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920" windowWidth="29040" windowHeight="15840" tabRatio="927"/>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Avoided Cost Benefits" sheetId="13" r:id="rId13"/>
    <sheet name="CP FACTORS" sheetId="12" r:id="rId14"/>
    <sheet name=" Measure INDEX" sheetId="15" r:id="rId15"/>
    <sheet name="index check" sheetId="20" state="hidden" r:id="rId16"/>
    <sheet name="2020_02_Updates_CleanUp_Items" sheetId="19" state="hidden" r:id="rId17"/>
  </sheets>
  <definedNames>
    <definedName name="_xlnm._FilterDatabase" localSheetId="14" hidden="1">' Measure INDEX'!$B$8:$AU$669</definedName>
    <definedName name="_xlnm._FilterDatabase" localSheetId="12" hidden="1">'Avoided Cost Benefits'!$A$3:$G$857</definedName>
    <definedName name="_xlnm._FilterDatabase" localSheetId="5" hidden="1">'HVAC Deemed Table'!$A$1406:$X$1584</definedName>
    <definedName name="_xlnm._FilterDatabase" localSheetId="15" hidden="1">'index check'!$A$1:$L$662</definedName>
    <definedName name="_ftn1" localSheetId="11">'BUS Deemed Savings Table'!$H$811</definedName>
    <definedName name="_ftn1" localSheetId="3">'Efficient Products Deemed Table'!$C$286</definedName>
    <definedName name="_ftn10" localSheetId="11">'BUS Deemed Savings Table'!$H$820</definedName>
    <definedName name="_ftn11" localSheetId="11">'BUS Deemed Savings Table'!$H$821</definedName>
    <definedName name="_ftn12" localSheetId="11">'BUS Deemed Savings Table'!$H$822</definedName>
    <definedName name="_ftn2" localSheetId="11">'BUS Deemed Savings Table'!$H$812</definedName>
    <definedName name="_ftn2" localSheetId="3">'Efficient Products Deemed Table'!$C$287</definedName>
    <definedName name="_ftn3" localSheetId="11">'BUS Deemed Savings Table'!$H$813</definedName>
    <definedName name="_ftn4" localSheetId="11">'BUS Deemed Savings Table'!$H$814</definedName>
    <definedName name="_ftn5" localSheetId="11">'BUS Deemed Savings Table'!$H$815</definedName>
    <definedName name="_ftn6" localSheetId="11">'BUS Deemed Savings Table'!$H$816</definedName>
    <definedName name="_ftn7" localSheetId="11">'BUS Deemed Savings Table'!$H$817</definedName>
    <definedName name="_ftn8" localSheetId="11">'BUS Deemed Savings Table'!$H$818</definedName>
    <definedName name="_ftn9" localSheetId="11">'BUS Deemed Savings Table'!$H$819</definedName>
    <definedName name="_ftnref1" localSheetId="11">'BUS Deemed Savings Table'!$H$386</definedName>
    <definedName name="_ftnref1" localSheetId="3">'Efficient Products Deemed Table'!$D$275</definedName>
    <definedName name="_ftnref10" localSheetId="11">'BUS Deemed Savings Table'!$K$664</definedName>
    <definedName name="_ftnref11" localSheetId="11">'BUS Deemed Savings Table'!$H$754</definedName>
    <definedName name="_ftnref12" localSheetId="11">'BUS Deemed Savings Table'!#REF!</definedName>
    <definedName name="_ftnref2" localSheetId="3">'Efficient Products Deemed Table'!$C$283</definedName>
    <definedName name="_ftnref3" localSheetId="11">'BUS Deemed Savings Table'!$J$392</definedName>
    <definedName name="_ftnref4" localSheetId="11">'BUS Deemed Savings Table'!$H$401</definedName>
    <definedName name="_ftnref5" localSheetId="11">'BUS Deemed Savings Table'!$H$416</definedName>
    <definedName name="_ftnref6" localSheetId="11">'BUS Deemed Savings Table'!$K$434</definedName>
    <definedName name="_ftnref7" localSheetId="11">'BUS Deemed Savings Table'!$I$529</definedName>
    <definedName name="_ftnref8" localSheetId="11">'BUS Deemed Savings Table'!#REF!</definedName>
    <definedName name="_ftnref9" localSheetId="11">'BUS Deemed Savings Table'!$H$635</definedName>
    <definedName name="_Key1" hidden="1">#REF!</definedName>
    <definedName name="_key2" hidden="1">#REF!</definedName>
    <definedName name="_Order1" hidden="1">255</definedName>
    <definedName name="_Sort" hidden="1">#REF!</definedName>
    <definedName name="_Toc477945843" localSheetId="11">'BUS Deemed Savings Table'!$H$367</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Table'!$A$1:$DI$814</definedName>
    <definedName name="_xlnm.Print_Area" localSheetId="1">'Deemed Savings Tbl Revision Log'!$A$1:$G$39</definedName>
    <definedName name="_xlnm.Print_Area" localSheetId="10">'Demand Response Deemed Table'!$A$1:$R$9</definedName>
    <definedName name="_xlnm.Print_Area" localSheetId="3">'Efficient Products Deemed Table'!$A$1:$AU$319</definedName>
    <definedName name="_xlnm.Print_Area" localSheetId="4">'Energy Effic. Kits Deemed Table'!$A$1:$BR$343</definedName>
    <definedName name="_xlnm.Print_Area" localSheetId="7">'Home Energy Report Deemed Table'!$A$1:$BE$18</definedName>
    <definedName name="_xlnm.Print_Area" localSheetId="5">'HVAC Deemed Table'!$A$1:$AK$3176</definedName>
    <definedName name="_xlnm.Print_Area" localSheetId="6">'Income Eligible Deemed Table'!$A$1:$BQ$1290</definedName>
    <definedName name="_xlnm.Print_Area" localSheetId="2">'Lighting Deemed Table'!$A$1:$BH$110</definedName>
    <definedName name="_xlnm.Print_Area" localSheetId="8">'MFMR Deemed Table '!$A$1:$BF$562</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Table'!$F$419</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C58" i="7" l="1"/>
  <c r="BD58" i="7" s="1"/>
  <c r="BB58" i="7" s="1"/>
  <c r="BE58" i="7"/>
  <c r="BC59" i="7"/>
  <c r="BD59" i="7" s="1"/>
  <c r="BB59" i="7" s="1"/>
  <c r="BE59" i="7"/>
  <c r="AI103" i="15"/>
  <c r="H103" i="15"/>
  <c r="G103" i="15"/>
  <c r="C103" i="15"/>
  <c r="AM103" i="15" s="1"/>
  <c r="B103" i="15"/>
  <c r="J332" i="5"/>
  <c r="X103" i="15" s="1"/>
  <c r="Z103" i="15" s="1"/>
  <c r="DD91" i="2" l="1"/>
  <c r="DD92" i="2"/>
  <c r="DD93" i="2"/>
  <c r="DD94" i="2"/>
  <c r="DD95" i="2"/>
  <c r="DD96" i="2"/>
  <c r="DD97" i="2"/>
  <c r="DD90" i="2"/>
  <c r="G81" i="5" l="1"/>
  <c r="G100" i="3"/>
  <c r="AB81" i="5" l="1"/>
  <c r="F56" i="5"/>
  <c r="F55" i="5"/>
  <c r="F54" i="5"/>
  <c r="F53" i="5"/>
  <c r="F52" i="5"/>
  <c r="F51" i="5"/>
  <c r="F50" i="5"/>
  <c r="F49" i="5"/>
  <c r="F48" i="5"/>
  <c r="F47" i="5"/>
  <c r="F46" i="5"/>
  <c r="F807" i="7" l="1"/>
  <c r="F810" i="7"/>
  <c r="F809" i="7"/>
  <c r="F808" i="7"/>
  <c r="F768" i="7"/>
  <c r="F769" i="7"/>
  <c r="BC332" i="5" l="1"/>
  <c r="V332" i="5"/>
  <c r="K332" i="5"/>
  <c r="AB103" i="15" s="1"/>
  <c r="H332" i="5"/>
  <c r="G319" i="5"/>
  <c r="G320" i="5"/>
  <c r="G321" i="5"/>
  <c r="G318" i="5"/>
  <c r="V66" i="2"/>
  <c r="V87" i="2"/>
  <c r="W80" i="2"/>
  <c r="AJ80" i="2" s="1"/>
  <c r="X80" i="2"/>
  <c r="AK80" i="2" s="1"/>
  <c r="Y80" i="2"/>
  <c r="Z80" i="2"/>
  <c r="AA80" i="2"/>
  <c r="AC80" i="2"/>
  <c r="AD80" i="2"/>
  <c r="BC80" i="2" s="1"/>
  <c r="AE80" i="2"/>
  <c r="AR80" i="2" s="1"/>
  <c r="AF80" i="2"/>
  <c r="AS80" i="2" s="1"/>
  <c r="AG80" i="2"/>
  <c r="AL80" i="2"/>
  <c r="AM80" i="2"/>
  <c r="AN80" i="2"/>
  <c r="AO80" i="2"/>
  <c r="AP80" i="2"/>
  <c r="AQ80" i="2"/>
  <c r="AX80" i="2"/>
  <c r="AY80" i="2"/>
  <c r="AZ80" i="2"/>
  <c r="BB80" i="2"/>
  <c r="BH80" i="2"/>
  <c r="BI80" i="2"/>
  <c r="BJ80" i="2"/>
  <c r="BK80" i="2"/>
  <c r="BL80" i="2"/>
  <c r="BN80" i="2"/>
  <c r="BO80" i="2"/>
  <c r="BP80" i="2"/>
  <c r="BQ80" i="2"/>
  <c r="BR80" i="2"/>
  <c r="F296" i="5" l="1"/>
  <c r="BE332" i="5"/>
  <c r="AW80" i="2"/>
  <c r="BE80" i="2"/>
  <c r="AV80" i="2"/>
  <c r="BD80" i="2"/>
  <c r="H115" i="2"/>
  <c r="H112" i="2"/>
  <c r="H110" i="2"/>
  <c r="H108" i="2"/>
  <c r="J97" i="2"/>
  <c r="J95" i="2"/>
  <c r="J94" i="2"/>
  <c r="J93" i="2"/>
  <c r="J92" i="2"/>
  <c r="J96" i="2"/>
  <c r="J90" i="2"/>
  <c r="AB15" i="10" l="1"/>
  <c r="AB7" i="10" s="1"/>
  <c r="AO8" i="2"/>
  <c r="BA40" i="2"/>
  <c r="BA8" i="2"/>
  <c r="A1" i="20"/>
  <c r="AI506" i="15"/>
  <c r="AD506" i="15"/>
  <c r="AB506" i="15"/>
  <c r="X506" i="15"/>
  <c r="Z506" i="15" s="1"/>
  <c r="H506" i="15"/>
  <c r="G506" i="15"/>
  <c r="C506" i="15"/>
  <c r="AM506" i="15" s="1"/>
  <c r="B506" i="15"/>
  <c r="AI71" i="15"/>
  <c r="X71" i="15"/>
  <c r="Z71" i="15" s="1"/>
  <c r="O71" i="15"/>
  <c r="W71" i="15" s="1"/>
  <c r="H71" i="15"/>
  <c r="G71" i="15"/>
  <c r="C71" i="15"/>
  <c r="AM71" i="15" s="1"/>
  <c r="B71" i="15"/>
  <c r="AI70" i="15"/>
  <c r="X70" i="15"/>
  <c r="Z70" i="15" s="1"/>
  <c r="O70" i="15"/>
  <c r="W70" i="15" s="1"/>
  <c r="H70" i="15"/>
  <c r="G70" i="15"/>
  <c r="C70" i="15"/>
  <c r="AM70" i="15" s="1"/>
  <c r="B70" i="15"/>
  <c r="J1" i="20"/>
  <c r="K1" i="20"/>
  <c r="L1" i="20"/>
  <c r="G1" i="20"/>
  <c r="H1" i="20"/>
  <c r="I1" i="20"/>
  <c r="D1" i="20"/>
  <c r="E1" i="20"/>
  <c r="F1" i="20"/>
  <c r="C1" i="20"/>
  <c r="AI565" i="15"/>
  <c r="AD565" i="15"/>
  <c r="AB565" i="15"/>
  <c r="H565" i="15"/>
  <c r="G565" i="15"/>
  <c r="C565" i="15"/>
  <c r="AM565" i="15" s="1"/>
  <c r="B565" i="15"/>
  <c r="AI564" i="15"/>
  <c r="AD564" i="15"/>
  <c r="AB564" i="15"/>
  <c r="H564" i="15"/>
  <c r="G564" i="15"/>
  <c r="C564" i="15"/>
  <c r="AM564" i="15" s="1"/>
  <c r="B564" i="15"/>
  <c r="AI563" i="15"/>
  <c r="AD563" i="15"/>
  <c r="AB563" i="15"/>
  <c r="H563" i="15"/>
  <c r="G563" i="15"/>
  <c r="C563" i="15"/>
  <c r="AM563" i="15" s="1"/>
  <c r="B563" i="15"/>
  <c r="AI562" i="15"/>
  <c r="AD562" i="15"/>
  <c r="AB562" i="15"/>
  <c r="H562" i="15"/>
  <c r="G562" i="15"/>
  <c r="C562" i="15"/>
  <c r="AM562" i="15" s="1"/>
  <c r="B562" i="15"/>
  <c r="AI561" i="15"/>
  <c r="AD561" i="15"/>
  <c r="AB561" i="15"/>
  <c r="H561" i="15"/>
  <c r="G561" i="15"/>
  <c r="C561" i="15"/>
  <c r="AM561" i="15" s="1"/>
  <c r="B561" i="15"/>
  <c r="AI560" i="15"/>
  <c r="AD560" i="15"/>
  <c r="AB560" i="15"/>
  <c r="H560" i="15"/>
  <c r="G560" i="15"/>
  <c r="C560" i="15"/>
  <c r="AM560" i="15" s="1"/>
  <c r="B560" i="15"/>
  <c r="AI559" i="15"/>
  <c r="AD559" i="15"/>
  <c r="AB559" i="15"/>
  <c r="H559" i="15"/>
  <c r="G559" i="15"/>
  <c r="C559" i="15"/>
  <c r="AM559" i="15" s="1"/>
  <c r="B559" i="15"/>
  <c r="AI558" i="15"/>
  <c r="AD558" i="15"/>
  <c r="AB558" i="15"/>
  <c r="H558" i="15"/>
  <c r="G558" i="15"/>
  <c r="C558" i="15"/>
  <c r="AM558" i="15" s="1"/>
  <c r="B558" i="15"/>
  <c r="AI554" i="15"/>
  <c r="AD554" i="15"/>
  <c r="AB554" i="15"/>
  <c r="X554" i="15"/>
  <c r="Z554" i="15" s="1"/>
  <c r="H554" i="15"/>
  <c r="G554" i="15"/>
  <c r="C554" i="15"/>
  <c r="AM554" i="15" s="1"/>
  <c r="B554" i="15"/>
  <c r="AI552" i="15"/>
  <c r="AD552" i="15"/>
  <c r="AB552" i="15"/>
  <c r="X552" i="15"/>
  <c r="Z552" i="15" s="1"/>
  <c r="H552" i="15"/>
  <c r="G552" i="15"/>
  <c r="C552" i="15"/>
  <c r="AM552" i="15" s="1"/>
  <c r="B552" i="15"/>
  <c r="AI550" i="15"/>
  <c r="AD550" i="15"/>
  <c r="AB550" i="15"/>
  <c r="X550" i="15"/>
  <c r="Z550" i="15" s="1"/>
  <c r="H550" i="15"/>
  <c r="G550" i="15"/>
  <c r="C550" i="15"/>
  <c r="AM550" i="15" s="1"/>
  <c r="B550" i="15"/>
  <c r="J466" i="9"/>
  <c r="J467" i="9"/>
  <c r="J468" i="9"/>
  <c r="J469" i="9"/>
  <c r="J470" i="9"/>
  <c r="J471" i="9"/>
  <c r="J472" i="9"/>
  <c r="J473" i="9"/>
  <c r="J465" i="9"/>
  <c r="BC249" i="9"/>
  <c r="BE249" i="9"/>
  <c r="BC250" i="9"/>
  <c r="BE250" i="9"/>
  <c r="BC251" i="9"/>
  <c r="BC252" i="9"/>
  <c r="BE252" i="9"/>
  <c r="BC253" i="9"/>
  <c r="BE253" i="9"/>
  <c r="AI505" i="15"/>
  <c r="AD505" i="15"/>
  <c r="AB505" i="15"/>
  <c r="X505" i="15"/>
  <c r="Z505" i="15" s="1"/>
  <c r="O505" i="15"/>
  <c r="W505" i="15" s="1"/>
  <c r="H505" i="15"/>
  <c r="G505" i="15"/>
  <c r="C505" i="15"/>
  <c r="AM505" i="15" s="1"/>
  <c r="B505" i="15"/>
  <c r="AI502" i="15"/>
  <c r="AD502" i="15"/>
  <c r="AB502" i="15"/>
  <c r="X502" i="15"/>
  <c r="Z502" i="15" s="1"/>
  <c r="O502" i="15"/>
  <c r="W502" i="15" s="1"/>
  <c r="H502" i="15"/>
  <c r="G502" i="15"/>
  <c r="C502" i="15"/>
  <c r="AM502" i="15" s="1"/>
  <c r="B502" i="15"/>
  <c r="AI501" i="15"/>
  <c r="AD501" i="15"/>
  <c r="AB501" i="15"/>
  <c r="X501" i="15"/>
  <c r="Z501" i="15" s="1"/>
  <c r="O501" i="15"/>
  <c r="W501" i="15" s="1"/>
  <c r="H501" i="15"/>
  <c r="G501" i="15"/>
  <c r="C501" i="15"/>
  <c r="AM501" i="15" s="1"/>
  <c r="B501" i="15"/>
  <c r="AI470" i="15"/>
  <c r="AD470" i="15"/>
  <c r="P470" i="15"/>
  <c r="J470" i="15"/>
  <c r="H470" i="15"/>
  <c r="G470" i="15"/>
  <c r="C470" i="15"/>
  <c r="AM470" i="15" s="1"/>
  <c r="B470" i="15"/>
  <c r="AI471" i="15"/>
  <c r="AD471" i="15"/>
  <c r="P471" i="15"/>
  <c r="J471" i="15"/>
  <c r="H471" i="15"/>
  <c r="C471" i="15"/>
  <c r="AM471" i="15" s="1"/>
  <c r="B471" i="15"/>
  <c r="AI472" i="15"/>
  <c r="AD472" i="15"/>
  <c r="P472" i="15"/>
  <c r="J472" i="15"/>
  <c r="H472" i="15"/>
  <c r="G472" i="15"/>
  <c r="C472" i="15"/>
  <c r="AM472" i="15" s="1"/>
  <c r="B472" i="15"/>
  <c r="AI469" i="15"/>
  <c r="AD469" i="15"/>
  <c r="AB469" i="15"/>
  <c r="X469" i="15"/>
  <c r="Z469" i="15" s="1"/>
  <c r="I469" i="15"/>
  <c r="H469" i="15"/>
  <c r="G469" i="15"/>
  <c r="C469" i="15"/>
  <c r="B469" i="15"/>
  <c r="AI421" i="15"/>
  <c r="AD421" i="15"/>
  <c r="X421" i="15"/>
  <c r="Z421" i="15" s="1"/>
  <c r="H421" i="15"/>
  <c r="G421" i="15"/>
  <c r="C421" i="15"/>
  <c r="AM421" i="15" s="1"/>
  <c r="B421" i="15"/>
  <c r="BE1347" i="7"/>
  <c r="BD1347" i="7"/>
  <c r="BC1347" i="7"/>
  <c r="BB1347" i="7"/>
  <c r="B457" i="15"/>
  <c r="C457" i="15"/>
  <c r="AM457" i="15" s="1"/>
  <c r="G457" i="15"/>
  <c r="H457" i="15"/>
  <c r="AD457" i="15"/>
  <c r="AI457" i="15"/>
  <c r="AI468" i="15"/>
  <c r="AD468" i="15"/>
  <c r="H468" i="15"/>
  <c r="G468" i="15"/>
  <c r="C468" i="15"/>
  <c r="AM468" i="15" s="1"/>
  <c r="B468" i="15"/>
  <c r="AI467" i="15"/>
  <c r="AD467" i="15"/>
  <c r="H467" i="15"/>
  <c r="G467" i="15"/>
  <c r="C467" i="15"/>
  <c r="AM467" i="15" s="1"/>
  <c r="B467" i="15"/>
  <c r="AI466" i="15"/>
  <c r="AD466" i="15"/>
  <c r="H466" i="15"/>
  <c r="G466" i="15"/>
  <c r="C466" i="15"/>
  <c r="AM466" i="15" s="1"/>
  <c r="B466" i="15"/>
  <c r="AI465" i="15"/>
  <c r="AD465" i="15"/>
  <c r="H465" i="15"/>
  <c r="G465" i="15"/>
  <c r="C465" i="15"/>
  <c r="AM465" i="15" s="1"/>
  <c r="B465" i="15"/>
  <c r="AI464" i="15"/>
  <c r="AD464" i="15"/>
  <c r="H464" i="15"/>
  <c r="G464" i="15"/>
  <c r="C464" i="15"/>
  <c r="AM464" i="15" s="1"/>
  <c r="B464" i="15"/>
  <c r="AI463" i="15"/>
  <c r="AD463" i="15"/>
  <c r="H463" i="15"/>
  <c r="G463" i="15"/>
  <c r="C463" i="15"/>
  <c r="AM463" i="15" s="1"/>
  <c r="B463" i="15"/>
  <c r="AI462" i="15"/>
  <c r="AD462" i="15"/>
  <c r="H462" i="15"/>
  <c r="G462" i="15"/>
  <c r="C462" i="15"/>
  <c r="AM462" i="15" s="1"/>
  <c r="B462" i="15"/>
  <c r="AI461" i="15"/>
  <c r="AD461" i="15"/>
  <c r="H461" i="15"/>
  <c r="G461" i="15"/>
  <c r="C461" i="15"/>
  <c r="AM461" i="15" s="1"/>
  <c r="B461" i="15"/>
  <c r="AI460" i="15"/>
  <c r="AD460" i="15"/>
  <c r="H460" i="15"/>
  <c r="G460" i="15"/>
  <c r="C460" i="15"/>
  <c r="AM460" i="15" s="1"/>
  <c r="B460" i="15"/>
  <c r="AI459" i="15"/>
  <c r="AD459" i="15"/>
  <c r="H459" i="15"/>
  <c r="G459" i="15"/>
  <c r="C459" i="15"/>
  <c r="AM459" i="15" s="1"/>
  <c r="B459" i="15"/>
  <c r="AI458" i="15"/>
  <c r="AD458" i="15"/>
  <c r="H458" i="15"/>
  <c r="G458" i="15"/>
  <c r="C458" i="15"/>
  <c r="AM458" i="15" s="1"/>
  <c r="B458" i="15"/>
  <c r="AI430" i="15"/>
  <c r="AD430" i="15"/>
  <c r="X430" i="15"/>
  <c r="Z430" i="15" s="1"/>
  <c r="H430" i="15"/>
  <c r="G430" i="15"/>
  <c r="C430" i="15"/>
  <c r="AM430" i="15" s="1"/>
  <c r="B430" i="15"/>
  <c r="AI427" i="15"/>
  <c r="AD427" i="15"/>
  <c r="X427" i="15"/>
  <c r="Z427" i="15" s="1"/>
  <c r="H427" i="15"/>
  <c r="G427" i="15"/>
  <c r="C427" i="15"/>
  <c r="AM427" i="15" s="1"/>
  <c r="B427" i="15"/>
  <c r="AI424" i="15"/>
  <c r="AD424" i="15"/>
  <c r="X424" i="15"/>
  <c r="Z424" i="15" s="1"/>
  <c r="H424" i="15"/>
  <c r="G424" i="15"/>
  <c r="C424" i="15"/>
  <c r="AM424" i="15" s="1"/>
  <c r="B424" i="15"/>
  <c r="BC1225" i="7"/>
  <c r="BC1226" i="7"/>
  <c r="BC1227" i="7"/>
  <c r="BC1228" i="7"/>
  <c r="BC1219" i="7"/>
  <c r="BC1220" i="7"/>
  <c r="BC1221" i="7"/>
  <c r="BC1222" i="7"/>
  <c r="BC1223" i="7"/>
  <c r="BC1224" i="7"/>
  <c r="K1228" i="7"/>
  <c r="AB430" i="15" s="1"/>
  <c r="K1225" i="7"/>
  <c r="AB427" i="15" s="1"/>
  <c r="K1222" i="7"/>
  <c r="BE1222" i="7" s="1"/>
  <c r="K1226" i="7"/>
  <c r="BE1226" i="7" s="1"/>
  <c r="K1224" i="7"/>
  <c r="BE1224" i="7" s="1"/>
  <c r="K1223" i="7"/>
  <c r="BE1223" i="7" s="1"/>
  <c r="K1221" i="7"/>
  <c r="BE1221" i="7" s="1"/>
  <c r="K1220" i="7"/>
  <c r="BE1220" i="7" s="1"/>
  <c r="K1219" i="7"/>
  <c r="AB421" i="15" s="1"/>
  <c r="K1218" i="7"/>
  <c r="BC1111" i="7"/>
  <c r="BD1111" i="7" s="1"/>
  <c r="BC1112" i="7"/>
  <c r="BC1113" i="7"/>
  <c r="BC1114" i="7"/>
  <c r="BC1115" i="7"/>
  <c r="BC1098" i="7"/>
  <c r="BD1098" i="7" s="1"/>
  <c r="AI419" i="15"/>
  <c r="AD419" i="15"/>
  <c r="X419" i="15"/>
  <c r="Z419" i="15" s="1"/>
  <c r="H419" i="15"/>
  <c r="G419" i="15"/>
  <c r="C419" i="15"/>
  <c r="AM419" i="15" s="1"/>
  <c r="B419" i="15"/>
  <c r="AI415" i="15"/>
  <c r="AD415" i="15"/>
  <c r="X415" i="15"/>
  <c r="Z415" i="15" s="1"/>
  <c r="O415" i="15"/>
  <c r="W415" i="15" s="1"/>
  <c r="I415" i="15"/>
  <c r="H415" i="15"/>
  <c r="G415" i="15"/>
  <c r="C415" i="15"/>
  <c r="AM415" i="15" s="1"/>
  <c r="B415" i="15"/>
  <c r="AI402" i="15"/>
  <c r="AD402" i="15"/>
  <c r="X402" i="15"/>
  <c r="Z402" i="15" s="1"/>
  <c r="O402" i="15"/>
  <c r="W402" i="15" s="1"/>
  <c r="I402" i="15"/>
  <c r="H402" i="15"/>
  <c r="G402" i="15"/>
  <c r="C402" i="15"/>
  <c r="AM402" i="15" s="1"/>
  <c r="B402" i="15"/>
  <c r="BC769" i="7"/>
  <c r="L769" i="7"/>
  <c r="BE769" i="7" s="1"/>
  <c r="L768" i="7"/>
  <c r="L770" i="7"/>
  <c r="AB370" i="15" s="1"/>
  <c r="L771" i="7"/>
  <c r="AB371" i="15" s="1"/>
  <c r="K769" i="7"/>
  <c r="X369" i="15" s="1"/>
  <c r="Z369" i="15" s="1"/>
  <c r="K770" i="7"/>
  <c r="K771" i="7"/>
  <c r="X371" i="15" s="1"/>
  <c r="Z371" i="15" s="1"/>
  <c r="K768" i="7"/>
  <c r="X368" i="15" s="1"/>
  <c r="Z368" i="15" s="1"/>
  <c r="AI371" i="15"/>
  <c r="AD371" i="15"/>
  <c r="H371" i="15"/>
  <c r="G371" i="15"/>
  <c r="C371" i="15"/>
  <c r="AM371" i="15" s="1"/>
  <c r="B371" i="15"/>
  <c r="AI370" i="15"/>
  <c r="AD370" i="15"/>
  <c r="X370" i="15"/>
  <c r="Z370" i="15" s="1"/>
  <c r="H370" i="15"/>
  <c r="G370" i="15"/>
  <c r="C370" i="15"/>
  <c r="AM370" i="15" s="1"/>
  <c r="B370" i="15"/>
  <c r="AI368" i="15"/>
  <c r="AD368" i="15"/>
  <c r="AB368" i="15"/>
  <c r="H368" i="15"/>
  <c r="G368" i="15"/>
  <c r="C368" i="15"/>
  <c r="AM368" i="15" s="1"/>
  <c r="B368" i="15"/>
  <c r="AI369" i="15"/>
  <c r="AD369" i="15"/>
  <c r="AB369" i="15"/>
  <c r="H369" i="15"/>
  <c r="G369" i="15"/>
  <c r="C369" i="15"/>
  <c r="AM369" i="15" s="1"/>
  <c r="B369" i="15"/>
  <c r="AI365" i="15"/>
  <c r="AE365" i="15"/>
  <c r="AC365" i="15" s="1"/>
  <c r="AD365" i="15"/>
  <c r="AA365" i="15"/>
  <c r="H365" i="15"/>
  <c r="G365" i="15"/>
  <c r="C365" i="15"/>
  <c r="AM365" i="15" s="1"/>
  <c r="B365" i="15"/>
  <c r="AD342" i="15"/>
  <c r="J342" i="15"/>
  <c r="H342" i="15"/>
  <c r="G342" i="15"/>
  <c r="C342" i="15"/>
  <c r="AM342" i="15" s="1"/>
  <c r="B342" i="15"/>
  <c r="AD341" i="15"/>
  <c r="J341" i="15"/>
  <c r="H341" i="15"/>
  <c r="G341" i="15"/>
  <c r="C341" i="15"/>
  <c r="AM341" i="15" s="1"/>
  <c r="B341" i="15"/>
  <c r="AI104" i="15"/>
  <c r="H104" i="15"/>
  <c r="G104" i="15"/>
  <c r="C104" i="15"/>
  <c r="AM104" i="15" s="1"/>
  <c r="B104" i="15"/>
  <c r="AI101" i="15"/>
  <c r="X101" i="15"/>
  <c r="Z101" i="15" s="1"/>
  <c r="O101" i="15"/>
  <c r="V101" i="15" s="1"/>
  <c r="H101" i="15"/>
  <c r="G101" i="15"/>
  <c r="C101" i="15"/>
  <c r="AM101" i="15" s="1"/>
  <c r="B101" i="15"/>
  <c r="AI98" i="15"/>
  <c r="X98" i="15"/>
  <c r="Z98" i="15" s="1"/>
  <c r="O98" i="15"/>
  <c r="V98" i="15" s="1"/>
  <c r="H98" i="15"/>
  <c r="G98" i="15"/>
  <c r="C98" i="15"/>
  <c r="AM98" i="15" s="1"/>
  <c r="B98" i="15"/>
  <c r="AI95" i="15"/>
  <c r="X95" i="15"/>
  <c r="Z95" i="15" s="1"/>
  <c r="O95" i="15"/>
  <c r="V95" i="15" s="1"/>
  <c r="H95" i="15"/>
  <c r="G95" i="15"/>
  <c r="C95" i="15"/>
  <c r="AM95" i="15" s="1"/>
  <c r="B95" i="15"/>
  <c r="AI93" i="15"/>
  <c r="O93" i="15"/>
  <c r="V93" i="15" s="1"/>
  <c r="H93" i="15"/>
  <c r="G93" i="15"/>
  <c r="C93" i="15"/>
  <c r="AM93" i="15" s="1"/>
  <c r="B93" i="15"/>
  <c r="AI91" i="15"/>
  <c r="O91" i="15"/>
  <c r="V91" i="15" s="1"/>
  <c r="H91" i="15"/>
  <c r="G91" i="15"/>
  <c r="C91" i="15"/>
  <c r="AM91" i="15" s="1"/>
  <c r="B91" i="15"/>
  <c r="AI89" i="15"/>
  <c r="H89" i="15"/>
  <c r="G89" i="15"/>
  <c r="C89" i="15"/>
  <c r="AM89" i="15" s="1"/>
  <c r="B89" i="15"/>
  <c r="AI87" i="15"/>
  <c r="H87" i="15"/>
  <c r="G87" i="15"/>
  <c r="C87" i="15"/>
  <c r="AM87" i="15" s="1"/>
  <c r="B87" i="15"/>
  <c r="AI85" i="15"/>
  <c r="H85" i="15"/>
  <c r="G85" i="15"/>
  <c r="C85" i="15"/>
  <c r="AM85" i="15" s="1"/>
  <c r="B85" i="15"/>
  <c r="AI83" i="15"/>
  <c r="H83" i="15"/>
  <c r="G83" i="15"/>
  <c r="C83" i="15"/>
  <c r="AM83" i="15" s="1"/>
  <c r="B83" i="15"/>
  <c r="AI81" i="15"/>
  <c r="X81" i="15"/>
  <c r="Z81" i="15" s="1"/>
  <c r="O81" i="15"/>
  <c r="V81" i="15" s="1"/>
  <c r="H81" i="15"/>
  <c r="G81" i="15"/>
  <c r="C81" i="15"/>
  <c r="AM81" i="15" s="1"/>
  <c r="B81" i="15"/>
  <c r="AI79" i="15"/>
  <c r="X79" i="15"/>
  <c r="Z79" i="15" s="1"/>
  <c r="O79" i="15"/>
  <c r="V79" i="15" s="1"/>
  <c r="H79" i="15"/>
  <c r="G79" i="15"/>
  <c r="C79" i="15"/>
  <c r="AM79" i="15" s="1"/>
  <c r="B79" i="15"/>
  <c r="BC103" i="5"/>
  <c r="BE331" i="5"/>
  <c r="BD331" i="5"/>
  <c r="BC331" i="5"/>
  <c r="BB331" i="5"/>
  <c r="BC54" i="5"/>
  <c r="BC55" i="5"/>
  <c r="BC56" i="5"/>
  <c r="AI77" i="15"/>
  <c r="X77" i="15"/>
  <c r="Z77" i="15" s="1"/>
  <c r="O77" i="15"/>
  <c r="W77" i="15" s="1"/>
  <c r="H77" i="15"/>
  <c r="G77" i="15"/>
  <c r="C77" i="15"/>
  <c r="AM77" i="15" s="1"/>
  <c r="B77" i="15"/>
  <c r="AI76" i="15"/>
  <c r="X76" i="15"/>
  <c r="Z76" i="15" s="1"/>
  <c r="O76" i="15"/>
  <c r="W76" i="15" s="1"/>
  <c r="H76" i="15"/>
  <c r="G76" i="15"/>
  <c r="C76" i="15"/>
  <c r="AM76" i="15" s="1"/>
  <c r="B76" i="15"/>
  <c r="AI75" i="15"/>
  <c r="X75" i="15"/>
  <c r="Z75" i="15" s="1"/>
  <c r="O75" i="15"/>
  <c r="W75" i="15" s="1"/>
  <c r="H75" i="15"/>
  <c r="G75" i="15"/>
  <c r="C75" i="15"/>
  <c r="AM75" i="15" s="1"/>
  <c r="B75" i="15"/>
  <c r="AI64" i="15"/>
  <c r="AB64" i="15"/>
  <c r="X64" i="15"/>
  <c r="Z64" i="15" s="1"/>
  <c r="O64" i="15"/>
  <c r="V64" i="15" s="1"/>
  <c r="H64" i="15"/>
  <c r="G64" i="15"/>
  <c r="C64" i="15"/>
  <c r="AM64" i="15" s="1"/>
  <c r="B64" i="15"/>
  <c r="BC300" i="5"/>
  <c r="BC303" i="5"/>
  <c r="BC297" i="5"/>
  <c r="BC101" i="5"/>
  <c r="BC49" i="5"/>
  <c r="BC50" i="5"/>
  <c r="BC8" i="5"/>
  <c r="BE8" i="5"/>
  <c r="BC9" i="5"/>
  <c r="BE9" i="5"/>
  <c r="AI63" i="15"/>
  <c r="AB63" i="15"/>
  <c r="X63" i="15"/>
  <c r="Z63" i="15" s="1"/>
  <c r="O63" i="15"/>
  <c r="V63" i="15" s="1"/>
  <c r="H63" i="15"/>
  <c r="G63" i="15"/>
  <c r="C63" i="15"/>
  <c r="AM63" i="15" s="1"/>
  <c r="B63" i="15"/>
  <c r="K217" i="16"/>
  <c r="BE217" i="16" s="1"/>
  <c r="K216" i="16"/>
  <c r="K209" i="16"/>
  <c r="K210" i="16"/>
  <c r="K211" i="16"/>
  <c r="K212" i="16"/>
  <c r="K213" i="16"/>
  <c r="K214" i="16"/>
  <c r="K215" i="16"/>
  <c r="K208" i="16"/>
  <c r="J209" i="16"/>
  <c r="J210" i="16"/>
  <c r="J211" i="16"/>
  <c r="J212" i="16"/>
  <c r="J213" i="16"/>
  <c r="J214" i="16"/>
  <c r="J215" i="16"/>
  <c r="J216" i="16"/>
  <c r="J217" i="16"/>
  <c r="BC217" i="16" s="1"/>
  <c r="J208" i="16"/>
  <c r="AI57" i="15"/>
  <c r="AB57" i="15"/>
  <c r="X57" i="15"/>
  <c r="Z57" i="15" s="1"/>
  <c r="H57" i="15"/>
  <c r="G57" i="15"/>
  <c r="C57" i="15"/>
  <c r="AM57" i="15" s="1"/>
  <c r="B57" i="15"/>
  <c r="AI18" i="15"/>
  <c r="AB18" i="15"/>
  <c r="H18" i="15"/>
  <c r="G18" i="15"/>
  <c r="C18" i="15"/>
  <c r="AM18" i="15" s="1"/>
  <c r="B18" i="15"/>
  <c r="AI17" i="15"/>
  <c r="AB17" i="15"/>
  <c r="H17" i="15"/>
  <c r="G17" i="15"/>
  <c r="C17" i="15"/>
  <c r="AM17" i="15" s="1"/>
  <c r="B17" i="15"/>
  <c r="H109" i="2"/>
  <c r="H111" i="2"/>
  <c r="H113" i="2"/>
  <c r="J91" i="2"/>
  <c r="X559" i="15" s="1"/>
  <c r="Z559" i="15" s="1"/>
  <c r="X560" i="15"/>
  <c r="Z560" i="15" s="1"/>
  <c r="X561" i="15"/>
  <c r="Z561" i="15" s="1"/>
  <c r="X562" i="15"/>
  <c r="Z562" i="15" s="1"/>
  <c r="X563" i="15"/>
  <c r="Z563" i="15" s="1"/>
  <c r="X558" i="15"/>
  <c r="Z558" i="15" s="1"/>
  <c r="DE89" i="2"/>
  <c r="DD89" i="2"/>
  <c r="DC89" i="2"/>
  <c r="DB89" i="2"/>
  <c r="AO96" i="2"/>
  <c r="AO94" i="2"/>
  <c r="AO93" i="2"/>
  <c r="AO90" i="2"/>
  <c r="AG89" i="2"/>
  <c r="AF89" i="2"/>
  <c r="AS89" i="2" s="1"/>
  <c r="AE89" i="2"/>
  <c r="AR89" i="2" s="1"/>
  <c r="AD89" i="2"/>
  <c r="BC89" i="2" s="1"/>
  <c r="AC89" i="2"/>
  <c r="BB89" i="2" s="1"/>
  <c r="AO89" i="2"/>
  <c r="AA89" i="2"/>
  <c r="AN89" i="2" s="1"/>
  <c r="Z89" i="2"/>
  <c r="AY89" i="2" s="1"/>
  <c r="Y89" i="2"/>
  <c r="AX89" i="2" s="1"/>
  <c r="X89" i="2"/>
  <c r="AK89" i="2" s="1"/>
  <c r="W89" i="2"/>
  <c r="AJ89" i="2" s="1"/>
  <c r="AO110" i="2"/>
  <c r="V110" i="2"/>
  <c r="AO109" i="2"/>
  <c r="V109" i="2"/>
  <c r="BE108" i="2"/>
  <c r="BD108" i="2"/>
  <c r="BC108" i="2"/>
  <c r="BB108" i="2"/>
  <c r="AZ108" i="2"/>
  <c r="AY108" i="2"/>
  <c r="AX108" i="2"/>
  <c r="AW108" i="2"/>
  <c r="AV108" i="2"/>
  <c r="AU108" i="2"/>
  <c r="AS108" i="2"/>
  <c r="AR108" i="2"/>
  <c r="AQ108" i="2"/>
  <c r="AP108" i="2"/>
  <c r="AO108" i="2"/>
  <c r="AN108" i="2"/>
  <c r="AM108" i="2"/>
  <c r="AL108" i="2"/>
  <c r="AK108" i="2"/>
  <c r="AJ108" i="2"/>
  <c r="AI108" i="2"/>
  <c r="AG108" i="2"/>
  <c r="AF108" i="2"/>
  <c r="AE108" i="2"/>
  <c r="AD108" i="2"/>
  <c r="AC108" i="2"/>
  <c r="AA108" i="2"/>
  <c r="Z108" i="2"/>
  <c r="Y108" i="2"/>
  <c r="X108" i="2"/>
  <c r="W108" i="2"/>
  <c r="BR107" i="2"/>
  <c r="BQ107" i="2"/>
  <c r="BP107" i="2"/>
  <c r="BO107" i="2"/>
  <c r="BN107" i="2"/>
  <c r="BL107" i="2"/>
  <c r="BK107" i="2"/>
  <c r="BJ107" i="2"/>
  <c r="BI107" i="2"/>
  <c r="BH107" i="2"/>
  <c r="AG107" i="2"/>
  <c r="AF107" i="2"/>
  <c r="BE107" i="2" s="1"/>
  <c r="AE107" i="2"/>
  <c r="BD107" i="2" s="1"/>
  <c r="AD107" i="2"/>
  <c r="AQ107" i="2" s="1"/>
  <c r="AC107" i="2"/>
  <c r="BB107" i="2" s="1"/>
  <c r="AA107" i="2"/>
  <c r="AZ107" i="2" s="1"/>
  <c r="Z107" i="2"/>
  <c r="AM107" i="2" s="1"/>
  <c r="Y107" i="2"/>
  <c r="AX107" i="2" s="1"/>
  <c r="X107" i="2"/>
  <c r="AW107" i="2" s="1"/>
  <c r="W107" i="2"/>
  <c r="AV107" i="2" s="1"/>
  <c r="H114" i="2"/>
  <c r="AP89" i="2" l="1"/>
  <c r="BE1225" i="7"/>
  <c r="AK107" i="2"/>
  <c r="AO95" i="2"/>
  <c r="AP107" i="2"/>
  <c r="AO91" i="2"/>
  <c r="BE1219" i="7"/>
  <c r="AB424" i="15"/>
  <c r="BE1228" i="7"/>
  <c r="AO97" i="2"/>
  <c r="X565" i="15"/>
  <c r="Z565" i="15" s="1"/>
  <c r="W565" i="15" s="1"/>
  <c r="AL107" i="2"/>
  <c r="AR107" i="2"/>
  <c r="AV89" i="2"/>
  <c r="AN107" i="2"/>
  <c r="AS107" i="2"/>
  <c r="AZ89" i="2"/>
  <c r="AO92" i="2"/>
  <c r="X564" i="15"/>
  <c r="Z564" i="15" s="1"/>
  <c r="W564" i="15" s="1"/>
  <c r="AJ107" i="2"/>
  <c r="AO107" i="2"/>
  <c r="AL89" i="2"/>
  <c r="BD89" i="2"/>
  <c r="AN415" i="15"/>
  <c r="AO415" i="15" s="1"/>
  <c r="AE415" i="15"/>
  <c r="AC415" i="15" s="1"/>
  <c r="AE402" i="15"/>
  <c r="AC402" i="15" s="1"/>
  <c r="AN402" i="15"/>
  <c r="AO402" i="15" s="1"/>
  <c r="AM89" i="2"/>
  <c r="AQ89" i="2"/>
  <c r="AW89" i="2"/>
  <c r="BE89" i="2"/>
  <c r="AY107" i="2"/>
  <c r="BC107" i="2"/>
  <c r="H91" i="2"/>
  <c r="H92" i="2"/>
  <c r="H93" i="2"/>
  <c r="H94" i="2"/>
  <c r="H95" i="2"/>
  <c r="H96" i="2"/>
  <c r="H97" i="2"/>
  <c r="H90" i="2"/>
  <c r="D115" i="2"/>
  <c r="D114" i="2"/>
  <c r="D113" i="2"/>
  <c r="D112" i="2"/>
  <c r="D111" i="2"/>
  <c r="D110" i="2"/>
  <c r="D109" i="2"/>
  <c r="D108" i="2"/>
  <c r="DE97" i="2"/>
  <c r="DC97" i="2"/>
  <c r="F97" i="2"/>
  <c r="I565" i="15" s="1"/>
  <c r="AN565" i="15" s="1"/>
  <c r="DE96" i="2"/>
  <c r="DC96" i="2"/>
  <c r="F96" i="2"/>
  <c r="I564" i="15" s="1"/>
  <c r="AN564" i="15" s="1"/>
  <c r="DE95" i="2"/>
  <c r="DC95" i="2"/>
  <c r="F95" i="2"/>
  <c r="I563" i="15" s="1"/>
  <c r="AN563" i="15" s="1"/>
  <c r="DE94" i="2"/>
  <c r="DC94" i="2"/>
  <c r="F94" i="2"/>
  <c r="DE93" i="2"/>
  <c r="DC93" i="2"/>
  <c r="F93" i="2"/>
  <c r="I561" i="15" s="1"/>
  <c r="AN561" i="15" s="1"/>
  <c r="DE92" i="2"/>
  <c r="DC92" i="2"/>
  <c r="F92" i="2"/>
  <c r="DE91" i="2"/>
  <c r="DC91" i="2"/>
  <c r="F91" i="2"/>
  <c r="I559" i="15" s="1"/>
  <c r="AN559" i="15" s="1"/>
  <c r="DE90" i="2"/>
  <c r="DC90" i="2"/>
  <c r="F90" i="2"/>
  <c r="DB91" i="2" l="1"/>
  <c r="AA559" i="15" s="1"/>
  <c r="I560" i="15"/>
  <c r="AN560" i="15" s="1"/>
  <c r="I558" i="15"/>
  <c r="AN558" i="15" s="1"/>
  <c r="DB90" i="2"/>
  <c r="AA558" i="15" s="1"/>
  <c r="AE558" i="15"/>
  <c r="AC558" i="15" s="1"/>
  <c r="I562" i="15"/>
  <c r="AN562" i="15" s="1"/>
  <c r="I97" i="2"/>
  <c r="O565" i="15" s="1"/>
  <c r="AO565" i="15" s="1"/>
  <c r="I96" i="2"/>
  <c r="O564" i="15" s="1"/>
  <c r="V564" i="15" s="1"/>
  <c r="U564" i="15" s="1"/>
  <c r="I92" i="2"/>
  <c r="O560" i="15" s="1"/>
  <c r="I91" i="2"/>
  <c r="O559" i="15" s="1"/>
  <c r="W559" i="15" s="1"/>
  <c r="V559" i="15" s="1"/>
  <c r="U559" i="15" s="1"/>
  <c r="I93" i="2"/>
  <c r="O561" i="15" s="1"/>
  <c r="W561" i="15" s="1"/>
  <c r="V561" i="15" s="1"/>
  <c r="U561" i="15" s="1"/>
  <c r="I95" i="2"/>
  <c r="O563" i="15" s="1"/>
  <c r="W563" i="15" s="1"/>
  <c r="V563" i="15" s="1"/>
  <c r="U563" i="15" s="1"/>
  <c r="I94" i="2"/>
  <c r="O562" i="15" s="1"/>
  <c r="I90" i="2"/>
  <c r="O558" i="15" s="1"/>
  <c r="AE559" i="15" l="1"/>
  <c r="AC559" i="15" s="1"/>
  <c r="W562" i="15"/>
  <c r="V562" i="15" s="1"/>
  <c r="U562" i="15" s="1"/>
  <c r="W560" i="15"/>
  <c r="V560" i="15" s="1"/>
  <c r="U560" i="15" s="1"/>
  <c r="W558" i="15"/>
  <c r="V558" i="15" s="1"/>
  <c r="U558" i="15" s="1"/>
  <c r="AO558" i="15"/>
  <c r="AO562" i="15"/>
  <c r="V565" i="15"/>
  <c r="U565" i="15" s="1"/>
  <c r="AO559" i="15"/>
  <c r="DB92" i="2"/>
  <c r="AA560" i="15" s="1"/>
  <c r="AE560" i="15"/>
  <c r="AC560" i="15" s="1"/>
  <c r="AO563" i="15"/>
  <c r="DB97" i="2"/>
  <c r="AA565" i="15" s="1"/>
  <c r="AE565" i="15"/>
  <c r="AC565" i="15" s="1"/>
  <c r="DB93" i="2"/>
  <c r="AA561" i="15" s="1"/>
  <c r="AE561" i="15"/>
  <c r="AC561" i="15" s="1"/>
  <c r="AO560" i="15"/>
  <c r="AO564" i="15"/>
  <c r="DB95" i="2"/>
  <c r="AA563" i="15" s="1"/>
  <c r="AE563" i="15"/>
  <c r="AC563" i="15" s="1"/>
  <c r="DB94" i="2"/>
  <c r="AA562" i="15" s="1"/>
  <c r="AE562" i="15"/>
  <c r="AC562" i="15" s="1"/>
  <c r="DB96" i="2"/>
  <c r="AA564" i="15" s="1"/>
  <c r="AE564" i="15"/>
  <c r="AC564" i="15" s="1"/>
  <c r="AO561" i="15"/>
  <c r="G1251" i="7" l="1"/>
  <c r="K1227" i="7" s="1"/>
  <c r="BE1227" i="7" s="1"/>
  <c r="DD393" i="2"/>
  <c r="H731" i="7"/>
  <c r="H771" i="7"/>
  <c r="H770" i="7"/>
  <c r="H769" i="7"/>
  <c r="H768" i="7"/>
  <c r="H1098" i="7"/>
  <c r="H1111" i="7"/>
  <c r="H1115" i="7"/>
  <c r="H1349" i="7"/>
  <c r="H1350" i="7"/>
  <c r="H1351" i="7"/>
  <c r="H1352" i="7"/>
  <c r="H1353" i="7"/>
  <c r="H1354" i="7"/>
  <c r="H1355" i="7"/>
  <c r="H1356" i="7"/>
  <c r="H1357" i="7"/>
  <c r="H1358" i="7"/>
  <c r="H1359" i="7"/>
  <c r="H1348" i="7"/>
  <c r="H9" i="5"/>
  <c r="H8" i="5"/>
  <c r="H56" i="5"/>
  <c r="H55" i="5"/>
  <c r="H54" i="5"/>
  <c r="H50" i="5"/>
  <c r="H49" i="5"/>
  <c r="H103" i="5"/>
  <c r="H101" i="5"/>
  <c r="H258" i="5"/>
  <c r="H256" i="5"/>
  <c r="H333" i="5"/>
  <c r="H303" i="5"/>
  <c r="H300" i="5"/>
  <c r="H297" i="5"/>
  <c r="G352" i="5" l="1"/>
  <c r="G354" i="5"/>
  <c r="G355" i="5" s="1"/>
  <c r="G353" i="5"/>
  <c r="G247" i="5"/>
  <c r="V1283" i="6"/>
  <c r="V1277" i="6"/>
  <c r="AE533" i="15"/>
  <c r="AI533" i="15"/>
  <c r="AB533" i="15"/>
  <c r="X533" i="15"/>
  <c r="O533" i="15"/>
  <c r="I533" i="15"/>
  <c r="H533" i="15"/>
  <c r="G533" i="15"/>
  <c r="C533" i="15"/>
  <c r="B533" i="15"/>
  <c r="BE7" i="8"/>
  <c r="BC7" i="8"/>
  <c r="BD7" i="8" s="1"/>
  <c r="AE469" i="15" s="1"/>
  <c r="AC469" i="15" s="1"/>
  <c r="Z7" i="10"/>
  <c r="AA7" i="10"/>
  <c r="X7" i="10"/>
  <c r="Y7" i="10"/>
  <c r="W7" i="10"/>
  <c r="K466" i="9"/>
  <c r="K467" i="9"/>
  <c r="K468" i="9"/>
  <c r="K469" i="9"/>
  <c r="K470" i="9"/>
  <c r="K471" i="9"/>
  <c r="K472" i="9"/>
  <c r="K473" i="9"/>
  <c r="K465" i="9"/>
  <c r="J256" i="5"/>
  <c r="J257" i="5"/>
  <c r="J258" i="5"/>
  <c r="J255" i="5"/>
  <c r="K258" i="5"/>
  <c r="K257" i="5"/>
  <c r="K256" i="5"/>
  <c r="K255" i="5"/>
  <c r="F332" i="5" l="1"/>
  <c r="F333" i="5"/>
  <c r="AB93" i="15"/>
  <c r="BE258" i="5"/>
  <c r="X91" i="15"/>
  <c r="Z91" i="15" s="1"/>
  <c r="BC256" i="5"/>
  <c r="BE256" i="5"/>
  <c r="AB91" i="15"/>
  <c r="X93" i="15"/>
  <c r="Z93" i="15" s="1"/>
  <c r="BC258" i="5"/>
  <c r="BB7" i="8"/>
  <c r="AA469" i="15" s="1"/>
  <c r="I103" i="15" l="1"/>
  <c r="AN103" i="15" s="1"/>
  <c r="BD332" i="5"/>
  <c r="I332" i="5"/>
  <c r="O103" i="15" s="1"/>
  <c r="V103" i="15" s="1"/>
  <c r="F127" i="16"/>
  <c r="BL42" i="2"/>
  <c r="AO70" i="2"/>
  <c r="AO69" i="2"/>
  <c r="AO83" i="2"/>
  <c r="AO82" i="2"/>
  <c r="AO127" i="2"/>
  <c r="AO132" i="2"/>
  <c r="AO133" i="2"/>
  <c r="AO134" i="2"/>
  <c r="AO135" i="2"/>
  <c r="AO136" i="2"/>
  <c r="AO137" i="2"/>
  <c r="AO138" i="2"/>
  <c r="AO139" i="2"/>
  <c r="AO140" i="2"/>
  <c r="AO141" i="2"/>
  <c r="AO142" i="2"/>
  <c r="AO143" i="2"/>
  <c r="AO144" i="2"/>
  <c r="AO145" i="2"/>
  <c r="AO146" i="2"/>
  <c r="AO123" i="2"/>
  <c r="AO175" i="2"/>
  <c r="AO174" i="2"/>
  <c r="AO195" i="2"/>
  <c r="AO196" i="2"/>
  <c r="AO197" i="2"/>
  <c r="AO198" i="2"/>
  <c r="AO194" i="2"/>
  <c r="AO219" i="2"/>
  <c r="AO218" i="2"/>
  <c r="AO236" i="2"/>
  <c r="AO250" i="2"/>
  <c r="AO267" i="2"/>
  <c r="AO268" i="2"/>
  <c r="AO269" i="2"/>
  <c r="AO266" i="2"/>
  <c r="AO289" i="2"/>
  <c r="AO290" i="2"/>
  <c r="AO288" i="2"/>
  <c r="AO323" i="2"/>
  <c r="AO324" i="2"/>
  <c r="AO325" i="2"/>
  <c r="AO322" i="2"/>
  <c r="AO342" i="2"/>
  <c r="AO419" i="2"/>
  <c r="AO438" i="2"/>
  <c r="AO437" i="2"/>
  <c r="AO436" i="2"/>
  <c r="AO435" i="2"/>
  <c r="AO456" i="2"/>
  <c r="AO457" i="2"/>
  <c r="AO458" i="2"/>
  <c r="AO459" i="2"/>
  <c r="AO455" i="2"/>
  <c r="AO485" i="2"/>
  <c r="AO484" i="2"/>
  <c r="AO483" i="2"/>
  <c r="AO482" i="2"/>
  <c r="AO481" i="2"/>
  <c r="AO480" i="2"/>
  <c r="AO479" i="2"/>
  <c r="AO506" i="2"/>
  <c r="AO507" i="2"/>
  <c r="AO508" i="2"/>
  <c r="AO509" i="2"/>
  <c r="AO510" i="2"/>
  <c r="AO511" i="2"/>
  <c r="AO505" i="2"/>
  <c r="AO531" i="2"/>
  <c r="AO548" i="2"/>
  <c r="AO547" i="2"/>
  <c r="AO571" i="2"/>
  <c r="AO570" i="2"/>
  <c r="AO589" i="2"/>
  <c r="AO588" i="2"/>
  <c r="AO606" i="2"/>
  <c r="AO623" i="2"/>
  <c r="AO622" i="2"/>
  <c r="AO640" i="2"/>
  <c r="AO656" i="2"/>
  <c r="AO672" i="2"/>
  <c r="AO688" i="2"/>
  <c r="AO705" i="2"/>
  <c r="AO706" i="2"/>
  <c r="AO704" i="2"/>
  <c r="AO724" i="2"/>
  <c r="AO758" i="2"/>
  <c r="AO759" i="2"/>
  <c r="AO776" i="2"/>
  <c r="AO793" i="2"/>
  <c r="AO794" i="2"/>
  <c r="AO792" i="2"/>
  <c r="I81" i="2"/>
  <c r="BB332" i="5" l="1"/>
  <c r="AA103" i="15" s="1"/>
  <c r="AE103" i="15"/>
  <c r="AC103" i="15" s="1"/>
  <c r="AO103" i="15"/>
  <c r="BR108" i="2"/>
  <c r="BN108" i="2"/>
  <c r="BJ108" i="2"/>
  <c r="BO108" i="2"/>
  <c r="BK108" i="2"/>
  <c r="BQ108" i="2"/>
  <c r="BI108" i="2"/>
  <c r="BP108" i="2"/>
  <c r="BL108" i="2"/>
  <c r="BH108" i="2"/>
  <c r="AB489" i="9"/>
  <c r="AA489" i="9"/>
  <c r="Z489" i="9"/>
  <c r="Y489" i="9"/>
  <c r="X489" i="9"/>
  <c r="W489" i="9"/>
  <c r="F466" i="9"/>
  <c r="F467" i="9"/>
  <c r="F468" i="9"/>
  <c r="F469" i="9"/>
  <c r="F470" i="9"/>
  <c r="F471" i="9"/>
  <c r="F472" i="9"/>
  <c r="F465" i="9"/>
  <c r="G489" i="9"/>
  <c r="F473" i="9" s="1"/>
  <c r="AB450" i="9"/>
  <c r="AB449" i="9"/>
  <c r="AA303" i="9"/>
  <c r="Z303" i="9"/>
  <c r="AA301" i="9"/>
  <c r="Z301" i="9"/>
  <c r="K194" i="9"/>
  <c r="K193" i="9"/>
  <c r="J194" i="9"/>
  <c r="J193" i="9"/>
  <c r="I194" i="9"/>
  <c r="I193" i="9"/>
  <c r="Z161" i="9"/>
  <c r="AA161" i="9"/>
  <c r="AA156" i="9"/>
  <c r="Z156" i="9"/>
  <c r="AA155" i="9"/>
  <c r="Z155" i="9"/>
  <c r="AA154" i="9"/>
  <c r="Z154" i="9"/>
  <c r="AA153" i="9"/>
  <c r="Z153" i="9"/>
  <c r="AA152" i="9"/>
  <c r="Z152" i="9"/>
  <c r="AA151" i="9"/>
  <c r="Z151" i="9"/>
  <c r="AA150" i="9"/>
  <c r="Z150" i="9"/>
  <c r="AA149" i="9"/>
  <c r="Z149" i="9"/>
  <c r="AA148" i="9"/>
  <c r="Z148" i="9"/>
  <c r="AA147" i="9"/>
  <c r="Z147" i="9"/>
  <c r="AA122" i="9"/>
  <c r="Z122" i="9"/>
  <c r="AA121" i="9"/>
  <c r="Z121" i="9"/>
  <c r="AA120" i="9"/>
  <c r="Z120" i="9"/>
  <c r="AA119" i="9"/>
  <c r="Z119" i="9"/>
  <c r="AA118" i="9"/>
  <c r="Z118" i="9"/>
  <c r="AA117" i="9"/>
  <c r="Z117" i="9"/>
  <c r="AA116" i="9"/>
  <c r="Z116" i="9"/>
  <c r="AA115" i="9"/>
  <c r="Z115" i="9"/>
  <c r="AA114" i="9"/>
  <c r="Z114" i="9"/>
  <c r="AA113" i="9"/>
  <c r="Z113" i="9"/>
  <c r="AA28" i="9"/>
  <c r="Z28" i="9"/>
  <c r="AA27" i="9"/>
  <c r="Z27" i="9"/>
  <c r="AA26" i="9"/>
  <c r="Z26" i="9"/>
  <c r="AA25" i="9"/>
  <c r="Z25" i="9"/>
  <c r="AB1382" i="7"/>
  <c r="AB1378" i="7"/>
  <c r="AB1376" i="7"/>
  <c r="AB1375" i="7"/>
  <c r="AB1374" i="7"/>
  <c r="AB1373" i="7"/>
  <c r="AB1371" i="7"/>
  <c r="AB1370" i="7"/>
  <c r="AB1369" i="7"/>
  <c r="AB1368" i="7"/>
  <c r="G1382" i="7"/>
  <c r="G1378" i="7"/>
  <c r="G1376" i="7"/>
  <c r="G1375" i="7"/>
  <c r="G1374" i="7"/>
  <c r="G1373" i="7"/>
  <c r="G1371" i="7"/>
  <c r="G1370" i="7"/>
  <c r="G1369" i="7"/>
  <c r="G1368" i="7"/>
  <c r="F1350" i="7" s="1"/>
  <c r="I459" i="15" s="1"/>
  <c r="AN459" i="15" s="1"/>
  <c r="AG1366" i="7"/>
  <c r="AF1366" i="7"/>
  <c r="AE1366" i="7"/>
  <c r="AD1366" i="7"/>
  <c r="AC1366" i="7"/>
  <c r="AB1366" i="7"/>
  <c r="AA1366" i="7"/>
  <c r="Z1366" i="7"/>
  <c r="Y1366" i="7"/>
  <c r="X1366" i="7"/>
  <c r="K1359" i="7"/>
  <c r="J1359" i="7"/>
  <c r="K1358" i="7"/>
  <c r="J1358" i="7"/>
  <c r="K1357" i="7"/>
  <c r="J1357" i="7"/>
  <c r="K1356" i="7"/>
  <c r="J1356" i="7"/>
  <c r="K1355" i="7"/>
  <c r="J1355" i="7"/>
  <c r="K1354" i="7"/>
  <c r="J1354" i="7"/>
  <c r="K1353" i="7"/>
  <c r="J1353" i="7"/>
  <c r="F1353" i="7"/>
  <c r="I462" i="15" s="1"/>
  <c r="AN462" i="15" s="1"/>
  <c r="K1352" i="7"/>
  <c r="J1352" i="7"/>
  <c r="K1351" i="7"/>
  <c r="J1351" i="7"/>
  <c r="K1350" i="7"/>
  <c r="J1350" i="7"/>
  <c r="K1349" i="7"/>
  <c r="J1349" i="7"/>
  <c r="K1348" i="7"/>
  <c r="J1348" i="7"/>
  <c r="AG1347" i="7"/>
  <c r="AF1347" i="7"/>
  <c r="AE1347" i="7"/>
  <c r="AD1347" i="7"/>
  <c r="AC1347" i="7"/>
  <c r="AB1347" i="7"/>
  <c r="AA1347" i="7"/>
  <c r="Z1347" i="7"/>
  <c r="Y1347" i="7"/>
  <c r="X1347" i="7"/>
  <c r="A1346" i="7"/>
  <c r="V1345" i="7"/>
  <c r="A1345" i="7"/>
  <c r="V1219" i="7"/>
  <c r="V1220" i="7"/>
  <c r="V1221" i="7"/>
  <c r="V1222" i="7"/>
  <c r="V1223" i="7"/>
  <c r="V1224" i="7"/>
  <c r="V1225" i="7"/>
  <c r="V1226" i="7"/>
  <c r="V1228" i="7"/>
  <c r="F1223" i="7"/>
  <c r="BD1223" i="7" s="1"/>
  <c r="BB1223" i="7" s="1"/>
  <c r="F1222" i="7"/>
  <c r="F1221" i="7"/>
  <c r="BD1221" i="7" s="1"/>
  <c r="BB1221" i="7" s="1"/>
  <c r="F1220" i="7"/>
  <c r="BD1220" i="7" s="1"/>
  <c r="BB1220" i="7" s="1"/>
  <c r="F1219" i="7"/>
  <c r="F1218" i="7"/>
  <c r="G1241" i="7"/>
  <c r="F1226" i="7" s="1"/>
  <c r="BD1226" i="7" s="1"/>
  <c r="BB1226" i="7" s="1"/>
  <c r="G1240" i="7"/>
  <c r="F1225" i="7" s="1"/>
  <c r="W1234" i="7"/>
  <c r="X1234" i="7"/>
  <c r="Y1234" i="7"/>
  <c r="Z1234" i="7"/>
  <c r="AA1234" i="7"/>
  <c r="AB1234" i="7"/>
  <c r="AC1234" i="7"/>
  <c r="AD1234" i="7"/>
  <c r="AE1234" i="7"/>
  <c r="AF1234" i="7"/>
  <c r="AG1234" i="7"/>
  <c r="H1219" i="7"/>
  <c r="H1220" i="7"/>
  <c r="H1221" i="7"/>
  <c r="H1222" i="7"/>
  <c r="H1223" i="7"/>
  <c r="H1224" i="7"/>
  <c r="H1225" i="7"/>
  <c r="H1226" i="7"/>
  <c r="H1227" i="7"/>
  <c r="H1228" i="7"/>
  <c r="AA1211" i="7"/>
  <c r="AB1212" i="7"/>
  <c r="AB1211" i="7"/>
  <c r="AB1210" i="7"/>
  <c r="AB1209" i="7"/>
  <c r="AB1208" i="7"/>
  <c r="AB1206" i="7"/>
  <c r="AB1205" i="7"/>
  <c r="AB1204" i="7"/>
  <c r="AB1203" i="7"/>
  <c r="AB1202" i="7"/>
  <c r="AM1211" i="7"/>
  <c r="AN1212" i="7"/>
  <c r="AN1211" i="7"/>
  <c r="AN1210" i="7"/>
  <c r="AN1206" i="7"/>
  <c r="AN1205" i="7"/>
  <c r="AN1201" i="7"/>
  <c r="AN1199" i="7"/>
  <c r="Q1111" i="7"/>
  <c r="P1111" i="7"/>
  <c r="O1111" i="7"/>
  <c r="O1098" i="7"/>
  <c r="Q1098" i="7"/>
  <c r="P1098" i="7"/>
  <c r="AB1011" i="7"/>
  <c r="AB1009" i="7"/>
  <c r="V800" i="7"/>
  <c r="V799" i="7"/>
  <c r="I771" i="7"/>
  <c r="F771" i="7" s="1"/>
  <c r="I371" i="15" s="1"/>
  <c r="AN371" i="15" s="1"/>
  <c r="I770" i="7"/>
  <c r="F770" i="7" s="1"/>
  <c r="I370" i="15" s="1"/>
  <c r="AN370" i="15" s="1"/>
  <c r="I769" i="7"/>
  <c r="I768" i="7"/>
  <c r="BE771" i="7"/>
  <c r="BC771" i="7"/>
  <c r="BE770" i="7"/>
  <c r="BC770" i="7"/>
  <c r="BE768" i="7"/>
  <c r="BC768" i="7"/>
  <c r="AG780" i="7"/>
  <c r="AF780" i="7"/>
  <c r="AE780" i="7"/>
  <c r="AD780" i="7"/>
  <c r="AC780" i="7"/>
  <c r="AB780" i="7"/>
  <c r="AA780" i="7"/>
  <c r="Z780" i="7"/>
  <c r="Y780" i="7"/>
  <c r="X780" i="7"/>
  <c r="W780" i="7"/>
  <c r="V768" i="7"/>
  <c r="V769" i="7" s="1"/>
  <c r="V770" i="7" s="1"/>
  <c r="V771" i="7" s="1"/>
  <c r="BE767" i="7"/>
  <c r="BD767" i="7"/>
  <c r="BC767" i="7"/>
  <c r="BB767" i="7"/>
  <c r="AG767" i="7"/>
  <c r="AF767" i="7"/>
  <c r="AE767" i="7"/>
  <c r="AD767" i="7"/>
  <c r="AC767" i="7"/>
  <c r="AB767" i="7"/>
  <c r="AA767" i="7"/>
  <c r="Z767" i="7"/>
  <c r="Y767" i="7"/>
  <c r="X767" i="7"/>
  <c r="W767" i="7"/>
  <c r="V765" i="7"/>
  <c r="L731" i="7"/>
  <c r="AB365" i="15" s="1"/>
  <c r="K731" i="7"/>
  <c r="X365" i="15" s="1"/>
  <c r="Z365" i="15" s="1"/>
  <c r="I731" i="7"/>
  <c r="I732" i="7"/>
  <c r="I733" i="7"/>
  <c r="I730" i="7"/>
  <c r="F731" i="7" s="1"/>
  <c r="I365" i="15" s="1"/>
  <c r="AN365" i="15" s="1"/>
  <c r="AB660" i="7"/>
  <c r="AB659" i="7"/>
  <c r="AB657" i="7"/>
  <c r="AB656" i="7"/>
  <c r="L600" i="7"/>
  <c r="L599" i="7"/>
  <c r="L598" i="7"/>
  <c r="L594" i="7"/>
  <c r="L593" i="7"/>
  <c r="L592" i="7"/>
  <c r="K597" i="7"/>
  <c r="K596" i="7"/>
  <c r="K595" i="7"/>
  <c r="K591" i="7"/>
  <c r="K590" i="7"/>
  <c r="K589" i="7"/>
  <c r="J600" i="7"/>
  <c r="J599" i="7"/>
  <c r="J598" i="7"/>
  <c r="J597" i="7"/>
  <c r="J596" i="7"/>
  <c r="J595" i="7"/>
  <c r="J594" i="7"/>
  <c r="J593" i="7"/>
  <c r="J592" i="7"/>
  <c r="J591" i="7"/>
  <c r="J590" i="7"/>
  <c r="J589" i="7"/>
  <c r="I600" i="7"/>
  <c r="I599" i="7"/>
  <c r="I598" i="7"/>
  <c r="I597" i="7"/>
  <c r="I596" i="7"/>
  <c r="I595" i="7"/>
  <c r="I594" i="7"/>
  <c r="I593" i="7"/>
  <c r="I592" i="7"/>
  <c r="I591" i="7"/>
  <c r="I590" i="7"/>
  <c r="I589" i="7"/>
  <c r="V552" i="7"/>
  <c r="V553" i="7"/>
  <c r="L552" i="7"/>
  <c r="L553" i="7"/>
  <c r="J553" i="7"/>
  <c r="I553" i="7"/>
  <c r="J552" i="7"/>
  <c r="I552" i="7"/>
  <c r="H552" i="7"/>
  <c r="H553" i="7"/>
  <c r="AB544" i="7"/>
  <c r="AB527" i="7"/>
  <c r="AB526" i="7"/>
  <c r="AA1011" i="7"/>
  <c r="Z1011" i="7"/>
  <c r="AA1009" i="7"/>
  <c r="Z1009" i="7"/>
  <c r="AA660" i="7"/>
  <c r="Z660" i="7"/>
  <c r="AA659" i="7"/>
  <c r="Z659" i="7"/>
  <c r="AA657" i="7"/>
  <c r="Z657" i="7"/>
  <c r="AA656" i="7"/>
  <c r="Z656" i="7"/>
  <c r="AA544" i="7"/>
  <c r="Z544" i="7"/>
  <c r="AA527" i="7"/>
  <c r="Z527" i="7"/>
  <c r="AA526" i="7"/>
  <c r="Z526" i="7"/>
  <c r="Z67" i="7"/>
  <c r="V59" i="7"/>
  <c r="V58" i="7"/>
  <c r="V57" i="7"/>
  <c r="V56" i="7"/>
  <c r="V55" i="7"/>
  <c r="V54" i="7"/>
  <c r="V53" i="7"/>
  <c r="AB36" i="7"/>
  <c r="AA36" i="7"/>
  <c r="Z36" i="7"/>
  <c r="AB35" i="7"/>
  <c r="AA35" i="7"/>
  <c r="Z35" i="7"/>
  <c r="AB34" i="7"/>
  <c r="AA34" i="7"/>
  <c r="Z34" i="7"/>
  <c r="AB33" i="7"/>
  <c r="AA33" i="7"/>
  <c r="Z33" i="7"/>
  <c r="F1357" i="7" l="1"/>
  <c r="I466" i="15" s="1"/>
  <c r="AN466" i="15" s="1"/>
  <c r="F1351" i="7"/>
  <c r="I460" i="15" s="1"/>
  <c r="AN460" i="15" s="1"/>
  <c r="X341" i="15"/>
  <c r="Z341" i="15" s="1"/>
  <c r="BC552" i="7"/>
  <c r="I369" i="15"/>
  <c r="AN369" i="15" s="1"/>
  <c r="BD769" i="7"/>
  <c r="AB402" i="15"/>
  <c r="BE1098" i="7"/>
  <c r="BB1098" i="7" s="1"/>
  <c r="AA402" i="15" s="1"/>
  <c r="BE1111" i="7"/>
  <c r="BB1111" i="7" s="1"/>
  <c r="AA415" i="15" s="1"/>
  <c r="AB415" i="15"/>
  <c r="I424" i="15"/>
  <c r="AN424" i="15" s="1"/>
  <c r="BD1222" i="7"/>
  <c r="BE1348" i="7"/>
  <c r="AB457" i="15"/>
  <c r="BE1350" i="7"/>
  <c r="AB459" i="15"/>
  <c r="BE1352" i="7"/>
  <c r="AB461" i="15"/>
  <c r="BC1354" i="7"/>
  <c r="X463" i="15"/>
  <c r="Z463" i="15" s="1"/>
  <c r="BC1356" i="7"/>
  <c r="X465" i="15"/>
  <c r="Z465" i="15" s="1"/>
  <c r="BC1358" i="7"/>
  <c r="X467" i="15"/>
  <c r="Z467" i="15" s="1"/>
  <c r="BD771" i="7"/>
  <c r="AE371" i="15" s="1"/>
  <c r="AC371" i="15" s="1"/>
  <c r="I421" i="15"/>
  <c r="AN421" i="15" s="1"/>
  <c r="BD1219" i="7"/>
  <c r="X458" i="15"/>
  <c r="Z458" i="15" s="1"/>
  <c r="BC1349" i="7"/>
  <c r="X460" i="15"/>
  <c r="Z460" i="15" s="1"/>
  <c r="BC1351" i="7"/>
  <c r="BD1351" i="7" s="1"/>
  <c r="BE1354" i="7"/>
  <c r="AB463" i="15"/>
  <c r="BE1356" i="7"/>
  <c r="AB465" i="15"/>
  <c r="BE1358" i="7"/>
  <c r="AB467" i="15"/>
  <c r="I427" i="15"/>
  <c r="AN427" i="15" s="1"/>
  <c r="BD1225" i="7"/>
  <c r="AB458" i="15"/>
  <c r="BE1349" i="7"/>
  <c r="AB460" i="15"/>
  <c r="BE1351" i="7"/>
  <c r="X462" i="15"/>
  <c r="Z462" i="15" s="1"/>
  <c r="BC1353" i="7"/>
  <c r="BD1353" i="7" s="1"/>
  <c r="X464" i="15"/>
  <c r="Z464" i="15" s="1"/>
  <c r="BC1355" i="7"/>
  <c r="X466" i="15"/>
  <c r="Z466" i="15" s="1"/>
  <c r="BC1357" i="7"/>
  <c r="BD1357" i="7" s="1"/>
  <c r="BC1359" i="7"/>
  <c r="X468" i="15"/>
  <c r="Z468" i="15" s="1"/>
  <c r="X342" i="15"/>
  <c r="Z342" i="15" s="1"/>
  <c r="BC553" i="7"/>
  <c r="BC1348" i="7"/>
  <c r="X457" i="15"/>
  <c r="Z457" i="15" s="1"/>
  <c r="BC1350" i="7"/>
  <c r="BD1350" i="7" s="1"/>
  <c r="X459" i="15"/>
  <c r="Z459" i="15" s="1"/>
  <c r="BC1352" i="7"/>
  <c r="X461" i="15"/>
  <c r="Z461" i="15" s="1"/>
  <c r="AB462" i="15"/>
  <c r="BE1353" i="7"/>
  <c r="AB464" i="15"/>
  <c r="BE1355" i="7"/>
  <c r="AB466" i="15"/>
  <c r="BE1357" i="7"/>
  <c r="AB468" i="15"/>
  <c r="BE1359" i="7"/>
  <c r="AO460" i="15"/>
  <c r="F1352" i="7"/>
  <c r="I1351" i="7"/>
  <c r="O460" i="15" s="1"/>
  <c r="W460" i="15" s="1"/>
  <c r="F1354" i="7"/>
  <c r="J771" i="7"/>
  <c r="O371" i="15" s="1"/>
  <c r="V371" i="15" s="1"/>
  <c r="F1224" i="7"/>
  <c r="BD1224" i="7" s="1"/>
  <c r="BB1224" i="7" s="1"/>
  <c r="F1348" i="7"/>
  <c r="F1349" i="7"/>
  <c r="I1350" i="7"/>
  <c r="O459" i="15" s="1"/>
  <c r="W459" i="15" s="1"/>
  <c r="F1358" i="7"/>
  <c r="F1356" i="7"/>
  <c r="I465" i="15" s="1"/>
  <c r="AN465" i="15" s="1"/>
  <c r="I1353" i="7"/>
  <c r="O462" i="15" s="1"/>
  <c r="W462" i="15" s="1"/>
  <c r="F1355" i="7"/>
  <c r="I464" i="15" s="1"/>
  <c r="AN464" i="15" s="1"/>
  <c r="I1357" i="7"/>
  <c r="O466" i="15" s="1"/>
  <c r="W466" i="15" s="1"/>
  <c r="F1359" i="7"/>
  <c r="I468" i="15" s="1"/>
  <c r="AN468" i="15" s="1"/>
  <c r="I1225" i="7"/>
  <c r="O427" i="15" s="1"/>
  <c r="V427" i="15" s="1"/>
  <c r="I1222" i="7"/>
  <c r="O424" i="15" s="1"/>
  <c r="V424" i="15" s="1"/>
  <c r="F553" i="7"/>
  <c r="I1219" i="7"/>
  <c r="O421" i="15" s="1"/>
  <c r="V421" i="15" s="1"/>
  <c r="J770" i="7"/>
  <c r="O370" i="15" s="1"/>
  <c r="V370" i="15" s="1"/>
  <c r="J769" i="7"/>
  <c r="O369" i="15" s="1"/>
  <c r="V369" i="15" s="1"/>
  <c r="BD770" i="7"/>
  <c r="J731" i="7"/>
  <c r="O365" i="15" s="1"/>
  <c r="V365" i="15" s="1"/>
  <c r="F552" i="7"/>
  <c r="BB771" i="7" l="1"/>
  <c r="AA371" i="15" s="1"/>
  <c r="BD553" i="7"/>
  <c r="AE342" i="15" s="1"/>
  <c r="AC342" i="15" s="1"/>
  <c r="BD1359" i="7"/>
  <c r="AO427" i="15"/>
  <c r="BD1349" i="7"/>
  <c r="BD1356" i="7"/>
  <c r="AO369" i="15"/>
  <c r="I1349" i="7"/>
  <c r="O458" i="15" s="1"/>
  <c r="W458" i="15" s="1"/>
  <c r="I458" i="15"/>
  <c r="AN458" i="15" s="1"/>
  <c r="I1354" i="7"/>
  <c r="O463" i="15" s="1"/>
  <c r="W463" i="15" s="1"/>
  <c r="I463" i="15"/>
  <c r="AN463" i="15" s="1"/>
  <c r="BB1357" i="7"/>
  <c r="AA466" i="15" s="1"/>
  <c r="AE466" i="15"/>
  <c r="AC466" i="15" s="1"/>
  <c r="AE462" i="15"/>
  <c r="AC462" i="15" s="1"/>
  <c r="BB1353" i="7"/>
  <c r="AA462" i="15" s="1"/>
  <c r="AO370" i="15"/>
  <c r="AO462" i="15"/>
  <c r="BB1222" i="7"/>
  <c r="AA424" i="15" s="1"/>
  <c r="AE424" i="15"/>
  <c r="AC424" i="15" s="1"/>
  <c r="BD552" i="7"/>
  <c r="K552" i="7"/>
  <c r="O341" i="15" s="1"/>
  <c r="W341" i="15" s="1"/>
  <c r="I341" i="15"/>
  <c r="AN341" i="15" s="1"/>
  <c r="AE459" i="15"/>
  <c r="AC459" i="15" s="1"/>
  <c r="BB1350" i="7"/>
  <c r="AA459" i="15" s="1"/>
  <c r="J768" i="7"/>
  <c r="O368" i="15" s="1"/>
  <c r="V368" i="15" s="1"/>
  <c r="I368" i="15"/>
  <c r="AN368" i="15" s="1"/>
  <c r="K553" i="7"/>
  <c r="O342" i="15" s="1"/>
  <c r="W342" i="15" s="1"/>
  <c r="I342" i="15"/>
  <c r="AN342" i="15" s="1"/>
  <c r="I1348" i="7"/>
  <c r="O457" i="15" s="1"/>
  <c r="W457" i="15" s="1"/>
  <c r="I457" i="15"/>
  <c r="AN457" i="15" s="1"/>
  <c r="BD1352" i="7"/>
  <c r="BD1348" i="7"/>
  <c r="AO459" i="15"/>
  <c r="AO466" i="15"/>
  <c r="BB1351" i="7"/>
  <c r="AA460" i="15" s="1"/>
  <c r="AE460" i="15"/>
  <c r="AC460" i="15" s="1"/>
  <c r="BB1219" i="7"/>
  <c r="AA421" i="15" s="1"/>
  <c r="AE421" i="15"/>
  <c r="AC421" i="15" s="1"/>
  <c r="BD1358" i="7"/>
  <c r="BD1354" i="7"/>
  <c r="AO424" i="15"/>
  <c r="I1358" i="7"/>
  <c r="O467" i="15" s="1"/>
  <c r="W467" i="15" s="1"/>
  <c r="I467" i="15"/>
  <c r="AN467" i="15" s="1"/>
  <c r="I1352" i="7"/>
  <c r="O461" i="15" s="1"/>
  <c r="W461" i="15" s="1"/>
  <c r="I461" i="15"/>
  <c r="AN461" i="15" s="1"/>
  <c r="AO365" i="15"/>
  <c r="BD1355" i="7"/>
  <c r="BB1225" i="7"/>
  <c r="AA427" i="15" s="1"/>
  <c r="AE427" i="15"/>
  <c r="AC427" i="15" s="1"/>
  <c r="AO421" i="15"/>
  <c r="BB769" i="7"/>
  <c r="AA369" i="15" s="1"/>
  <c r="AE369" i="15"/>
  <c r="AC369" i="15" s="1"/>
  <c r="AO371" i="15"/>
  <c r="BB770" i="7"/>
  <c r="AA370" i="15" s="1"/>
  <c r="AE370" i="15"/>
  <c r="AC370" i="15" s="1"/>
  <c r="BD768" i="7"/>
  <c r="I1355" i="7"/>
  <c r="O464" i="15" s="1"/>
  <c r="W464" i="15" s="1"/>
  <c r="I1359" i="7"/>
  <c r="O468" i="15" s="1"/>
  <c r="W468" i="15" s="1"/>
  <c r="I1356" i="7"/>
  <c r="O465" i="15" s="1"/>
  <c r="W465" i="15" s="1"/>
  <c r="AO467" i="15" l="1"/>
  <c r="AO463" i="15"/>
  <c r="AO368" i="15"/>
  <c r="AO341" i="15"/>
  <c r="AO461" i="15"/>
  <c r="AO458" i="15"/>
  <c r="AE341" i="15"/>
  <c r="AC341" i="15" s="1"/>
  <c r="AE463" i="15"/>
  <c r="AC463" i="15" s="1"/>
  <c r="BB1354" i="7"/>
  <c r="AA463" i="15" s="1"/>
  <c r="AE457" i="15"/>
  <c r="AC457" i="15" s="1"/>
  <c r="BB1348" i="7"/>
  <c r="AA457" i="15" s="1"/>
  <c r="AO465" i="15"/>
  <c r="AO464" i="15"/>
  <c r="BB1359" i="7"/>
  <c r="AA468" i="15" s="1"/>
  <c r="AE468" i="15"/>
  <c r="AC468" i="15" s="1"/>
  <c r="AE467" i="15"/>
  <c r="AC467" i="15" s="1"/>
  <c r="BB1358" i="7"/>
  <c r="AA467" i="15" s="1"/>
  <c r="BB1352" i="7"/>
  <c r="AA461" i="15" s="1"/>
  <c r="AE461" i="15"/>
  <c r="AC461" i="15" s="1"/>
  <c r="AO468" i="15"/>
  <c r="AE465" i="15"/>
  <c r="AC465" i="15" s="1"/>
  <c r="BB1356" i="7"/>
  <c r="AA465" i="15" s="1"/>
  <c r="AE464" i="15"/>
  <c r="AC464" i="15" s="1"/>
  <c r="BB1355" i="7"/>
  <c r="AA464" i="15" s="1"/>
  <c r="AO457" i="15"/>
  <c r="AO342" i="15"/>
  <c r="AE458" i="15"/>
  <c r="AC458" i="15" s="1"/>
  <c r="BB1349" i="7"/>
  <c r="AA458" i="15" s="1"/>
  <c r="BB768" i="7"/>
  <c r="AA368" i="15" s="1"/>
  <c r="AE368" i="15"/>
  <c r="AC368" i="15" s="1"/>
  <c r="F1659" i="6"/>
  <c r="F1658" i="6"/>
  <c r="F1655" i="6"/>
  <c r="F1654" i="6"/>
  <c r="F1651" i="6"/>
  <c r="F1650" i="6"/>
  <c r="F1647" i="6"/>
  <c r="F1646" i="6"/>
  <c r="F1643" i="6"/>
  <c r="F1642" i="6"/>
  <c r="F1637" i="6"/>
  <c r="F1636" i="6"/>
  <c r="F1635" i="6"/>
  <c r="F1634" i="6"/>
  <c r="F1631" i="6"/>
  <c r="F1630" i="6"/>
  <c r="F1629" i="6"/>
  <c r="F1628" i="6"/>
  <c r="F1627" i="6"/>
  <c r="F1626" i="6"/>
  <c r="F1625" i="6"/>
  <c r="F1624" i="6"/>
  <c r="F1619" i="6"/>
  <c r="F1618" i="6"/>
  <c r="F1617" i="6"/>
  <c r="F1616" i="6"/>
  <c r="F1611" i="6"/>
  <c r="F1610" i="6"/>
  <c r="F1609" i="6"/>
  <c r="F1608" i="6"/>
  <c r="F1607" i="6"/>
  <c r="F1606" i="6"/>
  <c r="F1605" i="6"/>
  <c r="F1604" i="6"/>
  <c r="F1603" i="6"/>
  <c r="F1602" i="6"/>
  <c r="F1597" i="6"/>
  <c r="F1596" i="6"/>
  <c r="F1595" i="6"/>
  <c r="F1594" i="6"/>
  <c r="F1589" i="6"/>
  <c r="F1588" i="6"/>
  <c r="F1587" i="6"/>
  <c r="F1586" i="6"/>
  <c r="F1585" i="6"/>
  <c r="F1584" i="6"/>
  <c r="F1583" i="6"/>
  <c r="F1582" i="6"/>
  <c r="F1577" i="6"/>
  <c r="F1576" i="6"/>
  <c r="F1575" i="6"/>
  <c r="F1574" i="6"/>
  <c r="F1567" i="6"/>
  <c r="F1566" i="6"/>
  <c r="F1563" i="6"/>
  <c r="F1562" i="6"/>
  <c r="F1557" i="6"/>
  <c r="F1556" i="6"/>
  <c r="F1555" i="6"/>
  <c r="F1554" i="6"/>
  <c r="F1549" i="6"/>
  <c r="F1548" i="6"/>
  <c r="F1547" i="6"/>
  <c r="F1546" i="6"/>
  <c r="F1545" i="6"/>
  <c r="F1544" i="6"/>
  <c r="F1543" i="6"/>
  <c r="F1542" i="6"/>
  <c r="F1541" i="6"/>
  <c r="F1540" i="6"/>
  <c r="F1539" i="6"/>
  <c r="F1538" i="6"/>
  <c r="F1537" i="6"/>
  <c r="F1536" i="6"/>
  <c r="F1535" i="6"/>
  <c r="F1534" i="6"/>
  <c r="F1531" i="6"/>
  <c r="F1530" i="6"/>
  <c r="F1529" i="6"/>
  <c r="F1528" i="6"/>
  <c r="F1527" i="6"/>
  <c r="F1526" i="6"/>
  <c r="F1525" i="6"/>
  <c r="F1524" i="6"/>
  <c r="F1523" i="6"/>
  <c r="F1522" i="6"/>
  <c r="F1521" i="6"/>
  <c r="F1520" i="6"/>
  <c r="F1519" i="6"/>
  <c r="F1518" i="6"/>
  <c r="F1513" i="6"/>
  <c r="F1512" i="6"/>
  <c r="F1511" i="6"/>
  <c r="F1510" i="6"/>
  <c r="F1509" i="6"/>
  <c r="F1508" i="6"/>
  <c r="F1507" i="6"/>
  <c r="F1506" i="6"/>
  <c r="F1503" i="6"/>
  <c r="F1502" i="6"/>
  <c r="F1501" i="6"/>
  <c r="F1500" i="6"/>
  <c r="F1499" i="6"/>
  <c r="F1498" i="6"/>
  <c r="F1497" i="6"/>
  <c r="F1496" i="6"/>
  <c r="F1493" i="6"/>
  <c r="F1492" i="6"/>
  <c r="F1491" i="6"/>
  <c r="F1490" i="6"/>
  <c r="F1487" i="6"/>
  <c r="F1486" i="6"/>
  <c r="F1485" i="6"/>
  <c r="F1484" i="6"/>
  <c r="F1481" i="6"/>
  <c r="F1480" i="6"/>
  <c r="F1479" i="6"/>
  <c r="F1478" i="6"/>
  <c r="F1475" i="6"/>
  <c r="F1474" i="6"/>
  <c r="F1467" i="6"/>
  <c r="F1466" i="6"/>
  <c r="F1463" i="6"/>
  <c r="F1462" i="6"/>
  <c r="F1459" i="6"/>
  <c r="F1458" i="6"/>
  <c r="F1453" i="6"/>
  <c r="F1452" i="6"/>
  <c r="F1451" i="6"/>
  <c r="F1450" i="6"/>
  <c r="F1447" i="6"/>
  <c r="F1446" i="6"/>
  <c r="F1439" i="6"/>
  <c r="F1438" i="6"/>
  <c r="F1431" i="6"/>
  <c r="F1430" i="6"/>
  <c r="F1427" i="6"/>
  <c r="F1423" i="6"/>
  <c r="F1419" i="6"/>
  <c r="F1415" i="6"/>
  <c r="F1411" i="6"/>
  <c r="F1407" i="6"/>
  <c r="AB1681" i="6"/>
  <c r="K2659" i="6"/>
  <c r="K2660" i="6" s="1"/>
  <c r="K2661" i="6" s="1"/>
  <c r="K2657" i="6"/>
  <c r="K2619" i="6"/>
  <c r="K2609" i="6"/>
  <c r="K2610" i="6" s="1"/>
  <c r="K2611" i="6" s="1"/>
  <c r="K2607" i="6"/>
  <c r="K2591" i="6"/>
  <c r="K2587" i="6"/>
  <c r="K2585" i="6"/>
  <c r="K2581" i="6"/>
  <c r="K2579" i="6"/>
  <c r="L2321" i="6"/>
  <c r="L2320" i="6"/>
  <c r="L2319" i="6"/>
  <c r="L2318" i="6"/>
  <c r="L2317" i="6"/>
  <c r="L2316" i="6"/>
  <c r="L2315" i="6"/>
  <c r="L2314" i="6"/>
  <c r="L2313" i="6"/>
  <c r="L2312" i="6"/>
  <c r="L2311" i="6"/>
  <c r="L2310" i="6"/>
  <c r="L2309" i="6"/>
  <c r="L2308" i="6"/>
  <c r="L2307" i="6"/>
  <c r="L2306" i="6"/>
  <c r="L2305" i="6"/>
  <c r="L2304" i="6"/>
  <c r="L2303" i="6"/>
  <c r="L2302" i="6"/>
  <c r="L2301" i="6"/>
  <c r="L2300" i="6"/>
  <c r="L2299" i="6"/>
  <c r="L2298" i="6"/>
  <c r="L2297" i="6"/>
  <c r="L2296" i="6"/>
  <c r="L2295" i="6"/>
  <c r="L2294" i="6"/>
  <c r="L2293" i="6"/>
  <c r="L2292" i="6"/>
  <c r="L2291" i="6"/>
  <c r="L2290" i="6"/>
  <c r="L2289" i="6"/>
  <c r="L2288" i="6"/>
  <c r="L2287" i="6"/>
  <c r="L2286" i="6"/>
  <c r="L2285" i="6"/>
  <c r="L2284" i="6"/>
  <c r="L2283" i="6"/>
  <c r="L2282" i="6"/>
  <c r="L2281" i="6"/>
  <c r="L2280" i="6"/>
  <c r="L2279" i="6"/>
  <c r="L2278" i="6"/>
  <c r="K2275" i="6"/>
  <c r="L2275" i="6" s="1"/>
  <c r="L2274" i="6"/>
  <c r="K2273" i="6"/>
  <c r="L2272" i="6"/>
  <c r="L2271" i="6"/>
  <c r="L2270" i="6"/>
  <c r="L2269" i="6"/>
  <c r="L2268" i="6"/>
  <c r="L2267" i="6"/>
  <c r="L2266" i="6"/>
  <c r="L2265" i="6"/>
  <c r="L2264" i="6"/>
  <c r="L2263" i="6"/>
  <c r="L2262" i="6"/>
  <c r="L2261" i="6"/>
  <c r="L2260" i="6"/>
  <c r="L2259" i="6"/>
  <c r="L2258" i="6"/>
  <c r="K2257" i="6"/>
  <c r="L2257" i="6" s="1"/>
  <c r="L2256" i="6"/>
  <c r="L2255" i="6"/>
  <c r="L2254" i="6"/>
  <c r="L2253" i="6"/>
  <c r="L2252" i="6"/>
  <c r="L2251" i="6"/>
  <c r="L2250" i="6"/>
  <c r="L2249" i="6"/>
  <c r="L2248" i="6"/>
  <c r="L2247" i="6"/>
  <c r="L2246" i="6"/>
  <c r="L2245" i="6"/>
  <c r="L2244" i="6"/>
  <c r="L2243" i="6"/>
  <c r="L2242" i="6"/>
  <c r="L2241" i="6"/>
  <c r="L2240" i="6"/>
  <c r="L2239" i="6"/>
  <c r="L2238" i="6"/>
  <c r="L2237" i="6"/>
  <c r="L2236" i="6"/>
  <c r="K2235" i="6"/>
  <c r="L2235" i="6" s="1"/>
  <c r="L2234" i="6"/>
  <c r="L2233" i="6"/>
  <c r="L2232" i="6"/>
  <c r="L2231" i="6"/>
  <c r="L2230" i="6"/>
  <c r="L2229" i="6"/>
  <c r="L2228" i="6"/>
  <c r="K2225" i="6"/>
  <c r="L2225" i="6" s="1"/>
  <c r="L2224" i="6"/>
  <c r="K2223" i="6"/>
  <c r="L2223" i="6" s="1"/>
  <c r="L2222" i="6"/>
  <c r="L2221" i="6"/>
  <c r="L2220" i="6"/>
  <c r="L2219" i="6"/>
  <c r="L2218" i="6"/>
  <c r="L2217" i="6"/>
  <c r="L2216" i="6"/>
  <c r="L2215" i="6"/>
  <c r="L2214" i="6"/>
  <c r="K2211" i="6"/>
  <c r="K2212" i="6" s="1"/>
  <c r="L2210" i="6"/>
  <c r="L2209" i="6"/>
  <c r="L2208" i="6"/>
  <c r="L2207" i="6"/>
  <c r="L2206" i="6"/>
  <c r="K2204" i="6"/>
  <c r="K2202" i="6"/>
  <c r="K2200" i="6"/>
  <c r="K2198" i="6"/>
  <c r="K2196" i="6"/>
  <c r="K2194" i="6"/>
  <c r="K2148" i="6"/>
  <c r="K2147" i="6"/>
  <c r="K2149" i="6" s="1"/>
  <c r="K2145" i="6"/>
  <c r="K2129" i="6"/>
  <c r="K2107" i="6"/>
  <c r="K2095" i="6"/>
  <c r="K2084" i="6"/>
  <c r="K2083" i="6"/>
  <c r="K2085" i="6" s="1"/>
  <c r="K2079" i="6"/>
  <c r="K2075" i="6"/>
  <c r="K2073" i="6"/>
  <c r="K2069" i="6"/>
  <c r="K2067" i="6"/>
  <c r="K1809" i="6"/>
  <c r="L1809" i="6" s="1"/>
  <c r="L1808" i="6"/>
  <c r="K1807" i="6"/>
  <c r="L1806" i="6"/>
  <c r="K1805" i="6"/>
  <c r="L1804" i="6"/>
  <c r="K1803" i="6"/>
  <c r="F1649" i="6" s="1"/>
  <c r="L1802" i="6"/>
  <c r="K1801" i="6"/>
  <c r="L1801" i="6" s="1"/>
  <c r="L1800" i="6"/>
  <c r="K1799" i="6"/>
  <c r="K1798" i="6"/>
  <c r="L1798" i="6" s="1"/>
  <c r="L1797" i="6"/>
  <c r="L1796" i="6"/>
  <c r="K1795" i="6"/>
  <c r="L1794" i="6"/>
  <c r="L1793" i="6"/>
  <c r="L1792" i="6"/>
  <c r="L1791" i="6"/>
  <c r="K1790" i="6"/>
  <c r="K1789" i="6"/>
  <c r="L1788" i="6"/>
  <c r="L1787" i="6"/>
  <c r="K1786" i="6"/>
  <c r="L1786" i="6" s="1"/>
  <c r="K1785" i="6"/>
  <c r="L1784" i="6"/>
  <c r="L1783" i="6"/>
  <c r="L1782" i="6"/>
  <c r="L1781" i="6"/>
  <c r="L1780" i="6"/>
  <c r="K1779" i="6"/>
  <c r="L1779" i="6" s="1"/>
  <c r="K1778" i="6"/>
  <c r="L1778" i="6" s="1"/>
  <c r="L1777" i="6"/>
  <c r="L1776" i="6"/>
  <c r="K1775" i="6"/>
  <c r="L1775" i="6" s="1"/>
  <c r="K1774" i="6"/>
  <c r="L1774" i="6" s="1"/>
  <c r="L1773" i="6"/>
  <c r="L1772" i="6"/>
  <c r="L1771" i="6"/>
  <c r="L1770" i="6"/>
  <c r="K1769" i="6"/>
  <c r="K1768" i="6"/>
  <c r="L1768" i="6" s="1"/>
  <c r="L1767" i="6"/>
  <c r="L1766" i="6"/>
  <c r="K1764" i="6"/>
  <c r="K1763" i="6"/>
  <c r="L1763" i="6" s="1"/>
  <c r="L1762" i="6"/>
  <c r="K1761" i="6"/>
  <c r="L1760" i="6"/>
  <c r="K1759" i="6"/>
  <c r="L1759" i="6" s="1"/>
  <c r="K1758" i="6"/>
  <c r="L1758" i="6" s="1"/>
  <c r="L1757" i="6"/>
  <c r="L1756" i="6"/>
  <c r="K1755" i="6"/>
  <c r="L1755" i="6" s="1"/>
  <c r="K1754" i="6"/>
  <c r="L1754" i="6" s="1"/>
  <c r="L1753" i="6"/>
  <c r="L1752" i="6"/>
  <c r="L1751" i="6"/>
  <c r="L1750" i="6"/>
  <c r="L1749" i="6"/>
  <c r="L1748" i="6"/>
  <c r="L1747" i="6"/>
  <c r="L1746" i="6"/>
  <c r="K1745" i="6"/>
  <c r="L1744" i="6"/>
  <c r="L1743" i="6"/>
  <c r="L1742" i="6"/>
  <c r="L1741" i="6"/>
  <c r="L1740" i="6"/>
  <c r="L1739" i="6"/>
  <c r="L1738" i="6"/>
  <c r="K1737" i="6"/>
  <c r="L1737" i="6" s="1"/>
  <c r="K1736" i="6"/>
  <c r="L1736" i="6" s="1"/>
  <c r="L1735" i="6"/>
  <c r="L1734" i="6"/>
  <c r="L1733" i="6"/>
  <c r="L1732" i="6"/>
  <c r="K1731" i="6"/>
  <c r="L1731" i="6" s="1"/>
  <c r="L1730" i="6"/>
  <c r="L1729" i="6"/>
  <c r="L1728" i="6"/>
  <c r="L1727" i="6"/>
  <c r="K1726" i="6"/>
  <c r="L1726" i="6" s="1"/>
  <c r="L1725" i="6"/>
  <c r="L1724" i="6"/>
  <c r="K1723" i="6"/>
  <c r="L1723" i="6" s="1"/>
  <c r="L1722" i="6"/>
  <c r="L1721" i="6"/>
  <c r="K1720" i="6"/>
  <c r="L1720" i="6" s="1"/>
  <c r="L1719" i="6"/>
  <c r="L1718" i="6"/>
  <c r="K1717" i="6"/>
  <c r="L1717" i="6" s="1"/>
  <c r="L1716" i="6"/>
  <c r="K1714" i="6"/>
  <c r="L1714" i="6" s="1"/>
  <c r="K1713" i="6"/>
  <c r="L1713" i="6" s="1"/>
  <c r="L1712" i="6"/>
  <c r="K1711" i="6"/>
  <c r="L1711" i="6" s="1"/>
  <c r="L1710" i="6"/>
  <c r="K1709" i="6"/>
  <c r="L1709" i="6" s="1"/>
  <c r="L1708" i="6"/>
  <c r="K1707" i="6"/>
  <c r="K1706" i="6"/>
  <c r="L1705" i="6"/>
  <c r="L1704" i="6"/>
  <c r="K1703" i="6"/>
  <c r="L1702" i="6"/>
  <c r="K1700" i="6"/>
  <c r="L1700" i="6" s="1"/>
  <c r="K1699" i="6"/>
  <c r="L1699" i="6" s="1"/>
  <c r="L1698" i="6"/>
  <c r="K1696" i="6"/>
  <c r="L1696" i="6" s="1"/>
  <c r="K1695" i="6"/>
  <c r="L1694" i="6"/>
  <c r="K1693" i="6"/>
  <c r="L1693" i="6" s="1"/>
  <c r="L1692" i="6"/>
  <c r="K1691" i="6"/>
  <c r="L1690" i="6"/>
  <c r="K1689" i="6"/>
  <c r="L1689" i="6" s="1"/>
  <c r="L1688" i="6"/>
  <c r="K1687" i="6"/>
  <c r="F1417" i="6" s="1"/>
  <c r="L1686" i="6"/>
  <c r="K1685" i="6"/>
  <c r="L1684" i="6"/>
  <c r="K1683" i="6"/>
  <c r="L1683" i="6" s="1"/>
  <c r="L1682" i="6"/>
  <c r="F1306" i="6"/>
  <c r="F1305" i="6"/>
  <c r="F1303" i="6"/>
  <c r="F1301" i="6"/>
  <c r="F1298" i="6"/>
  <c r="F1296" i="6"/>
  <c r="F1295" i="6"/>
  <c r="J1373" i="6"/>
  <c r="J1371" i="6"/>
  <c r="F1299" i="6" s="1"/>
  <c r="F1373" i="6"/>
  <c r="F1367" i="6"/>
  <c r="F1361" i="6"/>
  <c r="K1356" i="6"/>
  <c r="J1355" i="6"/>
  <c r="K1355" i="6" s="1"/>
  <c r="K1354" i="6"/>
  <c r="K1353" i="6"/>
  <c r="J1352" i="6"/>
  <c r="K1352" i="6" s="1"/>
  <c r="K1351" i="6"/>
  <c r="F1355" i="6"/>
  <c r="F1348" i="6"/>
  <c r="K1332" i="6"/>
  <c r="J1331" i="6"/>
  <c r="K1331" i="6" s="1"/>
  <c r="K1329" i="6"/>
  <c r="J1328" i="6"/>
  <c r="K1328" i="6" s="1"/>
  <c r="K1327" i="6"/>
  <c r="F1332" i="6"/>
  <c r="F1331" i="6"/>
  <c r="F1330" i="6"/>
  <c r="F1329" i="6"/>
  <c r="F1328" i="6"/>
  <c r="F1327" i="6"/>
  <c r="P876" i="6"/>
  <c r="P875" i="6"/>
  <c r="J1063" i="6"/>
  <c r="J1062" i="6"/>
  <c r="J1061" i="6"/>
  <c r="J1060" i="6"/>
  <c r="J1059" i="6"/>
  <c r="J1058" i="6"/>
  <c r="J1057" i="6"/>
  <c r="J1056" i="6"/>
  <c r="J1055" i="6"/>
  <c r="J1054" i="6"/>
  <c r="J1053" i="6"/>
  <c r="J1052" i="6"/>
  <c r="J1051" i="6"/>
  <c r="J1050" i="6"/>
  <c r="J1042" i="6"/>
  <c r="J1041" i="6"/>
  <c r="J1040" i="6"/>
  <c r="J1039" i="6"/>
  <c r="J1038" i="6"/>
  <c r="J1037" i="6"/>
  <c r="J1036" i="6"/>
  <c r="J1035" i="6"/>
  <c r="J1034" i="6"/>
  <c r="J1033" i="6"/>
  <c r="J1032" i="6"/>
  <c r="J1031" i="6"/>
  <c r="J1030" i="6"/>
  <c r="J1029" i="6"/>
  <c r="J979" i="6"/>
  <c r="K979" i="6" s="1"/>
  <c r="J978" i="6"/>
  <c r="K978" i="6" s="1"/>
  <c r="J977" i="6"/>
  <c r="K977" i="6" s="1"/>
  <c r="J976" i="6"/>
  <c r="J975" i="6"/>
  <c r="K975" i="6" s="1"/>
  <c r="J974" i="6"/>
  <c r="K974" i="6" s="1"/>
  <c r="J973" i="6"/>
  <c r="K973" i="6" s="1"/>
  <c r="J972" i="6"/>
  <c r="J971" i="6"/>
  <c r="K971" i="6" s="1"/>
  <c r="K1178" i="6" s="1"/>
  <c r="J970" i="6"/>
  <c r="J969" i="6"/>
  <c r="K969" i="6" s="1"/>
  <c r="K1172" i="6" s="1"/>
  <c r="J968" i="6"/>
  <c r="K968" i="6" s="1"/>
  <c r="K1170" i="6" s="1"/>
  <c r="J967" i="6"/>
  <c r="K967" i="6" s="1"/>
  <c r="K1169" i="6" s="1"/>
  <c r="J966" i="6"/>
  <c r="K965" i="6"/>
  <c r="K1163" i="6" s="1"/>
  <c r="K964" i="6"/>
  <c r="K1161" i="6" s="1"/>
  <c r="K963" i="6"/>
  <c r="K1157" i="6" s="1"/>
  <c r="K962" i="6"/>
  <c r="K1155" i="6" s="1"/>
  <c r="K961" i="6"/>
  <c r="K1153" i="6" s="1"/>
  <c r="K960" i="6"/>
  <c r="K1152" i="6" s="1"/>
  <c r="K959" i="6"/>
  <c r="K1150" i="6" s="1"/>
  <c r="J958" i="6"/>
  <c r="J957" i="6"/>
  <c r="J956" i="6"/>
  <c r="J955" i="6"/>
  <c r="J954" i="6"/>
  <c r="J953" i="6"/>
  <c r="J952" i="6"/>
  <c r="J951" i="6"/>
  <c r="J950" i="6"/>
  <c r="J949" i="6"/>
  <c r="J948" i="6"/>
  <c r="J947" i="6"/>
  <c r="J946" i="6"/>
  <c r="J945" i="6"/>
  <c r="J874" i="6"/>
  <c r="K874" i="6" s="1"/>
  <c r="J873" i="6"/>
  <c r="J872" i="6"/>
  <c r="K872" i="6" s="1"/>
  <c r="J871" i="6"/>
  <c r="J870" i="6"/>
  <c r="K870" i="6" s="1"/>
  <c r="J869" i="6"/>
  <c r="K869" i="6" s="1"/>
  <c r="J868" i="6"/>
  <c r="K868" i="6" s="1"/>
  <c r="J867" i="6"/>
  <c r="K867" i="6" s="1"/>
  <c r="J866" i="6"/>
  <c r="K866" i="6" s="1"/>
  <c r="J865" i="6"/>
  <c r="J864" i="6"/>
  <c r="K864" i="6" s="1"/>
  <c r="J863" i="6"/>
  <c r="K863" i="6" s="1"/>
  <c r="J862" i="6"/>
  <c r="K862" i="6" s="1"/>
  <c r="J861" i="6"/>
  <c r="K861" i="6" s="1"/>
  <c r="K860" i="6"/>
  <c r="K859" i="6"/>
  <c r="K858" i="6"/>
  <c r="K857" i="6"/>
  <c r="K856" i="6"/>
  <c r="J1155" i="6" s="1"/>
  <c r="F800" i="6"/>
  <c r="F799" i="6"/>
  <c r="F798" i="6"/>
  <c r="F797" i="6"/>
  <c r="F796" i="6"/>
  <c r="F795" i="6"/>
  <c r="F794" i="6"/>
  <c r="F793" i="6"/>
  <c r="F792" i="6"/>
  <c r="F791" i="6"/>
  <c r="F790" i="6"/>
  <c r="F789" i="6"/>
  <c r="F788" i="6"/>
  <c r="F787" i="6"/>
  <c r="F786" i="6"/>
  <c r="F785" i="6"/>
  <c r="F784" i="6"/>
  <c r="J513" i="6"/>
  <c r="J449" i="6"/>
  <c r="J446" i="6"/>
  <c r="J440" i="6"/>
  <c r="J437" i="6"/>
  <c r="J431" i="6"/>
  <c r="J428"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J305" i="6"/>
  <c r="K305" i="6" s="1"/>
  <c r="K304" i="6"/>
  <c r="K303" i="6"/>
  <c r="J302" i="6"/>
  <c r="K302" i="6" s="1"/>
  <c r="K301" i="6"/>
  <c r="K300" i="6"/>
  <c r="K299" i="6"/>
  <c r="K298" i="6"/>
  <c r="K297" i="6"/>
  <c r="J296" i="6"/>
  <c r="K296" i="6" s="1"/>
  <c r="K295" i="6"/>
  <c r="K294" i="6"/>
  <c r="J293" i="6"/>
  <c r="K293" i="6" s="1"/>
  <c r="K292" i="6"/>
  <c r="K291" i="6"/>
  <c r="K290" i="6"/>
  <c r="K289" i="6"/>
  <c r="K288" i="6"/>
  <c r="J287" i="6"/>
  <c r="K287" i="6" s="1"/>
  <c r="K286" i="6"/>
  <c r="K285" i="6"/>
  <c r="J284" i="6"/>
  <c r="K284" i="6" s="1"/>
  <c r="K283" i="6"/>
  <c r="K282" i="6"/>
  <c r="K281" i="6"/>
  <c r="K280" i="6"/>
  <c r="K279" i="6"/>
  <c r="K278" i="6"/>
  <c r="K277" i="6"/>
  <c r="J276" i="6"/>
  <c r="K276" i="6" s="1"/>
  <c r="J275" i="6"/>
  <c r="K275" i="6" s="1"/>
  <c r="J274" i="6"/>
  <c r="F118" i="6" s="1"/>
  <c r="F188" i="6"/>
  <c r="F185" i="6"/>
  <c r="F184" i="6"/>
  <c r="F183" i="6"/>
  <c r="F182" i="6"/>
  <c r="F181" i="6"/>
  <c r="F179" i="6"/>
  <c r="F176" i="6"/>
  <c r="F175" i="6"/>
  <c r="F174" i="6"/>
  <c r="F173" i="6"/>
  <c r="F172" i="6"/>
  <c r="F170" i="6"/>
  <c r="F167" i="6"/>
  <c r="F166" i="6"/>
  <c r="F165" i="6"/>
  <c r="F164" i="6"/>
  <c r="F163" i="6"/>
  <c r="F161" i="6"/>
  <c r="F159" i="6"/>
  <c r="F158" i="6"/>
  <c r="F157" i="6"/>
  <c r="F156" i="6"/>
  <c r="F155" i="6"/>
  <c r="F154" i="6"/>
  <c r="F152" i="6"/>
  <c r="F148" i="6"/>
  <c r="F147" i="6"/>
  <c r="F145" i="6"/>
  <c r="F143" i="6"/>
  <c r="F139" i="6"/>
  <c r="F138" i="6"/>
  <c r="F136" i="6"/>
  <c r="F134" i="6"/>
  <c r="F130" i="6"/>
  <c r="F129" i="6"/>
  <c r="F127" i="6"/>
  <c r="F125" i="6"/>
  <c r="F123" i="6"/>
  <c r="F122" i="6"/>
  <c r="F121" i="6"/>
  <c r="F120" i="6"/>
  <c r="F119" i="6"/>
  <c r="AA2449" i="6"/>
  <c r="Z2449" i="6"/>
  <c r="AA2447" i="6"/>
  <c r="Z2447" i="6"/>
  <c r="AA2445" i="6"/>
  <c r="Z2445" i="6"/>
  <c r="AA2443" i="6"/>
  <c r="Z2443" i="6"/>
  <c r="AA2441" i="6"/>
  <c r="Z2441" i="6"/>
  <c r="AA2439" i="6"/>
  <c r="Z2439" i="6"/>
  <c r="AA2438" i="6"/>
  <c r="Z2438" i="6"/>
  <c r="AA2435" i="6"/>
  <c r="Z2435" i="6"/>
  <c r="AA2430" i="6"/>
  <c r="Z2430" i="6"/>
  <c r="AA2429" i="6"/>
  <c r="Z2429" i="6"/>
  <c r="AA2426" i="6"/>
  <c r="Z2426" i="6"/>
  <c r="AA2425" i="6"/>
  <c r="Z2425" i="6"/>
  <c r="AA2419" i="6"/>
  <c r="Z2419" i="6"/>
  <c r="AA2418" i="6"/>
  <c r="Z2418" i="6"/>
  <c r="AA2415" i="6"/>
  <c r="Z2415" i="6"/>
  <c r="AA2414" i="6"/>
  <c r="Z2414" i="6"/>
  <c r="AA2409" i="6"/>
  <c r="Z2409" i="6"/>
  <c r="AA2408" i="6"/>
  <c r="Z2408" i="6"/>
  <c r="AA2405" i="6"/>
  <c r="Z2405" i="6"/>
  <c r="AA2404" i="6"/>
  <c r="Z2404" i="6"/>
  <c r="AA2399" i="6"/>
  <c r="Z2399" i="6"/>
  <c r="AA2398" i="6"/>
  <c r="Z2398" i="6"/>
  <c r="AA2395" i="6"/>
  <c r="Z2395" i="6"/>
  <c r="AA2394" i="6"/>
  <c r="Z2394" i="6"/>
  <c r="AA2377" i="6"/>
  <c r="Z2377" i="6"/>
  <c r="AA2376" i="6"/>
  <c r="Z2376" i="6"/>
  <c r="AA2371" i="6"/>
  <c r="Z2371" i="6"/>
  <c r="AA2366" i="6"/>
  <c r="Z2366" i="6"/>
  <c r="AA2363" i="6"/>
  <c r="Z2363" i="6"/>
  <c r="AA2360" i="6"/>
  <c r="Z2360" i="6"/>
  <c r="AA2357" i="6"/>
  <c r="Z2357" i="6"/>
  <c r="AA2355" i="6"/>
  <c r="Z2355" i="6"/>
  <c r="AA2354" i="6"/>
  <c r="Z2354" i="6"/>
  <c r="AA2351" i="6"/>
  <c r="Z2351" i="6"/>
  <c r="AA2349" i="6"/>
  <c r="Z2349" i="6"/>
  <c r="AA2347" i="6"/>
  <c r="Z2347" i="6"/>
  <c r="AA2346" i="6"/>
  <c r="Z2346" i="6"/>
  <c r="AA2343" i="6"/>
  <c r="Z2343" i="6"/>
  <c r="AA2341" i="6"/>
  <c r="Z2341" i="6"/>
  <c r="AA2340" i="6"/>
  <c r="Z2340" i="6"/>
  <c r="AA2337" i="6"/>
  <c r="Z2337" i="6"/>
  <c r="AA1350" i="6"/>
  <c r="Z1350" i="6"/>
  <c r="AA1349" i="6"/>
  <c r="Z1349" i="6"/>
  <c r="AA1347" i="6"/>
  <c r="Z1347" i="6"/>
  <c r="AA1346" i="6"/>
  <c r="Z1346" i="6"/>
  <c r="AA1345" i="6"/>
  <c r="Z1345" i="6"/>
  <c r="AA1332" i="6"/>
  <c r="AA1356" i="6" s="1"/>
  <c r="Z1332" i="6"/>
  <c r="Z1356" i="6" s="1"/>
  <c r="AA1331" i="6"/>
  <c r="AA1354" i="6" s="1"/>
  <c r="Z1331" i="6"/>
  <c r="Z1354" i="6" s="1"/>
  <c r="AA1329" i="6"/>
  <c r="AA1353" i="6" s="1"/>
  <c r="Z1329" i="6"/>
  <c r="Z1353" i="6" s="1"/>
  <c r="AA1328" i="6"/>
  <c r="AA1352" i="6" s="1"/>
  <c r="Z1328" i="6"/>
  <c r="Z1352" i="6" s="1"/>
  <c r="AA1327" i="6"/>
  <c r="AA1351" i="6" s="1"/>
  <c r="Z1327" i="6"/>
  <c r="Z1351" i="6" s="1"/>
  <c r="AA107" i="6"/>
  <c r="Z107" i="6"/>
  <c r="AA106" i="6"/>
  <c r="Z106" i="6"/>
  <c r="AA101" i="6"/>
  <c r="Z101" i="6"/>
  <c r="AA100" i="6"/>
  <c r="Z100" i="6"/>
  <c r="AG342" i="5"/>
  <c r="AF342" i="5"/>
  <c r="AE342" i="5"/>
  <c r="AD342" i="5"/>
  <c r="AC342" i="5"/>
  <c r="AB342" i="5"/>
  <c r="AA342" i="5"/>
  <c r="Z342" i="5"/>
  <c r="Y342" i="5"/>
  <c r="X342" i="5"/>
  <c r="W342" i="5"/>
  <c r="V333" i="5"/>
  <c r="AG331" i="5"/>
  <c r="AF331" i="5"/>
  <c r="AE331" i="5"/>
  <c r="AD331" i="5"/>
  <c r="AC331" i="5"/>
  <c r="AB331" i="5"/>
  <c r="AA331" i="5"/>
  <c r="Z331" i="5"/>
  <c r="Y331" i="5"/>
  <c r="X331" i="5"/>
  <c r="W331" i="5"/>
  <c r="V329" i="5"/>
  <c r="V296" i="5"/>
  <c r="V297" i="5" s="1"/>
  <c r="V298" i="5" s="1"/>
  <c r="V299" i="5" s="1"/>
  <c r="V300" i="5" s="1"/>
  <c r="V301" i="5" s="1"/>
  <c r="V302" i="5" s="1"/>
  <c r="V303" i="5" s="1"/>
  <c r="V304" i="5" s="1"/>
  <c r="Z283" i="5"/>
  <c r="AA283" i="5" s="1"/>
  <c r="Z278" i="5"/>
  <c r="AA278" i="5" s="1"/>
  <c r="L1687" i="6" l="1"/>
  <c r="F1425" i="6"/>
  <c r="K2199" i="6"/>
  <c r="L2199" i="6" s="1"/>
  <c r="K2205" i="6"/>
  <c r="L2205" i="6" s="1"/>
  <c r="F1564" i="6"/>
  <c r="L1691" i="6"/>
  <c r="F1429" i="6"/>
  <c r="J1169" i="6"/>
  <c r="F1409" i="6"/>
  <c r="L1803" i="6"/>
  <c r="L2273" i="6"/>
  <c r="L1799" i="6"/>
  <c r="L1706" i="6"/>
  <c r="F1406" i="6"/>
  <c r="L2194" i="6"/>
  <c r="F1418" i="6"/>
  <c r="L2200" i="6"/>
  <c r="L1764" i="6"/>
  <c r="L1769" i="6"/>
  <c r="L1785" i="6"/>
  <c r="F1410" i="6"/>
  <c r="L2196" i="6"/>
  <c r="F1422" i="6"/>
  <c r="L2202" i="6"/>
  <c r="K2592" i="6"/>
  <c r="F1432" i="6"/>
  <c r="L1685" i="6"/>
  <c r="F1413" i="6"/>
  <c r="K2197" i="6"/>
  <c r="K1697" i="6"/>
  <c r="F1433" i="6"/>
  <c r="L1695" i="6"/>
  <c r="F1449" i="6"/>
  <c r="L1703" i="6"/>
  <c r="L1745" i="6"/>
  <c r="F1533" i="6"/>
  <c r="F1565" i="6"/>
  <c r="L1761" i="6"/>
  <c r="L1790" i="6"/>
  <c r="L1805" i="6"/>
  <c r="F1414" i="6"/>
  <c r="L2198" i="6"/>
  <c r="F1426" i="6"/>
  <c r="L2204" i="6"/>
  <c r="F149" i="6"/>
  <c r="F1304" i="6"/>
  <c r="K2195" i="6"/>
  <c r="K2201" i="6"/>
  <c r="K2203" i="6"/>
  <c r="F1416" i="6"/>
  <c r="F1440" i="6"/>
  <c r="F1468" i="6"/>
  <c r="F1532" i="6"/>
  <c r="F1568" i="6"/>
  <c r="F140" i="6"/>
  <c r="L1707" i="6"/>
  <c r="L1789" i="6"/>
  <c r="L1795" i="6"/>
  <c r="L1807" i="6"/>
  <c r="K2226" i="6"/>
  <c r="L2226" i="6" s="1"/>
  <c r="K2276" i="6"/>
  <c r="L2276" i="6" s="1"/>
  <c r="F1421" i="6"/>
  <c r="F1441" i="6"/>
  <c r="F1469" i="6"/>
  <c r="F1569" i="6"/>
  <c r="L2212" i="6"/>
  <c r="K2213" i="6"/>
  <c r="L2211" i="6"/>
  <c r="K1701" i="6"/>
  <c r="K1765" i="6"/>
  <c r="K1715" i="6"/>
  <c r="F1297" i="6"/>
  <c r="F1300" i="6"/>
  <c r="F1302" i="6"/>
  <c r="K274" i="6"/>
  <c r="F137" i="6"/>
  <c r="J1178" i="6"/>
  <c r="F146" i="6"/>
  <c r="P858" i="6"/>
  <c r="J1152" i="6"/>
  <c r="J1161" i="6"/>
  <c r="J1170" i="6"/>
  <c r="J1153" i="6"/>
  <c r="J1172" i="6"/>
  <c r="F801" i="6"/>
  <c r="K966" i="6"/>
  <c r="K1167" i="6" s="1"/>
  <c r="K970" i="6"/>
  <c r="K1174" i="6" s="1"/>
  <c r="K972" i="6"/>
  <c r="K1180" i="6" s="1"/>
  <c r="K976" i="6"/>
  <c r="K871" i="6"/>
  <c r="K865" i="6"/>
  <c r="K873" i="6"/>
  <c r="F131" i="6"/>
  <c r="F128" i="6"/>
  <c r="F1428" i="6" l="1"/>
  <c r="L2201" i="6"/>
  <c r="F1420" i="6"/>
  <c r="L2195" i="6"/>
  <c r="F1408" i="6"/>
  <c r="L1765" i="6"/>
  <c r="L2213" i="6"/>
  <c r="K2277" i="6"/>
  <c r="L2197" i="6"/>
  <c r="F1412" i="6"/>
  <c r="K2593" i="6"/>
  <c r="L1701" i="6"/>
  <c r="L1715" i="6"/>
  <c r="K2227" i="6"/>
  <c r="L2203" i="6"/>
  <c r="F1424" i="6"/>
  <c r="L1697" i="6"/>
  <c r="L2227" i="6" l="1"/>
  <c r="L2277" i="6"/>
  <c r="V56" i="5" l="1"/>
  <c r="V55" i="5"/>
  <c r="V54" i="5"/>
  <c r="V8" i="5" l="1"/>
  <c r="V9" i="5"/>
  <c r="V10" i="5"/>
  <c r="V11" i="5"/>
  <c r="V7" i="5"/>
  <c r="V47" i="5"/>
  <c r="V48" i="5"/>
  <c r="V49" i="5"/>
  <c r="V50" i="5"/>
  <c r="V51" i="5"/>
  <c r="V52" i="5"/>
  <c r="V53" i="5"/>
  <c r="V46" i="5"/>
  <c r="F215" i="16"/>
  <c r="F214" i="16"/>
  <c r="F213" i="16"/>
  <c r="F212" i="16"/>
  <c r="F211" i="16"/>
  <c r="F210" i="16"/>
  <c r="F209" i="16"/>
  <c r="F208" i="16"/>
  <c r="AB233" i="16"/>
  <c r="G233" i="16"/>
  <c r="F216" i="16" s="1"/>
  <c r="F1227" i="7" s="1"/>
  <c r="BD1227" i="7" s="1"/>
  <c r="BB1227" i="7" s="1"/>
  <c r="H217" i="16"/>
  <c r="F217" i="16" l="1"/>
  <c r="F1228" i="7" l="1"/>
  <c r="I57" i="15"/>
  <c r="AN57" i="15" s="1"/>
  <c r="BD217" i="16"/>
  <c r="K240" i="9"/>
  <c r="L253" i="9"/>
  <c r="L252" i="9"/>
  <c r="L251" i="9"/>
  <c r="L250" i="9"/>
  <c r="L249" i="9"/>
  <c r="L248" i="9"/>
  <c r="L247" i="9"/>
  <c r="L246" i="9"/>
  <c r="L245" i="9"/>
  <c r="L244" i="9"/>
  <c r="L243" i="9"/>
  <c r="L242" i="9"/>
  <c r="L241" i="9"/>
  <c r="L240" i="9"/>
  <c r="K253" i="9"/>
  <c r="K252" i="9"/>
  <c r="K251" i="9"/>
  <c r="K250" i="9"/>
  <c r="K249" i="9"/>
  <c r="K248" i="9"/>
  <c r="K247" i="9"/>
  <c r="K246" i="9"/>
  <c r="K245" i="9"/>
  <c r="K244" i="9"/>
  <c r="K243" i="9"/>
  <c r="K242" i="9"/>
  <c r="K241" i="9"/>
  <c r="F321" i="9"/>
  <c r="E322" i="9"/>
  <c r="E321" i="9"/>
  <c r="E318" i="9"/>
  <c r="E317" i="9"/>
  <c r="K254" i="9"/>
  <c r="L254" i="9"/>
  <c r="X1092" i="7"/>
  <c r="Y1092" i="7"/>
  <c r="Z1092" i="7"/>
  <c r="AA1092" i="7"/>
  <c r="AB1092" i="7"/>
  <c r="AC1092" i="7"/>
  <c r="AD1092" i="7"/>
  <c r="AE1092" i="7"/>
  <c r="AF1092" i="7"/>
  <c r="AG1092" i="7"/>
  <c r="W1092" i="7"/>
  <c r="J1115" i="7"/>
  <c r="K1115" i="7"/>
  <c r="L1115" i="7"/>
  <c r="O1115" i="7"/>
  <c r="G1212" i="7"/>
  <c r="F1212" i="7"/>
  <c r="E1172" i="7"/>
  <c r="F1211" i="7"/>
  <c r="P1115" i="7" s="1"/>
  <c r="G1211" i="7"/>
  <c r="Q1115" i="7" s="1"/>
  <c r="I9" i="5"/>
  <c r="J7" i="6"/>
  <c r="I7" i="6"/>
  <c r="L18" i="6"/>
  <c r="L17" i="6"/>
  <c r="L16" i="6"/>
  <c r="L15" i="6"/>
  <c r="L14" i="6"/>
  <c r="L13" i="6"/>
  <c r="K12" i="6"/>
  <c r="K11" i="6"/>
  <c r="K10" i="6"/>
  <c r="K9" i="6"/>
  <c r="K8" i="6"/>
  <c r="K7" i="6"/>
  <c r="AG1405" i="6"/>
  <c r="AF1405" i="6"/>
  <c r="AE1405" i="6"/>
  <c r="AD1405" i="6"/>
  <c r="AC1405" i="6"/>
  <c r="AB1405" i="6"/>
  <c r="AA1405" i="6"/>
  <c r="Z1405" i="6"/>
  <c r="Y1405" i="6"/>
  <c r="X1405" i="6"/>
  <c r="W1405" i="6"/>
  <c r="AG1294" i="6"/>
  <c r="AF1294" i="6"/>
  <c r="AE1294" i="6"/>
  <c r="AD1294" i="6"/>
  <c r="AC1294" i="6"/>
  <c r="AB1294" i="6"/>
  <c r="AA1294" i="6"/>
  <c r="Z1294" i="6"/>
  <c r="Y1294" i="6"/>
  <c r="X1294" i="6"/>
  <c r="W1294" i="6"/>
  <c r="AG1189" i="6"/>
  <c r="AF1189" i="6"/>
  <c r="AE1189" i="6"/>
  <c r="AD1189" i="6"/>
  <c r="AC1189" i="6"/>
  <c r="AB1189" i="6"/>
  <c r="AA1189" i="6"/>
  <c r="Z1189" i="6"/>
  <c r="Y1189" i="6"/>
  <c r="X1189" i="6"/>
  <c r="W1189" i="6"/>
  <c r="AG783" i="6"/>
  <c r="AF783" i="6"/>
  <c r="AE783" i="6"/>
  <c r="AD783" i="6"/>
  <c r="AC783" i="6"/>
  <c r="AB783" i="6"/>
  <c r="AA783" i="6"/>
  <c r="Z783" i="6"/>
  <c r="Y783" i="6"/>
  <c r="X783" i="6"/>
  <c r="W783" i="6"/>
  <c r="X117" i="6"/>
  <c r="Y117" i="6"/>
  <c r="Z117" i="6"/>
  <c r="AA117" i="6"/>
  <c r="AB117" i="6"/>
  <c r="AC117" i="6"/>
  <c r="AD117" i="6"/>
  <c r="AE117" i="6"/>
  <c r="AF117" i="6"/>
  <c r="AG117" i="6"/>
  <c r="W117" i="6"/>
  <c r="V1405"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8" i="6"/>
  <c r="A1439" i="6"/>
  <c r="A1440" i="6"/>
  <c r="A1441" i="6"/>
  <c r="A1446" i="6"/>
  <c r="A1447" i="6"/>
  <c r="A1450" i="6"/>
  <c r="A1451" i="6"/>
  <c r="A1452" i="6"/>
  <c r="A1453" i="6"/>
  <c r="A1458" i="6"/>
  <c r="A1459" i="6"/>
  <c r="A1462" i="6"/>
  <c r="A1463" i="6"/>
  <c r="A1466" i="6"/>
  <c r="A1467" i="6"/>
  <c r="A1468" i="6"/>
  <c r="A1469" i="6"/>
  <c r="A1474" i="6"/>
  <c r="A1475" i="6"/>
  <c r="A1478" i="6"/>
  <c r="A1479" i="6"/>
  <c r="A1480" i="6"/>
  <c r="A1481" i="6"/>
  <c r="A1484" i="6"/>
  <c r="A1485" i="6"/>
  <c r="A1486" i="6"/>
  <c r="A1487" i="6"/>
  <c r="A1490" i="6"/>
  <c r="A1491" i="6"/>
  <c r="A1492" i="6"/>
  <c r="A1493" i="6"/>
  <c r="A1496" i="6"/>
  <c r="A1497" i="6"/>
  <c r="A1498" i="6"/>
  <c r="A1499" i="6"/>
  <c r="A1500" i="6"/>
  <c r="A1501" i="6"/>
  <c r="A1502" i="6"/>
  <c r="A1503" i="6"/>
  <c r="A1506" i="6"/>
  <c r="A1507" i="6"/>
  <c r="A1508" i="6"/>
  <c r="A1509" i="6"/>
  <c r="A1510" i="6"/>
  <c r="A1511" i="6"/>
  <c r="A1512" i="6"/>
  <c r="A1513"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4" i="6"/>
  <c r="A1555" i="6"/>
  <c r="A1556" i="6"/>
  <c r="A1557" i="6"/>
  <c r="A1562" i="6"/>
  <c r="A1563" i="6"/>
  <c r="A1564" i="6"/>
  <c r="A1565" i="6"/>
  <c r="A1566" i="6"/>
  <c r="A1567" i="6"/>
  <c r="A1568" i="6"/>
  <c r="A1569" i="6"/>
  <c r="A1574" i="6"/>
  <c r="A1575" i="6"/>
  <c r="A1576" i="6"/>
  <c r="A1577" i="6"/>
  <c r="A1582" i="6"/>
  <c r="A1583" i="6"/>
  <c r="A1584" i="6"/>
  <c r="A1585" i="6"/>
  <c r="A1586" i="6"/>
  <c r="A1587" i="6"/>
  <c r="A1588" i="6"/>
  <c r="A1589" i="6"/>
  <c r="A1594" i="6"/>
  <c r="A1595" i="6"/>
  <c r="A1596" i="6"/>
  <c r="A1597" i="6"/>
  <c r="A1602" i="6"/>
  <c r="A1603" i="6"/>
  <c r="A1604" i="6"/>
  <c r="A1605" i="6"/>
  <c r="A1606" i="6"/>
  <c r="A1607" i="6"/>
  <c r="A1608" i="6"/>
  <c r="A1609" i="6"/>
  <c r="A1610" i="6"/>
  <c r="A1611" i="6"/>
  <c r="A1616" i="6"/>
  <c r="A1617" i="6"/>
  <c r="A1618" i="6"/>
  <c r="A1619" i="6"/>
  <c r="A1624" i="6"/>
  <c r="A1625" i="6"/>
  <c r="A1626" i="6"/>
  <c r="A1627" i="6"/>
  <c r="A1628" i="6"/>
  <c r="A1629" i="6"/>
  <c r="A1630" i="6"/>
  <c r="A1631" i="6"/>
  <c r="A1634" i="6"/>
  <c r="A1635" i="6"/>
  <c r="A1636" i="6"/>
  <c r="A1637" i="6"/>
  <c r="A1642" i="6"/>
  <c r="A1643" i="6"/>
  <c r="A1646" i="6"/>
  <c r="A1647" i="6"/>
  <c r="A1650" i="6"/>
  <c r="A1651" i="6"/>
  <c r="A1654" i="6"/>
  <c r="A1655" i="6"/>
  <c r="A1658" i="6"/>
  <c r="A1659" i="6"/>
  <c r="A1406" i="6"/>
  <c r="A1296" i="6"/>
  <c r="A1297" i="6"/>
  <c r="A1298" i="6"/>
  <c r="A1299" i="6"/>
  <c r="A1300" i="6"/>
  <c r="A1301" i="6"/>
  <c r="A1302" i="6"/>
  <c r="A1303" i="6"/>
  <c r="A1304" i="6"/>
  <c r="A1305" i="6"/>
  <c r="A1306" i="6"/>
  <c r="A1295" i="6"/>
  <c r="A1191" i="6"/>
  <c r="A1192" i="6"/>
  <c r="A1193" i="6"/>
  <c r="A1194" i="6"/>
  <c r="A1195" i="6"/>
  <c r="A1196" i="6"/>
  <c r="A1197" i="6"/>
  <c r="A1198" i="6"/>
  <c r="A1199" i="6"/>
  <c r="A1200" i="6"/>
  <c r="A1201" i="6"/>
  <c r="A1190"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784"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18" i="6"/>
  <c r="A8" i="6"/>
  <c r="A9" i="6"/>
  <c r="A11" i="6"/>
  <c r="A13" i="6"/>
  <c r="A14" i="6"/>
  <c r="A15" i="6"/>
  <c r="A17" i="6"/>
  <c r="A7" i="6"/>
  <c r="F1115" i="7" l="1"/>
  <c r="I419" i="15"/>
  <c r="AN419" i="15" s="1"/>
  <c r="BD1115" i="7"/>
  <c r="BE1115" i="7"/>
  <c r="AB419" i="15"/>
  <c r="BB217" i="16"/>
  <c r="AA57" i="15" s="1"/>
  <c r="AE57" i="15"/>
  <c r="AC57" i="15" s="1"/>
  <c r="I1228" i="7"/>
  <c r="O430" i="15" s="1"/>
  <c r="V430" i="15" s="1"/>
  <c r="I430" i="15"/>
  <c r="AN430" i="15" s="1"/>
  <c r="BD1228" i="7"/>
  <c r="F254" i="9"/>
  <c r="I506" i="15" s="1"/>
  <c r="AN506" i="15" s="1"/>
  <c r="F253" i="9"/>
  <c r="F252" i="9"/>
  <c r="BD252" i="9" s="1"/>
  <c r="BB252" i="9" s="1"/>
  <c r="M1115" i="7"/>
  <c r="O419" i="15" s="1"/>
  <c r="W419" i="15" s="1"/>
  <c r="F249" i="9"/>
  <c r="F250" i="9"/>
  <c r="F248" i="9"/>
  <c r="F251" i="9"/>
  <c r="BD251" i="9" s="1"/>
  <c r="F247" i="9"/>
  <c r="I502" i="15" l="1"/>
  <c r="AN502" i="15" s="1"/>
  <c r="AO502" i="15" s="1"/>
  <c r="BD250" i="9"/>
  <c r="I505" i="15"/>
  <c r="AN505" i="15" s="1"/>
  <c r="AO505" i="15" s="1"/>
  <c r="BD253" i="9"/>
  <c r="I501" i="15"/>
  <c r="AN501" i="15" s="1"/>
  <c r="AO501" i="15" s="1"/>
  <c r="BD249" i="9"/>
  <c r="BB1115" i="7"/>
  <c r="AA419" i="15" s="1"/>
  <c r="AE419" i="15"/>
  <c r="AC419" i="15" s="1"/>
  <c r="AO419" i="15"/>
  <c r="BB1228" i="7"/>
  <c r="AA430" i="15" s="1"/>
  <c r="AE430" i="15"/>
  <c r="AC430" i="15" s="1"/>
  <c r="AO430" i="15"/>
  <c r="F22" i="10"/>
  <c r="F7" i="10"/>
  <c r="V30" i="10"/>
  <c r="V16" i="10"/>
  <c r="V7" i="11"/>
  <c r="BE7" i="11"/>
  <c r="BB7" i="11" s="1"/>
  <c r="AA533" i="15" s="1"/>
  <c r="V7" i="8"/>
  <c r="H7" i="8"/>
  <c r="I7" i="8" s="1"/>
  <c r="O469" i="15" s="1"/>
  <c r="U469" i="15" s="1"/>
  <c r="G271" i="5"/>
  <c r="F258" i="5" s="1"/>
  <c r="G268" i="5"/>
  <c r="G270" i="5"/>
  <c r="K333" i="5"/>
  <c r="J333" i="5"/>
  <c r="I104" i="15"/>
  <c r="AN104" i="15" s="1"/>
  <c r="K303" i="5"/>
  <c r="K300" i="5"/>
  <c r="K297" i="5"/>
  <c r="K304" i="5"/>
  <c r="BE304" i="5" s="1"/>
  <c r="K302" i="5"/>
  <c r="BE302" i="5" s="1"/>
  <c r="K301" i="5"/>
  <c r="BE301" i="5" s="1"/>
  <c r="K299" i="5"/>
  <c r="BE299" i="5" s="1"/>
  <c r="K298" i="5"/>
  <c r="BE298" i="5" s="1"/>
  <c r="K296" i="5"/>
  <c r="F304" i="5"/>
  <c r="F303" i="5"/>
  <c r="F302" i="5"/>
  <c r="F301" i="5"/>
  <c r="F300" i="5"/>
  <c r="F299" i="5"/>
  <c r="F298" i="5"/>
  <c r="F297" i="5"/>
  <c r="J298" i="5"/>
  <c r="BC298" i="5" s="1"/>
  <c r="J299" i="5"/>
  <c r="BC299" i="5" s="1"/>
  <c r="BD299" i="5" s="1"/>
  <c r="BB299" i="5" s="1"/>
  <c r="J301" i="5"/>
  <c r="BC301" i="5" s="1"/>
  <c r="BD301" i="5" s="1"/>
  <c r="J302" i="5"/>
  <c r="BC302" i="5" s="1"/>
  <c r="J304" i="5"/>
  <c r="BC304" i="5" s="1"/>
  <c r="J296" i="5"/>
  <c r="I207" i="5"/>
  <c r="I205" i="5"/>
  <c r="I206" i="5"/>
  <c r="L207" i="5"/>
  <c r="K207" i="5"/>
  <c r="L205" i="5"/>
  <c r="K205" i="5"/>
  <c r="L206" i="5"/>
  <c r="K206" i="5"/>
  <c r="L204" i="5"/>
  <c r="K204" i="5"/>
  <c r="H205" i="5"/>
  <c r="H207" i="5"/>
  <c r="L155" i="5"/>
  <c r="K155" i="5"/>
  <c r="L153" i="5"/>
  <c r="K153" i="5"/>
  <c r="L154" i="5"/>
  <c r="K154" i="5"/>
  <c r="L152" i="5"/>
  <c r="K152" i="5"/>
  <c r="I155" i="5"/>
  <c r="F155" i="5" s="1"/>
  <c r="I85" i="15" s="1"/>
  <c r="AN85" i="15" s="1"/>
  <c r="I154" i="5"/>
  <c r="F154" i="5" s="1"/>
  <c r="I153" i="5"/>
  <c r="I152" i="5"/>
  <c r="F152" i="5" s="1"/>
  <c r="H153" i="5"/>
  <c r="H155" i="5"/>
  <c r="L103" i="5"/>
  <c r="L101" i="5"/>
  <c r="L102" i="5"/>
  <c r="L100" i="5"/>
  <c r="K56" i="5"/>
  <c r="K55" i="5"/>
  <c r="K54" i="5"/>
  <c r="K53" i="5"/>
  <c r="K52" i="5"/>
  <c r="K51" i="5"/>
  <c r="K50" i="5"/>
  <c r="K49" i="5"/>
  <c r="K48" i="5"/>
  <c r="K47" i="5"/>
  <c r="J53" i="5"/>
  <c r="J51" i="5"/>
  <c r="J47" i="5"/>
  <c r="K102" i="5"/>
  <c r="I103" i="5"/>
  <c r="F103" i="5" s="1"/>
  <c r="I101" i="5"/>
  <c r="F101" i="5" s="1"/>
  <c r="I102" i="5"/>
  <c r="F102" i="5" s="1"/>
  <c r="I100" i="5"/>
  <c r="F100" i="5" s="1"/>
  <c r="J7" i="5"/>
  <c r="I7" i="5"/>
  <c r="F9" i="5"/>
  <c r="I8" i="5"/>
  <c r="F8" i="5" s="1"/>
  <c r="I10" i="5"/>
  <c r="I11" i="5"/>
  <c r="F153" i="5" l="1"/>
  <c r="I83" i="15" s="1"/>
  <c r="AN83" i="15" s="1"/>
  <c r="BD302" i="5"/>
  <c r="BB302" i="5" s="1"/>
  <c r="BD298" i="5"/>
  <c r="BB298" i="5" s="1"/>
  <c r="BB301" i="5"/>
  <c r="BD304" i="5"/>
  <c r="BB304" i="5" s="1"/>
  <c r="BB253" i="9"/>
  <c r="AA505" i="15" s="1"/>
  <c r="AE505" i="15"/>
  <c r="AC505" i="15" s="1"/>
  <c r="AE502" i="15"/>
  <c r="AC502" i="15" s="1"/>
  <c r="BB250" i="9"/>
  <c r="AA502" i="15" s="1"/>
  <c r="AE501" i="15"/>
  <c r="AC501" i="15" s="1"/>
  <c r="BB249" i="9"/>
  <c r="AA501" i="15" s="1"/>
  <c r="BE50" i="5"/>
  <c r="AB71" i="15"/>
  <c r="BE49" i="5"/>
  <c r="AB70" i="15"/>
  <c r="BD49" i="5"/>
  <c r="I70" i="15"/>
  <c r="AN70" i="15" s="1"/>
  <c r="AO70" i="15" s="1"/>
  <c r="BD50" i="5"/>
  <c r="I71" i="15"/>
  <c r="AN71" i="15" s="1"/>
  <c r="AO71" i="15" s="1"/>
  <c r="I63" i="15"/>
  <c r="AN63" i="15" s="1"/>
  <c r="AO63" i="15" s="1"/>
  <c r="BD8" i="5"/>
  <c r="I64" i="15"/>
  <c r="AN64" i="15" s="1"/>
  <c r="AO64" i="15" s="1"/>
  <c r="BD9" i="5"/>
  <c r="I76" i="15"/>
  <c r="AN76" i="15" s="1"/>
  <c r="AO76" i="15" s="1"/>
  <c r="BD55" i="5"/>
  <c r="BC205" i="5"/>
  <c r="X87" i="15"/>
  <c r="Z87" i="15" s="1"/>
  <c r="I101" i="15"/>
  <c r="AN101" i="15" s="1"/>
  <c r="AO101" i="15" s="1"/>
  <c r="BD303" i="5"/>
  <c r="AB95" i="15"/>
  <c r="BE297" i="5"/>
  <c r="BC333" i="5"/>
  <c r="BD333" i="5" s="1"/>
  <c r="X104" i="15"/>
  <c r="Z104" i="15" s="1"/>
  <c r="I93" i="15"/>
  <c r="AN93" i="15" s="1"/>
  <c r="AO93" i="15" s="1"/>
  <c r="BD258" i="5"/>
  <c r="I79" i="15"/>
  <c r="AN79" i="15" s="1"/>
  <c r="AO79" i="15" s="1"/>
  <c r="BD101" i="5"/>
  <c r="BC155" i="5"/>
  <c r="BD155" i="5" s="1"/>
  <c r="X85" i="15"/>
  <c r="Z85" i="15" s="1"/>
  <c r="BD56" i="5"/>
  <c r="I77" i="15"/>
  <c r="AN77" i="15" s="1"/>
  <c r="AO77" i="15" s="1"/>
  <c r="I81" i="15"/>
  <c r="AN81" i="15" s="1"/>
  <c r="AO81" i="15" s="1"/>
  <c r="BD103" i="5"/>
  <c r="AB75" i="15"/>
  <c r="BE54" i="5"/>
  <c r="AB85" i="15"/>
  <c r="BE155" i="5"/>
  <c r="AB87" i="15"/>
  <c r="BE205" i="5"/>
  <c r="I98" i="15"/>
  <c r="AN98" i="15" s="1"/>
  <c r="AO98" i="15" s="1"/>
  <c r="BD300" i="5"/>
  <c r="BE300" i="5"/>
  <c r="AB98" i="15"/>
  <c r="AB104" i="15"/>
  <c r="BE333" i="5"/>
  <c r="AB76" i="15"/>
  <c r="BE55" i="5"/>
  <c r="AB79" i="15"/>
  <c r="BE101" i="5"/>
  <c r="X83" i="15"/>
  <c r="Z83" i="15" s="1"/>
  <c r="BC153" i="5"/>
  <c r="BD153" i="5" s="1"/>
  <c r="X89" i="15"/>
  <c r="Z89" i="15" s="1"/>
  <c r="BC207" i="5"/>
  <c r="I95" i="15"/>
  <c r="AN95" i="15" s="1"/>
  <c r="AO95" i="15" s="1"/>
  <c r="BD297" i="5"/>
  <c r="BE303" i="5"/>
  <c r="AB101" i="15"/>
  <c r="BD54" i="5"/>
  <c r="I75" i="15"/>
  <c r="AN75" i="15" s="1"/>
  <c r="AO75" i="15" s="1"/>
  <c r="BE56" i="5"/>
  <c r="AB77" i="15"/>
  <c r="BE103" i="5"/>
  <c r="AB81" i="15"/>
  <c r="BE153" i="5"/>
  <c r="AB83" i="15"/>
  <c r="BE207" i="5"/>
  <c r="AB89" i="15"/>
  <c r="I333" i="5"/>
  <c r="O104" i="15" s="1"/>
  <c r="V104" i="15" s="1"/>
  <c r="J155" i="5"/>
  <c r="O85" i="15" s="1"/>
  <c r="V85" i="15" s="1"/>
  <c r="J153" i="5"/>
  <c r="O83" i="15" s="1"/>
  <c r="V83" i="15" s="1"/>
  <c r="AB118" i="16"/>
  <c r="AB115" i="16"/>
  <c r="AB111" i="16"/>
  <c r="AB109" i="16"/>
  <c r="F71" i="16"/>
  <c r="F77" i="16"/>
  <c r="P15" i="3"/>
  <c r="Q15" i="3"/>
  <c r="P16" i="3"/>
  <c r="Q16" i="3"/>
  <c r="G104" i="3"/>
  <c r="G97" i="3"/>
  <c r="BB50" i="5" l="1"/>
  <c r="AA71" i="15" s="1"/>
  <c r="AE71" i="15"/>
  <c r="AC71" i="15" s="1"/>
  <c r="BB49" i="5"/>
  <c r="AA70" i="15" s="1"/>
  <c r="AE70" i="15"/>
  <c r="AC70" i="15" s="1"/>
  <c r="X17" i="15"/>
  <c r="Z17" i="15" s="1"/>
  <c r="BC15" i="3"/>
  <c r="BC16" i="3"/>
  <c r="X18" i="15"/>
  <c r="Z18" i="15" s="1"/>
  <c r="BB54" i="5"/>
  <c r="AA75" i="15" s="1"/>
  <c r="AE75" i="15"/>
  <c r="AC75" i="15" s="1"/>
  <c r="AO104" i="15"/>
  <c r="AO83" i="15"/>
  <c r="BB103" i="5"/>
  <c r="AA81" i="15" s="1"/>
  <c r="AE81" i="15"/>
  <c r="AC81" i="15" s="1"/>
  <c r="BB258" i="5"/>
  <c r="AA93" i="15" s="1"/>
  <c r="AE93" i="15"/>
  <c r="AC93" i="15" s="1"/>
  <c r="BB9" i="5"/>
  <c r="AA64" i="15" s="1"/>
  <c r="AE64" i="15"/>
  <c r="AC64" i="15" s="1"/>
  <c r="BB297" i="5"/>
  <c r="AA95" i="15" s="1"/>
  <c r="AE95" i="15"/>
  <c r="AC95" i="15" s="1"/>
  <c r="BB153" i="5"/>
  <c r="AA83" i="15" s="1"/>
  <c r="AE83" i="15"/>
  <c r="AC83" i="15" s="1"/>
  <c r="AO85" i="15"/>
  <c r="BB155" i="5"/>
  <c r="AA85" i="15" s="1"/>
  <c r="AE85" i="15"/>
  <c r="AC85" i="15" s="1"/>
  <c r="BB101" i="5"/>
  <c r="AA79" i="15" s="1"/>
  <c r="AE79" i="15"/>
  <c r="AC79" i="15" s="1"/>
  <c r="BB303" i="5"/>
  <c r="AA101" i="15" s="1"/>
  <c r="AE101" i="15"/>
  <c r="AC101" i="15" s="1"/>
  <c r="BB55" i="5"/>
  <c r="AA76" i="15" s="1"/>
  <c r="AE76" i="15"/>
  <c r="AC76" i="15" s="1"/>
  <c r="AE63" i="15"/>
  <c r="AC63" i="15" s="1"/>
  <c r="BB8" i="5"/>
  <c r="AA63" i="15" s="1"/>
  <c r="BB300" i="5"/>
  <c r="AA98" i="15" s="1"/>
  <c r="AE98" i="15"/>
  <c r="AC98" i="15" s="1"/>
  <c r="BB56" i="5"/>
  <c r="AA77" i="15" s="1"/>
  <c r="AE77" i="15"/>
  <c r="AC77" i="15" s="1"/>
  <c r="BB333" i="5"/>
  <c r="AA104" i="15" s="1"/>
  <c r="AE104" i="15"/>
  <c r="AC104" i="15" s="1"/>
  <c r="G90" i="3"/>
  <c r="M16" i="3" s="1"/>
  <c r="F75" i="3"/>
  <c r="F74" i="3"/>
  <c r="H74" i="3"/>
  <c r="H75" i="3"/>
  <c r="H50" i="3"/>
  <c r="H51" i="3"/>
  <c r="G50" i="3"/>
  <c r="F50" i="3"/>
  <c r="F51" i="3"/>
  <c r="I15" i="3"/>
  <c r="K15" i="3"/>
  <c r="I16" i="3"/>
  <c r="K16" i="3"/>
  <c r="O16" i="3" l="1"/>
  <c r="BE16" i="3" s="1"/>
  <c r="L16" i="3"/>
  <c r="L15" i="3"/>
  <c r="M15" i="3"/>
  <c r="O15" i="3" s="1"/>
  <c r="BE15" i="3" s="1"/>
  <c r="AA100" i="3"/>
  <c r="Z100" i="3"/>
  <c r="AM806" i="2"/>
  <c r="AN806" i="2"/>
  <c r="BW307" i="2"/>
  <c r="BX307" i="2"/>
  <c r="N15" i="3" l="1"/>
  <c r="F15" i="3"/>
  <c r="N16" i="3"/>
  <c r="F16" i="3"/>
  <c r="G15" i="3" l="1"/>
  <c r="O17" i="15" s="1"/>
  <c r="W17" i="15" s="1"/>
  <c r="I17" i="15"/>
  <c r="AN17" i="15" s="1"/>
  <c r="BD15" i="3"/>
  <c r="G16" i="3"/>
  <c r="O18" i="15" s="1"/>
  <c r="W18" i="15" s="1"/>
  <c r="I18" i="15"/>
  <c r="AN18" i="15" s="1"/>
  <c r="BD16" i="3"/>
  <c r="DC25" i="2"/>
  <c r="DC26" i="2"/>
  <c r="DC27" i="2"/>
  <c r="DC28" i="2"/>
  <c r="DC29" i="2"/>
  <c r="DE25" i="2"/>
  <c r="DE26" i="2"/>
  <c r="DE27" i="2"/>
  <c r="DE28" i="2"/>
  <c r="DE29" i="2"/>
  <c r="DE30" i="2"/>
  <c r="CK43" i="2"/>
  <c r="CK44" i="2"/>
  <c r="CK45" i="2"/>
  <c r="CK46" i="2"/>
  <c r="CK47" i="2"/>
  <c r="CK48" i="2"/>
  <c r="CK49" i="2"/>
  <c r="CK50" i="2"/>
  <c r="CK51" i="2"/>
  <c r="CK52" i="2"/>
  <c r="CK53" i="2"/>
  <c r="CK54" i="2"/>
  <c r="CK55" i="2"/>
  <c r="CK56" i="2"/>
  <c r="CK57" i="2"/>
  <c r="CK58" i="2"/>
  <c r="CK59" i="2"/>
  <c r="CK60" i="2"/>
  <c r="CK61" i="2"/>
  <c r="CK62" i="2"/>
  <c r="CK63" i="2"/>
  <c r="CK42" i="2"/>
  <c r="CK40" i="2"/>
  <c r="CK41" i="2"/>
  <c r="BY41" i="2"/>
  <c r="BY40" i="2"/>
  <c r="AO43" i="2"/>
  <c r="AO44" i="2"/>
  <c r="AO45" i="2"/>
  <c r="AO46" i="2"/>
  <c r="AO47" i="2"/>
  <c r="AO48" i="2"/>
  <c r="AO49" i="2"/>
  <c r="AO50" i="2"/>
  <c r="AO51" i="2"/>
  <c r="AO52" i="2"/>
  <c r="AO53" i="2"/>
  <c r="AO54" i="2"/>
  <c r="AO55" i="2"/>
  <c r="AO56" i="2"/>
  <c r="AO57" i="2"/>
  <c r="AO58" i="2"/>
  <c r="AO59" i="2"/>
  <c r="AO60" i="2"/>
  <c r="AO61" i="2"/>
  <c r="AO62" i="2"/>
  <c r="AO63" i="2"/>
  <c r="AO42" i="2"/>
  <c r="AO41" i="2"/>
  <c r="AO40" i="2"/>
  <c r="V58" i="2"/>
  <c r="V59" i="2"/>
  <c r="V60" i="2"/>
  <c r="V61" i="2"/>
  <c r="V62" i="2"/>
  <c r="AO10" i="2"/>
  <c r="AO11" i="2"/>
  <c r="AO12" i="2"/>
  <c r="AO13" i="2"/>
  <c r="AO14" i="2"/>
  <c r="AO15" i="2"/>
  <c r="AO16" i="2"/>
  <c r="AO17" i="2"/>
  <c r="AO18" i="2"/>
  <c r="AO19" i="2"/>
  <c r="AO20" i="2"/>
  <c r="AO21" i="2"/>
  <c r="AO22" i="2"/>
  <c r="AO23" i="2"/>
  <c r="AO24" i="2"/>
  <c r="AO25" i="2"/>
  <c r="AO26" i="2"/>
  <c r="AO27" i="2"/>
  <c r="AO28" i="2"/>
  <c r="AO29" i="2"/>
  <c r="AO30" i="2"/>
  <c r="AO9" i="2"/>
  <c r="AO373" i="2"/>
  <c r="AO374" i="2"/>
  <c r="AO375" i="2"/>
  <c r="AO376" i="2"/>
  <c r="AO372" i="2"/>
  <c r="BY395" i="2"/>
  <c r="BY396" i="2"/>
  <c r="BY397" i="2"/>
  <c r="BY398" i="2"/>
  <c r="BY399" i="2"/>
  <c r="BY394" i="2"/>
  <c r="DF399" i="2"/>
  <c r="DF398" i="2"/>
  <c r="DF397" i="2"/>
  <c r="DF396" i="2"/>
  <c r="DF395" i="2"/>
  <c r="DF394" i="2"/>
  <c r="DG393" i="2"/>
  <c r="DF393" i="2"/>
  <c r="W393" i="2"/>
  <c r="X393" i="2"/>
  <c r="Y393" i="2"/>
  <c r="Z393" i="2"/>
  <c r="AA393" i="2"/>
  <c r="AC393" i="2"/>
  <c r="AD393" i="2"/>
  <c r="AE393" i="2"/>
  <c r="AF393" i="2"/>
  <c r="AG393" i="2"/>
  <c r="AK393" i="2"/>
  <c r="AL393" i="2"/>
  <c r="AM393" i="2"/>
  <c r="AN393" i="2"/>
  <c r="AP393" i="2"/>
  <c r="AQ393" i="2"/>
  <c r="AR393" i="2"/>
  <c r="AS393" i="2"/>
  <c r="AW393" i="2"/>
  <c r="AX393" i="2"/>
  <c r="AY393" i="2"/>
  <c r="AZ393" i="2"/>
  <c r="BB393" i="2"/>
  <c r="BC393" i="2"/>
  <c r="BD393" i="2"/>
  <c r="BE393" i="2"/>
  <c r="BI393" i="2"/>
  <c r="BJ393" i="2"/>
  <c r="BK393" i="2"/>
  <c r="BL393" i="2"/>
  <c r="BN393" i="2"/>
  <c r="BO393" i="2"/>
  <c r="BP393" i="2"/>
  <c r="BQ393" i="2"/>
  <c r="BU393" i="2"/>
  <c r="BV393" i="2"/>
  <c r="BW393" i="2"/>
  <c r="BX393" i="2"/>
  <c r="BZ393" i="2"/>
  <c r="CA393" i="2"/>
  <c r="CB393" i="2"/>
  <c r="CC393" i="2"/>
  <c r="DB393" i="2"/>
  <c r="DC393" i="2"/>
  <c r="DE393" i="2"/>
  <c r="F394" i="2"/>
  <c r="G394" i="2"/>
  <c r="AO394" i="2" s="1"/>
  <c r="V394" i="2"/>
  <c r="V395" i="2" s="1"/>
  <c r="V396" i="2" s="1"/>
  <c r="V397" i="2" s="1"/>
  <c r="AI394" i="2"/>
  <c r="AI395" i="2" s="1"/>
  <c r="AI396" i="2" s="1"/>
  <c r="AI397" i="2" s="1"/>
  <c r="AU394" i="2"/>
  <c r="AU395" i="2" s="1"/>
  <c r="AU396" i="2" s="1"/>
  <c r="AU397" i="2" s="1"/>
  <c r="BS394" i="2"/>
  <c r="BS395" i="2" s="1"/>
  <c r="BS396" i="2" s="1"/>
  <c r="BS397" i="2" s="1"/>
  <c r="DC394" i="2"/>
  <c r="DE394" i="2"/>
  <c r="F395" i="2"/>
  <c r="G395" i="2"/>
  <c r="AO395" i="2" s="1"/>
  <c r="DC395" i="2"/>
  <c r="DE395" i="2"/>
  <c r="G396" i="2"/>
  <c r="AO396" i="2" s="1"/>
  <c r="DC396" i="2"/>
  <c r="DE396" i="2"/>
  <c r="G397" i="2"/>
  <c r="AO397" i="2" s="1"/>
  <c r="DC397" i="2"/>
  <c r="DE397" i="2"/>
  <c r="AO17" i="15" l="1"/>
  <c r="BB15" i="3"/>
  <c r="AA17" i="15" s="1"/>
  <c r="AE17" i="15"/>
  <c r="AC17" i="15" s="1"/>
  <c r="BB16" i="3"/>
  <c r="AA18" i="15" s="1"/>
  <c r="AE18" i="15"/>
  <c r="AC18" i="15" s="1"/>
  <c r="AO18" i="15"/>
  <c r="DG395" i="2"/>
  <c r="DG396" i="2"/>
  <c r="DG397" i="2"/>
  <c r="DG394" i="2"/>
  <c r="L394" i="2"/>
  <c r="DD395" i="2"/>
  <c r="DD394" i="2"/>
  <c r="H394" i="2"/>
  <c r="H395" i="2"/>
  <c r="L395" i="2"/>
  <c r="DB394" i="2" l="1"/>
  <c r="DB395" i="2"/>
  <c r="H29" i="2"/>
  <c r="F29" i="2"/>
  <c r="I554" i="15" s="1"/>
  <c r="AN554" i="15" s="1"/>
  <c r="H27" i="2"/>
  <c r="F27" i="2"/>
  <c r="I552" i="15" s="1"/>
  <c r="AN552" i="15" s="1"/>
  <c r="F25" i="2"/>
  <c r="I550" i="15" s="1"/>
  <c r="AN550" i="15" s="1"/>
  <c r="H25" i="2"/>
  <c r="D60" i="2"/>
  <c r="D61" i="2"/>
  <c r="D62" i="2"/>
  <c r="D58" i="2"/>
  <c r="F26" i="2"/>
  <c r="F28" i="2"/>
  <c r="I27" i="2" l="1"/>
  <c r="O552" i="15" s="1"/>
  <c r="W552" i="15" s="1"/>
  <c r="V552" i="15" s="1"/>
  <c r="U552" i="15" s="1"/>
  <c r="I25" i="2"/>
  <c r="O550" i="15" s="1"/>
  <c r="W550" i="15" s="1"/>
  <c r="V550" i="15" s="1"/>
  <c r="U550" i="15" s="1"/>
  <c r="DD25" i="2"/>
  <c r="DD28" i="2"/>
  <c r="DB28" i="2" s="1"/>
  <c r="DD27" i="2"/>
  <c r="DD26" i="2"/>
  <c r="DB26" i="2" s="1"/>
  <c r="DD29" i="2"/>
  <c r="I29" i="2"/>
  <c r="O554" i="15" s="1"/>
  <c r="W554" i="15" s="1"/>
  <c r="V554" i="15" s="1"/>
  <c r="U554" i="15" s="1"/>
  <c r="J413" i="2"/>
  <c r="J414" i="2"/>
  <c r="J415" i="2"/>
  <c r="J412" i="2"/>
  <c r="F396" i="2" s="1"/>
  <c r="DB25" i="2" l="1"/>
  <c r="AA550" i="15" s="1"/>
  <c r="AE550" i="15"/>
  <c r="AC550" i="15" s="1"/>
  <c r="AO552" i="15"/>
  <c r="DB29" i="2"/>
  <c r="AA554" i="15" s="1"/>
  <c r="AE554" i="15"/>
  <c r="AC554" i="15" s="1"/>
  <c r="DB27" i="2"/>
  <c r="AA552" i="15" s="1"/>
  <c r="AE552" i="15"/>
  <c r="AC552" i="15" s="1"/>
  <c r="AO550" i="15"/>
  <c r="AO554" i="15"/>
  <c r="F397" i="2"/>
  <c r="H396" i="2"/>
  <c r="L396" i="2"/>
  <c r="DD396" i="2"/>
  <c r="DB396" i="2" s="1"/>
  <c r="DD397" i="2"/>
  <c r="DB397" i="2" s="1"/>
  <c r="H794" i="2"/>
  <c r="H793" i="2"/>
  <c r="H792" i="2"/>
  <c r="H324" i="2"/>
  <c r="H325" i="2"/>
  <c r="H69" i="2"/>
  <c r="H70" i="2"/>
  <c r="H622" i="2"/>
  <c r="H623" i="2"/>
  <c r="L397" i="2" l="1"/>
  <c r="H397" i="2"/>
  <c r="AI668" i="15"/>
  <c r="AD668" i="15"/>
  <c r="AB668" i="15"/>
  <c r="X668" i="15"/>
  <c r="Z668" i="15" s="1"/>
  <c r="W668" i="15" s="1"/>
  <c r="H668" i="15"/>
  <c r="G668" i="15"/>
  <c r="C668" i="15"/>
  <c r="AM668" i="15" s="1"/>
  <c r="B668" i="15"/>
  <c r="AI667" i="15"/>
  <c r="AD667" i="15"/>
  <c r="AB667" i="15"/>
  <c r="X667" i="15"/>
  <c r="Z667" i="15" s="1"/>
  <c r="W667" i="15" s="1"/>
  <c r="H667" i="15"/>
  <c r="G667" i="15"/>
  <c r="C667" i="15"/>
  <c r="AM667" i="15" s="1"/>
  <c r="B667" i="15"/>
  <c r="AI666" i="15"/>
  <c r="AD666" i="15"/>
  <c r="AB666" i="15"/>
  <c r="X666" i="15"/>
  <c r="Z666" i="15" s="1"/>
  <c r="W666" i="15" s="1"/>
  <c r="H666" i="15"/>
  <c r="G666" i="15"/>
  <c r="C666" i="15"/>
  <c r="AM666" i="15" s="1"/>
  <c r="B666" i="15"/>
  <c r="BE791" i="2"/>
  <c r="BD791" i="2"/>
  <c r="BC791" i="2"/>
  <c r="BB791" i="2"/>
  <c r="AZ791" i="2"/>
  <c r="AY791" i="2"/>
  <c r="AX791" i="2"/>
  <c r="AW791" i="2"/>
  <c r="AS791" i="2"/>
  <c r="AR791" i="2"/>
  <c r="AQ791" i="2"/>
  <c r="AP791" i="2"/>
  <c r="AO791" i="2"/>
  <c r="AN791" i="2"/>
  <c r="AM791" i="2"/>
  <c r="AL791" i="2"/>
  <c r="AK791" i="2"/>
  <c r="AG791" i="2"/>
  <c r="AF791" i="2"/>
  <c r="AE791" i="2"/>
  <c r="AD791" i="2"/>
  <c r="AC791" i="2"/>
  <c r="AA791" i="2"/>
  <c r="Z791" i="2"/>
  <c r="Y791" i="2"/>
  <c r="X791" i="2"/>
  <c r="W791" i="2"/>
  <c r="V789" i="2"/>
  <c r="D802" i="2"/>
  <c r="D801" i="2"/>
  <c r="D800" i="2"/>
  <c r="DE794" i="2"/>
  <c r="DC794" i="2"/>
  <c r="F794" i="2"/>
  <c r="DE793" i="2"/>
  <c r="DC793" i="2"/>
  <c r="F793" i="2"/>
  <c r="DE792" i="2"/>
  <c r="DC792" i="2"/>
  <c r="F792" i="2"/>
  <c r="DE791" i="2"/>
  <c r="DD791" i="2"/>
  <c r="DC791" i="2"/>
  <c r="DB791" i="2"/>
  <c r="D633" i="2"/>
  <c r="E633" i="2"/>
  <c r="D634" i="2"/>
  <c r="E634" i="2"/>
  <c r="AI652" i="15"/>
  <c r="AD652" i="15"/>
  <c r="AB652" i="15"/>
  <c r="X652" i="15"/>
  <c r="Z652" i="15" s="1"/>
  <c r="H652" i="15"/>
  <c r="G652" i="15"/>
  <c r="C652" i="15"/>
  <c r="AM652" i="15" s="1"/>
  <c r="B652" i="15"/>
  <c r="AI651" i="15"/>
  <c r="AD651" i="15"/>
  <c r="AB651" i="15"/>
  <c r="X651" i="15"/>
  <c r="Z651" i="15" s="1"/>
  <c r="H651" i="15"/>
  <c r="G651" i="15"/>
  <c r="C651" i="15"/>
  <c r="AM651" i="15" s="1"/>
  <c r="B651" i="15"/>
  <c r="F623" i="2"/>
  <c r="F622" i="2"/>
  <c r="DC623" i="2"/>
  <c r="DE623" i="2"/>
  <c r="DC622" i="2"/>
  <c r="DE622" i="2"/>
  <c r="DE531" i="2"/>
  <c r="G399" i="2"/>
  <c r="DG399" i="2" s="1"/>
  <c r="G398" i="2"/>
  <c r="DG398" i="2" s="1"/>
  <c r="F398" i="2"/>
  <c r="H390" i="2"/>
  <c r="F376" i="2" s="1"/>
  <c r="H389" i="2"/>
  <c r="H388" i="2"/>
  <c r="H387" i="2"/>
  <c r="H386" i="2"/>
  <c r="I667" i="15" l="1"/>
  <c r="I651" i="15"/>
  <c r="AN651" i="15" s="1"/>
  <c r="I668" i="15"/>
  <c r="AN668" i="15" s="1"/>
  <c r="I652" i="15"/>
  <c r="AN652" i="15" s="1"/>
  <c r="I792" i="2"/>
  <c r="O666" i="15" s="1"/>
  <c r="V666" i="15" s="1"/>
  <c r="U666" i="15" s="1"/>
  <c r="AO399" i="2"/>
  <c r="AO398" i="2"/>
  <c r="DD792" i="2"/>
  <c r="DD793" i="2"/>
  <c r="DB793" i="2" s="1"/>
  <c r="AA667" i="15" s="1"/>
  <c r="I794" i="2"/>
  <c r="O668" i="15" s="1"/>
  <c r="V668" i="15" s="1"/>
  <c r="U668" i="15" s="1"/>
  <c r="I666" i="15"/>
  <c r="AN666" i="15" s="1"/>
  <c r="DD794" i="2"/>
  <c r="DB794" i="2" s="1"/>
  <c r="AA668" i="15" s="1"/>
  <c r="AN667" i="15"/>
  <c r="I623" i="2"/>
  <c r="O652" i="15" s="1"/>
  <c r="W652" i="15" s="1"/>
  <c r="V652" i="15" s="1"/>
  <c r="U652" i="15" s="1"/>
  <c r="I793" i="2"/>
  <c r="O667" i="15" s="1"/>
  <c r="V667" i="15" s="1"/>
  <c r="U667" i="15" s="1"/>
  <c r="I622" i="2"/>
  <c r="O651" i="15" s="1"/>
  <c r="W651" i="15" s="1"/>
  <c r="V651" i="15" s="1"/>
  <c r="U651" i="15" s="1"/>
  <c r="DD622" i="2"/>
  <c r="DD623" i="2"/>
  <c r="AO666" i="15" l="1"/>
  <c r="AO668" i="15"/>
  <c r="AE668" i="15"/>
  <c r="AC668" i="15" s="1"/>
  <c r="AE667" i="15"/>
  <c r="AC667" i="15" s="1"/>
  <c r="AO652" i="15"/>
  <c r="DB792" i="2"/>
  <c r="AA666" i="15" s="1"/>
  <c r="AE666" i="15"/>
  <c r="AC666" i="15" s="1"/>
  <c r="AO667" i="15"/>
  <c r="AO651" i="15"/>
  <c r="DB623" i="2"/>
  <c r="AA652" i="15" s="1"/>
  <c r="AE652" i="15"/>
  <c r="AC652" i="15" s="1"/>
  <c r="DB622" i="2"/>
  <c r="AA651" i="15" s="1"/>
  <c r="AE651" i="15"/>
  <c r="AC651" i="15" s="1"/>
  <c r="AI606" i="15" l="1"/>
  <c r="AD606" i="15"/>
  <c r="AB606" i="15"/>
  <c r="X606" i="15"/>
  <c r="Z606" i="15" s="1"/>
  <c r="H606" i="15"/>
  <c r="G606" i="15"/>
  <c r="C606" i="15"/>
  <c r="AM606" i="15" s="1"/>
  <c r="B606" i="15"/>
  <c r="AI605" i="15"/>
  <c r="AD605" i="15"/>
  <c r="AB605" i="15"/>
  <c r="X605" i="15"/>
  <c r="Z605" i="15" s="1"/>
  <c r="H605" i="15"/>
  <c r="G605" i="15"/>
  <c r="C605" i="15"/>
  <c r="AM605" i="15" s="1"/>
  <c r="B605" i="15"/>
  <c r="F325" i="2"/>
  <c r="F324" i="2"/>
  <c r="E338" i="2"/>
  <c r="E337" i="2"/>
  <c r="D338" i="2"/>
  <c r="D337" i="2"/>
  <c r="DC325" i="2"/>
  <c r="DE325" i="2"/>
  <c r="DE324" i="2"/>
  <c r="DC324" i="2"/>
  <c r="DD324" i="2" s="1"/>
  <c r="AI557" i="15"/>
  <c r="AD557" i="15"/>
  <c r="AB557" i="15"/>
  <c r="X557" i="15"/>
  <c r="Z557" i="15" s="1"/>
  <c r="H557" i="15"/>
  <c r="G557" i="15"/>
  <c r="C557" i="15"/>
  <c r="AM557" i="15" s="1"/>
  <c r="B557" i="15"/>
  <c r="AI556" i="15"/>
  <c r="AD556" i="15"/>
  <c r="AB556" i="15"/>
  <c r="X556" i="15"/>
  <c r="Z556" i="15" s="1"/>
  <c r="H556" i="15"/>
  <c r="G556" i="15"/>
  <c r="C556" i="15"/>
  <c r="AM556" i="15" s="1"/>
  <c r="B556" i="15"/>
  <c r="DE70" i="2"/>
  <c r="DC70" i="2"/>
  <c r="F70" i="2"/>
  <c r="DE69" i="2"/>
  <c r="DC69" i="2"/>
  <c r="F69" i="2"/>
  <c r="E83" i="2"/>
  <c r="V83" i="2" s="1"/>
  <c r="D83" i="2"/>
  <c r="E82" i="2"/>
  <c r="V82" i="2" s="1"/>
  <c r="D82" i="2"/>
  <c r="AI669" i="15"/>
  <c r="X669" i="15"/>
  <c r="O669" i="15"/>
  <c r="I669" i="15"/>
  <c r="H669" i="15"/>
  <c r="G669" i="15"/>
  <c r="C669" i="15"/>
  <c r="B669" i="15"/>
  <c r="AI665" i="15"/>
  <c r="AB665" i="15"/>
  <c r="X665" i="15"/>
  <c r="H665" i="15"/>
  <c r="G665" i="15"/>
  <c r="C665" i="15"/>
  <c r="B665" i="15"/>
  <c r="AI664" i="15"/>
  <c r="AB664" i="15"/>
  <c r="X664" i="15"/>
  <c r="H664" i="15"/>
  <c r="G664" i="15"/>
  <c r="C664" i="15"/>
  <c r="B664" i="15"/>
  <c r="AI663" i="15"/>
  <c r="AB663" i="15"/>
  <c r="X663" i="15"/>
  <c r="H663" i="15"/>
  <c r="G663" i="15"/>
  <c r="C663" i="15"/>
  <c r="B663" i="15"/>
  <c r="AI662" i="15"/>
  <c r="AB662" i="15"/>
  <c r="X662" i="15"/>
  <c r="H662" i="15"/>
  <c r="G662" i="15"/>
  <c r="C662" i="15"/>
  <c r="B662" i="15"/>
  <c r="AI661" i="15"/>
  <c r="AB661" i="15"/>
  <c r="X661" i="15"/>
  <c r="H661" i="15"/>
  <c r="G661" i="15"/>
  <c r="C661" i="15"/>
  <c r="B661" i="15"/>
  <c r="AI660" i="15"/>
  <c r="AB660" i="15"/>
  <c r="X660" i="15"/>
  <c r="H660" i="15"/>
  <c r="G660" i="15"/>
  <c r="C660" i="15"/>
  <c r="B660" i="15"/>
  <c r="AI659" i="15"/>
  <c r="AB659" i="15"/>
  <c r="X659" i="15"/>
  <c r="H659" i="15"/>
  <c r="G659" i="15"/>
  <c r="C659" i="15"/>
  <c r="B659" i="15"/>
  <c r="AI658" i="15"/>
  <c r="AB658" i="15"/>
  <c r="X658" i="15"/>
  <c r="H658" i="15"/>
  <c r="G658" i="15"/>
  <c r="C658" i="15"/>
  <c r="B658" i="15"/>
  <c r="AI657" i="15"/>
  <c r="AB657" i="15"/>
  <c r="X657" i="15"/>
  <c r="H657" i="15"/>
  <c r="G657" i="15"/>
  <c r="C657" i="15"/>
  <c r="B657" i="15"/>
  <c r="AI656" i="15"/>
  <c r="AB656" i="15"/>
  <c r="X656" i="15"/>
  <c r="H656" i="15"/>
  <c r="G656" i="15"/>
  <c r="C656" i="15"/>
  <c r="B656" i="15"/>
  <c r="AI655" i="15"/>
  <c r="AB655" i="15"/>
  <c r="X655" i="15"/>
  <c r="H655" i="15"/>
  <c r="G655" i="15"/>
  <c r="C655" i="15"/>
  <c r="B655" i="15"/>
  <c r="AI654" i="15"/>
  <c r="AB654" i="15"/>
  <c r="X654" i="15"/>
  <c r="H654" i="15"/>
  <c r="G654" i="15"/>
  <c r="C654" i="15"/>
  <c r="B654" i="15"/>
  <c r="AI653" i="15"/>
  <c r="AB653" i="15"/>
  <c r="X653" i="15"/>
  <c r="H653" i="15"/>
  <c r="G653" i="15"/>
  <c r="C653" i="15"/>
  <c r="B653" i="15"/>
  <c r="AI650" i="15"/>
  <c r="AB650" i="15"/>
  <c r="X650" i="15"/>
  <c r="H650" i="15"/>
  <c r="G650" i="15"/>
  <c r="C650" i="15"/>
  <c r="B650" i="15"/>
  <c r="AI649" i="15"/>
  <c r="AB649" i="15"/>
  <c r="X649" i="15"/>
  <c r="H649" i="15"/>
  <c r="G649" i="15"/>
  <c r="C649" i="15"/>
  <c r="B649" i="15"/>
  <c r="AI648" i="15"/>
  <c r="AB648" i="15"/>
  <c r="X648" i="15"/>
  <c r="H648" i="15"/>
  <c r="G648" i="15"/>
  <c r="C648" i="15"/>
  <c r="B648" i="15"/>
  <c r="AI647" i="15"/>
  <c r="AB647" i="15"/>
  <c r="X647" i="15"/>
  <c r="H647" i="15"/>
  <c r="G647" i="15"/>
  <c r="C647" i="15"/>
  <c r="B647" i="15"/>
  <c r="AI646" i="15"/>
  <c r="AB646" i="15"/>
  <c r="X646" i="15"/>
  <c r="H646" i="15"/>
  <c r="G646" i="15"/>
  <c r="C646" i="15"/>
  <c r="B646" i="15"/>
  <c r="AI645" i="15"/>
  <c r="AB645" i="15"/>
  <c r="X645" i="15"/>
  <c r="H645" i="15"/>
  <c r="G645" i="15"/>
  <c r="C645" i="15"/>
  <c r="B645" i="15"/>
  <c r="AI644" i="15"/>
  <c r="AB644" i="15"/>
  <c r="X644" i="15"/>
  <c r="H644" i="15"/>
  <c r="G644" i="15"/>
  <c r="C644" i="15"/>
  <c r="B644" i="15"/>
  <c r="AI643" i="15"/>
  <c r="AB643" i="15"/>
  <c r="X643" i="15"/>
  <c r="H643" i="15"/>
  <c r="G643" i="15"/>
  <c r="C643" i="15"/>
  <c r="B643" i="15"/>
  <c r="AI642" i="15"/>
  <c r="AB642" i="15"/>
  <c r="X642" i="15"/>
  <c r="H642" i="15"/>
  <c r="G642" i="15"/>
  <c r="C642" i="15"/>
  <c r="B642" i="15"/>
  <c r="AI641" i="15"/>
  <c r="AB641" i="15"/>
  <c r="X641" i="15"/>
  <c r="H641" i="15"/>
  <c r="G641" i="15"/>
  <c r="C641" i="15"/>
  <c r="B641" i="15"/>
  <c r="AI640" i="15"/>
  <c r="AB640" i="15"/>
  <c r="X640" i="15"/>
  <c r="H640" i="15"/>
  <c r="G640" i="15"/>
  <c r="C640" i="15"/>
  <c r="B640" i="15"/>
  <c r="AI639" i="15"/>
  <c r="AB639" i="15"/>
  <c r="X639" i="15"/>
  <c r="H639" i="15"/>
  <c r="G639" i="15"/>
  <c r="C639" i="15"/>
  <c r="B639" i="15"/>
  <c r="AI638" i="15"/>
  <c r="AB638" i="15"/>
  <c r="X638" i="15"/>
  <c r="H638" i="15"/>
  <c r="G638" i="15"/>
  <c r="C638" i="15"/>
  <c r="B638" i="15"/>
  <c r="AI637" i="15"/>
  <c r="AB637" i="15"/>
  <c r="X637" i="15"/>
  <c r="H637" i="15"/>
  <c r="G637" i="15"/>
  <c r="C637" i="15"/>
  <c r="B637" i="15"/>
  <c r="AI636" i="15"/>
  <c r="AB636" i="15"/>
  <c r="X636" i="15"/>
  <c r="H636" i="15"/>
  <c r="G636" i="15"/>
  <c r="C636" i="15"/>
  <c r="B636" i="15"/>
  <c r="AI635" i="15"/>
  <c r="AB635" i="15"/>
  <c r="X635" i="15"/>
  <c r="H635" i="15"/>
  <c r="G635" i="15"/>
  <c r="C635" i="15"/>
  <c r="B635" i="15"/>
  <c r="AI634" i="15"/>
  <c r="AB634" i="15"/>
  <c r="X634" i="15"/>
  <c r="H634" i="15"/>
  <c r="G634" i="15"/>
  <c r="C634" i="15"/>
  <c r="B634" i="15"/>
  <c r="AI633" i="15"/>
  <c r="AB633" i="15"/>
  <c r="X633" i="15"/>
  <c r="H633" i="15"/>
  <c r="G633" i="15"/>
  <c r="C633" i="15"/>
  <c r="B633" i="15"/>
  <c r="AI632" i="15"/>
  <c r="AB632" i="15"/>
  <c r="X632" i="15"/>
  <c r="H632" i="15"/>
  <c r="G632" i="15"/>
  <c r="C632" i="15"/>
  <c r="B632" i="15"/>
  <c r="AI631" i="15"/>
  <c r="AB631" i="15"/>
  <c r="X631" i="15"/>
  <c r="H631" i="15"/>
  <c r="G631" i="15"/>
  <c r="C631" i="15"/>
  <c r="B631" i="15"/>
  <c r="AI630" i="15"/>
  <c r="AB630" i="15"/>
  <c r="X630" i="15"/>
  <c r="H630" i="15"/>
  <c r="G630" i="15"/>
  <c r="C630" i="15"/>
  <c r="B630" i="15"/>
  <c r="AI629" i="15"/>
  <c r="AB629" i="15"/>
  <c r="X629" i="15"/>
  <c r="H629" i="15"/>
  <c r="G629" i="15"/>
  <c r="C629" i="15"/>
  <c r="B629" i="15"/>
  <c r="AI628" i="15"/>
  <c r="AB628" i="15"/>
  <c r="X628" i="15"/>
  <c r="H628" i="15"/>
  <c r="G628" i="15"/>
  <c r="C628" i="15"/>
  <c r="B628" i="15"/>
  <c r="AI627" i="15"/>
  <c r="AB627" i="15"/>
  <c r="X627" i="15"/>
  <c r="H627" i="15"/>
  <c r="G627" i="15"/>
  <c r="C627" i="15"/>
  <c r="B627" i="15"/>
  <c r="AI626" i="15"/>
  <c r="AB626" i="15"/>
  <c r="X626" i="15"/>
  <c r="H626" i="15"/>
  <c r="G626" i="15"/>
  <c r="C626" i="15"/>
  <c r="B626" i="15"/>
  <c r="AI625" i="15"/>
  <c r="AB625" i="15"/>
  <c r="X625" i="15"/>
  <c r="H625" i="15"/>
  <c r="G625" i="15"/>
  <c r="C625" i="15"/>
  <c r="B625" i="15"/>
  <c r="AI624" i="15"/>
  <c r="AB624" i="15"/>
  <c r="X624" i="15"/>
  <c r="H624" i="15"/>
  <c r="G624" i="15"/>
  <c r="C624" i="15"/>
  <c r="B624" i="15"/>
  <c r="AI623" i="15"/>
  <c r="AB623" i="15"/>
  <c r="X623" i="15"/>
  <c r="H623" i="15"/>
  <c r="G623" i="15"/>
  <c r="C623" i="15"/>
  <c r="B623" i="15"/>
  <c r="AI622" i="15"/>
  <c r="AB622" i="15"/>
  <c r="X622" i="15"/>
  <c r="H622" i="15"/>
  <c r="G622" i="15"/>
  <c r="C622" i="15"/>
  <c r="B622" i="15"/>
  <c r="AI621" i="15"/>
  <c r="AB621" i="15"/>
  <c r="X621" i="15"/>
  <c r="H621" i="15"/>
  <c r="G621" i="15"/>
  <c r="C621" i="15"/>
  <c r="B621" i="15"/>
  <c r="AI620" i="15"/>
  <c r="AB620" i="15"/>
  <c r="X620" i="15"/>
  <c r="H620" i="15"/>
  <c r="G620" i="15"/>
  <c r="C620" i="15"/>
  <c r="B620" i="15"/>
  <c r="AI619" i="15"/>
  <c r="AB619" i="15"/>
  <c r="X619" i="15"/>
  <c r="H619" i="15"/>
  <c r="G619" i="15"/>
  <c r="C619" i="15"/>
  <c r="B619" i="15"/>
  <c r="AI618" i="15"/>
  <c r="AB618" i="15"/>
  <c r="X618" i="15"/>
  <c r="H618" i="15"/>
  <c r="G618" i="15"/>
  <c r="D618" i="15"/>
  <c r="C618" i="15"/>
  <c r="B618" i="15"/>
  <c r="AI617" i="15"/>
  <c r="AB617" i="15"/>
  <c r="X617" i="15"/>
  <c r="H617" i="15"/>
  <c r="G617" i="15"/>
  <c r="D617" i="15"/>
  <c r="C617" i="15"/>
  <c r="B617" i="15"/>
  <c r="AI616" i="15"/>
  <c r="AB616" i="15"/>
  <c r="X616" i="15"/>
  <c r="H616" i="15"/>
  <c r="G616" i="15"/>
  <c r="D616" i="15"/>
  <c r="C616" i="15"/>
  <c r="B616" i="15"/>
  <c r="AI615" i="15"/>
  <c r="AB615" i="15"/>
  <c r="X615" i="15"/>
  <c r="H615" i="15"/>
  <c r="G615" i="15"/>
  <c r="D615" i="15"/>
  <c r="C615" i="15"/>
  <c r="B615" i="15"/>
  <c r="AI614" i="15"/>
  <c r="AB614" i="15"/>
  <c r="X614" i="15"/>
  <c r="H614" i="15"/>
  <c r="G614" i="15"/>
  <c r="D614" i="15"/>
  <c r="C614" i="15"/>
  <c r="B614" i="15"/>
  <c r="AI613" i="15"/>
  <c r="AB613" i="15"/>
  <c r="X613" i="15"/>
  <c r="H613" i="15"/>
  <c r="G613" i="15"/>
  <c r="D613" i="15"/>
  <c r="C613" i="15"/>
  <c r="B613" i="15"/>
  <c r="AI612" i="15"/>
  <c r="AB612" i="15"/>
  <c r="X612" i="15"/>
  <c r="H612" i="15"/>
  <c r="G612" i="15"/>
  <c r="C612" i="15"/>
  <c r="B612" i="15"/>
  <c r="AI611" i="15"/>
  <c r="AB611" i="15"/>
  <c r="X611" i="15"/>
  <c r="H611" i="15"/>
  <c r="G611" i="15"/>
  <c r="C611" i="15"/>
  <c r="B611" i="15"/>
  <c r="AI610" i="15"/>
  <c r="AB610" i="15"/>
  <c r="X610" i="15"/>
  <c r="H610" i="15"/>
  <c r="G610" i="15"/>
  <c r="C610" i="15"/>
  <c r="B610" i="15"/>
  <c r="AI609" i="15"/>
  <c r="AB609" i="15"/>
  <c r="X609" i="15"/>
  <c r="H609" i="15"/>
  <c r="G609" i="15"/>
  <c r="C609" i="15"/>
  <c r="B609" i="15"/>
  <c r="AI608" i="15"/>
  <c r="AB608" i="15"/>
  <c r="X608" i="15"/>
  <c r="H608" i="15"/>
  <c r="G608" i="15"/>
  <c r="C608" i="15"/>
  <c r="B608" i="15"/>
  <c r="AI607" i="15"/>
  <c r="AE607" i="15"/>
  <c r="AB607" i="15"/>
  <c r="AA607" i="15"/>
  <c r="X607" i="15"/>
  <c r="H607" i="15"/>
  <c r="G607" i="15"/>
  <c r="C607" i="15"/>
  <c r="B607" i="15"/>
  <c r="AI604" i="15"/>
  <c r="X604" i="15"/>
  <c r="H604" i="15"/>
  <c r="G604" i="15"/>
  <c r="C604" i="15"/>
  <c r="B604" i="15"/>
  <c r="AI603" i="15"/>
  <c r="AB603" i="15"/>
  <c r="X603" i="15"/>
  <c r="H603" i="15"/>
  <c r="G603" i="15"/>
  <c r="C603" i="15"/>
  <c r="B603" i="15"/>
  <c r="AI602" i="15"/>
  <c r="AB602" i="15"/>
  <c r="X602" i="15"/>
  <c r="H602" i="15"/>
  <c r="G602" i="15"/>
  <c r="D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5" i="15"/>
  <c r="AB595" i="15"/>
  <c r="X595" i="15"/>
  <c r="H595" i="15"/>
  <c r="G595" i="15"/>
  <c r="C595" i="15"/>
  <c r="B595" i="15"/>
  <c r="AI594" i="15"/>
  <c r="AB594" i="15"/>
  <c r="X594" i="15"/>
  <c r="H594" i="15"/>
  <c r="G594" i="15"/>
  <c r="C594" i="15"/>
  <c r="B594" i="15"/>
  <c r="AI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9" i="15"/>
  <c r="AB589" i="15"/>
  <c r="X589" i="15"/>
  <c r="H589" i="15"/>
  <c r="G589" i="15"/>
  <c r="C589" i="15"/>
  <c r="B589" i="15"/>
  <c r="AI588" i="15"/>
  <c r="AB588" i="15"/>
  <c r="X588" i="15"/>
  <c r="H588" i="15"/>
  <c r="G588" i="15"/>
  <c r="C588" i="15"/>
  <c r="B588"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H573" i="15"/>
  <c r="G573" i="15"/>
  <c r="C573" i="15"/>
  <c r="B573" i="15"/>
  <c r="AI572" i="15"/>
  <c r="AB572" i="15"/>
  <c r="H572" i="15"/>
  <c r="G572" i="15"/>
  <c r="C572" i="15"/>
  <c r="B572" i="15"/>
  <c r="AI571" i="15"/>
  <c r="AB571" i="15"/>
  <c r="H571" i="15"/>
  <c r="G571" i="15"/>
  <c r="C571" i="15"/>
  <c r="B571" i="15"/>
  <c r="AI570" i="15"/>
  <c r="AB570" i="15"/>
  <c r="H570" i="15"/>
  <c r="G570" i="15"/>
  <c r="C570" i="15"/>
  <c r="B570" i="15"/>
  <c r="AI569" i="15"/>
  <c r="AB569" i="15"/>
  <c r="H569" i="15"/>
  <c r="G569" i="15"/>
  <c r="C569" i="15"/>
  <c r="B569" i="15"/>
  <c r="AI568" i="15"/>
  <c r="AB568" i="15"/>
  <c r="H568" i="15"/>
  <c r="G568" i="15"/>
  <c r="C568" i="15"/>
  <c r="B568" i="15"/>
  <c r="AI567" i="15"/>
  <c r="AB567" i="15"/>
  <c r="H567" i="15"/>
  <c r="G567" i="15"/>
  <c r="C567" i="15"/>
  <c r="B567" i="15"/>
  <c r="AI566" i="15"/>
  <c r="AB566" i="15"/>
  <c r="X566" i="15"/>
  <c r="H566" i="15"/>
  <c r="G566" i="15"/>
  <c r="C566" i="15"/>
  <c r="B566" i="15"/>
  <c r="AI555" i="15"/>
  <c r="AB555" i="15"/>
  <c r="H555" i="15"/>
  <c r="G555" i="15"/>
  <c r="C555" i="15"/>
  <c r="B555" i="15"/>
  <c r="AI553" i="15"/>
  <c r="AB553" i="15"/>
  <c r="H553" i="15"/>
  <c r="G553" i="15"/>
  <c r="C553" i="15"/>
  <c r="B553" i="15"/>
  <c r="AI551" i="15"/>
  <c r="AB551" i="15"/>
  <c r="H551" i="15"/>
  <c r="G551" i="15"/>
  <c r="C551" i="15"/>
  <c r="B551" i="15"/>
  <c r="AI549" i="15"/>
  <c r="AB549" i="15"/>
  <c r="H549" i="15"/>
  <c r="G549" i="15"/>
  <c r="C549" i="15"/>
  <c r="B549" i="15"/>
  <c r="AI548" i="15"/>
  <c r="AB548" i="15"/>
  <c r="X548" i="15"/>
  <c r="H548" i="15"/>
  <c r="G548" i="15"/>
  <c r="C548" i="15"/>
  <c r="B548" i="15"/>
  <c r="AI547" i="15"/>
  <c r="AB547" i="15"/>
  <c r="H547" i="15"/>
  <c r="G547" i="15"/>
  <c r="C547" i="15"/>
  <c r="B547" i="15"/>
  <c r="AI546" i="15"/>
  <c r="AB546" i="15"/>
  <c r="H546" i="15"/>
  <c r="G546" i="15"/>
  <c r="C546" i="15"/>
  <c r="B546" i="15"/>
  <c r="AI545" i="15"/>
  <c r="AB545" i="15"/>
  <c r="H545" i="15"/>
  <c r="G545" i="15"/>
  <c r="C545" i="15"/>
  <c r="B545" i="15"/>
  <c r="AI544" i="15"/>
  <c r="AB544" i="15"/>
  <c r="H544" i="15"/>
  <c r="G544" i="15"/>
  <c r="C544" i="15"/>
  <c r="B544" i="15"/>
  <c r="AI543" i="15"/>
  <c r="AB543" i="15"/>
  <c r="H543" i="15"/>
  <c r="G543" i="15"/>
  <c r="C543" i="15"/>
  <c r="B543" i="15"/>
  <c r="AI542" i="15"/>
  <c r="AB542" i="15"/>
  <c r="H542" i="15"/>
  <c r="G542" i="15"/>
  <c r="C542" i="15"/>
  <c r="B542" i="15"/>
  <c r="AI541" i="15"/>
  <c r="AB541" i="15"/>
  <c r="H541" i="15"/>
  <c r="G541" i="15"/>
  <c r="C541" i="15"/>
  <c r="B541" i="15"/>
  <c r="AI540" i="15"/>
  <c r="AB540" i="15"/>
  <c r="H540" i="15"/>
  <c r="G540" i="15"/>
  <c r="C540" i="15"/>
  <c r="B540" i="15"/>
  <c r="AI539" i="15"/>
  <c r="AB539" i="15"/>
  <c r="H539" i="15"/>
  <c r="G539" i="15"/>
  <c r="C539" i="15"/>
  <c r="B539" i="15"/>
  <c r="AI538" i="15"/>
  <c r="AB538" i="15"/>
  <c r="H538" i="15"/>
  <c r="G538" i="15"/>
  <c r="C538" i="15"/>
  <c r="B538" i="15"/>
  <c r="AI537" i="15"/>
  <c r="AB537" i="15"/>
  <c r="H537" i="15"/>
  <c r="G537" i="15"/>
  <c r="C537" i="15"/>
  <c r="B537" i="15"/>
  <c r="AI536" i="15"/>
  <c r="AB536" i="15"/>
  <c r="H536" i="15"/>
  <c r="G536" i="15"/>
  <c r="C536" i="15"/>
  <c r="B536" i="15"/>
  <c r="AI535" i="15"/>
  <c r="AB535" i="15"/>
  <c r="H535" i="15"/>
  <c r="G535" i="15"/>
  <c r="C535" i="15"/>
  <c r="B535" i="15"/>
  <c r="AI534" i="15"/>
  <c r="AB534" i="15"/>
  <c r="H534" i="15"/>
  <c r="G534" i="15"/>
  <c r="C534" i="15"/>
  <c r="B534" i="15"/>
  <c r="DB324" i="2" l="1"/>
  <c r="AA605" i="15" s="1"/>
  <c r="I605" i="15"/>
  <c r="AN605" i="15" s="1"/>
  <c r="I606" i="15"/>
  <c r="AN606" i="15" s="1"/>
  <c r="I557" i="15"/>
  <c r="AN557" i="15" s="1"/>
  <c r="I556" i="15"/>
  <c r="AN556" i="15" s="1"/>
  <c r="DD69" i="2"/>
  <c r="DB69" i="2" s="1"/>
  <c r="AA556" i="15" s="1"/>
  <c r="DD70" i="2"/>
  <c r="DB70" i="2" s="1"/>
  <c r="AA557" i="15" s="1"/>
  <c r="DD325" i="2"/>
  <c r="AE606" i="15" s="1"/>
  <c r="AC606" i="15" s="1"/>
  <c r="I324" i="2"/>
  <c r="O605" i="15" s="1"/>
  <c r="W605" i="15" s="1"/>
  <c r="V605" i="15" s="1"/>
  <c r="U605" i="15" s="1"/>
  <c r="I325" i="2"/>
  <c r="O606" i="15" s="1"/>
  <c r="W606" i="15" s="1"/>
  <c r="V606" i="15" s="1"/>
  <c r="U606" i="15" s="1"/>
  <c r="AE605" i="15"/>
  <c r="AC605" i="15" s="1"/>
  <c r="I70" i="2"/>
  <c r="O557" i="15" s="1"/>
  <c r="W557" i="15" s="1"/>
  <c r="V557" i="15" s="1"/>
  <c r="U557" i="15" s="1"/>
  <c r="I69" i="2"/>
  <c r="O556" i="15" s="1"/>
  <c r="AO605" i="15" l="1"/>
  <c r="AO606" i="15"/>
  <c r="DB325" i="2"/>
  <c r="AA606" i="15" s="1"/>
  <c r="AO557" i="15"/>
  <c r="AE557" i="15"/>
  <c r="AC557" i="15" s="1"/>
  <c r="AO556" i="15"/>
  <c r="AE556" i="15"/>
  <c r="AC556" i="15" s="1"/>
  <c r="W556" i="15"/>
  <c r="V556" i="15" s="1"/>
  <c r="U556" i="15" s="1"/>
  <c r="AI88" i="15"/>
  <c r="AI86" i="15"/>
  <c r="AI84" i="15"/>
  <c r="AI82" i="15"/>
  <c r="AI80" i="15"/>
  <c r="AI78" i="15"/>
  <c r="AI336" i="15"/>
  <c r="AI337" i="15" s="1"/>
  <c r="AI338" i="15" s="1"/>
  <c r="AI352" i="15"/>
  <c r="AI351" i="15"/>
  <c r="AI350" i="15"/>
  <c r="AI349" i="15"/>
  <c r="AI348" i="15"/>
  <c r="AI347" i="15"/>
  <c r="AI346" i="15"/>
  <c r="AI345" i="15"/>
  <c r="AI376" i="15"/>
  <c r="AI375" i="15"/>
  <c r="AI374" i="15"/>
  <c r="AI373" i="15"/>
  <c r="AI372" i="15"/>
  <c r="AI367" i="15"/>
  <c r="AI366" i="15"/>
  <c r="AI364" i="15"/>
  <c r="AI393" i="15"/>
  <c r="AI392" i="15"/>
  <c r="AI418" i="15"/>
  <c r="AI417" i="15"/>
  <c r="AI416" i="15"/>
  <c r="AI414" i="15"/>
  <c r="AI413" i="15"/>
  <c r="AI412" i="15"/>
  <c r="AI411" i="15"/>
  <c r="AI410" i="15"/>
  <c r="AI409" i="15"/>
  <c r="AI408" i="15"/>
  <c r="AI407" i="15"/>
  <c r="AI406" i="15"/>
  <c r="AI405" i="15"/>
  <c r="AI404" i="15"/>
  <c r="AI403" i="15"/>
  <c r="AI401" i="15"/>
  <c r="AI400" i="15"/>
  <c r="AI399" i="15"/>
  <c r="AI398" i="15"/>
  <c r="AI397" i="15"/>
  <c r="AI396" i="15"/>
  <c r="AI395" i="15"/>
  <c r="AI490" i="15"/>
  <c r="AI504" i="15"/>
  <c r="AI503" i="15"/>
  <c r="AI500" i="15"/>
  <c r="AI499" i="15"/>
  <c r="AI498" i="15"/>
  <c r="AI497" i="15"/>
  <c r="AI496" i="15"/>
  <c r="AI495" i="15"/>
  <c r="AI494" i="15"/>
  <c r="AI493" i="15"/>
  <c r="AI492" i="15"/>
  <c r="AI491" i="15"/>
  <c r="AI508" i="15"/>
  <c r="AI507" i="15"/>
  <c r="AI509" i="15"/>
  <c r="AI525" i="15"/>
  <c r="AI489" i="15"/>
  <c r="AI488" i="15"/>
  <c r="AI478" i="15"/>
  <c r="AI479" i="15" s="1"/>
  <c r="AI480" i="15" s="1"/>
  <c r="AI481" i="15" s="1"/>
  <c r="AI482" i="15" s="1"/>
  <c r="AI483" i="15" s="1"/>
  <c r="AI484" i="15" s="1"/>
  <c r="AI485" i="15" s="1"/>
  <c r="AI486" i="15" s="1"/>
  <c r="AI487" i="15" s="1"/>
  <c r="AI339" i="15"/>
  <c r="AI340" i="15" s="1"/>
  <c r="AI328" i="15"/>
  <c r="AI329" i="15" s="1"/>
  <c r="AI330" i="15" s="1"/>
  <c r="AI331" i="15" s="1"/>
  <c r="AI332" i="15" s="1"/>
  <c r="AI333" i="15" s="1"/>
  <c r="AI298" i="15"/>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290" i="15"/>
  <c r="AI291" i="15" s="1"/>
  <c r="AI292" i="15" s="1"/>
  <c r="AI293" i="15" s="1"/>
  <c r="AI294" i="15" s="1"/>
  <c r="AI295" i="15" s="1"/>
  <c r="AI296" i="15" s="1"/>
  <c r="AI297" i="15" s="1"/>
  <c r="AI335" i="15"/>
  <c r="AI334" i="15"/>
  <c r="AI66" i="15"/>
  <c r="AI65" i="15"/>
  <c r="AI62" i="15"/>
  <c r="AI33" i="15"/>
  <c r="AI32" i="15"/>
  <c r="AI31" i="15"/>
  <c r="AI30" i="15"/>
  <c r="AI29" i="15"/>
  <c r="AI28" i="15"/>
  <c r="AI27" i="15"/>
  <c r="AI26" i="15"/>
  <c r="AI25" i="15"/>
  <c r="AI24" i="15"/>
  <c r="AI23" i="15"/>
  <c r="AI22" i="15"/>
  <c r="AI21" i="15"/>
  <c r="AI20" i="15"/>
  <c r="AI19" i="15"/>
  <c r="AI16" i="15"/>
  <c r="AI15" i="15"/>
  <c r="AI14" i="15"/>
  <c r="AI13" i="15"/>
  <c r="AI12" i="15"/>
  <c r="AI11" i="15"/>
  <c r="AI10" i="15"/>
  <c r="AI9" i="15"/>
  <c r="AI532" i="15"/>
  <c r="AI531" i="15"/>
  <c r="AI530" i="15"/>
  <c r="AI529" i="15"/>
  <c r="AI528" i="15"/>
  <c r="AI527" i="15"/>
  <c r="AI526" i="15"/>
  <c r="AI516" i="15"/>
  <c r="AI515" i="15"/>
  <c r="AI514" i="15"/>
  <c r="AI513" i="15"/>
  <c r="AI512" i="15"/>
  <c r="AI511" i="15"/>
  <c r="AI510" i="15"/>
  <c r="AI477" i="15"/>
  <c r="AI476" i="15"/>
  <c r="AI475" i="15"/>
  <c r="AI474" i="15"/>
  <c r="AI473" i="15"/>
  <c r="AI456" i="15"/>
  <c r="AI455" i="15"/>
  <c r="AI454" i="15"/>
  <c r="AI453" i="15"/>
  <c r="AI452" i="15"/>
  <c r="AI451" i="15"/>
  <c r="AI450" i="15"/>
  <c r="AI449" i="15"/>
  <c r="AI448" i="15"/>
  <c r="AI447" i="15"/>
  <c r="AI446" i="15"/>
  <c r="AI445" i="15"/>
  <c r="AI444" i="15"/>
  <c r="AI443" i="15"/>
  <c r="AI442" i="15"/>
  <c r="AI441" i="15"/>
  <c r="AI440" i="15"/>
  <c r="AI439" i="15"/>
  <c r="AI438" i="15"/>
  <c r="AI437" i="15"/>
  <c r="AI436" i="15"/>
  <c r="AI435" i="15"/>
  <c r="AI434" i="15"/>
  <c r="AI433" i="15"/>
  <c r="AI432" i="15"/>
  <c r="AI431" i="15"/>
  <c r="AI429" i="15"/>
  <c r="AI428" i="15"/>
  <c r="AI426" i="15"/>
  <c r="AI425" i="15"/>
  <c r="AI423" i="15"/>
  <c r="AI422" i="15"/>
  <c r="AI420" i="15"/>
  <c r="AI394" i="15"/>
  <c r="AI391" i="15"/>
  <c r="AI390" i="15"/>
  <c r="AI389" i="15"/>
  <c r="AI388" i="15"/>
  <c r="AI387" i="15"/>
  <c r="AI386" i="15"/>
  <c r="AI385" i="15"/>
  <c r="AI384" i="15"/>
  <c r="AI383" i="15"/>
  <c r="AI382" i="15"/>
  <c r="AI381" i="15"/>
  <c r="AI380" i="15"/>
  <c r="AI379" i="15"/>
  <c r="AI378" i="15"/>
  <c r="AI377" i="15"/>
  <c r="AI363" i="15"/>
  <c r="AI362" i="15"/>
  <c r="AI361" i="15"/>
  <c r="AI360" i="15"/>
  <c r="AI359" i="15"/>
  <c r="AI358" i="15"/>
  <c r="AI357" i="15"/>
  <c r="AI356" i="15"/>
  <c r="AI355" i="15"/>
  <c r="AI354" i="15"/>
  <c r="AI353" i="15"/>
  <c r="AI289" i="15"/>
  <c r="AI288" i="15"/>
  <c r="AI287" i="15"/>
  <c r="AI286" i="15"/>
  <c r="AI285" i="15"/>
  <c r="AI284" i="15"/>
  <c r="AI283" i="15"/>
  <c r="AI282" i="15"/>
  <c r="AI281" i="15"/>
  <c r="AI280" i="15"/>
  <c r="AI279" i="15"/>
  <c r="AI278" i="15"/>
  <c r="AI102" i="15"/>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100" i="15"/>
  <c r="AI99" i="15"/>
  <c r="AI97" i="15"/>
  <c r="AI96" i="15"/>
  <c r="AI94" i="15"/>
  <c r="AI92" i="15"/>
  <c r="AI90" i="15"/>
  <c r="AI74" i="15"/>
  <c r="AI73" i="15"/>
  <c r="AI72" i="15"/>
  <c r="AI69" i="15"/>
  <c r="AI68" i="15"/>
  <c r="AI67" i="15"/>
  <c r="AI61" i="15"/>
  <c r="AI60" i="15"/>
  <c r="AI59" i="15"/>
  <c r="AI58"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43" i="15" l="1"/>
  <c r="AI344" i="15" s="1"/>
  <c r="AI341" i="15"/>
  <c r="AI342" i="15" s="1"/>
  <c r="V274" i="6"/>
  <c r="F457" i="7"/>
  <c r="J444" i="7" s="1"/>
  <c r="AD331" i="15"/>
  <c r="AD332" i="15"/>
  <c r="AD333" i="15"/>
  <c r="J331" i="15"/>
  <c r="J332" i="15"/>
  <c r="J333" i="15"/>
  <c r="H331" i="15"/>
  <c r="H332" i="15"/>
  <c r="H333" i="15"/>
  <c r="B331" i="15"/>
  <c r="C331" i="15"/>
  <c r="B332" i="15"/>
  <c r="C332" i="15"/>
  <c r="B333" i="15"/>
  <c r="C333" i="15"/>
  <c r="G331" i="15"/>
  <c r="G332" i="15"/>
  <c r="G333" i="15"/>
  <c r="AD138" i="15"/>
  <c r="AD141" i="15"/>
  <c r="AD142" i="15"/>
  <c r="AD144" i="15"/>
  <c r="AD147" i="15"/>
  <c r="AD148" i="15"/>
  <c r="AD150" i="15"/>
  <c r="AD153" i="15"/>
  <c r="AD154" i="15"/>
  <c r="AD156" i="15"/>
  <c r="AD159" i="15"/>
  <c r="AD160" i="15"/>
  <c r="X154" i="15"/>
  <c r="Z154" i="15" s="1"/>
  <c r="X148" i="15"/>
  <c r="Z148" i="15" s="1"/>
  <c r="X142" i="15"/>
  <c r="Z142" i="15" s="1"/>
  <c r="X141" i="15"/>
  <c r="Z141" i="15" s="1"/>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P138" i="15"/>
  <c r="P141" i="15"/>
  <c r="P142" i="15"/>
  <c r="P144" i="15"/>
  <c r="P147" i="15"/>
  <c r="P148" i="15"/>
  <c r="P150" i="15"/>
  <c r="P153" i="15"/>
  <c r="P154" i="15"/>
  <c r="P156" i="15"/>
  <c r="P159" i="15"/>
  <c r="P160" i="15"/>
  <c r="J141" i="15"/>
  <c r="J138" i="15"/>
  <c r="J142" i="15"/>
  <c r="J144" i="15"/>
  <c r="J147" i="15"/>
  <c r="J148" i="15"/>
  <c r="J150" i="15"/>
  <c r="J153" i="15"/>
  <c r="J154" i="15"/>
  <c r="J156" i="15"/>
  <c r="J159" i="15"/>
  <c r="J160" i="15"/>
  <c r="G138" i="15"/>
  <c r="G139" i="15"/>
  <c r="D158" i="15"/>
  <c r="D157" i="15"/>
  <c r="D155" i="15"/>
  <c r="D152" i="15"/>
  <c r="D151" i="15"/>
  <c r="D149" i="15"/>
  <c r="D146" i="15"/>
  <c r="D145" i="15"/>
  <c r="D143" i="15"/>
  <c r="D140" i="15"/>
  <c r="D139" i="15"/>
  <c r="D137"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G151" i="15"/>
  <c r="G153" i="15"/>
  <c r="G155" i="15"/>
  <c r="G156" i="15"/>
  <c r="G157" i="15"/>
  <c r="G159" i="15"/>
  <c r="G147" i="15"/>
  <c r="G149" i="15"/>
  <c r="G150" i="15"/>
  <c r="G143" i="15"/>
  <c r="G144" i="15"/>
  <c r="G145" i="15"/>
  <c r="G137" i="15"/>
  <c r="G141" i="15"/>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38" i="6"/>
  <c r="K1198" i="6"/>
  <c r="K1196" i="6"/>
  <c r="AB185" i="15" s="1"/>
  <c r="K1194" i="6"/>
  <c r="K1192" i="6"/>
  <c r="BE1192" i="6" s="1"/>
  <c r="K1190" i="6"/>
  <c r="K1200" i="6"/>
  <c r="BE1200" i="6" s="1"/>
  <c r="F238" i="6"/>
  <c r="F310" i="6" s="1"/>
  <c r="F382" i="6" s="1"/>
  <c r="F454" i="6" s="1"/>
  <c r="F526" i="6" s="1"/>
  <c r="F598" i="6" s="1"/>
  <c r="F671" i="6" s="1"/>
  <c r="F743" i="6" s="1"/>
  <c r="F239" i="6"/>
  <c r="F311" i="6" s="1"/>
  <c r="F383" i="6" s="1"/>
  <c r="F455" i="6" s="1"/>
  <c r="F527" i="6" s="1"/>
  <c r="F599" i="6" s="1"/>
  <c r="F672" i="6" s="1"/>
  <c r="F744" i="6" s="1"/>
  <c r="F240" i="6"/>
  <c r="F312" i="6" s="1"/>
  <c r="F384" i="6" s="1"/>
  <c r="F456" i="6" s="1"/>
  <c r="F528" i="6" s="1"/>
  <c r="F600" i="6" s="1"/>
  <c r="F673" i="6" s="1"/>
  <c r="F745" i="6" s="1"/>
  <c r="F241" i="6"/>
  <c r="F242" i="6"/>
  <c r="F314" i="6" s="1"/>
  <c r="F386" i="6" s="1"/>
  <c r="F458" i="6" s="1"/>
  <c r="F530" i="6" s="1"/>
  <c r="F602" i="6" s="1"/>
  <c r="F675" i="6" s="1"/>
  <c r="F747" i="6" s="1"/>
  <c r="F245" i="6"/>
  <c r="F317" i="6" s="1"/>
  <c r="F389" i="6" s="1"/>
  <c r="F461" i="6" s="1"/>
  <c r="F533" i="6" s="1"/>
  <c r="F605" i="6" s="1"/>
  <c r="F678" i="6" s="1"/>
  <c r="F750"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4" i="6"/>
  <c r="F326" i="6" s="1"/>
  <c r="F398" i="6" s="1"/>
  <c r="F470" i="6" s="1"/>
  <c r="F542" i="6" s="1"/>
  <c r="F614" i="6" s="1"/>
  <c r="F687" i="6" s="1"/>
  <c r="F759"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3" i="6"/>
  <c r="F335" i="6" s="1"/>
  <c r="F407" i="6" s="1"/>
  <c r="F479" i="6" s="1"/>
  <c r="F551" i="6" s="1"/>
  <c r="F623" i="6" s="1"/>
  <c r="F696" i="6" s="1"/>
  <c r="F768"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2" i="6"/>
  <c r="F344" i="6" s="1"/>
  <c r="F416" i="6" s="1"/>
  <c r="F488" i="6" s="1"/>
  <c r="F560" i="6" s="1"/>
  <c r="F632" i="6" s="1"/>
  <c r="F705" i="6" s="1"/>
  <c r="F777" i="6" s="1"/>
  <c r="E187" i="6"/>
  <c r="F271" i="6" s="1"/>
  <c r="F343" i="6" s="1"/>
  <c r="F415" i="6" s="1"/>
  <c r="F487" i="6" s="1"/>
  <c r="F559" i="6" s="1"/>
  <c r="F631" i="6" s="1"/>
  <c r="F704" i="6" s="1"/>
  <c r="F776" i="6" s="1"/>
  <c r="E186" i="6"/>
  <c r="E178" i="6"/>
  <c r="F262" i="6" s="1"/>
  <c r="F334" i="6" s="1"/>
  <c r="F406" i="6" s="1"/>
  <c r="F478" i="6" s="1"/>
  <c r="F550" i="6" s="1"/>
  <c r="F622" i="6" s="1"/>
  <c r="F695" i="6" s="1"/>
  <c r="F767" i="6" s="1"/>
  <c r="E177" i="6"/>
  <c r="F261" i="6" s="1"/>
  <c r="F333" i="6" s="1"/>
  <c r="F405" i="6" s="1"/>
  <c r="F477" i="6" s="1"/>
  <c r="F549" i="6" s="1"/>
  <c r="F621" i="6" s="1"/>
  <c r="F694" i="6" s="1"/>
  <c r="F766" i="6" s="1"/>
  <c r="E169" i="6"/>
  <c r="F253" i="6" s="1"/>
  <c r="F325" i="6" s="1"/>
  <c r="F397" i="6" s="1"/>
  <c r="F469" i="6" s="1"/>
  <c r="F541" i="6" s="1"/>
  <c r="F613" i="6" s="1"/>
  <c r="F686" i="6" s="1"/>
  <c r="F758" i="6" s="1"/>
  <c r="E168" i="6"/>
  <c r="E160" i="6"/>
  <c r="F244" i="6" s="1"/>
  <c r="F316" i="6" s="1"/>
  <c r="F388" i="6" s="1"/>
  <c r="F460" i="6" s="1"/>
  <c r="F532" i="6" s="1"/>
  <c r="F604" i="6" s="1"/>
  <c r="F677" i="6" s="1"/>
  <c r="F749" i="6" s="1"/>
  <c r="E159" i="6"/>
  <c r="J189" i="6"/>
  <c r="X160" i="15" s="1"/>
  <c r="Z160" i="15" s="1"/>
  <c r="H189" i="6"/>
  <c r="E189" i="6"/>
  <c r="G160" i="15" s="1"/>
  <c r="J188" i="6"/>
  <c r="H188" i="6"/>
  <c r="K187" i="6"/>
  <c r="BE187" i="6" s="1"/>
  <c r="J187" i="6"/>
  <c r="Y158" i="15" s="1"/>
  <c r="H187" i="6"/>
  <c r="J186" i="6"/>
  <c r="H186" i="6"/>
  <c r="K185" i="6"/>
  <c r="BE185" i="6" s="1"/>
  <c r="J185" i="6"/>
  <c r="Y157" i="15" s="1"/>
  <c r="H185" i="6"/>
  <c r="J184" i="6"/>
  <c r="BC184" i="6" s="1"/>
  <c r="H184" i="6"/>
  <c r="I184" i="6" s="1"/>
  <c r="Q157" i="15" s="1"/>
  <c r="O157" i="15" s="1"/>
  <c r="J183" i="6"/>
  <c r="X156" i="15" s="1"/>
  <c r="Z156" i="15" s="1"/>
  <c r="H183" i="6"/>
  <c r="K156" i="15"/>
  <c r="I156" i="15" s="1"/>
  <c r="K182" i="6"/>
  <c r="BE182" i="6" s="1"/>
  <c r="J182" i="6"/>
  <c r="BC182" i="6" s="1"/>
  <c r="H182" i="6"/>
  <c r="J181" i="6"/>
  <c r="X155" i="15" s="1"/>
  <c r="H181" i="6"/>
  <c r="BC180" i="6"/>
  <c r="H180" i="6"/>
  <c r="E180" i="6"/>
  <c r="J179" i="6"/>
  <c r="X153" i="15" s="1"/>
  <c r="Z153" i="15" s="1"/>
  <c r="H179" i="6"/>
  <c r="K178" i="6"/>
  <c r="BE178" i="6" s="1"/>
  <c r="J178" i="6"/>
  <c r="BC178" i="6" s="1"/>
  <c r="H178" i="6"/>
  <c r="J177" i="6"/>
  <c r="X152" i="15" s="1"/>
  <c r="H177" i="6"/>
  <c r="K176" i="6"/>
  <c r="BE176" i="6" s="1"/>
  <c r="J176" i="6"/>
  <c r="Y151" i="15" s="1"/>
  <c r="H176" i="6"/>
  <c r="I176" i="6" s="1"/>
  <c r="S151" i="15" s="1"/>
  <c r="P151" i="15" s="1"/>
  <c r="W151" i="15" s="1"/>
  <c r="J175" i="6"/>
  <c r="X151" i="15" s="1"/>
  <c r="H175" i="6"/>
  <c r="J174" i="6"/>
  <c r="X150" i="15" s="1"/>
  <c r="Z150" i="15" s="1"/>
  <c r="H174" i="6"/>
  <c r="I174" i="6" s="1"/>
  <c r="Q150" i="15" s="1"/>
  <c r="K173" i="6"/>
  <c r="BE173" i="6" s="1"/>
  <c r="J173" i="6"/>
  <c r="H173" i="6"/>
  <c r="J172" i="6"/>
  <c r="BC172" i="6" s="1"/>
  <c r="BD172" i="6" s="1"/>
  <c r="AE149" i="15" s="1"/>
  <c r="AC149" i="15" s="1"/>
  <c r="H172" i="6"/>
  <c r="K149" i="15"/>
  <c r="I149" i="15" s="1"/>
  <c r="BC171" i="6"/>
  <c r="H171" i="6"/>
  <c r="E171" i="6"/>
  <c r="G148" i="15" s="1"/>
  <c r="J170" i="6"/>
  <c r="BC170" i="6" s="1"/>
  <c r="H170" i="6"/>
  <c r="K169" i="6"/>
  <c r="BE169" i="6" s="1"/>
  <c r="J169" i="6"/>
  <c r="H169" i="6"/>
  <c r="J168" i="6"/>
  <c r="X146" i="15" s="1"/>
  <c r="H168" i="6"/>
  <c r="K167" i="6"/>
  <c r="BE167" i="6" s="1"/>
  <c r="J167" i="6"/>
  <c r="BC167" i="6" s="1"/>
  <c r="H167" i="6"/>
  <c r="J166" i="6"/>
  <c r="BC166" i="6" s="1"/>
  <c r="BD166" i="6" s="1"/>
  <c r="AE145" i="15" s="1"/>
  <c r="AC145" i="15" s="1"/>
  <c r="H166" i="6"/>
  <c r="I166" i="6" s="1"/>
  <c r="Q145" i="15" s="1"/>
  <c r="O145" i="15" s="1"/>
  <c r="K145" i="15"/>
  <c r="I145" i="15" s="1"/>
  <c r="J165" i="6"/>
  <c r="X144" i="15" s="1"/>
  <c r="Z144" i="15" s="1"/>
  <c r="H165" i="6"/>
  <c r="K164" i="6"/>
  <c r="BE164" i="6" s="1"/>
  <c r="J164" i="6"/>
  <c r="BC164" i="6" s="1"/>
  <c r="H164" i="6"/>
  <c r="J163" i="6"/>
  <c r="X143" i="15" s="1"/>
  <c r="H163" i="6"/>
  <c r="I163" i="6" s="1"/>
  <c r="Q143" i="15" s="1"/>
  <c r="O143" i="15" s="1"/>
  <c r="BC162" i="6"/>
  <c r="H162" i="6"/>
  <c r="E162" i="6"/>
  <c r="G142" i="15" s="1"/>
  <c r="BC161" i="6"/>
  <c r="H161" i="6"/>
  <c r="K160" i="6"/>
  <c r="BE160" i="6" s="1"/>
  <c r="J160" i="6"/>
  <c r="BC160" i="6" s="1"/>
  <c r="H160" i="6"/>
  <c r="J159" i="6"/>
  <c r="H159" i="6"/>
  <c r="I159" i="6" s="1"/>
  <c r="Q140" i="15" s="1"/>
  <c r="O140" i="15" s="1"/>
  <c r="K158" i="6"/>
  <c r="BE158" i="6" s="1"/>
  <c r="J158" i="6"/>
  <c r="H158" i="6"/>
  <c r="J157" i="6"/>
  <c r="BC157" i="6" s="1"/>
  <c r="BD157" i="6" s="1"/>
  <c r="AE139" i="15" s="1"/>
  <c r="AC139" i="15" s="1"/>
  <c r="H157" i="6"/>
  <c r="J156" i="6"/>
  <c r="BC156" i="6" s="1"/>
  <c r="H156" i="6"/>
  <c r="K155" i="6"/>
  <c r="BE155" i="6" s="1"/>
  <c r="J155" i="6"/>
  <c r="BC155" i="6" s="1"/>
  <c r="BD155" i="6" s="1"/>
  <c r="AG137" i="15" s="1"/>
  <c r="AD137" i="15" s="1"/>
  <c r="H155" i="6"/>
  <c r="I155" i="6" s="1"/>
  <c r="S137" i="15" s="1"/>
  <c r="P137" i="15" s="1"/>
  <c r="W137" i="15" s="1"/>
  <c r="J154" i="6"/>
  <c r="BC154" i="6" s="1"/>
  <c r="BD154" i="6" s="1"/>
  <c r="AE137" i="15" s="1"/>
  <c r="AC137" i="15" s="1"/>
  <c r="H154" i="6"/>
  <c r="I154" i="6" s="1"/>
  <c r="Q137" i="15" s="1"/>
  <c r="O137" i="15" s="1"/>
  <c r="E707" i="6"/>
  <c r="E1150" i="6" s="1"/>
  <c r="L383" i="6"/>
  <c r="L384" i="6" s="1"/>
  <c r="L385" i="6" s="1"/>
  <c r="L386" i="6" s="1"/>
  <c r="L389" i="6" s="1"/>
  <c r="L391" i="6" s="1"/>
  <c r="L392" i="6" s="1"/>
  <c r="L393" i="6" s="1"/>
  <c r="L394" i="6" s="1"/>
  <c r="L395" i="6" s="1"/>
  <c r="L398" i="6" s="1"/>
  <c r="L400" i="6" s="1"/>
  <c r="L401" i="6" s="1"/>
  <c r="L402" i="6" s="1"/>
  <c r="L403" i="6" s="1"/>
  <c r="L404" i="6" s="1"/>
  <c r="L407" i="6" s="1"/>
  <c r="L409" i="6" s="1"/>
  <c r="L410" i="6" s="1"/>
  <c r="L411" i="6" s="1"/>
  <c r="L412" i="6" s="1"/>
  <c r="L413" i="6" s="1"/>
  <c r="L416" i="6" s="1"/>
  <c r="K778" i="6"/>
  <c r="K775" i="6"/>
  <c r="L184" i="6"/>
  <c r="AJ157" i="15" s="1"/>
  <c r="K769" i="6"/>
  <c r="L179" i="6"/>
  <c r="AJ153" i="15" s="1"/>
  <c r="K765" i="6"/>
  <c r="L175" i="6"/>
  <c r="AJ151" i="15" s="1"/>
  <c r="K764" i="6"/>
  <c r="L183" i="6"/>
  <c r="AJ156" i="15" s="1"/>
  <c r="K762" i="6"/>
  <c r="K770" i="6"/>
  <c r="L171" i="6"/>
  <c r="AJ148" i="15" s="1"/>
  <c r="K759" i="6"/>
  <c r="L169" i="6"/>
  <c r="K757" i="6"/>
  <c r="L167" i="6"/>
  <c r="L165" i="6"/>
  <c r="AJ144" i="15" s="1"/>
  <c r="K753" i="6"/>
  <c r="K750" i="6"/>
  <c r="L160" i="6"/>
  <c r="K748" i="6"/>
  <c r="L158" i="6"/>
  <c r="F313" i="6"/>
  <c r="F385" i="6" s="1"/>
  <c r="F457" i="6" s="1"/>
  <c r="F529" i="6" s="1"/>
  <c r="F601" i="6" s="1"/>
  <c r="F674" i="6" s="1"/>
  <c r="F746" i="6" s="1"/>
  <c r="L155" i="6"/>
  <c r="K743" i="6"/>
  <c r="J273" i="6"/>
  <c r="F189" i="6" s="1"/>
  <c r="J271" i="6"/>
  <c r="F187" i="6" s="1"/>
  <c r="J270" i="6"/>
  <c r="F186" i="6" s="1"/>
  <c r="J264" i="6"/>
  <c r="F180" i="6" s="1"/>
  <c r="J262" i="6"/>
  <c r="F178" i="6" s="1"/>
  <c r="J261" i="6"/>
  <c r="F177" i="6" s="1"/>
  <c r="J255" i="6"/>
  <c r="F171" i="6" s="1"/>
  <c r="J253" i="6"/>
  <c r="F169" i="6" s="1"/>
  <c r="J252" i="6"/>
  <c r="F168" i="6" s="1"/>
  <c r="J246" i="6"/>
  <c r="F162" i="6" s="1"/>
  <c r="K142" i="15" s="1"/>
  <c r="I142" i="15" s="1"/>
  <c r="J244" i="6"/>
  <c r="F160" i="6" s="1"/>
  <c r="W1223" i="6"/>
  <c r="BC168" i="6"/>
  <c r="BC189" i="6"/>
  <c r="G152" i="15"/>
  <c r="BC165" i="6"/>
  <c r="BD165" i="6" s="1"/>
  <c r="AE144" i="15" s="1"/>
  <c r="AC144" i="15" s="1"/>
  <c r="F255" i="6"/>
  <c r="F327" i="6" s="1"/>
  <c r="F399" i="6" s="1"/>
  <c r="F471" i="6" s="1"/>
  <c r="F543" i="6" s="1"/>
  <c r="F615" i="6" s="1"/>
  <c r="F688" i="6" s="1"/>
  <c r="F760" i="6" s="1"/>
  <c r="F264" i="6"/>
  <c r="F336" i="6" s="1"/>
  <c r="F408" i="6" s="1"/>
  <c r="F480" i="6" s="1"/>
  <c r="F552" i="6" s="1"/>
  <c r="F624" i="6" s="1"/>
  <c r="F697" i="6" s="1"/>
  <c r="F769" i="6" s="1"/>
  <c r="G154" i="15"/>
  <c r="F252" i="6"/>
  <c r="F324" i="6" s="1"/>
  <c r="F396" i="6" s="1"/>
  <c r="F468" i="6" s="1"/>
  <c r="F540" i="6" s="1"/>
  <c r="F612" i="6" s="1"/>
  <c r="F685" i="6" s="1"/>
  <c r="F757" i="6" s="1"/>
  <c r="G146" i="15"/>
  <c r="L161" i="6"/>
  <c r="AJ141" i="15" s="1"/>
  <c r="I172" i="6"/>
  <c r="Q149" i="15" s="1"/>
  <c r="O149" i="15" s="1"/>
  <c r="I183" i="6"/>
  <c r="Q156" i="15" s="1"/>
  <c r="L176" i="6"/>
  <c r="L180" i="6"/>
  <c r="AJ154" i="15" s="1"/>
  <c r="L186" i="6"/>
  <c r="AJ158" i="15" s="1"/>
  <c r="I188" i="6"/>
  <c r="Q159" i="15" s="1"/>
  <c r="O159" i="15" s="1"/>
  <c r="K744" i="6"/>
  <c r="K772" i="6"/>
  <c r="L189" i="6"/>
  <c r="AJ160" i="15" s="1"/>
  <c r="L170" i="6"/>
  <c r="AJ147" i="15" s="1"/>
  <c r="L168" i="6"/>
  <c r="AJ146" i="15" s="1"/>
  <c r="K758" i="6"/>
  <c r="L159" i="6"/>
  <c r="AJ140" i="15" s="1"/>
  <c r="K754" i="6"/>
  <c r="L173" i="6"/>
  <c r="L181" i="6"/>
  <c r="AJ155" i="15" s="1"/>
  <c r="L164" i="6"/>
  <c r="L154" i="6"/>
  <c r="AJ137" i="15" s="1"/>
  <c r="J443" i="7"/>
  <c r="I442" i="7"/>
  <c r="I439" i="7"/>
  <c r="V444" i="7"/>
  <c r="N444" i="7"/>
  <c r="L444" i="7"/>
  <c r="BC444" i="7" s="1"/>
  <c r="H444" i="7"/>
  <c r="V443" i="7"/>
  <c r="N443" i="7"/>
  <c r="L443" i="7"/>
  <c r="H443" i="7"/>
  <c r="V442" i="7"/>
  <c r="N442" i="7"/>
  <c r="L442" i="7"/>
  <c r="X331" i="15" s="1"/>
  <c r="Z331" i="15" s="1"/>
  <c r="H442" i="7"/>
  <c r="AD507" i="15"/>
  <c r="H507" i="15"/>
  <c r="G507" i="15"/>
  <c r="C507" i="15"/>
  <c r="AM507" i="15" s="1"/>
  <c r="B508" i="15"/>
  <c r="AD109" i="15"/>
  <c r="AD110" i="15"/>
  <c r="AD114" i="15"/>
  <c r="AD117" i="15"/>
  <c r="AD118" i="15"/>
  <c r="AD120" i="15"/>
  <c r="AD123" i="15"/>
  <c r="AD124" i="15"/>
  <c r="AD126" i="15"/>
  <c r="AD129" i="15"/>
  <c r="AD130" i="15"/>
  <c r="AD132" i="15"/>
  <c r="AD135" i="15"/>
  <c r="AD136" i="15"/>
  <c r="AD162" i="15"/>
  <c r="AD163" i="15"/>
  <c r="AD164" i="15"/>
  <c r="AD166" i="15"/>
  <c r="AD170" i="15"/>
  <c r="AD171" i="15"/>
  <c r="AD172" i="15"/>
  <c r="AD173" i="15"/>
  <c r="AD174" i="15"/>
  <c r="AD175" i="15"/>
  <c r="AD178" i="15"/>
  <c r="AD179" i="15"/>
  <c r="AD182" i="15"/>
  <c r="AD183" i="15"/>
  <c r="AD184" i="15"/>
  <c r="AD185" i="15"/>
  <c r="AD186" i="15"/>
  <c r="AD187" i="15"/>
  <c r="AD188" i="15"/>
  <c r="AD191" i="15"/>
  <c r="AD194" i="15"/>
  <c r="AD195" i="15"/>
  <c r="AD198" i="15"/>
  <c r="AD199" i="15"/>
  <c r="AD204" i="15"/>
  <c r="AD205" i="15"/>
  <c r="AD208" i="15"/>
  <c r="AD209" i="15"/>
  <c r="AD210" i="15"/>
  <c r="AD211" i="15"/>
  <c r="AD214" i="15"/>
  <c r="AD215" i="15"/>
  <c r="AD216" i="15"/>
  <c r="AD217" i="15"/>
  <c r="AD218" i="15"/>
  <c r="AD219" i="15"/>
  <c r="AD220" i="15"/>
  <c r="AD221" i="15"/>
  <c r="AD222" i="15"/>
  <c r="AD223" i="15"/>
  <c r="AD224" i="15"/>
  <c r="AD226" i="15"/>
  <c r="AD227" i="15"/>
  <c r="AD228" i="15"/>
  <c r="AD232" i="15"/>
  <c r="AD233" i="15"/>
  <c r="AD234" i="15"/>
  <c r="AD236" i="15"/>
  <c r="AD238" i="15"/>
  <c r="AD240" i="15"/>
  <c r="AD257" i="15"/>
  <c r="AD263" i="15"/>
  <c r="AD264" i="15"/>
  <c r="AD265"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08" i="15"/>
  <c r="AD309"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4" i="15"/>
  <c r="AD335" i="15"/>
  <c r="AD336" i="15"/>
  <c r="AD337" i="15"/>
  <c r="AD338" i="15"/>
  <c r="AD339" i="15"/>
  <c r="AD340" i="15"/>
  <c r="AD343" i="15"/>
  <c r="AD344" i="15"/>
  <c r="AD345" i="15"/>
  <c r="AD347" i="15"/>
  <c r="AD349" i="15"/>
  <c r="AD351" i="15"/>
  <c r="AD353" i="15"/>
  <c r="AD354" i="15"/>
  <c r="AD355" i="15"/>
  <c r="AD356" i="15"/>
  <c r="AD357" i="15"/>
  <c r="AD358" i="15"/>
  <c r="AD359" i="15"/>
  <c r="AD360" i="15"/>
  <c r="AD361" i="15"/>
  <c r="AD362" i="15"/>
  <c r="AD363" i="15"/>
  <c r="AD364" i="15"/>
  <c r="AD366" i="15"/>
  <c r="AD367"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4" i="15"/>
  <c r="AD395" i="15"/>
  <c r="AD396" i="15"/>
  <c r="AD397" i="15"/>
  <c r="AD398" i="15"/>
  <c r="AD399" i="15"/>
  <c r="AD400" i="15"/>
  <c r="AD401" i="15"/>
  <c r="AD403" i="15"/>
  <c r="AD404" i="15"/>
  <c r="AD405" i="15"/>
  <c r="AD406" i="15"/>
  <c r="AD407" i="15"/>
  <c r="AD408" i="15"/>
  <c r="AD409" i="15"/>
  <c r="AD410" i="15"/>
  <c r="AD411" i="15"/>
  <c r="AD412" i="15"/>
  <c r="AD413" i="15"/>
  <c r="AD414" i="15"/>
  <c r="AD416" i="15"/>
  <c r="AD417" i="15"/>
  <c r="AD418" i="15"/>
  <c r="AD420" i="15"/>
  <c r="AD422" i="15"/>
  <c r="AD423" i="15"/>
  <c r="AD425" i="15"/>
  <c r="AD426" i="15"/>
  <c r="AD428" i="15"/>
  <c r="AD429" i="15"/>
  <c r="AD433" i="15"/>
  <c r="AD434" i="15"/>
  <c r="AD435" i="15"/>
  <c r="AD436" i="15"/>
  <c r="AD437" i="15"/>
  <c r="AD438" i="15"/>
  <c r="AD439" i="15"/>
  <c r="AD440" i="15"/>
  <c r="AD441" i="15"/>
  <c r="AD442" i="15"/>
  <c r="AD443" i="15"/>
  <c r="AD444" i="15"/>
  <c r="AD445" i="15"/>
  <c r="AD446" i="15"/>
  <c r="AD447" i="15"/>
  <c r="AD448" i="15"/>
  <c r="AD449" i="15"/>
  <c r="AD450" i="15"/>
  <c r="AD451" i="15"/>
  <c r="AD452" i="15"/>
  <c r="AD453" i="15"/>
  <c r="AD454" i="15"/>
  <c r="AD455" i="15"/>
  <c r="AD456" i="15"/>
  <c r="AD473" i="15"/>
  <c r="AD474" i="15"/>
  <c r="AD475" i="15"/>
  <c r="AD476" i="15"/>
  <c r="AD477" i="15"/>
  <c r="AD478" i="15"/>
  <c r="AD479" i="15"/>
  <c r="AD480" i="15"/>
  <c r="AD481" i="15"/>
  <c r="AD482" i="15"/>
  <c r="AD483" i="15"/>
  <c r="AD484" i="15"/>
  <c r="AD485" i="15"/>
  <c r="AD486" i="15"/>
  <c r="AD487" i="15"/>
  <c r="AD488" i="15"/>
  <c r="AD489" i="15"/>
  <c r="AD491" i="15"/>
  <c r="AD492" i="15"/>
  <c r="AD493" i="15"/>
  <c r="AD494" i="15"/>
  <c r="AD495" i="15"/>
  <c r="AD496" i="15"/>
  <c r="AD497" i="15"/>
  <c r="AD498" i="15"/>
  <c r="AD499" i="15"/>
  <c r="AD500" i="15"/>
  <c r="AD503" i="15"/>
  <c r="AD504" i="15"/>
  <c r="AD508" i="15"/>
  <c r="AD509" i="15"/>
  <c r="AD510" i="15"/>
  <c r="AD511" i="15"/>
  <c r="AD512" i="15"/>
  <c r="AD513" i="15"/>
  <c r="AD514" i="15"/>
  <c r="AD515" i="15"/>
  <c r="AD516" i="15"/>
  <c r="AD517" i="15"/>
  <c r="AD518" i="15"/>
  <c r="AD519" i="15"/>
  <c r="AD520" i="15"/>
  <c r="AD521" i="15"/>
  <c r="AD522" i="15"/>
  <c r="AD523" i="15"/>
  <c r="AD524" i="15"/>
  <c r="AD525" i="15"/>
  <c r="AD527" i="15"/>
  <c r="AD528" i="15"/>
  <c r="AD529" i="15"/>
  <c r="AD530" i="15"/>
  <c r="AD531" i="15"/>
  <c r="AD532" i="15"/>
  <c r="AD533" i="15"/>
  <c r="AD534" i="15"/>
  <c r="AD535" i="15"/>
  <c r="AD536" i="15"/>
  <c r="AD537" i="15"/>
  <c r="AD538" i="15"/>
  <c r="AD539" i="15"/>
  <c r="AD540" i="15"/>
  <c r="AD541" i="15"/>
  <c r="AD542" i="15"/>
  <c r="AD543" i="15"/>
  <c r="AD544" i="15"/>
  <c r="AD545" i="15"/>
  <c r="AD546" i="15"/>
  <c r="AD547" i="15"/>
  <c r="AD548" i="15"/>
  <c r="AD549" i="15"/>
  <c r="AD551" i="15"/>
  <c r="AD553" i="15"/>
  <c r="AD55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4" i="15"/>
  <c r="AD595" i="15"/>
  <c r="AD596" i="15"/>
  <c r="AD597" i="15"/>
  <c r="AD598" i="15"/>
  <c r="AD599" i="15"/>
  <c r="AD600" i="15"/>
  <c r="AD601" i="15"/>
  <c r="AD602" i="15"/>
  <c r="AD603" i="15"/>
  <c r="AD604" i="15"/>
  <c r="AD607" i="15"/>
  <c r="AD608" i="15"/>
  <c r="AD609" i="15"/>
  <c r="AD610" i="15"/>
  <c r="AD611" i="15"/>
  <c r="AD612" i="15"/>
  <c r="AD613" i="15"/>
  <c r="AD614" i="15"/>
  <c r="AD615" i="15"/>
  <c r="AD616" i="15"/>
  <c r="AD617" i="15"/>
  <c r="AD618" i="15"/>
  <c r="AD619" i="15"/>
  <c r="AD620" i="15"/>
  <c r="AD621" i="15"/>
  <c r="AD622" i="15"/>
  <c r="AD623" i="15"/>
  <c r="AD624" i="15"/>
  <c r="AD625" i="15"/>
  <c r="AD626" i="15"/>
  <c r="AD627"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3" i="15"/>
  <c r="AD654" i="15"/>
  <c r="AD655" i="15"/>
  <c r="AD656" i="15"/>
  <c r="AD657" i="15"/>
  <c r="AD658" i="15"/>
  <c r="AD659" i="15"/>
  <c r="AD660" i="15"/>
  <c r="AD661" i="15"/>
  <c r="AD662" i="15"/>
  <c r="AD663" i="15"/>
  <c r="AD664" i="15"/>
  <c r="AD665" i="15"/>
  <c r="AC607" i="15"/>
  <c r="AC533" i="15"/>
  <c r="AE297" i="15"/>
  <c r="AC297" i="15" s="1"/>
  <c r="AE296" i="15"/>
  <c r="AC296" i="15" s="1"/>
  <c r="W669" i="15"/>
  <c r="V669" i="15" s="1"/>
  <c r="U669" i="15" s="1"/>
  <c r="AM669" i="15"/>
  <c r="AN669" i="15" s="1"/>
  <c r="AO669" i="15" s="1"/>
  <c r="Z665" i="15"/>
  <c r="AM665" i="15"/>
  <c r="AM664" i="15"/>
  <c r="Z664" i="15"/>
  <c r="W664" i="15" s="1"/>
  <c r="AM663" i="15"/>
  <c r="Z662" i="15"/>
  <c r="Z661" i="15"/>
  <c r="AM662" i="15"/>
  <c r="AM661" i="15"/>
  <c r="Z660" i="15"/>
  <c r="AM660" i="15"/>
  <c r="AM658" i="15"/>
  <c r="Z658" i="15"/>
  <c r="W658" i="15" s="1"/>
  <c r="AM659" i="15"/>
  <c r="Z657" i="15"/>
  <c r="W657" i="15" s="1"/>
  <c r="AM657" i="15"/>
  <c r="Z656" i="15"/>
  <c r="W656" i="15" s="1"/>
  <c r="V656" i="15" s="1"/>
  <c r="AM656" i="15"/>
  <c r="AM655" i="15"/>
  <c r="Z654" i="15"/>
  <c r="W654" i="15" s="1"/>
  <c r="V654" i="15" s="1"/>
  <c r="AM654" i="15"/>
  <c r="Z653" i="15"/>
  <c r="W653" i="15" s="1"/>
  <c r="V653" i="15" s="1"/>
  <c r="AM653" i="15"/>
  <c r="AM650" i="15"/>
  <c r="AM649" i="15"/>
  <c r="Z649" i="15"/>
  <c r="W649" i="15" s="1"/>
  <c r="AM648" i="15"/>
  <c r="AM647" i="15"/>
  <c r="Z647" i="15"/>
  <c r="W647" i="15" s="1"/>
  <c r="AM646" i="15"/>
  <c r="AM645" i="15"/>
  <c r="Z645" i="15"/>
  <c r="W645" i="15" s="1"/>
  <c r="Z644" i="15"/>
  <c r="W644" i="15" s="1"/>
  <c r="AM644" i="15"/>
  <c r="Z643" i="15"/>
  <c r="W643" i="15" s="1"/>
  <c r="AM643" i="15"/>
  <c r="AM637" i="15"/>
  <c r="Z637" i="15"/>
  <c r="AM638" i="15"/>
  <c r="Z638" i="15"/>
  <c r="AM639" i="15"/>
  <c r="Z639" i="15"/>
  <c r="AM640" i="15"/>
  <c r="Z640" i="15"/>
  <c r="AM641" i="15"/>
  <c r="Z641" i="15"/>
  <c r="AM642" i="15"/>
  <c r="Z642" i="15"/>
  <c r="Z636" i="15"/>
  <c r="AM636" i="15"/>
  <c r="AM630" i="15"/>
  <c r="Z630" i="15"/>
  <c r="W630" i="15" s="1"/>
  <c r="AM631" i="15"/>
  <c r="AM632" i="15"/>
  <c r="Z632" i="15"/>
  <c r="W632" i="15" s="1"/>
  <c r="AM633" i="15"/>
  <c r="Z633" i="15"/>
  <c r="W633" i="15" s="1"/>
  <c r="AM634" i="15"/>
  <c r="Z634" i="15"/>
  <c r="W634" i="15" s="1"/>
  <c r="AM635" i="15"/>
  <c r="Z635" i="15"/>
  <c r="W635" i="15" s="1"/>
  <c r="Z629" i="15"/>
  <c r="W629" i="15" s="1"/>
  <c r="AM629" i="15"/>
  <c r="AM625" i="15"/>
  <c r="Z625" i="15"/>
  <c r="W625" i="15" s="1"/>
  <c r="AM626" i="15"/>
  <c r="Z626" i="15"/>
  <c r="W626" i="15" s="1"/>
  <c r="AM627" i="15"/>
  <c r="Z627" i="15"/>
  <c r="W627" i="15" s="1"/>
  <c r="AM628" i="15"/>
  <c r="Z628" i="15"/>
  <c r="W628" i="15" s="1"/>
  <c r="AM624" i="15"/>
  <c r="AM621" i="15"/>
  <c r="Z621" i="15"/>
  <c r="W621" i="15" s="1"/>
  <c r="AM622" i="15"/>
  <c r="Z622" i="15"/>
  <c r="W622" i="15" s="1"/>
  <c r="AM623" i="15"/>
  <c r="Z623" i="15"/>
  <c r="W623" i="15" s="1"/>
  <c r="AM620" i="15"/>
  <c r="Z619" i="15"/>
  <c r="AM619" i="15"/>
  <c r="P619" i="15"/>
  <c r="J619" i="15"/>
  <c r="AM614" i="15"/>
  <c r="J614" i="15"/>
  <c r="P614" i="15"/>
  <c r="Z614" i="15"/>
  <c r="AM615" i="15"/>
  <c r="J615" i="15"/>
  <c r="P615" i="15"/>
  <c r="Z615" i="15"/>
  <c r="AM616" i="15"/>
  <c r="J616" i="15"/>
  <c r="P616" i="15"/>
  <c r="Z616" i="15"/>
  <c r="AM617" i="15"/>
  <c r="J617" i="15"/>
  <c r="P617" i="15"/>
  <c r="Z617" i="15"/>
  <c r="AM618" i="15"/>
  <c r="J618" i="15"/>
  <c r="P618" i="15"/>
  <c r="Z618" i="15"/>
  <c r="Z613" i="15"/>
  <c r="P613" i="15"/>
  <c r="J613" i="15"/>
  <c r="P612" i="15"/>
  <c r="P611" i="15"/>
  <c r="P610" i="15"/>
  <c r="P609" i="15"/>
  <c r="P608" i="15"/>
  <c r="J612" i="15"/>
  <c r="J611" i="15"/>
  <c r="J610" i="15"/>
  <c r="J609" i="15"/>
  <c r="J608" i="15"/>
  <c r="AM613" i="15"/>
  <c r="AM609" i="15"/>
  <c r="Z609" i="15"/>
  <c r="AM610" i="15"/>
  <c r="Z610" i="15"/>
  <c r="AM611" i="15"/>
  <c r="Z611" i="15"/>
  <c r="AM612" i="15"/>
  <c r="Z612" i="15"/>
  <c r="Z608" i="15"/>
  <c r="AM608" i="15"/>
  <c r="Z607" i="15"/>
  <c r="AM607" i="15"/>
  <c r="AM604" i="15"/>
  <c r="Z604" i="15"/>
  <c r="AM603" i="15"/>
  <c r="Z602" i="15"/>
  <c r="W602" i="15" s="1"/>
  <c r="P602" i="15"/>
  <c r="J602" i="15"/>
  <c r="AM602" i="15"/>
  <c r="AM600" i="15"/>
  <c r="Z600" i="15"/>
  <c r="W600" i="15" s="1"/>
  <c r="AM601" i="15"/>
  <c r="Z601" i="15"/>
  <c r="W601" i="15" s="1"/>
  <c r="Z599" i="15"/>
  <c r="W599" i="15" s="1"/>
  <c r="AM599" i="15"/>
  <c r="AM596" i="15"/>
  <c r="Z596" i="15"/>
  <c r="W596" i="15" s="1"/>
  <c r="AM597" i="15"/>
  <c r="AM598" i="15"/>
  <c r="Z598" i="15"/>
  <c r="W598" i="15" s="1"/>
  <c r="Z595" i="15"/>
  <c r="W595" i="15" s="1"/>
  <c r="AM595" i="15"/>
  <c r="Z594" i="15"/>
  <c r="W594" i="15" s="1"/>
  <c r="AM594" i="15"/>
  <c r="AM593" i="15"/>
  <c r="AM592" i="15"/>
  <c r="Z592" i="15"/>
  <c r="AM591" i="15"/>
  <c r="AM587" i="15"/>
  <c r="AM588" i="15"/>
  <c r="Z588" i="15"/>
  <c r="AM589" i="15"/>
  <c r="Z589" i="15"/>
  <c r="AM590" i="15"/>
  <c r="Z590" i="15"/>
  <c r="AM586" i="15"/>
  <c r="Z585" i="15"/>
  <c r="W585" i="15" s="1"/>
  <c r="AM585" i="15"/>
  <c r="Z584" i="15"/>
  <c r="W584" i="15" s="1"/>
  <c r="AM584" i="15"/>
  <c r="AM581" i="15"/>
  <c r="Z581" i="15"/>
  <c r="W581" i="15" s="1"/>
  <c r="AM582" i="15"/>
  <c r="Z582" i="15"/>
  <c r="W582" i="15" s="1"/>
  <c r="AM583" i="15"/>
  <c r="AM567" i="15"/>
  <c r="AM568" i="15"/>
  <c r="AM569" i="15"/>
  <c r="AM570" i="15"/>
  <c r="AM571" i="15"/>
  <c r="AM572" i="15"/>
  <c r="AM573" i="15"/>
  <c r="AM574" i="15"/>
  <c r="AM575" i="15"/>
  <c r="Z575" i="15"/>
  <c r="W575" i="15" s="1"/>
  <c r="AM576" i="15"/>
  <c r="AM577" i="15"/>
  <c r="Z577" i="15"/>
  <c r="W577" i="15" s="1"/>
  <c r="AM578" i="15"/>
  <c r="Z578" i="15"/>
  <c r="W578" i="15" s="1"/>
  <c r="AM579" i="15"/>
  <c r="AM580" i="15"/>
  <c r="Z580" i="15"/>
  <c r="W580" i="15" s="1"/>
  <c r="AM566" i="15"/>
  <c r="AM535" i="15"/>
  <c r="AM536" i="15"/>
  <c r="AM537" i="15"/>
  <c r="AM538" i="15"/>
  <c r="AM539" i="15"/>
  <c r="AM540" i="15"/>
  <c r="AM541" i="15"/>
  <c r="AM542" i="15"/>
  <c r="AM543" i="15"/>
  <c r="AM544" i="15"/>
  <c r="AM545" i="15"/>
  <c r="AM546" i="15"/>
  <c r="AM547" i="15"/>
  <c r="AM548" i="15"/>
  <c r="AM549" i="15"/>
  <c r="AM551" i="15"/>
  <c r="AM553" i="15"/>
  <c r="AM555" i="15"/>
  <c r="AM534" i="15"/>
  <c r="Z533" i="15"/>
  <c r="G532" i="15"/>
  <c r="G531" i="15"/>
  <c r="G530" i="15"/>
  <c r="G529" i="15"/>
  <c r="G528" i="15"/>
  <c r="G527" i="15"/>
  <c r="AB529" i="15"/>
  <c r="AB528" i="15"/>
  <c r="AB527" i="15"/>
  <c r="X531" i="15"/>
  <c r="Z531" i="15" s="1"/>
  <c r="X530" i="15"/>
  <c r="Z530" i="15" s="1"/>
  <c r="X529" i="15"/>
  <c r="Z529" i="15" s="1"/>
  <c r="X528" i="15"/>
  <c r="Z528" i="15" s="1"/>
  <c r="X527" i="15"/>
  <c r="Z527" i="15" s="1"/>
  <c r="H532" i="15"/>
  <c r="H531" i="15"/>
  <c r="H530" i="15"/>
  <c r="H529" i="15"/>
  <c r="H528" i="15"/>
  <c r="H527" i="15"/>
  <c r="C532" i="15"/>
  <c r="AM532" i="15" s="1"/>
  <c r="C531" i="15"/>
  <c r="AM531" i="15" s="1"/>
  <c r="C530" i="15"/>
  <c r="AM530" i="15" s="1"/>
  <c r="C529" i="15"/>
  <c r="AM529" i="15" s="1"/>
  <c r="C528" i="15"/>
  <c r="AM528" i="15" s="1"/>
  <c r="C527" i="15"/>
  <c r="AM527" i="15" s="1"/>
  <c r="B532" i="15"/>
  <c r="B531" i="15"/>
  <c r="B530" i="15"/>
  <c r="B529" i="15"/>
  <c r="B528" i="15"/>
  <c r="B527" i="15"/>
  <c r="H526" i="15"/>
  <c r="H525" i="15"/>
  <c r="G526" i="15"/>
  <c r="G525" i="15"/>
  <c r="D526" i="15"/>
  <c r="C526" i="15"/>
  <c r="AM526" i="15" s="1"/>
  <c r="C525" i="15"/>
  <c r="AM525" i="15" s="1"/>
  <c r="B526" i="15"/>
  <c r="B525" i="15"/>
  <c r="B517" i="15"/>
  <c r="H517" i="15"/>
  <c r="B518" i="15"/>
  <c r="H518" i="15"/>
  <c r="B519" i="15"/>
  <c r="H519" i="15"/>
  <c r="B520" i="15"/>
  <c r="H520" i="15"/>
  <c r="B521" i="15"/>
  <c r="H521" i="15"/>
  <c r="B522" i="15"/>
  <c r="H522" i="15"/>
  <c r="B523" i="15"/>
  <c r="H523" i="15"/>
  <c r="B524" i="15"/>
  <c r="H524" i="15"/>
  <c r="H516" i="15"/>
  <c r="B516" i="15"/>
  <c r="B515" i="15"/>
  <c r="C515" i="15"/>
  <c r="AM515" i="15" s="1"/>
  <c r="G515" i="15"/>
  <c r="H515" i="15"/>
  <c r="B511" i="15"/>
  <c r="C511" i="15"/>
  <c r="AM511" i="15" s="1"/>
  <c r="G511" i="15"/>
  <c r="H511" i="15"/>
  <c r="B512" i="15"/>
  <c r="C512" i="15"/>
  <c r="AM512" i="15" s="1"/>
  <c r="G512" i="15"/>
  <c r="H512" i="15"/>
  <c r="B513" i="15"/>
  <c r="C513" i="15"/>
  <c r="AM513" i="15" s="1"/>
  <c r="G513" i="15"/>
  <c r="H513" i="15"/>
  <c r="B514" i="15"/>
  <c r="C514" i="15"/>
  <c r="AM514" i="15" s="1"/>
  <c r="G514" i="15"/>
  <c r="H514" i="15"/>
  <c r="H510" i="15"/>
  <c r="G510" i="15"/>
  <c r="C510" i="15"/>
  <c r="AM510" i="15" s="1"/>
  <c r="B510" i="15"/>
  <c r="H509" i="15"/>
  <c r="H508" i="15"/>
  <c r="G509" i="15"/>
  <c r="G508" i="15"/>
  <c r="C509" i="15"/>
  <c r="AM509" i="15" s="1"/>
  <c r="C508" i="15"/>
  <c r="AM508" i="15" s="1"/>
  <c r="B509" i="15"/>
  <c r="B507" i="15"/>
  <c r="AB492" i="15"/>
  <c r="AB493" i="15"/>
  <c r="AB494" i="15"/>
  <c r="AB504" i="15"/>
  <c r="AB491" i="15"/>
  <c r="X492" i="15"/>
  <c r="Z492" i="15" s="1"/>
  <c r="X493" i="15"/>
  <c r="Z493" i="15" s="1"/>
  <c r="X494" i="15"/>
  <c r="Z494" i="15" s="1"/>
  <c r="X495" i="15"/>
  <c r="Z495" i="15" s="1"/>
  <c r="X496" i="15"/>
  <c r="Z496" i="15" s="1"/>
  <c r="X497" i="15"/>
  <c r="Z497" i="15" s="1"/>
  <c r="X498" i="15"/>
  <c r="Z498" i="15" s="1"/>
  <c r="X499" i="15"/>
  <c r="Z499" i="15" s="1"/>
  <c r="X500" i="15"/>
  <c r="Z500" i="15" s="1"/>
  <c r="X503" i="15"/>
  <c r="Z503" i="15" s="1"/>
  <c r="X504" i="15"/>
  <c r="Z504" i="15" s="1"/>
  <c r="X491" i="15"/>
  <c r="Z491" i="15" s="1"/>
  <c r="H492" i="15"/>
  <c r="H493" i="15"/>
  <c r="H494" i="15"/>
  <c r="H495" i="15"/>
  <c r="H496" i="15"/>
  <c r="H497" i="15"/>
  <c r="H498" i="15"/>
  <c r="H499" i="15"/>
  <c r="H500" i="15"/>
  <c r="H503" i="15"/>
  <c r="H504" i="15"/>
  <c r="H491" i="15"/>
  <c r="G492" i="15"/>
  <c r="G493" i="15"/>
  <c r="G494" i="15"/>
  <c r="G495" i="15"/>
  <c r="G496" i="15"/>
  <c r="G497" i="15"/>
  <c r="G498" i="15"/>
  <c r="G499" i="15"/>
  <c r="G500" i="15"/>
  <c r="G503" i="15"/>
  <c r="G504" i="15"/>
  <c r="G491" i="15"/>
  <c r="C492" i="15"/>
  <c r="AM492" i="15" s="1"/>
  <c r="C493" i="15"/>
  <c r="AM493" i="15" s="1"/>
  <c r="C494" i="15"/>
  <c r="AM494" i="15" s="1"/>
  <c r="C495" i="15"/>
  <c r="AM495" i="15" s="1"/>
  <c r="C496" i="15"/>
  <c r="AM496" i="15" s="1"/>
  <c r="C497" i="15"/>
  <c r="AM497" i="15" s="1"/>
  <c r="C498" i="15"/>
  <c r="AM498" i="15" s="1"/>
  <c r="C499" i="15"/>
  <c r="AM499" i="15" s="1"/>
  <c r="C500" i="15"/>
  <c r="AM500" i="15" s="1"/>
  <c r="C503" i="15"/>
  <c r="AM503" i="15" s="1"/>
  <c r="C504" i="15"/>
  <c r="AM504" i="15" s="1"/>
  <c r="C491" i="15"/>
  <c r="AM491" i="15" s="1"/>
  <c r="B492" i="15"/>
  <c r="B493" i="15"/>
  <c r="B494" i="15"/>
  <c r="B495" i="15"/>
  <c r="B496" i="15"/>
  <c r="B497" i="15"/>
  <c r="B498" i="15"/>
  <c r="B499" i="15"/>
  <c r="B500" i="15"/>
  <c r="B503" i="15"/>
  <c r="B504" i="15"/>
  <c r="B491" i="15"/>
  <c r="H490" i="15"/>
  <c r="G490" i="15"/>
  <c r="D490" i="15"/>
  <c r="C490" i="15"/>
  <c r="AM490" i="15" s="1"/>
  <c r="B490" i="15"/>
  <c r="H489" i="15"/>
  <c r="H488" i="15"/>
  <c r="G488" i="15"/>
  <c r="C489" i="15"/>
  <c r="AM489" i="15" s="1"/>
  <c r="C488" i="15"/>
  <c r="AM488" i="15" s="1"/>
  <c r="B489" i="15"/>
  <c r="B488" i="15"/>
  <c r="H479" i="15"/>
  <c r="H480" i="15"/>
  <c r="H481" i="15"/>
  <c r="H482" i="15"/>
  <c r="H483" i="15"/>
  <c r="H484" i="15"/>
  <c r="H485" i="15"/>
  <c r="H486" i="15"/>
  <c r="H487" i="15"/>
  <c r="H478" i="15"/>
  <c r="G479" i="15"/>
  <c r="G480" i="15"/>
  <c r="G481" i="15"/>
  <c r="G482" i="15"/>
  <c r="G483" i="15"/>
  <c r="G484" i="15"/>
  <c r="G485" i="15"/>
  <c r="G486" i="15"/>
  <c r="G487" i="15"/>
  <c r="G478" i="15"/>
  <c r="C479" i="15"/>
  <c r="AM479" i="15" s="1"/>
  <c r="C480" i="15"/>
  <c r="AM480" i="15" s="1"/>
  <c r="C481" i="15"/>
  <c r="AM481" i="15" s="1"/>
  <c r="C482" i="15"/>
  <c r="AM482" i="15" s="1"/>
  <c r="C483" i="15"/>
  <c r="AM483" i="15" s="1"/>
  <c r="C484" i="15"/>
  <c r="AM484" i="15" s="1"/>
  <c r="C485" i="15"/>
  <c r="AM485" i="15" s="1"/>
  <c r="C486" i="15"/>
  <c r="AM486" i="15" s="1"/>
  <c r="C487" i="15"/>
  <c r="AM487" i="15" s="1"/>
  <c r="C478" i="15"/>
  <c r="AM478" i="15" s="1"/>
  <c r="B479" i="15"/>
  <c r="B480" i="15"/>
  <c r="B481" i="15"/>
  <c r="B482" i="15"/>
  <c r="B483" i="15"/>
  <c r="B484" i="15"/>
  <c r="B485" i="15"/>
  <c r="B486" i="15"/>
  <c r="B487" i="15"/>
  <c r="B478" i="15"/>
  <c r="P477" i="15"/>
  <c r="P476" i="15"/>
  <c r="P475" i="15"/>
  <c r="P474" i="15"/>
  <c r="P473" i="15"/>
  <c r="J473" i="15"/>
  <c r="J474" i="15"/>
  <c r="J475" i="15"/>
  <c r="J476" i="15"/>
  <c r="J477" i="15"/>
  <c r="H473" i="15"/>
  <c r="H474" i="15"/>
  <c r="H475" i="15"/>
  <c r="H476" i="15"/>
  <c r="H477" i="15"/>
  <c r="G474" i="15"/>
  <c r="G476" i="15"/>
  <c r="C473" i="15"/>
  <c r="AM473" i="15" s="1"/>
  <c r="C474" i="15"/>
  <c r="AM474" i="15" s="1"/>
  <c r="C475" i="15"/>
  <c r="AM475" i="15" s="1"/>
  <c r="C476" i="15"/>
  <c r="AM476" i="15" s="1"/>
  <c r="C477" i="15"/>
  <c r="AM477" i="15" s="1"/>
  <c r="B473" i="15"/>
  <c r="B474" i="15"/>
  <c r="B475" i="15"/>
  <c r="B476" i="15"/>
  <c r="B477" i="15"/>
  <c r="J456" i="15"/>
  <c r="J455" i="15"/>
  <c r="J454" i="15"/>
  <c r="J453" i="15"/>
  <c r="J452" i="15"/>
  <c r="J451" i="15"/>
  <c r="J450" i="15"/>
  <c r="J449" i="15"/>
  <c r="J448" i="15"/>
  <c r="J447" i="15"/>
  <c r="J446" i="15"/>
  <c r="J445" i="15"/>
  <c r="J444" i="15"/>
  <c r="J443" i="15"/>
  <c r="J442" i="15"/>
  <c r="J441" i="15"/>
  <c r="J440" i="15"/>
  <c r="J439" i="15"/>
  <c r="J438" i="15"/>
  <c r="J437" i="15"/>
  <c r="J436" i="15"/>
  <c r="J435" i="15"/>
  <c r="J434" i="15"/>
  <c r="J433" i="15"/>
  <c r="P456" i="15"/>
  <c r="P455" i="15"/>
  <c r="P454" i="15"/>
  <c r="P453" i="15"/>
  <c r="P452" i="15"/>
  <c r="P451" i="15"/>
  <c r="P450" i="15"/>
  <c r="P449" i="15"/>
  <c r="P448" i="15"/>
  <c r="P447" i="15"/>
  <c r="P446" i="15"/>
  <c r="P445" i="15"/>
  <c r="P444" i="15"/>
  <c r="P443" i="15"/>
  <c r="P442" i="15"/>
  <c r="P441" i="15"/>
  <c r="P440" i="15"/>
  <c r="P439" i="15"/>
  <c r="P438" i="15"/>
  <c r="P437" i="15"/>
  <c r="P436" i="15"/>
  <c r="P435" i="15"/>
  <c r="P434" i="15"/>
  <c r="P433" i="15"/>
  <c r="G434" i="15"/>
  <c r="H434" i="15"/>
  <c r="G435" i="15"/>
  <c r="H435" i="15"/>
  <c r="G436" i="15"/>
  <c r="H436" i="15"/>
  <c r="G437" i="15"/>
  <c r="H437" i="15"/>
  <c r="G438" i="15"/>
  <c r="H438" i="15"/>
  <c r="G439" i="15"/>
  <c r="H439" i="15"/>
  <c r="G440" i="15"/>
  <c r="H440" i="15"/>
  <c r="G441" i="15"/>
  <c r="H441" i="15"/>
  <c r="G442" i="15"/>
  <c r="H442" i="15"/>
  <c r="G443" i="15"/>
  <c r="H443" i="15"/>
  <c r="G444" i="15"/>
  <c r="H444" i="15"/>
  <c r="G445" i="15"/>
  <c r="H445" i="15"/>
  <c r="G446" i="15"/>
  <c r="H446" i="15"/>
  <c r="G447" i="15"/>
  <c r="H447" i="15"/>
  <c r="G448" i="15"/>
  <c r="H448" i="15"/>
  <c r="G449" i="15"/>
  <c r="H449" i="15"/>
  <c r="G450" i="15"/>
  <c r="H450" i="15"/>
  <c r="G451" i="15"/>
  <c r="H451" i="15"/>
  <c r="G452" i="15"/>
  <c r="H452" i="15"/>
  <c r="G453" i="15"/>
  <c r="H453" i="15"/>
  <c r="G454" i="15"/>
  <c r="H454" i="15"/>
  <c r="G455" i="15"/>
  <c r="H455" i="15"/>
  <c r="G456" i="15"/>
  <c r="H456" i="15"/>
  <c r="H433" i="15"/>
  <c r="G433" i="15"/>
  <c r="C434" i="15"/>
  <c r="AM434" i="15" s="1"/>
  <c r="C435" i="15"/>
  <c r="AM435" i="15" s="1"/>
  <c r="C436" i="15"/>
  <c r="AM436" i="15" s="1"/>
  <c r="C437" i="15"/>
  <c r="AM437" i="15" s="1"/>
  <c r="C438" i="15"/>
  <c r="AM438" i="15" s="1"/>
  <c r="C439" i="15"/>
  <c r="AM439" i="15" s="1"/>
  <c r="C440" i="15"/>
  <c r="AM440" i="15" s="1"/>
  <c r="C441" i="15"/>
  <c r="AM441" i="15" s="1"/>
  <c r="C442" i="15"/>
  <c r="AM442" i="15" s="1"/>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55" i="15"/>
  <c r="AM455" i="15" s="1"/>
  <c r="C456" i="15"/>
  <c r="AM456" i="15" s="1"/>
  <c r="C433" i="15"/>
  <c r="AM433" i="15" s="1"/>
  <c r="B453" i="15"/>
  <c r="B454" i="15"/>
  <c r="B455" i="15"/>
  <c r="B456" i="15"/>
  <c r="B434" i="15"/>
  <c r="B435" i="15"/>
  <c r="B436" i="15"/>
  <c r="B437" i="15"/>
  <c r="B438" i="15"/>
  <c r="B439" i="15"/>
  <c r="B440" i="15"/>
  <c r="B441" i="15"/>
  <c r="B442" i="15"/>
  <c r="B443" i="15"/>
  <c r="B444" i="15"/>
  <c r="B445" i="15"/>
  <c r="B446" i="15"/>
  <c r="B447" i="15"/>
  <c r="B448" i="15"/>
  <c r="B449" i="15"/>
  <c r="B450" i="15"/>
  <c r="B451" i="15"/>
  <c r="B452" i="15"/>
  <c r="B433" i="15"/>
  <c r="H432" i="15"/>
  <c r="H431" i="15"/>
  <c r="G432" i="15"/>
  <c r="G431" i="15"/>
  <c r="D431" i="15"/>
  <c r="C432" i="15"/>
  <c r="AM432" i="15" s="1"/>
  <c r="D432" i="15"/>
  <c r="C431" i="15"/>
  <c r="AM431" i="15" s="1"/>
  <c r="B432" i="15"/>
  <c r="B431" i="15"/>
  <c r="X422" i="15"/>
  <c r="Z422" i="15" s="1"/>
  <c r="X423" i="15"/>
  <c r="Z423" i="15" s="1"/>
  <c r="X425" i="15"/>
  <c r="Z425" i="15" s="1"/>
  <c r="X426" i="15"/>
  <c r="Z426" i="15" s="1"/>
  <c r="X428" i="15"/>
  <c r="Z428" i="15" s="1"/>
  <c r="X429" i="15"/>
  <c r="Z429" i="15" s="1"/>
  <c r="AB422" i="15"/>
  <c r="AB423" i="15"/>
  <c r="AB425" i="15"/>
  <c r="AB426" i="15"/>
  <c r="AB428" i="15"/>
  <c r="AB420" i="15"/>
  <c r="X420" i="15"/>
  <c r="Z420" i="15" s="1"/>
  <c r="H422" i="15"/>
  <c r="H423" i="15"/>
  <c r="H425" i="15"/>
  <c r="H426" i="15"/>
  <c r="H428" i="15"/>
  <c r="H429" i="15"/>
  <c r="H420" i="15"/>
  <c r="G422" i="15"/>
  <c r="G423" i="15"/>
  <c r="G425" i="15"/>
  <c r="G426" i="15"/>
  <c r="G428" i="15"/>
  <c r="G429" i="15"/>
  <c r="G420" i="15"/>
  <c r="C422" i="15"/>
  <c r="AM422" i="15" s="1"/>
  <c r="C423" i="15"/>
  <c r="AM423" i="15" s="1"/>
  <c r="C425" i="15"/>
  <c r="AM425" i="15" s="1"/>
  <c r="C426" i="15"/>
  <c r="AM426" i="15" s="1"/>
  <c r="C428" i="15"/>
  <c r="AM428" i="15" s="1"/>
  <c r="C429" i="15"/>
  <c r="AM429" i="15" s="1"/>
  <c r="C420" i="15"/>
  <c r="AM420" i="15" s="1"/>
  <c r="B422" i="15"/>
  <c r="B423" i="15"/>
  <c r="B425" i="15"/>
  <c r="B426" i="15"/>
  <c r="B428" i="15"/>
  <c r="B429" i="15"/>
  <c r="B420" i="15"/>
  <c r="X398" i="15"/>
  <c r="Z398" i="15" s="1"/>
  <c r="X399" i="15"/>
  <c r="Z399" i="15" s="1"/>
  <c r="X400" i="15"/>
  <c r="Z400" i="15" s="1"/>
  <c r="X401" i="15"/>
  <c r="Z401" i="15" s="1"/>
  <c r="X403" i="15"/>
  <c r="Z403" i="15" s="1"/>
  <c r="X404" i="15"/>
  <c r="Z404" i="15" s="1"/>
  <c r="X405" i="15"/>
  <c r="Z405" i="15" s="1"/>
  <c r="X406" i="15"/>
  <c r="Z406" i="15" s="1"/>
  <c r="X407" i="15"/>
  <c r="Z407" i="15" s="1"/>
  <c r="X408" i="15"/>
  <c r="Z408" i="15" s="1"/>
  <c r="X409" i="15"/>
  <c r="Z409" i="15" s="1"/>
  <c r="X410" i="15"/>
  <c r="Z410" i="15" s="1"/>
  <c r="X411" i="15"/>
  <c r="Z411" i="15" s="1"/>
  <c r="X412" i="15"/>
  <c r="Z412" i="15" s="1"/>
  <c r="X413" i="15"/>
  <c r="Z413" i="15" s="1"/>
  <c r="X414" i="15"/>
  <c r="Z414" i="15" s="1"/>
  <c r="X416" i="15"/>
  <c r="Z416" i="15" s="1"/>
  <c r="X417" i="15"/>
  <c r="Z417" i="15" s="1"/>
  <c r="X418" i="15"/>
  <c r="Z418" i="15" s="1"/>
  <c r="X397" i="15"/>
  <c r="Z397" i="15" s="1"/>
  <c r="H398" i="15"/>
  <c r="H399" i="15"/>
  <c r="H400" i="15"/>
  <c r="H401" i="15"/>
  <c r="H403" i="15"/>
  <c r="H404" i="15"/>
  <c r="H405" i="15"/>
  <c r="H406" i="15"/>
  <c r="H407" i="15"/>
  <c r="H408" i="15"/>
  <c r="H409" i="15"/>
  <c r="H410" i="15"/>
  <c r="H411" i="15"/>
  <c r="H412" i="15"/>
  <c r="H413" i="15"/>
  <c r="H414" i="15"/>
  <c r="H416" i="15"/>
  <c r="H417" i="15"/>
  <c r="H418" i="15"/>
  <c r="H397" i="15"/>
  <c r="G398" i="15"/>
  <c r="G399" i="15"/>
  <c r="G400" i="15"/>
  <c r="G401" i="15"/>
  <c r="G403" i="15"/>
  <c r="G404" i="15"/>
  <c r="G405" i="15"/>
  <c r="G406" i="15"/>
  <c r="G407" i="15"/>
  <c r="G408" i="15"/>
  <c r="G409" i="15"/>
  <c r="G410" i="15"/>
  <c r="G411" i="15"/>
  <c r="G412" i="15"/>
  <c r="G413" i="15"/>
  <c r="G414" i="15"/>
  <c r="G416" i="15"/>
  <c r="G417" i="15"/>
  <c r="G418" i="15"/>
  <c r="G397" i="15"/>
  <c r="C398" i="15"/>
  <c r="AM398" i="15" s="1"/>
  <c r="C399" i="15"/>
  <c r="AM399" i="15" s="1"/>
  <c r="C400" i="15"/>
  <c r="AM400" i="15" s="1"/>
  <c r="C401" i="15"/>
  <c r="AM401"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6" i="15"/>
  <c r="AM416" i="15" s="1"/>
  <c r="C417" i="15"/>
  <c r="AM417" i="15" s="1"/>
  <c r="C418" i="15"/>
  <c r="AM418" i="15" s="1"/>
  <c r="C397" i="15"/>
  <c r="AM397" i="15" s="1"/>
  <c r="B398" i="15"/>
  <c r="B399" i="15"/>
  <c r="B400" i="15"/>
  <c r="B401" i="15"/>
  <c r="B403" i="15"/>
  <c r="B404" i="15"/>
  <c r="B405" i="15"/>
  <c r="B406" i="15"/>
  <c r="B407" i="15"/>
  <c r="B408" i="15"/>
  <c r="B409" i="15"/>
  <c r="B410" i="15"/>
  <c r="B411" i="15"/>
  <c r="B412" i="15"/>
  <c r="B413" i="15"/>
  <c r="B414" i="15"/>
  <c r="B416" i="15"/>
  <c r="B417" i="15"/>
  <c r="B418" i="15"/>
  <c r="B397" i="15"/>
  <c r="H396" i="15"/>
  <c r="G396" i="15"/>
  <c r="C396" i="15"/>
  <c r="AM396" i="15" s="1"/>
  <c r="B396" i="15"/>
  <c r="H395" i="15"/>
  <c r="G395" i="15"/>
  <c r="C395" i="15"/>
  <c r="AM395" i="15" s="1"/>
  <c r="B395" i="15"/>
  <c r="H394" i="15"/>
  <c r="G394" i="15"/>
  <c r="C394" i="15"/>
  <c r="AM394" i="15" s="1"/>
  <c r="B394" i="15"/>
  <c r="C393" i="15"/>
  <c r="AM393" i="15" s="1"/>
  <c r="G393" i="15"/>
  <c r="H393" i="15"/>
  <c r="H392" i="15"/>
  <c r="G392" i="15"/>
  <c r="C392" i="15"/>
  <c r="AM392" i="15" s="1"/>
  <c r="B393" i="15"/>
  <c r="B392" i="15"/>
  <c r="P391" i="15"/>
  <c r="P390" i="15"/>
  <c r="P389" i="15"/>
  <c r="P388" i="15"/>
  <c r="P387" i="15"/>
  <c r="P386" i="15"/>
  <c r="P385" i="15"/>
  <c r="P384" i="15"/>
  <c r="P383" i="15"/>
  <c r="P382" i="15"/>
  <c r="P381" i="15"/>
  <c r="P380" i="15"/>
  <c r="J391" i="15"/>
  <c r="J390" i="15"/>
  <c r="J389" i="15"/>
  <c r="J388" i="15"/>
  <c r="J387" i="15"/>
  <c r="J386" i="15"/>
  <c r="J385" i="15"/>
  <c r="J384" i="15"/>
  <c r="J383" i="15"/>
  <c r="J382" i="15"/>
  <c r="J381" i="15"/>
  <c r="J380" i="15"/>
  <c r="L386" i="15"/>
  <c r="L387" i="15"/>
  <c r="L388" i="15"/>
  <c r="H381" i="15"/>
  <c r="H382" i="15"/>
  <c r="H383" i="15"/>
  <c r="H384" i="15"/>
  <c r="H385" i="15"/>
  <c r="H386" i="15"/>
  <c r="H387" i="15"/>
  <c r="H388" i="15"/>
  <c r="H389" i="15"/>
  <c r="H390" i="15"/>
  <c r="H391" i="15"/>
  <c r="H380" i="15"/>
  <c r="G382" i="15"/>
  <c r="G383" i="15"/>
  <c r="G385" i="15"/>
  <c r="G386" i="15"/>
  <c r="G388" i="15"/>
  <c r="G389" i="15"/>
  <c r="G391" i="15"/>
  <c r="G380" i="15"/>
  <c r="D380" i="15"/>
  <c r="C381" i="15"/>
  <c r="AM381" i="15" s="1"/>
  <c r="D381" i="15"/>
  <c r="C382" i="15"/>
  <c r="AM382" i="15" s="1"/>
  <c r="D382" i="15"/>
  <c r="C383" i="15"/>
  <c r="AM383" i="15" s="1"/>
  <c r="D383" i="15"/>
  <c r="C384" i="15"/>
  <c r="AM384" i="15" s="1"/>
  <c r="D384" i="15"/>
  <c r="C385" i="15"/>
  <c r="AM385" i="15" s="1"/>
  <c r="D385" i="15"/>
  <c r="C386" i="15"/>
  <c r="AM386" i="15" s="1"/>
  <c r="D386" i="15"/>
  <c r="C387" i="15"/>
  <c r="AM387" i="15" s="1"/>
  <c r="D387" i="15"/>
  <c r="C388" i="15"/>
  <c r="AM388" i="15" s="1"/>
  <c r="D388" i="15"/>
  <c r="C389" i="15"/>
  <c r="AM389" i="15" s="1"/>
  <c r="D389" i="15"/>
  <c r="C390" i="15"/>
  <c r="AM390" i="15" s="1"/>
  <c r="D390" i="15"/>
  <c r="C391" i="15"/>
  <c r="AM391" i="15" s="1"/>
  <c r="D391" i="15"/>
  <c r="C380" i="15"/>
  <c r="AM380" i="15" s="1"/>
  <c r="B381" i="15"/>
  <c r="B382" i="15"/>
  <c r="B383" i="15"/>
  <c r="B384" i="15"/>
  <c r="B385" i="15"/>
  <c r="B386" i="15"/>
  <c r="B387" i="15"/>
  <c r="B388" i="15"/>
  <c r="B389" i="15"/>
  <c r="B390" i="15"/>
  <c r="B391" i="15"/>
  <c r="B380" i="15"/>
  <c r="H378" i="15"/>
  <c r="H379" i="15"/>
  <c r="H377" i="15"/>
  <c r="G378" i="15"/>
  <c r="G379" i="15"/>
  <c r="G377" i="15"/>
  <c r="C378" i="15"/>
  <c r="AM378" i="15" s="1"/>
  <c r="C379" i="15"/>
  <c r="AM379" i="15" s="1"/>
  <c r="C377" i="15"/>
  <c r="AM377" i="15" s="1"/>
  <c r="B378" i="15"/>
  <c r="B379" i="15"/>
  <c r="B377" i="15"/>
  <c r="AB376" i="15"/>
  <c r="H373" i="15"/>
  <c r="H374" i="15"/>
  <c r="H375" i="15"/>
  <c r="H376" i="15"/>
  <c r="H372" i="15"/>
  <c r="G373" i="15"/>
  <c r="G374" i="15"/>
  <c r="G375" i="15"/>
  <c r="G376" i="15"/>
  <c r="G372" i="15"/>
  <c r="C373" i="15"/>
  <c r="AM373" i="15" s="1"/>
  <c r="C374" i="15"/>
  <c r="AM374" i="15" s="1"/>
  <c r="C375" i="15"/>
  <c r="AM375" i="15" s="1"/>
  <c r="C376" i="15"/>
  <c r="AM376" i="15" s="1"/>
  <c r="C372" i="15"/>
  <c r="AM372" i="15" s="1"/>
  <c r="B373" i="15"/>
  <c r="B374" i="15"/>
  <c r="B375" i="15"/>
  <c r="B376" i="15"/>
  <c r="B372" i="15"/>
  <c r="H366" i="15"/>
  <c r="H367" i="15"/>
  <c r="H364" i="15"/>
  <c r="G366" i="15"/>
  <c r="G367" i="15"/>
  <c r="G364" i="15"/>
  <c r="B366" i="15"/>
  <c r="B367" i="15"/>
  <c r="B364" i="15"/>
  <c r="C366" i="15"/>
  <c r="AM366" i="15" s="1"/>
  <c r="C367" i="15"/>
  <c r="AM367" i="15" s="1"/>
  <c r="C364" i="15"/>
  <c r="AM364" i="15" s="1"/>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4" i="15"/>
  <c r="J335" i="15"/>
  <c r="J336" i="15"/>
  <c r="J337" i="15"/>
  <c r="J338" i="15"/>
  <c r="J339" i="15"/>
  <c r="J340" i="15"/>
  <c r="J343" i="15"/>
  <c r="J344" i="15"/>
  <c r="J354" i="15"/>
  <c r="J355" i="15"/>
  <c r="J356" i="15"/>
  <c r="J357" i="15"/>
  <c r="J358" i="15"/>
  <c r="J359" i="15"/>
  <c r="J360" i="15"/>
  <c r="J361" i="15"/>
  <c r="J362" i="15"/>
  <c r="J363" i="15"/>
  <c r="J353" i="15"/>
  <c r="P363" i="15"/>
  <c r="P362" i="15"/>
  <c r="P361" i="15"/>
  <c r="P360" i="15"/>
  <c r="P359" i="15"/>
  <c r="P358" i="15"/>
  <c r="P357" i="15"/>
  <c r="P356" i="15"/>
  <c r="P355" i="15"/>
  <c r="P354" i="15"/>
  <c r="P353" i="15"/>
  <c r="D353" i="15"/>
  <c r="C354" i="15"/>
  <c r="AM354" i="15" s="1"/>
  <c r="G354" i="15"/>
  <c r="H354" i="15"/>
  <c r="D354" i="15"/>
  <c r="C355" i="15"/>
  <c r="AM355" i="15" s="1"/>
  <c r="G355" i="15"/>
  <c r="H355" i="15"/>
  <c r="D355" i="15"/>
  <c r="C356" i="15"/>
  <c r="AM356" i="15" s="1"/>
  <c r="G356" i="15"/>
  <c r="H356" i="15"/>
  <c r="D356" i="15"/>
  <c r="C357" i="15"/>
  <c r="AM357" i="15" s="1"/>
  <c r="H357" i="15"/>
  <c r="D357" i="15"/>
  <c r="C358" i="15"/>
  <c r="AM358" i="15" s="1"/>
  <c r="G358" i="15"/>
  <c r="H358" i="15"/>
  <c r="D358" i="15"/>
  <c r="C359" i="15"/>
  <c r="AM359" i="15" s="1"/>
  <c r="G359" i="15"/>
  <c r="H359" i="15"/>
  <c r="D359" i="15"/>
  <c r="C360" i="15"/>
  <c r="AM360" i="15" s="1"/>
  <c r="H360" i="15"/>
  <c r="D360" i="15"/>
  <c r="C361" i="15"/>
  <c r="AM361" i="15" s="1"/>
  <c r="G361" i="15"/>
  <c r="H361" i="15"/>
  <c r="D361" i="15"/>
  <c r="C362" i="15"/>
  <c r="AM362" i="15" s="1"/>
  <c r="G362" i="15"/>
  <c r="H362" i="15"/>
  <c r="D362" i="15"/>
  <c r="C363" i="15"/>
  <c r="AM363" i="15" s="1"/>
  <c r="H363" i="15"/>
  <c r="D363" i="15"/>
  <c r="H353" i="15"/>
  <c r="G353" i="15"/>
  <c r="C353" i="15"/>
  <c r="AM353" i="15" s="1"/>
  <c r="B363" i="15"/>
  <c r="B354" i="15"/>
  <c r="B355" i="15"/>
  <c r="B356" i="15"/>
  <c r="B357" i="15"/>
  <c r="B358" i="15"/>
  <c r="B359" i="15"/>
  <c r="B360" i="15"/>
  <c r="B361" i="15"/>
  <c r="B362" i="15"/>
  <c r="B353" i="15"/>
  <c r="G346" i="15"/>
  <c r="H346" i="15"/>
  <c r="G347" i="15"/>
  <c r="H347" i="15"/>
  <c r="G348" i="15"/>
  <c r="H348" i="15"/>
  <c r="G349" i="15"/>
  <c r="H349" i="15"/>
  <c r="G350" i="15"/>
  <c r="H350" i="15"/>
  <c r="G351" i="15"/>
  <c r="H351" i="15"/>
  <c r="G352" i="15"/>
  <c r="H352" i="15"/>
  <c r="H345" i="15"/>
  <c r="G345" i="15"/>
  <c r="C346" i="15"/>
  <c r="AM346" i="15" s="1"/>
  <c r="C347" i="15"/>
  <c r="AM347" i="15" s="1"/>
  <c r="C348" i="15"/>
  <c r="AM348" i="15" s="1"/>
  <c r="C349" i="15"/>
  <c r="AM349" i="15" s="1"/>
  <c r="C350" i="15"/>
  <c r="AM350" i="15" s="1"/>
  <c r="C351" i="15"/>
  <c r="AM351" i="15" s="1"/>
  <c r="C352" i="15"/>
  <c r="AM352" i="15" s="1"/>
  <c r="C345" i="15"/>
  <c r="AM345" i="15" s="1"/>
  <c r="B351" i="15"/>
  <c r="B352" i="15"/>
  <c r="B346" i="15"/>
  <c r="B347" i="15"/>
  <c r="B348" i="15"/>
  <c r="B349" i="15"/>
  <c r="B350" i="15"/>
  <c r="B345" i="15"/>
  <c r="H340" i="15"/>
  <c r="H343" i="15"/>
  <c r="H344" i="15"/>
  <c r="H339" i="15"/>
  <c r="G343" i="15"/>
  <c r="G344" i="15"/>
  <c r="G340" i="15"/>
  <c r="G339" i="15"/>
  <c r="C340" i="15"/>
  <c r="AM340" i="15" s="1"/>
  <c r="C343" i="15"/>
  <c r="AM343" i="15" s="1"/>
  <c r="C344" i="15"/>
  <c r="AM344" i="15" s="1"/>
  <c r="C339" i="15"/>
  <c r="AM339" i="15" s="1"/>
  <c r="B340" i="15"/>
  <c r="B343" i="15"/>
  <c r="B344" i="15"/>
  <c r="B339" i="15"/>
  <c r="H337" i="15"/>
  <c r="H338" i="15"/>
  <c r="H336" i="15"/>
  <c r="G337" i="15"/>
  <c r="G338" i="15"/>
  <c r="G336" i="15"/>
  <c r="C337" i="15"/>
  <c r="AM337" i="15" s="1"/>
  <c r="C338" i="15"/>
  <c r="AM338" i="15" s="1"/>
  <c r="C336" i="15"/>
  <c r="AM336" i="15" s="1"/>
  <c r="B337" i="15"/>
  <c r="B338" i="15"/>
  <c r="B336" i="15"/>
  <c r="H335" i="15"/>
  <c r="H334" i="15"/>
  <c r="H329" i="15"/>
  <c r="H330" i="15"/>
  <c r="H328" i="15"/>
  <c r="G334" i="15"/>
  <c r="G329" i="15"/>
  <c r="G330" i="15"/>
  <c r="G328" i="15"/>
  <c r="C335" i="15"/>
  <c r="AM335" i="15" s="1"/>
  <c r="C334" i="15"/>
  <c r="AM334" i="15" s="1"/>
  <c r="C329" i="15"/>
  <c r="AM329" i="15" s="1"/>
  <c r="C330" i="15"/>
  <c r="AM330" i="15" s="1"/>
  <c r="C328" i="15"/>
  <c r="AM328" i="15" s="1"/>
  <c r="B335" i="15"/>
  <c r="B334" i="15"/>
  <c r="B329" i="15"/>
  <c r="B330" i="15"/>
  <c r="B328" i="15"/>
  <c r="P298" i="15"/>
  <c r="P299" i="15"/>
  <c r="P300" i="15"/>
  <c r="P301" i="15"/>
  <c r="P302" i="15"/>
  <c r="P303" i="15"/>
  <c r="P304" i="15"/>
  <c r="P305" i="15"/>
  <c r="P306" i="15"/>
  <c r="P307" i="15"/>
  <c r="P308" i="15"/>
  <c r="P309" i="15"/>
  <c r="P310" i="15"/>
  <c r="P311" i="15"/>
  <c r="P312" i="15"/>
  <c r="P313" i="15"/>
  <c r="P314" i="15"/>
  <c r="P315" i="15"/>
  <c r="P316" i="15"/>
  <c r="P317" i="15"/>
  <c r="P318" i="15"/>
  <c r="P319" i="15"/>
  <c r="P320" i="15"/>
  <c r="P321" i="15"/>
  <c r="P322" i="15"/>
  <c r="P323" i="15"/>
  <c r="P324" i="15"/>
  <c r="P325" i="15"/>
  <c r="P326" i="15"/>
  <c r="P327"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C305" i="15"/>
  <c r="AM305" i="15" s="1"/>
  <c r="G305" i="15"/>
  <c r="H305" i="15"/>
  <c r="C306" i="15"/>
  <c r="AM306" i="15" s="1"/>
  <c r="G306" i="15"/>
  <c r="H306" i="15"/>
  <c r="C307" i="15"/>
  <c r="AM307" i="15" s="1"/>
  <c r="G307" i="15"/>
  <c r="H307" i="15"/>
  <c r="C308" i="15"/>
  <c r="AM308" i="15" s="1"/>
  <c r="G308" i="15"/>
  <c r="H308" i="15"/>
  <c r="C309" i="15"/>
  <c r="AM309" i="15" s="1"/>
  <c r="G309" i="15"/>
  <c r="H309" i="15"/>
  <c r="C310" i="15"/>
  <c r="AM310" i="15" s="1"/>
  <c r="G310" i="15"/>
  <c r="H310" i="15"/>
  <c r="C311" i="15"/>
  <c r="AM311" i="15" s="1"/>
  <c r="G311" i="15"/>
  <c r="H311" i="15"/>
  <c r="C312" i="15"/>
  <c r="AM312" i="15" s="1"/>
  <c r="G312" i="15"/>
  <c r="H312" i="15"/>
  <c r="C313" i="15"/>
  <c r="AM313" i="15" s="1"/>
  <c r="G313" i="15"/>
  <c r="H313" i="15"/>
  <c r="C314" i="15"/>
  <c r="AM314" i="15" s="1"/>
  <c r="G314" i="15"/>
  <c r="H314" i="15"/>
  <c r="C315" i="15"/>
  <c r="AM315" i="15" s="1"/>
  <c r="G315" i="15"/>
  <c r="H315" i="15"/>
  <c r="C316" i="15"/>
  <c r="AM316" i="15" s="1"/>
  <c r="G316" i="15"/>
  <c r="H316" i="15"/>
  <c r="C317" i="15"/>
  <c r="AM317" i="15" s="1"/>
  <c r="G317" i="15"/>
  <c r="H317" i="15"/>
  <c r="C318" i="15"/>
  <c r="AM318" i="15" s="1"/>
  <c r="G318" i="15"/>
  <c r="H318" i="15"/>
  <c r="C319" i="15"/>
  <c r="AM319" i="15" s="1"/>
  <c r="G319" i="15"/>
  <c r="H319" i="15"/>
  <c r="C320" i="15"/>
  <c r="AM320" i="15" s="1"/>
  <c r="G320" i="15"/>
  <c r="H320" i="15"/>
  <c r="C321" i="15"/>
  <c r="AM321" i="15" s="1"/>
  <c r="G321" i="15"/>
  <c r="H321" i="15"/>
  <c r="C322" i="15"/>
  <c r="AM322" i="15" s="1"/>
  <c r="G322" i="15"/>
  <c r="H322" i="15"/>
  <c r="C323" i="15"/>
  <c r="AM323" i="15" s="1"/>
  <c r="G323" i="15"/>
  <c r="H323" i="15"/>
  <c r="C324" i="15"/>
  <c r="AM324" i="15" s="1"/>
  <c r="G324" i="15"/>
  <c r="H324" i="15"/>
  <c r="C325" i="15"/>
  <c r="AM325" i="15" s="1"/>
  <c r="G325" i="15"/>
  <c r="H325" i="15"/>
  <c r="C326" i="15"/>
  <c r="AM326" i="15" s="1"/>
  <c r="G326" i="15"/>
  <c r="H326" i="15"/>
  <c r="C327" i="15"/>
  <c r="AM327" i="15" s="1"/>
  <c r="G327" i="15"/>
  <c r="H327" i="15"/>
  <c r="H298" i="15"/>
  <c r="G298" i="15"/>
  <c r="C298" i="15"/>
  <c r="AM298" i="15" s="1"/>
  <c r="B325" i="15"/>
  <c r="B326" i="15"/>
  <c r="B327" i="15"/>
  <c r="B321" i="15"/>
  <c r="B322" i="15"/>
  <c r="B323" i="15"/>
  <c r="B324" i="15"/>
  <c r="B299" i="15"/>
  <c r="B300" i="15"/>
  <c r="B301" i="15"/>
  <c r="B302" i="15"/>
  <c r="B303" i="15"/>
  <c r="B304" i="15"/>
  <c r="B305" i="15"/>
  <c r="B306" i="15"/>
  <c r="B307" i="15"/>
  <c r="B308" i="15"/>
  <c r="B309" i="15"/>
  <c r="B310" i="15"/>
  <c r="B311" i="15"/>
  <c r="B312" i="15"/>
  <c r="B313" i="15"/>
  <c r="B314" i="15"/>
  <c r="B315" i="15"/>
  <c r="B316" i="15"/>
  <c r="B317" i="15"/>
  <c r="B318" i="15"/>
  <c r="B319" i="15"/>
  <c r="B320" i="15"/>
  <c r="B298" i="15"/>
  <c r="AA296" i="15"/>
  <c r="AA297" i="15"/>
  <c r="P290" i="15"/>
  <c r="P291" i="15"/>
  <c r="P292" i="15"/>
  <c r="P293" i="15"/>
  <c r="P294" i="15"/>
  <c r="P295" i="15"/>
  <c r="P296" i="15"/>
  <c r="P297" i="15"/>
  <c r="J290" i="15"/>
  <c r="J291" i="15"/>
  <c r="J292" i="15"/>
  <c r="J293" i="15"/>
  <c r="J294" i="15"/>
  <c r="J295" i="15"/>
  <c r="J296" i="15"/>
  <c r="J297" i="15"/>
  <c r="H290" i="15"/>
  <c r="G291" i="15"/>
  <c r="G292" i="15"/>
  <c r="G293" i="15"/>
  <c r="G294" i="15"/>
  <c r="G295" i="15"/>
  <c r="G296" i="15"/>
  <c r="G297" i="15"/>
  <c r="G290" i="15"/>
  <c r="C291" i="15"/>
  <c r="AM291" i="15" s="1"/>
  <c r="C292" i="15"/>
  <c r="AM292" i="15" s="1"/>
  <c r="C293" i="15"/>
  <c r="AM293" i="15" s="1"/>
  <c r="C294" i="15"/>
  <c r="AM294" i="15" s="1"/>
  <c r="C295" i="15"/>
  <c r="AM295" i="15" s="1"/>
  <c r="C296" i="15"/>
  <c r="AM296" i="15" s="1"/>
  <c r="C297" i="15"/>
  <c r="AM297" i="15" s="1"/>
  <c r="C290" i="15"/>
  <c r="AM290" i="15" s="1"/>
  <c r="B291" i="15"/>
  <c r="B292" i="15"/>
  <c r="B293" i="15"/>
  <c r="B294" i="15"/>
  <c r="B295" i="15"/>
  <c r="B296" i="15"/>
  <c r="B297" i="15"/>
  <c r="B290" i="15"/>
  <c r="AB280" i="15"/>
  <c r="AB283" i="15"/>
  <c r="AB286" i="15"/>
  <c r="AB289" i="15"/>
  <c r="P278" i="15"/>
  <c r="P279" i="15"/>
  <c r="P280" i="15"/>
  <c r="P281" i="15"/>
  <c r="P282" i="15"/>
  <c r="P283" i="15"/>
  <c r="P284" i="15"/>
  <c r="P285" i="15"/>
  <c r="P286" i="15"/>
  <c r="P287" i="15"/>
  <c r="P288" i="15"/>
  <c r="P289" i="15"/>
  <c r="J278" i="15"/>
  <c r="J279" i="15"/>
  <c r="J280" i="15"/>
  <c r="J281" i="15"/>
  <c r="J282" i="15"/>
  <c r="J283" i="15"/>
  <c r="J284" i="15"/>
  <c r="J285" i="15"/>
  <c r="J286" i="15"/>
  <c r="J287" i="15"/>
  <c r="J288" i="15"/>
  <c r="J289" i="15"/>
  <c r="H279" i="15"/>
  <c r="H280" i="15"/>
  <c r="H281" i="15"/>
  <c r="H282" i="15"/>
  <c r="H283" i="15"/>
  <c r="H284" i="15"/>
  <c r="H285" i="15"/>
  <c r="H286" i="15"/>
  <c r="H287" i="15"/>
  <c r="H288" i="15"/>
  <c r="H289" i="15"/>
  <c r="H278" i="15"/>
  <c r="G279" i="15"/>
  <c r="G281" i="15"/>
  <c r="G282" i="15"/>
  <c r="G284" i="15"/>
  <c r="G285" i="15"/>
  <c r="G287" i="15"/>
  <c r="G288" i="15"/>
  <c r="G278" i="15"/>
  <c r="C279" i="15"/>
  <c r="AM279" i="15" s="1"/>
  <c r="C280" i="15"/>
  <c r="AM280" i="15" s="1"/>
  <c r="C281" i="15"/>
  <c r="AM281" i="15" s="1"/>
  <c r="C282" i="15"/>
  <c r="AM282" i="15" s="1"/>
  <c r="C283" i="15"/>
  <c r="AM283" i="15" s="1"/>
  <c r="C284" i="15"/>
  <c r="AM284" i="15" s="1"/>
  <c r="C285" i="15"/>
  <c r="AM285" i="15" s="1"/>
  <c r="C286" i="15"/>
  <c r="AM286" i="15" s="1"/>
  <c r="C287" i="15"/>
  <c r="AM287" i="15" s="1"/>
  <c r="C288" i="15"/>
  <c r="AM288" i="15" s="1"/>
  <c r="C289" i="15"/>
  <c r="AM289" i="15" s="1"/>
  <c r="C278" i="15"/>
  <c r="AM278" i="15" s="1"/>
  <c r="B279" i="15"/>
  <c r="B280" i="15"/>
  <c r="B281" i="15"/>
  <c r="B282" i="15"/>
  <c r="B283" i="15"/>
  <c r="B284" i="15"/>
  <c r="B285" i="15"/>
  <c r="B286" i="15"/>
  <c r="B287" i="15"/>
  <c r="B288" i="15"/>
  <c r="B289" i="15"/>
  <c r="B278" i="15"/>
  <c r="P114" i="15"/>
  <c r="P117" i="15"/>
  <c r="P118" i="15"/>
  <c r="P120" i="15"/>
  <c r="P123" i="15"/>
  <c r="P124" i="15"/>
  <c r="P126" i="15"/>
  <c r="P129" i="15"/>
  <c r="P130" i="15"/>
  <c r="P132" i="15"/>
  <c r="P135" i="15"/>
  <c r="P136" i="15"/>
  <c r="P162" i="15"/>
  <c r="J268" i="15"/>
  <c r="J269" i="15"/>
  <c r="J270" i="15"/>
  <c r="J271" i="15"/>
  <c r="J272" i="15"/>
  <c r="J273" i="15"/>
  <c r="J274" i="15"/>
  <c r="J275" i="15"/>
  <c r="J276" i="15"/>
  <c r="J277" i="15"/>
  <c r="P268" i="15"/>
  <c r="P269" i="15"/>
  <c r="P270" i="15"/>
  <c r="P271" i="15"/>
  <c r="P272" i="15"/>
  <c r="P273" i="15"/>
  <c r="P274" i="15"/>
  <c r="P275" i="15"/>
  <c r="P276" i="15"/>
  <c r="P277" i="15"/>
  <c r="P257" i="15"/>
  <c r="P263" i="15"/>
  <c r="P264" i="15"/>
  <c r="P265" i="15"/>
  <c r="J257" i="15"/>
  <c r="J263" i="15"/>
  <c r="J264" i="15"/>
  <c r="J265" i="15"/>
  <c r="P238" i="15"/>
  <c r="P240" i="15"/>
  <c r="P222" i="15"/>
  <c r="P223" i="15"/>
  <c r="P224" i="15"/>
  <c r="P226" i="15"/>
  <c r="P227" i="15"/>
  <c r="P228" i="15"/>
  <c r="P232" i="15"/>
  <c r="P233" i="15"/>
  <c r="P234" i="15"/>
  <c r="P236" i="15"/>
  <c r="J232" i="15"/>
  <c r="J233" i="15"/>
  <c r="J234" i="15"/>
  <c r="J236" i="15"/>
  <c r="J238" i="15"/>
  <c r="J240" i="15"/>
  <c r="J226" i="15"/>
  <c r="J227" i="15"/>
  <c r="J228" i="15"/>
  <c r="J214" i="15"/>
  <c r="J215" i="15"/>
  <c r="J216" i="15"/>
  <c r="J217" i="15"/>
  <c r="J218" i="15"/>
  <c r="J219" i="15"/>
  <c r="J220" i="15"/>
  <c r="J221" i="15"/>
  <c r="J222" i="15"/>
  <c r="J223" i="15"/>
  <c r="J224" i="15"/>
  <c r="P214" i="15"/>
  <c r="P215" i="15"/>
  <c r="P216" i="15"/>
  <c r="P217" i="15"/>
  <c r="P218" i="15"/>
  <c r="P219" i="15"/>
  <c r="P220" i="15"/>
  <c r="P221" i="15"/>
  <c r="D212" i="15"/>
  <c r="E212" i="15"/>
  <c r="F212" i="15"/>
  <c r="P208" i="15"/>
  <c r="P209" i="15"/>
  <c r="P210" i="15"/>
  <c r="P211" i="15"/>
  <c r="J208" i="15"/>
  <c r="J209" i="15"/>
  <c r="J210" i="15"/>
  <c r="J211" i="15"/>
  <c r="Z624" i="15"/>
  <c r="W624" i="15" s="1"/>
  <c r="Z631" i="15"/>
  <c r="W631" i="15" s="1"/>
  <c r="Z597" i="15"/>
  <c r="W597" i="15" s="1"/>
  <c r="Z659" i="15"/>
  <c r="W659" i="15" s="1"/>
  <c r="Z663" i="15"/>
  <c r="W663" i="15" s="1"/>
  <c r="Z655" i="15"/>
  <c r="Z650" i="15"/>
  <c r="W650" i="15" s="1"/>
  <c r="Z648" i="15"/>
  <c r="W648" i="15" s="1"/>
  <c r="Z646" i="15"/>
  <c r="W646" i="15" s="1"/>
  <c r="Z620" i="15"/>
  <c r="W620" i="15" s="1"/>
  <c r="Z603" i="15"/>
  <c r="Z576" i="15"/>
  <c r="W576" i="15" s="1"/>
  <c r="Z593" i="15"/>
  <c r="Z591" i="15"/>
  <c r="Z587" i="15"/>
  <c r="Z586" i="15"/>
  <c r="Z583" i="15"/>
  <c r="W583" i="15" s="1"/>
  <c r="Z579" i="15"/>
  <c r="W579" i="15" s="1"/>
  <c r="Z548" i="15"/>
  <c r="Z574" i="15"/>
  <c r="W574" i="15" s="1"/>
  <c r="Z566" i="15"/>
  <c r="W566" i="15" s="1"/>
  <c r="J205" i="15"/>
  <c r="P205" i="15"/>
  <c r="J204" i="15"/>
  <c r="P204" i="15"/>
  <c r="J195" i="15"/>
  <c r="J198" i="15"/>
  <c r="J199" i="15"/>
  <c r="P195" i="15"/>
  <c r="P198" i="15"/>
  <c r="P199" i="15"/>
  <c r="J194" i="15"/>
  <c r="P194" i="15"/>
  <c r="D192" i="15"/>
  <c r="E192" i="15"/>
  <c r="F192" i="15"/>
  <c r="B193" i="15"/>
  <c r="C193" i="15"/>
  <c r="AM193" i="15" s="1"/>
  <c r="G193" i="15"/>
  <c r="H193" i="15"/>
  <c r="D193" i="15"/>
  <c r="E193" i="15"/>
  <c r="F193" i="15"/>
  <c r="B194" i="15"/>
  <c r="C194" i="15"/>
  <c r="AM194" i="15" s="1"/>
  <c r="G194" i="15"/>
  <c r="H194" i="15"/>
  <c r="D194" i="15"/>
  <c r="B195" i="15"/>
  <c r="C195" i="15"/>
  <c r="AM195" i="15" s="1"/>
  <c r="G195" i="15"/>
  <c r="H195" i="15"/>
  <c r="D195" i="15"/>
  <c r="B196" i="15"/>
  <c r="C196" i="15"/>
  <c r="AM196" i="15" s="1"/>
  <c r="G196" i="15"/>
  <c r="H196" i="15"/>
  <c r="D196" i="15"/>
  <c r="E196" i="15"/>
  <c r="F196" i="15"/>
  <c r="B197" i="15"/>
  <c r="C197" i="15"/>
  <c r="AM197" i="15" s="1"/>
  <c r="G197" i="15"/>
  <c r="H197" i="15"/>
  <c r="D197" i="15"/>
  <c r="E197" i="15"/>
  <c r="F197" i="15"/>
  <c r="B198" i="15"/>
  <c r="C198" i="15"/>
  <c r="AM198" i="15" s="1"/>
  <c r="G198" i="15"/>
  <c r="H198" i="15"/>
  <c r="D198" i="15"/>
  <c r="B199" i="15"/>
  <c r="C199" i="15"/>
  <c r="AM199" i="15" s="1"/>
  <c r="G199" i="15"/>
  <c r="H199" i="15"/>
  <c r="D199" i="15"/>
  <c r="B200" i="15"/>
  <c r="C200" i="15"/>
  <c r="AM200" i="15" s="1"/>
  <c r="G200" i="15"/>
  <c r="H200" i="15"/>
  <c r="D200" i="15"/>
  <c r="E200" i="15"/>
  <c r="F200" i="15"/>
  <c r="B201" i="15"/>
  <c r="H201" i="15"/>
  <c r="B202" i="15"/>
  <c r="C202" i="15"/>
  <c r="AM202" i="15" s="1"/>
  <c r="G202" i="15"/>
  <c r="H202" i="15"/>
  <c r="D202" i="15"/>
  <c r="E202" i="15"/>
  <c r="F202" i="15"/>
  <c r="B203" i="15"/>
  <c r="H203" i="15"/>
  <c r="B204" i="15"/>
  <c r="C204" i="15"/>
  <c r="AM204" i="15" s="1"/>
  <c r="G204" i="15"/>
  <c r="H204" i="15"/>
  <c r="D204" i="15"/>
  <c r="B205" i="15"/>
  <c r="H205" i="15"/>
  <c r="B206" i="15"/>
  <c r="C206" i="15"/>
  <c r="AM206" i="15" s="1"/>
  <c r="G206" i="15"/>
  <c r="H206" i="15"/>
  <c r="D206" i="15"/>
  <c r="E206" i="15"/>
  <c r="F206" i="15"/>
  <c r="B207" i="15"/>
  <c r="H207" i="15"/>
  <c r="B208" i="15"/>
  <c r="C208" i="15"/>
  <c r="AM208" i="15" s="1"/>
  <c r="G208" i="15"/>
  <c r="H208" i="15"/>
  <c r="D208" i="15"/>
  <c r="B209" i="15"/>
  <c r="H209" i="15"/>
  <c r="B210" i="15"/>
  <c r="C210" i="15"/>
  <c r="AM210" i="15" s="1"/>
  <c r="G210" i="15"/>
  <c r="H210" i="15"/>
  <c r="D210" i="15"/>
  <c r="B211" i="15"/>
  <c r="H211" i="15"/>
  <c r="B212" i="15"/>
  <c r="C212" i="15"/>
  <c r="AM212" i="15" s="1"/>
  <c r="G212" i="15"/>
  <c r="H212" i="15"/>
  <c r="B213" i="15"/>
  <c r="H213" i="15"/>
  <c r="B214" i="15"/>
  <c r="C214" i="15"/>
  <c r="AM214" i="15" s="1"/>
  <c r="G214" i="15"/>
  <c r="H214" i="15"/>
  <c r="D214" i="15"/>
  <c r="B215" i="15"/>
  <c r="H215" i="15"/>
  <c r="B216" i="15"/>
  <c r="C216" i="15"/>
  <c r="AM216" i="15" s="1"/>
  <c r="G216" i="15"/>
  <c r="H216" i="15"/>
  <c r="D216" i="15"/>
  <c r="B217" i="15"/>
  <c r="C217" i="15"/>
  <c r="AM217" i="15" s="1"/>
  <c r="G217" i="15"/>
  <c r="H217" i="15"/>
  <c r="D217" i="15"/>
  <c r="B218" i="15"/>
  <c r="H218" i="15"/>
  <c r="B219" i="15"/>
  <c r="C219" i="15"/>
  <c r="AM219" i="15" s="1"/>
  <c r="G219" i="15"/>
  <c r="H219" i="15"/>
  <c r="D219" i="15"/>
  <c r="B220" i="15"/>
  <c r="C220" i="15"/>
  <c r="AM220" i="15" s="1"/>
  <c r="G220" i="15"/>
  <c r="H220" i="15"/>
  <c r="D220" i="15"/>
  <c r="B221" i="15"/>
  <c r="H221" i="15"/>
  <c r="B222" i="15"/>
  <c r="C222" i="15"/>
  <c r="AM222" i="15" s="1"/>
  <c r="G222" i="15"/>
  <c r="H222" i="15"/>
  <c r="D222" i="15"/>
  <c r="B223" i="15"/>
  <c r="C223" i="15"/>
  <c r="AM223" i="15" s="1"/>
  <c r="G223" i="15"/>
  <c r="H223" i="15"/>
  <c r="D223" i="15"/>
  <c r="B224" i="15"/>
  <c r="H224" i="15"/>
  <c r="B225" i="15"/>
  <c r="C225" i="15"/>
  <c r="AM225" i="15" s="1"/>
  <c r="G225" i="15"/>
  <c r="H225" i="15"/>
  <c r="D225" i="15"/>
  <c r="E225" i="15"/>
  <c r="F225" i="15"/>
  <c r="B226" i="15"/>
  <c r="C226" i="15"/>
  <c r="AM226" i="15" s="1"/>
  <c r="G226" i="15"/>
  <c r="H226" i="15"/>
  <c r="D226" i="15"/>
  <c r="B227" i="15"/>
  <c r="C227" i="15"/>
  <c r="AM227" i="15" s="1"/>
  <c r="G227" i="15"/>
  <c r="H227" i="15"/>
  <c r="D227" i="15"/>
  <c r="B228" i="15"/>
  <c r="H228" i="15"/>
  <c r="B229" i="15"/>
  <c r="C229" i="15"/>
  <c r="AM229" i="15" s="1"/>
  <c r="G229" i="15"/>
  <c r="H229" i="15"/>
  <c r="D229" i="15"/>
  <c r="E229" i="15"/>
  <c r="F229" i="15"/>
  <c r="B230" i="15"/>
  <c r="C230" i="15"/>
  <c r="AM230" i="15" s="1"/>
  <c r="G230" i="15"/>
  <c r="H230" i="15"/>
  <c r="D230" i="15"/>
  <c r="E230" i="15"/>
  <c r="F230" i="15"/>
  <c r="B231" i="15"/>
  <c r="H231" i="15"/>
  <c r="B232" i="15"/>
  <c r="C232" i="15"/>
  <c r="AM232" i="15" s="1"/>
  <c r="G232" i="15"/>
  <c r="H232" i="15"/>
  <c r="D232" i="15"/>
  <c r="B233" i="15"/>
  <c r="C233" i="15"/>
  <c r="AM233" i="15" s="1"/>
  <c r="G233" i="15"/>
  <c r="H233" i="15"/>
  <c r="D233" i="15"/>
  <c r="B234" i="15"/>
  <c r="C234" i="15"/>
  <c r="AM234" i="15" s="1"/>
  <c r="H234" i="15"/>
  <c r="D234" i="15"/>
  <c r="B235" i="15"/>
  <c r="C235" i="15"/>
  <c r="AM235" i="15" s="1"/>
  <c r="G235" i="15"/>
  <c r="H235" i="15"/>
  <c r="D235" i="15"/>
  <c r="E235" i="15"/>
  <c r="F235" i="15"/>
  <c r="B236" i="15"/>
  <c r="C236" i="15"/>
  <c r="AM236" i="15" s="1"/>
  <c r="G236" i="15"/>
  <c r="H236" i="15"/>
  <c r="D236" i="15"/>
  <c r="B237" i="15"/>
  <c r="C237" i="15"/>
  <c r="AM237" i="15" s="1"/>
  <c r="G237" i="15"/>
  <c r="H237" i="15"/>
  <c r="D237" i="15"/>
  <c r="E237" i="15"/>
  <c r="F237" i="15"/>
  <c r="B238" i="15"/>
  <c r="C238" i="15"/>
  <c r="AM238" i="15" s="1"/>
  <c r="G238" i="15"/>
  <c r="H238" i="15"/>
  <c r="D238" i="15"/>
  <c r="B239" i="15"/>
  <c r="C239" i="15"/>
  <c r="AM239" i="15" s="1"/>
  <c r="G239" i="15"/>
  <c r="H239" i="15"/>
  <c r="D239" i="15"/>
  <c r="E239" i="15"/>
  <c r="F239" i="15"/>
  <c r="B240" i="15"/>
  <c r="C240" i="15"/>
  <c r="AM240" i="15" s="1"/>
  <c r="G240" i="15"/>
  <c r="H240" i="15"/>
  <c r="D240" i="15"/>
  <c r="B241" i="15"/>
  <c r="C241" i="15"/>
  <c r="AM241" i="15" s="1"/>
  <c r="G241" i="15"/>
  <c r="H241" i="15"/>
  <c r="D241" i="15"/>
  <c r="E241" i="15"/>
  <c r="F241" i="15"/>
  <c r="B242" i="15"/>
  <c r="C242" i="15"/>
  <c r="AM242" i="15" s="1"/>
  <c r="G242" i="15"/>
  <c r="H242" i="15"/>
  <c r="D242" i="15"/>
  <c r="E242" i="15"/>
  <c r="F242" i="15"/>
  <c r="B243" i="15"/>
  <c r="H243" i="15"/>
  <c r="B244" i="15"/>
  <c r="C244" i="15"/>
  <c r="AM244" i="15" s="1"/>
  <c r="G244" i="15"/>
  <c r="H244" i="15"/>
  <c r="D244" i="15"/>
  <c r="E244" i="15"/>
  <c r="F244" i="15"/>
  <c r="B245" i="15"/>
  <c r="H245" i="15"/>
  <c r="B246" i="15"/>
  <c r="C246" i="15"/>
  <c r="AM246" i="15" s="1"/>
  <c r="G246" i="15"/>
  <c r="H246" i="15"/>
  <c r="D246" i="15"/>
  <c r="E246" i="15"/>
  <c r="F246" i="15"/>
  <c r="B247" i="15"/>
  <c r="C247" i="15"/>
  <c r="AM247" i="15" s="1"/>
  <c r="G247" i="15"/>
  <c r="H247" i="15"/>
  <c r="D247" i="15"/>
  <c r="E247" i="15"/>
  <c r="F247" i="15"/>
  <c r="B248" i="15"/>
  <c r="H248" i="15"/>
  <c r="B249" i="15"/>
  <c r="C249" i="15"/>
  <c r="AM249" i="15" s="1"/>
  <c r="G249" i="15"/>
  <c r="H249" i="15"/>
  <c r="D249" i="15"/>
  <c r="E249" i="15"/>
  <c r="F249" i="15"/>
  <c r="B250" i="15"/>
  <c r="H250" i="15"/>
  <c r="B251" i="15"/>
  <c r="C251" i="15"/>
  <c r="AM251" i="15" s="1"/>
  <c r="G251" i="15"/>
  <c r="H251" i="15"/>
  <c r="D251" i="15"/>
  <c r="E251" i="15"/>
  <c r="F251" i="15"/>
  <c r="B252" i="15"/>
  <c r="C252" i="15"/>
  <c r="AM252" i="15" s="1"/>
  <c r="G252" i="15"/>
  <c r="H252" i="15"/>
  <c r="D252" i="15"/>
  <c r="E252" i="15"/>
  <c r="F252" i="15"/>
  <c r="B253" i="15"/>
  <c r="H253" i="15"/>
  <c r="B254" i="15"/>
  <c r="C254" i="15"/>
  <c r="AM254" i="15" s="1"/>
  <c r="G254" i="15"/>
  <c r="H254" i="15"/>
  <c r="D254" i="15"/>
  <c r="E254" i="15"/>
  <c r="F254" i="15"/>
  <c r="B255" i="15"/>
  <c r="H255" i="15"/>
  <c r="B256" i="15"/>
  <c r="C256" i="15"/>
  <c r="AM256" i="15" s="1"/>
  <c r="G256" i="15"/>
  <c r="H256" i="15"/>
  <c r="D256" i="15"/>
  <c r="E256" i="15"/>
  <c r="F256" i="15"/>
  <c r="B257" i="15"/>
  <c r="C257" i="15"/>
  <c r="AM257" i="15" s="1"/>
  <c r="G257" i="15"/>
  <c r="H257" i="15"/>
  <c r="D257" i="15"/>
  <c r="B258" i="15"/>
  <c r="C258" i="15"/>
  <c r="AM258" i="15" s="1"/>
  <c r="G258" i="15"/>
  <c r="H258" i="15"/>
  <c r="D258" i="15"/>
  <c r="E258" i="15"/>
  <c r="F258" i="15"/>
  <c r="B259" i="15"/>
  <c r="H259" i="15"/>
  <c r="B260" i="15"/>
  <c r="C260" i="15"/>
  <c r="AM260" i="15" s="1"/>
  <c r="G260" i="15"/>
  <c r="H260" i="15"/>
  <c r="D260" i="15"/>
  <c r="E260" i="15"/>
  <c r="F260" i="15"/>
  <c r="B261" i="15"/>
  <c r="H261" i="15"/>
  <c r="B262" i="15"/>
  <c r="C262" i="15"/>
  <c r="AM262" i="15" s="1"/>
  <c r="G262" i="15"/>
  <c r="H262" i="15"/>
  <c r="D262" i="15"/>
  <c r="E262" i="15"/>
  <c r="F262" i="15"/>
  <c r="B263" i="15"/>
  <c r="C263" i="15"/>
  <c r="AM263" i="15" s="1"/>
  <c r="G263" i="15"/>
  <c r="H263" i="15"/>
  <c r="D263" i="15"/>
  <c r="B264" i="15"/>
  <c r="C264" i="15"/>
  <c r="AM264" i="15" s="1"/>
  <c r="G264" i="15"/>
  <c r="H264" i="15"/>
  <c r="D264" i="15"/>
  <c r="B265" i="15"/>
  <c r="H265" i="15"/>
  <c r="B266" i="15"/>
  <c r="C266" i="15"/>
  <c r="AM266" i="15" s="1"/>
  <c r="G266" i="15"/>
  <c r="H266" i="15"/>
  <c r="D266" i="15"/>
  <c r="E266" i="15"/>
  <c r="F266" i="15"/>
  <c r="B267" i="15"/>
  <c r="H267" i="15"/>
  <c r="B268" i="15"/>
  <c r="C268" i="15"/>
  <c r="AM268" i="15" s="1"/>
  <c r="G268" i="15"/>
  <c r="H268" i="15"/>
  <c r="D268" i="15"/>
  <c r="B269" i="15"/>
  <c r="H269" i="15"/>
  <c r="B270" i="15"/>
  <c r="C270" i="15"/>
  <c r="AM270" i="15" s="1"/>
  <c r="G270" i="15"/>
  <c r="H270" i="15"/>
  <c r="D270" i="15"/>
  <c r="B271" i="15"/>
  <c r="H271" i="15"/>
  <c r="B272" i="15"/>
  <c r="C272" i="15"/>
  <c r="AM272" i="15" s="1"/>
  <c r="G272" i="15"/>
  <c r="H272" i="15"/>
  <c r="D272" i="15"/>
  <c r="B273" i="15"/>
  <c r="H273" i="15"/>
  <c r="B274" i="15"/>
  <c r="C274" i="15"/>
  <c r="AM274" i="15" s="1"/>
  <c r="G274" i="15"/>
  <c r="H274" i="15"/>
  <c r="D274" i="15"/>
  <c r="B275" i="15"/>
  <c r="H275" i="15"/>
  <c r="B276" i="15"/>
  <c r="C276" i="15"/>
  <c r="AM276" i="15" s="1"/>
  <c r="G276" i="15"/>
  <c r="H276" i="15"/>
  <c r="D276" i="15"/>
  <c r="B277" i="15"/>
  <c r="H277" i="15"/>
  <c r="H192" i="15"/>
  <c r="G192" i="15"/>
  <c r="C192" i="15"/>
  <c r="AM192" i="15" s="1"/>
  <c r="B192" i="15"/>
  <c r="J188" i="15"/>
  <c r="J191" i="15"/>
  <c r="P188" i="15"/>
  <c r="P191" i="15"/>
  <c r="AB189" i="15"/>
  <c r="AB190" i="15"/>
  <c r="AB191" i="15"/>
  <c r="AB188" i="15"/>
  <c r="X189" i="15"/>
  <c r="Y189" i="15"/>
  <c r="X190" i="15"/>
  <c r="Y190" i="15"/>
  <c r="X191" i="15"/>
  <c r="Z191" i="15" s="1"/>
  <c r="X188" i="15"/>
  <c r="Z188" i="15" s="1"/>
  <c r="H189" i="15"/>
  <c r="H190" i="15"/>
  <c r="H191" i="15"/>
  <c r="H188" i="15"/>
  <c r="G189" i="15"/>
  <c r="G190" i="15"/>
  <c r="G191" i="15"/>
  <c r="G188" i="15"/>
  <c r="D188" i="15"/>
  <c r="C189" i="15"/>
  <c r="AM189" i="15" s="1"/>
  <c r="D189" i="15"/>
  <c r="E189" i="15"/>
  <c r="F189" i="15"/>
  <c r="C190" i="15"/>
  <c r="AM190" i="15" s="1"/>
  <c r="D190" i="15"/>
  <c r="E190" i="15"/>
  <c r="F190" i="15"/>
  <c r="C191" i="15"/>
  <c r="AM191" i="15" s="1"/>
  <c r="D191" i="15"/>
  <c r="C188" i="15"/>
  <c r="AM188" i="15" s="1"/>
  <c r="B189" i="15"/>
  <c r="B190" i="15"/>
  <c r="B191" i="15"/>
  <c r="B188" i="15"/>
  <c r="J182" i="15"/>
  <c r="J183" i="15"/>
  <c r="J184" i="15"/>
  <c r="J185" i="15"/>
  <c r="J186" i="15"/>
  <c r="J187" i="15"/>
  <c r="P182" i="15"/>
  <c r="P183" i="15"/>
  <c r="P184" i="15"/>
  <c r="P185" i="15"/>
  <c r="P186" i="15"/>
  <c r="P187" i="15"/>
  <c r="D182" i="15"/>
  <c r="C183" i="15"/>
  <c r="AM183" i="15" s="1"/>
  <c r="H183" i="15"/>
  <c r="D183" i="15"/>
  <c r="C184" i="15"/>
  <c r="AM184" i="15" s="1"/>
  <c r="G184" i="15"/>
  <c r="H184" i="15"/>
  <c r="D184" i="15"/>
  <c r="C185" i="15"/>
  <c r="AM185" i="15" s="1"/>
  <c r="H185" i="15"/>
  <c r="D185" i="15"/>
  <c r="C186" i="15"/>
  <c r="AM186" i="15" s="1"/>
  <c r="G186" i="15"/>
  <c r="H186" i="15"/>
  <c r="D186" i="15"/>
  <c r="C187" i="15"/>
  <c r="AM187" i="15" s="1"/>
  <c r="H187" i="15"/>
  <c r="D187" i="15"/>
  <c r="H182" i="15"/>
  <c r="G182" i="15"/>
  <c r="C182" i="15"/>
  <c r="AM182" i="15" s="1"/>
  <c r="B183" i="15"/>
  <c r="B184" i="15"/>
  <c r="B185" i="15"/>
  <c r="B186" i="15"/>
  <c r="B187" i="15"/>
  <c r="B182" i="15"/>
  <c r="P179" i="15"/>
  <c r="J179" i="15"/>
  <c r="P178" i="15"/>
  <c r="J178" i="15"/>
  <c r="E176" i="15"/>
  <c r="P175" i="15"/>
  <c r="J175" i="15"/>
  <c r="D175" i="15"/>
  <c r="P174" i="15"/>
  <c r="J174" i="15"/>
  <c r="P173" i="15"/>
  <c r="J173" i="15"/>
  <c r="P170" i="15"/>
  <c r="P171" i="15"/>
  <c r="P172" i="15"/>
  <c r="J170" i="15"/>
  <c r="J171" i="15"/>
  <c r="J172" i="15"/>
  <c r="J117" i="15"/>
  <c r="J118" i="15"/>
  <c r="J120" i="15"/>
  <c r="J123" i="15"/>
  <c r="J124" i="15"/>
  <c r="J126" i="15"/>
  <c r="J129" i="15"/>
  <c r="J130" i="15"/>
  <c r="J132" i="15"/>
  <c r="J135" i="15"/>
  <c r="J136" i="15"/>
  <c r="J162" i="15"/>
  <c r="J114" i="15"/>
  <c r="P35" i="15"/>
  <c r="P36" i="15"/>
  <c r="P37" i="15"/>
  <c r="P38" i="15"/>
  <c r="P39" i="15"/>
  <c r="P40" i="15"/>
  <c r="P41" i="15"/>
  <c r="P42" i="15"/>
  <c r="P43" i="15"/>
  <c r="P44" i="15"/>
  <c r="P45" i="15"/>
  <c r="P34" i="15"/>
  <c r="J35" i="15"/>
  <c r="J36" i="15"/>
  <c r="J37" i="15"/>
  <c r="J38" i="15"/>
  <c r="J39" i="15"/>
  <c r="J40" i="15"/>
  <c r="J41" i="15"/>
  <c r="J42" i="15"/>
  <c r="J43" i="15"/>
  <c r="J44" i="15"/>
  <c r="J45" i="15"/>
  <c r="J34" i="15"/>
  <c r="P166" i="15"/>
  <c r="J166" i="15"/>
  <c r="J164" i="15"/>
  <c r="P164" i="15"/>
  <c r="P163" i="15"/>
  <c r="J163" i="15"/>
  <c r="H162" i="15"/>
  <c r="H163" i="15"/>
  <c r="H164" i="15"/>
  <c r="H165" i="15"/>
  <c r="H166" i="15"/>
  <c r="H167" i="15"/>
  <c r="H168" i="15"/>
  <c r="H169" i="15"/>
  <c r="H170" i="15"/>
  <c r="H171" i="15"/>
  <c r="H172" i="15"/>
  <c r="H173" i="15"/>
  <c r="H174" i="15"/>
  <c r="H175" i="15"/>
  <c r="H176" i="15"/>
  <c r="H177" i="15"/>
  <c r="H178" i="15"/>
  <c r="H179" i="15"/>
  <c r="H180" i="15"/>
  <c r="H181" i="15"/>
  <c r="H161" i="15"/>
  <c r="G162" i="15"/>
  <c r="G163" i="15"/>
  <c r="G164" i="15"/>
  <c r="G165" i="15"/>
  <c r="G166" i="15"/>
  <c r="G167" i="15"/>
  <c r="G168" i="15"/>
  <c r="G170" i="15"/>
  <c r="G172" i="15"/>
  <c r="G174" i="15"/>
  <c r="G176" i="15"/>
  <c r="G178" i="15"/>
  <c r="G180" i="15"/>
  <c r="G161" i="15"/>
  <c r="D161" i="15"/>
  <c r="C162" i="15"/>
  <c r="AM162" i="15" s="1"/>
  <c r="C163" i="15"/>
  <c r="AM163" i="15" s="1"/>
  <c r="D163" i="15"/>
  <c r="C164" i="15"/>
  <c r="AM164" i="15" s="1"/>
  <c r="D164" i="15"/>
  <c r="C165" i="15"/>
  <c r="AM165" i="15" s="1"/>
  <c r="D165" i="15"/>
  <c r="E165" i="15"/>
  <c r="F165" i="15"/>
  <c r="C166" i="15"/>
  <c r="AM166" i="15" s="1"/>
  <c r="D166" i="15"/>
  <c r="C167" i="15"/>
  <c r="AM167" i="15" s="1"/>
  <c r="D167" i="15"/>
  <c r="E167" i="15"/>
  <c r="F167" i="15"/>
  <c r="C168" i="15"/>
  <c r="AM168" i="15" s="1"/>
  <c r="D168" i="15"/>
  <c r="C169" i="15"/>
  <c r="AM169" i="15" s="1"/>
  <c r="D169" i="15"/>
  <c r="C170" i="15"/>
  <c r="AM170" i="15" s="1"/>
  <c r="C171" i="15"/>
  <c r="AM171" i="15" s="1"/>
  <c r="C172" i="15"/>
  <c r="AM172" i="15" s="1"/>
  <c r="D172" i="15"/>
  <c r="C173" i="15"/>
  <c r="AM173" i="15" s="1"/>
  <c r="D173" i="15"/>
  <c r="C174" i="15"/>
  <c r="AM174" i="15" s="1"/>
  <c r="D174" i="15"/>
  <c r="C175" i="15"/>
  <c r="AM175" i="15" s="1"/>
  <c r="C176" i="15"/>
  <c r="AM176" i="15" s="1"/>
  <c r="D176" i="15"/>
  <c r="F176" i="15"/>
  <c r="C177" i="15"/>
  <c r="AM177" i="15" s="1"/>
  <c r="D177" i="15"/>
  <c r="E177" i="15"/>
  <c r="F177" i="15"/>
  <c r="C178" i="15"/>
  <c r="AM178" i="15" s="1"/>
  <c r="D178" i="15"/>
  <c r="C179" i="15"/>
  <c r="AM179" i="15" s="1"/>
  <c r="D179" i="15"/>
  <c r="C180" i="15"/>
  <c r="AM180" i="15" s="1"/>
  <c r="D180" i="15"/>
  <c r="E180" i="15"/>
  <c r="F180" i="15"/>
  <c r="C181" i="15"/>
  <c r="AM181" i="15" s="1"/>
  <c r="D181" i="15"/>
  <c r="E181" i="15"/>
  <c r="F181" i="15"/>
  <c r="C161" i="15"/>
  <c r="AM161" i="15" s="1"/>
  <c r="B162" i="15"/>
  <c r="B163" i="15"/>
  <c r="B164" i="15"/>
  <c r="B165" i="15"/>
  <c r="B166" i="15"/>
  <c r="B167" i="15"/>
  <c r="B168" i="15"/>
  <c r="B169" i="15"/>
  <c r="B170" i="15"/>
  <c r="B171" i="15"/>
  <c r="B172" i="15"/>
  <c r="B173" i="15"/>
  <c r="B174" i="15"/>
  <c r="B175" i="15"/>
  <c r="B176" i="15"/>
  <c r="B177" i="15"/>
  <c r="B178" i="15"/>
  <c r="B179" i="15"/>
  <c r="B180" i="15"/>
  <c r="B181" i="15"/>
  <c r="B161" i="15"/>
  <c r="D45" i="15"/>
  <c r="D44" i="15"/>
  <c r="D43" i="15"/>
  <c r="D42" i="15"/>
  <c r="D41" i="15"/>
  <c r="D40" i="15"/>
  <c r="D39" i="15"/>
  <c r="D38" i="15"/>
  <c r="D37" i="15"/>
  <c r="D36" i="15"/>
  <c r="D35" i="15"/>
  <c r="X117" i="15"/>
  <c r="Z117" i="15" s="1"/>
  <c r="X118" i="15"/>
  <c r="Z118" i="15" s="1"/>
  <c r="X124" i="15"/>
  <c r="Z124" i="15" s="1"/>
  <c r="X130" i="15"/>
  <c r="Z130" i="15" s="1"/>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13" i="15"/>
  <c r="H106" i="15"/>
  <c r="H107" i="15"/>
  <c r="H108" i="15"/>
  <c r="H109" i="15"/>
  <c r="H110" i="15"/>
  <c r="H111" i="15"/>
  <c r="H112" i="15"/>
  <c r="H105" i="15"/>
  <c r="H96" i="15"/>
  <c r="H97" i="15"/>
  <c r="H99" i="15"/>
  <c r="H100" i="15"/>
  <c r="H102" i="15"/>
  <c r="H94" i="15"/>
  <c r="G96" i="15"/>
  <c r="G97" i="15"/>
  <c r="G99" i="15"/>
  <c r="G100" i="15"/>
  <c r="G102" i="15"/>
  <c r="G94" i="15"/>
  <c r="G106" i="15"/>
  <c r="G107" i="15"/>
  <c r="G108" i="15"/>
  <c r="G109" i="15"/>
  <c r="G110" i="15"/>
  <c r="G111" i="15"/>
  <c r="G112" i="15"/>
  <c r="G105" i="15"/>
  <c r="G114" i="15"/>
  <c r="G115" i="15"/>
  <c r="G117" i="15"/>
  <c r="G119" i="15"/>
  <c r="G120" i="15"/>
  <c r="G121" i="15"/>
  <c r="G123" i="15"/>
  <c r="G125" i="15"/>
  <c r="G126" i="15"/>
  <c r="G127" i="15"/>
  <c r="G129" i="15"/>
  <c r="G131" i="15"/>
  <c r="G132" i="15"/>
  <c r="G133" i="15"/>
  <c r="G135" i="15"/>
  <c r="G113" i="15"/>
  <c r="D113" i="15"/>
  <c r="C114" i="15"/>
  <c r="AM114" i="15" s="1"/>
  <c r="C115" i="15"/>
  <c r="AM115" i="15" s="1"/>
  <c r="D115" i="15"/>
  <c r="C116" i="15"/>
  <c r="AM116" i="15" s="1"/>
  <c r="D116" i="15"/>
  <c r="C117" i="15"/>
  <c r="AM117" i="15" s="1"/>
  <c r="C118" i="15"/>
  <c r="AM118" i="15" s="1"/>
  <c r="C119" i="15"/>
  <c r="AM119" i="15" s="1"/>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13" i="15"/>
  <c r="AM113" i="15" s="1"/>
  <c r="B128" i="15"/>
  <c r="B129" i="15"/>
  <c r="B130" i="15"/>
  <c r="B131" i="15"/>
  <c r="B132" i="15"/>
  <c r="B133" i="15"/>
  <c r="B134" i="15"/>
  <c r="B135" i="15"/>
  <c r="B136" i="15"/>
  <c r="B114" i="15"/>
  <c r="B115" i="15"/>
  <c r="B116" i="15"/>
  <c r="B117" i="15"/>
  <c r="B118" i="15"/>
  <c r="B119" i="15"/>
  <c r="B120" i="15"/>
  <c r="B121" i="15"/>
  <c r="B122" i="15"/>
  <c r="B123" i="15"/>
  <c r="B124" i="15"/>
  <c r="B125" i="15"/>
  <c r="B126" i="15"/>
  <c r="B127" i="15"/>
  <c r="B113" i="15"/>
  <c r="C106" i="15"/>
  <c r="AM106" i="15" s="1"/>
  <c r="C107" i="15"/>
  <c r="AM107" i="15" s="1"/>
  <c r="C108" i="15"/>
  <c r="AM108" i="15" s="1"/>
  <c r="C109" i="15"/>
  <c r="AM109" i="15" s="1"/>
  <c r="C110" i="15"/>
  <c r="AM110" i="15" s="1"/>
  <c r="C111" i="15"/>
  <c r="AM111" i="15" s="1"/>
  <c r="C112" i="15"/>
  <c r="AM112" i="15" s="1"/>
  <c r="C105" i="15"/>
  <c r="AM105" i="15" s="1"/>
  <c r="B106" i="15"/>
  <c r="B107" i="15"/>
  <c r="B108" i="15"/>
  <c r="B109" i="15"/>
  <c r="B110" i="15"/>
  <c r="B111" i="15"/>
  <c r="B112" i="15"/>
  <c r="B105" i="15"/>
  <c r="C96" i="15"/>
  <c r="AM96" i="15" s="1"/>
  <c r="C97" i="15"/>
  <c r="AM97" i="15" s="1"/>
  <c r="C99" i="15"/>
  <c r="AM99" i="15" s="1"/>
  <c r="C100" i="15"/>
  <c r="AM100" i="15" s="1"/>
  <c r="C102" i="15"/>
  <c r="AM102" i="15" s="1"/>
  <c r="C94" i="15"/>
  <c r="AM94" i="15" s="1"/>
  <c r="B96" i="15"/>
  <c r="B97" i="15"/>
  <c r="B99" i="15"/>
  <c r="B100" i="15"/>
  <c r="B102" i="15"/>
  <c r="B94" i="15"/>
  <c r="H92" i="15"/>
  <c r="H90" i="15"/>
  <c r="G92" i="15"/>
  <c r="G90" i="15"/>
  <c r="C92" i="15"/>
  <c r="AM92" i="15" s="1"/>
  <c r="C90" i="15"/>
  <c r="AM90" i="15" s="1"/>
  <c r="B92" i="15"/>
  <c r="B90" i="15"/>
  <c r="B88" i="15"/>
  <c r="C88" i="15"/>
  <c r="AM88" i="15" s="1"/>
  <c r="G88" i="15"/>
  <c r="H88" i="15"/>
  <c r="H86" i="15"/>
  <c r="G86" i="15"/>
  <c r="C86" i="15"/>
  <c r="AM86" i="15" s="1"/>
  <c r="B86" i="15"/>
  <c r="B84" i="15"/>
  <c r="C84" i="15"/>
  <c r="AM84" i="15" s="1"/>
  <c r="H84" i="15"/>
  <c r="H82" i="15"/>
  <c r="G82" i="15"/>
  <c r="C82" i="15"/>
  <c r="AM82" i="15" s="1"/>
  <c r="B82" i="15"/>
  <c r="H80" i="15"/>
  <c r="H78" i="15"/>
  <c r="G80" i="15"/>
  <c r="G78" i="15"/>
  <c r="C80" i="15"/>
  <c r="AM80" i="15" s="1"/>
  <c r="C78" i="15"/>
  <c r="AM78" i="15" s="1"/>
  <c r="B80" i="15"/>
  <c r="B78" i="15"/>
  <c r="H68" i="15"/>
  <c r="H69" i="15"/>
  <c r="H72" i="15"/>
  <c r="H73" i="15"/>
  <c r="H74" i="15"/>
  <c r="H67" i="15"/>
  <c r="G73" i="15"/>
  <c r="G74" i="15"/>
  <c r="C68" i="15"/>
  <c r="AM68" i="15" s="1"/>
  <c r="C69" i="15"/>
  <c r="AM69" i="15" s="1"/>
  <c r="C72" i="15"/>
  <c r="AM72" i="15" s="1"/>
  <c r="C73" i="15"/>
  <c r="AM73" i="15" s="1"/>
  <c r="C74" i="15"/>
  <c r="AM74" i="15" s="1"/>
  <c r="C67" i="15"/>
  <c r="AM67" i="15" s="1"/>
  <c r="B68" i="15"/>
  <c r="B69" i="15"/>
  <c r="B72" i="15"/>
  <c r="B73" i="15"/>
  <c r="B74" i="15"/>
  <c r="B67" i="15"/>
  <c r="H65" i="15"/>
  <c r="H66" i="15"/>
  <c r="H62" i="15"/>
  <c r="G65" i="15"/>
  <c r="G62" i="15"/>
  <c r="C65" i="15"/>
  <c r="AM65" i="15" s="1"/>
  <c r="C66" i="15"/>
  <c r="AM66" i="15" s="1"/>
  <c r="C62" i="15"/>
  <c r="AM62" i="15" s="1"/>
  <c r="B65" i="15"/>
  <c r="B66" i="15"/>
  <c r="B62" i="15"/>
  <c r="H61" i="15"/>
  <c r="H60" i="15"/>
  <c r="H59" i="15"/>
  <c r="H58" i="15"/>
  <c r="G61" i="15"/>
  <c r="G60" i="15"/>
  <c r="G59" i="15"/>
  <c r="G58" i="15"/>
  <c r="G49" i="15"/>
  <c r="G50" i="15"/>
  <c r="G51" i="15"/>
  <c r="G52" i="15"/>
  <c r="G53" i="15"/>
  <c r="G54" i="15"/>
  <c r="G55" i="15"/>
  <c r="G56" i="15"/>
  <c r="G48" i="15"/>
  <c r="C61" i="15"/>
  <c r="AM61" i="15" s="1"/>
  <c r="C60" i="15"/>
  <c r="AM60" i="15" s="1"/>
  <c r="C59" i="15"/>
  <c r="AM59" i="15" s="1"/>
  <c r="C58" i="15"/>
  <c r="AM58" i="15" s="1"/>
  <c r="B61" i="15"/>
  <c r="B60" i="15"/>
  <c r="B59" i="15"/>
  <c r="B58" i="15"/>
  <c r="H49" i="15"/>
  <c r="H50" i="15"/>
  <c r="H51" i="15"/>
  <c r="H52" i="15"/>
  <c r="H53" i="15"/>
  <c r="H54" i="15"/>
  <c r="H55" i="15"/>
  <c r="H56" i="15"/>
  <c r="H48" i="15"/>
  <c r="C49" i="15"/>
  <c r="AM49" i="15" s="1"/>
  <c r="C50" i="15"/>
  <c r="AM50" i="15" s="1"/>
  <c r="C51" i="15"/>
  <c r="AM51" i="15" s="1"/>
  <c r="C52" i="15"/>
  <c r="AM52" i="15" s="1"/>
  <c r="C53" i="15"/>
  <c r="AM53" i="15" s="1"/>
  <c r="C54" i="15"/>
  <c r="AM54" i="15" s="1"/>
  <c r="C55" i="15"/>
  <c r="AM55" i="15" s="1"/>
  <c r="C56" i="15"/>
  <c r="AM56" i="15" s="1"/>
  <c r="C48" i="15"/>
  <c r="AM48" i="15" s="1"/>
  <c r="B49" i="15"/>
  <c r="B50" i="15"/>
  <c r="B51" i="15"/>
  <c r="B52" i="15"/>
  <c r="B53" i="15"/>
  <c r="B54" i="15"/>
  <c r="B55" i="15"/>
  <c r="B56" i="15"/>
  <c r="B48" i="15"/>
  <c r="X47" i="15"/>
  <c r="Z47" i="15" s="1"/>
  <c r="AB47" i="15"/>
  <c r="AB46" i="15"/>
  <c r="X46" i="15"/>
  <c r="Z46" i="15" s="1"/>
  <c r="G47" i="15"/>
  <c r="G46" i="15"/>
  <c r="H47" i="15"/>
  <c r="H46" i="15"/>
  <c r="C47" i="15"/>
  <c r="AM47" i="15" s="1"/>
  <c r="C46" i="15"/>
  <c r="AM46" i="15" s="1"/>
  <c r="B47" i="15"/>
  <c r="B46" i="15"/>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02" i="16" s="1"/>
  <c r="V202" i="16" s="1"/>
  <c r="E51" i="16"/>
  <c r="V54" i="16"/>
  <c r="X56" i="16"/>
  <c r="Y56" i="16"/>
  <c r="Z56" i="16"/>
  <c r="AA56" i="16"/>
  <c r="AB56" i="16"/>
  <c r="AC56" i="16"/>
  <c r="AD56" i="16"/>
  <c r="AE56" i="16"/>
  <c r="AF56" i="16"/>
  <c r="AG56" i="16"/>
  <c r="BB56" i="16"/>
  <c r="BC56" i="16"/>
  <c r="BD56" i="16"/>
  <c r="BE56" i="16"/>
  <c r="F57" i="16"/>
  <c r="H57" i="16"/>
  <c r="J57" i="16"/>
  <c r="BC57" i="16" s="1"/>
  <c r="K57" i="16"/>
  <c r="AB34" i="15" s="1"/>
  <c r="V57" i="16"/>
  <c r="H58" i="16"/>
  <c r="J58" i="16"/>
  <c r="BC58" i="16" s="1"/>
  <c r="V58" i="16"/>
  <c r="BE58" i="16"/>
  <c r="F59" i="16"/>
  <c r="K35" i="15" s="1"/>
  <c r="H59" i="16"/>
  <c r="J59" i="16"/>
  <c r="BC59" i="16" s="1"/>
  <c r="K59" i="16"/>
  <c r="BE59" i="16" s="1"/>
  <c r="V59" i="16"/>
  <c r="H60" i="16"/>
  <c r="J60" i="16"/>
  <c r="BC60" i="16" s="1"/>
  <c r="V60" i="16"/>
  <c r="BE60" i="16"/>
  <c r="D61" i="16"/>
  <c r="H36" i="15" s="1"/>
  <c r="E61" i="16"/>
  <c r="E109" i="16" s="1"/>
  <c r="F61" i="16"/>
  <c r="K36" i="15" s="1"/>
  <c r="H61" i="16"/>
  <c r="J61" i="16"/>
  <c r="BC61" i="16" s="1"/>
  <c r="BD61" i="16" s="1"/>
  <c r="AE36" i="15" s="1"/>
  <c r="K61" i="16"/>
  <c r="BE61" i="16" s="1"/>
  <c r="V61" i="16"/>
  <c r="D62" i="16"/>
  <c r="E62" i="16"/>
  <c r="H62" i="16"/>
  <c r="J62" i="16"/>
  <c r="BC62" i="16" s="1"/>
  <c r="V62" i="16"/>
  <c r="BE62" i="16"/>
  <c r="F63" i="16"/>
  <c r="K37" i="15" s="1"/>
  <c r="H63" i="16"/>
  <c r="J63" i="16"/>
  <c r="X37" i="15" s="1"/>
  <c r="Z37" i="15" s="1"/>
  <c r="K63" i="16"/>
  <c r="BE63" i="16" s="1"/>
  <c r="V63" i="16"/>
  <c r="H64" i="16"/>
  <c r="J64" i="16"/>
  <c r="BC64" i="16" s="1"/>
  <c r="V64" i="16"/>
  <c r="BE64" i="16"/>
  <c r="D65" i="16"/>
  <c r="E65" i="16"/>
  <c r="E111" i="16" s="1"/>
  <c r="F65" i="16"/>
  <c r="H65" i="16"/>
  <c r="J65" i="16"/>
  <c r="BC65" i="16" s="1"/>
  <c r="K65" i="16"/>
  <c r="V65" i="16"/>
  <c r="D66" i="16"/>
  <c r="E66" i="16"/>
  <c r="H66" i="16"/>
  <c r="J66" i="16"/>
  <c r="BC66" i="16" s="1"/>
  <c r="V66" i="16"/>
  <c r="BE66" i="16"/>
  <c r="F67" i="16"/>
  <c r="H67" i="16"/>
  <c r="J67" i="16"/>
  <c r="BC67" i="16" s="1"/>
  <c r="K67" i="16"/>
  <c r="BE67" i="16" s="1"/>
  <c r="V67" i="16"/>
  <c r="H68" i="16"/>
  <c r="J68" i="16"/>
  <c r="BC68" i="16" s="1"/>
  <c r="V68" i="16"/>
  <c r="BE68" i="16"/>
  <c r="F69" i="16"/>
  <c r="H69" i="16"/>
  <c r="J69" i="16"/>
  <c r="BC69" i="16" s="1"/>
  <c r="K69" i="16"/>
  <c r="AB40" i="15" s="1"/>
  <c r="V69" i="16"/>
  <c r="H70" i="16"/>
  <c r="J70" i="16"/>
  <c r="BC70" i="16" s="1"/>
  <c r="V70" i="16"/>
  <c r="BE70" i="16"/>
  <c r="H71" i="16"/>
  <c r="J71" i="16"/>
  <c r="BC71" i="16" s="1"/>
  <c r="BD71" i="16" s="1"/>
  <c r="AE41" i="15" s="1"/>
  <c r="K71" i="16"/>
  <c r="AB41" i="15" s="1"/>
  <c r="V71" i="16"/>
  <c r="H72" i="16"/>
  <c r="J72" i="16"/>
  <c r="BC72" i="16" s="1"/>
  <c r="V72" i="16"/>
  <c r="BE72" i="16"/>
  <c r="D73" i="16"/>
  <c r="H42" i="15" s="1"/>
  <c r="F73" i="16"/>
  <c r="K42" i="15" s="1"/>
  <c r="H73" i="16"/>
  <c r="J73" i="16"/>
  <c r="BC73" i="16" s="1"/>
  <c r="K73" i="16"/>
  <c r="BE73" i="16" s="1"/>
  <c r="V73" i="16"/>
  <c r="D74" i="16"/>
  <c r="H74" i="16"/>
  <c r="J74" i="16"/>
  <c r="BC74" i="16" s="1"/>
  <c r="V74" i="16"/>
  <c r="BE74" i="16"/>
  <c r="F75" i="16"/>
  <c r="H75" i="16"/>
  <c r="J75" i="16"/>
  <c r="K75" i="16"/>
  <c r="AB43" i="15" s="1"/>
  <c r="V75" i="16"/>
  <c r="H76" i="16"/>
  <c r="J76" i="16"/>
  <c r="BC76" i="16" s="1"/>
  <c r="V76" i="16"/>
  <c r="BE76" i="16"/>
  <c r="K44" i="15"/>
  <c r="H77" i="16"/>
  <c r="J77" i="16"/>
  <c r="BC77" i="16" s="1"/>
  <c r="K77" i="16"/>
  <c r="AB44" i="15" s="1"/>
  <c r="V77" i="16"/>
  <c r="H78" i="16"/>
  <c r="J78" i="16"/>
  <c r="BC78" i="16" s="1"/>
  <c r="V78" i="16"/>
  <c r="BE78" i="16"/>
  <c r="D79" i="16"/>
  <c r="H45" i="15" s="1"/>
  <c r="F79" i="16"/>
  <c r="K45" i="15" s="1"/>
  <c r="H79" i="16"/>
  <c r="J79" i="16"/>
  <c r="BC79" i="16" s="1"/>
  <c r="BD79" i="16" s="1"/>
  <c r="AE45" i="15" s="1"/>
  <c r="K79" i="16"/>
  <c r="BE79" i="16" s="1"/>
  <c r="V79" i="16"/>
  <c r="D80" i="16"/>
  <c r="H80" i="16"/>
  <c r="J80" i="16"/>
  <c r="BC80" i="16" s="1"/>
  <c r="V80" i="16"/>
  <c r="BE80" i="16"/>
  <c r="X90" i="16"/>
  <c r="Y90" i="16"/>
  <c r="Z90" i="16"/>
  <c r="AA90" i="16"/>
  <c r="AB90" i="16"/>
  <c r="AC90" i="16"/>
  <c r="AD90" i="16"/>
  <c r="AE90" i="16"/>
  <c r="AF90" i="16"/>
  <c r="AG90"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39" i="15" s="1"/>
  <c r="W136" i="16"/>
  <c r="X136" i="16"/>
  <c r="F137" i="16"/>
  <c r="F70" i="16" s="1"/>
  <c r="L40" i="15" s="1"/>
  <c r="W137" i="16"/>
  <c r="X137" i="16"/>
  <c r="F138" i="16"/>
  <c r="F72" i="16" s="1"/>
  <c r="L41" i="15" s="1"/>
  <c r="F139" i="16"/>
  <c r="F76" i="16" s="1"/>
  <c r="L43" i="15" s="1"/>
  <c r="W139" i="16"/>
  <c r="X139" i="16"/>
  <c r="F140" i="16"/>
  <c r="F78" i="16" s="1"/>
  <c r="L44"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F172" i="16"/>
  <c r="H172" i="16"/>
  <c r="BC172" i="16"/>
  <c r="BE172" i="16"/>
  <c r="F173" i="16"/>
  <c r="I47" i="15" s="1"/>
  <c r="H173" i="16"/>
  <c r="BC173" i="16"/>
  <c r="BE173" i="16"/>
  <c r="X188" i="16"/>
  <c r="Y188" i="16"/>
  <c r="Z188" i="16"/>
  <c r="AA188" i="16"/>
  <c r="AB188" i="16"/>
  <c r="AC188" i="16"/>
  <c r="AD188" i="16"/>
  <c r="AE188" i="16"/>
  <c r="AF188" i="16"/>
  <c r="AG188" i="16"/>
  <c r="AJ188" i="16"/>
  <c r="AK188" i="16"/>
  <c r="AL188" i="16"/>
  <c r="AM188" i="16"/>
  <c r="AN188" i="16"/>
  <c r="AO188" i="16"/>
  <c r="AP188" i="16"/>
  <c r="AQ188" i="16"/>
  <c r="AR188" i="16"/>
  <c r="AS188" i="16"/>
  <c r="V190" i="16"/>
  <c r="V191" i="16"/>
  <c r="V192" i="16"/>
  <c r="V193" i="16"/>
  <c r="V194" i="16"/>
  <c r="V195" i="16"/>
  <c r="V196" i="16"/>
  <c r="V197" i="16"/>
  <c r="V198" i="16"/>
  <c r="V199" i="16"/>
  <c r="V200" i="16"/>
  <c r="D201" i="16"/>
  <c r="V201" i="16" s="1"/>
  <c r="V205" i="16"/>
  <c r="X207" i="16"/>
  <c r="Y207" i="16"/>
  <c r="Z207" i="16"/>
  <c r="AA207" i="16"/>
  <c r="AB207" i="16"/>
  <c r="AC207" i="16"/>
  <c r="AD207" i="16"/>
  <c r="AE207" i="16"/>
  <c r="AF207" i="16"/>
  <c r="AG207" i="16"/>
  <c r="BB207" i="16"/>
  <c r="BC207" i="16"/>
  <c r="BD207" i="16"/>
  <c r="BE207" i="16"/>
  <c r="I48" i="15"/>
  <c r="H208" i="16"/>
  <c r="H465" i="9" s="1"/>
  <c r="X48" i="15"/>
  <c r="Z48" i="15" s="1"/>
  <c r="AB48" i="15"/>
  <c r="I49" i="15"/>
  <c r="H209" i="16"/>
  <c r="X49" i="15"/>
  <c r="Z49" i="15" s="1"/>
  <c r="H210" i="16"/>
  <c r="H467" i="9" s="1"/>
  <c r="AB50" i="15"/>
  <c r="H211" i="16"/>
  <c r="H468" i="9" s="1"/>
  <c r="X51" i="15"/>
  <c r="Z51" i="15" s="1"/>
  <c r="AB51" i="15"/>
  <c r="I52" i="15"/>
  <c r="H212" i="16"/>
  <c r="H469" i="9" s="1"/>
  <c r="X52" i="15"/>
  <c r="Z52" i="15" s="1"/>
  <c r="BE212" i="16"/>
  <c r="I53" i="15"/>
  <c r="H213" i="16"/>
  <c r="H470" i="9" s="1"/>
  <c r="X53" i="15"/>
  <c r="Z53" i="15" s="1"/>
  <c r="AB53" i="15"/>
  <c r="I54" i="15"/>
  <c r="H214" i="16"/>
  <c r="AB54" i="15"/>
  <c r="I55" i="15"/>
  <c r="H215" i="16"/>
  <c r="H472" i="9" s="1"/>
  <c r="BC215" i="16"/>
  <c r="BD215" i="16" s="1"/>
  <c r="AE55" i="15" s="1"/>
  <c r="AC55" i="15" s="1"/>
  <c r="AB55" i="15"/>
  <c r="H216" i="16"/>
  <c r="H473" i="9" s="1"/>
  <c r="AB56" i="15"/>
  <c r="X223" i="16"/>
  <c r="Y223" i="16"/>
  <c r="Z223" i="16"/>
  <c r="AA223" i="16"/>
  <c r="AB223" i="16"/>
  <c r="AC223" i="16"/>
  <c r="AD223" i="16"/>
  <c r="AE223" i="16"/>
  <c r="AF223" i="16"/>
  <c r="AG223" i="16"/>
  <c r="V241" i="16"/>
  <c r="X243" i="16"/>
  <c r="Y243" i="16"/>
  <c r="Z243" i="16"/>
  <c r="AA243" i="16"/>
  <c r="AB243" i="16"/>
  <c r="AC243" i="16"/>
  <c r="AD243" i="16"/>
  <c r="AE243" i="16"/>
  <c r="AF243" i="16"/>
  <c r="AG243" i="16"/>
  <c r="BB243" i="16"/>
  <c r="BC243" i="16"/>
  <c r="BD243" i="16"/>
  <c r="BE243" i="16"/>
  <c r="F244" i="16"/>
  <c r="I58" i="15" s="1"/>
  <c r="H244" i="16"/>
  <c r="J244" i="16"/>
  <c r="K244" i="16"/>
  <c r="AB58" i="15" s="1"/>
  <c r="X252" i="16"/>
  <c r="Y252" i="16"/>
  <c r="Z252" i="16"/>
  <c r="AA252" i="16"/>
  <c r="AB252" i="16"/>
  <c r="AC252" i="16"/>
  <c r="AD252" i="16"/>
  <c r="AE252" i="16"/>
  <c r="AF252" i="16"/>
  <c r="AG252" i="16"/>
  <c r="V253" i="16"/>
  <c r="V254" i="16"/>
  <c r="V255" i="16"/>
  <c r="V256" i="16"/>
  <c r="V257" i="16"/>
  <c r="V258" i="16"/>
  <c r="V259" i="16"/>
  <c r="V260" i="16"/>
  <c r="D261" i="16"/>
  <c r="V261" i="16" s="1"/>
  <c r="V265" i="16"/>
  <c r="X267" i="16"/>
  <c r="Y267" i="16"/>
  <c r="Z267" i="16"/>
  <c r="AA267" i="16"/>
  <c r="AB267" i="16"/>
  <c r="AC267" i="16"/>
  <c r="AD267" i="16"/>
  <c r="AE267" i="16"/>
  <c r="AF267" i="16"/>
  <c r="AG267" i="16"/>
  <c r="BB267" i="16"/>
  <c r="BC267" i="16"/>
  <c r="BD267" i="16"/>
  <c r="BE267" i="16"/>
  <c r="F268" i="16"/>
  <c r="H268" i="16"/>
  <c r="J268" i="16"/>
  <c r="X59" i="15" s="1"/>
  <c r="Z59" i="15" s="1"/>
  <c r="K268" i="16"/>
  <c r="X274" i="16"/>
  <c r="Y274" i="16"/>
  <c r="Z274" i="16"/>
  <c r="AA274" i="16"/>
  <c r="AB274" i="16"/>
  <c r="AC274" i="16"/>
  <c r="AD274" i="16"/>
  <c r="AE274" i="16"/>
  <c r="AF274" i="16"/>
  <c r="AG274" i="16"/>
  <c r="D288" i="16"/>
  <c r="V288" i="16" s="1"/>
  <c r="V292" i="16"/>
  <c r="X294" i="16"/>
  <c r="Y294" i="16"/>
  <c r="Z294" i="16"/>
  <c r="AA294" i="16"/>
  <c r="AB294" i="16"/>
  <c r="AC294" i="16"/>
  <c r="AD294" i="16"/>
  <c r="AE294" i="16"/>
  <c r="AF294" i="16"/>
  <c r="AG294" i="16"/>
  <c r="BB294" i="16"/>
  <c r="BC294" i="16"/>
  <c r="BD294" i="16"/>
  <c r="BE294" i="16"/>
  <c r="F295" i="16"/>
  <c r="I60" i="15" s="1"/>
  <c r="K60" i="15" s="1"/>
  <c r="H295" i="16"/>
  <c r="J295" i="16"/>
  <c r="K295" i="16"/>
  <c r="AB60" i="15" s="1"/>
  <c r="F296" i="16"/>
  <c r="I61" i="15" s="1"/>
  <c r="K61" i="15" s="1"/>
  <c r="H296" i="16"/>
  <c r="J296" i="16"/>
  <c r="BC296" i="16" s="1"/>
  <c r="K296" i="16"/>
  <c r="AB61" i="15" s="1"/>
  <c r="X304" i="16"/>
  <c r="Y304" i="16"/>
  <c r="Z304" i="16"/>
  <c r="AA304" i="16"/>
  <c r="AB304" i="16"/>
  <c r="AC304" i="16"/>
  <c r="AD304" i="16"/>
  <c r="AE304" i="16"/>
  <c r="AF304" i="16"/>
  <c r="AG304" i="16"/>
  <c r="D314" i="16"/>
  <c r="V314" i="16" s="1"/>
  <c r="E125" i="16"/>
  <c r="BE75" i="16"/>
  <c r="BC268" i="16"/>
  <c r="BC213" i="16"/>
  <c r="BD213" i="16" s="1"/>
  <c r="AE53" i="15" s="1"/>
  <c r="AC53" i="15" s="1"/>
  <c r="E161" i="16"/>
  <c r="BC212" i="16"/>
  <c r="BE211" i="16"/>
  <c r="BC209" i="16"/>
  <c r="BE71" i="16"/>
  <c r="AB35" i="15"/>
  <c r="BC216" i="16"/>
  <c r="X56" i="15"/>
  <c r="Z56" i="15" s="1"/>
  <c r="BE208" i="16"/>
  <c r="E117" i="16"/>
  <c r="C44" i="15"/>
  <c r="AM44" i="15" s="1"/>
  <c r="G44" i="15"/>
  <c r="H44" i="15"/>
  <c r="X44" i="15"/>
  <c r="Z44" i="15" s="1"/>
  <c r="C45" i="15"/>
  <c r="AM45" i="15" s="1"/>
  <c r="G45" i="15"/>
  <c r="C35" i="15"/>
  <c r="AM35" i="15" s="1"/>
  <c r="G35" i="15"/>
  <c r="H35" i="15"/>
  <c r="C36" i="15"/>
  <c r="AM36" i="15" s="1"/>
  <c r="C37" i="15"/>
  <c r="AM37" i="15" s="1"/>
  <c r="G37" i="15"/>
  <c r="H37" i="15"/>
  <c r="C38" i="15"/>
  <c r="AM38" i="15" s="1"/>
  <c r="G38" i="15"/>
  <c r="H38" i="15"/>
  <c r="X38" i="15"/>
  <c r="Z38" i="15" s="1"/>
  <c r="C39" i="15"/>
  <c r="AM39" i="15" s="1"/>
  <c r="G39" i="15"/>
  <c r="H39" i="15"/>
  <c r="C40" i="15"/>
  <c r="AM40" i="15" s="1"/>
  <c r="G40" i="15"/>
  <c r="H40" i="15"/>
  <c r="C41" i="15"/>
  <c r="AM41" i="15" s="1"/>
  <c r="G41" i="15"/>
  <c r="H41" i="15"/>
  <c r="X41" i="15"/>
  <c r="Z41" i="15" s="1"/>
  <c r="C42" i="15"/>
  <c r="AM42" i="15" s="1"/>
  <c r="G42" i="15"/>
  <c r="X42" i="15"/>
  <c r="Z42" i="15" s="1"/>
  <c r="C43" i="15"/>
  <c r="AM43" i="15" s="1"/>
  <c r="G43" i="15"/>
  <c r="H43" i="15"/>
  <c r="K43" i="15"/>
  <c r="D34" i="15"/>
  <c r="G34" i="15"/>
  <c r="G33" i="15"/>
  <c r="X34" i="15"/>
  <c r="Z34" i="15" s="1"/>
  <c r="H34" i="15"/>
  <c r="C34" i="15"/>
  <c r="AM34" i="15" s="1"/>
  <c r="AB33" i="15"/>
  <c r="X33" i="15"/>
  <c r="Z33" i="15" s="1"/>
  <c r="H33" i="15"/>
  <c r="C33" i="15"/>
  <c r="AM33" i="15" s="1"/>
  <c r="B35" i="15"/>
  <c r="B36" i="15"/>
  <c r="B37" i="15"/>
  <c r="B38" i="15"/>
  <c r="B39" i="15"/>
  <c r="B40" i="15"/>
  <c r="B41" i="15"/>
  <c r="B42" i="15"/>
  <c r="B43" i="15"/>
  <c r="B44" i="15"/>
  <c r="B45" i="15"/>
  <c r="B34" i="15"/>
  <c r="B33" i="15"/>
  <c r="AB10" i="15"/>
  <c r="AB11" i="15"/>
  <c r="AB12" i="15"/>
  <c r="AB13" i="15"/>
  <c r="AB14" i="15"/>
  <c r="AB15" i="15"/>
  <c r="AB16" i="15"/>
  <c r="AB19" i="15"/>
  <c r="AB20" i="15"/>
  <c r="AB21" i="15"/>
  <c r="AB22" i="15"/>
  <c r="AB23" i="15"/>
  <c r="AB24" i="15"/>
  <c r="AB25" i="15"/>
  <c r="AB26" i="15"/>
  <c r="AB27" i="15"/>
  <c r="AB28" i="15"/>
  <c r="AB29" i="15"/>
  <c r="AB30" i="15"/>
  <c r="AB31" i="15"/>
  <c r="AB32"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2" i="15"/>
  <c r="AM32" i="15" s="1"/>
  <c r="G32" i="15"/>
  <c r="H32" i="15"/>
  <c r="H9" i="15"/>
  <c r="G9" i="15"/>
  <c r="C9" i="15"/>
  <c r="AM9" i="15" s="1"/>
  <c r="B31" i="15"/>
  <c r="B32" i="15"/>
  <c r="B10" i="15"/>
  <c r="B11" i="15"/>
  <c r="B12" i="15"/>
  <c r="B13" i="15"/>
  <c r="B14" i="15"/>
  <c r="B15" i="15"/>
  <c r="B16" i="15"/>
  <c r="B19" i="15"/>
  <c r="B20" i="15"/>
  <c r="B21" i="15"/>
  <c r="B22" i="15"/>
  <c r="B23" i="15"/>
  <c r="B24" i="15"/>
  <c r="B25" i="15"/>
  <c r="B26" i="15"/>
  <c r="B27" i="15"/>
  <c r="B28" i="15"/>
  <c r="B29" i="15"/>
  <c r="B30" i="15"/>
  <c r="B9" i="15"/>
  <c r="BE688" i="7"/>
  <c r="BE682" i="7"/>
  <c r="BE676" i="7"/>
  <c r="Y39" i="9"/>
  <c r="Y156" i="9"/>
  <c r="Y155" i="9"/>
  <c r="Y154" i="9"/>
  <c r="Y153" i="9"/>
  <c r="Y152" i="9"/>
  <c r="Y151" i="9"/>
  <c r="Y150" i="9"/>
  <c r="Y149" i="9"/>
  <c r="Y148" i="9"/>
  <c r="Y147" i="9"/>
  <c r="Y122" i="9"/>
  <c r="Y121" i="9"/>
  <c r="Y120" i="9"/>
  <c r="Y119" i="9"/>
  <c r="Y118" i="9"/>
  <c r="Y117" i="9"/>
  <c r="Y116" i="9"/>
  <c r="Y115" i="9"/>
  <c r="Y114" i="9"/>
  <c r="Y113" i="9"/>
  <c r="H148" i="9"/>
  <c r="H149" i="9"/>
  <c r="H150" i="9"/>
  <c r="H151" i="9"/>
  <c r="H152" i="9"/>
  <c r="H153" i="9"/>
  <c r="H154" i="9"/>
  <c r="H155" i="9"/>
  <c r="H156" i="9"/>
  <c r="H147" i="9"/>
  <c r="F156" i="9"/>
  <c r="M49" i="9" s="1"/>
  <c r="BE49" i="9" s="1"/>
  <c r="F155" i="9"/>
  <c r="F154" i="9"/>
  <c r="F153" i="9"/>
  <c r="F152" i="9"/>
  <c r="M45" i="9" s="1"/>
  <c r="F151" i="9"/>
  <c r="M44" i="9" s="1"/>
  <c r="BE44" i="9" s="1"/>
  <c r="F150" i="9"/>
  <c r="F149" i="9"/>
  <c r="F148" i="9"/>
  <c r="M41" i="9" s="1"/>
  <c r="BE41" i="9" s="1"/>
  <c r="F147" i="9"/>
  <c r="M40" i="9" s="1"/>
  <c r="L809" i="7"/>
  <c r="AB374" i="15" s="1"/>
  <c r="L810" i="7"/>
  <c r="AB375" i="15" s="1"/>
  <c r="L808" i="7"/>
  <c r="AB373" i="15" s="1"/>
  <c r="L807" i="7"/>
  <c r="AB372" i="15" s="1"/>
  <c r="V4" i="11"/>
  <c r="V67" i="10"/>
  <c r="AG66" i="10"/>
  <c r="AF66" i="10"/>
  <c r="AE66" i="10"/>
  <c r="AD66" i="10"/>
  <c r="AC66" i="10"/>
  <c r="AB66" i="10"/>
  <c r="AA66" i="10"/>
  <c r="Z66" i="10"/>
  <c r="Y66" i="10"/>
  <c r="X66" i="10"/>
  <c r="W66" i="10"/>
  <c r="V58" i="10"/>
  <c r="K58" i="10"/>
  <c r="AB532" i="15" s="1"/>
  <c r="J58" i="10"/>
  <c r="X532" i="15" s="1"/>
  <c r="Z532"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30"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E22" i="10"/>
  <c r="BC22" i="10"/>
  <c r="V22" i="10"/>
  <c r="H22" i="10"/>
  <c r="I22" i="10" s="1"/>
  <c r="O529" i="15" s="1"/>
  <c r="U529"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E8" i="10"/>
  <c r="BC8" i="10"/>
  <c r="H8" i="10"/>
  <c r="F8" i="10"/>
  <c r="BE7" i="10"/>
  <c r="BC7" i="10"/>
  <c r="V7" i="10"/>
  <c r="V8" i="10" s="1"/>
  <c r="H7" i="10"/>
  <c r="I7" i="10" s="1"/>
  <c r="O527" i="15" s="1"/>
  <c r="U527" i="15" s="1"/>
  <c r="I527" i="15"/>
  <c r="V4" i="10"/>
  <c r="V555" i="9"/>
  <c r="V554" i="9"/>
  <c r="V553" i="9"/>
  <c r="V552" i="9"/>
  <c r="V551" i="9"/>
  <c r="V550" i="9"/>
  <c r="V549" i="9"/>
  <c r="F549" i="9"/>
  <c r="V548" i="9"/>
  <c r="F548" i="9"/>
  <c r="V547" i="9"/>
  <c r="F547" i="9"/>
  <c r="V546" i="9"/>
  <c r="F546" i="9"/>
  <c r="V545" i="9"/>
  <c r="F545" i="9"/>
  <c r="V544" i="9"/>
  <c r="F544" i="9"/>
  <c r="F542" i="9" s="1"/>
  <c r="F535" i="9" s="1"/>
  <c r="V543" i="9"/>
  <c r="V542" i="9"/>
  <c r="V541" i="9"/>
  <c r="AG540" i="9"/>
  <c r="AF540" i="9"/>
  <c r="AE540" i="9"/>
  <c r="AD540" i="9"/>
  <c r="AC540" i="9"/>
  <c r="AB540" i="9"/>
  <c r="AA540" i="9"/>
  <c r="Z540" i="9"/>
  <c r="Y540" i="9"/>
  <c r="X540" i="9"/>
  <c r="W540" i="9"/>
  <c r="BE535" i="9"/>
  <c r="J535" i="9"/>
  <c r="H535" i="9"/>
  <c r="V534" i="9"/>
  <c r="V535" i="9" s="1"/>
  <c r="K534" i="9"/>
  <c r="J534" i="9"/>
  <c r="H534" i="9"/>
  <c r="BE533" i="9"/>
  <c r="BD533" i="9"/>
  <c r="BC533" i="9"/>
  <c r="BB533" i="9"/>
  <c r="AG533" i="9"/>
  <c r="AF533" i="9"/>
  <c r="AE533" i="9"/>
  <c r="AD533" i="9"/>
  <c r="AC533" i="9"/>
  <c r="AB533" i="9"/>
  <c r="AA533" i="9"/>
  <c r="Z533" i="9"/>
  <c r="Y533" i="9"/>
  <c r="X533" i="9"/>
  <c r="W533" i="9"/>
  <c r="V531" i="9"/>
  <c r="V526" i="9"/>
  <c r="V525" i="9"/>
  <c r="V524" i="9"/>
  <c r="V523" i="9"/>
  <c r="V522" i="9"/>
  <c r="V521" i="9"/>
  <c r="V520" i="9"/>
  <c r="V519" i="9"/>
  <c r="V518" i="9"/>
  <c r="V517" i="9"/>
  <c r="V516" i="9"/>
  <c r="V515" i="9"/>
  <c r="AG514" i="9"/>
  <c r="AF514" i="9"/>
  <c r="AE514" i="9"/>
  <c r="AD514" i="9"/>
  <c r="AC514" i="9"/>
  <c r="AB514" i="9"/>
  <c r="AA514" i="9"/>
  <c r="Z514" i="9"/>
  <c r="Y514" i="9"/>
  <c r="X514" i="9"/>
  <c r="W514" i="9"/>
  <c r="V498" i="9"/>
  <c r="N498" i="9"/>
  <c r="M498" i="9"/>
  <c r="K498" i="9"/>
  <c r="J498" i="9"/>
  <c r="I498" i="9"/>
  <c r="H498" i="9"/>
  <c r="BE497" i="9"/>
  <c r="BD497" i="9"/>
  <c r="BC497" i="9"/>
  <c r="BB497" i="9"/>
  <c r="AG497" i="9"/>
  <c r="AF497" i="9"/>
  <c r="AE497" i="9"/>
  <c r="AD497" i="9"/>
  <c r="AC497" i="9"/>
  <c r="AB497" i="9"/>
  <c r="AA497" i="9"/>
  <c r="Z497" i="9"/>
  <c r="Y497" i="9"/>
  <c r="X497" i="9"/>
  <c r="W497" i="9"/>
  <c r="V495" i="9"/>
  <c r="AG479" i="9"/>
  <c r="AF479" i="9"/>
  <c r="AE479" i="9"/>
  <c r="AD479" i="9"/>
  <c r="AC479" i="9"/>
  <c r="AB479" i="9"/>
  <c r="AA479" i="9"/>
  <c r="Z479" i="9"/>
  <c r="Y479" i="9"/>
  <c r="X479" i="9"/>
  <c r="X473" i="9"/>
  <c r="W473" i="9"/>
  <c r="L473" i="9"/>
  <c r="AI524" i="15" s="1"/>
  <c r="X524" i="15"/>
  <c r="Z524" i="15" s="1"/>
  <c r="G473" i="9"/>
  <c r="C524" i="15" s="1"/>
  <c r="AM524" i="15" s="1"/>
  <c r="E473" i="9"/>
  <c r="G524" i="15" s="1"/>
  <c r="X472" i="9"/>
  <c r="W472" i="9"/>
  <c r="L472" i="9"/>
  <c r="AI523" i="15" s="1"/>
  <c r="X523" i="15"/>
  <c r="Z523" i="15" s="1"/>
  <c r="G472" i="9"/>
  <c r="C523" i="15" s="1"/>
  <c r="AM523" i="15" s="1"/>
  <c r="E472" i="9"/>
  <c r="G523" i="15" s="1"/>
  <c r="X471" i="9"/>
  <c r="W471" i="9"/>
  <c r="L471" i="9"/>
  <c r="AI522" i="15" s="1"/>
  <c r="X522" i="15"/>
  <c r="Z522" i="15" s="1"/>
  <c r="G471" i="9"/>
  <c r="C522" i="15" s="1"/>
  <c r="AM522" i="15" s="1"/>
  <c r="E471" i="9"/>
  <c r="G522" i="15" s="1"/>
  <c r="X470" i="9"/>
  <c r="W470" i="9"/>
  <c r="L470" i="9"/>
  <c r="AI521" i="15" s="1"/>
  <c r="X521" i="15"/>
  <c r="Z521" i="15" s="1"/>
  <c r="G470" i="9"/>
  <c r="C521" i="15" s="1"/>
  <c r="AM521" i="15" s="1"/>
  <c r="E470" i="9"/>
  <c r="G521" i="15" s="1"/>
  <c r="X469" i="9"/>
  <c r="W469" i="9"/>
  <c r="L469" i="9"/>
  <c r="AI520" i="15" s="1"/>
  <c r="X520" i="15"/>
  <c r="Z520" i="15" s="1"/>
  <c r="G469" i="9"/>
  <c r="E469" i="9"/>
  <c r="G520" i="15" s="1"/>
  <c r="X468" i="9"/>
  <c r="W468" i="9"/>
  <c r="L468" i="9"/>
  <c r="AI519" i="15" s="1"/>
  <c r="X519" i="15"/>
  <c r="Z519" i="15" s="1"/>
  <c r="G468" i="9"/>
  <c r="C519" i="15" s="1"/>
  <c r="AM519" i="15" s="1"/>
  <c r="E468" i="9"/>
  <c r="G519" i="15" s="1"/>
  <c r="X467" i="9"/>
  <c r="W467" i="9"/>
  <c r="L467" i="9"/>
  <c r="AI518" i="15" s="1"/>
  <c r="X518" i="15"/>
  <c r="Z518" i="15" s="1"/>
  <c r="G467" i="9"/>
  <c r="E467" i="9"/>
  <c r="G518" i="15" s="1"/>
  <c r="X466" i="9"/>
  <c r="W466" i="9"/>
  <c r="L466" i="9"/>
  <c r="AI517" i="15" s="1"/>
  <c r="X517" i="15"/>
  <c r="Z517" i="15" s="1"/>
  <c r="G466" i="9"/>
  <c r="E466" i="9"/>
  <c r="G517" i="15" s="1"/>
  <c r="X465" i="9"/>
  <c r="W465" i="9"/>
  <c r="V465" i="9"/>
  <c r="V466" i="9" s="1"/>
  <c r="V467" i="9" s="1"/>
  <c r="V468" i="9" s="1"/>
  <c r="V469" i="9" s="1"/>
  <c r="V470" i="9" s="1"/>
  <c r="V471" i="9" s="1"/>
  <c r="V472" i="9" s="1"/>
  <c r="V473" i="9" s="1"/>
  <c r="X516" i="15"/>
  <c r="Z516" i="15" s="1"/>
  <c r="G465" i="9"/>
  <c r="E465" i="9"/>
  <c r="G516" i="15" s="1"/>
  <c r="BE464" i="9"/>
  <c r="BD464" i="9"/>
  <c r="BC464" i="9"/>
  <c r="BB464" i="9"/>
  <c r="AG464" i="9"/>
  <c r="AF464" i="9"/>
  <c r="AE464" i="9"/>
  <c r="AD464" i="9"/>
  <c r="AC464" i="9"/>
  <c r="AB464" i="9"/>
  <c r="AA464" i="9"/>
  <c r="Z464" i="9"/>
  <c r="Y464" i="9"/>
  <c r="X464" i="9"/>
  <c r="W464" i="9"/>
  <c r="V462" i="9"/>
  <c r="G450" i="9"/>
  <c r="F437" i="9" s="1"/>
  <c r="G449" i="9"/>
  <c r="F436" i="9" s="1"/>
  <c r="AG444" i="9"/>
  <c r="AF444" i="9"/>
  <c r="AE444" i="9"/>
  <c r="AD444" i="9"/>
  <c r="AC444" i="9"/>
  <c r="AB444" i="9"/>
  <c r="AA444" i="9"/>
  <c r="Z444" i="9"/>
  <c r="Y444" i="9"/>
  <c r="X444" i="9"/>
  <c r="W444" i="9"/>
  <c r="K437" i="9"/>
  <c r="BE437" i="9" s="1"/>
  <c r="J437" i="9"/>
  <c r="BC437" i="9" s="1"/>
  <c r="H437" i="9"/>
  <c r="K436" i="9"/>
  <c r="J436" i="9"/>
  <c r="X514" i="15" s="1"/>
  <c r="Z514" i="15" s="1"/>
  <c r="H436" i="9"/>
  <c r="K435" i="9"/>
  <c r="J435" i="9"/>
  <c r="X513" i="15" s="1"/>
  <c r="Z513" i="15" s="1"/>
  <c r="H435" i="9"/>
  <c r="F435" i="9"/>
  <c r="K434" i="9"/>
  <c r="J434" i="9"/>
  <c r="H434" i="9"/>
  <c r="F434" i="9"/>
  <c r="K433" i="9"/>
  <c r="J433" i="9"/>
  <c r="X511" i="15" s="1"/>
  <c r="Z511" i="15" s="1"/>
  <c r="H433" i="9"/>
  <c r="F433" i="9"/>
  <c r="V432" i="9"/>
  <c r="V433" i="9" s="1"/>
  <c r="V434" i="9" s="1"/>
  <c r="V435" i="9" s="1"/>
  <c r="V436" i="9" s="1"/>
  <c r="V437" i="9" s="1"/>
  <c r="K432" i="9"/>
  <c r="J432" i="9"/>
  <c r="X510" i="15" s="1"/>
  <c r="Z510" i="15" s="1"/>
  <c r="H432" i="9"/>
  <c r="F432" i="9"/>
  <c r="BE431" i="9"/>
  <c r="BD431" i="9"/>
  <c r="BC431" i="9"/>
  <c r="BB431" i="9"/>
  <c r="AG431" i="9"/>
  <c r="AF431" i="9"/>
  <c r="AE431" i="9"/>
  <c r="AD431" i="9"/>
  <c r="AC431" i="9"/>
  <c r="AB431" i="9"/>
  <c r="AA431" i="9"/>
  <c r="Z431" i="9"/>
  <c r="Y431" i="9"/>
  <c r="X431" i="9"/>
  <c r="W431" i="9"/>
  <c r="V429" i="9"/>
  <c r="V423" i="9"/>
  <c r="V422" i="9"/>
  <c r="V421" i="9"/>
  <c r="V420" i="9"/>
  <c r="V419" i="9"/>
  <c r="V418" i="9"/>
  <c r="V417" i="9"/>
  <c r="V416" i="9"/>
  <c r="V415" i="9"/>
  <c r="V414" i="9"/>
  <c r="V413" i="9"/>
  <c r="V412" i="9"/>
  <c r="V411" i="9"/>
  <c r="V410" i="9"/>
  <c r="V409" i="9"/>
  <c r="V408" i="9"/>
  <c r="V407" i="9"/>
  <c r="AG406" i="9"/>
  <c r="AF406" i="9"/>
  <c r="AE406" i="9"/>
  <c r="AD406" i="9"/>
  <c r="AC406" i="9"/>
  <c r="AB406" i="9"/>
  <c r="AA406" i="9"/>
  <c r="Z406" i="9"/>
  <c r="Y406" i="9"/>
  <c r="X406" i="9"/>
  <c r="W406" i="9"/>
  <c r="V397" i="9"/>
  <c r="L397" i="9"/>
  <c r="K397" i="9"/>
  <c r="I397" i="9"/>
  <c r="F397" i="9" s="1"/>
  <c r="H397" i="9"/>
  <c r="J397" i="9" s="1"/>
  <c r="O509" i="15" s="1"/>
  <c r="BE396" i="9"/>
  <c r="BD396" i="9"/>
  <c r="BC396" i="9"/>
  <c r="BB396" i="9"/>
  <c r="AG396" i="9"/>
  <c r="AF396" i="9"/>
  <c r="AE396" i="9"/>
  <c r="AD396" i="9"/>
  <c r="AC396" i="9"/>
  <c r="AB396" i="9"/>
  <c r="AA396" i="9"/>
  <c r="Z396" i="9"/>
  <c r="Y396" i="9"/>
  <c r="X396" i="9"/>
  <c r="W396" i="9"/>
  <c r="V394" i="9"/>
  <c r="V389" i="9"/>
  <c r="V388" i="9"/>
  <c r="V387" i="9"/>
  <c r="V386" i="9"/>
  <c r="V385" i="9"/>
  <c r="V384" i="9"/>
  <c r="V383" i="9"/>
  <c r="V382" i="9"/>
  <c r="V381" i="9"/>
  <c r="V380" i="9"/>
  <c r="V379" i="9"/>
  <c r="V378" i="9"/>
  <c r="V377" i="9"/>
  <c r="V376" i="9"/>
  <c r="V375" i="9"/>
  <c r="V374" i="9"/>
  <c r="V373" i="9"/>
  <c r="AG372" i="9"/>
  <c r="AF372" i="9"/>
  <c r="AE372" i="9"/>
  <c r="AD372" i="9"/>
  <c r="AC372" i="9"/>
  <c r="AB372" i="9"/>
  <c r="AA372" i="9"/>
  <c r="Z372" i="9"/>
  <c r="Y372" i="9"/>
  <c r="X372" i="9"/>
  <c r="W372" i="9"/>
  <c r="V363" i="9"/>
  <c r="L363" i="9"/>
  <c r="K363" i="9"/>
  <c r="I363" i="9"/>
  <c r="F363" i="9" s="1"/>
  <c r="H363" i="9"/>
  <c r="BE362" i="9"/>
  <c r="BD362" i="9"/>
  <c r="BC362" i="9"/>
  <c r="BB362" i="9"/>
  <c r="AG362" i="9"/>
  <c r="AF362" i="9"/>
  <c r="AE362" i="9"/>
  <c r="AD362" i="9"/>
  <c r="AC362" i="9"/>
  <c r="AB362" i="9"/>
  <c r="AA362" i="9"/>
  <c r="Z362" i="9"/>
  <c r="Y362" i="9"/>
  <c r="X362" i="9"/>
  <c r="W362" i="9"/>
  <c r="V360" i="9"/>
  <c r="V355" i="9"/>
  <c r="V354" i="9"/>
  <c r="V353" i="9"/>
  <c r="V352" i="9"/>
  <c r="V351" i="9"/>
  <c r="V350" i="9"/>
  <c r="V349" i="9"/>
  <c r="V348" i="9"/>
  <c r="V347" i="9"/>
  <c r="V346" i="9"/>
  <c r="V345" i="9"/>
  <c r="V344" i="9"/>
  <c r="V343" i="9"/>
  <c r="V342" i="9"/>
  <c r="V341" i="9"/>
  <c r="V340" i="9"/>
  <c r="V339" i="9"/>
  <c r="AG338" i="9"/>
  <c r="AF338" i="9"/>
  <c r="AE338" i="9"/>
  <c r="AD338" i="9"/>
  <c r="AC338" i="9"/>
  <c r="AB338" i="9"/>
  <c r="AA338" i="9"/>
  <c r="Z338" i="9"/>
  <c r="Y338" i="9"/>
  <c r="X338" i="9"/>
  <c r="W338" i="9"/>
  <c r="V328" i="9"/>
  <c r="L328" i="9"/>
  <c r="AB507" i="15" s="1"/>
  <c r="K328" i="9"/>
  <c r="X507" i="15" s="1"/>
  <c r="Z507" i="15" s="1"/>
  <c r="I328" i="9"/>
  <c r="F328" i="9" s="1"/>
  <c r="H328" i="9"/>
  <c r="BE327" i="9"/>
  <c r="BD327" i="9"/>
  <c r="BC327" i="9"/>
  <c r="BB327" i="9"/>
  <c r="AG327" i="9"/>
  <c r="AF327" i="9"/>
  <c r="AE327" i="9"/>
  <c r="AD327" i="9"/>
  <c r="AC327" i="9"/>
  <c r="AB327" i="9"/>
  <c r="AA327" i="9"/>
  <c r="Z327" i="9"/>
  <c r="Y327" i="9"/>
  <c r="X327" i="9"/>
  <c r="W327" i="9"/>
  <c r="V325" i="9"/>
  <c r="W319" i="9"/>
  <c r="F319" i="9"/>
  <c r="V307" i="9"/>
  <c r="V306" i="9"/>
  <c r="V305" i="9"/>
  <c r="V304" i="9"/>
  <c r="Y303" i="9"/>
  <c r="X303" i="9"/>
  <c r="W303" i="9"/>
  <c r="V303" i="9"/>
  <c r="V302" i="9"/>
  <c r="Y301" i="9"/>
  <c r="X301" i="9"/>
  <c r="W301" i="9"/>
  <c r="V301" i="9"/>
  <c r="V300" i="9"/>
  <c r="V299" i="9"/>
  <c r="X296" i="9"/>
  <c r="W296" i="9"/>
  <c r="E296" i="9"/>
  <c r="E320" i="9" s="1"/>
  <c r="X295" i="9"/>
  <c r="W295" i="9"/>
  <c r="E295" i="9"/>
  <c r="E319" i="9" s="1"/>
  <c r="X292" i="9"/>
  <c r="W292" i="9"/>
  <c r="E292" i="9"/>
  <c r="E316" i="9" s="1"/>
  <c r="X291" i="9"/>
  <c r="W291" i="9"/>
  <c r="G291" i="9"/>
  <c r="E291" i="9"/>
  <c r="E315" i="9" s="1"/>
  <c r="X290" i="9"/>
  <c r="W290" i="9"/>
  <c r="E290" i="9"/>
  <c r="E314" i="9" s="1"/>
  <c r="X289" i="9"/>
  <c r="W289" i="9"/>
  <c r="G289" i="9"/>
  <c r="E289" i="9"/>
  <c r="E313" i="9" s="1"/>
  <c r="X288" i="9"/>
  <c r="W288" i="9"/>
  <c r="E288" i="9"/>
  <c r="E312" i="9" s="1"/>
  <c r="X287" i="9"/>
  <c r="W287" i="9"/>
  <c r="G287" i="9"/>
  <c r="E287" i="9"/>
  <c r="E311" i="9" s="1"/>
  <c r="E286" i="9"/>
  <c r="E310" i="9" s="1"/>
  <c r="X285" i="9"/>
  <c r="W285" i="9"/>
  <c r="E285" i="9"/>
  <c r="E309" i="9" s="1"/>
  <c r="E284" i="9"/>
  <c r="E308" i="9" s="1"/>
  <c r="V283" i="9"/>
  <c r="E283" i="9"/>
  <c r="E307" i="9" s="1"/>
  <c r="E282" i="9"/>
  <c r="X280" i="9"/>
  <c r="W280" i="9"/>
  <c r="E280" i="9"/>
  <c r="X279" i="9"/>
  <c r="W279" i="9"/>
  <c r="E279" i="9"/>
  <c r="X276" i="9"/>
  <c r="W276" i="9"/>
  <c r="E276" i="9"/>
  <c r="X275" i="9"/>
  <c r="W275" i="9"/>
  <c r="G275" i="9"/>
  <c r="E275" i="9"/>
  <c r="X274" i="9"/>
  <c r="W274" i="9"/>
  <c r="E274" i="9"/>
  <c r="X273" i="9"/>
  <c r="W273" i="9"/>
  <c r="G273" i="9"/>
  <c r="E273" i="9"/>
  <c r="X272" i="9"/>
  <c r="W272" i="9"/>
  <c r="E272" i="9"/>
  <c r="X271" i="9"/>
  <c r="W271" i="9"/>
  <c r="G271" i="9"/>
  <c r="E271" i="9"/>
  <c r="E270" i="9"/>
  <c r="X269" i="9"/>
  <c r="W269" i="9"/>
  <c r="E269" i="9"/>
  <c r="E268" i="9"/>
  <c r="V267" i="9"/>
  <c r="E267" i="9"/>
  <c r="AG266" i="9"/>
  <c r="AF266" i="9"/>
  <c r="AE266" i="9"/>
  <c r="AD266" i="9"/>
  <c r="AC266" i="9"/>
  <c r="AB266" i="9"/>
  <c r="AA266" i="9"/>
  <c r="Z266" i="9"/>
  <c r="Y266" i="9"/>
  <c r="X266" i="9"/>
  <c r="W266" i="9"/>
  <c r="BE254" i="9"/>
  <c r="BC254" i="9"/>
  <c r="BD254" i="9" s="1"/>
  <c r="AE506" i="15" s="1"/>
  <c r="AC506" i="15" s="1"/>
  <c r="O254" i="9"/>
  <c r="J254" i="9"/>
  <c r="H254" i="9"/>
  <c r="O252" i="9"/>
  <c r="J252" i="9"/>
  <c r="H252" i="9"/>
  <c r="P251" i="9"/>
  <c r="BE251" i="9" s="1"/>
  <c r="BB251" i="9" s="1"/>
  <c r="O251" i="9"/>
  <c r="J251" i="9"/>
  <c r="H251" i="9"/>
  <c r="BC248" i="9"/>
  <c r="O248" i="9"/>
  <c r="J248" i="9"/>
  <c r="H248" i="9"/>
  <c r="BC247" i="9"/>
  <c r="O247" i="9"/>
  <c r="J247" i="9"/>
  <c r="H247" i="9"/>
  <c r="BC246" i="9"/>
  <c r="O246" i="9"/>
  <c r="J246" i="9"/>
  <c r="H246" i="9"/>
  <c r="BC245" i="9"/>
  <c r="O245" i="9"/>
  <c r="J245" i="9"/>
  <c r="H245" i="9"/>
  <c r="BC244" i="9"/>
  <c r="O244" i="9"/>
  <c r="J244" i="9"/>
  <c r="H244" i="9"/>
  <c r="BC243" i="9"/>
  <c r="O243" i="9"/>
  <c r="J243" i="9"/>
  <c r="H243" i="9"/>
  <c r="BC242" i="9"/>
  <c r="BE242" i="9"/>
  <c r="O242" i="9"/>
  <c r="J242" i="9"/>
  <c r="H242" i="9"/>
  <c r="BC241" i="9"/>
  <c r="BE241" i="9"/>
  <c r="O241" i="9"/>
  <c r="J241" i="9"/>
  <c r="H241" i="9"/>
  <c r="BC240" i="9"/>
  <c r="BE240" i="9"/>
  <c r="O240" i="9"/>
  <c r="J240" i="9"/>
  <c r="H240" i="9"/>
  <c r="BE239" i="9"/>
  <c r="BC239" i="9"/>
  <c r="V239" i="9"/>
  <c r="V240" i="9" s="1"/>
  <c r="V241" i="9" s="1"/>
  <c r="V242" i="9" s="1"/>
  <c r="V243" i="9" s="1"/>
  <c r="V244" i="9" s="1"/>
  <c r="V245" i="9" s="1"/>
  <c r="V246" i="9" s="1"/>
  <c r="V247" i="9" s="1"/>
  <c r="V248" i="9" s="1"/>
  <c r="V249" i="9" s="1"/>
  <c r="V250" i="9" s="1"/>
  <c r="V251" i="9" s="1"/>
  <c r="V252" i="9" s="1"/>
  <c r="V253" i="9" s="1"/>
  <c r="V254" i="9" s="1"/>
  <c r="O239" i="9"/>
  <c r="L239" i="9"/>
  <c r="K239" i="9"/>
  <c r="J239" i="9"/>
  <c r="H239" i="9"/>
  <c r="BE238" i="9"/>
  <c r="BD238" i="9"/>
  <c r="BC238" i="9"/>
  <c r="BB238" i="9"/>
  <c r="AG238" i="9"/>
  <c r="AF238" i="9"/>
  <c r="AE238" i="9"/>
  <c r="AD238" i="9"/>
  <c r="AC238" i="9"/>
  <c r="AB238" i="9"/>
  <c r="AA238" i="9"/>
  <c r="Z238" i="9"/>
  <c r="Y238" i="9"/>
  <c r="X238" i="9"/>
  <c r="W238" i="9"/>
  <c r="V236" i="9"/>
  <c r="F233" i="9"/>
  <c r="F232" i="9"/>
  <c r="F231" i="9"/>
  <c r="F230" i="9"/>
  <c r="E227" i="9"/>
  <c r="Q226" i="9"/>
  <c r="R221" i="9" s="1"/>
  <c r="I232" i="9" s="1"/>
  <c r="O193" i="9" s="1"/>
  <c r="E221" i="9"/>
  <c r="E220" i="9"/>
  <c r="E217" i="9"/>
  <c r="E216" i="9"/>
  <c r="E215" i="9"/>
  <c r="AG211" i="9"/>
  <c r="AF211" i="9"/>
  <c r="AE211" i="9"/>
  <c r="AD211" i="9"/>
  <c r="AC211" i="9"/>
  <c r="AB211" i="9"/>
  <c r="AA211" i="9"/>
  <c r="Z211" i="9"/>
  <c r="Y211" i="9"/>
  <c r="X211" i="9"/>
  <c r="W211" i="9"/>
  <c r="BE194" i="9"/>
  <c r="N194" i="9"/>
  <c r="H194" i="9"/>
  <c r="V193" i="9"/>
  <c r="V194" i="9" s="1"/>
  <c r="N193" i="9"/>
  <c r="H193" i="9"/>
  <c r="BE192" i="9"/>
  <c r="BD192" i="9"/>
  <c r="BC192" i="9"/>
  <c r="BB192" i="9"/>
  <c r="AG192" i="9"/>
  <c r="AF192" i="9"/>
  <c r="AE192" i="9"/>
  <c r="AD192" i="9"/>
  <c r="AC192" i="9"/>
  <c r="AB192" i="9"/>
  <c r="AA192" i="9"/>
  <c r="Z192" i="9"/>
  <c r="Y192" i="9"/>
  <c r="X192" i="9"/>
  <c r="W192" i="9"/>
  <c r="V187" i="9"/>
  <c r="W186" i="9"/>
  <c r="X186" i="9" s="1"/>
  <c r="Y186" i="9" s="1"/>
  <c r="Z186" i="9" s="1"/>
  <c r="AA186" i="9" s="1"/>
  <c r="V186" i="9"/>
  <c r="W185" i="9"/>
  <c r="X185" i="9" s="1"/>
  <c r="Y185" i="9" s="1"/>
  <c r="Z185" i="9" s="1"/>
  <c r="AA185" i="9" s="1"/>
  <c r="AB185" i="9" s="1"/>
  <c r="V185" i="9"/>
  <c r="V183" i="9"/>
  <c r="V182" i="9"/>
  <c r="V181" i="9"/>
  <c r="V180" i="9"/>
  <c r="V179" i="9"/>
  <c r="V177" i="9"/>
  <c r="V176" i="9"/>
  <c r="V175" i="9"/>
  <c r="AG174" i="9"/>
  <c r="AF174" i="9"/>
  <c r="AE174" i="9"/>
  <c r="AD174" i="9"/>
  <c r="AC174" i="9"/>
  <c r="AB174" i="9"/>
  <c r="AA174" i="9"/>
  <c r="Z174" i="9"/>
  <c r="Y174" i="9"/>
  <c r="X174" i="9"/>
  <c r="W174" i="9"/>
  <c r="J163" i="9"/>
  <c r="I163" i="9"/>
  <c r="H163" i="9"/>
  <c r="E163" i="9"/>
  <c r="G489" i="15" s="1"/>
  <c r="V162" i="9"/>
  <c r="V163" i="9" s="1"/>
  <c r="M162" i="9"/>
  <c r="AB488" i="15" s="1"/>
  <c r="L162" i="9"/>
  <c r="J162" i="9"/>
  <c r="I162" i="9"/>
  <c r="H162" i="9"/>
  <c r="BE161" i="9"/>
  <c r="BD161" i="9"/>
  <c r="BC161" i="9"/>
  <c r="BB161" i="9"/>
  <c r="AG161" i="9"/>
  <c r="AF161" i="9"/>
  <c r="AE161" i="9"/>
  <c r="AD161" i="9"/>
  <c r="AC161" i="9"/>
  <c r="AB161" i="9"/>
  <c r="Y161" i="9"/>
  <c r="X161" i="9"/>
  <c r="W161" i="9"/>
  <c r="V159" i="9"/>
  <c r="V136" i="9"/>
  <c r="V126" i="9"/>
  <c r="V125" i="9"/>
  <c r="V124" i="9"/>
  <c r="V123" i="9"/>
  <c r="F121" i="9"/>
  <c r="F119" i="9"/>
  <c r="F117" i="9"/>
  <c r="F115" i="9"/>
  <c r="V113" i="9"/>
  <c r="V103" i="9"/>
  <c r="V102" i="9"/>
  <c r="V101" i="9"/>
  <c r="V100" i="9"/>
  <c r="X99" i="9"/>
  <c r="X122" i="9" s="1"/>
  <c r="W99" i="9"/>
  <c r="W122" i="9" s="1"/>
  <c r="X98" i="9"/>
  <c r="X121" i="9" s="1"/>
  <c r="W98" i="9"/>
  <c r="W121" i="9"/>
  <c r="X97" i="9"/>
  <c r="X120" i="9" s="1"/>
  <c r="W97" i="9"/>
  <c r="W120" i="9" s="1"/>
  <c r="F120" i="9"/>
  <c r="X96" i="9"/>
  <c r="X119" i="9" s="1"/>
  <c r="W96" i="9"/>
  <c r="W119" i="9" s="1"/>
  <c r="N46" i="9"/>
  <c r="X95" i="9"/>
  <c r="X118" i="9" s="1"/>
  <c r="W95" i="9"/>
  <c r="W118" i="9" s="1"/>
  <c r="N45" i="9"/>
  <c r="X94" i="9"/>
  <c r="X117" i="9" s="1"/>
  <c r="W94" i="9"/>
  <c r="W117" i="9" s="1"/>
  <c r="X93" i="9"/>
  <c r="X116" i="9" s="1"/>
  <c r="W93" i="9"/>
  <c r="W116" i="9" s="1"/>
  <c r="F116" i="9"/>
  <c r="X92" i="9"/>
  <c r="X115" i="9" s="1"/>
  <c r="W92" i="9"/>
  <c r="W115" i="9" s="1"/>
  <c r="X91" i="9"/>
  <c r="X114" i="9" s="1"/>
  <c r="W91" i="9"/>
  <c r="W114" i="9" s="1"/>
  <c r="X90" i="9"/>
  <c r="X113" i="9" s="1"/>
  <c r="W90" i="9"/>
  <c r="W113" i="9" s="1"/>
  <c r="V90" i="9"/>
  <c r="V80" i="9"/>
  <c r="V70" i="9"/>
  <c r="V60" i="9"/>
  <c r="AG59" i="9"/>
  <c r="AF59" i="9"/>
  <c r="AE59" i="9"/>
  <c r="AD59" i="9"/>
  <c r="AC59" i="9"/>
  <c r="AB59" i="9"/>
  <c r="AA59" i="9"/>
  <c r="Z59" i="9"/>
  <c r="Y59" i="9"/>
  <c r="X59" i="9"/>
  <c r="W59" i="9"/>
  <c r="N49" i="9"/>
  <c r="L49" i="9"/>
  <c r="BC49" i="9" s="1"/>
  <c r="J49" i="9"/>
  <c r="H49" i="9"/>
  <c r="M48" i="9"/>
  <c r="AB486" i="15" s="1"/>
  <c r="L48" i="9"/>
  <c r="BC48" i="9" s="1"/>
  <c r="H48" i="9"/>
  <c r="N47" i="9"/>
  <c r="M47" i="9"/>
  <c r="BE47" i="9" s="1"/>
  <c r="L47" i="9"/>
  <c r="BC47" i="9" s="1"/>
  <c r="J47" i="9"/>
  <c r="H47" i="9"/>
  <c r="M46" i="9"/>
  <c r="BE46" i="9" s="1"/>
  <c r="L46" i="9"/>
  <c r="X484" i="15" s="1"/>
  <c r="Z484" i="15" s="1"/>
  <c r="H46" i="9"/>
  <c r="L45" i="9"/>
  <c r="X483" i="15" s="1"/>
  <c r="Z483" i="15" s="1"/>
  <c r="H45" i="9"/>
  <c r="L44" i="9"/>
  <c r="X482" i="15" s="1"/>
  <c r="Z482" i="15" s="1"/>
  <c r="H44" i="9"/>
  <c r="M43" i="9"/>
  <c r="L43" i="9"/>
  <c r="BC43" i="9" s="1"/>
  <c r="J43" i="9"/>
  <c r="H43" i="9"/>
  <c r="N42" i="9"/>
  <c r="M42" i="9"/>
  <c r="BE42" i="9" s="1"/>
  <c r="L42" i="9"/>
  <c r="BC42" i="9" s="1"/>
  <c r="J42" i="9"/>
  <c r="H42" i="9"/>
  <c r="N41" i="9"/>
  <c r="L41" i="9"/>
  <c r="X479" i="15" s="1"/>
  <c r="Z479" i="15" s="1"/>
  <c r="J41" i="9"/>
  <c r="H41" i="9"/>
  <c r="V40" i="9"/>
  <c r="V41" i="9" s="1"/>
  <c r="V42" i="9" s="1"/>
  <c r="V43" i="9" s="1"/>
  <c r="V44" i="9" s="1"/>
  <c r="V45" i="9" s="1"/>
  <c r="V46" i="9" s="1"/>
  <c r="V47" i="9" s="1"/>
  <c r="V48" i="9" s="1"/>
  <c r="V49" i="9" s="1"/>
  <c r="L40" i="9"/>
  <c r="BC40" i="9" s="1"/>
  <c r="H40" i="9"/>
  <c r="BE39" i="9"/>
  <c r="BD39" i="9"/>
  <c r="BC39" i="9"/>
  <c r="BB39" i="9"/>
  <c r="AG39" i="9"/>
  <c r="AF39" i="9"/>
  <c r="AE39" i="9"/>
  <c r="AD39" i="9"/>
  <c r="AC39" i="9"/>
  <c r="AB39" i="9"/>
  <c r="AA39" i="9"/>
  <c r="Z39" i="9"/>
  <c r="X39" i="9"/>
  <c r="W39" i="9"/>
  <c r="V37" i="9"/>
  <c r="F34" i="9"/>
  <c r="F33" i="9"/>
  <c r="F32" i="9"/>
  <c r="F31" i="9"/>
  <c r="E31" i="9"/>
  <c r="E528" i="9" s="1"/>
  <c r="D31" i="9"/>
  <c r="E30" i="9"/>
  <c r="E556" i="9" s="1"/>
  <c r="D30" i="9"/>
  <c r="V30" i="9" s="1"/>
  <c r="V29" i="9"/>
  <c r="Y28" i="9"/>
  <c r="X28" i="9"/>
  <c r="W28" i="9"/>
  <c r="V28" i="9"/>
  <c r="G28" i="9"/>
  <c r="F14" i="9" s="1"/>
  <c r="Y27" i="9"/>
  <c r="X27" i="9"/>
  <c r="W27" i="9"/>
  <c r="V27" i="9"/>
  <c r="G27" i="9"/>
  <c r="Y26" i="9"/>
  <c r="X26" i="9"/>
  <c r="W26" i="9"/>
  <c r="V26" i="9"/>
  <c r="G26" i="9"/>
  <c r="Y25" i="9"/>
  <c r="X25" i="9"/>
  <c r="W25" i="9"/>
  <c r="V25" i="9"/>
  <c r="G25" i="9"/>
  <c r="V24" i="9"/>
  <c r="V23" i="9"/>
  <c r="AG20" i="9"/>
  <c r="AF20" i="9"/>
  <c r="AE20" i="9"/>
  <c r="AD20" i="9"/>
  <c r="AC20" i="9"/>
  <c r="AB20" i="9"/>
  <c r="AA20" i="9"/>
  <c r="Z20" i="9"/>
  <c r="Y20" i="9"/>
  <c r="X20" i="9"/>
  <c r="W20" i="9"/>
  <c r="J14" i="9"/>
  <c r="BC14" i="9" s="1"/>
  <c r="H14" i="9"/>
  <c r="E14" i="9"/>
  <c r="G477" i="15" s="1"/>
  <c r="K13" i="9"/>
  <c r="BE13" i="9" s="1"/>
  <c r="J13" i="9"/>
  <c r="X476" i="15" s="1"/>
  <c r="Z476" i="15" s="1"/>
  <c r="H13" i="9"/>
  <c r="J12" i="9"/>
  <c r="BC12" i="9" s="1"/>
  <c r="H12" i="9"/>
  <c r="E12" i="9"/>
  <c r="G475" i="15" s="1"/>
  <c r="K11" i="9"/>
  <c r="AB474" i="15" s="1"/>
  <c r="J11" i="9"/>
  <c r="BC11" i="9" s="1"/>
  <c r="BD11" i="9" s="1"/>
  <c r="AE474" i="15" s="1"/>
  <c r="AC474" i="15" s="1"/>
  <c r="H11" i="9"/>
  <c r="J10" i="9"/>
  <c r="X473" i="15" s="1"/>
  <c r="Z473" i="15" s="1"/>
  <c r="H10" i="9"/>
  <c r="E10" i="9"/>
  <c r="G473" i="15" s="1"/>
  <c r="K9" i="9"/>
  <c r="J9" i="9"/>
  <c r="H9" i="9"/>
  <c r="J8" i="9"/>
  <c r="H8" i="9"/>
  <c r="E8" i="9"/>
  <c r="G471" i="15" s="1"/>
  <c r="V7" i="9"/>
  <c r="V8" i="9" s="1"/>
  <c r="V9" i="9" s="1"/>
  <c r="V10" i="9" s="1"/>
  <c r="V11" i="9" s="1"/>
  <c r="V12" i="9" s="1"/>
  <c r="V13" i="9" s="1"/>
  <c r="V14" i="9" s="1"/>
  <c r="K7" i="9"/>
  <c r="AB470" i="15" s="1"/>
  <c r="J7" i="9"/>
  <c r="H7" i="9"/>
  <c r="V4" i="9"/>
  <c r="V4" i="8"/>
  <c r="AS1325" i="7"/>
  <c r="AR1325" i="7"/>
  <c r="AQ1325" i="7"/>
  <c r="AP1325" i="7"/>
  <c r="AO1325" i="7"/>
  <c r="AN1325" i="7"/>
  <c r="AM1325" i="7"/>
  <c r="AL1325" i="7"/>
  <c r="AK1325" i="7"/>
  <c r="AJ1325" i="7"/>
  <c r="AG1325" i="7"/>
  <c r="AF1325" i="7"/>
  <c r="AE1325" i="7"/>
  <c r="AD1325" i="7"/>
  <c r="AC1325" i="7"/>
  <c r="AB1325" i="7"/>
  <c r="AA1325" i="7"/>
  <c r="Z1325" i="7"/>
  <c r="Y1325" i="7"/>
  <c r="X1325" i="7"/>
  <c r="K1317" i="7"/>
  <c r="J1317" i="7"/>
  <c r="X456" i="15" s="1"/>
  <c r="Z456" i="15" s="1"/>
  <c r="H1317" i="7"/>
  <c r="F1317" i="7"/>
  <c r="K456" i="15" s="1"/>
  <c r="I456" i="15" s="1"/>
  <c r="K1316" i="7"/>
  <c r="J1316" i="7"/>
  <c r="X455" i="15" s="1"/>
  <c r="Z455" i="15" s="1"/>
  <c r="H1316" i="7"/>
  <c r="F1316" i="7"/>
  <c r="K455" i="15" s="1"/>
  <c r="I455" i="15" s="1"/>
  <c r="K1315" i="7"/>
  <c r="J1315" i="7"/>
  <c r="X454" i="15" s="1"/>
  <c r="Z454" i="15" s="1"/>
  <c r="H1315" i="7"/>
  <c r="F1315" i="7"/>
  <c r="K454" i="15" s="1"/>
  <c r="I454" i="15" s="1"/>
  <c r="K1314" i="7"/>
  <c r="J1314" i="7"/>
  <c r="X453" i="15" s="1"/>
  <c r="Z453" i="15" s="1"/>
  <c r="H1314" i="7"/>
  <c r="F1314" i="7"/>
  <c r="K453" i="15" s="1"/>
  <c r="I453" i="15" s="1"/>
  <c r="K1313" i="7"/>
  <c r="J1313" i="7"/>
  <c r="X452" i="15" s="1"/>
  <c r="Z452" i="15" s="1"/>
  <c r="H1313" i="7"/>
  <c r="F1313" i="7"/>
  <c r="K452" i="15" s="1"/>
  <c r="I452" i="15" s="1"/>
  <c r="K1312" i="7"/>
  <c r="J1312" i="7"/>
  <c r="X451" i="15" s="1"/>
  <c r="Z451" i="15" s="1"/>
  <c r="H1312" i="7"/>
  <c r="F1312" i="7"/>
  <c r="K451" i="15" s="1"/>
  <c r="I451" i="15" s="1"/>
  <c r="K1311" i="7"/>
  <c r="J1311" i="7"/>
  <c r="X450" i="15" s="1"/>
  <c r="Z450" i="15" s="1"/>
  <c r="H1311" i="7"/>
  <c r="F1311" i="7"/>
  <c r="K450" i="15" s="1"/>
  <c r="I450" i="15" s="1"/>
  <c r="K1310" i="7"/>
  <c r="J1310" i="7"/>
  <c r="X449" i="15" s="1"/>
  <c r="Z449" i="15" s="1"/>
  <c r="H1310" i="7"/>
  <c r="F1310" i="7"/>
  <c r="K449" i="15" s="1"/>
  <c r="I449" i="15" s="1"/>
  <c r="K1309" i="7"/>
  <c r="J1309" i="7"/>
  <c r="X448" i="15" s="1"/>
  <c r="Z448" i="15" s="1"/>
  <c r="H1309" i="7"/>
  <c r="F1309" i="7"/>
  <c r="K448" i="15" s="1"/>
  <c r="I448" i="15" s="1"/>
  <c r="K1308" i="7"/>
  <c r="J1308" i="7"/>
  <c r="X447" i="15" s="1"/>
  <c r="Z447" i="15" s="1"/>
  <c r="H1308" i="7"/>
  <c r="F1308" i="7"/>
  <c r="K447" i="15" s="1"/>
  <c r="I447" i="15" s="1"/>
  <c r="K1307" i="7"/>
  <c r="J1307" i="7"/>
  <c r="X446" i="15" s="1"/>
  <c r="Z446" i="15" s="1"/>
  <c r="H1307" i="7"/>
  <c r="F1307" i="7"/>
  <c r="K446" i="15" s="1"/>
  <c r="I446" i="15" s="1"/>
  <c r="K1306" i="7"/>
  <c r="J1306" i="7"/>
  <c r="X445" i="15" s="1"/>
  <c r="Z445" i="15" s="1"/>
  <c r="H1306" i="7"/>
  <c r="F1306" i="7"/>
  <c r="K445" i="15" s="1"/>
  <c r="I445" i="15" s="1"/>
  <c r="K1305" i="7"/>
  <c r="J1305" i="7"/>
  <c r="X444" i="15" s="1"/>
  <c r="Z444" i="15" s="1"/>
  <c r="H1305" i="7"/>
  <c r="F1305" i="7"/>
  <c r="K444" i="15" s="1"/>
  <c r="I444" i="15" s="1"/>
  <c r="K1304" i="7"/>
  <c r="J1304" i="7"/>
  <c r="X443" i="15" s="1"/>
  <c r="Z443" i="15" s="1"/>
  <c r="H1304" i="7"/>
  <c r="F1304" i="7"/>
  <c r="K443" i="15" s="1"/>
  <c r="I443" i="15" s="1"/>
  <c r="K1303" i="7"/>
  <c r="J1303" i="7"/>
  <c r="X442" i="15" s="1"/>
  <c r="Z442" i="15" s="1"/>
  <c r="H1303" i="7"/>
  <c r="F1303" i="7"/>
  <c r="K442" i="15" s="1"/>
  <c r="I442" i="15" s="1"/>
  <c r="K1302" i="7"/>
  <c r="J1302" i="7"/>
  <c r="X441" i="15" s="1"/>
  <c r="Z441" i="15" s="1"/>
  <c r="H1302" i="7"/>
  <c r="F1302" i="7"/>
  <c r="K441" i="15" s="1"/>
  <c r="I441" i="15" s="1"/>
  <c r="K1301" i="7"/>
  <c r="J1301" i="7"/>
  <c r="X440" i="15" s="1"/>
  <c r="Z440" i="15" s="1"/>
  <c r="H1301" i="7"/>
  <c r="F1301" i="7"/>
  <c r="K440" i="15" s="1"/>
  <c r="I440" i="15" s="1"/>
  <c r="K1300" i="7"/>
  <c r="J1300" i="7"/>
  <c r="X439" i="15" s="1"/>
  <c r="Z439" i="15" s="1"/>
  <c r="H1300" i="7"/>
  <c r="F1300" i="7"/>
  <c r="K439" i="15" s="1"/>
  <c r="I439" i="15" s="1"/>
  <c r="K1299" i="7"/>
  <c r="J1299" i="7"/>
  <c r="X438" i="15" s="1"/>
  <c r="Z438" i="15" s="1"/>
  <c r="H1299" i="7"/>
  <c r="F1299" i="7"/>
  <c r="K438" i="15" s="1"/>
  <c r="I438" i="15" s="1"/>
  <c r="K1298" i="7"/>
  <c r="J1298" i="7"/>
  <c r="X437" i="15" s="1"/>
  <c r="Z437" i="15" s="1"/>
  <c r="H1298" i="7"/>
  <c r="F1298" i="7"/>
  <c r="K437" i="15" s="1"/>
  <c r="I437" i="15" s="1"/>
  <c r="K1297" i="7"/>
  <c r="J1297" i="7"/>
  <c r="X436" i="15" s="1"/>
  <c r="Z436" i="15" s="1"/>
  <c r="H1297" i="7"/>
  <c r="F1297" i="7"/>
  <c r="K436" i="15" s="1"/>
  <c r="I436" i="15" s="1"/>
  <c r="K1296" i="7"/>
  <c r="J1296" i="7"/>
  <c r="X435" i="15" s="1"/>
  <c r="Z435" i="15" s="1"/>
  <c r="H1296" i="7"/>
  <c r="F1296" i="7"/>
  <c r="K435" i="15" s="1"/>
  <c r="I435" i="15" s="1"/>
  <c r="K1295" i="7"/>
  <c r="J1295" i="7"/>
  <c r="X434" i="15" s="1"/>
  <c r="Z434" i="15" s="1"/>
  <c r="H1295" i="7"/>
  <c r="F1295" i="7"/>
  <c r="K434" i="15" s="1"/>
  <c r="I434" i="15" s="1"/>
  <c r="K1294" i="7"/>
  <c r="J1294" i="7"/>
  <c r="X433" i="15" s="1"/>
  <c r="Z433" i="15" s="1"/>
  <c r="H1294" i="7"/>
  <c r="F1294" i="7"/>
  <c r="K433" i="15" s="1"/>
  <c r="I433" i="15" s="1"/>
  <c r="BE1293" i="7"/>
  <c r="BD1293" i="7"/>
  <c r="BC1293" i="7"/>
  <c r="BB1293" i="7"/>
  <c r="AG1293" i="7"/>
  <c r="AF1293" i="7"/>
  <c r="AE1293" i="7"/>
  <c r="AD1293" i="7"/>
  <c r="AC1293" i="7"/>
  <c r="AB1293" i="7"/>
  <c r="AA1293" i="7"/>
  <c r="Z1293" i="7"/>
  <c r="Y1293" i="7"/>
  <c r="X1293" i="7"/>
  <c r="V1291" i="7"/>
  <c r="E1287" i="7"/>
  <c r="E1286" i="7"/>
  <c r="V1285" i="7"/>
  <c r="V1284" i="7"/>
  <c r="V1283" i="7"/>
  <c r="V1282" i="7"/>
  <c r="V1281" i="7"/>
  <c r="V1280" i="7"/>
  <c r="X1279" i="7"/>
  <c r="V1279" i="7"/>
  <c r="F1279" i="7"/>
  <c r="X1278" i="7"/>
  <c r="V1278" i="7"/>
  <c r="F1278" i="7"/>
  <c r="X1277" i="7"/>
  <c r="V1277" i="7"/>
  <c r="F1277" i="7"/>
  <c r="X1276" i="7"/>
  <c r="V1276" i="7"/>
  <c r="F1276" i="7"/>
  <c r="X1275" i="7"/>
  <c r="V1275" i="7"/>
  <c r="F1275" i="7"/>
  <c r="X1274" i="7"/>
  <c r="V1274" i="7"/>
  <c r="F1274" i="7"/>
  <c r="V1273" i="7"/>
  <c r="V1272" i="7"/>
  <c r="V1270" i="7"/>
  <c r="AG1269" i="7"/>
  <c r="AF1269" i="7"/>
  <c r="AE1269" i="7"/>
  <c r="AD1269" i="7"/>
  <c r="AC1269" i="7"/>
  <c r="AB1269" i="7"/>
  <c r="AA1269" i="7"/>
  <c r="Z1269" i="7"/>
  <c r="Y1269" i="7"/>
  <c r="X1269" i="7"/>
  <c r="W1269" i="7"/>
  <c r="BE1262" i="7"/>
  <c r="J1262" i="7"/>
  <c r="BC1262" i="7" s="1"/>
  <c r="H1262" i="7"/>
  <c r="K1261" i="7"/>
  <c r="AB432" i="15" s="1"/>
  <c r="J1261" i="7"/>
  <c r="X432" i="15" s="1"/>
  <c r="H1261" i="7"/>
  <c r="BE1260" i="7"/>
  <c r="J1260" i="7"/>
  <c r="BC1260" i="7" s="1"/>
  <c r="H1260" i="7"/>
  <c r="V1259" i="7"/>
  <c r="V1260" i="7" s="1"/>
  <c r="V1261" i="7" s="1"/>
  <c r="V1262" i="7" s="1"/>
  <c r="K1259" i="7"/>
  <c r="AB431" i="15" s="1"/>
  <c r="J1259" i="7"/>
  <c r="X431" i="15" s="1"/>
  <c r="H1259" i="7"/>
  <c r="BE1258" i="7"/>
  <c r="BD1258" i="7"/>
  <c r="BC1258" i="7"/>
  <c r="BB1258" i="7"/>
  <c r="AG1258" i="7"/>
  <c r="AF1258" i="7"/>
  <c r="AE1258" i="7"/>
  <c r="AD1258" i="7"/>
  <c r="AC1258" i="7"/>
  <c r="AB1258" i="7"/>
  <c r="AA1258" i="7"/>
  <c r="Z1258" i="7"/>
  <c r="Y1258" i="7"/>
  <c r="X1258" i="7"/>
  <c r="V1256" i="7"/>
  <c r="I1226" i="7"/>
  <c r="I1224" i="7"/>
  <c r="V1227" i="7"/>
  <c r="BE1218" i="7"/>
  <c r="BC1218" i="7"/>
  <c r="BD1218" i="7" s="1"/>
  <c r="V1218" i="7"/>
  <c r="H1218" i="7"/>
  <c r="I420" i="15"/>
  <c r="BE1217" i="7"/>
  <c r="BD1217" i="7"/>
  <c r="BC1217" i="7"/>
  <c r="BB1217" i="7"/>
  <c r="AG1217" i="7"/>
  <c r="AF1217" i="7"/>
  <c r="AE1217" i="7"/>
  <c r="AD1217" i="7"/>
  <c r="AC1217" i="7"/>
  <c r="AB1217" i="7"/>
  <c r="AA1217" i="7"/>
  <c r="Z1217" i="7"/>
  <c r="Y1217" i="7"/>
  <c r="X1217" i="7"/>
  <c r="V1215" i="7"/>
  <c r="AI1210" i="7"/>
  <c r="W1210" i="7"/>
  <c r="G1210" i="7"/>
  <c r="F1210" i="7"/>
  <c r="W1209" i="7"/>
  <c r="F1209" i="7"/>
  <c r="W1208" i="7"/>
  <c r="F1208" i="7"/>
  <c r="AI1206" i="7"/>
  <c r="W1206" i="7"/>
  <c r="G1206" i="7"/>
  <c r="F1206" i="7"/>
  <c r="AI1205" i="7"/>
  <c r="W1205" i="7"/>
  <c r="G1205" i="7"/>
  <c r="F1205" i="7"/>
  <c r="W1204" i="7"/>
  <c r="F1204" i="7"/>
  <c r="P1108" i="7" s="1"/>
  <c r="W1203" i="7"/>
  <c r="F1203" i="7"/>
  <c r="W1202" i="7"/>
  <c r="F1202" i="7"/>
  <c r="AI1201" i="7"/>
  <c r="G1201" i="7"/>
  <c r="AI1199" i="7"/>
  <c r="G1199" i="7"/>
  <c r="AS1188" i="7"/>
  <c r="AR1188" i="7"/>
  <c r="AQ1188" i="7"/>
  <c r="AP1188" i="7"/>
  <c r="AO1188" i="7"/>
  <c r="AN1188" i="7"/>
  <c r="AM1188" i="7"/>
  <c r="AL1188" i="7"/>
  <c r="AK1188" i="7"/>
  <c r="AJ1188" i="7"/>
  <c r="AI1188" i="7"/>
  <c r="AG1188" i="7"/>
  <c r="AF1188" i="7"/>
  <c r="AE1188" i="7"/>
  <c r="AD1188" i="7"/>
  <c r="AC1188" i="7"/>
  <c r="AB1188" i="7"/>
  <c r="AA1188" i="7"/>
  <c r="Z1188" i="7"/>
  <c r="Y1188" i="7"/>
  <c r="X1188" i="7"/>
  <c r="W1188" i="7"/>
  <c r="AS1187" i="7"/>
  <c r="AR1187" i="7"/>
  <c r="AQ1187" i="7"/>
  <c r="AP1187" i="7"/>
  <c r="AO1187" i="7"/>
  <c r="AN1187" i="7"/>
  <c r="AM1187" i="7"/>
  <c r="AL1187" i="7"/>
  <c r="AK1187" i="7"/>
  <c r="AJ1187" i="7"/>
  <c r="AI1187" i="7"/>
  <c r="AG1187" i="7"/>
  <c r="AF1187" i="7"/>
  <c r="AE1187" i="7"/>
  <c r="AD1187" i="7"/>
  <c r="AC1187" i="7"/>
  <c r="AB1187" i="7"/>
  <c r="AA1187" i="7"/>
  <c r="Z1187" i="7"/>
  <c r="Y1187" i="7"/>
  <c r="X1187" i="7"/>
  <c r="W1187" i="7"/>
  <c r="V1184" i="7"/>
  <c r="U1184" i="7"/>
  <c r="V1183" i="7"/>
  <c r="U1183" i="7"/>
  <c r="V1182" i="7"/>
  <c r="U1182" i="7"/>
  <c r="V1181" i="7"/>
  <c r="U1181" i="7"/>
  <c r="V1180" i="7"/>
  <c r="U1180" i="7"/>
  <c r="V1179" i="7"/>
  <c r="U1179" i="7"/>
  <c r="V1178" i="7"/>
  <c r="U1178" i="7"/>
  <c r="V1177" i="7"/>
  <c r="U1177" i="7"/>
  <c r="V1176" i="7"/>
  <c r="U1176" i="7"/>
  <c r="V1175" i="7"/>
  <c r="U1175" i="7"/>
  <c r="V1173" i="7"/>
  <c r="U1173" i="7"/>
  <c r="E1170" i="7"/>
  <c r="E1169" i="7"/>
  <c r="E1165" i="7"/>
  <c r="E1164" i="7"/>
  <c r="E1163" i="7"/>
  <c r="E1162" i="7"/>
  <c r="E1161" i="7"/>
  <c r="E1160" i="7"/>
  <c r="E1159" i="7"/>
  <c r="E1158" i="7"/>
  <c r="E1157" i="7"/>
  <c r="E1156" i="7"/>
  <c r="E1154" i="7"/>
  <c r="E1153" i="7"/>
  <c r="E1152" i="7"/>
  <c r="E1151" i="7"/>
  <c r="U1150" i="7"/>
  <c r="E1150" i="7"/>
  <c r="E1148" i="7"/>
  <c r="E1210" i="7" s="1"/>
  <c r="E1147" i="7"/>
  <c r="E1146" i="7"/>
  <c r="E1208" i="7" s="1"/>
  <c r="E1144" i="7"/>
  <c r="E1206" i="7" s="1"/>
  <c r="E1143" i="7"/>
  <c r="E1205" i="7" s="1"/>
  <c r="E1142" i="7"/>
  <c r="E1141" i="7"/>
  <c r="E1140" i="7"/>
  <c r="E1202" i="7" s="1"/>
  <c r="E1139" i="7"/>
  <c r="E1201" i="7" s="1"/>
  <c r="E1138" i="7"/>
  <c r="E1200" i="7" s="1"/>
  <c r="E1137" i="7"/>
  <c r="E1136" i="7"/>
  <c r="E1198" i="7" s="1"/>
  <c r="E1135" i="7"/>
  <c r="E1134" i="7"/>
  <c r="E1196" i="7" s="1"/>
  <c r="E1132" i="7"/>
  <c r="E1195" i="7" s="1"/>
  <c r="E1131" i="7"/>
  <c r="E1193" i="7" s="1"/>
  <c r="E1130" i="7"/>
  <c r="E1129" i="7"/>
  <c r="E1191" i="7" s="1"/>
  <c r="E1128" i="7"/>
  <c r="E1127" i="7"/>
  <c r="AG1126" i="7"/>
  <c r="AF1126" i="7"/>
  <c r="AE1126" i="7"/>
  <c r="AD1126" i="7"/>
  <c r="AC1126" i="7"/>
  <c r="AB1126" i="7"/>
  <c r="AA1126" i="7"/>
  <c r="Z1126" i="7"/>
  <c r="Y1126" i="7"/>
  <c r="X1126" i="7"/>
  <c r="W1126" i="7"/>
  <c r="V1119" i="7"/>
  <c r="V1118" i="7"/>
  <c r="V1117" i="7"/>
  <c r="O1114" i="7"/>
  <c r="L1114" i="7"/>
  <c r="F1114" i="7" s="1"/>
  <c r="BD1114" i="7" s="1"/>
  <c r="K1114" i="7"/>
  <c r="J1114" i="7"/>
  <c r="H1114" i="7"/>
  <c r="Q1113" i="7"/>
  <c r="O1113" i="7"/>
  <c r="L1113" i="7"/>
  <c r="K1113" i="7"/>
  <c r="J1113" i="7"/>
  <c r="H1113" i="7"/>
  <c r="Q1112" i="7"/>
  <c r="O1112" i="7"/>
  <c r="L1112" i="7"/>
  <c r="K1112" i="7"/>
  <c r="J1112" i="7"/>
  <c r="H1112" i="7"/>
  <c r="BC1110" i="7"/>
  <c r="O1110" i="7"/>
  <c r="L1110" i="7"/>
  <c r="K1110" i="7"/>
  <c r="J1110" i="7"/>
  <c r="H1110" i="7"/>
  <c r="BC1109" i="7"/>
  <c r="O1109" i="7"/>
  <c r="L1109" i="7"/>
  <c r="K1109" i="7"/>
  <c r="J1109" i="7"/>
  <c r="H1109" i="7"/>
  <c r="BC1108" i="7"/>
  <c r="Q1108" i="7"/>
  <c r="O1108" i="7"/>
  <c r="L1108" i="7"/>
  <c r="K1108" i="7"/>
  <c r="J1108" i="7"/>
  <c r="H1108" i="7"/>
  <c r="BC1107" i="7"/>
  <c r="Q1107" i="7"/>
  <c r="O1107" i="7"/>
  <c r="L1107" i="7"/>
  <c r="K1107" i="7"/>
  <c r="J1107" i="7"/>
  <c r="H1107" i="7"/>
  <c r="BC1106" i="7"/>
  <c r="Q1106" i="7"/>
  <c r="O1106" i="7"/>
  <c r="L1106" i="7"/>
  <c r="K1106" i="7"/>
  <c r="J1106" i="7"/>
  <c r="H1106" i="7"/>
  <c r="BC1105" i="7"/>
  <c r="P1105" i="7"/>
  <c r="BE1105" i="7" s="1"/>
  <c r="O1105" i="7"/>
  <c r="L1105" i="7"/>
  <c r="K1105" i="7"/>
  <c r="J1105" i="7"/>
  <c r="H1105" i="7"/>
  <c r="BC1104" i="7"/>
  <c r="Q1104" i="7"/>
  <c r="P1104" i="7"/>
  <c r="AB408" i="15" s="1"/>
  <c r="O1104" i="7"/>
  <c r="L1104" i="7"/>
  <c r="K1104" i="7"/>
  <c r="J1104" i="7"/>
  <c r="H1104" i="7"/>
  <c r="BC1103" i="7"/>
  <c r="P1103" i="7"/>
  <c r="BE1103" i="7" s="1"/>
  <c r="O1103" i="7"/>
  <c r="L1103" i="7"/>
  <c r="K1103" i="7"/>
  <c r="F1103" i="7" s="1"/>
  <c r="J1103" i="7"/>
  <c r="H1103" i="7"/>
  <c r="BC1102" i="7"/>
  <c r="Q1102" i="7"/>
  <c r="P1102" i="7"/>
  <c r="BE1102" i="7" s="1"/>
  <c r="O1102" i="7"/>
  <c r="L1102" i="7"/>
  <c r="K1102" i="7"/>
  <c r="J1102" i="7"/>
  <c r="H1102" i="7"/>
  <c r="BC1101" i="7"/>
  <c r="Q1101" i="7"/>
  <c r="P1101" i="7"/>
  <c r="BE1101" i="7" s="1"/>
  <c r="O1101" i="7"/>
  <c r="L1101" i="7"/>
  <c r="K1101" i="7"/>
  <c r="J1101" i="7"/>
  <c r="H1101" i="7"/>
  <c r="BC1100" i="7"/>
  <c r="Q1100" i="7"/>
  <c r="P1100" i="7"/>
  <c r="BE1100" i="7" s="1"/>
  <c r="O1100" i="7"/>
  <c r="L1100" i="7"/>
  <c r="K1100" i="7"/>
  <c r="J1100" i="7"/>
  <c r="H1100" i="7"/>
  <c r="BC1099" i="7"/>
  <c r="Q1099" i="7"/>
  <c r="P1099" i="7"/>
  <c r="BE1099" i="7" s="1"/>
  <c r="O1099" i="7"/>
  <c r="L1099" i="7"/>
  <c r="K1099" i="7"/>
  <c r="J1099" i="7"/>
  <c r="H1099" i="7"/>
  <c r="BC1097" i="7"/>
  <c r="Q1097" i="7"/>
  <c r="P1097" i="7"/>
  <c r="BE1097" i="7" s="1"/>
  <c r="O1097" i="7"/>
  <c r="L1097" i="7"/>
  <c r="K1097" i="7"/>
  <c r="J1097" i="7"/>
  <c r="H1097" i="7"/>
  <c r="BC1096" i="7"/>
  <c r="Q1096" i="7"/>
  <c r="P1096" i="7"/>
  <c r="BE1096" i="7" s="1"/>
  <c r="O1096" i="7"/>
  <c r="L1096" i="7"/>
  <c r="K1096" i="7"/>
  <c r="J1096" i="7"/>
  <c r="H1096" i="7"/>
  <c r="BC1095" i="7"/>
  <c r="Q1095" i="7"/>
  <c r="P1095" i="7"/>
  <c r="BE1095" i="7" s="1"/>
  <c r="O1095" i="7"/>
  <c r="L1095" i="7"/>
  <c r="K1095" i="7"/>
  <c r="J1095" i="7"/>
  <c r="H1095" i="7"/>
  <c r="BC1094" i="7"/>
  <c r="Q1094" i="7"/>
  <c r="P1094" i="7"/>
  <c r="BE1094" i="7" s="1"/>
  <c r="O1094" i="7"/>
  <c r="L1094" i="7"/>
  <c r="K1094" i="7"/>
  <c r="J1094" i="7"/>
  <c r="H1094" i="7"/>
  <c r="BC1093" i="7"/>
  <c r="V1093" i="7"/>
  <c r="V1094" i="7" s="1"/>
  <c r="V1095" i="7" s="1"/>
  <c r="V1096" i="7" s="1"/>
  <c r="V1097" i="7" s="1"/>
  <c r="V1098" i="7" s="1"/>
  <c r="V1099" i="7" s="1"/>
  <c r="V1100" i="7" s="1"/>
  <c r="V1101" i="7" s="1"/>
  <c r="V1102" i="7" s="1"/>
  <c r="V1103" i="7" s="1"/>
  <c r="V1104" i="7" s="1"/>
  <c r="V1105" i="7" s="1"/>
  <c r="V1106" i="7" s="1"/>
  <c r="V1107" i="7" s="1"/>
  <c r="V1108" i="7" s="1"/>
  <c r="V1109" i="7" s="1"/>
  <c r="V1110" i="7" s="1"/>
  <c r="V1111" i="7" s="1"/>
  <c r="V1112" i="7" s="1"/>
  <c r="V1113" i="7" s="1"/>
  <c r="V1114" i="7" s="1"/>
  <c r="V1115" i="7" s="1"/>
  <c r="Q1093" i="7"/>
  <c r="P1093" i="7"/>
  <c r="BE1093" i="7" s="1"/>
  <c r="O1093" i="7"/>
  <c r="L1093" i="7"/>
  <c r="K1093" i="7"/>
  <c r="J1093" i="7"/>
  <c r="H1093" i="7"/>
  <c r="BE1092" i="7"/>
  <c r="BD1092" i="7"/>
  <c r="BC1092" i="7"/>
  <c r="BB1092" i="7"/>
  <c r="V1089" i="7"/>
  <c r="V1083" i="7"/>
  <c r="V1082" i="7"/>
  <c r="V1081"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9" i="7"/>
  <c r="L1059" i="7"/>
  <c r="K1059" i="7"/>
  <c r="X396" i="15" s="1"/>
  <c r="Z396" i="15" s="1"/>
  <c r="I1059" i="7"/>
  <c r="F1059" i="7" s="1"/>
  <c r="H1059" i="7"/>
  <c r="BE1058" i="7"/>
  <c r="BD1058" i="7"/>
  <c r="BC1058" i="7"/>
  <c r="BB1058" i="7"/>
  <c r="AG1058" i="7"/>
  <c r="AF1058" i="7"/>
  <c r="AE1058" i="7"/>
  <c r="AD1058" i="7"/>
  <c r="AC1058" i="7"/>
  <c r="AB1058" i="7"/>
  <c r="AA1058" i="7"/>
  <c r="Z1058" i="7"/>
  <c r="Y1058" i="7"/>
  <c r="X1058" i="7"/>
  <c r="W1058" i="7"/>
  <c r="V1057" i="7"/>
  <c r="V1056" i="7"/>
  <c r="V1050" i="7"/>
  <c r="V1049" i="7"/>
  <c r="V1048" i="7"/>
  <c r="V1047" i="7"/>
  <c r="V1046" i="7"/>
  <c r="V1045" i="7"/>
  <c r="V1044" i="7"/>
  <c r="V1043" i="7"/>
  <c r="V1042" i="7"/>
  <c r="V1041" i="7"/>
  <c r="V1040" i="7"/>
  <c r="V1039" i="7"/>
  <c r="AG1038" i="7"/>
  <c r="AF1038" i="7"/>
  <c r="AE1038" i="7"/>
  <c r="AD1038" i="7"/>
  <c r="AC1038" i="7"/>
  <c r="AB1038" i="7"/>
  <c r="AA1038" i="7"/>
  <c r="Z1038" i="7"/>
  <c r="Y1038" i="7"/>
  <c r="X1038" i="7"/>
  <c r="W1038" i="7"/>
  <c r="V1028" i="7"/>
  <c r="L1028" i="7"/>
  <c r="BE1028" i="7" s="1"/>
  <c r="K1028" i="7"/>
  <c r="BC1028" i="7" s="1"/>
  <c r="I1028" i="7"/>
  <c r="F1028" i="7" s="1"/>
  <c r="I395" i="15" s="1"/>
  <c r="H1028" i="7"/>
  <c r="BE1027" i="7"/>
  <c r="BD1027" i="7"/>
  <c r="BC1027" i="7"/>
  <c r="BB1027" i="7"/>
  <c r="AG1027" i="7"/>
  <c r="AF1027" i="7"/>
  <c r="AE1027" i="7"/>
  <c r="AD1027" i="7"/>
  <c r="AC1027" i="7"/>
  <c r="AB1027" i="7"/>
  <c r="AA1027" i="7"/>
  <c r="Z1027" i="7"/>
  <c r="Y1027" i="7"/>
  <c r="X1027" i="7"/>
  <c r="W1027" i="7"/>
  <c r="V1026" i="7"/>
  <c r="V1025" i="7"/>
  <c r="V1019" i="7"/>
  <c r="V1018" i="7"/>
  <c r="V1017" i="7"/>
  <c r="V1016" i="7"/>
  <c r="V1015" i="7"/>
  <c r="V1014" i="7"/>
  <c r="V1013" i="7"/>
  <c r="V1012" i="7"/>
  <c r="Y1011" i="7"/>
  <c r="X1011" i="7"/>
  <c r="W1011" i="7"/>
  <c r="V1011" i="7"/>
  <c r="F1011" i="7"/>
  <c r="V1010" i="7"/>
  <c r="Y1009" i="7"/>
  <c r="X1009" i="7"/>
  <c r="W1009" i="7"/>
  <c r="V1009" i="7"/>
  <c r="F1009" i="7"/>
  <c r="AG1008" i="7"/>
  <c r="AF1008" i="7"/>
  <c r="AE1008" i="7"/>
  <c r="AD1008" i="7"/>
  <c r="AC1008" i="7"/>
  <c r="AB1008" i="7"/>
  <c r="AA1008" i="7"/>
  <c r="Z1008" i="7"/>
  <c r="Y1008" i="7"/>
  <c r="X1008" i="7"/>
  <c r="W1008" i="7"/>
  <c r="V1002" i="7"/>
  <c r="K1002" i="7"/>
  <c r="AB394" i="15" s="1"/>
  <c r="J1002" i="7"/>
  <c r="BC1002" i="7" s="1"/>
  <c r="H1002" i="7"/>
  <c r="BE1001" i="7"/>
  <c r="BD1001" i="7"/>
  <c r="BC1001" i="7"/>
  <c r="BB1001" i="7"/>
  <c r="AG1001" i="7"/>
  <c r="AF1001" i="7"/>
  <c r="AE1001" i="7"/>
  <c r="AD1001" i="7"/>
  <c r="AC1001" i="7"/>
  <c r="AB1001" i="7"/>
  <c r="AA1001" i="7"/>
  <c r="Z1001" i="7"/>
  <c r="Y1001" i="7"/>
  <c r="X1001" i="7"/>
  <c r="W1001" i="7"/>
  <c r="V999" i="7"/>
  <c r="E994" i="7"/>
  <c r="V993" i="7"/>
  <c r="V992" i="7"/>
  <c r="V991" i="7"/>
  <c r="V990" i="7"/>
  <c r="V989" i="7"/>
  <c r="V988" i="7"/>
  <c r="V987" i="7"/>
  <c r="V986" i="7"/>
  <c r="V984" i="7"/>
  <c r="V983" i="7"/>
  <c r="V982" i="7"/>
  <c r="V980" i="7"/>
  <c r="V979" i="7"/>
  <c r="V978" i="7"/>
  <c r="V977" i="7"/>
  <c r="AG976" i="7"/>
  <c r="AF976" i="7"/>
  <c r="AE976" i="7"/>
  <c r="AD976" i="7"/>
  <c r="AC976" i="7"/>
  <c r="AB976" i="7"/>
  <c r="AA976" i="7"/>
  <c r="Z976" i="7"/>
  <c r="Y976" i="7"/>
  <c r="X976" i="7"/>
  <c r="W976" i="7"/>
  <c r="V968" i="7"/>
  <c r="L968" i="7"/>
  <c r="BE968" i="7" s="1"/>
  <c r="K968" i="7"/>
  <c r="BC968" i="7" s="1"/>
  <c r="I968" i="7"/>
  <c r="H968" i="7"/>
  <c r="V967" i="7"/>
  <c r="L967" i="7"/>
  <c r="AB392" i="15" s="1"/>
  <c r="K967" i="7"/>
  <c r="BC967" i="7" s="1"/>
  <c r="I967" i="7"/>
  <c r="H967" i="7"/>
  <c r="BE966" i="7"/>
  <c r="BD966" i="7"/>
  <c r="BC966" i="7"/>
  <c r="BB966" i="7"/>
  <c r="AG966" i="7"/>
  <c r="AF966" i="7"/>
  <c r="AE966" i="7"/>
  <c r="AD966" i="7"/>
  <c r="AC966" i="7"/>
  <c r="AB966" i="7"/>
  <c r="AA966" i="7"/>
  <c r="Z966" i="7"/>
  <c r="Y966" i="7"/>
  <c r="X966" i="7"/>
  <c r="W966" i="7"/>
  <c r="V964" i="7"/>
  <c r="V963" i="7"/>
  <c r="V962" i="7"/>
  <c r="E961" i="7"/>
  <c r="E1022" i="7" s="1"/>
  <c r="E1053" i="7" s="1"/>
  <c r="E1086" i="7" s="1"/>
  <c r="E960" i="7"/>
  <c r="E1021" i="7" s="1"/>
  <c r="E1052" i="7" s="1"/>
  <c r="E1085" i="7" s="1"/>
  <c r="E1248" i="7" s="1"/>
  <c r="E959" i="7"/>
  <c r="E1020" i="7" s="1"/>
  <c r="E1051" i="7" s="1"/>
  <c r="E1084" i="7" s="1"/>
  <c r="V958" i="7"/>
  <c r="V957" i="7"/>
  <c r="V956" i="7"/>
  <c r="X955" i="7"/>
  <c r="F955" i="7"/>
  <c r="X954" i="7"/>
  <c r="F954" i="7"/>
  <c r="X951" i="7"/>
  <c r="F951" i="7"/>
  <c r="F893" i="7" s="1"/>
  <c r="L385" i="15" s="1"/>
  <c r="X950" i="7"/>
  <c r="F950" i="7"/>
  <c r="V948" i="7"/>
  <c r="V940" i="7"/>
  <c r="V938" i="7"/>
  <c r="X937" i="7"/>
  <c r="W937" i="7"/>
  <c r="F937" i="7"/>
  <c r="X936" i="7"/>
  <c r="W936" i="7"/>
  <c r="F936" i="7"/>
  <c r="V930" i="7"/>
  <c r="V929" i="7"/>
  <c r="V928" i="7"/>
  <c r="V927" i="7"/>
  <c r="V926" i="7"/>
  <c r="W924" i="7"/>
  <c r="W922" i="7"/>
  <c r="W920" i="7"/>
  <c r="W918" i="7"/>
  <c r="V918" i="7"/>
  <c r="V916" i="7"/>
  <c r="AG915" i="7"/>
  <c r="AF915" i="7"/>
  <c r="AE915" i="7"/>
  <c r="AD915" i="7"/>
  <c r="AC915" i="7"/>
  <c r="AB915" i="7"/>
  <c r="AA915" i="7"/>
  <c r="Z915" i="7"/>
  <c r="Y915" i="7"/>
  <c r="X915" i="7"/>
  <c r="W915" i="7"/>
  <c r="V914" i="7"/>
  <c r="V913" i="7"/>
  <c r="V912" i="7"/>
  <c r="V911" i="7"/>
  <c r="V910" i="7"/>
  <c r="V909" i="7"/>
  <c r="V908" i="7"/>
  <c r="BE905" i="7"/>
  <c r="J905" i="7"/>
  <c r="BC905" i="7" s="1"/>
  <c r="H905" i="7"/>
  <c r="K904" i="7"/>
  <c r="BE904" i="7" s="1"/>
  <c r="J904" i="7"/>
  <c r="BC904" i="7" s="1"/>
  <c r="H904" i="7"/>
  <c r="F904" i="7"/>
  <c r="K391" i="15" s="1"/>
  <c r="BE903" i="7"/>
  <c r="J903" i="7"/>
  <c r="BC903" i="7" s="1"/>
  <c r="H903" i="7"/>
  <c r="E903" i="7"/>
  <c r="K902" i="7"/>
  <c r="BE902" i="7" s="1"/>
  <c r="J902" i="7"/>
  <c r="BC902" i="7" s="1"/>
  <c r="H902" i="7"/>
  <c r="F902" i="7"/>
  <c r="K390" i="15" s="1"/>
  <c r="E902" i="7"/>
  <c r="G390" i="15" s="1"/>
  <c r="BE901" i="7"/>
  <c r="J901" i="7"/>
  <c r="BC901" i="7" s="1"/>
  <c r="H901" i="7"/>
  <c r="K900" i="7"/>
  <c r="BE900" i="7" s="1"/>
  <c r="J900" i="7"/>
  <c r="X389" i="15" s="1"/>
  <c r="Z389" i="15" s="1"/>
  <c r="H900" i="7"/>
  <c r="F900" i="7"/>
  <c r="K389" i="15" s="1"/>
  <c r="BE899" i="7"/>
  <c r="J899" i="7"/>
  <c r="BC899" i="7" s="1"/>
  <c r="BD899" i="7" s="1"/>
  <c r="H899" i="7"/>
  <c r="I899" i="7" s="1"/>
  <c r="R388" i="15" s="1"/>
  <c r="K898" i="7"/>
  <c r="J898" i="7"/>
  <c r="BC898" i="7" s="1"/>
  <c r="H898" i="7"/>
  <c r="F898" i="7"/>
  <c r="K388" i="15" s="1"/>
  <c r="BE897" i="7"/>
  <c r="J897" i="7"/>
  <c r="BC897" i="7" s="1"/>
  <c r="BD897" i="7" s="1"/>
  <c r="AF387" i="15" s="1"/>
  <c r="H897" i="7"/>
  <c r="I897" i="7" s="1"/>
  <c r="R387" i="15" s="1"/>
  <c r="E897" i="7"/>
  <c r="K896" i="7"/>
  <c r="J896" i="7"/>
  <c r="BC896" i="7" s="1"/>
  <c r="H896" i="7"/>
  <c r="F896" i="7"/>
  <c r="K387" i="15" s="1"/>
  <c r="E896" i="7"/>
  <c r="G387" i="15" s="1"/>
  <c r="BE895" i="7"/>
  <c r="J895" i="7"/>
  <c r="BC895" i="7" s="1"/>
  <c r="BD895" i="7" s="1"/>
  <c r="AF386" i="15" s="1"/>
  <c r="H895" i="7"/>
  <c r="I895" i="7" s="1"/>
  <c r="R386" i="15" s="1"/>
  <c r="K894" i="7"/>
  <c r="J894" i="7"/>
  <c r="BC894" i="7" s="1"/>
  <c r="H894" i="7"/>
  <c r="F894" i="7"/>
  <c r="K386" i="15" s="1"/>
  <c r="BE893" i="7"/>
  <c r="J893" i="7"/>
  <c r="BC893" i="7" s="1"/>
  <c r="BD893" i="7" s="1"/>
  <c r="AF385" i="15" s="1"/>
  <c r="H893" i="7"/>
  <c r="K892" i="7"/>
  <c r="J892" i="7"/>
  <c r="BC892" i="7" s="1"/>
  <c r="H892" i="7"/>
  <c r="F892" i="7"/>
  <c r="K385" i="15" s="1"/>
  <c r="BE891" i="7"/>
  <c r="J891" i="7"/>
  <c r="BC891" i="7" s="1"/>
  <c r="H891" i="7"/>
  <c r="E891" i="7"/>
  <c r="K890" i="7"/>
  <c r="AB384" i="15" s="1"/>
  <c r="J890" i="7"/>
  <c r="X384" i="15" s="1"/>
  <c r="Z384" i="15" s="1"/>
  <c r="H890" i="7"/>
  <c r="F890" i="7"/>
  <c r="K384" i="15" s="1"/>
  <c r="E890" i="7"/>
  <c r="G384" i="15" s="1"/>
  <c r="BE889" i="7"/>
  <c r="J889" i="7"/>
  <c r="BC889" i="7" s="1"/>
  <c r="H889" i="7"/>
  <c r="K888" i="7"/>
  <c r="J888" i="7"/>
  <c r="BC888" i="7" s="1"/>
  <c r="H888" i="7"/>
  <c r="F888" i="7"/>
  <c r="K383" i="15" s="1"/>
  <c r="BE887" i="7"/>
  <c r="J887" i="7"/>
  <c r="BC887" i="7" s="1"/>
  <c r="H887" i="7"/>
  <c r="F887" i="7"/>
  <c r="L382" i="15" s="1"/>
  <c r="K886" i="7"/>
  <c r="AB382" i="15" s="1"/>
  <c r="J886" i="7"/>
  <c r="BC886" i="7" s="1"/>
  <c r="H886" i="7"/>
  <c r="F886" i="7"/>
  <c r="K382" i="15" s="1"/>
  <c r="BE885" i="7"/>
  <c r="J885" i="7"/>
  <c r="BC885" i="7" s="1"/>
  <c r="H885" i="7"/>
  <c r="F885" i="7"/>
  <c r="L381" i="15" s="1"/>
  <c r="E885" i="7"/>
  <c r="K884" i="7"/>
  <c r="J884" i="7"/>
  <c r="BC884" i="7" s="1"/>
  <c r="H884" i="7"/>
  <c r="F884" i="7"/>
  <c r="K381" i="15" s="1"/>
  <c r="E884" i="7"/>
  <c r="G381" i="15" s="1"/>
  <c r="BE883" i="7"/>
  <c r="J883" i="7"/>
  <c r="BC883" i="7" s="1"/>
  <c r="BD883" i="7" s="1"/>
  <c r="AF380" i="15" s="1"/>
  <c r="H883" i="7"/>
  <c r="F883" i="7"/>
  <c r="L380" i="15" s="1"/>
  <c r="V882" i="7"/>
  <c r="V883" i="7" s="1"/>
  <c r="V884" i="7" s="1"/>
  <c r="V885" i="7" s="1"/>
  <c r="V886" i="7" s="1"/>
  <c r="V887" i="7" s="1"/>
  <c r="V888" i="7" s="1"/>
  <c r="V889" i="7" s="1"/>
  <c r="V890" i="7" s="1"/>
  <c r="V891" i="7" s="1"/>
  <c r="V892" i="7" s="1"/>
  <c r="V893" i="7" s="1"/>
  <c r="V894" i="7" s="1"/>
  <c r="V895" i="7" s="1"/>
  <c r="V896" i="7" s="1"/>
  <c r="V897" i="7" s="1"/>
  <c r="V898" i="7" s="1"/>
  <c r="V899" i="7" s="1"/>
  <c r="V900" i="7" s="1"/>
  <c r="V901" i="7" s="1"/>
  <c r="V902" i="7" s="1"/>
  <c r="V903" i="7" s="1"/>
  <c r="V904" i="7" s="1"/>
  <c r="V905" i="7" s="1"/>
  <c r="K882" i="7"/>
  <c r="BE882" i="7" s="1"/>
  <c r="J882" i="7"/>
  <c r="H882" i="7"/>
  <c r="F882" i="7"/>
  <c r="K380" i="15" s="1"/>
  <c r="BE881" i="7"/>
  <c r="BD881" i="7"/>
  <c r="BC881" i="7"/>
  <c r="BB881" i="7"/>
  <c r="AG881" i="7"/>
  <c r="AF881" i="7"/>
  <c r="AE881" i="7"/>
  <c r="AD881" i="7"/>
  <c r="AC881" i="7"/>
  <c r="AB881" i="7"/>
  <c r="AA881" i="7"/>
  <c r="Z881" i="7"/>
  <c r="Y881" i="7"/>
  <c r="X881" i="7"/>
  <c r="W881" i="7"/>
  <c r="V879" i="7"/>
  <c r="V873" i="7"/>
  <c r="V872" i="7"/>
  <c r="V871" i="7"/>
  <c r="V870" i="7"/>
  <c r="V869" i="7"/>
  <c r="V868" i="7"/>
  <c r="V867" i="7"/>
  <c r="V866" i="7"/>
  <c r="V865" i="7"/>
  <c r="V864" i="7"/>
  <c r="W863" i="7"/>
  <c r="V863" i="7"/>
  <c r="X862" i="7"/>
  <c r="W862" i="7"/>
  <c r="V862" i="7"/>
  <c r="F862" i="7"/>
  <c r="V861" i="7"/>
  <c r="X860" i="7"/>
  <c r="W860" i="7"/>
  <c r="V860" i="7"/>
  <c r="F860" i="7"/>
  <c r="AG859" i="7"/>
  <c r="AF859" i="7"/>
  <c r="AE859" i="7"/>
  <c r="AD859" i="7"/>
  <c r="AC859" i="7"/>
  <c r="AB859" i="7"/>
  <c r="AA859" i="7"/>
  <c r="Z859" i="7"/>
  <c r="Y859" i="7"/>
  <c r="X859" i="7"/>
  <c r="W859" i="7"/>
  <c r="K854" i="7"/>
  <c r="BE854" i="7" s="1"/>
  <c r="J854" i="7"/>
  <c r="X379" i="15" s="1"/>
  <c r="Z379" i="15" s="1"/>
  <c r="H854" i="7"/>
  <c r="K853" i="7"/>
  <c r="BE853" i="7" s="1"/>
  <c r="J853" i="7"/>
  <c r="BC853" i="7" s="1"/>
  <c r="H853" i="7"/>
  <c r="V852" i="7"/>
  <c r="V853" i="7" s="1"/>
  <c r="V854" i="7" s="1"/>
  <c r="K852" i="7"/>
  <c r="BE852" i="7" s="1"/>
  <c r="J852" i="7"/>
  <c r="BC852" i="7" s="1"/>
  <c r="H852" i="7"/>
  <c r="BE851" i="7"/>
  <c r="BD851" i="7"/>
  <c r="BC851" i="7"/>
  <c r="BB851" i="7"/>
  <c r="AG851" i="7"/>
  <c r="AF851" i="7"/>
  <c r="AE851" i="7"/>
  <c r="AD851" i="7"/>
  <c r="AC851" i="7"/>
  <c r="AB851" i="7"/>
  <c r="AA851" i="7"/>
  <c r="Z851" i="7"/>
  <c r="Y851" i="7"/>
  <c r="X851" i="7"/>
  <c r="W851" i="7"/>
  <c r="V849" i="7"/>
  <c r="V839" i="7"/>
  <c r="V838" i="7"/>
  <c r="V837" i="7"/>
  <c r="V836" i="7"/>
  <c r="V835" i="7"/>
  <c r="V834" i="7"/>
  <c r="V833" i="7"/>
  <c r="V832" i="7"/>
  <c r="V830" i="7"/>
  <c r="V829" i="7"/>
  <c r="V828" i="7"/>
  <c r="V826" i="7"/>
  <c r="V825" i="7"/>
  <c r="V824" i="7"/>
  <c r="V823" i="7"/>
  <c r="X822" i="7"/>
  <c r="X824" i="7" s="1"/>
  <c r="V822" i="7"/>
  <c r="AG820" i="7"/>
  <c r="AF820" i="7"/>
  <c r="AE820" i="7"/>
  <c r="AD820" i="7"/>
  <c r="AC820" i="7"/>
  <c r="AB820" i="7"/>
  <c r="AA820" i="7"/>
  <c r="Z820" i="7"/>
  <c r="Y820" i="7"/>
  <c r="X820" i="7"/>
  <c r="W820" i="7"/>
  <c r="BE811" i="7"/>
  <c r="K811" i="7"/>
  <c r="BC811" i="7" s="1"/>
  <c r="I811" i="7"/>
  <c r="H811" i="7"/>
  <c r="K810" i="7"/>
  <c r="I810" i="7"/>
  <c r="H810" i="7"/>
  <c r="BE809" i="7"/>
  <c r="K809" i="7"/>
  <c r="I809" i="7"/>
  <c r="H809" i="7"/>
  <c r="K808" i="7"/>
  <c r="X373" i="15" s="1"/>
  <c r="Z373" i="15" s="1"/>
  <c r="I808" i="7"/>
  <c r="H808" i="7"/>
  <c r="V807" i="7"/>
  <c r="V808" i="7" s="1"/>
  <c r="V809" i="7" s="1"/>
  <c r="V810" i="7" s="1"/>
  <c r="V811" i="7" s="1"/>
  <c r="K807" i="7"/>
  <c r="BC807" i="7" s="1"/>
  <c r="I807" i="7"/>
  <c r="H807" i="7"/>
  <c r="BE806" i="7"/>
  <c r="BD806" i="7"/>
  <c r="BC806" i="7"/>
  <c r="BB806" i="7"/>
  <c r="AG806" i="7"/>
  <c r="AF806" i="7"/>
  <c r="AE806" i="7"/>
  <c r="AD806" i="7"/>
  <c r="AC806" i="7"/>
  <c r="AB806" i="7"/>
  <c r="AA806" i="7"/>
  <c r="Z806" i="7"/>
  <c r="Y806" i="7"/>
  <c r="X806" i="7"/>
  <c r="W806" i="7"/>
  <c r="V804" i="7"/>
  <c r="AG741" i="7"/>
  <c r="AF741" i="7"/>
  <c r="AE741" i="7"/>
  <c r="AD741" i="7"/>
  <c r="AC741" i="7"/>
  <c r="AB741" i="7"/>
  <c r="AA741" i="7"/>
  <c r="Z741" i="7"/>
  <c r="Y741" i="7"/>
  <c r="X741" i="7"/>
  <c r="W741" i="7"/>
  <c r="L733" i="7"/>
  <c r="K733" i="7"/>
  <c r="X367" i="15" s="1"/>
  <c r="Z367" i="15" s="1"/>
  <c r="F733" i="7"/>
  <c r="H733" i="7"/>
  <c r="L732" i="7"/>
  <c r="K732" i="7"/>
  <c r="X366" i="15" s="1"/>
  <c r="Z366" i="15" s="1"/>
  <c r="F732" i="7"/>
  <c r="I366" i="15" s="1"/>
  <c r="H732" i="7"/>
  <c r="V730" i="7"/>
  <c r="V731" i="7" s="1"/>
  <c r="V732" i="7" s="1"/>
  <c r="V733" i="7" s="1"/>
  <c r="L730" i="7"/>
  <c r="BE730" i="7" s="1"/>
  <c r="K730" i="7"/>
  <c r="BC730" i="7" s="1"/>
  <c r="F730" i="7"/>
  <c r="I364" i="15" s="1"/>
  <c r="H730" i="7"/>
  <c r="BE729" i="7"/>
  <c r="BD729" i="7"/>
  <c r="BC729" i="7"/>
  <c r="BB729" i="7"/>
  <c r="AG729" i="7"/>
  <c r="AF729" i="7"/>
  <c r="AE729" i="7"/>
  <c r="AD729" i="7"/>
  <c r="AC729" i="7"/>
  <c r="AB729" i="7"/>
  <c r="AA729" i="7"/>
  <c r="Z729" i="7"/>
  <c r="Y729" i="7"/>
  <c r="X729" i="7"/>
  <c r="W729" i="7"/>
  <c r="V727" i="7"/>
  <c r="W698" i="7"/>
  <c r="AG694" i="7"/>
  <c r="AF694" i="7"/>
  <c r="AE694" i="7"/>
  <c r="AD694" i="7"/>
  <c r="AC694" i="7"/>
  <c r="AB694" i="7"/>
  <c r="AA694" i="7"/>
  <c r="Z694" i="7"/>
  <c r="Y694" i="7"/>
  <c r="X694" i="7"/>
  <c r="W694" i="7"/>
  <c r="V688" i="7"/>
  <c r="J688" i="7"/>
  <c r="BC688" i="7" s="1"/>
  <c r="H688" i="7"/>
  <c r="F688" i="7"/>
  <c r="L363" i="15" s="1"/>
  <c r="E688" i="7"/>
  <c r="V687" i="7"/>
  <c r="K687" i="7"/>
  <c r="BE687" i="7" s="1"/>
  <c r="J687" i="7"/>
  <c r="BC687" i="7" s="1"/>
  <c r="H687" i="7"/>
  <c r="F687" i="7"/>
  <c r="K363" i="15" s="1"/>
  <c r="E687" i="7"/>
  <c r="G363" i="15" s="1"/>
  <c r="BE686" i="7"/>
  <c r="V686" i="7"/>
  <c r="J686" i="7"/>
  <c r="BC686" i="7" s="1"/>
  <c r="H686" i="7"/>
  <c r="F686" i="7"/>
  <c r="L362" i="15" s="1"/>
  <c r="V685" i="7"/>
  <c r="K685" i="7"/>
  <c r="BE685" i="7" s="1"/>
  <c r="J685" i="7"/>
  <c r="X362" i="15" s="1"/>
  <c r="Z362" i="15" s="1"/>
  <c r="H685" i="7"/>
  <c r="F685" i="7"/>
  <c r="K362" i="15" s="1"/>
  <c r="BE684" i="7"/>
  <c r="V684" i="7"/>
  <c r="J684" i="7"/>
  <c r="BC684" i="7" s="1"/>
  <c r="H684" i="7"/>
  <c r="F684" i="7"/>
  <c r="L361" i="15" s="1"/>
  <c r="V683" i="7"/>
  <c r="K683" i="7"/>
  <c r="BE683" i="7" s="1"/>
  <c r="J683" i="7"/>
  <c r="BC683" i="7" s="1"/>
  <c r="H683" i="7"/>
  <c r="F683" i="7"/>
  <c r="K361" i="15" s="1"/>
  <c r="V682" i="7"/>
  <c r="J682" i="7"/>
  <c r="BC682" i="7" s="1"/>
  <c r="H682" i="7"/>
  <c r="F682" i="7"/>
  <c r="L360" i="15" s="1"/>
  <c r="E682" i="7"/>
  <c r="V681" i="7"/>
  <c r="K681" i="7"/>
  <c r="J681" i="7"/>
  <c r="BC681" i="7" s="1"/>
  <c r="H681" i="7"/>
  <c r="F681" i="7"/>
  <c r="K360" i="15" s="1"/>
  <c r="E681" i="7"/>
  <c r="G360" i="15" s="1"/>
  <c r="BE680" i="7"/>
  <c r="V680" i="7"/>
  <c r="J680" i="7"/>
  <c r="BC680" i="7" s="1"/>
  <c r="H680" i="7"/>
  <c r="F680" i="7"/>
  <c r="L359" i="15" s="1"/>
  <c r="V679" i="7"/>
  <c r="K679" i="7"/>
  <c r="AB359" i="15" s="1"/>
  <c r="J679" i="7"/>
  <c r="BC679" i="7" s="1"/>
  <c r="H679" i="7"/>
  <c r="F679" i="7"/>
  <c r="K359" i="15" s="1"/>
  <c r="BE678" i="7"/>
  <c r="V678" i="7"/>
  <c r="J678" i="7"/>
  <c r="BC678" i="7" s="1"/>
  <c r="H678" i="7"/>
  <c r="F678" i="7"/>
  <c r="L358" i="15" s="1"/>
  <c r="V677" i="7"/>
  <c r="K677" i="7"/>
  <c r="AB358" i="15" s="1"/>
  <c r="J677" i="7"/>
  <c r="X358" i="15" s="1"/>
  <c r="Z358" i="15" s="1"/>
  <c r="H677" i="7"/>
  <c r="F677" i="7"/>
  <c r="K358" i="15" s="1"/>
  <c r="V676" i="7"/>
  <c r="J676" i="7"/>
  <c r="BC676" i="7" s="1"/>
  <c r="H676" i="7"/>
  <c r="F676" i="7"/>
  <c r="L357" i="15" s="1"/>
  <c r="E676" i="7"/>
  <c r="V675" i="7"/>
  <c r="K675" i="7"/>
  <c r="BE675" i="7" s="1"/>
  <c r="J675" i="7"/>
  <c r="BC675" i="7" s="1"/>
  <c r="H675" i="7"/>
  <c r="F675" i="7"/>
  <c r="K357" i="15" s="1"/>
  <c r="E675" i="7"/>
  <c r="G357" i="15" s="1"/>
  <c r="BE674" i="7"/>
  <c r="V674" i="7"/>
  <c r="J674" i="7"/>
  <c r="BC674" i="7" s="1"/>
  <c r="H674" i="7"/>
  <c r="F674" i="7"/>
  <c r="L356" i="15" s="1"/>
  <c r="V673" i="7"/>
  <c r="K673" i="7"/>
  <c r="J673" i="7"/>
  <c r="X356" i="15" s="1"/>
  <c r="Z356" i="15" s="1"/>
  <c r="H673" i="7"/>
  <c r="F673" i="7"/>
  <c r="K356" i="15" s="1"/>
  <c r="BE672" i="7"/>
  <c r="V672" i="7"/>
  <c r="J672" i="7"/>
  <c r="BC672" i="7" s="1"/>
  <c r="H672" i="7"/>
  <c r="F672" i="7"/>
  <c r="L355" i="15" s="1"/>
  <c r="V671" i="7"/>
  <c r="K671" i="7"/>
  <c r="AB355" i="15" s="1"/>
  <c r="J671" i="7"/>
  <c r="BC671" i="7" s="1"/>
  <c r="H671" i="7"/>
  <c r="F671" i="7"/>
  <c r="K355" i="15" s="1"/>
  <c r="BE670" i="7"/>
  <c r="V670" i="7"/>
  <c r="J670" i="7"/>
  <c r="BC670" i="7" s="1"/>
  <c r="H670" i="7"/>
  <c r="F670" i="7"/>
  <c r="L354" i="15" s="1"/>
  <c r="V669" i="7"/>
  <c r="K669" i="7"/>
  <c r="BE669" i="7" s="1"/>
  <c r="J669" i="7"/>
  <c r="BC669" i="7" s="1"/>
  <c r="H669" i="7"/>
  <c r="F669" i="7"/>
  <c r="K354" i="15" s="1"/>
  <c r="BE668" i="7"/>
  <c r="V668" i="7"/>
  <c r="J668" i="7"/>
  <c r="BC668" i="7" s="1"/>
  <c r="H668" i="7"/>
  <c r="F668" i="7"/>
  <c r="L353" i="15" s="1"/>
  <c r="V667" i="7"/>
  <c r="K667" i="7"/>
  <c r="BE667" i="7" s="1"/>
  <c r="J667" i="7"/>
  <c r="X353" i="15" s="1"/>
  <c r="Z353" i="15" s="1"/>
  <c r="H667" i="7"/>
  <c r="F667" i="7"/>
  <c r="K353" i="15" s="1"/>
  <c r="BE666" i="7"/>
  <c r="BD666" i="7"/>
  <c r="BC666" i="7"/>
  <c r="BB666" i="7"/>
  <c r="AG666" i="7"/>
  <c r="AF666" i="7"/>
  <c r="AE666" i="7"/>
  <c r="AD666" i="7"/>
  <c r="AC666" i="7"/>
  <c r="AB666" i="7"/>
  <c r="AA666" i="7"/>
  <c r="Z666" i="7"/>
  <c r="Y666" i="7"/>
  <c r="X666" i="7"/>
  <c r="W666" i="7"/>
  <c r="V664" i="7"/>
  <c r="Y660" i="7"/>
  <c r="G660" i="7"/>
  <c r="O599" i="7" s="1"/>
  <c r="Y657" i="7"/>
  <c r="G657" i="7"/>
  <c r="O653" i="7"/>
  <c r="O647" i="7" s="1"/>
  <c r="G659" i="7" s="1"/>
  <c r="O595" i="7" s="1"/>
  <c r="BE595" i="7" s="1"/>
  <c r="F634" i="7"/>
  <c r="F633" i="7"/>
  <c r="F632" i="7"/>
  <c r="F631" i="7"/>
  <c r="F630" i="7"/>
  <c r="F629" i="7"/>
  <c r="AG619" i="7"/>
  <c r="AF619" i="7"/>
  <c r="AE619" i="7"/>
  <c r="AD619" i="7"/>
  <c r="AC619" i="7"/>
  <c r="AB619" i="7"/>
  <c r="AA619" i="7"/>
  <c r="Z619" i="7"/>
  <c r="Y619" i="7"/>
  <c r="X619" i="7"/>
  <c r="W619" i="7"/>
  <c r="V600" i="7"/>
  <c r="O600" i="7"/>
  <c r="BE600" i="7" s="1"/>
  <c r="N600" i="7"/>
  <c r="Y352" i="15" s="1"/>
  <c r="G600" i="7"/>
  <c r="H600" i="7" s="1"/>
  <c r="V599" i="7"/>
  <c r="N599" i="7"/>
  <c r="X352" i="15" s="1"/>
  <c r="H599" i="7"/>
  <c r="V598" i="7"/>
  <c r="N598" i="7"/>
  <c r="BC598" i="7" s="1"/>
  <c r="H598" i="7"/>
  <c r="V597" i="7"/>
  <c r="O597" i="7"/>
  <c r="BE597" i="7" s="1"/>
  <c r="N597" i="7"/>
  <c r="Y350" i="15" s="1"/>
  <c r="G597" i="7"/>
  <c r="H597" i="7" s="1"/>
  <c r="V596" i="7"/>
  <c r="N596" i="7"/>
  <c r="X350" i="15" s="1"/>
  <c r="F596" i="7"/>
  <c r="H596" i="7"/>
  <c r="V595" i="7"/>
  <c r="N595" i="7"/>
  <c r="BC595" i="7" s="1"/>
  <c r="H595" i="7"/>
  <c r="V594" i="7"/>
  <c r="O594" i="7"/>
  <c r="BE594" i="7" s="1"/>
  <c r="N594" i="7"/>
  <c r="Y348" i="15" s="1"/>
  <c r="G594" i="7"/>
  <c r="D348" i="15" s="1"/>
  <c r="V593" i="7"/>
  <c r="N593" i="7"/>
  <c r="BC593" i="7" s="1"/>
  <c r="H593" i="7"/>
  <c r="V592" i="7"/>
  <c r="N592" i="7"/>
  <c r="BC592" i="7" s="1"/>
  <c r="H592" i="7"/>
  <c r="V591" i="7"/>
  <c r="O591" i="7"/>
  <c r="BE591" i="7" s="1"/>
  <c r="N591" i="7"/>
  <c r="Y346" i="15" s="1"/>
  <c r="G591" i="7"/>
  <c r="D346" i="15" s="1"/>
  <c r="V590" i="7"/>
  <c r="N590" i="7"/>
  <c r="BC590" i="7" s="1"/>
  <c r="H590" i="7"/>
  <c r="V589" i="7"/>
  <c r="N589" i="7"/>
  <c r="BC589" i="7" s="1"/>
  <c r="H589" i="7"/>
  <c r="BE588" i="7"/>
  <c r="BD588" i="7"/>
  <c r="BC588" i="7"/>
  <c r="BB588" i="7"/>
  <c r="AG588" i="7"/>
  <c r="AF588" i="7"/>
  <c r="AE588" i="7"/>
  <c r="AD588" i="7"/>
  <c r="AC588" i="7"/>
  <c r="AB588" i="7"/>
  <c r="AA588" i="7"/>
  <c r="Z588" i="7"/>
  <c r="Y588" i="7"/>
  <c r="X588" i="7"/>
  <c r="W588" i="7"/>
  <c r="B586" i="7"/>
  <c r="B190" i="9" s="1"/>
  <c r="V190" i="9" s="1"/>
  <c r="G583" i="7"/>
  <c r="M555" i="7" s="1"/>
  <c r="BE555" i="7" s="1"/>
  <c r="V581" i="7"/>
  <c r="V580" i="7"/>
  <c r="V579" i="7"/>
  <c r="V578" i="7"/>
  <c r="V577" i="7"/>
  <c r="V571" i="7"/>
  <c r="W570" i="7"/>
  <c r="V570" i="7"/>
  <c r="V567" i="7"/>
  <c r="AG566" i="7"/>
  <c r="AF566" i="7"/>
  <c r="AE566" i="7"/>
  <c r="AD566" i="7"/>
  <c r="AC566" i="7"/>
  <c r="AB566" i="7"/>
  <c r="AA566" i="7"/>
  <c r="Z566" i="7"/>
  <c r="Y566" i="7"/>
  <c r="X566" i="7"/>
  <c r="W566" i="7"/>
  <c r="V555" i="7"/>
  <c r="L555" i="7"/>
  <c r="X344" i="15" s="1"/>
  <c r="Z344" i="15" s="1"/>
  <c r="J555" i="7"/>
  <c r="I555" i="7"/>
  <c r="H555" i="7"/>
  <c r="V554" i="7"/>
  <c r="N554" i="7"/>
  <c r="L554" i="7"/>
  <c r="BC554" i="7" s="1"/>
  <c r="J554" i="7"/>
  <c r="I554" i="7"/>
  <c r="H554" i="7"/>
  <c r="V551" i="7"/>
  <c r="L551" i="7"/>
  <c r="X340" i="15" s="1"/>
  <c r="Z340" i="15" s="1"/>
  <c r="J551" i="7"/>
  <c r="I551" i="7"/>
  <c r="H551" i="7"/>
  <c r="V550" i="7"/>
  <c r="N550" i="7"/>
  <c r="L550" i="7"/>
  <c r="X339" i="15" s="1"/>
  <c r="Z339" i="15" s="1"/>
  <c r="J550" i="7"/>
  <c r="I550" i="7"/>
  <c r="H550" i="7"/>
  <c r="BE549" i="7"/>
  <c r="BD549" i="7"/>
  <c r="BC549" i="7"/>
  <c r="BB549" i="7"/>
  <c r="AG549" i="7"/>
  <c r="AF549" i="7"/>
  <c r="AE549" i="7"/>
  <c r="AD549" i="7"/>
  <c r="AC549" i="7"/>
  <c r="AB549" i="7"/>
  <c r="AA549" i="7"/>
  <c r="Z549" i="7"/>
  <c r="Y549" i="7"/>
  <c r="X549" i="7"/>
  <c r="W549" i="7"/>
  <c r="V547" i="7"/>
  <c r="Y544" i="7"/>
  <c r="G544" i="7"/>
  <c r="N511" i="7" s="1"/>
  <c r="V542" i="7"/>
  <c r="V541" i="7"/>
  <c r="V540" i="7"/>
  <c r="V539" i="7"/>
  <c r="V538" i="7"/>
  <c r="V537" i="7"/>
  <c r="V536" i="7"/>
  <c r="V535" i="7"/>
  <c r="V534" i="7"/>
  <c r="V533" i="7"/>
  <c r="V532" i="7"/>
  <c r="V531" i="7"/>
  <c r="V530" i="7"/>
  <c r="V529" i="7"/>
  <c r="V528" i="7"/>
  <c r="Y527" i="7"/>
  <c r="X527" i="7"/>
  <c r="V527" i="7"/>
  <c r="G527" i="7"/>
  <c r="I510" i="7" s="1"/>
  <c r="Y526" i="7"/>
  <c r="X526" i="7"/>
  <c r="W526" i="7"/>
  <c r="V526" i="7"/>
  <c r="G526" i="7"/>
  <c r="K511" i="7" s="1"/>
  <c r="J511" i="7" s="1"/>
  <c r="V525" i="7"/>
  <c r="V524" i="7"/>
  <c r="AG523" i="7"/>
  <c r="AF523" i="7"/>
  <c r="AE523" i="7"/>
  <c r="AD523" i="7"/>
  <c r="AC523" i="7"/>
  <c r="AB523" i="7"/>
  <c r="AA523" i="7"/>
  <c r="Z523" i="7"/>
  <c r="Y523" i="7"/>
  <c r="X523" i="7"/>
  <c r="W523" i="7"/>
  <c r="V511" i="7"/>
  <c r="M511" i="7"/>
  <c r="X338" i="15" s="1"/>
  <c r="Z338" i="15" s="1"/>
  <c r="H511" i="7"/>
  <c r="V510" i="7"/>
  <c r="M510" i="7"/>
  <c r="BC510" i="7" s="1"/>
  <c r="H510" i="7"/>
  <c r="V509" i="7"/>
  <c r="M509" i="7"/>
  <c r="H509" i="7"/>
  <c r="BE508" i="7"/>
  <c r="BD508" i="7"/>
  <c r="BC508" i="7"/>
  <c r="BB508" i="7"/>
  <c r="AG508" i="7"/>
  <c r="AF508" i="7"/>
  <c r="AE508" i="7"/>
  <c r="AD508" i="7"/>
  <c r="AC508" i="7"/>
  <c r="AB508" i="7"/>
  <c r="AA508" i="7"/>
  <c r="Z508" i="7"/>
  <c r="Y508" i="7"/>
  <c r="X508" i="7"/>
  <c r="W508" i="7"/>
  <c r="V506" i="7"/>
  <c r="V502" i="7"/>
  <c r="AG491" i="7"/>
  <c r="AF491" i="7"/>
  <c r="AE491" i="7"/>
  <c r="AD491" i="7"/>
  <c r="AC491" i="7"/>
  <c r="AB491" i="7"/>
  <c r="AA491" i="7"/>
  <c r="Z491" i="7"/>
  <c r="Y491" i="7"/>
  <c r="X491" i="7"/>
  <c r="W491" i="7"/>
  <c r="L481" i="7"/>
  <c r="X335" i="15" s="1"/>
  <c r="Z335" i="15" s="1"/>
  <c r="J481" i="7"/>
  <c r="I481" i="7"/>
  <c r="H481" i="7"/>
  <c r="E481" i="7"/>
  <c r="G335" i="15" s="1"/>
  <c r="V480" i="7"/>
  <c r="V481" i="7" s="1"/>
  <c r="M480" i="7"/>
  <c r="AB334" i="15" s="1"/>
  <c r="L480" i="7"/>
  <c r="BC480" i="7" s="1"/>
  <c r="J480" i="7"/>
  <c r="I480" i="7"/>
  <c r="H480" i="7"/>
  <c r="BE479" i="7"/>
  <c r="BD479" i="7"/>
  <c r="BC479" i="7"/>
  <c r="BB479" i="7"/>
  <c r="AG479" i="7"/>
  <c r="AF479" i="7"/>
  <c r="AE479" i="7"/>
  <c r="AD479" i="7"/>
  <c r="AC479" i="7"/>
  <c r="AB479" i="7"/>
  <c r="Z479" i="7"/>
  <c r="Y479" i="7"/>
  <c r="X479" i="7"/>
  <c r="W479" i="7"/>
  <c r="V477" i="7"/>
  <c r="F474" i="7"/>
  <c r="M439" i="7" s="1"/>
  <c r="AB328" i="15" s="1"/>
  <c r="E474" i="7"/>
  <c r="E504" i="7" s="1"/>
  <c r="E544" i="7" s="1"/>
  <c r="E583" i="7" s="1"/>
  <c r="E721" i="7" s="1"/>
  <c r="E761" i="7" s="1"/>
  <c r="E843" i="7" s="1"/>
  <c r="E995" i="7" s="1"/>
  <c r="D474" i="7"/>
  <c r="V474" i="7" s="1"/>
  <c r="E473" i="7"/>
  <c r="E503" i="7" s="1"/>
  <c r="E543" i="7" s="1"/>
  <c r="E582" i="7" s="1"/>
  <c r="E720" i="7" s="1"/>
  <c r="E760" i="7" s="1"/>
  <c r="E842" i="7" s="1"/>
  <c r="D473" i="7"/>
  <c r="V472" i="7"/>
  <c r="V471" i="7"/>
  <c r="E470" i="7"/>
  <c r="E469" i="7"/>
  <c r="V468" i="7"/>
  <c r="E468" i="7"/>
  <c r="E467" i="7"/>
  <c r="F466" i="7"/>
  <c r="E466" i="7"/>
  <c r="V465" i="7"/>
  <c r="E465" i="7"/>
  <c r="V464" i="7"/>
  <c r="E463" i="7"/>
  <c r="F462" i="7"/>
  <c r="E462" i="7"/>
  <c r="V461" i="7"/>
  <c r="E461" i="7"/>
  <c r="V460" i="7"/>
  <c r="W459" i="7"/>
  <c r="V459" i="7"/>
  <c r="V458" i="7"/>
  <c r="V456" i="7"/>
  <c r="AG455" i="7"/>
  <c r="AF455" i="7"/>
  <c r="AE455" i="7"/>
  <c r="AD455" i="7"/>
  <c r="AC455" i="7"/>
  <c r="AB455" i="7"/>
  <c r="AA455" i="7"/>
  <c r="Z455" i="7"/>
  <c r="Y455" i="7"/>
  <c r="X455" i="7"/>
  <c r="W455" i="7"/>
  <c r="V441" i="7"/>
  <c r="N441" i="7"/>
  <c r="L441" i="7"/>
  <c r="BC441" i="7" s="1"/>
  <c r="J441" i="7"/>
  <c r="I441" i="7"/>
  <c r="H441" i="7"/>
  <c r="V440" i="7"/>
  <c r="N440" i="7"/>
  <c r="L440" i="7"/>
  <c r="BC440" i="7" s="1"/>
  <c r="J440" i="7"/>
  <c r="H440" i="7"/>
  <c r="V439" i="7"/>
  <c r="N439" i="7"/>
  <c r="L439" i="7"/>
  <c r="BC439" i="7" s="1"/>
  <c r="J439" i="7"/>
  <c r="H439" i="7"/>
  <c r="BE438" i="7"/>
  <c r="BD438" i="7"/>
  <c r="BC438" i="7"/>
  <c r="BB438" i="7"/>
  <c r="AG438" i="7"/>
  <c r="AF438" i="7"/>
  <c r="AE438" i="7"/>
  <c r="AD438" i="7"/>
  <c r="AC438" i="7"/>
  <c r="AB438" i="7"/>
  <c r="AA438" i="7"/>
  <c r="Z438" i="7"/>
  <c r="Y438" i="7"/>
  <c r="X438" i="7"/>
  <c r="W438" i="7"/>
  <c r="V436" i="7"/>
  <c r="F433" i="7"/>
  <c r="M145" i="7" s="1"/>
  <c r="BE145" i="7" s="1"/>
  <c r="F432" i="7"/>
  <c r="M144" i="7" s="1"/>
  <c r="F431" i="7"/>
  <c r="M143" i="7" s="1"/>
  <c r="I430" i="7"/>
  <c r="F430" i="7"/>
  <c r="M142" i="7" s="1"/>
  <c r="I429" i="7"/>
  <c r="F429" i="7"/>
  <c r="M141" i="7" s="1"/>
  <c r="I428" i="7"/>
  <c r="F428" i="7"/>
  <c r="M140" i="7" s="1"/>
  <c r="F427" i="7"/>
  <c r="M139" i="7" s="1"/>
  <c r="F426" i="7"/>
  <c r="M138" i="7" s="1"/>
  <c r="AB320" i="15" s="1"/>
  <c r="F425" i="7"/>
  <c r="M137" i="7" s="1"/>
  <c r="I424" i="7"/>
  <c r="F424" i="7"/>
  <c r="M136" i="7" s="1"/>
  <c r="AB318" i="15" s="1"/>
  <c r="I423" i="7"/>
  <c r="F423" i="7"/>
  <c r="M135" i="7" s="1"/>
  <c r="BE135" i="7" s="1"/>
  <c r="I422" i="7"/>
  <c r="F422" i="7"/>
  <c r="M134" i="7" s="1"/>
  <c r="AB316" i="15" s="1"/>
  <c r="F421" i="7"/>
  <c r="M133" i="7" s="1"/>
  <c r="BE133" i="7" s="1"/>
  <c r="F420" i="7"/>
  <c r="M132" i="7" s="1"/>
  <c r="F419" i="7"/>
  <c r="M131" i="7" s="1"/>
  <c r="BE131" i="7" s="1"/>
  <c r="I418" i="7"/>
  <c r="F418" i="7"/>
  <c r="M130" i="7" s="1"/>
  <c r="I417" i="7"/>
  <c r="F417" i="7"/>
  <c r="M129" i="7" s="1"/>
  <c r="I416" i="7"/>
  <c r="F416" i="7"/>
  <c r="M128" i="7" s="1"/>
  <c r="F415" i="7"/>
  <c r="M127" i="7" s="1"/>
  <c r="F414" i="7"/>
  <c r="M126" i="7" s="1"/>
  <c r="BE126" i="7" s="1"/>
  <c r="F413" i="7"/>
  <c r="M125" i="7" s="1"/>
  <c r="AB307" i="15" s="1"/>
  <c r="I412" i="7"/>
  <c r="F412" i="7"/>
  <c r="M124" i="7" s="1"/>
  <c r="AB306" i="15" s="1"/>
  <c r="I411" i="7"/>
  <c r="F411" i="7"/>
  <c r="M123" i="7" s="1"/>
  <c r="BE123" i="7" s="1"/>
  <c r="I410" i="7"/>
  <c r="F410" i="7"/>
  <c r="M122" i="7" s="1"/>
  <c r="BE122" i="7" s="1"/>
  <c r="F409" i="7"/>
  <c r="M121" i="7" s="1"/>
  <c r="F408" i="7"/>
  <c r="M120" i="7" s="1"/>
  <c r="BE120" i="7" s="1"/>
  <c r="F407" i="7"/>
  <c r="M119" i="7" s="1"/>
  <c r="BE119" i="7" s="1"/>
  <c r="I406" i="7"/>
  <c r="F406" i="7"/>
  <c r="M118" i="7" s="1"/>
  <c r="I405" i="7"/>
  <c r="F405" i="7"/>
  <c r="M117" i="7" s="1"/>
  <c r="I404" i="7"/>
  <c r="F404" i="7"/>
  <c r="M116" i="7" s="1"/>
  <c r="V373" i="7"/>
  <c r="V343" i="7"/>
  <c r="V342" i="7"/>
  <c r="V341" i="7"/>
  <c r="V340" i="7"/>
  <c r="W339" i="7"/>
  <c r="F339" i="7"/>
  <c r="I145" i="7" s="1"/>
  <c r="W337" i="7"/>
  <c r="F337" i="7"/>
  <c r="I143" i="7" s="1"/>
  <c r="F336" i="7"/>
  <c r="I142" i="7" s="1"/>
  <c r="F334" i="7"/>
  <c r="I140" i="7" s="1"/>
  <c r="W333" i="7"/>
  <c r="F333" i="7"/>
  <c r="I139" i="7" s="1"/>
  <c r="W331" i="7"/>
  <c r="F331" i="7"/>
  <c r="I137" i="7" s="1"/>
  <c r="F330" i="7"/>
  <c r="I136" i="7" s="1"/>
  <c r="F328" i="7"/>
  <c r="I134" i="7" s="1"/>
  <c r="W327" i="7"/>
  <c r="F327" i="7"/>
  <c r="I133" i="7" s="1"/>
  <c r="W325" i="7"/>
  <c r="F325" i="7"/>
  <c r="I131" i="7" s="1"/>
  <c r="F324" i="7"/>
  <c r="I130" i="7" s="1"/>
  <c r="F322" i="7"/>
  <c r="I128" i="7" s="1"/>
  <c r="W321" i="7"/>
  <c r="F321" i="7"/>
  <c r="I127" i="7" s="1"/>
  <c r="W319" i="7"/>
  <c r="F319" i="7"/>
  <c r="I125" i="7" s="1"/>
  <c r="F318" i="7"/>
  <c r="I124" i="7" s="1"/>
  <c r="F316" i="7"/>
  <c r="I122" i="7" s="1"/>
  <c r="W315" i="7"/>
  <c r="F315" i="7"/>
  <c r="I121" i="7" s="1"/>
  <c r="W313" i="7"/>
  <c r="F313" i="7"/>
  <c r="I119" i="7" s="1"/>
  <c r="F312" i="7"/>
  <c r="I118" i="7" s="1"/>
  <c r="V310" i="7"/>
  <c r="F310" i="7"/>
  <c r="I116" i="7" s="1"/>
  <c r="W308" i="7"/>
  <c r="W338" i="7" s="1"/>
  <c r="F308" i="7"/>
  <c r="F338" i="7" s="1"/>
  <c r="I144" i="7" s="1"/>
  <c r="W305" i="7"/>
  <c r="F305" i="7"/>
  <c r="F335" i="7" s="1"/>
  <c r="I141" i="7" s="1"/>
  <c r="W302" i="7"/>
  <c r="W332" i="7" s="1"/>
  <c r="F302" i="7"/>
  <c r="F332" i="7" s="1"/>
  <c r="I138" i="7" s="1"/>
  <c r="W299" i="7"/>
  <c r="F299" i="7"/>
  <c r="F329" i="7" s="1"/>
  <c r="I135" i="7" s="1"/>
  <c r="W296" i="7"/>
  <c r="W326" i="7" s="1"/>
  <c r="F296" i="7"/>
  <c r="F326" i="7" s="1"/>
  <c r="I132" i="7" s="1"/>
  <c r="W293" i="7"/>
  <c r="F293" i="7"/>
  <c r="F323" i="7" s="1"/>
  <c r="I129" i="7" s="1"/>
  <c r="W290" i="7"/>
  <c r="W320" i="7" s="1"/>
  <c r="F290" i="7"/>
  <c r="F320" i="7" s="1"/>
  <c r="I126" i="7" s="1"/>
  <c r="W287" i="7"/>
  <c r="F287" i="7"/>
  <c r="F317" i="7" s="1"/>
  <c r="I123" i="7" s="1"/>
  <c r="W284" i="7"/>
  <c r="W314" i="7" s="1"/>
  <c r="F284" i="7"/>
  <c r="F314" i="7" s="1"/>
  <c r="W281" i="7"/>
  <c r="F281" i="7"/>
  <c r="F311" i="7" s="1"/>
  <c r="V280" i="7"/>
  <c r="V279" i="7"/>
  <c r="V278" i="7"/>
  <c r="V277" i="7"/>
  <c r="W273" i="7"/>
  <c r="W336" i="7" s="1"/>
  <c r="W272" i="7"/>
  <c r="W271" i="7"/>
  <c r="W334" i="7" s="1"/>
  <c r="W267" i="7"/>
  <c r="W330" i="7" s="1"/>
  <c r="W266" i="7"/>
  <c r="W265" i="7"/>
  <c r="W328" i="7" s="1"/>
  <c r="W261" i="7"/>
  <c r="W324" i="7" s="1"/>
  <c r="W260" i="7"/>
  <c r="W259" i="7"/>
  <c r="W322" i="7" s="1"/>
  <c r="W255" i="7"/>
  <c r="W318" i="7" s="1"/>
  <c r="W254" i="7"/>
  <c r="W253" i="7"/>
  <c r="W316" i="7" s="1"/>
  <c r="W249" i="7"/>
  <c r="W312" i="7" s="1"/>
  <c r="W248" i="7"/>
  <c r="W247" i="7"/>
  <c r="W310" i="7" s="1"/>
  <c r="V247" i="7"/>
  <c r="V217" i="7"/>
  <c r="V187" i="7"/>
  <c r="V157" i="7"/>
  <c r="AG156" i="7"/>
  <c r="AF156" i="7"/>
  <c r="AE156" i="7"/>
  <c r="AD156" i="7"/>
  <c r="AC156" i="7"/>
  <c r="AB156" i="7"/>
  <c r="AA156" i="7"/>
  <c r="Z156" i="7"/>
  <c r="Y156" i="7"/>
  <c r="X156" i="7"/>
  <c r="W156" i="7"/>
  <c r="V145" i="7"/>
  <c r="N145" i="7"/>
  <c r="L145" i="7"/>
  <c r="BC145" i="7" s="1"/>
  <c r="J145" i="7"/>
  <c r="H145" i="7"/>
  <c r="V144" i="7"/>
  <c r="N144" i="7"/>
  <c r="L144" i="7"/>
  <c r="BC144" i="7" s="1"/>
  <c r="J144" i="7"/>
  <c r="H144" i="7"/>
  <c r="V143" i="7"/>
  <c r="N143" i="7"/>
  <c r="L143" i="7"/>
  <c r="BC143" i="7" s="1"/>
  <c r="J143" i="7"/>
  <c r="H143" i="7"/>
  <c r="V142" i="7"/>
  <c r="N142" i="7"/>
  <c r="L142" i="7"/>
  <c r="X324" i="15" s="1"/>
  <c r="Z324" i="15" s="1"/>
  <c r="J142" i="7"/>
  <c r="H142" i="7"/>
  <c r="V141" i="7"/>
  <c r="N141" i="7"/>
  <c r="L141" i="7"/>
  <c r="X323" i="15" s="1"/>
  <c r="Z323"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X318" i="15" s="1"/>
  <c r="Z318" i="15" s="1"/>
  <c r="J136" i="7"/>
  <c r="H136" i="7"/>
  <c r="V135" i="7"/>
  <c r="N135" i="7"/>
  <c r="L135" i="7"/>
  <c r="X317" i="15" s="1"/>
  <c r="Z317" i="15" s="1"/>
  <c r="J135" i="7"/>
  <c r="H135" i="7"/>
  <c r="V134" i="7"/>
  <c r="N134" i="7"/>
  <c r="L134" i="7"/>
  <c r="X316" i="15" s="1"/>
  <c r="Z316" i="15" s="1"/>
  <c r="J134" i="7"/>
  <c r="H134" i="7"/>
  <c r="V133" i="7"/>
  <c r="N133" i="7"/>
  <c r="L133" i="7"/>
  <c r="BC133" i="7" s="1"/>
  <c r="J133" i="7"/>
  <c r="H133" i="7"/>
  <c r="V132" i="7"/>
  <c r="N132" i="7"/>
  <c r="L132" i="7"/>
  <c r="BC132" i="7" s="1"/>
  <c r="J132" i="7"/>
  <c r="H132" i="7"/>
  <c r="V131" i="7"/>
  <c r="N131" i="7"/>
  <c r="L131" i="7"/>
  <c r="BC131" i="7" s="1"/>
  <c r="J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X308" i="15" s="1"/>
  <c r="Z308" i="15" s="1"/>
  <c r="J126" i="7"/>
  <c r="H126" i="7"/>
  <c r="V125" i="7"/>
  <c r="N125" i="7"/>
  <c r="L125" i="7"/>
  <c r="BC125" i="7" s="1"/>
  <c r="J125" i="7"/>
  <c r="H125" i="7"/>
  <c r="V124" i="7"/>
  <c r="N124" i="7"/>
  <c r="L124" i="7"/>
  <c r="X306" i="15" s="1"/>
  <c r="Z306" i="15" s="1"/>
  <c r="J124" i="7"/>
  <c r="H124" i="7"/>
  <c r="V123" i="7"/>
  <c r="N123" i="7"/>
  <c r="L123" i="7"/>
  <c r="X305" i="15" s="1"/>
  <c r="Z305" i="15" s="1"/>
  <c r="J123" i="7"/>
  <c r="H123" i="7"/>
  <c r="V122" i="7"/>
  <c r="N122" i="7"/>
  <c r="L122" i="7"/>
  <c r="BC122" i="7" s="1"/>
  <c r="J122" i="7"/>
  <c r="H122" i="7"/>
  <c r="V121" i="7"/>
  <c r="N121" i="7"/>
  <c r="L121" i="7"/>
  <c r="BC121" i="7" s="1"/>
  <c r="J121" i="7"/>
  <c r="H121" i="7"/>
  <c r="V120" i="7"/>
  <c r="N120" i="7"/>
  <c r="L120" i="7"/>
  <c r="BC120" i="7" s="1"/>
  <c r="J120" i="7"/>
  <c r="H120" i="7"/>
  <c r="V119" i="7"/>
  <c r="N119" i="7"/>
  <c r="L119" i="7"/>
  <c r="X301" i="15" s="1"/>
  <c r="Z301" i="15" s="1"/>
  <c r="J119" i="7"/>
  <c r="H119" i="7"/>
  <c r="V118" i="7"/>
  <c r="N118" i="7"/>
  <c r="L118" i="7"/>
  <c r="BC118" i="7" s="1"/>
  <c r="J118" i="7"/>
  <c r="H118" i="7"/>
  <c r="V117" i="7"/>
  <c r="N117" i="7"/>
  <c r="L117" i="7"/>
  <c r="BC117" i="7" s="1"/>
  <c r="J117" i="7"/>
  <c r="H117" i="7"/>
  <c r="V116" i="7"/>
  <c r="N116" i="7"/>
  <c r="L116" i="7"/>
  <c r="X298" i="15" s="1"/>
  <c r="Z298" i="15"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V103" i="7" s="1"/>
  <c r="D102" i="7"/>
  <c r="V102" i="7" s="1"/>
  <c r="V101" i="7"/>
  <c r="V100" i="7"/>
  <c r="F90" i="7"/>
  <c r="F91" i="7" s="1"/>
  <c r="J59" i="7" s="1"/>
  <c r="F87" i="7"/>
  <c r="J55" i="7" s="1"/>
  <c r="V84" i="7"/>
  <c r="W81" i="7"/>
  <c r="W527" i="7" s="1"/>
  <c r="W77" i="7"/>
  <c r="W76" i="7"/>
  <c r="V76" i="7"/>
  <c r="E75" i="7"/>
  <c r="E83" i="7" s="1"/>
  <c r="E91" i="7" s="1"/>
  <c r="E99" i="7" s="1"/>
  <c r="E74" i="7"/>
  <c r="E82" i="7" s="1"/>
  <c r="E90" i="7" s="1"/>
  <c r="E73" i="7"/>
  <c r="E81" i="7" s="1"/>
  <c r="E89" i="7" s="1"/>
  <c r="E97" i="7" s="1"/>
  <c r="E72" i="7"/>
  <c r="E80" i="7" s="1"/>
  <c r="E88" i="7" s="1"/>
  <c r="E107" i="7" s="1"/>
  <c r="E71" i="7"/>
  <c r="E79" i="7" s="1"/>
  <c r="E87" i="7" s="1"/>
  <c r="E95" i="7" s="1"/>
  <c r="E70" i="7"/>
  <c r="E78" i="7" s="1"/>
  <c r="E86" i="7" s="1"/>
  <c r="E105" i="7" s="1"/>
  <c r="E69" i="7"/>
  <c r="E77" i="7" s="1"/>
  <c r="E85" i="7" s="1"/>
  <c r="E93" i="7" s="1"/>
  <c r="V68" i="7"/>
  <c r="E68" i="7"/>
  <c r="E76" i="7" s="1"/>
  <c r="E84" i="7" s="1"/>
  <c r="E92" i="7" s="1"/>
  <c r="AG67" i="7"/>
  <c r="AF67" i="7"/>
  <c r="AE67" i="7"/>
  <c r="AD67" i="7"/>
  <c r="AC67" i="7"/>
  <c r="AB67" i="7"/>
  <c r="AA67" i="7"/>
  <c r="Y67" i="7"/>
  <c r="X67" i="7"/>
  <c r="W67" i="7"/>
  <c r="N59" i="7"/>
  <c r="M59" i="7"/>
  <c r="AB297" i="15" s="1"/>
  <c r="L59" i="7"/>
  <c r="X297" i="15" s="1"/>
  <c r="Z297" i="15" s="1"/>
  <c r="I59" i="7"/>
  <c r="H59" i="7"/>
  <c r="N58" i="7"/>
  <c r="M58" i="7"/>
  <c r="AB296" i="15" s="1"/>
  <c r="L58" i="7"/>
  <c r="X296" i="15" s="1"/>
  <c r="Z296" i="15" s="1"/>
  <c r="I58" i="7"/>
  <c r="H58" i="7"/>
  <c r="N57" i="7"/>
  <c r="M57" i="7"/>
  <c r="BE57" i="7" s="1"/>
  <c r="L57" i="7"/>
  <c r="BC57" i="7" s="1"/>
  <c r="J57" i="7"/>
  <c r="I57" i="7"/>
  <c r="H57" i="7"/>
  <c r="N56" i="7"/>
  <c r="M56" i="7"/>
  <c r="BE56" i="7" s="1"/>
  <c r="L56" i="7"/>
  <c r="X294" i="15" s="1"/>
  <c r="Z294" i="15" s="1"/>
  <c r="J56" i="7"/>
  <c r="I56" i="7"/>
  <c r="H56" i="7"/>
  <c r="N55" i="7"/>
  <c r="M55" i="7"/>
  <c r="BE55" i="7" s="1"/>
  <c r="L55" i="7"/>
  <c r="X293" i="15" s="1"/>
  <c r="Z293" i="15" s="1"/>
  <c r="I55" i="7"/>
  <c r="H55" i="7"/>
  <c r="N54" i="7"/>
  <c r="M54" i="7"/>
  <c r="AB292" i="15" s="1"/>
  <c r="L54" i="7"/>
  <c r="X292" i="15" s="1"/>
  <c r="Z292" i="15" s="1"/>
  <c r="J54" i="7"/>
  <c r="I54" i="7"/>
  <c r="H54" i="7"/>
  <c r="N53" i="7"/>
  <c r="M53" i="7"/>
  <c r="BE53" i="7" s="1"/>
  <c r="L53" i="7"/>
  <c r="BC53" i="7" s="1"/>
  <c r="J53" i="7"/>
  <c r="I53" i="7"/>
  <c r="H53" i="7"/>
  <c r="V52" i="7"/>
  <c r="N52" i="7"/>
  <c r="M52" i="7"/>
  <c r="AB290" i="15"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3" i="7" s="1"/>
  <c r="V403" i="7" s="1"/>
  <c r="V37" i="7"/>
  <c r="Y36" i="7"/>
  <c r="X36" i="7"/>
  <c r="G36" i="7"/>
  <c r="F16" i="7" s="1"/>
  <c r="Y35" i="7"/>
  <c r="X35" i="7"/>
  <c r="G35" i="7"/>
  <c r="F13" i="7" s="1"/>
  <c r="K284" i="15" s="1"/>
  <c r="I284" i="15" s="1"/>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G289" i="15" s="1"/>
  <c r="K17" i="7"/>
  <c r="BE17" i="7" s="1"/>
  <c r="J17" i="7"/>
  <c r="X288" i="15" s="1"/>
  <c r="Z288" i="15" s="1"/>
  <c r="H17" i="7"/>
  <c r="K16" i="7"/>
  <c r="AB287" i="15" s="1"/>
  <c r="J16" i="7"/>
  <c r="X287" i="15" s="1"/>
  <c r="Z287" i="15" s="1"/>
  <c r="H16" i="7"/>
  <c r="BE15" i="7"/>
  <c r="J15" i="7"/>
  <c r="BC15" i="7" s="1"/>
  <c r="H15" i="7"/>
  <c r="E15" i="7"/>
  <c r="G286" i="15" s="1"/>
  <c r="K14" i="7"/>
  <c r="BE14" i="7" s="1"/>
  <c r="J14" i="7"/>
  <c r="BC14" i="7" s="1"/>
  <c r="H14" i="7"/>
  <c r="K13" i="7"/>
  <c r="BE13" i="7" s="1"/>
  <c r="J13" i="7"/>
  <c r="BC13" i="7" s="1"/>
  <c r="H13" i="7"/>
  <c r="BE12" i="7"/>
  <c r="J12" i="7"/>
  <c r="BC12" i="7" s="1"/>
  <c r="H12" i="7"/>
  <c r="E12" i="7"/>
  <c r="G283" i="15" s="1"/>
  <c r="K11" i="7"/>
  <c r="BE11" i="7" s="1"/>
  <c r="J11" i="7"/>
  <c r="BC11" i="7" s="1"/>
  <c r="H11" i="7"/>
  <c r="K10" i="7"/>
  <c r="BE10" i="7" s="1"/>
  <c r="J10" i="7"/>
  <c r="BC10" i="7" s="1"/>
  <c r="H10" i="7"/>
  <c r="BE9" i="7"/>
  <c r="J9" i="7"/>
  <c r="X280" i="15" s="1"/>
  <c r="Z280" i="15" s="1"/>
  <c r="H9" i="7"/>
  <c r="E9" i="7"/>
  <c r="G280" i="15" s="1"/>
  <c r="K8" i="7"/>
  <c r="BE8" i="7" s="1"/>
  <c r="J8" i="7"/>
  <c r="X279" i="15" s="1"/>
  <c r="Z279" i="15" s="1"/>
  <c r="H8" i="7"/>
  <c r="V7" i="7"/>
  <c r="V8" i="7" s="1"/>
  <c r="V10" i="7" s="1"/>
  <c r="V11" i="7" s="1"/>
  <c r="V13" i="7" s="1"/>
  <c r="V14" i="7" s="1"/>
  <c r="V16" i="7" s="1"/>
  <c r="V17" i="7" s="1"/>
  <c r="K7" i="7"/>
  <c r="BE7" i="7" s="1"/>
  <c r="J7" i="7"/>
  <c r="BC7" i="7" s="1"/>
  <c r="H7" i="7"/>
  <c r="V4" i="7"/>
  <c r="M3174" i="6"/>
  <c r="L3174" i="6"/>
  <c r="J3174" i="6"/>
  <c r="F3174" i="6"/>
  <c r="J3173" i="6"/>
  <c r="F3173" i="6"/>
  <c r="M3172" i="6"/>
  <c r="L3172" i="6"/>
  <c r="J3172" i="6"/>
  <c r="F3172" i="6"/>
  <c r="J3171" i="6"/>
  <c r="F3171" i="6"/>
  <c r="M3170" i="6"/>
  <c r="L3170" i="6"/>
  <c r="J3170" i="6"/>
  <c r="F3170" i="6"/>
  <c r="J3169" i="6"/>
  <c r="F3169" i="6"/>
  <c r="M3168" i="6"/>
  <c r="L3168" i="6"/>
  <c r="J3168" i="6"/>
  <c r="F3168" i="6"/>
  <c r="J3167" i="6"/>
  <c r="F3167" i="6"/>
  <c r="M3166" i="6"/>
  <c r="L3166" i="6"/>
  <c r="J3166" i="6"/>
  <c r="F3166" i="6"/>
  <c r="X3165" i="6"/>
  <c r="K3165" i="6"/>
  <c r="K1642" i="6" s="1"/>
  <c r="K1644" i="6" s="1"/>
  <c r="J3165" i="6"/>
  <c r="F3165" i="6"/>
  <c r="M3164" i="6"/>
  <c r="L3164" i="6"/>
  <c r="J3164" i="6"/>
  <c r="F3164" i="6"/>
  <c r="M3163" i="6"/>
  <c r="L3163" i="6"/>
  <c r="J3163" i="6"/>
  <c r="F3163" i="6"/>
  <c r="M3162" i="6"/>
  <c r="L3162" i="6"/>
  <c r="J3162" i="6"/>
  <c r="F3162" i="6"/>
  <c r="J3161" i="6"/>
  <c r="F3161" i="6"/>
  <c r="M3160" i="6"/>
  <c r="L3160" i="6"/>
  <c r="J3160" i="6"/>
  <c r="F3160" i="6"/>
  <c r="J3159" i="6"/>
  <c r="F3159" i="6"/>
  <c r="M3158" i="6"/>
  <c r="L3158" i="6"/>
  <c r="J3158" i="6"/>
  <c r="F3158" i="6"/>
  <c r="J3157" i="6"/>
  <c r="F3157" i="6"/>
  <c r="M3156" i="6"/>
  <c r="L3156" i="6"/>
  <c r="J3156" i="6"/>
  <c r="F3156" i="6"/>
  <c r="M3155" i="6"/>
  <c r="L3155" i="6"/>
  <c r="J3155" i="6"/>
  <c r="F3155" i="6"/>
  <c r="M3154" i="6"/>
  <c r="L3154" i="6"/>
  <c r="J3154" i="6"/>
  <c r="F3154" i="6"/>
  <c r="J3153" i="6"/>
  <c r="F3153" i="6"/>
  <c r="M3152" i="6"/>
  <c r="L3152" i="6"/>
  <c r="J3152" i="6"/>
  <c r="F3152" i="6"/>
  <c r="M3151" i="6"/>
  <c r="L3151" i="6"/>
  <c r="J3151" i="6"/>
  <c r="F3151" i="6"/>
  <c r="M3150" i="6"/>
  <c r="L3150" i="6"/>
  <c r="J3150" i="6"/>
  <c r="F3150" i="6"/>
  <c r="J3149" i="6"/>
  <c r="F3149" i="6"/>
  <c r="M3148" i="6"/>
  <c r="L3148" i="6"/>
  <c r="J3148" i="6"/>
  <c r="F3148" i="6"/>
  <c r="M3147" i="6"/>
  <c r="L3147" i="6"/>
  <c r="J3147" i="6"/>
  <c r="F3147" i="6"/>
  <c r="M3146" i="6"/>
  <c r="L3146" i="6"/>
  <c r="J3146" i="6"/>
  <c r="F3146" i="6"/>
  <c r="J3145" i="6"/>
  <c r="F3145" i="6"/>
  <c r="M3144" i="6"/>
  <c r="L3144" i="6"/>
  <c r="J3144" i="6"/>
  <c r="F3144" i="6"/>
  <c r="J3143" i="6"/>
  <c r="F3143" i="6"/>
  <c r="M3142" i="6"/>
  <c r="L3142" i="6"/>
  <c r="J3142" i="6"/>
  <c r="F3142" i="6"/>
  <c r="M3141" i="6"/>
  <c r="L3141" i="6"/>
  <c r="J3141" i="6"/>
  <c r="F3141" i="6"/>
  <c r="M3140" i="6"/>
  <c r="L3140" i="6"/>
  <c r="J3140" i="6"/>
  <c r="F3140" i="6"/>
  <c r="J3139" i="6"/>
  <c r="F3139" i="6"/>
  <c r="M3138" i="6"/>
  <c r="L3138" i="6"/>
  <c r="J3138" i="6"/>
  <c r="F3138" i="6"/>
  <c r="M3137" i="6"/>
  <c r="L3137" i="6"/>
  <c r="J3137" i="6"/>
  <c r="F3137" i="6"/>
  <c r="M3136" i="6"/>
  <c r="L3136" i="6"/>
  <c r="J3136" i="6"/>
  <c r="F3136" i="6"/>
  <c r="J3135" i="6"/>
  <c r="F3135" i="6"/>
  <c r="M3134" i="6"/>
  <c r="L3134" i="6"/>
  <c r="J3134" i="6"/>
  <c r="F3134" i="6"/>
  <c r="M3133" i="6"/>
  <c r="L3133" i="6"/>
  <c r="J3133" i="6"/>
  <c r="F3133" i="6"/>
  <c r="M3132" i="6"/>
  <c r="L3132" i="6"/>
  <c r="J3132" i="6"/>
  <c r="F3132" i="6"/>
  <c r="J3131" i="6"/>
  <c r="F3131" i="6"/>
  <c r="M3130" i="6"/>
  <c r="L3130" i="6"/>
  <c r="J3130" i="6"/>
  <c r="F3130" i="6"/>
  <c r="M3129" i="6"/>
  <c r="L3129" i="6"/>
  <c r="J3129" i="6"/>
  <c r="F3129" i="6"/>
  <c r="M3128" i="6"/>
  <c r="L3128" i="6"/>
  <c r="J3128" i="6"/>
  <c r="F3128" i="6"/>
  <c r="J3127" i="6"/>
  <c r="F3127" i="6"/>
  <c r="M3126" i="6"/>
  <c r="L3126" i="6"/>
  <c r="J3126" i="6"/>
  <c r="F3126" i="6"/>
  <c r="M3125" i="6"/>
  <c r="L3125" i="6"/>
  <c r="J3125" i="6"/>
  <c r="F3125" i="6"/>
  <c r="M3124" i="6"/>
  <c r="L3124" i="6"/>
  <c r="J3124" i="6"/>
  <c r="F3124" i="6"/>
  <c r="J3123" i="6"/>
  <c r="F3123" i="6"/>
  <c r="M3122" i="6"/>
  <c r="L3122" i="6"/>
  <c r="J3122" i="6"/>
  <c r="F3122" i="6"/>
  <c r="M3121" i="6"/>
  <c r="L3121" i="6"/>
  <c r="J3121" i="6"/>
  <c r="F3121" i="6"/>
  <c r="M3120" i="6"/>
  <c r="L3120" i="6"/>
  <c r="J3120" i="6"/>
  <c r="F3120" i="6"/>
  <c r="J3119" i="6"/>
  <c r="F3119" i="6"/>
  <c r="M3118" i="6"/>
  <c r="L3118" i="6"/>
  <c r="J3118" i="6"/>
  <c r="F3118" i="6"/>
  <c r="M3117" i="6"/>
  <c r="L3117" i="6"/>
  <c r="J3117" i="6"/>
  <c r="F3117" i="6"/>
  <c r="M3116" i="6"/>
  <c r="L3116" i="6"/>
  <c r="J3116" i="6"/>
  <c r="F3116" i="6"/>
  <c r="J3115" i="6"/>
  <c r="F3115" i="6"/>
  <c r="M3114" i="6"/>
  <c r="L3114" i="6"/>
  <c r="J3114" i="6"/>
  <c r="F3114" i="6"/>
  <c r="M3113" i="6"/>
  <c r="L3113" i="6"/>
  <c r="J3113" i="6"/>
  <c r="F3113" i="6"/>
  <c r="M3112" i="6"/>
  <c r="L3112" i="6"/>
  <c r="J3112" i="6"/>
  <c r="F3112" i="6"/>
  <c r="J3111" i="6"/>
  <c r="F3111" i="6"/>
  <c r="M3110" i="6"/>
  <c r="L3110" i="6"/>
  <c r="J3110" i="6"/>
  <c r="F3110" i="6"/>
  <c r="M3109" i="6"/>
  <c r="L3109" i="6"/>
  <c r="J3109" i="6"/>
  <c r="F3109" i="6"/>
  <c r="M3108" i="6"/>
  <c r="L3108" i="6"/>
  <c r="J3108" i="6"/>
  <c r="F3108" i="6"/>
  <c r="J3107" i="6"/>
  <c r="F3107" i="6"/>
  <c r="M3106" i="6"/>
  <c r="L3106" i="6"/>
  <c r="J3106" i="6"/>
  <c r="F3106" i="6"/>
  <c r="M3105" i="6"/>
  <c r="L3105" i="6"/>
  <c r="J3105" i="6"/>
  <c r="F3105" i="6"/>
  <c r="M3104" i="6"/>
  <c r="L3104" i="6"/>
  <c r="J3104" i="6"/>
  <c r="F3104" i="6"/>
  <c r="J3103" i="6"/>
  <c r="F3103" i="6"/>
  <c r="M3102" i="6"/>
  <c r="L3102" i="6"/>
  <c r="J3102" i="6"/>
  <c r="F3102" i="6"/>
  <c r="J3101" i="6"/>
  <c r="F3101" i="6"/>
  <c r="M3100" i="6"/>
  <c r="L3100" i="6"/>
  <c r="J3100" i="6"/>
  <c r="F3100" i="6"/>
  <c r="M3099" i="6"/>
  <c r="L3099" i="6"/>
  <c r="J3099" i="6"/>
  <c r="F3099" i="6"/>
  <c r="M3098" i="6"/>
  <c r="L3098" i="6"/>
  <c r="J3098" i="6"/>
  <c r="F3098" i="6"/>
  <c r="J3097" i="6"/>
  <c r="F3097" i="6"/>
  <c r="M3096" i="6"/>
  <c r="L3096" i="6"/>
  <c r="J3096" i="6"/>
  <c r="F3096" i="6"/>
  <c r="J3095" i="6"/>
  <c r="F3095" i="6"/>
  <c r="M3094" i="6"/>
  <c r="L3094" i="6"/>
  <c r="J3094" i="6"/>
  <c r="F3094" i="6"/>
  <c r="M3093" i="6"/>
  <c r="L3093" i="6"/>
  <c r="J3093" i="6"/>
  <c r="F3093" i="6"/>
  <c r="M3092" i="6"/>
  <c r="L3092" i="6"/>
  <c r="J3092" i="6"/>
  <c r="F3092" i="6"/>
  <c r="J3091" i="6"/>
  <c r="F3091" i="6"/>
  <c r="M3090" i="6"/>
  <c r="L3090" i="6"/>
  <c r="J3090" i="6"/>
  <c r="F3090" i="6"/>
  <c r="X3089" i="6"/>
  <c r="K3089" i="6"/>
  <c r="K1528" i="6" s="1"/>
  <c r="J3089" i="6"/>
  <c r="F3089" i="6"/>
  <c r="M3088" i="6"/>
  <c r="L3088" i="6"/>
  <c r="J3088" i="6"/>
  <c r="F3088" i="6"/>
  <c r="M3087" i="6"/>
  <c r="L3087" i="6"/>
  <c r="J3087" i="6"/>
  <c r="F3087" i="6"/>
  <c r="M3086" i="6"/>
  <c r="L3086" i="6"/>
  <c r="J3086" i="6"/>
  <c r="F3086" i="6"/>
  <c r="J3085" i="6"/>
  <c r="F3085" i="6"/>
  <c r="M3084" i="6"/>
  <c r="L3084" i="6"/>
  <c r="J3084" i="6"/>
  <c r="F3084" i="6"/>
  <c r="J3083" i="6"/>
  <c r="F3083" i="6"/>
  <c r="M3082" i="6"/>
  <c r="L3082" i="6"/>
  <c r="J3082" i="6"/>
  <c r="F3082" i="6"/>
  <c r="J3081" i="6"/>
  <c r="F3081" i="6"/>
  <c r="M3080" i="6"/>
  <c r="L3080" i="6"/>
  <c r="J3080" i="6"/>
  <c r="F3080" i="6"/>
  <c r="M3079" i="6"/>
  <c r="L3079" i="6"/>
  <c r="J3079" i="6"/>
  <c r="F3079" i="6"/>
  <c r="M3078" i="6"/>
  <c r="L3078" i="6"/>
  <c r="J3078" i="6"/>
  <c r="F3078" i="6"/>
  <c r="J3077" i="6"/>
  <c r="F3077" i="6"/>
  <c r="M3076" i="6"/>
  <c r="L3076" i="6"/>
  <c r="J3076" i="6"/>
  <c r="F3076" i="6"/>
  <c r="M3075" i="6"/>
  <c r="L3075" i="6"/>
  <c r="J3075" i="6"/>
  <c r="F3075" i="6"/>
  <c r="M3074" i="6"/>
  <c r="L3074" i="6"/>
  <c r="J3074" i="6"/>
  <c r="F3074" i="6"/>
  <c r="J3073" i="6"/>
  <c r="F3073" i="6"/>
  <c r="M3072" i="6"/>
  <c r="L3072" i="6"/>
  <c r="J3072" i="6"/>
  <c r="F3072" i="6"/>
  <c r="J3071" i="6"/>
  <c r="F3071" i="6"/>
  <c r="M3070" i="6"/>
  <c r="L3070" i="6"/>
  <c r="J3070" i="6"/>
  <c r="F3070" i="6"/>
  <c r="J3069" i="6"/>
  <c r="F3069" i="6"/>
  <c r="M3068" i="6"/>
  <c r="L3068" i="6"/>
  <c r="J3068" i="6"/>
  <c r="F3068" i="6"/>
  <c r="M3067" i="6"/>
  <c r="L3067" i="6"/>
  <c r="J3067" i="6"/>
  <c r="F3067" i="6"/>
  <c r="M3066" i="6"/>
  <c r="L3066" i="6"/>
  <c r="J3066" i="6"/>
  <c r="F3066" i="6"/>
  <c r="J3065" i="6"/>
  <c r="F3065" i="6"/>
  <c r="M3064" i="6"/>
  <c r="L3064" i="6"/>
  <c r="J3064" i="6"/>
  <c r="F3064" i="6"/>
  <c r="J3063" i="6"/>
  <c r="F3063" i="6"/>
  <c r="M3062" i="6"/>
  <c r="L3062" i="6"/>
  <c r="J3062" i="6"/>
  <c r="F3062" i="6"/>
  <c r="J3061" i="6"/>
  <c r="F3061" i="6"/>
  <c r="M3060" i="6"/>
  <c r="L3060" i="6"/>
  <c r="J3060" i="6"/>
  <c r="F3060" i="6"/>
  <c r="J3059" i="6"/>
  <c r="F3059" i="6"/>
  <c r="M3058" i="6"/>
  <c r="L3058" i="6"/>
  <c r="J3058" i="6"/>
  <c r="F3058" i="6"/>
  <c r="J3057" i="6"/>
  <c r="F3057" i="6"/>
  <c r="M3056" i="6"/>
  <c r="L3056" i="6"/>
  <c r="J3056" i="6"/>
  <c r="F3056" i="6"/>
  <c r="X3055" i="6"/>
  <c r="K3055" i="6"/>
  <c r="K1480" i="6" s="1"/>
  <c r="J3055" i="6"/>
  <c r="F3055" i="6"/>
  <c r="M3054" i="6"/>
  <c r="L3054" i="6"/>
  <c r="J3054" i="6"/>
  <c r="F3054" i="6"/>
  <c r="X3053" i="6"/>
  <c r="K3053" i="6"/>
  <c r="K1478" i="6" s="1"/>
  <c r="J3053" i="6"/>
  <c r="F3053" i="6"/>
  <c r="M3052" i="6"/>
  <c r="L3052" i="6"/>
  <c r="J3052" i="6"/>
  <c r="F3052" i="6"/>
  <c r="X3051" i="6"/>
  <c r="K3051" i="6"/>
  <c r="K1474" i="6" s="1"/>
  <c r="J3051" i="6"/>
  <c r="F3051" i="6"/>
  <c r="M3050" i="6"/>
  <c r="L3050" i="6"/>
  <c r="J3050" i="6"/>
  <c r="F3050" i="6"/>
  <c r="M3049" i="6"/>
  <c r="L3049" i="6"/>
  <c r="J3049" i="6"/>
  <c r="F3049" i="6"/>
  <c r="M3048" i="6"/>
  <c r="L3048" i="6"/>
  <c r="J3048" i="6"/>
  <c r="F3048" i="6"/>
  <c r="J3047" i="6"/>
  <c r="F3047" i="6"/>
  <c r="M3046" i="6"/>
  <c r="L3046" i="6"/>
  <c r="J3046" i="6"/>
  <c r="F3046" i="6"/>
  <c r="X3045" i="6"/>
  <c r="K3045" i="6"/>
  <c r="K1462" i="6" s="1"/>
  <c r="AB210" i="15" s="1"/>
  <c r="J3045" i="6"/>
  <c r="F3045" i="6"/>
  <c r="M3044" i="6"/>
  <c r="L3044" i="6"/>
  <c r="J3044" i="6"/>
  <c r="F3044" i="6"/>
  <c r="X3043" i="6"/>
  <c r="K3043" i="6"/>
  <c r="K1458" i="6" s="1"/>
  <c r="J3043" i="6"/>
  <c r="F3043" i="6"/>
  <c r="M3042" i="6"/>
  <c r="L3042" i="6"/>
  <c r="J3042" i="6"/>
  <c r="F3042" i="6"/>
  <c r="M3041" i="6"/>
  <c r="L3041" i="6"/>
  <c r="J3041" i="6"/>
  <c r="F3041" i="6"/>
  <c r="M3040" i="6"/>
  <c r="L3040" i="6"/>
  <c r="J3040" i="6"/>
  <c r="F3040" i="6"/>
  <c r="J3039" i="6"/>
  <c r="F3039" i="6"/>
  <c r="M3038" i="6"/>
  <c r="L3038" i="6"/>
  <c r="J3038" i="6"/>
  <c r="F3038" i="6"/>
  <c r="X3037" i="6"/>
  <c r="K3037" i="6"/>
  <c r="K1446" i="6" s="1"/>
  <c r="J3037" i="6"/>
  <c r="F3037" i="6"/>
  <c r="M3036" i="6"/>
  <c r="L3036" i="6"/>
  <c r="J3036" i="6"/>
  <c r="F3036" i="6"/>
  <c r="M3035" i="6"/>
  <c r="L3035" i="6"/>
  <c r="J3035" i="6"/>
  <c r="F3035" i="6"/>
  <c r="M3034" i="6"/>
  <c r="L3034" i="6"/>
  <c r="J3034" i="6"/>
  <c r="F3034" i="6"/>
  <c r="J3033" i="6"/>
  <c r="F3033" i="6"/>
  <c r="M3032" i="6"/>
  <c r="L3032" i="6"/>
  <c r="J3032" i="6"/>
  <c r="F3032" i="6"/>
  <c r="M3031" i="6"/>
  <c r="L3031" i="6"/>
  <c r="J3031" i="6"/>
  <c r="F3031" i="6"/>
  <c r="M3030" i="6"/>
  <c r="L3030" i="6"/>
  <c r="J3030" i="6"/>
  <c r="F3030" i="6"/>
  <c r="J3029" i="6"/>
  <c r="F3029" i="6"/>
  <c r="M3028" i="6"/>
  <c r="L3028" i="6"/>
  <c r="J3028" i="6"/>
  <c r="F3028" i="6"/>
  <c r="K3027" i="6"/>
  <c r="K1428" i="6" s="1"/>
  <c r="J3027" i="6"/>
  <c r="F3027" i="6"/>
  <c r="M3026" i="6"/>
  <c r="L3026" i="6"/>
  <c r="J3026" i="6"/>
  <c r="F3026" i="6"/>
  <c r="K3025" i="6"/>
  <c r="K1426" i="6" s="1"/>
  <c r="J3025" i="6"/>
  <c r="F3025" i="6"/>
  <c r="M3024" i="6"/>
  <c r="L3024" i="6"/>
  <c r="J3024" i="6"/>
  <c r="F3024" i="6"/>
  <c r="M3023" i="6"/>
  <c r="L3023" i="6"/>
  <c r="J3023" i="6"/>
  <c r="F3023" i="6"/>
  <c r="M3022" i="6"/>
  <c r="L3022" i="6"/>
  <c r="J3022" i="6"/>
  <c r="F3022" i="6"/>
  <c r="J3021" i="6"/>
  <c r="F3021" i="6"/>
  <c r="M3020" i="6"/>
  <c r="L3020" i="6"/>
  <c r="J3020" i="6"/>
  <c r="F3020" i="6"/>
  <c r="M3019" i="6"/>
  <c r="L3019" i="6"/>
  <c r="J3019" i="6"/>
  <c r="F3019" i="6"/>
  <c r="M3018" i="6"/>
  <c r="L3018" i="6"/>
  <c r="J3018" i="6"/>
  <c r="F3018" i="6"/>
  <c r="J3017" i="6"/>
  <c r="F3017" i="6"/>
  <c r="M3016" i="6"/>
  <c r="L3016" i="6"/>
  <c r="J3016" i="6"/>
  <c r="F3016" i="6"/>
  <c r="K3015" i="6"/>
  <c r="K1416" i="6" s="1"/>
  <c r="BE1416" i="6" s="1"/>
  <c r="J3015" i="6"/>
  <c r="F3015" i="6"/>
  <c r="M3014" i="6"/>
  <c r="L3014" i="6"/>
  <c r="J3014" i="6"/>
  <c r="F3014" i="6"/>
  <c r="K3013" i="6"/>
  <c r="K1414" i="6" s="1"/>
  <c r="J3013" i="6"/>
  <c r="F3013" i="6"/>
  <c r="M3012" i="6"/>
  <c r="L3012" i="6"/>
  <c r="J3012" i="6"/>
  <c r="F3012" i="6"/>
  <c r="M3011" i="6"/>
  <c r="L3011" i="6"/>
  <c r="J3011" i="6"/>
  <c r="F3011" i="6"/>
  <c r="M3010" i="6"/>
  <c r="L3010" i="6"/>
  <c r="J3010" i="6"/>
  <c r="F3010" i="6"/>
  <c r="J3009" i="6"/>
  <c r="F3009" i="6"/>
  <c r="M3008" i="6"/>
  <c r="J3008" i="6"/>
  <c r="F3008" i="6"/>
  <c r="M3007" i="6"/>
  <c r="J3007" i="6"/>
  <c r="F3007" i="6"/>
  <c r="M3006"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J2994"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K2833" i="6"/>
  <c r="F1661" i="6" s="1"/>
  <c r="J2833" i="6"/>
  <c r="J2832" i="6"/>
  <c r="F2832" i="6"/>
  <c r="K2831" i="6"/>
  <c r="F1657" i="6" s="1"/>
  <c r="J2831" i="6"/>
  <c r="J2830" i="6"/>
  <c r="F2830" i="6"/>
  <c r="K2829" i="6"/>
  <c r="F1653" i="6" s="1"/>
  <c r="J2829" i="6"/>
  <c r="J2828" i="6"/>
  <c r="F2828" i="6"/>
  <c r="J2827" i="6"/>
  <c r="J2826" i="6"/>
  <c r="F2826" i="6"/>
  <c r="K2825" i="6"/>
  <c r="F1645" i="6" s="1"/>
  <c r="L269" i="15" s="1"/>
  <c r="J2825" i="6"/>
  <c r="J2824" i="6"/>
  <c r="F2824" i="6"/>
  <c r="K2823" i="6"/>
  <c r="F1641" i="6" s="1"/>
  <c r="K2822" i="6"/>
  <c r="F1639" i="6" s="1"/>
  <c r="J2822" i="6"/>
  <c r="J2821" i="6"/>
  <c r="F2821" i="6"/>
  <c r="J2820" i="6"/>
  <c r="F2820" i="6"/>
  <c r="K2819" i="6"/>
  <c r="F1633" i="6" s="1"/>
  <c r="J2819" i="6"/>
  <c r="J2818" i="6"/>
  <c r="F2818" i="6"/>
  <c r="J2817" i="6"/>
  <c r="F2817" i="6"/>
  <c r="J2816" i="6"/>
  <c r="F2816" i="6"/>
  <c r="J2815" i="6"/>
  <c r="F2815" i="6"/>
  <c r="K2814" i="6"/>
  <c r="F1623" i="6" s="1"/>
  <c r="K2813" i="6"/>
  <c r="F1621" i="6" s="1"/>
  <c r="L261" i="15" s="1"/>
  <c r="J2813" i="6"/>
  <c r="J2812" i="6"/>
  <c r="F2812" i="6"/>
  <c r="J2811" i="6"/>
  <c r="F2811" i="6"/>
  <c r="K2810" i="6"/>
  <c r="F1615" i="6" s="1"/>
  <c r="N259" i="15" s="1"/>
  <c r="K2809" i="6"/>
  <c r="F1613" i="6" s="1"/>
  <c r="J2809" i="6"/>
  <c r="J2808" i="6"/>
  <c r="F2808" i="6"/>
  <c r="J2807" i="6"/>
  <c r="F2807" i="6"/>
  <c r="J2806" i="6"/>
  <c r="F2806" i="6"/>
  <c r="J2805" i="6"/>
  <c r="F2805" i="6"/>
  <c r="J2804" i="6"/>
  <c r="F2804" i="6"/>
  <c r="K2803" i="6"/>
  <c r="F1601" i="6" s="1"/>
  <c r="K2802" i="6"/>
  <c r="F1599" i="6" s="1"/>
  <c r="J2802" i="6"/>
  <c r="J2801" i="6"/>
  <c r="F2801" i="6"/>
  <c r="J2800" i="6"/>
  <c r="F2800" i="6"/>
  <c r="K2799" i="6"/>
  <c r="F1593" i="6" s="1"/>
  <c r="N253" i="15" s="1"/>
  <c r="K2798" i="6"/>
  <c r="F1591" i="6" s="1"/>
  <c r="J2798" i="6"/>
  <c r="J2797" i="6"/>
  <c r="F2797" i="6"/>
  <c r="J2796" i="6"/>
  <c r="F2796" i="6"/>
  <c r="J2795" i="6"/>
  <c r="F2795" i="6"/>
  <c r="J2794" i="6"/>
  <c r="F2794" i="6"/>
  <c r="K2793" i="6"/>
  <c r="F1581" i="6" s="1"/>
  <c r="K2792" i="6"/>
  <c r="F1579" i="6" s="1"/>
  <c r="L250" i="15" s="1"/>
  <c r="J2792" i="6"/>
  <c r="J2791" i="6"/>
  <c r="F2791" i="6"/>
  <c r="J2790" i="6"/>
  <c r="F2790" i="6"/>
  <c r="K2789" i="6"/>
  <c r="F1573" i="6" s="1"/>
  <c r="N248" i="15" s="1"/>
  <c r="K2788" i="6"/>
  <c r="F1571" i="6" s="1"/>
  <c r="J2788" i="6"/>
  <c r="J2787" i="6"/>
  <c r="F2787" i="6"/>
  <c r="J2786" i="6"/>
  <c r="F2786" i="6"/>
  <c r="J2785" i="6"/>
  <c r="F2785" i="6"/>
  <c r="J2784" i="6"/>
  <c r="F2784" i="6"/>
  <c r="K2783" i="6"/>
  <c r="F1561" i="6" s="1"/>
  <c r="K2782" i="6"/>
  <c r="F1559" i="6" s="1"/>
  <c r="J2782" i="6"/>
  <c r="J2781" i="6"/>
  <c r="F2781" i="6"/>
  <c r="J2780" i="6"/>
  <c r="F2780" i="6"/>
  <c r="K2779" i="6"/>
  <c r="F1553" i="6" s="1"/>
  <c r="N243" i="15" s="1"/>
  <c r="K2778" i="6"/>
  <c r="F1551" i="6" s="1"/>
  <c r="J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J2763" i="6"/>
  <c r="F2763" i="6"/>
  <c r="J2762" i="6"/>
  <c r="F2762" i="6"/>
  <c r="K2761" i="6"/>
  <c r="F1517" i="6" s="1"/>
  <c r="K2760" i="6"/>
  <c r="F1515" i="6" s="1"/>
  <c r="J2760" i="6"/>
  <c r="J2759" i="6"/>
  <c r="F2759" i="6"/>
  <c r="J2758" i="6"/>
  <c r="F2758" i="6"/>
  <c r="J2757" i="6"/>
  <c r="F2757" i="6"/>
  <c r="J2756" i="6"/>
  <c r="F2756" i="6"/>
  <c r="K2755" i="6"/>
  <c r="F1505" i="6" s="1"/>
  <c r="J2755" i="6"/>
  <c r="J2754" i="6"/>
  <c r="F2754" i="6"/>
  <c r="J2753" i="6"/>
  <c r="F2753" i="6"/>
  <c r="J2752" i="6"/>
  <c r="F2752" i="6"/>
  <c r="J2751" i="6"/>
  <c r="F2751" i="6"/>
  <c r="K2750" i="6"/>
  <c r="F1495" i="6" s="1"/>
  <c r="J2750" i="6"/>
  <c r="J2749" i="6"/>
  <c r="F2749" i="6"/>
  <c r="J2748" i="6"/>
  <c r="F2748" i="6"/>
  <c r="K2747" i="6"/>
  <c r="F1489" i="6" s="1"/>
  <c r="J2747" i="6"/>
  <c r="J2746" i="6"/>
  <c r="F2746" i="6"/>
  <c r="J2745" i="6"/>
  <c r="F2745" i="6"/>
  <c r="K2744" i="6"/>
  <c r="F1483" i="6" s="1"/>
  <c r="J2744" i="6"/>
  <c r="J2743" i="6"/>
  <c r="F2743" i="6"/>
  <c r="J2742" i="6"/>
  <c r="F2742" i="6"/>
  <c r="K2741" i="6"/>
  <c r="F1477" i="6" s="1"/>
  <c r="J2741" i="6"/>
  <c r="J2740" i="6"/>
  <c r="F2740" i="6"/>
  <c r="K2739" i="6"/>
  <c r="F1473" i="6" s="1"/>
  <c r="K2738" i="6"/>
  <c r="F1471" i="6" s="1"/>
  <c r="L213" i="15" s="1"/>
  <c r="J2738" i="6"/>
  <c r="J2737" i="6"/>
  <c r="F2737" i="6"/>
  <c r="J2736" i="6"/>
  <c r="F2736" i="6"/>
  <c r="K2735" i="6"/>
  <c r="F1465" i="6" s="1"/>
  <c r="J2735" i="6"/>
  <c r="J2734" i="6"/>
  <c r="F2734" i="6"/>
  <c r="K2733" i="6"/>
  <c r="F1461" i="6" s="1"/>
  <c r="L209" i="15" s="1"/>
  <c r="J2733" i="6"/>
  <c r="J2732" i="6"/>
  <c r="F2732" i="6"/>
  <c r="K2731" i="6"/>
  <c r="F1457" i="6" s="1"/>
  <c r="N207" i="15" s="1"/>
  <c r="K2730" i="6"/>
  <c r="F1455" i="6" s="1"/>
  <c r="J2730" i="6"/>
  <c r="J2729" i="6"/>
  <c r="F2729" i="6"/>
  <c r="J2728" i="6"/>
  <c r="F2728" i="6"/>
  <c r="J2727" i="6"/>
  <c r="J2726" i="6"/>
  <c r="F2726" i="6"/>
  <c r="K2725" i="6"/>
  <c r="F1445" i="6" s="1"/>
  <c r="N203" i="15" s="1"/>
  <c r="K2724" i="6"/>
  <c r="F1443" i="6" s="1"/>
  <c r="L203" i="15" s="1"/>
  <c r="J2724" i="6"/>
  <c r="J2723" i="6"/>
  <c r="F2723" i="6"/>
  <c r="J2722" i="6"/>
  <c r="F2722" i="6"/>
  <c r="K2721" i="6"/>
  <c r="F1437" i="6" s="1"/>
  <c r="K2720" i="6"/>
  <c r="J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J2704" i="6"/>
  <c r="F2704" i="6"/>
  <c r="J2703" i="6"/>
  <c r="J2702" i="6"/>
  <c r="F2702" i="6"/>
  <c r="J2701" i="6"/>
  <c r="J2700" i="6"/>
  <c r="F2700" i="6"/>
  <c r="J2699" i="6"/>
  <c r="J2698" i="6"/>
  <c r="F2698" i="6"/>
  <c r="J2697" i="6"/>
  <c r="J2696" i="6"/>
  <c r="F2696" i="6"/>
  <c r="J2694" i="6"/>
  <c r="J2693" i="6"/>
  <c r="F2693" i="6"/>
  <c r="J2692" i="6"/>
  <c r="F2692" i="6"/>
  <c r="J2691" i="6"/>
  <c r="J2690" i="6"/>
  <c r="F2690" i="6"/>
  <c r="J2689" i="6"/>
  <c r="F2689" i="6"/>
  <c r="J2688" i="6"/>
  <c r="F2688" i="6"/>
  <c r="J2687" i="6"/>
  <c r="F2687" i="6"/>
  <c r="J2685" i="6"/>
  <c r="J2684" i="6"/>
  <c r="F2684" i="6"/>
  <c r="J2683" i="6"/>
  <c r="F2683" i="6"/>
  <c r="J2681" i="6"/>
  <c r="J2680" i="6"/>
  <c r="F2680" i="6"/>
  <c r="J2679" i="6"/>
  <c r="F2679" i="6"/>
  <c r="J2678" i="6"/>
  <c r="F2678" i="6"/>
  <c r="J2677" i="6"/>
  <c r="F2677" i="6"/>
  <c r="J2676" i="6"/>
  <c r="F2676" i="6"/>
  <c r="J2674" i="6"/>
  <c r="J2673" i="6"/>
  <c r="F2673" i="6"/>
  <c r="J2672" i="6"/>
  <c r="F2672" i="6"/>
  <c r="J2670" i="6"/>
  <c r="J2669" i="6"/>
  <c r="F2669" i="6"/>
  <c r="J2668" i="6"/>
  <c r="F2668" i="6"/>
  <c r="J2667" i="6"/>
  <c r="F2667" i="6"/>
  <c r="J2666" i="6"/>
  <c r="F2666" i="6"/>
  <c r="J2664" i="6"/>
  <c r="J2663" i="6"/>
  <c r="F2663" i="6"/>
  <c r="J2662" i="6"/>
  <c r="F2662" i="6"/>
  <c r="J2660" i="6"/>
  <c r="J2659" i="6"/>
  <c r="F2659" i="6"/>
  <c r="J2658" i="6"/>
  <c r="F2658" i="6"/>
  <c r="J2657" i="6"/>
  <c r="F2657" i="6"/>
  <c r="J2656" i="6"/>
  <c r="F2656" i="6"/>
  <c r="J2654" i="6"/>
  <c r="J2653" i="6"/>
  <c r="F2653" i="6"/>
  <c r="J2652" i="6"/>
  <c r="F2652" i="6"/>
  <c r="J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J2635" i="6"/>
  <c r="F2635" i="6"/>
  <c r="J2634" i="6"/>
  <c r="F2634" i="6"/>
  <c r="J2632" i="6"/>
  <c r="J2631" i="6"/>
  <c r="F2631" i="6"/>
  <c r="J2630" i="6"/>
  <c r="F2630" i="6"/>
  <c r="J2629" i="6"/>
  <c r="F2629" i="6"/>
  <c r="J2628" i="6"/>
  <c r="F2628" i="6"/>
  <c r="J2627" i="6"/>
  <c r="J2626" i="6"/>
  <c r="F2626" i="6"/>
  <c r="J2625" i="6"/>
  <c r="F2625" i="6"/>
  <c r="J2624" i="6"/>
  <c r="F2624" i="6"/>
  <c r="J2623" i="6"/>
  <c r="F2623" i="6"/>
  <c r="J2622" i="6"/>
  <c r="J2621" i="6"/>
  <c r="F2621" i="6"/>
  <c r="J2620" i="6"/>
  <c r="F2620" i="6"/>
  <c r="J2619" i="6"/>
  <c r="J2618" i="6"/>
  <c r="F2618" i="6"/>
  <c r="J2617" i="6"/>
  <c r="F2617" i="6"/>
  <c r="J2616" i="6"/>
  <c r="J2615" i="6"/>
  <c r="F2615" i="6"/>
  <c r="J2614" i="6"/>
  <c r="F2614" i="6"/>
  <c r="J2613" i="6"/>
  <c r="J2612" i="6"/>
  <c r="F2612" i="6"/>
  <c r="J2610" i="6"/>
  <c r="J2609" i="6"/>
  <c r="F2609" i="6"/>
  <c r="J2608" i="6"/>
  <c r="F2608" i="6"/>
  <c r="J2607" i="6"/>
  <c r="J2606" i="6"/>
  <c r="F2606" i="6"/>
  <c r="J2605" i="6"/>
  <c r="J2604" i="6"/>
  <c r="F2604" i="6"/>
  <c r="J2602" i="6"/>
  <c r="J2601" i="6"/>
  <c r="F2601" i="6"/>
  <c r="J2600" i="6"/>
  <c r="F2600" i="6"/>
  <c r="J2599" i="6"/>
  <c r="J2598" i="6"/>
  <c r="F2598" i="6"/>
  <c r="J2596" i="6"/>
  <c r="J2595" i="6"/>
  <c r="F2595" i="6"/>
  <c r="J2594" i="6"/>
  <c r="F2594" i="6"/>
  <c r="J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J2576" i="6"/>
  <c r="F2576" i="6"/>
  <c r="J2575" i="6"/>
  <c r="J2574" i="6"/>
  <c r="F2574" i="6"/>
  <c r="J2573" i="6"/>
  <c r="J2572" i="6"/>
  <c r="F2572" i="6"/>
  <c r="J2571" i="6"/>
  <c r="J2570" i="6"/>
  <c r="F2570" i="6"/>
  <c r="J2569" i="6"/>
  <c r="J2568" i="6"/>
  <c r="F2568" i="6"/>
  <c r="J2566" i="6"/>
  <c r="J2565" i="6"/>
  <c r="F2565" i="6"/>
  <c r="J2564" i="6"/>
  <c r="F2564" i="6"/>
  <c r="J2563" i="6"/>
  <c r="J2562" i="6"/>
  <c r="F2562" i="6"/>
  <c r="J2561" i="6"/>
  <c r="F2561" i="6"/>
  <c r="J2560" i="6"/>
  <c r="F2560" i="6"/>
  <c r="J2559" i="6"/>
  <c r="F2559" i="6"/>
  <c r="J2557" i="6"/>
  <c r="J2556" i="6"/>
  <c r="F2556" i="6"/>
  <c r="J2555" i="6"/>
  <c r="F2555" i="6"/>
  <c r="J2553" i="6"/>
  <c r="J2552" i="6"/>
  <c r="F2552" i="6"/>
  <c r="J2551" i="6"/>
  <c r="F2551" i="6"/>
  <c r="J2550" i="6"/>
  <c r="F2550" i="6"/>
  <c r="J2549" i="6"/>
  <c r="F2549" i="6"/>
  <c r="J2548" i="6"/>
  <c r="F2548" i="6"/>
  <c r="J2546" i="6"/>
  <c r="J2545" i="6"/>
  <c r="F2545" i="6"/>
  <c r="J2544" i="6"/>
  <c r="F2544" i="6"/>
  <c r="J2542" i="6"/>
  <c r="J2541" i="6"/>
  <c r="F2541" i="6"/>
  <c r="J2540" i="6"/>
  <c r="F2540" i="6"/>
  <c r="J2539" i="6"/>
  <c r="F2539" i="6"/>
  <c r="J2538" i="6"/>
  <c r="F2538" i="6"/>
  <c r="J2536" i="6"/>
  <c r="J2535" i="6"/>
  <c r="F2535" i="6"/>
  <c r="J2534" i="6"/>
  <c r="F2534" i="6"/>
  <c r="J2532" i="6"/>
  <c r="J2531" i="6"/>
  <c r="F2531" i="6"/>
  <c r="J2530" i="6"/>
  <c r="F2530" i="6"/>
  <c r="J2529" i="6"/>
  <c r="F2529" i="6"/>
  <c r="J2528" i="6"/>
  <c r="F2528" i="6"/>
  <c r="J2526" i="6"/>
  <c r="J2525" i="6"/>
  <c r="F2525" i="6"/>
  <c r="J2524" i="6"/>
  <c r="F2524" i="6"/>
  <c r="J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J2507" i="6"/>
  <c r="F2507" i="6"/>
  <c r="J2506" i="6"/>
  <c r="F2506" i="6"/>
  <c r="J2504" i="6"/>
  <c r="J2503" i="6"/>
  <c r="F2503" i="6"/>
  <c r="J2502" i="6"/>
  <c r="F2502" i="6"/>
  <c r="J2501" i="6"/>
  <c r="F2501" i="6"/>
  <c r="J2500" i="6"/>
  <c r="F2500" i="6"/>
  <c r="J2499" i="6"/>
  <c r="J2498" i="6"/>
  <c r="F2498" i="6"/>
  <c r="J2497" i="6"/>
  <c r="F2497" i="6"/>
  <c r="J2496" i="6"/>
  <c r="F2496" i="6"/>
  <c r="J2495" i="6"/>
  <c r="F2495" i="6"/>
  <c r="J2494" i="6"/>
  <c r="J2493" i="6"/>
  <c r="F2493" i="6"/>
  <c r="J2492" i="6"/>
  <c r="F2492" i="6"/>
  <c r="J2491" i="6"/>
  <c r="J2490" i="6"/>
  <c r="F2490" i="6"/>
  <c r="J2489" i="6"/>
  <c r="F2489" i="6"/>
  <c r="J2488" i="6"/>
  <c r="J2487" i="6"/>
  <c r="F2487" i="6"/>
  <c r="J2486" i="6"/>
  <c r="F2486" i="6"/>
  <c r="J2485" i="6"/>
  <c r="J2484" i="6"/>
  <c r="F2484" i="6"/>
  <c r="J2482" i="6"/>
  <c r="J2481" i="6"/>
  <c r="F2481" i="6"/>
  <c r="J2480" i="6"/>
  <c r="F2480" i="6"/>
  <c r="J2479" i="6"/>
  <c r="J2478" i="6"/>
  <c r="F2478" i="6"/>
  <c r="J2477" i="6"/>
  <c r="J2476" i="6"/>
  <c r="F2476" i="6"/>
  <c r="J2474" i="6"/>
  <c r="J2473" i="6"/>
  <c r="F2473" i="6"/>
  <c r="J2472" i="6"/>
  <c r="F2472" i="6"/>
  <c r="J2471" i="6"/>
  <c r="J2470" i="6"/>
  <c r="F2470" i="6"/>
  <c r="J2468" i="6"/>
  <c r="J2467" i="6"/>
  <c r="F2467" i="6"/>
  <c r="J2466" i="6"/>
  <c r="F2466" i="6"/>
  <c r="J2464" i="6"/>
  <c r="J2463" i="6"/>
  <c r="F2463" i="6"/>
  <c r="J2462" i="6"/>
  <c r="F2462" i="6"/>
  <c r="J2461" i="6"/>
  <c r="F2461" i="6"/>
  <c r="J2460" i="6"/>
  <c r="F2460" i="6"/>
  <c r="J2459" i="6"/>
  <c r="F2459" i="6"/>
  <c r="J2458" i="6"/>
  <c r="F2458" i="6"/>
  <c r="J2457" i="6"/>
  <c r="F2457" i="6"/>
  <c r="J2456" i="6"/>
  <c r="F2456" i="6"/>
  <c r="J2455" i="6"/>
  <c r="F2455" i="6"/>
  <c r="J2454" i="6"/>
  <c r="F2454" i="6"/>
  <c r="J2453" i="6"/>
  <c r="F2453" i="6"/>
  <c r="J2452" i="6"/>
  <c r="F2452" i="6"/>
  <c r="J2451" i="6"/>
  <c r="F2451" i="6"/>
  <c r="J2450" i="6"/>
  <c r="F2450" i="6"/>
  <c r="Y2449" i="6"/>
  <c r="K2449" i="6"/>
  <c r="J2449" i="6"/>
  <c r="J2448" i="6"/>
  <c r="F2448" i="6"/>
  <c r="Y2447" i="6"/>
  <c r="K2447" i="6"/>
  <c r="F1656" i="6" s="1"/>
  <c r="K275" i="15" s="1"/>
  <c r="J2447" i="6"/>
  <c r="J2446" i="6"/>
  <c r="F2446" i="6"/>
  <c r="Y2445" i="6"/>
  <c r="K2445" i="6"/>
  <c r="F1652" i="6" s="1"/>
  <c r="J2445" i="6"/>
  <c r="J2444" i="6"/>
  <c r="F2444" i="6"/>
  <c r="Y2443" i="6"/>
  <c r="K2443" i="6"/>
  <c r="J2443" i="6"/>
  <c r="J2442" i="6"/>
  <c r="F2442" i="6"/>
  <c r="Y2441" i="6"/>
  <c r="K2441" i="6"/>
  <c r="J2441" i="6"/>
  <c r="J2440" i="6"/>
  <c r="F2440" i="6"/>
  <c r="Y2439" i="6"/>
  <c r="K2439" i="6"/>
  <c r="Y2438" i="6"/>
  <c r="K2438" i="6"/>
  <c r="J2438" i="6"/>
  <c r="J2437" i="6"/>
  <c r="F2437" i="6"/>
  <c r="J2436" i="6"/>
  <c r="F2436" i="6"/>
  <c r="Y2435" i="6"/>
  <c r="K2435" i="6"/>
  <c r="J2435" i="6"/>
  <c r="J2434" i="6"/>
  <c r="F2434" i="6"/>
  <c r="J2433" i="6"/>
  <c r="F2433" i="6"/>
  <c r="J2432" i="6"/>
  <c r="F2432" i="6"/>
  <c r="J2431" i="6"/>
  <c r="F2431" i="6"/>
  <c r="Y2430" i="6"/>
  <c r="K2430" i="6"/>
  <c r="F1622" i="6" s="1"/>
  <c r="M261" i="15" s="1"/>
  <c r="Y2429" i="6"/>
  <c r="K2429" i="6"/>
  <c r="F1620" i="6" s="1"/>
  <c r="J2429" i="6"/>
  <c r="J2428" i="6"/>
  <c r="F2428" i="6"/>
  <c r="J2427" i="6"/>
  <c r="F2427" i="6"/>
  <c r="Y2426" i="6"/>
  <c r="K2426" i="6"/>
  <c r="Y2425" i="6"/>
  <c r="K2425" i="6"/>
  <c r="J2425" i="6"/>
  <c r="J2424" i="6"/>
  <c r="F2424" i="6"/>
  <c r="J2423" i="6"/>
  <c r="F2423" i="6"/>
  <c r="J2422" i="6"/>
  <c r="F2422" i="6"/>
  <c r="J2421" i="6"/>
  <c r="F2421" i="6"/>
  <c r="J2420" i="6"/>
  <c r="F2420" i="6"/>
  <c r="Y2419" i="6"/>
  <c r="K2419" i="6"/>
  <c r="F1600" i="6" s="1"/>
  <c r="Y2418" i="6"/>
  <c r="K2418" i="6"/>
  <c r="F1598" i="6" s="1"/>
  <c r="J2418" i="6"/>
  <c r="J2417" i="6"/>
  <c r="F2417" i="6"/>
  <c r="J2416" i="6"/>
  <c r="F2416" i="6"/>
  <c r="Y2415" i="6"/>
  <c r="K2415" i="6"/>
  <c r="Y2414" i="6"/>
  <c r="K2414" i="6"/>
  <c r="J2414" i="6"/>
  <c r="J2413" i="6"/>
  <c r="F2413" i="6"/>
  <c r="J2412" i="6"/>
  <c r="F2412" i="6"/>
  <c r="J2411" i="6"/>
  <c r="F2411" i="6"/>
  <c r="J2410" i="6"/>
  <c r="F2410" i="6"/>
  <c r="Y2409" i="6"/>
  <c r="K2409" i="6"/>
  <c r="F1580" i="6" s="1"/>
  <c r="Y2408" i="6"/>
  <c r="K2408" i="6"/>
  <c r="F1578" i="6" s="1"/>
  <c r="J2408" i="6"/>
  <c r="J2407" i="6"/>
  <c r="F2407" i="6"/>
  <c r="J2406" i="6"/>
  <c r="F2406" i="6"/>
  <c r="Y2405" i="6"/>
  <c r="K2405" i="6"/>
  <c r="Y2404" i="6"/>
  <c r="K2404" i="6"/>
  <c r="J2404" i="6"/>
  <c r="J2403" i="6"/>
  <c r="F2403" i="6"/>
  <c r="J2402" i="6"/>
  <c r="F2402" i="6"/>
  <c r="J2401" i="6"/>
  <c r="F2401" i="6"/>
  <c r="J2400" i="6"/>
  <c r="F2400" i="6"/>
  <c r="Y2399" i="6"/>
  <c r="K2399" i="6"/>
  <c r="F1560" i="6" s="1"/>
  <c r="Y2398" i="6"/>
  <c r="K2398" i="6"/>
  <c r="F1558" i="6" s="1"/>
  <c r="K245" i="15" s="1"/>
  <c r="J2398" i="6"/>
  <c r="J2397" i="6"/>
  <c r="F2397" i="6"/>
  <c r="J2396" i="6"/>
  <c r="F2396" i="6"/>
  <c r="Y2395" i="6"/>
  <c r="K2395" i="6"/>
  <c r="Y2394" i="6"/>
  <c r="K2394" i="6"/>
  <c r="J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J2379" i="6"/>
  <c r="F2379" i="6"/>
  <c r="J2378" i="6"/>
  <c r="F2378" i="6"/>
  <c r="Y2377" i="6"/>
  <c r="K2377" i="6"/>
  <c r="Y2376" i="6"/>
  <c r="K2376" i="6"/>
  <c r="F1514" i="6" s="1"/>
  <c r="K231" i="15" s="1"/>
  <c r="J2376" i="6"/>
  <c r="J2375" i="6"/>
  <c r="F2375" i="6"/>
  <c r="J2374" i="6"/>
  <c r="F2374" i="6"/>
  <c r="J2373" i="6"/>
  <c r="F2373" i="6"/>
  <c r="J2372" i="6"/>
  <c r="F2372" i="6"/>
  <c r="Y2371" i="6"/>
  <c r="K2371" i="6"/>
  <c r="J2371" i="6"/>
  <c r="J2370" i="6"/>
  <c r="F2370" i="6"/>
  <c r="J2369" i="6"/>
  <c r="F2369" i="6"/>
  <c r="J2368" i="6"/>
  <c r="F2368" i="6"/>
  <c r="J2367" i="6"/>
  <c r="F2367" i="6"/>
  <c r="Y2366" i="6"/>
  <c r="K2366" i="6"/>
  <c r="J2366" i="6"/>
  <c r="J2365" i="6"/>
  <c r="F2365" i="6"/>
  <c r="J2364" i="6"/>
  <c r="F2364" i="6"/>
  <c r="Y2363" i="6"/>
  <c r="K2363" i="6"/>
  <c r="F1488" i="6" s="1"/>
  <c r="K221" i="15" s="1"/>
  <c r="J2363" i="6"/>
  <c r="J2362" i="6"/>
  <c r="F2362" i="6"/>
  <c r="J2361" i="6"/>
  <c r="F2361" i="6"/>
  <c r="Y2360" i="6"/>
  <c r="K2360" i="6"/>
  <c r="F1482" i="6" s="1"/>
  <c r="J2360" i="6"/>
  <c r="J2359" i="6"/>
  <c r="F2359" i="6"/>
  <c r="J2358" i="6"/>
  <c r="F2358" i="6"/>
  <c r="Y2357" i="6"/>
  <c r="K2357" i="6"/>
  <c r="J2357" i="6"/>
  <c r="J2356" i="6"/>
  <c r="F2356" i="6"/>
  <c r="Y2355" i="6"/>
  <c r="K2355" i="6"/>
  <c r="Y2354" i="6"/>
  <c r="K2354" i="6"/>
  <c r="J2354" i="6"/>
  <c r="J2353" i="6"/>
  <c r="F2353" i="6"/>
  <c r="J2352" i="6"/>
  <c r="F2352" i="6"/>
  <c r="Y2351" i="6"/>
  <c r="K2351" i="6"/>
  <c r="F1464" i="6" s="1"/>
  <c r="J2351" i="6"/>
  <c r="J2350" i="6"/>
  <c r="F2350" i="6"/>
  <c r="Y2349" i="6"/>
  <c r="K2349" i="6"/>
  <c r="J2349" i="6"/>
  <c r="J2348" i="6"/>
  <c r="F2348" i="6"/>
  <c r="Y2347" i="6"/>
  <c r="K2347" i="6"/>
  <c r="Y2346" i="6"/>
  <c r="K2346" i="6"/>
  <c r="F1454" i="6" s="1"/>
  <c r="K207" i="15" s="1"/>
  <c r="J2346" i="6"/>
  <c r="J2345" i="6"/>
  <c r="F2345" i="6"/>
  <c r="J2344" i="6"/>
  <c r="F2344" i="6"/>
  <c r="Y2343" i="6"/>
  <c r="K2343" i="6"/>
  <c r="F1448" i="6" s="1"/>
  <c r="J2343" i="6"/>
  <c r="J2342" i="6"/>
  <c r="F2342" i="6"/>
  <c r="Y2341" i="6"/>
  <c r="K2341" i="6"/>
  <c r="Y2340" i="6"/>
  <c r="K2340" i="6"/>
  <c r="F1442" i="6" s="1"/>
  <c r="K203" i="15" s="1"/>
  <c r="J2340" i="6"/>
  <c r="J2339" i="6"/>
  <c r="F2339" i="6"/>
  <c r="J2338" i="6"/>
  <c r="F2338" i="6"/>
  <c r="Y2337" i="6"/>
  <c r="K2337" i="6"/>
  <c r="F1436" i="6" s="1"/>
  <c r="J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J2320" i="6"/>
  <c r="F2320" i="6"/>
  <c r="J2319" i="6"/>
  <c r="J2318" i="6"/>
  <c r="F2318" i="6"/>
  <c r="J2317" i="6"/>
  <c r="J2316" i="6"/>
  <c r="F2316" i="6"/>
  <c r="J2315" i="6"/>
  <c r="J2314" i="6"/>
  <c r="F2314" i="6"/>
  <c r="J2313" i="6"/>
  <c r="J2312" i="6"/>
  <c r="F2312" i="6"/>
  <c r="J2310" i="6"/>
  <c r="J2309" i="6"/>
  <c r="F2309" i="6"/>
  <c r="J2308" i="6"/>
  <c r="F2308" i="6"/>
  <c r="J2307" i="6"/>
  <c r="J2306" i="6"/>
  <c r="F2306" i="6"/>
  <c r="J2305" i="6"/>
  <c r="F2305" i="6"/>
  <c r="J2304" i="6"/>
  <c r="F2304" i="6"/>
  <c r="J2303" i="6"/>
  <c r="F2303" i="6"/>
  <c r="J2301" i="6"/>
  <c r="J2300" i="6"/>
  <c r="F2300" i="6"/>
  <c r="J2299" i="6"/>
  <c r="F2299" i="6"/>
  <c r="J2297" i="6"/>
  <c r="J2296" i="6"/>
  <c r="F2296" i="6"/>
  <c r="J2295" i="6"/>
  <c r="F2295" i="6"/>
  <c r="J2294" i="6"/>
  <c r="F2294" i="6"/>
  <c r="J2293" i="6"/>
  <c r="F2293" i="6"/>
  <c r="J2292" i="6"/>
  <c r="F2292" i="6"/>
  <c r="J2290" i="6"/>
  <c r="J2289" i="6"/>
  <c r="F2289" i="6"/>
  <c r="J2288" i="6"/>
  <c r="F2288" i="6"/>
  <c r="J2286" i="6"/>
  <c r="J2285" i="6"/>
  <c r="F2285" i="6"/>
  <c r="J2284" i="6"/>
  <c r="F2284" i="6"/>
  <c r="J2283" i="6"/>
  <c r="F2283" i="6"/>
  <c r="J2282" i="6"/>
  <c r="F2282" i="6"/>
  <c r="J2280" i="6"/>
  <c r="J2279" i="6"/>
  <c r="F2279" i="6"/>
  <c r="J2278" i="6"/>
  <c r="F2278" i="6"/>
  <c r="J2276" i="6"/>
  <c r="J2275" i="6"/>
  <c r="F2275" i="6"/>
  <c r="J2274" i="6"/>
  <c r="F2274" i="6"/>
  <c r="J2273" i="6"/>
  <c r="F2273" i="6"/>
  <c r="J2272" i="6"/>
  <c r="F2272" i="6"/>
  <c r="J2270" i="6"/>
  <c r="J2269" i="6"/>
  <c r="F2269" i="6"/>
  <c r="J2268" i="6"/>
  <c r="F2268" i="6"/>
  <c r="J2266" i="6"/>
  <c r="J2265" i="6"/>
  <c r="F2265" i="6"/>
  <c r="J2264" i="6"/>
  <c r="F2264" i="6"/>
  <c r="J2263" i="6"/>
  <c r="F2263" i="6"/>
  <c r="J2262" i="6"/>
  <c r="F2262" i="6"/>
  <c r="J2261" i="6"/>
  <c r="F2261" i="6"/>
  <c r="J2260" i="6"/>
  <c r="F2260" i="6"/>
  <c r="J2259" i="6"/>
  <c r="F2259" i="6"/>
  <c r="J2258" i="6"/>
  <c r="F2258" i="6"/>
  <c r="J2257" i="6"/>
  <c r="F2257" i="6"/>
  <c r="J2256" i="6"/>
  <c r="F2256" i="6"/>
  <c r="J2255" i="6"/>
  <c r="F2255" i="6"/>
  <c r="J2254" i="6"/>
  <c r="F2254" i="6"/>
  <c r="J2253" i="6"/>
  <c r="F2253" i="6"/>
  <c r="J2252" i="6"/>
  <c r="J2251" i="6"/>
  <c r="F2251" i="6"/>
  <c r="J2250" i="6"/>
  <c r="F2250" i="6"/>
  <c r="J2248" i="6"/>
  <c r="J2247" i="6"/>
  <c r="F2247" i="6"/>
  <c r="J2246" i="6"/>
  <c r="F2246" i="6"/>
  <c r="J2245" i="6"/>
  <c r="F2245" i="6"/>
  <c r="J2244" i="6"/>
  <c r="F2244" i="6"/>
  <c r="J2243" i="6"/>
  <c r="J2242" i="6"/>
  <c r="F2242" i="6"/>
  <c r="J2241" i="6"/>
  <c r="F2241" i="6"/>
  <c r="J2240" i="6"/>
  <c r="F2240" i="6"/>
  <c r="J2239" i="6"/>
  <c r="F2239" i="6"/>
  <c r="J2238" i="6"/>
  <c r="J2237" i="6"/>
  <c r="F2237" i="6"/>
  <c r="J2236" i="6"/>
  <c r="F2236" i="6"/>
  <c r="J2235" i="6"/>
  <c r="J2234" i="6"/>
  <c r="F2234" i="6"/>
  <c r="J2233" i="6"/>
  <c r="F2233" i="6"/>
  <c r="J2232" i="6"/>
  <c r="J2231" i="6"/>
  <c r="F2231" i="6"/>
  <c r="J2230" i="6"/>
  <c r="F2230" i="6"/>
  <c r="J2229" i="6"/>
  <c r="J2228" i="6"/>
  <c r="F2228" i="6"/>
  <c r="J2226" i="6"/>
  <c r="J2225" i="6"/>
  <c r="F2225" i="6"/>
  <c r="J2224" i="6"/>
  <c r="F2224" i="6"/>
  <c r="J2223" i="6"/>
  <c r="J2222" i="6"/>
  <c r="F2222" i="6"/>
  <c r="J2221" i="6"/>
  <c r="J2220" i="6"/>
  <c r="F2220" i="6"/>
  <c r="J2218" i="6"/>
  <c r="J2217" i="6"/>
  <c r="F2217" i="6"/>
  <c r="J2216" i="6"/>
  <c r="F2216" i="6"/>
  <c r="J2215" i="6"/>
  <c r="J2214" i="6"/>
  <c r="F2214" i="6"/>
  <c r="J2212" i="6"/>
  <c r="J2211" i="6"/>
  <c r="F2211" i="6"/>
  <c r="J2210" i="6"/>
  <c r="F2210" i="6"/>
  <c r="J2208" i="6"/>
  <c r="J2207" i="6"/>
  <c r="F2207" i="6"/>
  <c r="J2206" i="6"/>
  <c r="F2206" i="6"/>
  <c r="X2205" i="6"/>
  <c r="J2205" i="6"/>
  <c r="F2205" i="6"/>
  <c r="X2204" i="6"/>
  <c r="J2204" i="6"/>
  <c r="F2204" i="6"/>
  <c r="X2203" i="6"/>
  <c r="J2203" i="6"/>
  <c r="F2203" i="6"/>
  <c r="X2202" i="6"/>
  <c r="J2202" i="6"/>
  <c r="F2202" i="6"/>
  <c r="X2201" i="6"/>
  <c r="J2201" i="6"/>
  <c r="F2201" i="6"/>
  <c r="X2200" i="6"/>
  <c r="J2200" i="6"/>
  <c r="F2200" i="6"/>
  <c r="X2199" i="6"/>
  <c r="J2199" i="6"/>
  <c r="F2199" i="6"/>
  <c r="X2198" i="6"/>
  <c r="J2198" i="6"/>
  <c r="F2198" i="6"/>
  <c r="X2197" i="6"/>
  <c r="J2197" i="6"/>
  <c r="F2197" i="6"/>
  <c r="X2196" i="6"/>
  <c r="J2196" i="6"/>
  <c r="F2196" i="6"/>
  <c r="X2195" i="6"/>
  <c r="J2195" i="6"/>
  <c r="F2195" i="6"/>
  <c r="X2194" i="6"/>
  <c r="J2194" i="6"/>
  <c r="F2194" i="6"/>
  <c r="J2193" i="6"/>
  <c r="J2192" i="6"/>
  <c r="F2192" i="6"/>
  <c r="J2191" i="6"/>
  <c r="J2190" i="6"/>
  <c r="F2190" i="6"/>
  <c r="J2189" i="6"/>
  <c r="J2188" i="6"/>
  <c r="F2188" i="6"/>
  <c r="J2187" i="6"/>
  <c r="J2186" i="6"/>
  <c r="F2186" i="6"/>
  <c r="J2185" i="6"/>
  <c r="J2184" i="6"/>
  <c r="F2184" i="6"/>
  <c r="J2182" i="6"/>
  <c r="J2181" i="6"/>
  <c r="F2181" i="6"/>
  <c r="J2180" i="6"/>
  <c r="F2180" i="6"/>
  <c r="J2179" i="6"/>
  <c r="J2178" i="6"/>
  <c r="F2178" i="6"/>
  <c r="J2177" i="6"/>
  <c r="F2177" i="6"/>
  <c r="J2176" i="6"/>
  <c r="F2176" i="6"/>
  <c r="J2175" i="6"/>
  <c r="F2175" i="6"/>
  <c r="J2173" i="6"/>
  <c r="J2172" i="6"/>
  <c r="F2172" i="6"/>
  <c r="J2171" i="6"/>
  <c r="F2171" i="6"/>
  <c r="J2169" i="6"/>
  <c r="J2168" i="6"/>
  <c r="F2168" i="6"/>
  <c r="J2167" i="6"/>
  <c r="F2167" i="6"/>
  <c r="J2166" i="6"/>
  <c r="F2166" i="6"/>
  <c r="J2165" i="6"/>
  <c r="F2165" i="6"/>
  <c r="J2164" i="6"/>
  <c r="F2164" i="6"/>
  <c r="J2162" i="6"/>
  <c r="J2161" i="6"/>
  <c r="F2161" i="6"/>
  <c r="J2160" i="6"/>
  <c r="F2160" i="6"/>
  <c r="J2158" i="6"/>
  <c r="J2157" i="6"/>
  <c r="F2157" i="6"/>
  <c r="J2156" i="6"/>
  <c r="F2156" i="6"/>
  <c r="J2155" i="6"/>
  <c r="F2155" i="6"/>
  <c r="J2154" i="6"/>
  <c r="F2154" i="6"/>
  <c r="J2152" i="6"/>
  <c r="J2151" i="6"/>
  <c r="F2151" i="6"/>
  <c r="J2150" i="6"/>
  <c r="F2150" i="6"/>
  <c r="J2148" i="6"/>
  <c r="J2147" i="6"/>
  <c r="F2147" i="6"/>
  <c r="J2146" i="6"/>
  <c r="F2146" i="6"/>
  <c r="J2145" i="6"/>
  <c r="F2145" i="6"/>
  <c r="J2144" i="6"/>
  <c r="F2144" i="6"/>
  <c r="J2142" i="6"/>
  <c r="J2141" i="6"/>
  <c r="F2141" i="6"/>
  <c r="J2140" i="6"/>
  <c r="F2140" i="6"/>
  <c r="J2138" i="6"/>
  <c r="J2137" i="6"/>
  <c r="F2137" i="6"/>
  <c r="J2136" i="6"/>
  <c r="F2136" i="6"/>
  <c r="J2135" i="6"/>
  <c r="F2135" i="6"/>
  <c r="J2134" i="6"/>
  <c r="F2134" i="6"/>
  <c r="J2133" i="6"/>
  <c r="F2133" i="6"/>
  <c r="J2132" i="6"/>
  <c r="F2132" i="6"/>
  <c r="J2131" i="6"/>
  <c r="F2131" i="6"/>
  <c r="J2130" i="6"/>
  <c r="F2130" i="6"/>
  <c r="J2129" i="6"/>
  <c r="F2129" i="6"/>
  <c r="J2128" i="6"/>
  <c r="F2128" i="6"/>
  <c r="J2127" i="6"/>
  <c r="F2127" i="6"/>
  <c r="J2126" i="6"/>
  <c r="F2126" i="6"/>
  <c r="J2125" i="6"/>
  <c r="F2125" i="6"/>
  <c r="J2124" i="6"/>
  <c r="J2123" i="6"/>
  <c r="F2123" i="6"/>
  <c r="J2122" i="6"/>
  <c r="F2122" i="6"/>
  <c r="J2120" i="6"/>
  <c r="J2119" i="6"/>
  <c r="F2119" i="6"/>
  <c r="J2118" i="6"/>
  <c r="F2118" i="6"/>
  <c r="J2117" i="6"/>
  <c r="F2117" i="6"/>
  <c r="J2116" i="6"/>
  <c r="F2116" i="6"/>
  <c r="J2115" i="6"/>
  <c r="J2114" i="6"/>
  <c r="F2114" i="6"/>
  <c r="J2113" i="6"/>
  <c r="F2113" i="6"/>
  <c r="J2112" i="6"/>
  <c r="F2112" i="6"/>
  <c r="J2111" i="6"/>
  <c r="F2111" i="6"/>
  <c r="J2110" i="6"/>
  <c r="J2109" i="6"/>
  <c r="F2109" i="6"/>
  <c r="J2108" i="6"/>
  <c r="F2108" i="6"/>
  <c r="J2107" i="6"/>
  <c r="J2106" i="6"/>
  <c r="F2106" i="6"/>
  <c r="J2105" i="6"/>
  <c r="F2105" i="6"/>
  <c r="J2104" i="6"/>
  <c r="J2103" i="6"/>
  <c r="F2103" i="6"/>
  <c r="J2102" i="6"/>
  <c r="F2102" i="6"/>
  <c r="J2101" i="6"/>
  <c r="J2100" i="6"/>
  <c r="F2100" i="6"/>
  <c r="J2098" i="6"/>
  <c r="J2097" i="6"/>
  <c r="F2097" i="6"/>
  <c r="J2096" i="6"/>
  <c r="F2096" i="6"/>
  <c r="J2095" i="6"/>
  <c r="J2094" i="6"/>
  <c r="F2094" i="6"/>
  <c r="J2093" i="6"/>
  <c r="J2092" i="6"/>
  <c r="F2092" i="6"/>
  <c r="J2090" i="6"/>
  <c r="J2089" i="6"/>
  <c r="F2089" i="6"/>
  <c r="J2088" i="6"/>
  <c r="F2088" i="6"/>
  <c r="J2087" i="6"/>
  <c r="J2086" i="6"/>
  <c r="F2086" i="6"/>
  <c r="J2084" i="6"/>
  <c r="J2083" i="6"/>
  <c r="F2083" i="6"/>
  <c r="J2082" i="6"/>
  <c r="F2082" i="6"/>
  <c r="J2080" i="6"/>
  <c r="J2079" i="6"/>
  <c r="F2079" i="6"/>
  <c r="J2078" i="6"/>
  <c r="F2078" i="6"/>
  <c r="J2077" i="6"/>
  <c r="F2077" i="6"/>
  <c r="J2076" i="6"/>
  <c r="F2076" i="6"/>
  <c r="J2075" i="6"/>
  <c r="F2075" i="6"/>
  <c r="J2074" i="6"/>
  <c r="F2074" i="6"/>
  <c r="J2073" i="6"/>
  <c r="F2073" i="6"/>
  <c r="J2072" i="6"/>
  <c r="F2072" i="6"/>
  <c r="J2071" i="6"/>
  <c r="F2071" i="6"/>
  <c r="J2070" i="6"/>
  <c r="F2070" i="6"/>
  <c r="J2069" i="6"/>
  <c r="F2069" i="6"/>
  <c r="J2068" i="6"/>
  <c r="F2068" i="6"/>
  <c r="J2067" i="6"/>
  <c r="F2067" i="6"/>
  <c r="J2066" i="6"/>
  <c r="F2066" i="6"/>
  <c r="J2065" i="6"/>
  <c r="J2064" i="6"/>
  <c r="F2064" i="6"/>
  <c r="J2063" i="6"/>
  <c r="J2062" i="6"/>
  <c r="F2062" i="6"/>
  <c r="J2061" i="6"/>
  <c r="J2060" i="6"/>
  <c r="F2060" i="6"/>
  <c r="J2059" i="6"/>
  <c r="J2058" i="6"/>
  <c r="F2058" i="6"/>
  <c r="J2057" i="6"/>
  <c r="J2056" i="6"/>
  <c r="F2056" i="6"/>
  <c r="J2054" i="6"/>
  <c r="J2053" i="6"/>
  <c r="F2053" i="6"/>
  <c r="J2052" i="6"/>
  <c r="F2052" i="6"/>
  <c r="J2051" i="6"/>
  <c r="J2050" i="6"/>
  <c r="F2050" i="6"/>
  <c r="J2049" i="6"/>
  <c r="F2049" i="6"/>
  <c r="J2048" i="6"/>
  <c r="F2048" i="6"/>
  <c r="J2047" i="6"/>
  <c r="F2047" i="6"/>
  <c r="J2045" i="6"/>
  <c r="J2044" i="6"/>
  <c r="F2044" i="6"/>
  <c r="J2043" i="6"/>
  <c r="F2043" i="6"/>
  <c r="J2041" i="6"/>
  <c r="J2040" i="6"/>
  <c r="F2040" i="6"/>
  <c r="J2039" i="6"/>
  <c r="F2039" i="6"/>
  <c r="J2038" i="6"/>
  <c r="F2038" i="6"/>
  <c r="J2037" i="6"/>
  <c r="F2037" i="6"/>
  <c r="J2036" i="6"/>
  <c r="F2036" i="6"/>
  <c r="J2034" i="6"/>
  <c r="J2033" i="6"/>
  <c r="F2033" i="6"/>
  <c r="J2032" i="6"/>
  <c r="F2032" i="6"/>
  <c r="J2030" i="6"/>
  <c r="J2029" i="6"/>
  <c r="F2029" i="6"/>
  <c r="J2028" i="6"/>
  <c r="F2028" i="6"/>
  <c r="J2027" i="6"/>
  <c r="F2027" i="6"/>
  <c r="J2026" i="6"/>
  <c r="F2026" i="6"/>
  <c r="J2024" i="6"/>
  <c r="J2023" i="6"/>
  <c r="F2023" i="6"/>
  <c r="J2022" i="6"/>
  <c r="F2022" i="6"/>
  <c r="J2020" i="6"/>
  <c r="J2019" i="6"/>
  <c r="F2019" i="6"/>
  <c r="J2018" i="6"/>
  <c r="F2018" i="6"/>
  <c r="J2017" i="6"/>
  <c r="F2017" i="6"/>
  <c r="J2016" i="6"/>
  <c r="F2016" i="6"/>
  <c r="J2014" i="6"/>
  <c r="J2013" i="6"/>
  <c r="F2013" i="6"/>
  <c r="J2012" i="6"/>
  <c r="F2012" i="6"/>
  <c r="J2010" i="6"/>
  <c r="J2009" i="6"/>
  <c r="F2009" i="6"/>
  <c r="J2008" i="6"/>
  <c r="F2008" i="6"/>
  <c r="J2007" i="6"/>
  <c r="F2007" i="6"/>
  <c r="J2006" i="6"/>
  <c r="F2006" i="6"/>
  <c r="J2005" i="6"/>
  <c r="F2005" i="6"/>
  <c r="J2004" i="6"/>
  <c r="F2004" i="6"/>
  <c r="J2003" i="6"/>
  <c r="F2003" i="6"/>
  <c r="J2002" i="6"/>
  <c r="F2002" i="6"/>
  <c r="J2001" i="6"/>
  <c r="F2001" i="6"/>
  <c r="J2000" i="6"/>
  <c r="F2000" i="6"/>
  <c r="J1999" i="6"/>
  <c r="F1999" i="6"/>
  <c r="J1998" i="6"/>
  <c r="F1998" i="6"/>
  <c r="J1997" i="6"/>
  <c r="F1997" i="6"/>
  <c r="J1996" i="6"/>
  <c r="J1995" i="6"/>
  <c r="F1995" i="6"/>
  <c r="J1994" i="6"/>
  <c r="F1994" i="6"/>
  <c r="J1992" i="6"/>
  <c r="J1991" i="6"/>
  <c r="F1991" i="6"/>
  <c r="J1990" i="6"/>
  <c r="F1990" i="6"/>
  <c r="J1989" i="6"/>
  <c r="F1989" i="6"/>
  <c r="J1988" i="6"/>
  <c r="F1988" i="6"/>
  <c r="J1987" i="6"/>
  <c r="J1986" i="6"/>
  <c r="F1986" i="6"/>
  <c r="J1985" i="6"/>
  <c r="F1985" i="6"/>
  <c r="J1984" i="6"/>
  <c r="F1984" i="6"/>
  <c r="J1983" i="6"/>
  <c r="F1983" i="6"/>
  <c r="J1982" i="6"/>
  <c r="J1981" i="6"/>
  <c r="F1981" i="6"/>
  <c r="J1980" i="6"/>
  <c r="F1980" i="6"/>
  <c r="J1979" i="6"/>
  <c r="J1978" i="6"/>
  <c r="F1978" i="6"/>
  <c r="J1977" i="6"/>
  <c r="F1977" i="6"/>
  <c r="J1976" i="6"/>
  <c r="J1975" i="6"/>
  <c r="F1975" i="6"/>
  <c r="J1974" i="6"/>
  <c r="F1974" i="6"/>
  <c r="J1973" i="6"/>
  <c r="J1972" i="6"/>
  <c r="F1972" i="6"/>
  <c r="J1970" i="6"/>
  <c r="J1969" i="6"/>
  <c r="F1969" i="6"/>
  <c r="J1968" i="6"/>
  <c r="F1968" i="6"/>
  <c r="J1967" i="6"/>
  <c r="J1966" i="6"/>
  <c r="F1966" i="6"/>
  <c r="J1965" i="6"/>
  <c r="J1964" i="6"/>
  <c r="F1964" i="6"/>
  <c r="J1962" i="6"/>
  <c r="J1961" i="6"/>
  <c r="F1961" i="6"/>
  <c r="J1960" i="6"/>
  <c r="F1960" i="6"/>
  <c r="J1959" i="6"/>
  <c r="J1958" i="6"/>
  <c r="F1958" i="6"/>
  <c r="J1956" i="6"/>
  <c r="J1955" i="6"/>
  <c r="F1955" i="6"/>
  <c r="J1954" i="6"/>
  <c r="F1954" i="6"/>
  <c r="J1952" i="6"/>
  <c r="J1951" i="6"/>
  <c r="F1951" i="6"/>
  <c r="J1950" i="6"/>
  <c r="F1950" i="6"/>
  <c r="J1949" i="6"/>
  <c r="F1949" i="6"/>
  <c r="J1948" i="6"/>
  <c r="F1948" i="6"/>
  <c r="J1947" i="6"/>
  <c r="F1947" i="6"/>
  <c r="J1946" i="6"/>
  <c r="F1946" i="6"/>
  <c r="J1945" i="6"/>
  <c r="F1945" i="6"/>
  <c r="J1944" i="6"/>
  <c r="F1944" i="6"/>
  <c r="J1943" i="6"/>
  <c r="F1943" i="6"/>
  <c r="J1942" i="6"/>
  <c r="F1942" i="6"/>
  <c r="J1941" i="6"/>
  <c r="F1941" i="6"/>
  <c r="J1940" i="6"/>
  <c r="F1940" i="6"/>
  <c r="J1939" i="6"/>
  <c r="F1939" i="6"/>
  <c r="J1938" i="6"/>
  <c r="F1938" i="6"/>
  <c r="J1937" i="6"/>
  <c r="J1936" i="6"/>
  <c r="F1936" i="6"/>
  <c r="J1935" i="6"/>
  <c r="J1934" i="6"/>
  <c r="F1934" i="6"/>
  <c r="J1933" i="6"/>
  <c r="J1932" i="6"/>
  <c r="F1932" i="6"/>
  <c r="J1931" i="6"/>
  <c r="J1930" i="6"/>
  <c r="F1930" i="6"/>
  <c r="J1929" i="6"/>
  <c r="J1928" i="6"/>
  <c r="F1928" i="6"/>
  <c r="J1926" i="6"/>
  <c r="J1925" i="6"/>
  <c r="F1925" i="6"/>
  <c r="J1924" i="6"/>
  <c r="F1924" i="6"/>
  <c r="J1923" i="6"/>
  <c r="J1922" i="6"/>
  <c r="F1922" i="6"/>
  <c r="J1921" i="6"/>
  <c r="F1921" i="6"/>
  <c r="J1920" i="6"/>
  <c r="F1920" i="6"/>
  <c r="J1919" i="6"/>
  <c r="F1919" i="6"/>
  <c r="J1917" i="6"/>
  <c r="J1916" i="6"/>
  <c r="F1916" i="6"/>
  <c r="J1915" i="6"/>
  <c r="F1915" i="6"/>
  <c r="J1913" i="6"/>
  <c r="J1912" i="6"/>
  <c r="F1912" i="6"/>
  <c r="J1911" i="6"/>
  <c r="F1911" i="6"/>
  <c r="J1910" i="6"/>
  <c r="F1910" i="6"/>
  <c r="J1909" i="6"/>
  <c r="F1909" i="6"/>
  <c r="J1908" i="6"/>
  <c r="F1908" i="6"/>
  <c r="J1906" i="6"/>
  <c r="J1905" i="6"/>
  <c r="F1905" i="6"/>
  <c r="J1904" i="6"/>
  <c r="F1904" i="6"/>
  <c r="J1902" i="6"/>
  <c r="J1901" i="6"/>
  <c r="F1901" i="6"/>
  <c r="J1900" i="6"/>
  <c r="F1900" i="6"/>
  <c r="J1899" i="6"/>
  <c r="F1899" i="6"/>
  <c r="J1898" i="6"/>
  <c r="F1898" i="6"/>
  <c r="J1896" i="6"/>
  <c r="J1895" i="6"/>
  <c r="F1895" i="6"/>
  <c r="J1894" i="6"/>
  <c r="F1894" i="6"/>
  <c r="J1892" i="6"/>
  <c r="J1891" i="6"/>
  <c r="F1891" i="6"/>
  <c r="J1890" i="6"/>
  <c r="F1890" i="6"/>
  <c r="J1889" i="6"/>
  <c r="F1889" i="6"/>
  <c r="J1888" i="6"/>
  <c r="F1888" i="6"/>
  <c r="J1886" i="6"/>
  <c r="J1885" i="6"/>
  <c r="F1885" i="6"/>
  <c r="J1884" i="6"/>
  <c r="F1884" i="6"/>
  <c r="J1882" i="6"/>
  <c r="J1881" i="6"/>
  <c r="F1881" i="6"/>
  <c r="J1880" i="6"/>
  <c r="F1880" i="6"/>
  <c r="J1879" i="6"/>
  <c r="F1879" i="6"/>
  <c r="J1878" i="6"/>
  <c r="F1878" i="6"/>
  <c r="J1877" i="6"/>
  <c r="F1877" i="6"/>
  <c r="J1876" i="6"/>
  <c r="F1876" i="6"/>
  <c r="J1875" i="6"/>
  <c r="F1875" i="6"/>
  <c r="J1874" i="6"/>
  <c r="F1874" i="6"/>
  <c r="J1873" i="6"/>
  <c r="F1873" i="6"/>
  <c r="J1872" i="6"/>
  <c r="F1872" i="6"/>
  <c r="J1871" i="6"/>
  <c r="F1871" i="6"/>
  <c r="J1870" i="6"/>
  <c r="F1870" i="6"/>
  <c r="J1869" i="6"/>
  <c r="F1869" i="6"/>
  <c r="J1868" i="6"/>
  <c r="J1867" i="6"/>
  <c r="F1867" i="6"/>
  <c r="J1866" i="6"/>
  <c r="F1866" i="6"/>
  <c r="J1864" i="6"/>
  <c r="J1863" i="6"/>
  <c r="F1863" i="6"/>
  <c r="J1862" i="6"/>
  <c r="F1862" i="6"/>
  <c r="J1861" i="6"/>
  <c r="F1861" i="6"/>
  <c r="J1860" i="6"/>
  <c r="F1860" i="6"/>
  <c r="J1859" i="6"/>
  <c r="J1858" i="6"/>
  <c r="F1858" i="6"/>
  <c r="J1857" i="6"/>
  <c r="F1857" i="6"/>
  <c r="J1856" i="6"/>
  <c r="F1856" i="6"/>
  <c r="J1855" i="6"/>
  <c r="F1855" i="6"/>
  <c r="J1854" i="6"/>
  <c r="J1853" i="6"/>
  <c r="F1853" i="6"/>
  <c r="J1852" i="6"/>
  <c r="F1852" i="6"/>
  <c r="J1851" i="6"/>
  <c r="J1850" i="6"/>
  <c r="F1850" i="6"/>
  <c r="J1849" i="6"/>
  <c r="F1849" i="6"/>
  <c r="J1848" i="6"/>
  <c r="J1847" i="6"/>
  <c r="F1847" i="6"/>
  <c r="J1846" i="6"/>
  <c r="F1846" i="6"/>
  <c r="J1845" i="6"/>
  <c r="J1844" i="6"/>
  <c r="F1844" i="6"/>
  <c r="J1842" i="6"/>
  <c r="J1841" i="6"/>
  <c r="F1841" i="6"/>
  <c r="J1840" i="6"/>
  <c r="F1840" i="6"/>
  <c r="J1839" i="6"/>
  <c r="J1838" i="6"/>
  <c r="F1838" i="6"/>
  <c r="J1837" i="6"/>
  <c r="J1836" i="6"/>
  <c r="F1836" i="6"/>
  <c r="J1834" i="6"/>
  <c r="J1833" i="6"/>
  <c r="F1833" i="6"/>
  <c r="J1832" i="6"/>
  <c r="F1832" i="6"/>
  <c r="J1831" i="6"/>
  <c r="J1830" i="6"/>
  <c r="F1830" i="6"/>
  <c r="J1828" i="6"/>
  <c r="J1827" i="6"/>
  <c r="F1827" i="6"/>
  <c r="J1826" i="6"/>
  <c r="F1826" i="6"/>
  <c r="J1824" i="6"/>
  <c r="J1823" i="6"/>
  <c r="F1823" i="6"/>
  <c r="J1822" i="6"/>
  <c r="F1822" i="6"/>
  <c r="J1821" i="6"/>
  <c r="F1821" i="6"/>
  <c r="J1820" i="6"/>
  <c r="F1820" i="6"/>
  <c r="J1819" i="6"/>
  <c r="F1819" i="6"/>
  <c r="J1818" i="6"/>
  <c r="F1818" i="6"/>
  <c r="J1817" i="6"/>
  <c r="F1817" i="6"/>
  <c r="J1816" i="6"/>
  <c r="F1816" i="6"/>
  <c r="J1815" i="6"/>
  <c r="F1815" i="6"/>
  <c r="J1814" i="6"/>
  <c r="F1814" i="6"/>
  <c r="J1813" i="6"/>
  <c r="F1813" i="6"/>
  <c r="J1812" i="6"/>
  <c r="F1812" i="6"/>
  <c r="J1811" i="6"/>
  <c r="F1811" i="6"/>
  <c r="J1810" i="6"/>
  <c r="F1810" i="6"/>
  <c r="J1809" i="6"/>
  <c r="L1658" i="6"/>
  <c r="J1808" i="6"/>
  <c r="F1808" i="6"/>
  <c r="J1807" i="6"/>
  <c r="L1654" i="6"/>
  <c r="AJ274" i="15" s="1"/>
  <c r="J1806" i="6"/>
  <c r="F1806" i="6"/>
  <c r="J1805" i="6"/>
  <c r="L1650" i="6"/>
  <c r="J1804" i="6"/>
  <c r="F1804" i="6"/>
  <c r="J1803" i="6"/>
  <c r="L1646" i="6"/>
  <c r="J1802" i="6"/>
  <c r="F1802" i="6"/>
  <c r="J1801" i="6"/>
  <c r="L1642" i="6"/>
  <c r="J1800" i="6"/>
  <c r="F1800" i="6"/>
  <c r="J1798" i="6"/>
  <c r="J1797" i="6"/>
  <c r="F1797" i="6"/>
  <c r="L1634" i="6"/>
  <c r="J1796" i="6"/>
  <c r="F1796" i="6"/>
  <c r="J1795" i="6"/>
  <c r="L1630" i="6"/>
  <c r="J1794" i="6"/>
  <c r="F1794" i="6"/>
  <c r="L1628" i="6"/>
  <c r="AJ263" i="15" s="1"/>
  <c r="J1793" i="6"/>
  <c r="F1793" i="6"/>
  <c r="J1792" i="6"/>
  <c r="F1792" i="6"/>
  <c r="L1624" i="6"/>
  <c r="AJ262" i="15" s="1"/>
  <c r="J1791" i="6"/>
  <c r="F1791" i="6"/>
  <c r="J1789" i="6"/>
  <c r="J1788" i="6"/>
  <c r="F1788" i="6"/>
  <c r="L1616" i="6"/>
  <c r="J1787" i="6"/>
  <c r="F1787" i="6"/>
  <c r="J1785" i="6"/>
  <c r="J1784" i="6"/>
  <c r="F1784" i="6"/>
  <c r="L1608" i="6"/>
  <c r="J1783" i="6"/>
  <c r="F1783" i="6"/>
  <c r="L1606" i="6"/>
  <c r="AJ257" i="15" s="1"/>
  <c r="J1782" i="6"/>
  <c r="F1782" i="6"/>
  <c r="J1781" i="6"/>
  <c r="F1781" i="6"/>
  <c r="L1602" i="6"/>
  <c r="AJ256" i="15" s="1"/>
  <c r="J1780" i="6"/>
  <c r="F1780" i="6"/>
  <c r="J1778" i="6"/>
  <c r="J1777" i="6"/>
  <c r="F1777" i="6"/>
  <c r="L1594" i="6"/>
  <c r="J1776" i="6"/>
  <c r="F1776" i="6"/>
  <c r="J1774" i="6"/>
  <c r="J1773" i="6"/>
  <c r="F1773" i="6"/>
  <c r="L1586" i="6"/>
  <c r="J1772" i="6"/>
  <c r="F1772" i="6"/>
  <c r="J1771" i="6"/>
  <c r="F1771" i="6"/>
  <c r="L1582" i="6"/>
  <c r="AJ251" i="15" s="1"/>
  <c r="J1770" i="6"/>
  <c r="F1770" i="6"/>
  <c r="J1768" i="6"/>
  <c r="J1767" i="6"/>
  <c r="F1767" i="6"/>
  <c r="L1574" i="6"/>
  <c r="J1766" i="6"/>
  <c r="F1766" i="6"/>
  <c r="J1764" i="6"/>
  <c r="J1763" i="6"/>
  <c r="F1763" i="6"/>
  <c r="L1566" i="6"/>
  <c r="J1762" i="6"/>
  <c r="F1762" i="6"/>
  <c r="J1761" i="6"/>
  <c r="F1761" i="6"/>
  <c r="L1562" i="6"/>
  <c r="AJ246" i="15" s="1"/>
  <c r="J1760" i="6"/>
  <c r="F1760" i="6"/>
  <c r="J1758" i="6"/>
  <c r="J1757" i="6"/>
  <c r="F1757" i="6"/>
  <c r="L1554" i="6"/>
  <c r="AJ244" i="15" s="1"/>
  <c r="J1756" i="6"/>
  <c r="F1756" i="6"/>
  <c r="J1754" i="6"/>
  <c r="J1753" i="6"/>
  <c r="F1753" i="6"/>
  <c r="L1546" i="6"/>
  <c r="J1752" i="6"/>
  <c r="F1752" i="6"/>
  <c r="J1751" i="6"/>
  <c r="F1751" i="6"/>
  <c r="L1542" i="6"/>
  <c r="AJ241" i="15" s="1"/>
  <c r="J1750" i="6"/>
  <c r="F1750" i="6"/>
  <c r="L1540" i="6"/>
  <c r="AJ240" i="15" s="1"/>
  <c r="J1749" i="6"/>
  <c r="F1749" i="6"/>
  <c r="J1748" i="6"/>
  <c r="F1748" i="6"/>
  <c r="L1536" i="6"/>
  <c r="AJ239" i="15" s="1"/>
  <c r="J1747" i="6"/>
  <c r="F1747" i="6"/>
  <c r="L1534" i="6"/>
  <c r="AJ238" i="15" s="1"/>
  <c r="J1746" i="6"/>
  <c r="F1746" i="6"/>
  <c r="J1745" i="6"/>
  <c r="F1745" i="6"/>
  <c r="L1530" i="6"/>
  <c r="AJ237" i="15" s="1"/>
  <c r="J1744" i="6"/>
  <c r="F1744" i="6"/>
  <c r="L1528" i="6"/>
  <c r="AJ236" i="15" s="1"/>
  <c r="J1743" i="6"/>
  <c r="F1743" i="6"/>
  <c r="J1742" i="6"/>
  <c r="F1742" i="6"/>
  <c r="L1524" i="6"/>
  <c r="AJ235" i="15" s="1"/>
  <c r="J1741" i="6"/>
  <c r="F1741" i="6"/>
  <c r="J1740" i="6"/>
  <c r="L1520" i="6"/>
  <c r="J1739" i="6"/>
  <c r="F1739" i="6"/>
  <c r="L1518" i="6"/>
  <c r="AJ232" i="15" s="1"/>
  <c r="J1738" i="6"/>
  <c r="F1738" i="6"/>
  <c r="J1736" i="6"/>
  <c r="J1735" i="6"/>
  <c r="F1735" i="6"/>
  <c r="L1510" i="6"/>
  <c r="J1734" i="6"/>
  <c r="F1734" i="6"/>
  <c r="J1733" i="6"/>
  <c r="F1733" i="6"/>
  <c r="L1506" i="6"/>
  <c r="AJ229" i="15" s="1"/>
  <c r="J1732" i="6"/>
  <c r="F1732" i="6"/>
  <c r="J1731" i="6"/>
  <c r="L1502" i="6"/>
  <c r="AJ227" i="15" s="1"/>
  <c r="J1730" i="6"/>
  <c r="F1730" i="6"/>
  <c r="L1500" i="6"/>
  <c r="AJ226" i="15" s="1"/>
  <c r="J1729" i="6"/>
  <c r="F1729" i="6"/>
  <c r="J1728" i="6"/>
  <c r="F1728" i="6"/>
  <c r="L1496" i="6"/>
  <c r="AJ225" i="15" s="1"/>
  <c r="J1727" i="6"/>
  <c r="F1727" i="6"/>
  <c r="J1726" i="6"/>
  <c r="L1492" i="6"/>
  <c r="J1725" i="6"/>
  <c r="F1725" i="6"/>
  <c r="L1490" i="6"/>
  <c r="AJ222" i="15" s="1"/>
  <c r="J1724" i="6"/>
  <c r="F1724" i="6"/>
  <c r="J1723" i="6"/>
  <c r="L1486" i="6"/>
  <c r="J1722" i="6"/>
  <c r="F1722" i="6"/>
  <c r="L1484" i="6"/>
  <c r="AJ219" i="15" s="1"/>
  <c r="J1721" i="6"/>
  <c r="F1721" i="6"/>
  <c r="J1720" i="6"/>
  <c r="L1480" i="6"/>
  <c r="J1719" i="6"/>
  <c r="F1719" i="6"/>
  <c r="L1478" i="6"/>
  <c r="AJ216" i="15" s="1"/>
  <c r="J1718" i="6"/>
  <c r="F1718" i="6"/>
  <c r="J1717" i="6"/>
  <c r="L1474" i="6"/>
  <c r="J1716" i="6"/>
  <c r="F1716" i="6"/>
  <c r="J1714" i="6"/>
  <c r="J1713" i="6"/>
  <c r="F1713" i="6"/>
  <c r="L1466" i="6"/>
  <c r="J1712" i="6"/>
  <c r="F1712" i="6"/>
  <c r="J1711" i="6"/>
  <c r="L1462" i="6"/>
  <c r="AJ210" i="15" s="1"/>
  <c r="J1710" i="6"/>
  <c r="F1710" i="6"/>
  <c r="J1709" i="6"/>
  <c r="J1708" i="6"/>
  <c r="F1708" i="6"/>
  <c r="J1706" i="6"/>
  <c r="J1705" i="6"/>
  <c r="F1705" i="6"/>
  <c r="L1450" i="6"/>
  <c r="J1704" i="6"/>
  <c r="F1704" i="6"/>
  <c r="J1703" i="6"/>
  <c r="L1446" i="6"/>
  <c r="J1702" i="6"/>
  <c r="F1702" i="6"/>
  <c r="J1700" i="6"/>
  <c r="J1699" i="6"/>
  <c r="F1699" i="6"/>
  <c r="L1438" i="6"/>
  <c r="AJ202" i="15" s="1"/>
  <c r="J1698" i="6"/>
  <c r="F1698" i="6"/>
  <c r="R1698" i="6"/>
  <c r="R1697" i="6"/>
  <c r="Q1696" i="6" s="1"/>
  <c r="J1696" i="6"/>
  <c r="J1695" i="6"/>
  <c r="F1695" i="6"/>
  <c r="L1430" i="6"/>
  <c r="AJ200" i="15" s="1"/>
  <c r="J1694" i="6"/>
  <c r="F1694" i="6"/>
  <c r="X1693" i="6"/>
  <c r="X3027" i="6" s="1"/>
  <c r="J1693" i="6"/>
  <c r="F1693" i="6"/>
  <c r="X1692" i="6"/>
  <c r="X3025" i="6" s="1"/>
  <c r="J1692" i="6"/>
  <c r="F1692" i="6"/>
  <c r="X1691" i="6"/>
  <c r="J1691" i="6"/>
  <c r="F1691" i="6"/>
  <c r="X1690" i="6"/>
  <c r="J1690" i="6"/>
  <c r="F1690" i="6"/>
  <c r="X1689" i="6"/>
  <c r="J1689" i="6"/>
  <c r="F1689" i="6"/>
  <c r="X1688" i="6"/>
  <c r="J1688" i="6"/>
  <c r="F1688" i="6"/>
  <c r="X1687" i="6"/>
  <c r="X3015" i="6" s="1"/>
  <c r="R1687" i="6"/>
  <c r="K3167" i="6" s="1"/>
  <c r="K1646" i="6" s="1"/>
  <c r="AB270" i="15" s="1"/>
  <c r="J1687" i="6"/>
  <c r="F1687" i="6"/>
  <c r="X1686" i="6"/>
  <c r="X3013" i="6" s="1"/>
  <c r="J1686" i="6"/>
  <c r="F1686" i="6"/>
  <c r="X1685" i="6"/>
  <c r="J1685" i="6"/>
  <c r="F1685" i="6"/>
  <c r="X1684" i="6"/>
  <c r="J1684" i="6"/>
  <c r="F1684" i="6"/>
  <c r="X1683" i="6"/>
  <c r="J1683" i="6"/>
  <c r="F1683" i="6"/>
  <c r="X1682" i="6"/>
  <c r="J1682" i="6"/>
  <c r="F1682" i="6"/>
  <c r="AG1681" i="6"/>
  <c r="AF1681" i="6"/>
  <c r="AE1681" i="6"/>
  <c r="AD1681" i="6"/>
  <c r="AC1681" i="6"/>
  <c r="AA1681" i="6"/>
  <c r="Z1681" i="6"/>
  <c r="Y1681" i="6"/>
  <c r="X1681" i="6"/>
  <c r="G1661" i="6"/>
  <c r="D277" i="15" s="1"/>
  <c r="E1661" i="6"/>
  <c r="C1661" i="6"/>
  <c r="G1660" i="6"/>
  <c r="E1660" i="6"/>
  <c r="G277" i="15" s="1"/>
  <c r="K1659" i="6"/>
  <c r="K1661" i="6" s="1"/>
  <c r="BE1661" i="6" s="1"/>
  <c r="J1659" i="6"/>
  <c r="J1661" i="6" s="1"/>
  <c r="H1659" i="6"/>
  <c r="H1661" i="6" s="1"/>
  <c r="J1658" i="6"/>
  <c r="X276" i="15" s="1"/>
  <c r="Z276" i="15" s="1"/>
  <c r="H1658" i="6"/>
  <c r="H1660" i="6" s="1"/>
  <c r="G1657" i="6"/>
  <c r="D275" i="15" s="1"/>
  <c r="E1657" i="6"/>
  <c r="C1657" i="6"/>
  <c r="G1656" i="6"/>
  <c r="E1656" i="6"/>
  <c r="G275" i="15" s="1"/>
  <c r="K1655" i="6"/>
  <c r="K1657" i="6" s="1"/>
  <c r="BE1657" i="6" s="1"/>
  <c r="J1655" i="6"/>
  <c r="H1655" i="6"/>
  <c r="H1657" i="6" s="1"/>
  <c r="I1657" i="6" s="1"/>
  <c r="R275" i="15" s="1"/>
  <c r="J1654" i="6"/>
  <c r="J1656" i="6" s="1"/>
  <c r="X275" i="15" s="1"/>
  <c r="Z275" i="15" s="1"/>
  <c r="H1654" i="6"/>
  <c r="H1656" i="6" s="1"/>
  <c r="G1653" i="6"/>
  <c r="E1653" i="6"/>
  <c r="C1653" i="6"/>
  <c r="G1652" i="6"/>
  <c r="E1652" i="6"/>
  <c r="F2061" i="6" s="1"/>
  <c r="K1651" i="6"/>
  <c r="K1653" i="6" s="1"/>
  <c r="BE1653" i="6" s="1"/>
  <c r="J1651" i="6"/>
  <c r="J1653" i="6" s="1"/>
  <c r="H1651" i="6"/>
  <c r="H1653" i="6" s="1"/>
  <c r="J1650" i="6"/>
  <c r="X272" i="15" s="1"/>
  <c r="Z272" i="15" s="1"/>
  <c r="H1650" i="6"/>
  <c r="H1652" i="6" s="1"/>
  <c r="I1652" i="6" s="1"/>
  <c r="Q273" i="15" s="1"/>
  <c r="G1649" i="6"/>
  <c r="D271" i="15" s="1"/>
  <c r="E1649" i="6"/>
  <c r="C1649" i="6"/>
  <c r="G1648" i="6"/>
  <c r="E1648" i="6"/>
  <c r="G271" i="15" s="1"/>
  <c r="K1647" i="6"/>
  <c r="K1649" i="6" s="1"/>
  <c r="BE1649" i="6" s="1"/>
  <c r="J1647" i="6"/>
  <c r="BC1647" i="6" s="1"/>
  <c r="H1647" i="6"/>
  <c r="H1649" i="6" s="1"/>
  <c r="L270" i="15"/>
  <c r="J1646" i="6"/>
  <c r="X270" i="15" s="1"/>
  <c r="Z270" i="15" s="1"/>
  <c r="H1646" i="6"/>
  <c r="H1648" i="6" s="1"/>
  <c r="G1645" i="6"/>
  <c r="D269" i="15" s="1"/>
  <c r="E1645" i="6"/>
  <c r="C1645" i="6"/>
  <c r="G1644" i="6"/>
  <c r="E1644" i="6"/>
  <c r="K1643" i="6"/>
  <c r="K1645" i="6" s="1"/>
  <c r="BE1645" i="6" s="1"/>
  <c r="J1643" i="6"/>
  <c r="J1645" i="6" s="1"/>
  <c r="H1643" i="6"/>
  <c r="H1645" i="6" s="1"/>
  <c r="J1642" i="6"/>
  <c r="J1644" i="6" s="1"/>
  <c r="X269" i="15" s="1"/>
  <c r="Z269" i="15" s="1"/>
  <c r="H1642" i="6"/>
  <c r="H1644" i="6" s="1"/>
  <c r="G1641" i="6"/>
  <c r="F267" i="15" s="1"/>
  <c r="E1641" i="6"/>
  <c r="G1640" i="6"/>
  <c r="E267" i="15" s="1"/>
  <c r="E1640" i="6"/>
  <c r="F1799" i="6" s="1"/>
  <c r="G1639" i="6"/>
  <c r="D267" i="15" s="1"/>
  <c r="E1639" i="6"/>
  <c r="C1639" i="6"/>
  <c r="G1638" i="6"/>
  <c r="E1638" i="6"/>
  <c r="G267" i="15" s="1"/>
  <c r="K1637" i="6"/>
  <c r="K1641" i="6" s="1"/>
  <c r="BE1641" i="6" s="1"/>
  <c r="J1637" i="6"/>
  <c r="J1641" i="6" s="1"/>
  <c r="H1637" i="6"/>
  <c r="H1641" i="6" s="1"/>
  <c r="K1636" i="6"/>
  <c r="BE1636" i="6" s="1"/>
  <c r="J1636" i="6"/>
  <c r="H1636" i="6"/>
  <c r="H1640" i="6" s="1"/>
  <c r="M266" i="15"/>
  <c r="K1635" i="6"/>
  <c r="K1639" i="6" s="1"/>
  <c r="BE1639" i="6" s="1"/>
  <c r="J1635" i="6"/>
  <c r="H1635" i="6"/>
  <c r="H1639" i="6" s="1"/>
  <c r="L266" i="15"/>
  <c r="J1634" i="6"/>
  <c r="X266" i="15" s="1"/>
  <c r="H1634" i="6"/>
  <c r="H1638" i="6" s="1"/>
  <c r="G1633" i="6"/>
  <c r="D265" i="15" s="1"/>
  <c r="E1633" i="6"/>
  <c r="C1633" i="6"/>
  <c r="G1632" i="6"/>
  <c r="E1632" i="6"/>
  <c r="K1631" i="6"/>
  <c r="K1633" i="6" s="1"/>
  <c r="BE1633" i="6" s="1"/>
  <c r="J1631" i="6"/>
  <c r="BC1631" i="6" s="1"/>
  <c r="BD1631" i="6" s="1"/>
  <c r="AF264" i="15" s="1"/>
  <c r="H1631" i="6"/>
  <c r="J1630" i="6"/>
  <c r="J1632" i="6" s="1"/>
  <c r="X265" i="15" s="1"/>
  <c r="Z265" i="15" s="1"/>
  <c r="H1630" i="6"/>
  <c r="H1632" i="6" s="1"/>
  <c r="K1629" i="6"/>
  <c r="BE1629" i="6" s="1"/>
  <c r="J1629" i="6"/>
  <c r="BC1629" i="6" s="1"/>
  <c r="H1629" i="6"/>
  <c r="L263" i="15"/>
  <c r="J1628" i="6"/>
  <c r="X263" i="15" s="1"/>
  <c r="Z263" i="15" s="1"/>
  <c r="H1628" i="6"/>
  <c r="K263" i="15"/>
  <c r="K1627" i="6"/>
  <c r="BE1627" i="6" s="1"/>
  <c r="J1627" i="6"/>
  <c r="BC1627" i="6" s="1"/>
  <c r="BD1627" i="6" s="1"/>
  <c r="AH262" i="15" s="1"/>
  <c r="H1627" i="6"/>
  <c r="K1626" i="6"/>
  <c r="BE1626" i="6" s="1"/>
  <c r="J1626" i="6"/>
  <c r="BC1626" i="6" s="1"/>
  <c r="BD1626" i="6" s="1"/>
  <c r="AG262" i="15" s="1"/>
  <c r="H1626" i="6"/>
  <c r="K1625" i="6"/>
  <c r="BE1625" i="6" s="1"/>
  <c r="J1625" i="6"/>
  <c r="BC1625" i="6" s="1"/>
  <c r="H1625" i="6"/>
  <c r="J1624" i="6"/>
  <c r="X262" i="15" s="1"/>
  <c r="H1624" i="6"/>
  <c r="G1623" i="6"/>
  <c r="F261" i="15" s="1"/>
  <c r="E1623" i="6"/>
  <c r="G1622" i="6"/>
  <c r="E261" i="15" s="1"/>
  <c r="E1622" i="6"/>
  <c r="F2046" i="6" s="1"/>
  <c r="G1621" i="6"/>
  <c r="D261" i="15" s="1"/>
  <c r="E1621" i="6"/>
  <c r="C1621" i="6"/>
  <c r="C1622" i="6" s="1"/>
  <c r="G1620" i="6"/>
  <c r="E1620" i="6"/>
  <c r="G261" i="15" s="1"/>
  <c r="K1619" i="6"/>
  <c r="BE1619" i="6" s="1"/>
  <c r="J1619" i="6"/>
  <c r="J1623" i="6" s="1"/>
  <c r="H1619" i="6"/>
  <c r="H1623" i="6" s="1"/>
  <c r="K1618" i="6"/>
  <c r="BE1618" i="6" s="1"/>
  <c r="J1618" i="6"/>
  <c r="BC1618" i="6" s="1"/>
  <c r="BD1618" i="6" s="1"/>
  <c r="AG260" i="15" s="1"/>
  <c r="H1618" i="6"/>
  <c r="H1622" i="6" s="1"/>
  <c r="K1617" i="6"/>
  <c r="K1621" i="6" s="1"/>
  <c r="BE1621" i="6" s="1"/>
  <c r="J1617" i="6"/>
  <c r="H1617" i="6"/>
  <c r="H1621" i="6" s="1"/>
  <c r="J1616" i="6"/>
  <c r="J1620" i="6" s="1"/>
  <c r="H1616" i="6"/>
  <c r="H1620" i="6" s="1"/>
  <c r="G1615" i="6"/>
  <c r="F259" i="15" s="1"/>
  <c r="E1615" i="6"/>
  <c r="G1614" i="6"/>
  <c r="E259" i="15" s="1"/>
  <c r="E1614" i="6"/>
  <c r="G1613" i="6"/>
  <c r="E1613" i="6"/>
  <c r="C1613" i="6"/>
  <c r="G1612" i="6"/>
  <c r="E1612" i="6"/>
  <c r="G259" i="15" s="1"/>
  <c r="K1611" i="6"/>
  <c r="BE1611" i="6" s="1"/>
  <c r="J1611" i="6"/>
  <c r="BC1611" i="6" s="1"/>
  <c r="BD1611" i="6" s="1"/>
  <c r="AH258" i="15" s="1"/>
  <c r="H1611" i="6"/>
  <c r="H1615" i="6" s="1"/>
  <c r="K1610" i="6"/>
  <c r="J1610" i="6"/>
  <c r="H1610" i="6"/>
  <c r="H1614" i="6" s="1"/>
  <c r="M258" i="15"/>
  <c r="K1609" i="6"/>
  <c r="J1609" i="6"/>
  <c r="J1613" i="6" s="1"/>
  <c r="H1609" i="6"/>
  <c r="H1613" i="6" s="1"/>
  <c r="I1613" i="6" s="1"/>
  <c r="R259" i="15" s="1"/>
  <c r="J1608" i="6"/>
  <c r="X258" i="15" s="1"/>
  <c r="H1608" i="6"/>
  <c r="K1607" i="6"/>
  <c r="BE1607" i="6" s="1"/>
  <c r="J1607" i="6"/>
  <c r="BC1607" i="6" s="1"/>
  <c r="BD1607" i="6" s="1"/>
  <c r="AF257" i="15" s="1"/>
  <c r="H1607" i="6"/>
  <c r="J1606" i="6"/>
  <c r="BC1606" i="6" s="1"/>
  <c r="H1606" i="6"/>
  <c r="K1605" i="6"/>
  <c r="BE1605" i="6" s="1"/>
  <c r="J1605" i="6"/>
  <c r="BC1605" i="6" s="1"/>
  <c r="H1605" i="6"/>
  <c r="K1604" i="6"/>
  <c r="BE1604" i="6" s="1"/>
  <c r="J1604" i="6"/>
  <c r="BC1604" i="6" s="1"/>
  <c r="H1604" i="6"/>
  <c r="K1603" i="6"/>
  <c r="BE1603" i="6" s="1"/>
  <c r="J1603" i="6"/>
  <c r="BC1603" i="6" s="1"/>
  <c r="H1603" i="6"/>
  <c r="J1602" i="6"/>
  <c r="H1602" i="6"/>
  <c r="I1602" i="6" s="1"/>
  <c r="Q256" i="15" s="1"/>
  <c r="G1601" i="6"/>
  <c r="F255" i="15" s="1"/>
  <c r="E1601" i="6"/>
  <c r="G1600" i="6"/>
  <c r="E255" i="15" s="1"/>
  <c r="E1600" i="6"/>
  <c r="G1599" i="6"/>
  <c r="D255" i="15" s="1"/>
  <c r="E1599" i="6"/>
  <c r="C1599" i="6"/>
  <c r="G1598" i="6"/>
  <c r="A1598" i="6" s="1"/>
  <c r="E1598" i="6"/>
  <c r="G255" i="15" s="1"/>
  <c r="K1597" i="6"/>
  <c r="K1601" i="6" s="1"/>
  <c r="BE1601" i="6" s="1"/>
  <c r="J1597" i="6"/>
  <c r="H1597" i="6"/>
  <c r="H1601" i="6" s="1"/>
  <c r="K1596" i="6"/>
  <c r="K1600" i="6" s="1"/>
  <c r="BE1600" i="6" s="1"/>
  <c r="J1596" i="6"/>
  <c r="Y254" i="15" s="1"/>
  <c r="H1596" i="6"/>
  <c r="H1600" i="6" s="1"/>
  <c r="K1595" i="6"/>
  <c r="J1595" i="6"/>
  <c r="J1599" i="6" s="1"/>
  <c r="BC1599" i="6" s="1"/>
  <c r="H1595" i="6"/>
  <c r="H1599" i="6" s="1"/>
  <c r="L254" i="15"/>
  <c r="J1594" i="6"/>
  <c r="X254" i="15" s="1"/>
  <c r="H1594" i="6"/>
  <c r="I1594" i="6" s="1"/>
  <c r="Q254" i="15" s="1"/>
  <c r="K254" i="15"/>
  <c r="G1593" i="6"/>
  <c r="F253" i="15" s="1"/>
  <c r="E1593" i="6"/>
  <c r="G1592" i="6"/>
  <c r="E253" i="15" s="1"/>
  <c r="E1592" i="6"/>
  <c r="F1775" i="6" s="1"/>
  <c r="G1591" i="6"/>
  <c r="D253" i="15" s="1"/>
  <c r="E1591" i="6"/>
  <c r="C1591" i="6"/>
  <c r="G1590" i="6"/>
  <c r="E1590" i="6"/>
  <c r="G253" i="15" s="1"/>
  <c r="K1589" i="6"/>
  <c r="K1593" i="6" s="1"/>
  <c r="BE1593" i="6" s="1"/>
  <c r="J1589" i="6"/>
  <c r="H1589" i="6"/>
  <c r="H1593" i="6" s="1"/>
  <c r="K1588" i="6"/>
  <c r="K1592" i="6" s="1"/>
  <c r="BE1592" i="6" s="1"/>
  <c r="J1588" i="6"/>
  <c r="H1588" i="6"/>
  <c r="H1592" i="6" s="1"/>
  <c r="M252" i="15"/>
  <c r="K1587" i="6"/>
  <c r="K1591" i="6" s="1"/>
  <c r="BE1591" i="6" s="1"/>
  <c r="J1587" i="6"/>
  <c r="H1587" i="6"/>
  <c r="H1591" i="6" s="1"/>
  <c r="J1586" i="6"/>
  <c r="X252" i="15" s="1"/>
  <c r="H1586" i="6"/>
  <c r="H1590" i="6" s="1"/>
  <c r="K1585" i="6"/>
  <c r="BE1585" i="6" s="1"/>
  <c r="J1585" i="6"/>
  <c r="BC1585" i="6" s="1"/>
  <c r="BD1585" i="6" s="1"/>
  <c r="AH251" i="15" s="1"/>
  <c r="H1585" i="6"/>
  <c r="K1584" i="6"/>
  <c r="BE1584" i="6" s="1"/>
  <c r="J1584" i="6"/>
  <c r="H1584" i="6"/>
  <c r="K1583" i="6"/>
  <c r="BE1583" i="6" s="1"/>
  <c r="J1583" i="6"/>
  <c r="BC1583" i="6" s="1"/>
  <c r="BD1583" i="6" s="1"/>
  <c r="AF251" i="15" s="1"/>
  <c r="H1583" i="6"/>
  <c r="I1583" i="6" s="1"/>
  <c r="R251" i="15" s="1"/>
  <c r="J1582" i="6"/>
  <c r="H1582" i="6"/>
  <c r="K251" i="15"/>
  <c r="G1581" i="6"/>
  <c r="F250" i="15" s="1"/>
  <c r="E1581" i="6"/>
  <c r="G1580" i="6"/>
  <c r="E250" i="15" s="1"/>
  <c r="E1580" i="6"/>
  <c r="G1579" i="6"/>
  <c r="D250" i="15" s="1"/>
  <c r="E1579" i="6"/>
  <c r="C1579" i="6"/>
  <c r="G1578" i="6"/>
  <c r="E1578" i="6"/>
  <c r="G250" i="15" s="1"/>
  <c r="K1577" i="6"/>
  <c r="J1577" i="6"/>
  <c r="J1581" i="6" s="1"/>
  <c r="H1577" i="6"/>
  <c r="H1581" i="6" s="1"/>
  <c r="N249" i="15"/>
  <c r="K1576" i="6"/>
  <c r="J1576" i="6"/>
  <c r="H1576" i="6"/>
  <c r="H1580" i="6" s="1"/>
  <c r="K1575" i="6"/>
  <c r="K1579" i="6" s="1"/>
  <c r="BE1579" i="6" s="1"/>
  <c r="J1575" i="6"/>
  <c r="BC1575" i="6" s="1"/>
  <c r="BD1575" i="6" s="1"/>
  <c r="AF249" i="15" s="1"/>
  <c r="H1575" i="6"/>
  <c r="H1579" i="6" s="1"/>
  <c r="J1574" i="6"/>
  <c r="H1574" i="6"/>
  <c r="H1578" i="6" s="1"/>
  <c r="G1573" i="6"/>
  <c r="F248" i="15" s="1"/>
  <c r="E1573" i="6"/>
  <c r="G1572" i="6"/>
  <c r="E248" i="15" s="1"/>
  <c r="E1572" i="6"/>
  <c r="G1571" i="6"/>
  <c r="D248" i="15" s="1"/>
  <c r="E1571" i="6"/>
  <c r="C1571" i="6"/>
  <c r="G1570" i="6"/>
  <c r="A1570" i="6" s="1"/>
  <c r="E1570" i="6"/>
  <c r="G248" i="15" s="1"/>
  <c r="K1569" i="6"/>
  <c r="BE1569" i="6" s="1"/>
  <c r="J1569" i="6"/>
  <c r="H1569" i="6"/>
  <c r="H1573" i="6" s="1"/>
  <c r="K1568" i="6"/>
  <c r="K1572" i="6" s="1"/>
  <c r="BE1572" i="6" s="1"/>
  <c r="J1568" i="6"/>
  <c r="J1572" i="6" s="1"/>
  <c r="H1568" i="6"/>
  <c r="K1567" i="6"/>
  <c r="K1571" i="6" s="1"/>
  <c r="BE1571" i="6" s="1"/>
  <c r="J1567" i="6"/>
  <c r="BC1567" i="6" s="1"/>
  <c r="H1567" i="6"/>
  <c r="H1571" i="6" s="1"/>
  <c r="J1566" i="6"/>
  <c r="X247" i="15" s="1"/>
  <c r="H1566" i="6"/>
  <c r="H1570" i="6" s="1"/>
  <c r="K247" i="15"/>
  <c r="K1565" i="6"/>
  <c r="BE1565" i="6" s="1"/>
  <c r="J1565" i="6"/>
  <c r="BC1565" i="6" s="1"/>
  <c r="BD1565" i="6" s="1"/>
  <c r="AH246" i="15" s="1"/>
  <c r="H1565" i="6"/>
  <c r="K1564" i="6"/>
  <c r="BE1564" i="6" s="1"/>
  <c r="J1564" i="6"/>
  <c r="BC1564" i="6" s="1"/>
  <c r="H1564" i="6"/>
  <c r="K1563" i="6"/>
  <c r="BE1563" i="6" s="1"/>
  <c r="J1563" i="6"/>
  <c r="BC1563" i="6" s="1"/>
  <c r="H1563" i="6"/>
  <c r="J1562" i="6"/>
  <c r="BC1562" i="6" s="1"/>
  <c r="BD1562" i="6" s="1"/>
  <c r="AE246" i="15" s="1"/>
  <c r="H1562" i="6"/>
  <c r="K246" i="15"/>
  <c r="G1561" i="6"/>
  <c r="F245" i="15" s="1"/>
  <c r="E1561" i="6"/>
  <c r="G1560" i="6"/>
  <c r="E245" i="15" s="1"/>
  <c r="E1560" i="6"/>
  <c r="F2655" i="6" s="1"/>
  <c r="G1559" i="6"/>
  <c r="D245" i="15" s="1"/>
  <c r="E1559" i="6"/>
  <c r="C1559" i="6"/>
  <c r="G1558" i="6"/>
  <c r="E1558" i="6"/>
  <c r="G245" i="15" s="1"/>
  <c r="K1557" i="6"/>
  <c r="BE1557" i="6" s="1"/>
  <c r="J1557" i="6"/>
  <c r="J1561" i="6" s="1"/>
  <c r="H1557" i="6"/>
  <c r="H1561" i="6" s="1"/>
  <c r="K1556" i="6"/>
  <c r="K1560" i="6" s="1"/>
  <c r="BE1560" i="6" s="1"/>
  <c r="J1556" i="6"/>
  <c r="Y244" i="15" s="1"/>
  <c r="H1556" i="6"/>
  <c r="H1560" i="6" s="1"/>
  <c r="K1555" i="6"/>
  <c r="BE1555" i="6" s="1"/>
  <c r="J1555" i="6"/>
  <c r="BC1555" i="6" s="1"/>
  <c r="BD1555" i="6" s="1"/>
  <c r="AF244" i="15" s="1"/>
  <c r="H1555" i="6"/>
  <c r="H1559" i="6" s="1"/>
  <c r="L244" i="15"/>
  <c r="J1554" i="6"/>
  <c r="J1558" i="6" s="1"/>
  <c r="X245" i="15" s="1"/>
  <c r="H1554" i="6"/>
  <c r="H1558" i="6" s="1"/>
  <c r="K244" i="15"/>
  <c r="G1553" i="6"/>
  <c r="F243" i="15" s="1"/>
  <c r="E1553" i="6"/>
  <c r="G1552" i="6"/>
  <c r="E243" i="15" s="1"/>
  <c r="E1552" i="6"/>
  <c r="G1551" i="6"/>
  <c r="D243" i="15" s="1"/>
  <c r="E1551" i="6"/>
  <c r="C1551" i="6"/>
  <c r="G1550" i="6"/>
  <c r="A1550" i="6" s="1"/>
  <c r="E1550" i="6"/>
  <c r="G243" i="15" s="1"/>
  <c r="K1549" i="6"/>
  <c r="BE1549" i="6" s="1"/>
  <c r="J1549" i="6"/>
  <c r="H1549" i="6"/>
  <c r="H1553" i="6" s="1"/>
  <c r="K1548" i="6"/>
  <c r="K1552" i="6" s="1"/>
  <c r="BE1552" i="6" s="1"/>
  <c r="J1548" i="6"/>
  <c r="H1548" i="6"/>
  <c r="H1552" i="6" s="1"/>
  <c r="K1547" i="6"/>
  <c r="K1551" i="6" s="1"/>
  <c r="BE1551" i="6" s="1"/>
  <c r="J1547" i="6"/>
  <c r="H1547" i="6"/>
  <c r="H1551" i="6" s="1"/>
  <c r="J1546" i="6"/>
  <c r="J1550" i="6" s="1"/>
  <c r="H1546" i="6"/>
  <c r="H1550" i="6" s="1"/>
  <c r="K242" i="15"/>
  <c r="K1545" i="6"/>
  <c r="BE1545" i="6" s="1"/>
  <c r="J1545" i="6"/>
  <c r="BC1545" i="6" s="1"/>
  <c r="BD1545" i="6" s="1"/>
  <c r="AH241" i="15" s="1"/>
  <c r="H1545" i="6"/>
  <c r="K1544" i="6"/>
  <c r="BE1544" i="6" s="1"/>
  <c r="J1544" i="6"/>
  <c r="BC1544" i="6" s="1"/>
  <c r="BD1544" i="6" s="1"/>
  <c r="AG241" i="15" s="1"/>
  <c r="H1544" i="6"/>
  <c r="I1544" i="6" s="1"/>
  <c r="S241" i="15" s="1"/>
  <c r="M241" i="15"/>
  <c r="K1543" i="6"/>
  <c r="BE1543" i="6" s="1"/>
  <c r="J1543" i="6"/>
  <c r="BC1543" i="6" s="1"/>
  <c r="H1543" i="6"/>
  <c r="L241" i="15"/>
  <c r="J1542" i="6"/>
  <c r="H1542" i="6"/>
  <c r="K241" i="15"/>
  <c r="K1541" i="6"/>
  <c r="BE1541" i="6" s="1"/>
  <c r="J1541" i="6"/>
  <c r="BC1541" i="6" s="1"/>
  <c r="H1541" i="6"/>
  <c r="J1540" i="6"/>
  <c r="X240" i="15" s="1"/>
  <c r="Z240" i="15" s="1"/>
  <c r="H1540" i="6"/>
  <c r="I1540" i="6" s="1"/>
  <c r="Q240" i="15" s="1"/>
  <c r="K1539" i="6"/>
  <c r="BE1539" i="6" s="1"/>
  <c r="J1539" i="6"/>
  <c r="BC1539" i="6" s="1"/>
  <c r="H1539" i="6"/>
  <c r="K1538" i="6"/>
  <c r="BE1538" i="6" s="1"/>
  <c r="J1538" i="6"/>
  <c r="BC1538" i="6" s="1"/>
  <c r="BD1538" i="6" s="1"/>
  <c r="AG239" i="15" s="1"/>
  <c r="H1538" i="6"/>
  <c r="M239" i="15"/>
  <c r="K1537" i="6"/>
  <c r="BE1537" i="6" s="1"/>
  <c r="J1537" i="6"/>
  <c r="BC1537" i="6" s="1"/>
  <c r="H1537" i="6"/>
  <c r="I1537" i="6" s="1"/>
  <c r="R239" i="15" s="1"/>
  <c r="J1536" i="6"/>
  <c r="H1536" i="6"/>
  <c r="K1535" i="6"/>
  <c r="BE1535" i="6" s="1"/>
  <c r="J1535" i="6"/>
  <c r="BC1535" i="6" s="1"/>
  <c r="H1535" i="6"/>
  <c r="J1534" i="6"/>
  <c r="BC1534" i="6" s="1"/>
  <c r="BD1534" i="6" s="1"/>
  <c r="H1534" i="6"/>
  <c r="K1533" i="6"/>
  <c r="BE1533" i="6" s="1"/>
  <c r="J1533" i="6"/>
  <c r="BC1533" i="6" s="1"/>
  <c r="H1533" i="6"/>
  <c r="K1532" i="6"/>
  <c r="BE1532" i="6" s="1"/>
  <c r="J1532" i="6"/>
  <c r="H1532" i="6"/>
  <c r="I1532" i="6" s="1"/>
  <c r="S237" i="15" s="1"/>
  <c r="K1531" i="6"/>
  <c r="BE1531" i="6" s="1"/>
  <c r="J1531" i="6"/>
  <c r="BC1531" i="6" s="1"/>
  <c r="BD1531" i="6" s="1"/>
  <c r="AF237" i="15" s="1"/>
  <c r="H1531" i="6"/>
  <c r="J1530" i="6"/>
  <c r="BC1530" i="6" s="1"/>
  <c r="BD1530" i="6" s="1"/>
  <c r="AE237" i="15" s="1"/>
  <c r="H1530" i="6"/>
  <c r="K1529" i="6"/>
  <c r="BE1529" i="6" s="1"/>
  <c r="J1529" i="6"/>
  <c r="BC1529" i="6" s="1"/>
  <c r="BD1529" i="6" s="1"/>
  <c r="AF236" i="15" s="1"/>
  <c r="H1529" i="6"/>
  <c r="J1528" i="6"/>
  <c r="X236" i="15" s="1"/>
  <c r="Z236" i="15" s="1"/>
  <c r="H1528" i="6"/>
  <c r="K236" i="15"/>
  <c r="K1527" i="6"/>
  <c r="BE1527" i="6" s="1"/>
  <c r="J1527" i="6"/>
  <c r="BC1527" i="6" s="1"/>
  <c r="H1527" i="6"/>
  <c r="I1527" i="6" s="1"/>
  <c r="T235" i="15" s="1"/>
  <c r="K1526" i="6"/>
  <c r="BE1526" i="6" s="1"/>
  <c r="J1526" i="6"/>
  <c r="H1526" i="6"/>
  <c r="M235" i="15"/>
  <c r="K1525" i="6"/>
  <c r="BE1525" i="6" s="1"/>
  <c r="J1525" i="6"/>
  <c r="BC1525" i="6" s="1"/>
  <c r="BD1525" i="6" s="1"/>
  <c r="H1525" i="6"/>
  <c r="J1524" i="6"/>
  <c r="H1524" i="6"/>
  <c r="K1523" i="6"/>
  <c r="BE1523" i="6" s="1"/>
  <c r="H1523" i="6"/>
  <c r="E1523" i="6"/>
  <c r="H1522" i="6"/>
  <c r="K234" i="15"/>
  <c r="E1522" i="6"/>
  <c r="G234" i="15" s="1"/>
  <c r="K1521" i="6"/>
  <c r="BE1521" i="6" s="1"/>
  <c r="J1521" i="6"/>
  <c r="H1521" i="6"/>
  <c r="L233" i="15"/>
  <c r="J1520" i="6"/>
  <c r="X233" i="15" s="1"/>
  <c r="Z233" i="15" s="1"/>
  <c r="H1520" i="6"/>
  <c r="K233" i="15"/>
  <c r="K1519" i="6"/>
  <c r="BE1519" i="6" s="1"/>
  <c r="J1519" i="6"/>
  <c r="BC1519" i="6" s="1"/>
  <c r="H1519" i="6"/>
  <c r="L232" i="15"/>
  <c r="J1518" i="6"/>
  <c r="H1518" i="6"/>
  <c r="I1518" i="6" s="1"/>
  <c r="Q232" i="15" s="1"/>
  <c r="K232" i="15"/>
  <c r="G1517" i="6"/>
  <c r="F231" i="15" s="1"/>
  <c r="E1517" i="6"/>
  <c r="G1516" i="6"/>
  <c r="E231" i="15" s="1"/>
  <c r="E1516" i="6"/>
  <c r="F2633" i="6" s="1"/>
  <c r="G1515" i="6"/>
  <c r="D231" i="15" s="1"/>
  <c r="E1515" i="6"/>
  <c r="C1515" i="6"/>
  <c r="G1514" i="6"/>
  <c r="A1514" i="6" s="1"/>
  <c r="E1514" i="6"/>
  <c r="G231" i="15" s="1"/>
  <c r="K1513" i="6"/>
  <c r="BE1513" i="6" s="1"/>
  <c r="J1513" i="6"/>
  <c r="H1513" i="6"/>
  <c r="H1517" i="6" s="1"/>
  <c r="N230" i="15"/>
  <c r="K1512" i="6"/>
  <c r="BE1512" i="6" s="1"/>
  <c r="J1512" i="6"/>
  <c r="H1512" i="6"/>
  <c r="H1516" i="6" s="1"/>
  <c r="K1511" i="6"/>
  <c r="J1511" i="6"/>
  <c r="BC1511" i="6" s="1"/>
  <c r="H1511" i="6"/>
  <c r="H1515" i="6" s="1"/>
  <c r="J1510" i="6"/>
  <c r="BC1510" i="6" s="1"/>
  <c r="BD1510" i="6" s="1"/>
  <c r="AE230" i="15" s="1"/>
  <c r="H1510" i="6"/>
  <c r="H1514" i="6" s="1"/>
  <c r="K1509" i="6"/>
  <c r="BE1509" i="6" s="1"/>
  <c r="J1509" i="6"/>
  <c r="BC1509" i="6" s="1"/>
  <c r="BD1509" i="6" s="1"/>
  <c r="AH229" i="15" s="1"/>
  <c r="H1509" i="6"/>
  <c r="N229" i="15"/>
  <c r="K1508" i="6"/>
  <c r="BE1508" i="6" s="1"/>
  <c r="J1508" i="6"/>
  <c r="Y229" i="15" s="1"/>
  <c r="H1508" i="6"/>
  <c r="I1508" i="6" s="1"/>
  <c r="S229" i="15" s="1"/>
  <c r="K1507" i="6"/>
  <c r="BE1507" i="6" s="1"/>
  <c r="J1507" i="6"/>
  <c r="BC1507" i="6" s="1"/>
  <c r="H1507" i="6"/>
  <c r="I1507" i="6" s="1"/>
  <c r="R229" i="15" s="1"/>
  <c r="L229" i="15"/>
  <c r="J1506" i="6"/>
  <c r="H1506" i="6"/>
  <c r="K229" i="15"/>
  <c r="G1505" i="6"/>
  <c r="D228" i="15" s="1"/>
  <c r="E1505" i="6"/>
  <c r="C1505" i="6"/>
  <c r="G1504" i="6"/>
  <c r="E1504" i="6"/>
  <c r="G228" i="15" s="1"/>
  <c r="K1503" i="6"/>
  <c r="K1505" i="6" s="1"/>
  <c r="BE1505" i="6" s="1"/>
  <c r="J1503" i="6"/>
  <c r="BC1503" i="6" s="1"/>
  <c r="BD1503" i="6" s="1"/>
  <c r="AF227" i="15" s="1"/>
  <c r="H1503" i="6"/>
  <c r="L227" i="15"/>
  <c r="J1502" i="6"/>
  <c r="BC1502" i="6" s="1"/>
  <c r="BD1502" i="6" s="1"/>
  <c r="AE227" i="15" s="1"/>
  <c r="H1502" i="6"/>
  <c r="H1504" i="6" s="1"/>
  <c r="K227" i="15"/>
  <c r="K1501" i="6"/>
  <c r="BE1501" i="6" s="1"/>
  <c r="J1501" i="6"/>
  <c r="BC1501" i="6" s="1"/>
  <c r="H1501" i="6"/>
  <c r="I1501" i="6" s="1"/>
  <c r="R226" i="15" s="1"/>
  <c r="L226" i="15"/>
  <c r="J1500" i="6"/>
  <c r="X226" i="15" s="1"/>
  <c r="Z226" i="15" s="1"/>
  <c r="H1500" i="6"/>
  <c r="K1499" i="6"/>
  <c r="BE1499" i="6" s="1"/>
  <c r="J1499" i="6"/>
  <c r="BC1499" i="6" s="1"/>
  <c r="BD1499" i="6" s="1"/>
  <c r="AH225" i="15" s="1"/>
  <c r="H1499" i="6"/>
  <c r="K1498" i="6"/>
  <c r="BE1498" i="6" s="1"/>
  <c r="J1498" i="6"/>
  <c r="Y225" i="15" s="1"/>
  <c r="H1498" i="6"/>
  <c r="I1498" i="6" s="1"/>
  <c r="S225" i="15" s="1"/>
  <c r="K1497" i="6"/>
  <c r="BE1497" i="6" s="1"/>
  <c r="J1497" i="6"/>
  <c r="BC1497" i="6" s="1"/>
  <c r="H1497" i="6"/>
  <c r="I1497" i="6" s="1"/>
  <c r="R225" i="15" s="1"/>
  <c r="L225" i="15"/>
  <c r="J1496" i="6"/>
  <c r="BC1496" i="6" s="1"/>
  <c r="BD1496" i="6" s="1"/>
  <c r="AE225" i="15" s="1"/>
  <c r="H1496" i="6"/>
  <c r="G1495" i="6"/>
  <c r="D224" i="15" s="1"/>
  <c r="E1495" i="6"/>
  <c r="C1495" i="6"/>
  <c r="G1494" i="6"/>
  <c r="E1494" i="6"/>
  <c r="F2750" i="6" s="1"/>
  <c r="K1493" i="6"/>
  <c r="K1495" i="6" s="1"/>
  <c r="BE1495" i="6" s="1"/>
  <c r="J1493" i="6"/>
  <c r="J1495" i="6" s="1"/>
  <c r="H1493" i="6"/>
  <c r="H1495" i="6" s="1"/>
  <c r="J1492" i="6"/>
  <c r="H1492" i="6"/>
  <c r="H1494" i="6" s="1"/>
  <c r="K223" i="15"/>
  <c r="K1491" i="6"/>
  <c r="BE1491" i="6" s="1"/>
  <c r="J1491" i="6"/>
  <c r="BC1491" i="6" s="1"/>
  <c r="H1491" i="6"/>
  <c r="J1490" i="6"/>
  <c r="X222" i="15" s="1"/>
  <c r="Z222" i="15" s="1"/>
  <c r="H1490" i="6"/>
  <c r="G1489" i="6"/>
  <c r="D221" i="15" s="1"/>
  <c r="E1489" i="6"/>
  <c r="C1489" i="6"/>
  <c r="G1488" i="6"/>
  <c r="E1488" i="6"/>
  <c r="G221" i="15" s="1"/>
  <c r="K1487" i="6"/>
  <c r="K1489" i="6" s="1"/>
  <c r="BE1489" i="6" s="1"/>
  <c r="J1487" i="6"/>
  <c r="J1489" i="6" s="1"/>
  <c r="H1487" i="6"/>
  <c r="H1489" i="6" s="1"/>
  <c r="J1486" i="6"/>
  <c r="X220" i="15" s="1"/>
  <c r="Z220" i="15" s="1"/>
  <c r="H1486" i="6"/>
  <c r="H1488" i="6" s="1"/>
  <c r="K1485" i="6"/>
  <c r="BE1485" i="6" s="1"/>
  <c r="J1485" i="6"/>
  <c r="BC1485" i="6" s="1"/>
  <c r="BD1485" i="6" s="1"/>
  <c r="AF219" i="15" s="1"/>
  <c r="H1485" i="6"/>
  <c r="J1484" i="6"/>
  <c r="H1484" i="6"/>
  <c r="G1483" i="6"/>
  <c r="D218" i="15" s="1"/>
  <c r="E1483" i="6"/>
  <c r="C1483" i="6"/>
  <c r="G1482" i="6"/>
  <c r="E1482" i="6"/>
  <c r="K1481" i="6"/>
  <c r="BE1481" i="6" s="1"/>
  <c r="J1481" i="6"/>
  <c r="BC1481" i="6" s="1"/>
  <c r="H1481" i="6"/>
  <c r="H1483" i="6" s="1"/>
  <c r="J1480" i="6"/>
  <c r="J1482" i="6" s="1"/>
  <c r="H1480" i="6"/>
  <c r="K1479" i="6"/>
  <c r="BE1479" i="6" s="1"/>
  <c r="J1479" i="6"/>
  <c r="BC1479" i="6" s="1"/>
  <c r="H1479" i="6"/>
  <c r="J1478" i="6"/>
  <c r="X216" i="15" s="1"/>
  <c r="Z216" i="15" s="1"/>
  <c r="H1478" i="6"/>
  <c r="G1477" i="6"/>
  <c r="D215" i="15" s="1"/>
  <c r="E1477" i="6"/>
  <c r="C1477" i="6"/>
  <c r="G1476" i="6"/>
  <c r="E1476" i="6"/>
  <c r="G215" i="15" s="1"/>
  <c r="K1475" i="6"/>
  <c r="BE1475" i="6" s="1"/>
  <c r="J1475" i="6"/>
  <c r="BC1475" i="6" s="1"/>
  <c r="H1475" i="6"/>
  <c r="H1477" i="6" s="1"/>
  <c r="J1474" i="6"/>
  <c r="J1476" i="6" s="1"/>
  <c r="X215" i="15" s="1"/>
  <c r="Z215" i="15" s="1"/>
  <c r="H1474" i="6"/>
  <c r="H1476" i="6" s="1"/>
  <c r="K214" i="15"/>
  <c r="G1473" i="6"/>
  <c r="E1473" i="6"/>
  <c r="G1472" i="6"/>
  <c r="E213" i="15" s="1"/>
  <c r="E1472" i="6"/>
  <c r="F2739" i="6" s="1"/>
  <c r="G1471" i="6"/>
  <c r="E1471" i="6"/>
  <c r="C1471" i="6"/>
  <c r="G1470" i="6"/>
  <c r="E1470" i="6"/>
  <c r="G213" i="15" s="1"/>
  <c r="K1469" i="6"/>
  <c r="BE1469" i="6" s="1"/>
  <c r="J1469" i="6"/>
  <c r="H1469" i="6"/>
  <c r="H1473" i="6" s="1"/>
  <c r="I1473" i="6" s="1"/>
  <c r="T213" i="15" s="1"/>
  <c r="K1468" i="6"/>
  <c r="BE1468" i="6" s="1"/>
  <c r="J1468" i="6"/>
  <c r="J1472" i="6" s="1"/>
  <c r="H1468" i="6"/>
  <c r="H1472" i="6" s="1"/>
  <c r="K1467" i="6"/>
  <c r="BE1467" i="6" s="1"/>
  <c r="J1467" i="6"/>
  <c r="J1471" i="6" s="1"/>
  <c r="H1467" i="6"/>
  <c r="H1471" i="6" s="1"/>
  <c r="J1466" i="6"/>
  <c r="H1466" i="6"/>
  <c r="H1470" i="6" s="1"/>
  <c r="G1465" i="6"/>
  <c r="D211" i="15" s="1"/>
  <c r="E1465" i="6"/>
  <c r="C1465" i="6"/>
  <c r="G1464" i="6"/>
  <c r="E1464" i="6"/>
  <c r="G211" i="15" s="1"/>
  <c r="K1463" i="6"/>
  <c r="K1465" i="6" s="1"/>
  <c r="BE1465" i="6" s="1"/>
  <c r="J1463" i="6"/>
  <c r="BC1463" i="6" s="1"/>
  <c r="BD1463" i="6" s="1"/>
  <c r="AF210" i="15" s="1"/>
  <c r="H1463" i="6"/>
  <c r="H1465" i="6" s="1"/>
  <c r="L210" i="15"/>
  <c r="J1462" i="6"/>
  <c r="J1464" i="6" s="1"/>
  <c r="H1462" i="6"/>
  <c r="H1464" i="6" s="1"/>
  <c r="G1461" i="6"/>
  <c r="D209" i="15" s="1"/>
  <c r="E1461" i="6"/>
  <c r="C1461" i="6"/>
  <c r="G1460" i="6"/>
  <c r="A1460" i="6" s="1"/>
  <c r="E1460" i="6"/>
  <c r="K1459" i="6"/>
  <c r="J1459" i="6"/>
  <c r="BC1459" i="6" s="1"/>
  <c r="H1459" i="6"/>
  <c r="H1461" i="6" s="1"/>
  <c r="L1458" i="6"/>
  <c r="AJ208" i="15" s="1"/>
  <c r="J1458" i="6"/>
  <c r="J1460" i="6" s="1"/>
  <c r="X209" i="15" s="1"/>
  <c r="Z209" i="15" s="1"/>
  <c r="H1458" i="6"/>
  <c r="K208" i="15"/>
  <c r="G1457" i="6"/>
  <c r="F207" i="15" s="1"/>
  <c r="E1457" i="6"/>
  <c r="G1456" i="6"/>
  <c r="E207" i="15" s="1"/>
  <c r="E1456" i="6"/>
  <c r="F2347" i="6" s="1"/>
  <c r="G1455" i="6"/>
  <c r="D207" i="15" s="1"/>
  <c r="E1455" i="6"/>
  <c r="C1455" i="6"/>
  <c r="G1454" i="6"/>
  <c r="E1454" i="6"/>
  <c r="G207" i="15" s="1"/>
  <c r="K1453" i="6"/>
  <c r="BE1453" i="6" s="1"/>
  <c r="J1453" i="6"/>
  <c r="J1457" i="6" s="1"/>
  <c r="H1453" i="6"/>
  <c r="H1457" i="6" s="1"/>
  <c r="K1452" i="6"/>
  <c r="J1452" i="6"/>
  <c r="Y206" i="15" s="1"/>
  <c r="H1452" i="6"/>
  <c r="K1451" i="6"/>
  <c r="K1455" i="6" s="1"/>
  <c r="BE1455" i="6" s="1"/>
  <c r="J1451" i="6"/>
  <c r="H1451" i="6"/>
  <c r="H1455" i="6" s="1"/>
  <c r="L206" i="15"/>
  <c r="J1450" i="6"/>
  <c r="BC1450" i="6" s="1"/>
  <c r="BD1450" i="6" s="1"/>
  <c r="AE206" i="15" s="1"/>
  <c r="H1450" i="6"/>
  <c r="H1454" i="6" s="1"/>
  <c r="G1449" i="6"/>
  <c r="D205" i="15" s="1"/>
  <c r="E1449" i="6"/>
  <c r="C1449" i="6"/>
  <c r="G1448" i="6"/>
  <c r="E1448" i="6"/>
  <c r="G205" i="15" s="1"/>
  <c r="K1447" i="6"/>
  <c r="K1449" i="6" s="1"/>
  <c r="BE1449" i="6" s="1"/>
  <c r="J1447" i="6"/>
  <c r="BC1447" i="6" s="1"/>
  <c r="H1447" i="6"/>
  <c r="H1449" i="6" s="1"/>
  <c r="I1449" i="6" s="1"/>
  <c r="R205" i="15" s="1"/>
  <c r="J1446" i="6"/>
  <c r="J1448" i="6" s="1"/>
  <c r="H1446" i="6"/>
  <c r="H1448" i="6" s="1"/>
  <c r="G1445" i="6"/>
  <c r="F203" i="15" s="1"/>
  <c r="E1445" i="6"/>
  <c r="G1444" i="6"/>
  <c r="E203" i="15" s="1"/>
  <c r="E1444" i="6"/>
  <c r="F2213" i="6" s="1"/>
  <c r="G1443" i="6"/>
  <c r="D203" i="15" s="1"/>
  <c r="E1443" i="6"/>
  <c r="C1443" i="6"/>
  <c r="G1442" i="6"/>
  <c r="A1442" i="6" s="1"/>
  <c r="E1442" i="6"/>
  <c r="G203" i="15" s="1"/>
  <c r="K1441" i="6"/>
  <c r="K1445" i="6" s="1"/>
  <c r="BE1445" i="6" s="1"/>
  <c r="J1441" i="6"/>
  <c r="J1445" i="6" s="1"/>
  <c r="H1441" i="6"/>
  <c r="H1445" i="6" s="1"/>
  <c r="K1440" i="6"/>
  <c r="K1444" i="6" s="1"/>
  <c r="BE1444" i="6" s="1"/>
  <c r="J1440" i="6"/>
  <c r="Y202" i="15" s="1"/>
  <c r="H1440" i="6"/>
  <c r="H1444" i="6" s="1"/>
  <c r="K1439" i="6"/>
  <c r="J1439" i="6"/>
  <c r="H1439" i="6"/>
  <c r="H1443" i="6" s="1"/>
  <c r="J1438" i="6"/>
  <c r="BC1438" i="6" s="1"/>
  <c r="BD1438" i="6" s="1"/>
  <c r="AE202" i="15" s="1"/>
  <c r="H1438" i="6"/>
  <c r="H1442" i="6" s="1"/>
  <c r="G1437" i="6"/>
  <c r="F201" i="15" s="1"/>
  <c r="E1437" i="6"/>
  <c r="G1436" i="6"/>
  <c r="E1436" i="6"/>
  <c r="F2721" i="6" s="1"/>
  <c r="G1435" i="6"/>
  <c r="D201" i="15" s="1"/>
  <c r="E1435" i="6"/>
  <c r="C1435" i="6"/>
  <c r="G1434" i="6"/>
  <c r="E1434" i="6"/>
  <c r="G201" i="15" s="1"/>
  <c r="K1433" i="6"/>
  <c r="BE1433" i="6" s="1"/>
  <c r="J1433" i="6"/>
  <c r="J1437" i="6" s="1"/>
  <c r="H1433" i="6"/>
  <c r="H1437" i="6" s="1"/>
  <c r="K1432" i="6"/>
  <c r="K1436" i="6" s="1"/>
  <c r="BE1436" i="6" s="1"/>
  <c r="J1432" i="6"/>
  <c r="H1432" i="6"/>
  <c r="H1436" i="6" s="1"/>
  <c r="I1436" i="6" s="1"/>
  <c r="S201" i="15" s="1"/>
  <c r="M200" i="15"/>
  <c r="K1431" i="6"/>
  <c r="J1431" i="6"/>
  <c r="J1435" i="6" s="1"/>
  <c r="H1431" i="6"/>
  <c r="H1435" i="6" s="1"/>
  <c r="J1430" i="6"/>
  <c r="BC1430" i="6" s="1"/>
  <c r="BD1430" i="6" s="1"/>
  <c r="H1430" i="6"/>
  <c r="H1434" i="6" s="1"/>
  <c r="K1429" i="6"/>
  <c r="BE1429" i="6" s="1"/>
  <c r="J1429" i="6"/>
  <c r="BC1429" i="6" s="1"/>
  <c r="H1429" i="6"/>
  <c r="J1428" i="6"/>
  <c r="BC1428" i="6" s="1"/>
  <c r="H1428" i="6"/>
  <c r="K1427" i="6"/>
  <c r="BE1427" i="6" s="1"/>
  <c r="J1427" i="6"/>
  <c r="BC1427" i="6" s="1"/>
  <c r="H1427" i="6"/>
  <c r="J1426" i="6"/>
  <c r="H1426" i="6"/>
  <c r="K1425" i="6"/>
  <c r="BE1425" i="6" s="1"/>
  <c r="J1425" i="6"/>
  <c r="BC1425" i="6" s="1"/>
  <c r="BD1425" i="6" s="1"/>
  <c r="AH197" i="15" s="1"/>
  <c r="H1425" i="6"/>
  <c r="I1425" i="6" s="1"/>
  <c r="T197" i="15" s="1"/>
  <c r="K1424" i="6"/>
  <c r="BE1424" i="6" s="1"/>
  <c r="J1424" i="6"/>
  <c r="H1424" i="6"/>
  <c r="K1423" i="6"/>
  <c r="BE1423" i="6" s="1"/>
  <c r="J1423" i="6"/>
  <c r="BC1423" i="6" s="1"/>
  <c r="BD1423" i="6" s="1"/>
  <c r="AF197" i="15" s="1"/>
  <c r="H1423" i="6"/>
  <c r="J1422" i="6"/>
  <c r="H1422" i="6"/>
  <c r="K1421" i="6"/>
  <c r="BE1421" i="6" s="1"/>
  <c r="J1421" i="6"/>
  <c r="BC1421" i="6" s="1"/>
  <c r="BD1421" i="6" s="1"/>
  <c r="AH196" i="15" s="1"/>
  <c r="H1421" i="6"/>
  <c r="I1421" i="6" s="1"/>
  <c r="T196" i="15" s="1"/>
  <c r="K1420" i="6"/>
  <c r="BE1420" i="6" s="1"/>
  <c r="J1420" i="6"/>
  <c r="BC1420" i="6" s="1"/>
  <c r="H1420" i="6"/>
  <c r="K1419" i="6"/>
  <c r="BE1419" i="6" s="1"/>
  <c r="J1419" i="6"/>
  <c r="BC1419" i="6" s="1"/>
  <c r="H1419" i="6"/>
  <c r="J1418" i="6"/>
  <c r="BC1418" i="6" s="1"/>
  <c r="BD1418" i="6" s="1"/>
  <c r="AE196" i="15" s="1"/>
  <c r="H1418" i="6"/>
  <c r="K1417" i="6"/>
  <c r="BE1417" i="6" s="1"/>
  <c r="J1417" i="6"/>
  <c r="BC1417" i="6" s="1"/>
  <c r="BD1417" i="6" s="1"/>
  <c r="AF195" i="15" s="1"/>
  <c r="H1417" i="6"/>
  <c r="J1416" i="6"/>
  <c r="X195" i="15" s="1"/>
  <c r="Z195" i="15" s="1"/>
  <c r="H1416" i="6"/>
  <c r="K1415" i="6"/>
  <c r="BE1415" i="6" s="1"/>
  <c r="J1415" i="6"/>
  <c r="BC1415" i="6" s="1"/>
  <c r="BD1415" i="6" s="1"/>
  <c r="AF194" i="15" s="1"/>
  <c r="H1415" i="6"/>
  <c r="J1414" i="6"/>
  <c r="H1414" i="6"/>
  <c r="K1413" i="6"/>
  <c r="BE1413" i="6" s="1"/>
  <c r="J1413" i="6"/>
  <c r="BC1413" i="6" s="1"/>
  <c r="BD1413" i="6" s="1"/>
  <c r="AH193" i="15" s="1"/>
  <c r="H1413" i="6"/>
  <c r="I1413" i="6" s="1"/>
  <c r="T193" i="15" s="1"/>
  <c r="K1412" i="6"/>
  <c r="BE1412" i="6" s="1"/>
  <c r="J1412" i="6"/>
  <c r="Y193" i="15" s="1"/>
  <c r="H1412" i="6"/>
  <c r="K1411" i="6"/>
  <c r="BE1411" i="6" s="1"/>
  <c r="J1411" i="6"/>
  <c r="BC1411" i="6" s="1"/>
  <c r="BD1411" i="6" s="1"/>
  <c r="AF193" i="15" s="1"/>
  <c r="H1411" i="6"/>
  <c r="J1410" i="6"/>
  <c r="H1410" i="6"/>
  <c r="I1410" i="6" s="1"/>
  <c r="Q193" i="15" s="1"/>
  <c r="K1409" i="6"/>
  <c r="BE1409" i="6" s="1"/>
  <c r="J1409" i="6"/>
  <c r="BC1409" i="6" s="1"/>
  <c r="BD1409" i="6" s="1"/>
  <c r="AH192" i="15" s="1"/>
  <c r="H1409" i="6"/>
  <c r="I1409" i="6" s="1"/>
  <c r="T192" i="15" s="1"/>
  <c r="K1408" i="6"/>
  <c r="BE1408" i="6" s="1"/>
  <c r="J1408" i="6"/>
  <c r="Y192" i="15" s="1"/>
  <c r="H1408" i="6"/>
  <c r="K1407" i="6"/>
  <c r="BE1407" i="6" s="1"/>
  <c r="J1407" i="6"/>
  <c r="BC1407" i="6" s="1"/>
  <c r="BD1407" i="6" s="1"/>
  <c r="AF192" i="15" s="1"/>
  <c r="H1407" i="6"/>
  <c r="J1406" i="6"/>
  <c r="X192" i="15" s="1"/>
  <c r="H1406" i="6"/>
  <c r="BE1405" i="6"/>
  <c r="BD1405" i="6"/>
  <c r="BC1405" i="6"/>
  <c r="BB1405" i="6"/>
  <c r="V1402" i="6"/>
  <c r="F1399" i="6"/>
  <c r="F1398" i="6"/>
  <c r="F1397" i="6"/>
  <c r="F1396" i="6"/>
  <c r="F1395" i="6"/>
  <c r="F1394" i="6"/>
  <c r="F1393" i="6"/>
  <c r="F1392" i="6"/>
  <c r="F1391" i="6"/>
  <c r="F1390" i="6"/>
  <c r="F1389" i="6"/>
  <c r="F1388" i="6"/>
  <c r="D3005" i="6"/>
  <c r="F1387" i="6"/>
  <c r="F1386" i="6"/>
  <c r="F1385" i="6"/>
  <c r="F1384" i="6"/>
  <c r="F1383" i="6"/>
  <c r="F1382" i="6"/>
  <c r="F1381" i="6"/>
  <c r="F1380" i="6"/>
  <c r="F1379" i="6"/>
  <c r="F1378" i="6"/>
  <c r="F1377" i="6"/>
  <c r="F1376" i="6"/>
  <c r="D2835" i="6"/>
  <c r="F1374" i="6"/>
  <c r="F1372" i="6"/>
  <c r="F1371" i="6"/>
  <c r="F1370" i="6"/>
  <c r="F1369" i="6"/>
  <c r="F1368" i="6"/>
  <c r="F1366" i="6"/>
  <c r="F1365" i="6"/>
  <c r="F1364" i="6"/>
  <c r="F1363" i="6"/>
  <c r="F1362" i="6"/>
  <c r="F1360" i="6"/>
  <c r="F1359" i="6"/>
  <c r="F1358" i="6"/>
  <c r="F1357" i="6"/>
  <c r="X1356" i="6"/>
  <c r="L1305" i="6"/>
  <c r="AJ191" i="15" s="1"/>
  <c r="F1356" i="6"/>
  <c r="X1354" i="6"/>
  <c r="L1301" i="6"/>
  <c r="AJ190" i="15" s="1"/>
  <c r="F1354" i="6"/>
  <c r="X1353" i="6"/>
  <c r="F1353" i="6"/>
  <c r="X1352" i="6"/>
  <c r="L1297" i="6"/>
  <c r="AJ189" i="15" s="1"/>
  <c r="F1352" i="6"/>
  <c r="X1351" i="6"/>
  <c r="L1295" i="6"/>
  <c r="AJ188" i="15" s="1"/>
  <c r="F1351" i="6"/>
  <c r="Y1350" i="6"/>
  <c r="W1350" i="6"/>
  <c r="F1350" i="6"/>
  <c r="Y1349" i="6"/>
  <c r="W1349" i="6"/>
  <c r="F1349" i="6"/>
  <c r="Y1347" i="6"/>
  <c r="W1347" i="6"/>
  <c r="F1347" i="6"/>
  <c r="Y1346" i="6"/>
  <c r="W1346" i="6"/>
  <c r="F1346" i="6"/>
  <c r="Y1345" i="6"/>
  <c r="W1345" i="6"/>
  <c r="F1345" i="6"/>
  <c r="F1344" i="6"/>
  <c r="F1343" i="6"/>
  <c r="F1341" i="6"/>
  <c r="F1340" i="6"/>
  <c r="F1339" i="6"/>
  <c r="F1338" i="6"/>
  <c r="F1337" i="6"/>
  <c r="F1335" i="6"/>
  <c r="F1334" i="6"/>
  <c r="F1333" i="6"/>
  <c r="Y1332" i="6"/>
  <c r="Y1356" i="6" s="1"/>
  <c r="X1332" i="6"/>
  <c r="Y1331" i="6"/>
  <c r="Y1354" i="6" s="1"/>
  <c r="X1331" i="6"/>
  <c r="Y1329" i="6"/>
  <c r="Y1353" i="6" s="1"/>
  <c r="X1329" i="6"/>
  <c r="Y1328" i="6"/>
  <c r="Y1352" i="6" s="1"/>
  <c r="X1328" i="6"/>
  <c r="Y1327" i="6"/>
  <c r="Y1351" i="6" s="1"/>
  <c r="X1327" i="6"/>
  <c r="AG1326" i="6"/>
  <c r="AF1326" i="6"/>
  <c r="AE1326" i="6"/>
  <c r="AD1326" i="6"/>
  <c r="AC1326" i="6"/>
  <c r="AB1326" i="6"/>
  <c r="AA1326" i="6"/>
  <c r="Z1326" i="6"/>
  <c r="Y1326" i="6"/>
  <c r="X1326" i="6"/>
  <c r="BE1306" i="6"/>
  <c r="BC1306" i="6"/>
  <c r="BD1306" i="6" s="1"/>
  <c r="AF191" i="15" s="1"/>
  <c r="H1306" i="6"/>
  <c r="I1306" i="6" s="1"/>
  <c r="R191" i="15" s="1"/>
  <c r="BE1305" i="6"/>
  <c r="BC1305" i="6"/>
  <c r="BD1305" i="6" s="1"/>
  <c r="AE191" i="15" s="1"/>
  <c r="H1305" i="6"/>
  <c r="I1305" i="6" s="1"/>
  <c r="Q191" i="15" s="1"/>
  <c r="K191" i="15"/>
  <c r="BE1304" i="6"/>
  <c r="BC1304" i="6"/>
  <c r="H1304" i="6"/>
  <c r="I1304" i="6" s="1"/>
  <c r="T190" i="15" s="1"/>
  <c r="N190" i="15"/>
  <c r="BE1303" i="6"/>
  <c r="BC1303" i="6"/>
  <c r="H1303" i="6"/>
  <c r="I1303" i="6" s="1"/>
  <c r="S190" i="15" s="1"/>
  <c r="BE1302" i="6"/>
  <c r="BC1302" i="6"/>
  <c r="BD1302" i="6" s="1"/>
  <c r="AF190" i="15" s="1"/>
  <c r="H1302" i="6"/>
  <c r="I1302" i="6" s="1"/>
  <c r="R190" i="15" s="1"/>
  <c r="L190" i="15"/>
  <c r="BE1301" i="6"/>
  <c r="BC1301" i="6"/>
  <c r="BD1301" i="6" s="1"/>
  <c r="H1301" i="6"/>
  <c r="I1301" i="6" s="1"/>
  <c r="Q190" i="15" s="1"/>
  <c r="K190" i="15"/>
  <c r="BE1300" i="6"/>
  <c r="BC1300" i="6"/>
  <c r="BD1300" i="6" s="1"/>
  <c r="AH189" i="15" s="1"/>
  <c r="H1300" i="6"/>
  <c r="I1300" i="6" s="1"/>
  <c r="T189" i="15" s="1"/>
  <c r="BE1299" i="6"/>
  <c r="BC1299" i="6"/>
  <c r="BD1299" i="6" s="1"/>
  <c r="AG189" i="15" s="1"/>
  <c r="H1299" i="6"/>
  <c r="BE1298" i="6"/>
  <c r="BC1298" i="6"/>
  <c r="BD1298" i="6" s="1"/>
  <c r="AF189" i="15" s="1"/>
  <c r="H1298" i="6"/>
  <c r="I1298" i="6" s="1"/>
  <c r="R189" i="15" s="1"/>
  <c r="BE1297" i="6"/>
  <c r="BC1297" i="6"/>
  <c r="H1297" i="6"/>
  <c r="I1297" i="6" s="1"/>
  <c r="Q189" i="15" s="1"/>
  <c r="K189" i="15"/>
  <c r="BE1296" i="6"/>
  <c r="BC1296" i="6"/>
  <c r="BD1296" i="6" s="1"/>
  <c r="AF188" i="15" s="1"/>
  <c r="H1296" i="6"/>
  <c r="I1296" i="6" s="1"/>
  <c r="R188" i="15" s="1"/>
  <c r="L188" i="15"/>
  <c r="BE1295" i="6"/>
  <c r="BC1295" i="6"/>
  <c r="BD1295" i="6" s="1"/>
  <c r="H1295" i="6"/>
  <c r="I1295" i="6" s="1"/>
  <c r="Q188" i="15" s="1"/>
  <c r="K188" i="15"/>
  <c r="BE1294" i="6"/>
  <c r="BD1294" i="6"/>
  <c r="BC1294" i="6"/>
  <c r="BB1294" i="6"/>
  <c r="V1291" i="6"/>
  <c r="K1252" i="6"/>
  <c r="L1200" i="6" s="1"/>
  <c r="AJ187" i="15" s="1"/>
  <c r="K1251" i="6"/>
  <c r="K1250" i="6"/>
  <c r="L1196" i="6" s="1"/>
  <c r="AJ185" i="15" s="1"/>
  <c r="K1249" i="6"/>
  <c r="X1249" i="6" s="1"/>
  <c r="K1248" i="6"/>
  <c r="L1192" i="6" s="1"/>
  <c r="AJ183" i="15" s="1"/>
  <c r="K1247" i="6"/>
  <c r="W1247" i="6" s="1"/>
  <c r="K1228" i="6"/>
  <c r="K1227" i="6"/>
  <c r="W1227" i="6" s="1"/>
  <c r="F1227" i="6"/>
  <c r="F1281" i="6" s="1"/>
  <c r="K1226" i="6"/>
  <c r="K1225" i="6"/>
  <c r="W1225" i="6" s="1"/>
  <c r="F1225" i="6"/>
  <c r="F1273" i="6" s="1"/>
  <c r="K1224" i="6"/>
  <c r="K1223" i="6"/>
  <c r="F1223" i="6"/>
  <c r="F1283" i="6" s="1"/>
  <c r="AG1221" i="6"/>
  <c r="AF1221" i="6"/>
  <c r="AE1221" i="6"/>
  <c r="AD1221" i="6"/>
  <c r="AC1221" i="6"/>
  <c r="AB1221" i="6"/>
  <c r="AA1221" i="6"/>
  <c r="Z1221" i="6"/>
  <c r="Y1221" i="6"/>
  <c r="X1221" i="6"/>
  <c r="BE1201" i="6"/>
  <c r="H1201" i="6"/>
  <c r="F1201" i="6"/>
  <c r="E1201" i="6"/>
  <c r="J1200" i="6"/>
  <c r="H1200" i="6"/>
  <c r="F1200" i="6"/>
  <c r="E1200" i="6"/>
  <c r="BE1199" i="6"/>
  <c r="H1199" i="6"/>
  <c r="F1199" i="6"/>
  <c r="J1198" i="6"/>
  <c r="BC1198" i="6" s="1"/>
  <c r="H1198" i="6"/>
  <c r="F1198" i="6"/>
  <c r="BE1197" i="6"/>
  <c r="H1197" i="6"/>
  <c r="F1197" i="6"/>
  <c r="E1197" i="6"/>
  <c r="J1196" i="6"/>
  <c r="BC1196" i="6" s="1"/>
  <c r="H1196" i="6"/>
  <c r="F1196" i="6"/>
  <c r="E1196" i="6"/>
  <c r="BE1195" i="6"/>
  <c r="H1195" i="6"/>
  <c r="F1195" i="6"/>
  <c r="L184" i="15" s="1"/>
  <c r="J1194" i="6"/>
  <c r="J1195" i="6" s="1"/>
  <c r="BC1195" i="6" s="1"/>
  <c r="H1194" i="6"/>
  <c r="F1194" i="6"/>
  <c r="BE1193" i="6"/>
  <c r="H1193" i="6"/>
  <c r="F1193" i="6"/>
  <c r="E1193" i="6"/>
  <c r="J1192" i="6"/>
  <c r="H1192" i="6"/>
  <c r="F1192" i="6"/>
  <c r="E1192" i="6"/>
  <c r="G183" i="15" s="1"/>
  <c r="BE1191" i="6"/>
  <c r="H1191" i="6"/>
  <c r="F1191" i="6"/>
  <c r="J1190" i="6"/>
  <c r="J1191" i="6" s="1"/>
  <c r="H1190" i="6"/>
  <c r="F1190" i="6"/>
  <c r="BE1189" i="6"/>
  <c r="BD1189" i="6"/>
  <c r="BC1189" i="6"/>
  <c r="BB1189" i="6"/>
  <c r="V1186" i="6"/>
  <c r="Y1167" i="6"/>
  <c r="Y1163" i="6"/>
  <c r="Y1161" i="6"/>
  <c r="K795" i="6"/>
  <c r="Y1157" i="6"/>
  <c r="Y1155" i="6"/>
  <c r="K789" i="6"/>
  <c r="BE789" i="6" s="1"/>
  <c r="Y1153" i="6"/>
  <c r="K787" i="6"/>
  <c r="BE787" i="6" s="1"/>
  <c r="Y1152" i="6"/>
  <c r="K786" i="6"/>
  <c r="Y1150" i="6"/>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F1084" i="6"/>
  <c r="F1136" i="6" s="1"/>
  <c r="F1170" i="6" s="1"/>
  <c r="F1083" i="6"/>
  <c r="F1135" i="6" s="1"/>
  <c r="F1169" i="6" s="1"/>
  <c r="Y1082" i="6"/>
  <c r="Y1083" i="6" s="1"/>
  <c r="Y1169" i="6" s="1"/>
  <c r="J1082" i="6"/>
  <c r="J1083"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F1065" i="6"/>
  <c r="F1117" i="6" s="1"/>
  <c r="F1151" i="6" s="1"/>
  <c r="F1064" i="6"/>
  <c r="F1116" i="6" s="1"/>
  <c r="F1150" i="6" s="1"/>
  <c r="J1021" i="6"/>
  <c r="J1020" i="6"/>
  <c r="J1019" i="6"/>
  <c r="J1018" i="6"/>
  <c r="J1017" i="6"/>
  <c r="J1016" i="6"/>
  <c r="J1015" i="6"/>
  <c r="J1014" i="6"/>
  <c r="J1013" i="6"/>
  <c r="J1012" i="6"/>
  <c r="J1011" i="6"/>
  <c r="J1010" i="6"/>
  <c r="J1009" i="6"/>
  <c r="J1008" i="6"/>
  <c r="L831" i="6"/>
  <c r="AJ181" i="15" s="1"/>
  <c r="L825" i="6"/>
  <c r="AJ179" i="15" s="1"/>
  <c r="L819" i="6"/>
  <c r="AJ177" i="15" s="1"/>
  <c r="L813" i="6"/>
  <c r="AJ175" i="15" s="1"/>
  <c r="L809" i="6"/>
  <c r="AJ173" i="15" s="1"/>
  <c r="L806" i="6"/>
  <c r="AJ171" i="15" s="1"/>
  <c r="L803" i="6"/>
  <c r="AJ169" i="15" s="1"/>
  <c r="X965" i="6"/>
  <c r="X1163" i="6" s="1"/>
  <c r="L797" i="6"/>
  <c r="AJ167" i="15" s="1"/>
  <c r="X964" i="6"/>
  <c r="X1161" i="6" s="1"/>
  <c r="L795" i="6"/>
  <c r="AJ166" i="15" s="1"/>
  <c r="X963" i="6"/>
  <c r="X1157" i="6" s="1"/>
  <c r="L815" i="6"/>
  <c r="AJ176" i="15" s="1"/>
  <c r="X962" i="6"/>
  <c r="X1172" i="6" s="1"/>
  <c r="L811" i="6"/>
  <c r="AJ174" i="15" s="1"/>
  <c r="X961" i="6"/>
  <c r="X1153" i="6" s="1"/>
  <c r="L787" i="6"/>
  <c r="AJ163" i="15" s="1"/>
  <c r="X960" i="6"/>
  <c r="X1152" i="6" s="1"/>
  <c r="X959" i="6"/>
  <c r="L801" i="6"/>
  <c r="AJ168" i="15" s="1"/>
  <c r="J937" i="6"/>
  <c r="J936" i="6"/>
  <c r="J935" i="6"/>
  <c r="J934" i="6"/>
  <c r="J933" i="6"/>
  <c r="J932" i="6"/>
  <c r="J931" i="6"/>
  <c r="J930" i="6"/>
  <c r="J929" i="6"/>
  <c r="J928" i="6"/>
  <c r="J927" i="6"/>
  <c r="J926" i="6"/>
  <c r="J925" i="6"/>
  <c r="J924" i="6"/>
  <c r="J916" i="6"/>
  <c r="J915" i="6"/>
  <c r="J914" i="6"/>
  <c r="J913" i="6"/>
  <c r="J912" i="6"/>
  <c r="J911" i="6"/>
  <c r="J910" i="6"/>
  <c r="J909" i="6"/>
  <c r="J908" i="6"/>
  <c r="J907" i="6"/>
  <c r="J906" i="6"/>
  <c r="J905" i="6"/>
  <c r="J904" i="6"/>
  <c r="J903" i="6"/>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F862" i="6"/>
  <c r="F883" i="6" s="1"/>
  <c r="F904" i="6" s="1"/>
  <c r="F925" i="6" s="1"/>
  <c r="F946" i="6" s="1"/>
  <c r="F967" i="6" s="1"/>
  <c r="F988" i="6" s="1"/>
  <c r="F1009" i="6" s="1"/>
  <c r="F1030" i="6" s="1"/>
  <c r="F1051" i="6" s="1"/>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X857" i="6"/>
  <c r="F857" i="6"/>
  <c r="F878" i="6" s="1"/>
  <c r="F899" i="6" s="1"/>
  <c r="F920" i="6" s="1"/>
  <c r="F941" i="6" s="1"/>
  <c r="F962" i="6" s="1"/>
  <c r="F983" i="6" s="1"/>
  <c r="F1004" i="6" s="1"/>
  <c r="F1025" i="6" s="1"/>
  <c r="F1046" i="6" s="1"/>
  <c r="X856" i="6"/>
  <c r="F856" i="6"/>
  <c r="F877" i="6" s="1"/>
  <c r="F898" i="6" s="1"/>
  <c r="F919" i="6" s="1"/>
  <c r="F940" i="6" s="1"/>
  <c r="F961" i="6" s="1"/>
  <c r="F982" i="6" s="1"/>
  <c r="F1003" i="6" s="1"/>
  <c r="F1024" i="6" s="1"/>
  <c r="F1045" i="6" s="1"/>
  <c r="F855" i="6"/>
  <c r="F876" i="6" s="1"/>
  <c r="F897" i="6" s="1"/>
  <c r="F918" i="6" s="1"/>
  <c r="F939" i="6" s="1"/>
  <c r="F960" i="6" s="1"/>
  <c r="F981" i="6" s="1"/>
  <c r="F1002" i="6" s="1"/>
  <c r="F1023" i="6" s="1"/>
  <c r="F1044" i="6" s="1"/>
  <c r="F854" i="6"/>
  <c r="F875" i="6" s="1"/>
  <c r="F896" i="6" s="1"/>
  <c r="F917" i="6" s="1"/>
  <c r="F938" i="6" s="1"/>
  <c r="F959" i="6" s="1"/>
  <c r="F980" i="6" s="1"/>
  <c r="F1001" i="6" s="1"/>
  <c r="F1022" i="6" s="1"/>
  <c r="F1043" i="6" s="1"/>
  <c r="AG853" i="6"/>
  <c r="AF853" i="6"/>
  <c r="AE853" i="6"/>
  <c r="AD853" i="6"/>
  <c r="AC853" i="6"/>
  <c r="AB853" i="6"/>
  <c r="AA853" i="6"/>
  <c r="Z853" i="6"/>
  <c r="Y853" i="6"/>
  <c r="X853" i="6"/>
  <c r="H834" i="6"/>
  <c r="E834" i="6"/>
  <c r="F1114" i="6" s="1"/>
  <c r="H833" i="6"/>
  <c r="E833" i="6"/>
  <c r="F1113" i="6" s="1"/>
  <c r="H832" i="6"/>
  <c r="E832" i="6"/>
  <c r="F1112" i="6" s="1"/>
  <c r="H831" i="6"/>
  <c r="E831" i="6"/>
  <c r="K830" i="6"/>
  <c r="J830" i="6"/>
  <c r="BC830" i="6" s="1"/>
  <c r="H830" i="6"/>
  <c r="K829" i="6"/>
  <c r="BE829" i="6" s="1"/>
  <c r="J829" i="6"/>
  <c r="H829" i="6"/>
  <c r="K828" i="6"/>
  <c r="K832" i="6" s="1"/>
  <c r="BE832" i="6" s="1"/>
  <c r="J828" i="6"/>
  <c r="BC828" i="6" s="1"/>
  <c r="H828" i="6"/>
  <c r="J827" i="6"/>
  <c r="J831" i="6" s="1"/>
  <c r="BC831" i="6" s="1"/>
  <c r="H827" i="6"/>
  <c r="H826" i="6"/>
  <c r="E826" i="6"/>
  <c r="F1110" i="6" s="1"/>
  <c r="H825" i="6"/>
  <c r="E825" i="6"/>
  <c r="K824" i="6"/>
  <c r="K826" i="6" s="1"/>
  <c r="BE826" i="6" s="1"/>
  <c r="J824" i="6"/>
  <c r="H824" i="6"/>
  <c r="J823" i="6"/>
  <c r="H823" i="6"/>
  <c r="H822" i="6"/>
  <c r="E822" i="6"/>
  <c r="F1108" i="6" s="1"/>
  <c r="H821" i="6"/>
  <c r="E821" i="6"/>
  <c r="F1107" i="6" s="1"/>
  <c r="H820" i="6"/>
  <c r="E820" i="6"/>
  <c r="F1106" i="6" s="1"/>
  <c r="H819" i="6"/>
  <c r="E819" i="6"/>
  <c r="F1105" i="6" s="1"/>
  <c r="K818" i="6"/>
  <c r="J818" i="6"/>
  <c r="J822" i="6" s="1"/>
  <c r="BC822" i="6" s="1"/>
  <c r="H818" i="6"/>
  <c r="K817" i="6"/>
  <c r="BE817" i="6" s="1"/>
  <c r="J817" i="6"/>
  <c r="Y176" i="15" s="1"/>
  <c r="H817" i="6"/>
  <c r="K816" i="6"/>
  <c r="K820" i="6" s="1"/>
  <c r="BE820" i="6" s="1"/>
  <c r="J816" i="6"/>
  <c r="H816" i="6"/>
  <c r="J815" i="6"/>
  <c r="X176" i="15" s="1"/>
  <c r="H815" i="6"/>
  <c r="H814" i="6"/>
  <c r="E814" i="6"/>
  <c r="F1104" i="6" s="1"/>
  <c r="H813" i="6"/>
  <c r="E813" i="6"/>
  <c r="G175" i="15" s="1"/>
  <c r="K812" i="6"/>
  <c r="J812" i="6"/>
  <c r="J814" i="6" s="1"/>
  <c r="BC814" i="6" s="1"/>
  <c r="H812" i="6"/>
  <c r="J811" i="6"/>
  <c r="J813" i="6" s="1"/>
  <c r="H811" i="6"/>
  <c r="H810" i="6"/>
  <c r="E810" i="6"/>
  <c r="F1102" i="6" s="1"/>
  <c r="H809" i="6"/>
  <c r="E809" i="6"/>
  <c r="K808" i="6"/>
  <c r="K810" i="6" s="1"/>
  <c r="BE810" i="6" s="1"/>
  <c r="J808" i="6"/>
  <c r="BC808" i="6" s="1"/>
  <c r="H808" i="6"/>
  <c r="J807" i="6"/>
  <c r="H807" i="6"/>
  <c r="H806" i="6"/>
  <c r="E806" i="6"/>
  <c r="F1100" i="6" s="1"/>
  <c r="J805" i="6"/>
  <c r="H805" i="6"/>
  <c r="H804" i="6"/>
  <c r="E804" i="6"/>
  <c r="F1099" i="6" s="1"/>
  <c r="H803" i="6"/>
  <c r="E803" i="6"/>
  <c r="G169" i="15" s="1"/>
  <c r="K802" i="6"/>
  <c r="BE802" i="6" s="1"/>
  <c r="J802" i="6"/>
  <c r="J804" i="6" s="1"/>
  <c r="BC804" i="6" s="1"/>
  <c r="H802" i="6"/>
  <c r="J801" i="6"/>
  <c r="H801" i="6"/>
  <c r="I801" i="6" s="1"/>
  <c r="Q168" i="15" s="1"/>
  <c r="O168" i="15" s="1"/>
  <c r="K800" i="6"/>
  <c r="BE800" i="6" s="1"/>
  <c r="J800" i="6"/>
  <c r="BC800" i="6" s="1"/>
  <c r="BD800" i="6" s="1"/>
  <c r="AH167" i="15" s="1"/>
  <c r="H800" i="6"/>
  <c r="I800" i="6" s="1"/>
  <c r="T167" i="15" s="1"/>
  <c r="N167" i="15"/>
  <c r="K799" i="6"/>
  <c r="BE799" i="6" s="1"/>
  <c r="J799" i="6"/>
  <c r="Y167" i="15" s="1"/>
  <c r="H799" i="6"/>
  <c r="I799" i="6" s="1"/>
  <c r="S167" i="15" s="1"/>
  <c r="M167" i="15"/>
  <c r="K798" i="6"/>
  <c r="BE798" i="6" s="1"/>
  <c r="J798" i="6"/>
  <c r="BC798" i="6" s="1"/>
  <c r="BD798" i="6" s="1"/>
  <c r="AF167" i="15" s="1"/>
  <c r="H798" i="6"/>
  <c r="I798" i="6" s="1"/>
  <c r="R167" i="15" s="1"/>
  <c r="J797" i="6"/>
  <c r="H797" i="6"/>
  <c r="I797" i="6" s="1"/>
  <c r="Q167" i="15" s="1"/>
  <c r="K796" i="6"/>
  <c r="BE796" i="6" s="1"/>
  <c r="J796" i="6"/>
  <c r="BC796" i="6" s="1"/>
  <c r="BD796" i="6" s="1"/>
  <c r="AF166" i="15" s="1"/>
  <c r="H796" i="6"/>
  <c r="I796" i="6" s="1"/>
  <c r="R166" i="15" s="1"/>
  <c r="J795" i="6"/>
  <c r="X166" i="15" s="1"/>
  <c r="Z166" i="15" s="1"/>
  <c r="H795" i="6"/>
  <c r="I795" i="6" s="1"/>
  <c r="Q166" i="15" s="1"/>
  <c r="K794" i="6"/>
  <c r="BE794" i="6" s="1"/>
  <c r="J794" i="6"/>
  <c r="BC794" i="6" s="1"/>
  <c r="BD794" i="6" s="1"/>
  <c r="AH165" i="15" s="1"/>
  <c r="H794" i="6"/>
  <c r="I794" i="6" s="1"/>
  <c r="T165" i="15" s="1"/>
  <c r="N165" i="15"/>
  <c r="K793" i="6"/>
  <c r="BE793" i="6" s="1"/>
  <c r="J793" i="6"/>
  <c r="BC793" i="6" s="1"/>
  <c r="BD793" i="6" s="1"/>
  <c r="AG165" i="15" s="1"/>
  <c r="H793" i="6"/>
  <c r="I793" i="6" s="1"/>
  <c r="S165" i="15" s="1"/>
  <c r="K792" i="6"/>
  <c r="BE792" i="6" s="1"/>
  <c r="J792" i="6"/>
  <c r="BC792" i="6" s="1"/>
  <c r="BD792" i="6" s="1"/>
  <c r="AF165" i="15" s="1"/>
  <c r="H792" i="6"/>
  <c r="I792" i="6" s="1"/>
  <c r="R165" i="15" s="1"/>
  <c r="J791" i="6"/>
  <c r="BC791" i="6" s="1"/>
  <c r="H791" i="6"/>
  <c r="I791" i="6" s="1"/>
  <c r="Q165" i="15" s="1"/>
  <c r="K790" i="6"/>
  <c r="BE790" i="6" s="1"/>
  <c r="J790" i="6"/>
  <c r="BC790" i="6" s="1"/>
  <c r="BD790" i="6" s="1"/>
  <c r="AF164" i="15" s="1"/>
  <c r="H790" i="6"/>
  <c r="I790" i="6" s="1"/>
  <c r="R164" i="15" s="1"/>
  <c r="J789" i="6"/>
  <c r="X164" i="15" s="1"/>
  <c r="Z164" i="15" s="1"/>
  <c r="H789" i="6"/>
  <c r="I789" i="6" s="1"/>
  <c r="Q164" i="15" s="1"/>
  <c r="K788" i="6"/>
  <c r="BE788" i="6" s="1"/>
  <c r="J788" i="6"/>
  <c r="BC788" i="6" s="1"/>
  <c r="BD788" i="6" s="1"/>
  <c r="AF163" i="15" s="1"/>
  <c r="H788" i="6"/>
  <c r="I788" i="6" s="1"/>
  <c r="R163" i="15" s="1"/>
  <c r="J787" i="6"/>
  <c r="X163" i="15" s="1"/>
  <c r="Z163" i="15" s="1"/>
  <c r="H787" i="6"/>
  <c r="I787" i="6" s="1"/>
  <c r="Q163" i="15" s="1"/>
  <c r="K163" i="15"/>
  <c r="J786" i="6"/>
  <c r="BC786" i="6" s="1"/>
  <c r="BD786" i="6" s="1"/>
  <c r="AE162" i="15" s="1"/>
  <c r="AC162" i="15" s="1"/>
  <c r="H786" i="6"/>
  <c r="I786" i="6" s="1"/>
  <c r="Q162" i="15" s="1"/>
  <c r="W162" i="15" s="1"/>
  <c r="K162" i="15"/>
  <c r="I162" i="15" s="1"/>
  <c r="K785" i="6"/>
  <c r="BE785" i="6" s="1"/>
  <c r="J785" i="6"/>
  <c r="BC785" i="6" s="1"/>
  <c r="BD785" i="6" s="1"/>
  <c r="AG161" i="15" s="1"/>
  <c r="AD161" i="15" s="1"/>
  <c r="H785" i="6"/>
  <c r="I785" i="6" s="1"/>
  <c r="S161" i="15" s="1"/>
  <c r="P161" i="15" s="1"/>
  <c r="W161" i="15" s="1"/>
  <c r="M161" i="15"/>
  <c r="J161" i="15" s="1"/>
  <c r="J784" i="6"/>
  <c r="X161" i="15" s="1"/>
  <c r="H784" i="6"/>
  <c r="I784" i="6" s="1"/>
  <c r="Q161" i="15" s="1"/>
  <c r="O161" i="15" s="1"/>
  <c r="BE783" i="6"/>
  <c r="BD783" i="6"/>
  <c r="BC783" i="6"/>
  <c r="BB783" i="6"/>
  <c r="V781" i="6"/>
  <c r="J742" i="6"/>
  <c r="K153" i="6" s="1"/>
  <c r="BE153" i="6" s="1"/>
  <c r="J741" i="6"/>
  <c r="K152" i="6" s="1"/>
  <c r="J736" i="6"/>
  <c r="K147" i="6" s="1"/>
  <c r="BE147" i="6" s="1"/>
  <c r="J733" i="6"/>
  <c r="K144" i="6" s="1"/>
  <c r="X732" i="6"/>
  <c r="J732" i="6"/>
  <c r="K143" i="6" s="1"/>
  <c r="BE143" i="6" s="1"/>
  <c r="J727" i="6"/>
  <c r="K138" i="6" s="1"/>
  <c r="AB126" i="15" s="1"/>
  <c r="J724" i="6"/>
  <c r="K135" i="6" s="1"/>
  <c r="J723" i="6"/>
  <c r="K134" i="6" s="1"/>
  <c r="J718" i="6"/>
  <c r="K129" i="6" s="1"/>
  <c r="J715" i="6"/>
  <c r="K126" i="6" s="1"/>
  <c r="BE126" i="6" s="1"/>
  <c r="J714" i="6"/>
  <c r="K125" i="6" s="1"/>
  <c r="D707" i="6"/>
  <c r="V707" i="6" s="1"/>
  <c r="E635" i="6"/>
  <c r="E1116" i="6" s="1"/>
  <c r="D635" i="6"/>
  <c r="D1116" i="6" s="1"/>
  <c r="X591" i="6"/>
  <c r="X590" i="6"/>
  <c r="X589" i="6"/>
  <c r="X582" i="6"/>
  <c r="X581" i="6"/>
  <c r="X580" i="6"/>
  <c r="X573" i="6"/>
  <c r="X718" i="6" s="1"/>
  <c r="X572" i="6"/>
  <c r="X571" i="6"/>
  <c r="X564" i="6"/>
  <c r="X563" i="6"/>
  <c r="X562" i="6"/>
  <c r="V562" i="6"/>
  <c r="V490" i="6"/>
  <c r="X452" i="6"/>
  <c r="X449" i="6"/>
  <c r="X448" i="6"/>
  <c r="X447" i="6"/>
  <c r="X446" i="6"/>
  <c r="X445" i="6"/>
  <c r="X420" i="6"/>
  <c r="V418" i="6"/>
  <c r="L347" i="6"/>
  <c r="L348" i="6" s="1"/>
  <c r="L349" i="6" s="1"/>
  <c r="L350" i="6" s="1"/>
  <c r="L353" i="6" s="1"/>
  <c r="L355" i="6" s="1"/>
  <c r="L356" i="6" s="1"/>
  <c r="L357" i="6" s="1"/>
  <c r="L358" i="6" s="1"/>
  <c r="L359" i="6" s="1"/>
  <c r="L362" i="6" s="1"/>
  <c r="L364" i="6" s="1"/>
  <c r="L365" i="6" s="1"/>
  <c r="L366" i="6" s="1"/>
  <c r="L367" i="6" s="1"/>
  <c r="L368" i="6" s="1"/>
  <c r="L371" i="6" s="1"/>
  <c r="L373" i="6" s="1"/>
  <c r="L374" i="6" s="1"/>
  <c r="L375" i="6" s="1"/>
  <c r="L376" i="6" s="1"/>
  <c r="L377" i="6" s="1"/>
  <c r="L380" i="6" s="1"/>
  <c r="V346" i="6"/>
  <c r="X308" i="6"/>
  <c r="X741" i="6" s="1"/>
  <c r="K741" i="6"/>
  <c r="L151" i="6"/>
  <c r="X305" i="6"/>
  <c r="K738" i="6"/>
  <c r="X304" i="6"/>
  <c r="K737" i="6"/>
  <c r="X303" i="6"/>
  <c r="X302" i="6"/>
  <c r="X301" i="6"/>
  <c r="K733" i="6"/>
  <c r="L143" i="6"/>
  <c r="AJ129" i="15" s="1"/>
  <c r="K731" i="6"/>
  <c r="K730" i="6"/>
  <c r="K729" i="6"/>
  <c r="L139" i="6"/>
  <c r="AJ127" i="15" s="1"/>
  <c r="X294" i="6"/>
  <c r="X293" i="6"/>
  <c r="X292" i="6"/>
  <c r="K724" i="6"/>
  <c r="X290" i="6"/>
  <c r="X723" i="6" s="1"/>
  <c r="K723" i="6"/>
  <c r="L133" i="6"/>
  <c r="K721" i="6"/>
  <c r="X287" i="6"/>
  <c r="K720" i="6"/>
  <c r="X286" i="6"/>
  <c r="K719" i="6"/>
  <c r="X285" i="6"/>
  <c r="X284" i="6"/>
  <c r="X283" i="6"/>
  <c r="L127" i="6"/>
  <c r="AJ119" i="15" s="1"/>
  <c r="K714" i="6"/>
  <c r="K712" i="6"/>
  <c r="K711" i="6"/>
  <c r="K710" i="6"/>
  <c r="X276" i="6"/>
  <c r="X275" i="6"/>
  <c r="L119" i="6"/>
  <c r="X274" i="6"/>
  <c r="K707" i="6"/>
  <c r="J237" i="6"/>
  <c r="F153" i="6" s="1"/>
  <c r="I237" i="6"/>
  <c r="X236" i="6"/>
  <c r="I236" i="6"/>
  <c r="F236" i="6"/>
  <c r="F308" i="6" s="1"/>
  <c r="F380" i="6" s="1"/>
  <c r="F452" i="6" s="1"/>
  <c r="F524" i="6" s="1"/>
  <c r="F596" i="6" s="1"/>
  <c r="F669" i="6" s="1"/>
  <c r="F741" i="6" s="1"/>
  <c r="J235" i="6"/>
  <c r="F151" i="6" s="1"/>
  <c r="I235" i="6"/>
  <c r="J234" i="6"/>
  <c r="F150" i="6" s="1"/>
  <c r="I234" i="6"/>
  <c r="X233" i="6"/>
  <c r="I233" i="6"/>
  <c r="F233" i="6"/>
  <c r="F305" i="6" s="1"/>
  <c r="F377" i="6" s="1"/>
  <c r="F449" i="6" s="1"/>
  <c r="F521" i="6" s="1"/>
  <c r="F593" i="6" s="1"/>
  <c r="F666" i="6" s="1"/>
  <c r="F738" i="6" s="1"/>
  <c r="X232" i="6"/>
  <c r="I232" i="6"/>
  <c r="F232" i="6"/>
  <c r="F304" i="6" s="1"/>
  <c r="F376" i="6" s="1"/>
  <c r="F448" i="6" s="1"/>
  <c r="F520" i="6" s="1"/>
  <c r="F592" i="6" s="1"/>
  <c r="F665" i="6" s="1"/>
  <c r="F737" i="6" s="1"/>
  <c r="X231" i="6"/>
  <c r="I231" i="6"/>
  <c r="F231" i="6"/>
  <c r="F303" i="6" s="1"/>
  <c r="F375" i="6" s="1"/>
  <c r="F447" i="6" s="1"/>
  <c r="F519" i="6" s="1"/>
  <c r="F591" i="6" s="1"/>
  <c r="F664" i="6" s="1"/>
  <c r="F736" i="6" s="1"/>
  <c r="X230" i="6"/>
  <c r="I230" i="6"/>
  <c r="F230" i="6"/>
  <c r="F302" i="6" s="1"/>
  <c r="F374" i="6" s="1"/>
  <c r="F446" i="6" s="1"/>
  <c r="F518" i="6" s="1"/>
  <c r="F590" i="6" s="1"/>
  <c r="F663" i="6" s="1"/>
  <c r="F735" i="6" s="1"/>
  <c r="X229" i="6"/>
  <c r="I229" i="6"/>
  <c r="F229" i="6"/>
  <c r="F301" i="6" s="1"/>
  <c r="F373" i="6" s="1"/>
  <c r="F445" i="6" s="1"/>
  <c r="F517" i="6" s="1"/>
  <c r="F589" i="6" s="1"/>
  <c r="F662" i="6" s="1"/>
  <c r="F734" i="6" s="1"/>
  <c r="J228" i="6"/>
  <c r="F144" i="6" s="1"/>
  <c r="I228" i="6"/>
  <c r="I227" i="6"/>
  <c r="F227" i="6"/>
  <c r="F299" i="6" s="1"/>
  <c r="F371" i="6" s="1"/>
  <c r="F443" i="6" s="1"/>
  <c r="F515" i="6" s="1"/>
  <c r="F587" i="6" s="1"/>
  <c r="F660" i="6" s="1"/>
  <c r="F732" i="6" s="1"/>
  <c r="J226" i="6"/>
  <c r="F142" i="6" s="1"/>
  <c r="I226" i="6"/>
  <c r="J225" i="6"/>
  <c r="F141" i="6" s="1"/>
  <c r="I225" i="6"/>
  <c r="I224" i="6"/>
  <c r="F224" i="6"/>
  <c r="F296" i="6" s="1"/>
  <c r="F368" i="6" s="1"/>
  <c r="F440" i="6" s="1"/>
  <c r="F512" i="6" s="1"/>
  <c r="F584" i="6" s="1"/>
  <c r="F657" i="6" s="1"/>
  <c r="F729" i="6" s="1"/>
  <c r="I223" i="6"/>
  <c r="F223" i="6"/>
  <c r="F295" i="6" s="1"/>
  <c r="F367" i="6" s="1"/>
  <c r="F439" i="6" s="1"/>
  <c r="F511" i="6" s="1"/>
  <c r="F583" i="6" s="1"/>
  <c r="F656" i="6" s="1"/>
  <c r="F728" i="6" s="1"/>
  <c r="X222" i="6"/>
  <c r="I222" i="6"/>
  <c r="F222" i="6"/>
  <c r="F294" i="6" s="1"/>
  <c r="F366" i="6" s="1"/>
  <c r="F438" i="6" s="1"/>
  <c r="F510" i="6" s="1"/>
  <c r="F582" i="6" s="1"/>
  <c r="F655" i="6" s="1"/>
  <c r="F727" i="6" s="1"/>
  <c r="X221" i="6"/>
  <c r="I221" i="6"/>
  <c r="F221" i="6"/>
  <c r="F293" i="6" s="1"/>
  <c r="F365" i="6" s="1"/>
  <c r="F437" i="6" s="1"/>
  <c r="F509" i="6" s="1"/>
  <c r="F581" i="6" s="1"/>
  <c r="F654" i="6" s="1"/>
  <c r="F726" i="6" s="1"/>
  <c r="X220" i="6"/>
  <c r="I220" i="6"/>
  <c r="F220" i="6"/>
  <c r="F292" i="6" s="1"/>
  <c r="F364" i="6" s="1"/>
  <c r="F436" i="6" s="1"/>
  <c r="F508" i="6" s="1"/>
  <c r="F580" i="6" s="1"/>
  <c r="F653" i="6" s="1"/>
  <c r="F725" i="6" s="1"/>
  <c r="J219" i="6"/>
  <c r="F135" i="6" s="1"/>
  <c r="I219" i="6"/>
  <c r="I218" i="6"/>
  <c r="F218" i="6"/>
  <c r="F290" i="6" s="1"/>
  <c r="F362" i="6" s="1"/>
  <c r="F434" i="6" s="1"/>
  <c r="F506" i="6" s="1"/>
  <c r="F578" i="6" s="1"/>
  <c r="F651" i="6" s="1"/>
  <c r="F723" i="6" s="1"/>
  <c r="J217" i="6"/>
  <c r="F133" i="6" s="1"/>
  <c r="I217" i="6"/>
  <c r="R217" i="6"/>
  <c r="J216" i="6"/>
  <c r="F132" i="6" s="1"/>
  <c r="I216" i="6"/>
  <c r="R216" i="6"/>
  <c r="Q215" i="6" s="1"/>
  <c r="I215" i="6"/>
  <c r="F215" i="6"/>
  <c r="F287" i="6" s="1"/>
  <c r="F359" i="6" s="1"/>
  <c r="F431" i="6" s="1"/>
  <c r="F503" i="6" s="1"/>
  <c r="F575" i="6" s="1"/>
  <c r="F648" i="6" s="1"/>
  <c r="F720" i="6" s="1"/>
  <c r="I214" i="6"/>
  <c r="F214" i="6"/>
  <c r="F286" i="6" s="1"/>
  <c r="F358" i="6" s="1"/>
  <c r="F430" i="6" s="1"/>
  <c r="F502" i="6" s="1"/>
  <c r="F574" i="6" s="1"/>
  <c r="F647" i="6" s="1"/>
  <c r="F719" i="6" s="1"/>
  <c r="X213" i="6"/>
  <c r="I213" i="6"/>
  <c r="F213" i="6"/>
  <c r="F285" i="6" s="1"/>
  <c r="F357" i="6" s="1"/>
  <c r="F429" i="6" s="1"/>
  <c r="F501" i="6" s="1"/>
  <c r="F573" i="6" s="1"/>
  <c r="F646" i="6" s="1"/>
  <c r="F718" i="6" s="1"/>
  <c r="X212" i="6"/>
  <c r="I212" i="6"/>
  <c r="F212" i="6"/>
  <c r="F284" i="6" s="1"/>
  <c r="F356" i="6" s="1"/>
  <c r="F428" i="6" s="1"/>
  <c r="F500" i="6" s="1"/>
  <c r="F572" i="6" s="1"/>
  <c r="F645" i="6" s="1"/>
  <c r="F717" i="6" s="1"/>
  <c r="X211" i="6"/>
  <c r="I211" i="6"/>
  <c r="F211" i="6"/>
  <c r="F283" i="6" s="1"/>
  <c r="F355" i="6" s="1"/>
  <c r="F427" i="6" s="1"/>
  <c r="F499" i="6" s="1"/>
  <c r="F571" i="6" s="1"/>
  <c r="F644" i="6" s="1"/>
  <c r="F716" i="6" s="1"/>
  <c r="J210" i="6"/>
  <c r="F126" i="6" s="1"/>
  <c r="I210" i="6"/>
  <c r="I209" i="6"/>
  <c r="F209" i="6"/>
  <c r="F281" i="6" s="1"/>
  <c r="F353" i="6" s="1"/>
  <c r="F425" i="6" s="1"/>
  <c r="F497" i="6" s="1"/>
  <c r="F569" i="6" s="1"/>
  <c r="F642" i="6" s="1"/>
  <c r="F714" i="6" s="1"/>
  <c r="J208" i="6"/>
  <c r="F124" i="6" s="1"/>
  <c r="I208" i="6"/>
  <c r="I207" i="6"/>
  <c r="R206" i="6"/>
  <c r="J745" i="6" s="1"/>
  <c r="K156" i="6" s="1"/>
  <c r="I206" i="6"/>
  <c r="F206" i="6"/>
  <c r="F278" i="6" s="1"/>
  <c r="F350" i="6" s="1"/>
  <c r="F422" i="6" s="1"/>
  <c r="F494" i="6" s="1"/>
  <c r="F566" i="6" s="1"/>
  <c r="F639" i="6" s="1"/>
  <c r="F711" i="6" s="1"/>
  <c r="I205" i="6"/>
  <c r="F205" i="6"/>
  <c r="F277" i="6" s="1"/>
  <c r="F349" i="6" s="1"/>
  <c r="F421" i="6" s="1"/>
  <c r="F493" i="6" s="1"/>
  <c r="F565" i="6" s="1"/>
  <c r="F638" i="6" s="1"/>
  <c r="F710" i="6" s="1"/>
  <c r="X204" i="6"/>
  <c r="I204" i="6"/>
  <c r="F204" i="6"/>
  <c r="F276" i="6" s="1"/>
  <c r="F348" i="6" s="1"/>
  <c r="F420" i="6" s="1"/>
  <c r="F492" i="6" s="1"/>
  <c r="F564" i="6" s="1"/>
  <c r="F637" i="6" s="1"/>
  <c r="F709" i="6" s="1"/>
  <c r="X203" i="6"/>
  <c r="I203" i="6"/>
  <c r="F203" i="6"/>
  <c r="F275" i="6" s="1"/>
  <c r="F347" i="6" s="1"/>
  <c r="F419" i="6" s="1"/>
  <c r="F491" i="6" s="1"/>
  <c r="F563" i="6" s="1"/>
  <c r="F636" i="6" s="1"/>
  <c r="F708" i="6" s="1"/>
  <c r="X202" i="6"/>
  <c r="V202" i="6"/>
  <c r="I202" i="6"/>
  <c r="F202" i="6"/>
  <c r="F274" i="6" s="1"/>
  <c r="F346" i="6" s="1"/>
  <c r="F418" i="6" s="1"/>
  <c r="F490" i="6" s="1"/>
  <c r="F562" i="6" s="1"/>
  <c r="F635" i="6" s="1"/>
  <c r="F707" i="6" s="1"/>
  <c r="AG201" i="6"/>
  <c r="AF201" i="6"/>
  <c r="AE201" i="6"/>
  <c r="AD201" i="6"/>
  <c r="AC201" i="6"/>
  <c r="AB201" i="6"/>
  <c r="AA201" i="6"/>
  <c r="Z201" i="6"/>
  <c r="Y201" i="6"/>
  <c r="X201" i="6"/>
  <c r="J153" i="6"/>
  <c r="BC153" i="6" s="1"/>
  <c r="H153" i="6"/>
  <c r="E153" i="6"/>
  <c r="G136" i="15" s="1"/>
  <c r="J152" i="6"/>
  <c r="BC152" i="6" s="1"/>
  <c r="H152" i="6"/>
  <c r="K151" i="6"/>
  <c r="BE151" i="6" s="1"/>
  <c r="J151" i="6"/>
  <c r="BC151" i="6" s="1"/>
  <c r="H151" i="6"/>
  <c r="E151" i="6"/>
  <c r="F235" i="6" s="1"/>
  <c r="F307" i="6" s="1"/>
  <c r="F379" i="6" s="1"/>
  <c r="F451" i="6" s="1"/>
  <c r="F523" i="6" s="1"/>
  <c r="F595" i="6" s="1"/>
  <c r="F668" i="6" s="1"/>
  <c r="F740" i="6" s="1"/>
  <c r="J150" i="6"/>
  <c r="BC150" i="6" s="1"/>
  <c r="H150" i="6"/>
  <c r="E150" i="6"/>
  <c r="G134" i="15" s="1"/>
  <c r="K149" i="6"/>
  <c r="BE149" i="6" s="1"/>
  <c r="J149" i="6"/>
  <c r="H149" i="6"/>
  <c r="I149" i="6" s="1"/>
  <c r="S133" i="15" s="1"/>
  <c r="P133" i="15" s="1"/>
  <c r="W133" i="15" s="1"/>
  <c r="M133" i="15"/>
  <c r="J133" i="15" s="1"/>
  <c r="J148" i="6"/>
  <c r="X133" i="15" s="1"/>
  <c r="H148" i="6"/>
  <c r="I148" i="6" s="1"/>
  <c r="Q133" i="15" s="1"/>
  <c r="O133" i="15" s="1"/>
  <c r="K133" i="15"/>
  <c r="I133" i="15" s="1"/>
  <c r="J147" i="6"/>
  <c r="BC147" i="6" s="1"/>
  <c r="BD147" i="6" s="1"/>
  <c r="H147" i="6"/>
  <c r="I147" i="6" s="1"/>
  <c r="Q132" i="15" s="1"/>
  <c r="K146" i="6"/>
  <c r="BE146" i="6" s="1"/>
  <c r="J146" i="6"/>
  <c r="BC146" i="6" s="1"/>
  <c r="H146" i="6"/>
  <c r="I146" i="6" s="1"/>
  <c r="S131" i="15" s="1"/>
  <c r="P131" i="15" s="1"/>
  <c r="W131" i="15" s="1"/>
  <c r="J145" i="6"/>
  <c r="BC145" i="6" s="1"/>
  <c r="BD145" i="6" s="1"/>
  <c r="AE131" i="15" s="1"/>
  <c r="AC131" i="15" s="1"/>
  <c r="H145" i="6"/>
  <c r="BC144" i="6"/>
  <c r="H144" i="6"/>
  <c r="E144" i="6"/>
  <c r="G130" i="15" s="1"/>
  <c r="J143" i="6"/>
  <c r="H143" i="6"/>
  <c r="I143" i="6" s="1"/>
  <c r="Q129" i="15" s="1"/>
  <c r="K142" i="6"/>
  <c r="BE142" i="6" s="1"/>
  <c r="J142" i="6"/>
  <c r="H142" i="6"/>
  <c r="E142" i="6"/>
  <c r="F226" i="6" s="1"/>
  <c r="F298" i="6" s="1"/>
  <c r="F370" i="6" s="1"/>
  <c r="F442" i="6" s="1"/>
  <c r="F514" i="6" s="1"/>
  <c r="F586" i="6" s="1"/>
  <c r="F659" i="6" s="1"/>
  <c r="F731" i="6" s="1"/>
  <c r="J141" i="6"/>
  <c r="BC141" i="6" s="1"/>
  <c r="H141" i="6"/>
  <c r="E141" i="6"/>
  <c r="G128" i="15" s="1"/>
  <c r="K140" i="6"/>
  <c r="BE140" i="6" s="1"/>
  <c r="J140" i="6"/>
  <c r="H140" i="6"/>
  <c r="J139" i="6"/>
  <c r="X127" i="15" s="1"/>
  <c r="H139" i="6"/>
  <c r="I139" i="6" s="1"/>
  <c r="Q127" i="15" s="1"/>
  <c r="O127" i="15" s="1"/>
  <c r="K127" i="15"/>
  <c r="I127" i="15" s="1"/>
  <c r="J138" i="6"/>
  <c r="X126" i="15" s="1"/>
  <c r="Z126" i="15" s="1"/>
  <c r="H138" i="6"/>
  <c r="I138" i="6" s="1"/>
  <c r="Q126" i="15" s="1"/>
  <c r="W126" i="15" s="1"/>
  <c r="K137" i="6"/>
  <c r="BE137" i="6" s="1"/>
  <c r="J137" i="6"/>
  <c r="Y125" i="15" s="1"/>
  <c r="H137" i="6"/>
  <c r="I137" i="6" s="1"/>
  <c r="S125" i="15" s="1"/>
  <c r="P125" i="15" s="1"/>
  <c r="W125" i="15" s="1"/>
  <c r="J136" i="6"/>
  <c r="BC136" i="6" s="1"/>
  <c r="BD136" i="6" s="1"/>
  <c r="AE125" i="15" s="1"/>
  <c r="AC125" i="15" s="1"/>
  <c r="H136" i="6"/>
  <c r="BC135" i="6"/>
  <c r="H135" i="6"/>
  <c r="E135" i="6"/>
  <c r="G124" i="15" s="1"/>
  <c r="J134" i="6"/>
  <c r="BC134" i="6" s="1"/>
  <c r="BD134" i="6" s="1"/>
  <c r="AE123" i="15" s="1"/>
  <c r="AC123" i="15" s="1"/>
  <c r="H134" i="6"/>
  <c r="I134" i="6" s="1"/>
  <c r="Q123" i="15" s="1"/>
  <c r="W123" i="15" s="1"/>
  <c r="K123" i="15"/>
  <c r="I123" i="15" s="1"/>
  <c r="K133" i="6"/>
  <c r="BE133" i="6" s="1"/>
  <c r="J133" i="6"/>
  <c r="H133" i="6"/>
  <c r="E133" i="6"/>
  <c r="F217" i="6" s="1"/>
  <c r="F289" i="6" s="1"/>
  <c r="F361" i="6" s="1"/>
  <c r="F433" i="6" s="1"/>
  <c r="F505" i="6" s="1"/>
  <c r="F577" i="6" s="1"/>
  <c r="F650" i="6" s="1"/>
  <c r="F722" i="6" s="1"/>
  <c r="J132" i="6"/>
  <c r="BC132" i="6" s="1"/>
  <c r="H132" i="6"/>
  <c r="E132" i="6"/>
  <c r="F216" i="6" s="1"/>
  <c r="F288" i="6" s="1"/>
  <c r="F360" i="6" s="1"/>
  <c r="F432" i="6" s="1"/>
  <c r="F504" i="6" s="1"/>
  <c r="F576" i="6" s="1"/>
  <c r="F649" i="6" s="1"/>
  <c r="F721" i="6" s="1"/>
  <c r="K131" i="6"/>
  <c r="BE131" i="6" s="1"/>
  <c r="J131" i="6"/>
  <c r="BC131" i="6" s="1"/>
  <c r="BD131" i="6" s="1"/>
  <c r="AG121" i="15" s="1"/>
  <c r="AD121" i="15" s="1"/>
  <c r="H131" i="6"/>
  <c r="J130" i="6"/>
  <c r="H130" i="6"/>
  <c r="I130" i="6" s="1"/>
  <c r="Q121" i="15" s="1"/>
  <c r="O121" i="15" s="1"/>
  <c r="K121" i="15"/>
  <c r="I121" i="15" s="1"/>
  <c r="J129" i="6"/>
  <c r="X120" i="15" s="1"/>
  <c r="Z120" i="15" s="1"/>
  <c r="H129" i="6"/>
  <c r="I129" i="6" s="1"/>
  <c r="Q120" i="15" s="1"/>
  <c r="O120" i="15" s="1"/>
  <c r="K128" i="6"/>
  <c r="BE128" i="6" s="1"/>
  <c r="J128" i="6"/>
  <c r="BC128" i="6" s="1"/>
  <c r="BD128" i="6" s="1"/>
  <c r="AG119" i="15" s="1"/>
  <c r="AD119" i="15" s="1"/>
  <c r="H128" i="6"/>
  <c r="I128" i="6" s="1"/>
  <c r="S119" i="15" s="1"/>
  <c r="P119" i="15" s="1"/>
  <c r="W119" i="15" s="1"/>
  <c r="J127" i="6"/>
  <c r="X119" i="15" s="1"/>
  <c r="Z119" i="15" s="1"/>
  <c r="H127" i="6"/>
  <c r="I127" i="6" s="1"/>
  <c r="Q119" i="15" s="1"/>
  <c r="O119" i="15" s="1"/>
  <c r="BC126" i="6"/>
  <c r="H126" i="6"/>
  <c r="E126" i="6"/>
  <c r="F210" i="6" s="1"/>
  <c r="F282" i="6" s="1"/>
  <c r="F354" i="6" s="1"/>
  <c r="F426" i="6" s="1"/>
  <c r="F498" i="6" s="1"/>
  <c r="F570" i="6" s="1"/>
  <c r="F643" i="6" s="1"/>
  <c r="F715" i="6" s="1"/>
  <c r="BC125" i="6"/>
  <c r="BD125" i="6" s="1"/>
  <c r="H125" i="6"/>
  <c r="I125" i="6" s="1"/>
  <c r="Q117" i="15" s="1"/>
  <c r="O117" i="15" s="1"/>
  <c r="K117" i="15"/>
  <c r="I117" i="15" s="1"/>
  <c r="K124" i="6"/>
  <c r="BE124" i="6" s="1"/>
  <c r="J124" i="6"/>
  <c r="BC124" i="6" s="1"/>
  <c r="BD124" i="6" s="1"/>
  <c r="AG116" i="15" s="1"/>
  <c r="AD116" i="15" s="1"/>
  <c r="H124" i="6"/>
  <c r="E124" i="6"/>
  <c r="F208" i="6" s="1"/>
  <c r="F280" i="6" s="1"/>
  <c r="F352" i="6" s="1"/>
  <c r="F424" i="6" s="1"/>
  <c r="F496" i="6" s="1"/>
  <c r="F568" i="6" s="1"/>
  <c r="F641" i="6" s="1"/>
  <c r="F713" i="6" s="1"/>
  <c r="J123" i="6"/>
  <c r="BC123" i="6" s="1"/>
  <c r="BD123" i="6" s="1"/>
  <c r="AE116" i="15" s="1"/>
  <c r="AC116" i="15" s="1"/>
  <c r="H123" i="6"/>
  <c r="I123" i="6" s="1"/>
  <c r="Q116" i="15" s="1"/>
  <c r="O116" i="15" s="1"/>
  <c r="E123" i="6"/>
  <c r="G116" i="15" s="1"/>
  <c r="K122" i="6"/>
  <c r="BE122" i="6" s="1"/>
  <c r="J122" i="6"/>
  <c r="Y115" i="15" s="1"/>
  <c r="H122" i="6"/>
  <c r="I122" i="6" s="1"/>
  <c r="S115" i="15" s="1"/>
  <c r="P115" i="15" s="1"/>
  <c r="W115" i="15" s="1"/>
  <c r="J121" i="6"/>
  <c r="H121" i="6"/>
  <c r="K120" i="6"/>
  <c r="BE120" i="6" s="1"/>
  <c r="J120" i="6"/>
  <c r="BC120" i="6" s="1"/>
  <c r="BD120" i="6" s="1"/>
  <c r="AE114" i="15" s="1"/>
  <c r="AC114" i="15" s="1"/>
  <c r="H120" i="6"/>
  <c r="K119" i="6"/>
  <c r="BE119" i="6" s="1"/>
  <c r="J119" i="6"/>
  <c r="BC119" i="6" s="1"/>
  <c r="BD119" i="6" s="1"/>
  <c r="AG113" i="15" s="1"/>
  <c r="AD113" i="15" s="1"/>
  <c r="H119" i="6"/>
  <c r="I119" i="6" s="1"/>
  <c r="S113" i="15" s="1"/>
  <c r="P113" i="15" s="1"/>
  <c r="W113" i="15" s="1"/>
  <c r="J118" i="6"/>
  <c r="P877" i="6" s="1"/>
  <c r="H118" i="6"/>
  <c r="I118" i="6" s="1"/>
  <c r="Q113" i="15" s="1"/>
  <c r="O113" i="15" s="1"/>
  <c r="BE117" i="6"/>
  <c r="BD117" i="6"/>
  <c r="BC117" i="6"/>
  <c r="BB117" i="6"/>
  <c r="V114" i="6"/>
  <c r="F111" i="6"/>
  <c r="F110" i="6"/>
  <c r="F109" i="6"/>
  <c r="F108" i="6"/>
  <c r="Y107" i="6"/>
  <c r="X107" i="6"/>
  <c r="W107" i="6"/>
  <c r="I107" i="6"/>
  <c r="F107" i="6"/>
  <c r="Y106" i="6"/>
  <c r="X106" i="6"/>
  <c r="W106" i="6"/>
  <c r="I106" i="6"/>
  <c r="F106" i="6"/>
  <c r="F105" i="6"/>
  <c r="F104" i="6"/>
  <c r="F103" i="6"/>
  <c r="F102" i="6"/>
  <c r="Y101" i="6"/>
  <c r="X101" i="6"/>
  <c r="W101" i="6"/>
  <c r="Q101" i="6"/>
  <c r="Q96" i="6" s="1"/>
  <c r="W110" i="6" s="1"/>
  <c r="I101" i="6"/>
  <c r="F101" i="6"/>
  <c r="Y100" i="6"/>
  <c r="X100" i="6"/>
  <c r="W100" i="6"/>
  <c r="I100" i="6"/>
  <c r="F100" i="6"/>
  <c r="D100" i="6"/>
  <c r="F99" i="6"/>
  <c r="F98" i="6"/>
  <c r="F97" i="6"/>
  <c r="F96" i="6"/>
  <c r="F95" i="6"/>
  <c r="F94" i="6"/>
  <c r="F93" i="6"/>
  <c r="F92" i="6"/>
  <c r="F91" i="6"/>
  <c r="F90" i="6"/>
  <c r="F89" i="6"/>
  <c r="F88" i="6"/>
  <c r="D88" i="6"/>
  <c r="F86" i="6"/>
  <c r="F85" i="6"/>
  <c r="F84" i="6"/>
  <c r="F83" i="6"/>
  <c r="F82" i="6"/>
  <c r="F81" i="6"/>
  <c r="F80" i="6"/>
  <c r="F79" i="6"/>
  <c r="F78" i="6"/>
  <c r="F77" i="6"/>
  <c r="F76" i="6"/>
  <c r="F75" i="6"/>
  <c r="X66" i="6"/>
  <c r="F66" i="6"/>
  <c r="X65" i="6"/>
  <c r="F65" i="6"/>
  <c r="X64" i="6"/>
  <c r="F64" i="6"/>
  <c r="X63" i="6"/>
  <c r="F63" i="6"/>
  <c r="X62" i="6"/>
  <c r="F62" i="6"/>
  <c r="X61" i="6"/>
  <c r="F61" i="6"/>
  <c r="X60" i="6"/>
  <c r="F60" i="6"/>
  <c r="X59" i="6"/>
  <c r="F59" i="6"/>
  <c r="X58" i="6"/>
  <c r="F58" i="6"/>
  <c r="X57" i="6"/>
  <c r="F57" i="6"/>
  <c r="X56" i="6"/>
  <c r="I56" i="6"/>
  <c r="F56" i="6"/>
  <c r="X55" i="6"/>
  <c r="F55" i="6"/>
  <c r="X51" i="6"/>
  <c r="F51" i="6"/>
  <c r="X50" i="6"/>
  <c r="F50" i="6"/>
  <c r="X49" i="6"/>
  <c r="F49" i="6"/>
  <c r="X48" i="6"/>
  <c r="F48" i="6"/>
  <c r="X47" i="6"/>
  <c r="F47" i="6"/>
  <c r="X46" i="6"/>
  <c r="F46" i="6"/>
  <c r="X45" i="6"/>
  <c r="F45" i="6"/>
  <c r="X44" i="6"/>
  <c r="F44" i="6"/>
  <c r="X43" i="6"/>
  <c r="F43" i="6"/>
  <c r="X42" i="6"/>
  <c r="F42" i="6"/>
  <c r="X41" i="6"/>
  <c r="I41" i="6"/>
  <c r="F41" i="6"/>
  <c r="X40" i="6"/>
  <c r="F40" i="6"/>
  <c r="AG39" i="6"/>
  <c r="AF39" i="6"/>
  <c r="AE39" i="6"/>
  <c r="AD39" i="6"/>
  <c r="AC39" i="6"/>
  <c r="AB39" i="6"/>
  <c r="AA39" i="6"/>
  <c r="Z39" i="6"/>
  <c r="Y39" i="6"/>
  <c r="X39" i="6"/>
  <c r="O18" i="6"/>
  <c r="BE18" i="6" s="1"/>
  <c r="N18" i="6"/>
  <c r="Y112" i="15" s="1"/>
  <c r="G18" i="6"/>
  <c r="H18" i="6" s="1"/>
  <c r="N17" i="6"/>
  <c r="BC17" i="6" s="1"/>
  <c r="H17" i="6"/>
  <c r="O16" i="6"/>
  <c r="BE16" i="6" s="1"/>
  <c r="N16" i="6"/>
  <c r="Y111" i="15" s="1"/>
  <c r="G16" i="6"/>
  <c r="A16" i="6" s="1"/>
  <c r="N15" i="6"/>
  <c r="X111" i="15" s="1"/>
  <c r="H15" i="6"/>
  <c r="N14" i="6"/>
  <c r="BC14" i="6" s="1"/>
  <c r="H14" i="6"/>
  <c r="N13" i="6"/>
  <c r="X109" i="15" s="1"/>
  <c r="Z109" i="15" s="1"/>
  <c r="H13" i="6"/>
  <c r="O12" i="6"/>
  <c r="BE12" i="6" s="1"/>
  <c r="N12" i="6"/>
  <c r="G12" i="6"/>
  <c r="H12" i="6" s="1"/>
  <c r="N11" i="6"/>
  <c r="BC11" i="6" s="1"/>
  <c r="H11" i="6"/>
  <c r="O10" i="6"/>
  <c r="BE10" i="6" s="1"/>
  <c r="N10" i="6"/>
  <c r="Y107" i="15" s="1"/>
  <c r="G10" i="6"/>
  <c r="A10" i="6" s="1"/>
  <c r="N9" i="6"/>
  <c r="BC9" i="6" s="1"/>
  <c r="H9" i="6"/>
  <c r="N8" i="6"/>
  <c r="BC8" i="6" s="1"/>
  <c r="H8" i="6"/>
  <c r="N7" i="6"/>
  <c r="BC7" i="6" s="1"/>
  <c r="H7" i="6"/>
  <c r="V4" i="6"/>
  <c r="AG311" i="5"/>
  <c r="AF311" i="5"/>
  <c r="AE311" i="5"/>
  <c r="AD311" i="5"/>
  <c r="AC311" i="5"/>
  <c r="AB311" i="5"/>
  <c r="AA311" i="5"/>
  <c r="Z311" i="5"/>
  <c r="Y311" i="5"/>
  <c r="X311" i="5"/>
  <c r="W311" i="5"/>
  <c r="H304" i="5"/>
  <c r="I304" i="5" s="1"/>
  <c r="O102" i="15" s="1"/>
  <c r="V102" i="15" s="1"/>
  <c r="I102" i="15"/>
  <c r="H302" i="5"/>
  <c r="I100" i="15"/>
  <c r="AB99" i="15"/>
  <c r="X99" i="15"/>
  <c r="Z99" i="15" s="1"/>
  <c r="H301" i="5"/>
  <c r="I99" i="15"/>
  <c r="X97" i="15"/>
  <c r="Z97" i="15" s="1"/>
  <c r="H299" i="5"/>
  <c r="I97" i="15"/>
  <c r="H298" i="5"/>
  <c r="I96" i="15"/>
  <c r="BE296" i="5"/>
  <c r="X94" i="15"/>
  <c r="Z94" i="15" s="1"/>
  <c r="H296" i="5"/>
  <c r="I94" i="15"/>
  <c r="BE295" i="5"/>
  <c r="BD295" i="5"/>
  <c r="BC295" i="5"/>
  <c r="BB295" i="5"/>
  <c r="AG295" i="5"/>
  <c r="AF295" i="5"/>
  <c r="AE295" i="5"/>
  <c r="AD295" i="5"/>
  <c r="AC295" i="5"/>
  <c r="AB295" i="5"/>
  <c r="AA295" i="5"/>
  <c r="Z295" i="5"/>
  <c r="Y295" i="5"/>
  <c r="X295" i="5"/>
  <c r="W295" i="5"/>
  <c r="V293" i="5"/>
  <c r="AG291" i="5"/>
  <c r="AF291" i="5"/>
  <c r="AE291" i="5"/>
  <c r="AD291" i="5"/>
  <c r="AC291" i="5"/>
  <c r="Z291" i="5"/>
  <c r="AA291" i="5" s="1"/>
  <c r="AG290" i="5"/>
  <c r="AF290" i="5"/>
  <c r="AE290" i="5"/>
  <c r="AD290" i="5"/>
  <c r="AC290" i="5"/>
  <c r="Z290" i="5"/>
  <c r="AA290" i="5" s="1"/>
  <c r="AG281" i="5"/>
  <c r="AF281" i="5"/>
  <c r="AE281" i="5"/>
  <c r="AD281" i="5"/>
  <c r="AC281" i="5"/>
  <c r="Z281" i="5"/>
  <c r="AA281" i="5" s="1"/>
  <c r="AG277" i="5"/>
  <c r="AF277" i="5"/>
  <c r="AE277" i="5"/>
  <c r="AD277" i="5"/>
  <c r="AC277" i="5"/>
  <c r="Z277" i="5"/>
  <c r="AA277" i="5" s="1"/>
  <c r="AG276" i="5"/>
  <c r="AF276" i="5"/>
  <c r="AE276" i="5"/>
  <c r="AD276" i="5"/>
  <c r="AC276" i="5"/>
  <c r="Z276" i="5"/>
  <c r="AA276" i="5" s="1"/>
  <c r="AG275" i="5"/>
  <c r="AF275" i="5"/>
  <c r="AE275" i="5"/>
  <c r="AD275" i="5"/>
  <c r="AC275" i="5"/>
  <c r="Z275" i="5"/>
  <c r="AA275" i="5" s="1"/>
  <c r="AG273" i="5"/>
  <c r="AF273" i="5"/>
  <c r="AE273" i="5"/>
  <c r="AD273" i="5"/>
  <c r="AC273" i="5"/>
  <c r="Z273" i="5"/>
  <c r="AA273" i="5" s="1"/>
  <c r="AG272" i="5"/>
  <c r="AF272" i="5"/>
  <c r="AE272" i="5"/>
  <c r="AD272" i="5"/>
  <c r="AC272" i="5"/>
  <c r="Z272" i="5"/>
  <c r="AA272" i="5" s="1"/>
  <c r="AG270" i="5"/>
  <c r="AF270" i="5"/>
  <c r="AE270" i="5"/>
  <c r="AD270" i="5"/>
  <c r="AC270" i="5"/>
  <c r="Y270" i="5"/>
  <c r="Z270" i="5" s="1"/>
  <c r="AA270" i="5" s="1"/>
  <c r="X270" i="5"/>
  <c r="W270" i="5"/>
  <c r="AG268" i="5"/>
  <c r="AF268" i="5"/>
  <c r="AE268" i="5"/>
  <c r="AD268" i="5"/>
  <c r="AC268" i="5"/>
  <c r="Y268" i="5"/>
  <c r="Z268" i="5" s="1"/>
  <c r="AA268" i="5" s="1"/>
  <c r="X268" i="5"/>
  <c r="W268" i="5"/>
  <c r="AG267" i="5"/>
  <c r="AF267" i="5"/>
  <c r="AE267" i="5"/>
  <c r="AD267" i="5"/>
  <c r="AC267" i="5"/>
  <c r="Z267" i="5"/>
  <c r="AA267" i="5" s="1"/>
  <c r="AG265" i="5"/>
  <c r="AF265" i="5"/>
  <c r="AE265" i="5"/>
  <c r="AD265" i="5"/>
  <c r="AC265" i="5"/>
  <c r="Y265" i="5"/>
  <c r="Z265" i="5" s="1"/>
  <c r="AA265" i="5" s="1"/>
  <c r="X265" i="5"/>
  <c r="W265" i="5"/>
  <c r="G265" i="5"/>
  <c r="F256" i="5" s="1"/>
  <c r="BE257" i="5"/>
  <c r="X92" i="15"/>
  <c r="Z92" i="15" s="1"/>
  <c r="H257" i="5"/>
  <c r="V255" i="5"/>
  <c r="V257" i="5" s="1"/>
  <c r="V256" i="5" s="1"/>
  <c r="V258" i="5" s="1"/>
  <c r="AB90" i="15"/>
  <c r="X90" i="15"/>
  <c r="Z90" i="15" s="1"/>
  <c r="H255" i="5"/>
  <c r="BE254" i="5"/>
  <c r="BD254" i="5"/>
  <c r="BC254" i="5"/>
  <c r="BB254" i="5"/>
  <c r="AG254" i="5"/>
  <c r="AF254" i="5"/>
  <c r="AE254" i="5"/>
  <c r="AD254" i="5"/>
  <c r="AC254" i="5"/>
  <c r="AB254" i="5"/>
  <c r="AA254" i="5"/>
  <c r="Z254" i="5"/>
  <c r="Y254" i="5"/>
  <c r="X254" i="5"/>
  <c r="W254" i="5"/>
  <c r="V252" i="5"/>
  <c r="AG215" i="5"/>
  <c r="AF215" i="5"/>
  <c r="AE215" i="5"/>
  <c r="AD215" i="5"/>
  <c r="AC215" i="5"/>
  <c r="AB215" i="5"/>
  <c r="AA215" i="5"/>
  <c r="Z215" i="5"/>
  <c r="Y215" i="5"/>
  <c r="X215" i="5"/>
  <c r="W215" i="5"/>
  <c r="BE206" i="5"/>
  <c r="BC206" i="5"/>
  <c r="H206" i="5"/>
  <c r="V204" i="5"/>
  <c r="V206" i="5" s="1"/>
  <c r="V205" i="5" s="1"/>
  <c r="V207" i="5" s="1"/>
  <c r="BE204" i="5"/>
  <c r="X86" i="15"/>
  <c r="Z86" i="15" s="1"/>
  <c r="I204" i="5"/>
  <c r="F205" i="5" s="1"/>
  <c r="H204" i="5"/>
  <c r="BE203" i="5"/>
  <c r="BD203" i="5"/>
  <c r="BC203" i="5"/>
  <c r="BB203" i="5"/>
  <c r="AG203" i="5"/>
  <c r="AF203" i="5"/>
  <c r="AE203" i="5"/>
  <c r="AD203" i="5"/>
  <c r="AC203" i="5"/>
  <c r="AB203" i="5"/>
  <c r="AA203" i="5"/>
  <c r="Z203" i="5"/>
  <c r="Y203" i="5"/>
  <c r="X203" i="5"/>
  <c r="W203" i="5"/>
  <c r="V201" i="5"/>
  <c r="AG163" i="5"/>
  <c r="AF163" i="5"/>
  <c r="AE163" i="5"/>
  <c r="AD163" i="5"/>
  <c r="AC163" i="5"/>
  <c r="AB163" i="5"/>
  <c r="AA163" i="5"/>
  <c r="Z163" i="5"/>
  <c r="Y163" i="5"/>
  <c r="X163" i="5"/>
  <c r="W163" i="5"/>
  <c r="BE154" i="5"/>
  <c r="BC154" i="5"/>
  <c r="H154" i="5"/>
  <c r="E154" i="5"/>
  <c r="V152" i="5"/>
  <c r="V154" i="5" s="1"/>
  <c r="V153" i="5" s="1"/>
  <c r="V155" i="5" s="1"/>
  <c r="BE152" i="5"/>
  <c r="BC152" i="5"/>
  <c r="BD152" i="5" s="1"/>
  <c r="AE82" i="15" s="1"/>
  <c r="AC82" i="15" s="1"/>
  <c r="I82" i="15"/>
  <c r="H152" i="5"/>
  <c r="BE151" i="5"/>
  <c r="BD151" i="5"/>
  <c r="BC151" i="5"/>
  <c r="BB151" i="5"/>
  <c r="AG151" i="5"/>
  <c r="AF151" i="5"/>
  <c r="AE151" i="5"/>
  <c r="AD151" i="5"/>
  <c r="AC151" i="5"/>
  <c r="AB151" i="5"/>
  <c r="AA151" i="5"/>
  <c r="Z151" i="5"/>
  <c r="Y151" i="5"/>
  <c r="X151" i="5"/>
  <c r="W151" i="5"/>
  <c r="V149" i="5"/>
  <c r="AG111" i="5"/>
  <c r="AF111" i="5"/>
  <c r="AE111" i="5"/>
  <c r="AD111" i="5"/>
  <c r="AC111" i="5"/>
  <c r="AB111" i="5"/>
  <c r="AA111" i="5"/>
  <c r="Z111" i="5"/>
  <c r="Y111" i="5"/>
  <c r="X111" i="5"/>
  <c r="W111" i="5"/>
  <c r="BE102" i="5"/>
  <c r="BC102" i="5"/>
  <c r="I80" i="15"/>
  <c r="H102" i="5"/>
  <c r="V100" i="5"/>
  <c r="V102" i="5" s="1"/>
  <c r="V101" i="5" s="1"/>
  <c r="V103" i="5" s="1"/>
  <c r="BE100" i="5"/>
  <c r="K100" i="5"/>
  <c r="H100" i="5"/>
  <c r="BE99" i="5"/>
  <c r="BD99" i="5"/>
  <c r="BC99" i="5"/>
  <c r="BB99" i="5"/>
  <c r="AG99" i="5"/>
  <c r="AF99" i="5"/>
  <c r="AE99" i="5"/>
  <c r="AD99" i="5"/>
  <c r="AC99" i="5"/>
  <c r="AB99" i="5"/>
  <c r="AA99" i="5"/>
  <c r="Z99" i="5"/>
  <c r="Y99" i="5"/>
  <c r="X99" i="5"/>
  <c r="W99" i="5"/>
  <c r="V97" i="5"/>
  <c r="AG67" i="5"/>
  <c r="AF67" i="5"/>
  <c r="AE67" i="5"/>
  <c r="AD67" i="5"/>
  <c r="AC67" i="5"/>
  <c r="AB67" i="5"/>
  <c r="AA67" i="5"/>
  <c r="Z67" i="5"/>
  <c r="Y67" i="5"/>
  <c r="X67" i="5"/>
  <c r="W67" i="5"/>
  <c r="BE53" i="5"/>
  <c r="BC53" i="5"/>
  <c r="H53" i="5"/>
  <c r="I74" i="15"/>
  <c r="J52" i="5"/>
  <c r="BC52" i="5" s="1"/>
  <c r="H52" i="5"/>
  <c r="I73" i="15"/>
  <c r="AB72" i="15"/>
  <c r="X72" i="15"/>
  <c r="Z72" i="15" s="1"/>
  <c r="H51" i="5"/>
  <c r="I72" i="15"/>
  <c r="J48" i="5"/>
  <c r="BC48" i="5" s="1"/>
  <c r="H48" i="5"/>
  <c r="I69" i="15"/>
  <c r="AB68" i="15"/>
  <c r="BC47" i="5"/>
  <c r="H47" i="5"/>
  <c r="I68" i="15"/>
  <c r="K46" i="5"/>
  <c r="BE46" i="5" s="1"/>
  <c r="J46" i="5"/>
  <c r="BC46" i="5" s="1"/>
  <c r="H46" i="5"/>
  <c r="I67"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L11" i="5"/>
  <c r="J11" i="5"/>
  <c r="F11" i="5" s="1"/>
  <c r="I66" i="15" s="1"/>
  <c r="H11" i="5"/>
  <c r="E11" i="5"/>
  <c r="G66" i="15" s="1"/>
  <c r="M10" i="5"/>
  <c r="AB65" i="15" s="1"/>
  <c r="L10" i="5"/>
  <c r="X65" i="15" s="1"/>
  <c r="Z65" i="15" s="1"/>
  <c r="J10" i="5"/>
  <c r="F10" i="5" s="1"/>
  <c r="H10" i="5"/>
  <c r="M7" i="5"/>
  <c r="L7" i="5"/>
  <c r="X62" i="15" s="1"/>
  <c r="Z62" i="15" s="1"/>
  <c r="F7" i="5"/>
  <c r="I62" i="15" s="1"/>
  <c r="H7" i="5"/>
  <c r="V4" i="5"/>
  <c r="AB429" i="15"/>
  <c r="H471" i="9"/>
  <c r="Y100" i="3"/>
  <c r="X100" i="3"/>
  <c r="W100" i="3"/>
  <c r="F89" i="3"/>
  <c r="X88" i="3"/>
  <c r="W88" i="3"/>
  <c r="F88" i="3"/>
  <c r="X87" i="3"/>
  <c r="W87" i="3"/>
  <c r="F87" i="3"/>
  <c r="X86" i="3"/>
  <c r="W86" i="3"/>
  <c r="F86" i="3"/>
  <c r="H85" i="3"/>
  <c r="F85" i="3"/>
  <c r="H84" i="3"/>
  <c r="F84" i="3"/>
  <c r="H83" i="3"/>
  <c r="F83" i="3"/>
  <c r="H82" i="3"/>
  <c r="F82" i="3"/>
  <c r="H81" i="3"/>
  <c r="F81" i="3"/>
  <c r="H80" i="3"/>
  <c r="F80" i="3"/>
  <c r="H79" i="3"/>
  <c r="F79" i="3"/>
  <c r="H78" i="3"/>
  <c r="F78" i="3"/>
  <c r="H77" i="3"/>
  <c r="F77" i="3"/>
  <c r="H76" i="3"/>
  <c r="F76" i="3"/>
  <c r="H73" i="3"/>
  <c r="F73" i="3"/>
  <c r="H72" i="3"/>
  <c r="F72" i="3"/>
  <c r="H71" i="3"/>
  <c r="F71" i="3"/>
  <c r="H70" i="3"/>
  <c r="F70" i="3"/>
  <c r="H69" i="3"/>
  <c r="F69" i="3"/>
  <c r="H68" i="3"/>
  <c r="F68" i="3"/>
  <c r="H67" i="3"/>
  <c r="F67" i="3"/>
  <c r="H66" i="3"/>
  <c r="F66" i="3"/>
  <c r="H65" i="3"/>
  <c r="F65" i="3"/>
  <c r="X64" i="3"/>
  <c r="W64" i="3"/>
  <c r="H64" i="3"/>
  <c r="F64" i="3"/>
  <c r="X63" i="3"/>
  <c r="W63" i="3"/>
  <c r="I63" i="3"/>
  <c r="H63" i="3"/>
  <c r="F63" i="3"/>
  <c r="X62" i="3"/>
  <c r="W62" i="3"/>
  <c r="I62" i="3"/>
  <c r="H62" i="3"/>
  <c r="F62" i="3"/>
  <c r="H61" i="3"/>
  <c r="F61" i="3"/>
  <c r="H60" i="3"/>
  <c r="F60" i="3"/>
  <c r="H59" i="3"/>
  <c r="F59" i="3"/>
  <c r="H58" i="3"/>
  <c r="F58" i="3"/>
  <c r="H57" i="3"/>
  <c r="F57" i="3"/>
  <c r="H56" i="3"/>
  <c r="F56" i="3"/>
  <c r="H55" i="3"/>
  <c r="F55" i="3"/>
  <c r="H54" i="3"/>
  <c r="F54" i="3"/>
  <c r="H53" i="3"/>
  <c r="F53" i="3"/>
  <c r="H52" i="3"/>
  <c r="F52" i="3"/>
  <c r="H49" i="3"/>
  <c r="F49" i="3"/>
  <c r="H48" i="3"/>
  <c r="F48" i="3"/>
  <c r="H47" i="3"/>
  <c r="F47" i="3"/>
  <c r="H46" i="3"/>
  <c r="F46" i="3"/>
  <c r="H45" i="3"/>
  <c r="F45" i="3"/>
  <c r="F70" i="5" s="1"/>
  <c r="H44" i="3"/>
  <c r="F44" i="3"/>
  <c r="F69" i="5" s="1"/>
  <c r="H43" i="3"/>
  <c r="F43" i="3"/>
  <c r="H42" i="3"/>
  <c r="F42" i="3"/>
  <c r="AG41" i="3"/>
  <c r="AF41" i="3"/>
  <c r="AE41" i="3"/>
  <c r="AD41" i="3"/>
  <c r="AC41" i="3"/>
  <c r="AB41" i="3"/>
  <c r="AA41" i="3"/>
  <c r="Z41" i="3"/>
  <c r="Y41" i="3"/>
  <c r="X41" i="3"/>
  <c r="H41" i="3"/>
  <c r="Q30" i="3"/>
  <c r="P30" i="3"/>
  <c r="X32" i="15" s="1"/>
  <c r="Z32" i="15" s="1"/>
  <c r="M30" i="3"/>
  <c r="L30" i="3"/>
  <c r="K30" i="3"/>
  <c r="I30" i="3"/>
  <c r="Q29" i="3"/>
  <c r="P29" i="3"/>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F12" i="3" s="1"/>
  <c r="I14" i="15" s="1"/>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07" i="2"/>
  <c r="DE806" i="2"/>
  <c r="DD806" i="2"/>
  <c r="DC806" i="2"/>
  <c r="DB806" i="2"/>
  <c r="BE806" i="2"/>
  <c r="BD806" i="2"/>
  <c r="BC806" i="2"/>
  <c r="BB806" i="2"/>
  <c r="AZ806" i="2"/>
  <c r="AY806" i="2"/>
  <c r="AX806" i="2"/>
  <c r="AW806" i="2"/>
  <c r="AS806" i="2"/>
  <c r="AR806" i="2"/>
  <c r="AQ806" i="2"/>
  <c r="AP806" i="2"/>
  <c r="AO806" i="2"/>
  <c r="AL806" i="2"/>
  <c r="AK806" i="2"/>
  <c r="AG806" i="2"/>
  <c r="AF806" i="2"/>
  <c r="AE806" i="2"/>
  <c r="AD806" i="2"/>
  <c r="AC806" i="2"/>
  <c r="AA806" i="2"/>
  <c r="Z806" i="2"/>
  <c r="Y806" i="2"/>
  <c r="X806" i="2"/>
  <c r="W806" i="2"/>
  <c r="V804" i="2"/>
  <c r="E786" i="2"/>
  <c r="D786" i="2"/>
  <c r="DE776" i="2"/>
  <c r="DC776" i="2"/>
  <c r="H776" i="2"/>
  <c r="F776" i="2"/>
  <c r="DE775" i="2"/>
  <c r="DD775" i="2"/>
  <c r="DC775" i="2"/>
  <c r="DB775" i="2"/>
  <c r="BE775" i="2"/>
  <c r="BD775" i="2"/>
  <c r="BC775" i="2"/>
  <c r="BB775" i="2"/>
  <c r="AZ775" i="2"/>
  <c r="AY775" i="2"/>
  <c r="AX775" i="2"/>
  <c r="AW775" i="2"/>
  <c r="AS775" i="2"/>
  <c r="AR775" i="2"/>
  <c r="AQ775" i="2"/>
  <c r="AP775" i="2"/>
  <c r="AO775" i="2"/>
  <c r="AN775" i="2"/>
  <c r="AM775" i="2"/>
  <c r="AL775" i="2"/>
  <c r="AK775" i="2"/>
  <c r="AG775" i="2"/>
  <c r="AF775" i="2"/>
  <c r="AE775" i="2"/>
  <c r="AD775" i="2"/>
  <c r="AC775" i="2"/>
  <c r="AA775" i="2"/>
  <c r="Z775" i="2"/>
  <c r="Y775" i="2"/>
  <c r="X775" i="2"/>
  <c r="W775" i="2"/>
  <c r="V773" i="2"/>
  <c r="G770" i="2"/>
  <c r="F770" i="2"/>
  <c r="E770" i="2"/>
  <c r="D770" i="2"/>
  <c r="G769" i="2"/>
  <c r="F769" i="2"/>
  <c r="E769" i="2"/>
  <c r="D769" i="2"/>
  <c r="DE759" i="2"/>
  <c r="DC759" i="2"/>
  <c r="H759" i="2"/>
  <c r="DE758" i="2"/>
  <c r="DC758" i="2"/>
  <c r="H758" i="2"/>
  <c r="DE757" i="2"/>
  <c r="DD757" i="2"/>
  <c r="DC757" i="2"/>
  <c r="DB757" i="2"/>
  <c r="BE757" i="2"/>
  <c r="BD757" i="2"/>
  <c r="BC757" i="2"/>
  <c r="BB757" i="2"/>
  <c r="AZ757" i="2"/>
  <c r="AY757" i="2"/>
  <c r="AX757" i="2"/>
  <c r="AW757" i="2"/>
  <c r="AS757" i="2"/>
  <c r="AR757" i="2"/>
  <c r="AQ757" i="2"/>
  <c r="AP757" i="2"/>
  <c r="AO757" i="2"/>
  <c r="AN757" i="2"/>
  <c r="AM757" i="2"/>
  <c r="AL757" i="2"/>
  <c r="AK757" i="2"/>
  <c r="AG757" i="2"/>
  <c r="AF757" i="2"/>
  <c r="AE757" i="2"/>
  <c r="AD757" i="2"/>
  <c r="AC757" i="2"/>
  <c r="AA757" i="2"/>
  <c r="Z757" i="2"/>
  <c r="Y757" i="2"/>
  <c r="X757" i="2"/>
  <c r="W757" i="2"/>
  <c r="V755" i="2"/>
  <c r="E752" i="2"/>
  <c r="D752" i="2"/>
  <c r="E751" i="2"/>
  <c r="D751" i="2"/>
  <c r="DE741" i="2"/>
  <c r="DC741" i="2"/>
  <c r="V741" i="2"/>
  <c r="G741" i="2"/>
  <c r="K741" i="2" s="1"/>
  <c r="P662" i="15" s="1"/>
  <c r="F741" i="2"/>
  <c r="DE740" i="2"/>
  <c r="DC740" i="2"/>
  <c r="AI740" i="2"/>
  <c r="AI741" i="2" s="1"/>
  <c r="V740" i="2"/>
  <c r="G740" i="2"/>
  <c r="F740" i="2"/>
  <c r="DE739" i="2"/>
  <c r="DD739" i="2"/>
  <c r="DC739" i="2"/>
  <c r="DB739" i="2"/>
  <c r="BQ739" i="2"/>
  <c r="BP739" i="2"/>
  <c r="BO739" i="2"/>
  <c r="BN739" i="2"/>
  <c r="BL739" i="2"/>
  <c r="BK739" i="2"/>
  <c r="BJ739" i="2"/>
  <c r="BI739" i="2"/>
  <c r="BE739" i="2"/>
  <c r="BD739" i="2"/>
  <c r="BC739" i="2"/>
  <c r="BB739" i="2"/>
  <c r="AZ739" i="2"/>
  <c r="AY739" i="2"/>
  <c r="AX739" i="2"/>
  <c r="AW739" i="2"/>
  <c r="AS739" i="2"/>
  <c r="AR739" i="2"/>
  <c r="AQ739" i="2"/>
  <c r="AP739" i="2"/>
  <c r="AO739" i="2"/>
  <c r="AN739" i="2"/>
  <c r="AM739" i="2"/>
  <c r="AL739" i="2"/>
  <c r="AK739" i="2"/>
  <c r="AG739" i="2"/>
  <c r="AF739" i="2"/>
  <c r="AE739" i="2"/>
  <c r="AD739" i="2"/>
  <c r="AC739" i="2"/>
  <c r="AA739" i="2"/>
  <c r="Z739" i="2"/>
  <c r="Y739" i="2"/>
  <c r="X739" i="2"/>
  <c r="W739" i="2"/>
  <c r="V737" i="2"/>
  <c r="E734" i="2"/>
  <c r="D734" i="2"/>
  <c r="DE724" i="2"/>
  <c r="DC724" i="2"/>
  <c r="V724" i="2"/>
  <c r="V725" i="2" s="1"/>
  <c r="H724" i="2"/>
  <c r="F724" i="2"/>
  <c r="DE723" i="2"/>
  <c r="DD723" i="2"/>
  <c r="DC723" i="2"/>
  <c r="DB723" i="2"/>
  <c r="BE723" i="2"/>
  <c r="BD723" i="2"/>
  <c r="BC723" i="2"/>
  <c r="BB723" i="2"/>
  <c r="AZ723" i="2"/>
  <c r="AY723" i="2"/>
  <c r="AX723" i="2"/>
  <c r="AW723" i="2"/>
  <c r="AS723" i="2"/>
  <c r="AR723" i="2"/>
  <c r="AQ723" i="2"/>
  <c r="AP723" i="2"/>
  <c r="AO723" i="2"/>
  <c r="AN723" i="2"/>
  <c r="AM723" i="2"/>
  <c r="AL723" i="2"/>
  <c r="AK723" i="2"/>
  <c r="AG723" i="2"/>
  <c r="AF723" i="2"/>
  <c r="AE723" i="2"/>
  <c r="AD723" i="2"/>
  <c r="AC723" i="2"/>
  <c r="AA723" i="2"/>
  <c r="Z723" i="2"/>
  <c r="Y723" i="2"/>
  <c r="X723" i="2"/>
  <c r="W723" i="2"/>
  <c r="V721" i="2"/>
  <c r="E718" i="2"/>
  <c r="D718" i="2"/>
  <c r="E717" i="2"/>
  <c r="D717" i="2"/>
  <c r="E716" i="2"/>
  <c r="D716" i="2"/>
  <c r="DE706" i="2"/>
  <c r="DC706" i="2"/>
  <c r="H706" i="2"/>
  <c r="F706" i="2"/>
  <c r="DE705" i="2"/>
  <c r="DC705" i="2"/>
  <c r="H705" i="2"/>
  <c r="F705" i="2"/>
  <c r="DE704" i="2"/>
  <c r="DC704" i="2"/>
  <c r="V704" i="2"/>
  <c r="V705" i="2" s="1"/>
  <c r="V706" i="2" s="1"/>
  <c r="H704" i="2"/>
  <c r="F704" i="2"/>
  <c r="DE703" i="2"/>
  <c r="DD703" i="2"/>
  <c r="DC703" i="2"/>
  <c r="DB703" i="2"/>
  <c r="BE703" i="2"/>
  <c r="BD703" i="2"/>
  <c r="BC703" i="2"/>
  <c r="BB703" i="2"/>
  <c r="AZ703" i="2"/>
  <c r="AY703" i="2"/>
  <c r="AX703" i="2"/>
  <c r="AW703" i="2"/>
  <c r="AS703" i="2"/>
  <c r="AR703" i="2"/>
  <c r="AQ703" i="2"/>
  <c r="AP703" i="2"/>
  <c r="AO703" i="2"/>
  <c r="AN703" i="2"/>
  <c r="AM703" i="2"/>
  <c r="AL703" i="2"/>
  <c r="AK703" i="2"/>
  <c r="AG703" i="2"/>
  <c r="AF703" i="2"/>
  <c r="AE703" i="2"/>
  <c r="AD703" i="2"/>
  <c r="AC703" i="2"/>
  <c r="AA703" i="2"/>
  <c r="Z703" i="2"/>
  <c r="Y703" i="2"/>
  <c r="X703" i="2"/>
  <c r="W703" i="2"/>
  <c r="V701" i="2"/>
  <c r="E698" i="2"/>
  <c r="D698" i="2"/>
  <c r="DE688" i="2"/>
  <c r="DC688" i="2"/>
  <c r="V688" i="2"/>
  <c r="H688" i="2"/>
  <c r="F688" i="2"/>
  <c r="DE687" i="2"/>
  <c r="DD687" i="2"/>
  <c r="DC687" i="2"/>
  <c r="DB687" i="2"/>
  <c r="BE687" i="2"/>
  <c r="BD687" i="2"/>
  <c r="BC687" i="2"/>
  <c r="BB687" i="2"/>
  <c r="AZ687" i="2"/>
  <c r="AY687" i="2"/>
  <c r="AX687" i="2"/>
  <c r="AW687" i="2"/>
  <c r="AS687" i="2"/>
  <c r="AR687" i="2"/>
  <c r="AQ687" i="2"/>
  <c r="AP687" i="2"/>
  <c r="AO687" i="2"/>
  <c r="AN687" i="2"/>
  <c r="AM687" i="2"/>
  <c r="AL687" i="2"/>
  <c r="AK687" i="2"/>
  <c r="AG687" i="2"/>
  <c r="AF687" i="2"/>
  <c r="AE687" i="2"/>
  <c r="AD687" i="2"/>
  <c r="AC687" i="2"/>
  <c r="AA687" i="2"/>
  <c r="Z687" i="2"/>
  <c r="Y687" i="2"/>
  <c r="X687" i="2"/>
  <c r="W687" i="2"/>
  <c r="V685" i="2"/>
  <c r="E682" i="2"/>
  <c r="D682" i="2"/>
  <c r="DE672" i="2"/>
  <c r="DC672" i="2"/>
  <c r="H672" i="2"/>
  <c r="F672" i="2"/>
  <c r="DE671" i="2"/>
  <c r="DD671" i="2"/>
  <c r="DC671" i="2"/>
  <c r="DB671" i="2"/>
  <c r="BE671" i="2"/>
  <c r="BD671" i="2"/>
  <c r="BC671" i="2"/>
  <c r="BB671" i="2"/>
  <c r="AZ671" i="2"/>
  <c r="AY671" i="2"/>
  <c r="AX671" i="2"/>
  <c r="AW671" i="2"/>
  <c r="AS671" i="2"/>
  <c r="AR671" i="2"/>
  <c r="AQ671" i="2"/>
  <c r="AP671" i="2"/>
  <c r="AO671" i="2"/>
  <c r="AN671" i="2"/>
  <c r="AM671" i="2"/>
  <c r="AL671" i="2"/>
  <c r="AK671" i="2"/>
  <c r="AG671" i="2"/>
  <c r="AF671" i="2"/>
  <c r="AE671" i="2"/>
  <c r="AD671" i="2"/>
  <c r="AC671" i="2"/>
  <c r="AA671" i="2"/>
  <c r="Z671" i="2"/>
  <c r="Y671" i="2"/>
  <c r="X671" i="2"/>
  <c r="W671" i="2"/>
  <c r="V669" i="2"/>
  <c r="J666" i="2"/>
  <c r="F656" i="2" s="1"/>
  <c r="E666" i="2"/>
  <c r="D666" i="2"/>
  <c r="DE656" i="2"/>
  <c r="DC656" i="2"/>
  <c r="H656" i="2"/>
  <c r="DE655" i="2"/>
  <c r="DD655" i="2"/>
  <c r="DC655" i="2"/>
  <c r="DB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K650" i="2"/>
  <c r="F650" i="2"/>
  <c r="E650" i="2"/>
  <c r="D650" i="2"/>
  <c r="DE640" i="2"/>
  <c r="DC640" i="2"/>
  <c r="H640" i="2"/>
  <c r="DE639" i="2"/>
  <c r="DD639" i="2"/>
  <c r="DC639" i="2"/>
  <c r="DB639" i="2"/>
  <c r="BE639" i="2"/>
  <c r="BD639" i="2"/>
  <c r="BC639" i="2"/>
  <c r="BB639" i="2"/>
  <c r="AZ639" i="2"/>
  <c r="AY639" i="2"/>
  <c r="AX639" i="2"/>
  <c r="AW639" i="2"/>
  <c r="AS639" i="2"/>
  <c r="AR639" i="2"/>
  <c r="AQ639" i="2"/>
  <c r="AP639" i="2"/>
  <c r="AO639" i="2"/>
  <c r="AN639" i="2"/>
  <c r="AM639" i="2"/>
  <c r="AL639" i="2"/>
  <c r="AK639" i="2"/>
  <c r="AG639" i="2"/>
  <c r="AF639" i="2"/>
  <c r="AE639" i="2"/>
  <c r="AD639" i="2"/>
  <c r="AC639" i="2"/>
  <c r="AA639" i="2"/>
  <c r="Z639" i="2"/>
  <c r="Y639" i="2"/>
  <c r="X639" i="2"/>
  <c r="W639" i="2"/>
  <c r="V637" i="2"/>
  <c r="V623" i="2"/>
  <c r="DE621" i="2"/>
  <c r="DD621" i="2"/>
  <c r="DC621" i="2"/>
  <c r="DB621" i="2"/>
  <c r="BE621" i="2"/>
  <c r="BD621" i="2"/>
  <c r="BC621" i="2"/>
  <c r="BB621" i="2"/>
  <c r="AZ621" i="2"/>
  <c r="AY621" i="2"/>
  <c r="AX621" i="2"/>
  <c r="AW621" i="2"/>
  <c r="AS621" i="2"/>
  <c r="AR621" i="2"/>
  <c r="AQ621" i="2"/>
  <c r="AP621" i="2"/>
  <c r="AO621" i="2"/>
  <c r="AN621" i="2"/>
  <c r="AM621" i="2"/>
  <c r="AL621" i="2"/>
  <c r="AK621" i="2"/>
  <c r="AG621" i="2"/>
  <c r="AF621" i="2"/>
  <c r="AE621" i="2"/>
  <c r="AD621" i="2"/>
  <c r="AC621" i="2"/>
  <c r="AA621" i="2"/>
  <c r="Z621" i="2"/>
  <c r="Y621" i="2"/>
  <c r="X621" i="2"/>
  <c r="W621" i="2"/>
  <c r="V619" i="2"/>
  <c r="E616" i="2"/>
  <c r="D616" i="2"/>
  <c r="DE606" i="2"/>
  <c r="DC606" i="2"/>
  <c r="H606" i="2"/>
  <c r="F606" i="2"/>
  <c r="DE605" i="2"/>
  <c r="DD605" i="2"/>
  <c r="DC605" i="2"/>
  <c r="DB605" i="2"/>
  <c r="BE605" i="2"/>
  <c r="BD605" i="2"/>
  <c r="BC605" i="2"/>
  <c r="BB605" i="2"/>
  <c r="AZ605" i="2"/>
  <c r="AY605" i="2"/>
  <c r="AX605" i="2"/>
  <c r="AW605" i="2"/>
  <c r="AS605" i="2"/>
  <c r="AR605" i="2"/>
  <c r="AQ605" i="2"/>
  <c r="AP605" i="2"/>
  <c r="AO605" i="2"/>
  <c r="AN605" i="2"/>
  <c r="AM605" i="2"/>
  <c r="AL605" i="2"/>
  <c r="AK605" i="2"/>
  <c r="AG605" i="2"/>
  <c r="AF605" i="2"/>
  <c r="AE605" i="2"/>
  <c r="AD605" i="2"/>
  <c r="AC605" i="2"/>
  <c r="AA605" i="2"/>
  <c r="Z605" i="2"/>
  <c r="Y605" i="2"/>
  <c r="X605" i="2"/>
  <c r="W605" i="2"/>
  <c r="V603" i="2"/>
  <c r="E600" i="2"/>
  <c r="D600" i="2"/>
  <c r="E599" i="2"/>
  <c r="D599" i="2"/>
  <c r="DE589" i="2"/>
  <c r="DC589" i="2"/>
  <c r="H589" i="2"/>
  <c r="F589" i="2"/>
  <c r="DE588" i="2"/>
  <c r="DC588" i="2"/>
  <c r="H588" i="2"/>
  <c r="F588" i="2"/>
  <c r="DE587" i="2"/>
  <c r="DD587" i="2"/>
  <c r="DC587" i="2"/>
  <c r="DB587" i="2"/>
  <c r="BE587" i="2"/>
  <c r="BD587" i="2"/>
  <c r="BC587" i="2"/>
  <c r="BB587" i="2"/>
  <c r="AZ587" i="2"/>
  <c r="AY587" i="2"/>
  <c r="AX587" i="2"/>
  <c r="AW587" i="2"/>
  <c r="AS587" i="2"/>
  <c r="AR587" i="2"/>
  <c r="AQ587" i="2"/>
  <c r="AP587" i="2"/>
  <c r="AO587" i="2"/>
  <c r="AN587" i="2"/>
  <c r="AM587" i="2"/>
  <c r="AL587" i="2"/>
  <c r="AK587" i="2"/>
  <c r="AG587" i="2"/>
  <c r="AF587" i="2"/>
  <c r="AE587" i="2"/>
  <c r="AD587" i="2"/>
  <c r="AC587" i="2"/>
  <c r="AA587" i="2"/>
  <c r="Z587" i="2"/>
  <c r="Y587" i="2"/>
  <c r="X587" i="2"/>
  <c r="W587" i="2"/>
  <c r="V585" i="2"/>
  <c r="E582" i="2"/>
  <c r="D582" i="2"/>
  <c r="E581" i="2"/>
  <c r="D581" i="2"/>
  <c r="DE571" i="2"/>
  <c r="DC571" i="2"/>
  <c r="H571" i="2"/>
  <c r="F571" i="2"/>
  <c r="DE570" i="2"/>
  <c r="DC570" i="2"/>
  <c r="H570" i="2"/>
  <c r="F570" i="2"/>
  <c r="DE569" i="2"/>
  <c r="DD569" i="2"/>
  <c r="DC569" i="2"/>
  <c r="DB569" i="2"/>
  <c r="BE569" i="2"/>
  <c r="BD569" i="2"/>
  <c r="BC569" i="2"/>
  <c r="BB569" i="2"/>
  <c r="AZ569" i="2"/>
  <c r="AY569" i="2"/>
  <c r="AX569" i="2"/>
  <c r="AW569" i="2"/>
  <c r="AS569" i="2"/>
  <c r="AR569" i="2"/>
  <c r="AQ569" i="2"/>
  <c r="AP569" i="2"/>
  <c r="AO569" i="2"/>
  <c r="AN569" i="2"/>
  <c r="AM569" i="2"/>
  <c r="AL569" i="2"/>
  <c r="AK569" i="2"/>
  <c r="AG569" i="2"/>
  <c r="AF569" i="2"/>
  <c r="AE569" i="2"/>
  <c r="AD569" i="2"/>
  <c r="AC569" i="2"/>
  <c r="AA569" i="2"/>
  <c r="Z569" i="2"/>
  <c r="Y569" i="2"/>
  <c r="X569" i="2"/>
  <c r="W569" i="2"/>
  <c r="V567" i="2"/>
  <c r="M565" i="2"/>
  <c r="I565" i="2"/>
  <c r="E565" i="2"/>
  <c r="D565" i="2"/>
  <c r="M564" i="2"/>
  <c r="I564" i="2"/>
  <c r="E564" i="2"/>
  <c r="D564" i="2"/>
  <c r="N561" i="2"/>
  <c r="E561" i="2"/>
  <c r="D561" i="2"/>
  <c r="N560" i="2"/>
  <c r="E560" i="2"/>
  <c r="D560" i="2"/>
  <c r="DE548" i="2"/>
  <c r="DC548" i="2"/>
  <c r="H548" i="2"/>
  <c r="DE547" i="2"/>
  <c r="DC547" i="2"/>
  <c r="H547" i="2"/>
  <c r="DE546" i="2"/>
  <c r="DD546" i="2"/>
  <c r="DC546" i="2"/>
  <c r="DB546" i="2"/>
  <c r="BE546" i="2"/>
  <c r="BD546" i="2"/>
  <c r="BC546" i="2"/>
  <c r="BB546" i="2"/>
  <c r="AZ546" i="2"/>
  <c r="AY546" i="2"/>
  <c r="AX546" i="2"/>
  <c r="AW546" i="2"/>
  <c r="AS546" i="2"/>
  <c r="AR546" i="2"/>
  <c r="AQ546" i="2"/>
  <c r="AP546" i="2"/>
  <c r="AO546" i="2"/>
  <c r="AN546" i="2"/>
  <c r="AM546" i="2"/>
  <c r="AL546" i="2"/>
  <c r="AK546" i="2"/>
  <c r="AG546" i="2"/>
  <c r="AF546" i="2"/>
  <c r="AE546" i="2"/>
  <c r="AD546" i="2"/>
  <c r="AC546" i="2"/>
  <c r="AA546" i="2"/>
  <c r="Z546" i="2"/>
  <c r="Y546" i="2"/>
  <c r="X546" i="2"/>
  <c r="W546" i="2"/>
  <c r="V544" i="2"/>
  <c r="E541" i="2"/>
  <c r="D541" i="2"/>
  <c r="DC531" i="2"/>
  <c r="AU531" i="2"/>
  <c r="V531" i="2"/>
  <c r="H531" i="2"/>
  <c r="F531" i="2"/>
  <c r="DE530" i="2"/>
  <c r="DD530" i="2"/>
  <c r="DC530" i="2"/>
  <c r="DB530" i="2"/>
  <c r="BE530" i="2"/>
  <c r="BD530" i="2"/>
  <c r="BC530" i="2"/>
  <c r="BB530" i="2"/>
  <c r="AZ530" i="2"/>
  <c r="AY530" i="2"/>
  <c r="AX530" i="2"/>
  <c r="AW530" i="2"/>
  <c r="AS530" i="2"/>
  <c r="AR530" i="2"/>
  <c r="AQ530" i="2"/>
  <c r="AP530" i="2"/>
  <c r="AO530" i="2"/>
  <c r="AN530" i="2"/>
  <c r="AM530" i="2"/>
  <c r="AL530" i="2"/>
  <c r="AK530" i="2"/>
  <c r="AG530" i="2"/>
  <c r="AF530" i="2"/>
  <c r="AE530" i="2"/>
  <c r="AD530" i="2"/>
  <c r="AC530" i="2"/>
  <c r="AA530" i="2"/>
  <c r="Z530" i="2"/>
  <c r="Y530" i="2"/>
  <c r="X530" i="2"/>
  <c r="W530" i="2"/>
  <c r="E527" i="2"/>
  <c r="D527" i="2"/>
  <c r="E526" i="2"/>
  <c r="D526" i="2"/>
  <c r="E525" i="2"/>
  <c r="D525" i="2"/>
  <c r="E524" i="2"/>
  <c r="D524" i="2"/>
  <c r="E523" i="2"/>
  <c r="D523" i="2"/>
  <c r="E522" i="2"/>
  <c r="D522" i="2"/>
  <c r="E521" i="2"/>
  <c r="D521" i="2"/>
  <c r="DE511" i="2"/>
  <c r="DC511" i="2"/>
  <c r="H511" i="2"/>
  <c r="F511" i="2"/>
  <c r="DE510" i="2"/>
  <c r="DC510" i="2"/>
  <c r="H510" i="2"/>
  <c r="F510" i="2"/>
  <c r="DE509" i="2"/>
  <c r="DC509" i="2"/>
  <c r="H509" i="2"/>
  <c r="F509" i="2"/>
  <c r="DE508" i="2"/>
  <c r="DC508" i="2"/>
  <c r="H508" i="2"/>
  <c r="F508" i="2"/>
  <c r="DE507" i="2"/>
  <c r="DC507" i="2"/>
  <c r="H507" i="2"/>
  <c r="F507" i="2"/>
  <c r="DE506" i="2"/>
  <c r="DC506" i="2"/>
  <c r="H506" i="2"/>
  <c r="F506" i="2"/>
  <c r="DE505" i="2"/>
  <c r="DC505" i="2"/>
  <c r="H505" i="2"/>
  <c r="F505" i="2"/>
  <c r="DE504" i="2"/>
  <c r="DD504" i="2"/>
  <c r="DC504" i="2"/>
  <c r="DB504" i="2"/>
  <c r="BE504" i="2"/>
  <c r="BD504" i="2"/>
  <c r="BC504" i="2"/>
  <c r="BB504" i="2"/>
  <c r="AZ504" i="2"/>
  <c r="AY504" i="2"/>
  <c r="AX504" i="2"/>
  <c r="AW504" i="2"/>
  <c r="AS504" i="2"/>
  <c r="AR504" i="2"/>
  <c r="AQ504" i="2"/>
  <c r="AP504" i="2"/>
  <c r="AO504" i="2"/>
  <c r="AN504" i="2"/>
  <c r="AM504" i="2"/>
  <c r="AL504" i="2"/>
  <c r="AK504" i="2"/>
  <c r="AG504" i="2"/>
  <c r="AF504" i="2"/>
  <c r="AE504" i="2"/>
  <c r="AD504" i="2"/>
  <c r="AC504" i="2"/>
  <c r="AA504" i="2"/>
  <c r="Z504" i="2"/>
  <c r="Y504" i="2"/>
  <c r="X504" i="2"/>
  <c r="W504" i="2"/>
  <c r="E501" i="2"/>
  <c r="D501" i="2"/>
  <c r="E500" i="2"/>
  <c r="D500" i="2"/>
  <c r="E499" i="2"/>
  <c r="D499" i="2"/>
  <c r="E498" i="2"/>
  <c r="D498" i="2"/>
  <c r="E497" i="2"/>
  <c r="D497" i="2"/>
  <c r="E496" i="2"/>
  <c r="D496" i="2"/>
  <c r="E495" i="2"/>
  <c r="D495" i="2"/>
  <c r="DE485" i="2"/>
  <c r="DC485" i="2"/>
  <c r="H485" i="2"/>
  <c r="F485" i="2"/>
  <c r="DE484" i="2"/>
  <c r="DC484" i="2"/>
  <c r="H484" i="2"/>
  <c r="F484" i="2"/>
  <c r="DE483" i="2"/>
  <c r="DC483" i="2"/>
  <c r="H483" i="2"/>
  <c r="F483" i="2"/>
  <c r="DE482" i="2"/>
  <c r="DC482" i="2"/>
  <c r="H482" i="2"/>
  <c r="F482" i="2"/>
  <c r="DE481" i="2"/>
  <c r="DC481" i="2"/>
  <c r="H481" i="2"/>
  <c r="F481" i="2"/>
  <c r="DE480" i="2"/>
  <c r="DC480" i="2"/>
  <c r="H480" i="2"/>
  <c r="F480" i="2"/>
  <c r="DE479" i="2"/>
  <c r="DC479" i="2"/>
  <c r="H479" i="2"/>
  <c r="F479" i="2"/>
  <c r="DE478" i="2"/>
  <c r="DD478" i="2"/>
  <c r="DC478" i="2"/>
  <c r="DB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E473" i="2"/>
  <c r="D473" i="2"/>
  <c r="E472" i="2"/>
  <c r="D472" i="2"/>
  <c r="E471" i="2"/>
  <c r="D471" i="2"/>
  <c r="E470" i="2"/>
  <c r="D470" i="2"/>
  <c r="E469" i="2"/>
  <c r="D469" i="2"/>
  <c r="DE459" i="2"/>
  <c r="DC459" i="2"/>
  <c r="H459" i="2"/>
  <c r="F459" i="2"/>
  <c r="DE458" i="2"/>
  <c r="DC458" i="2"/>
  <c r="H458" i="2"/>
  <c r="F458" i="2"/>
  <c r="DE457" i="2"/>
  <c r="DC457" i="2"/>
  <c r="H457" i="2"/>
  <c r="F457" i="2"/>
  <c r="DE456" i="2"/>
  <c r="DC456" i="2"/>
  <c r="H456" i="2"/>
  <c r="F456" i="2"/>
  <c r="DE455" i="2"/>
  <c r="DC455" i="2"/>
  <c r="H455" i="2"/>
  <c r="F455" i="2"/>
  <c r="DE454" i="2"/>
  <c r="DD454" i="2"/>
  <c r="DC454" i="2"/>
  <c r="DB454" i="2"/>
  <c r="BE454" i="2"/>
  <c r="BD454" i="2"/>
  <c r="BC454" i="2"/>
  <c r="BB454" i="2"/>
  <c r="AZ454" i="2"/>
  <c r="AY454" i="2"/>
  <c r="AX454" i="2"/>
  <c r="AW454" i="2"/>
  <c r="AS454" i="2"/>
  <c r="AR454" i="2"/>
  <c r="AQ454" i="2"/>
  <c r="AP454" i="2"/>
  <c r="AO454" i="2"/>
  <c r="AN454" i="2"/>
  <c r="AM454" i="2"/>
  <c r="AL454" i="2"/>
  <c r="AK454" i="2"/>
  <c r="AG454" i="2"/>
  <c r="AF454" i="2"/>
  <c r="AE454" i="2"/>
  <c r="AD454" i="2"/>
  <c r="AC454" i="2"/>
  <c r="AA454" i="2"/>
  <c r="Z454" i="2"/>
  <c r="Y454" i="2"/>
  <c r="X454" i="2"/>
  <c r="W454" i="2"/>
  <c r="E451" i="2"/>
  <c r="D451" i="2"/>
  <c r="E450" i="2"/>
  <c r="D450" i="2"/>
  <c r="E449" i="2"/>
  <c r="D449" i="2"/>
  <c r="E448" i="2"/>
  <c r="D448" i="2"/>
  <c r="DE438" i="2"/>
  <c r="DC438" i="2"/>
  <c r="H438" i="2"/>
  <c r="F438" i="2"/>
  <c r="DE437" i="2"/>
  <c r="DC437" i="2"/>
  <c r="H437" i="2"/>
  <c r="F437" i="2"/>
  <c r="DE436" i="2"/>
  <c r="DC436" i="2"/>
  <c r="H436" i="2"/>
  <c r="F436" i="2"/>
  <c r="DE435" i="2"/>
  <c r="DC435" i="2"/>
  <c r="H435" i="2"/>
  <c r="F435" i="2"/>
  <c r="DE434" i="2"/>
  <c r="DD434" i="2"/>
  <c r="DC434" i="2"/>
  <c r="DB434" i="2"/>
  <c r="BE434" i="2"/>
  <c r="BD434" i="2"/>
  <c r="BC434" i="2"/>
  <c r="BB434" i="2"/>
  <c r="AZ434" i="2"/>
  <c r="AY434" i="2"/>
  <c r="AX434" i="2"/>
  <c r="AW434" i="2"/>
  <c r="AS434" i="2"/>
  <c r="AR434" i="2"/>
  <c r="AQ434" i="2"/>
  <c r="AP434" i="2"/>
  <c r="AO434" i="2"/>
  <c r="AN434" i="2"/>
  <c r="AM434" i="2"/>
  <c r="AL434" i="2"/>
  <c r="AK434" i="2"/>
  <c r="AG434" i="2"/>
  <c r="AF434" i="2"/>
  <c r="AE434" i="2"/>
  <c r="AD434" i="2"/>
  <c r="AC434" i="2"/>
  <c r="AA434" i="2"/>
  <c r="Z434" i="2"/>
  <c r="Y434" i="2"/>
  <c r="X434" i="2"/>
  <c r="W434" i="2"/>
  <c r="V432" i="2"/>
  <c r="G429" i="2"/>
  <c r="F419" i="2" s="1"/>
  <c r="E429" i="2"/>
  <c r="D429" i="2"/>
  <c r="DE419" i="2"/>
  <c r="DC419" i="2"/>
  <c r="AU419" i="2"/>
  <c r="V419" i="2"/>
  <c r="H419" i="2"/>
  <c r="DE418" i="2"/>
  <c r="DD418" i="2"/>
  <c r="DC418" i="2"/>
  <c r="DB418" i="2"/>
  <c r="BE418" i="2"/>
  <c r="BD418" i="2"/>
  <c r="BC418" i="2"/>
  <c r="BB418" i="2"/>
  <c r="AZ418" i="2"/>
  <c r="AY418" i="2"/>
  <c r="AX418" i="2"/>
  <c r="AW418" i="2"/>
  <c r="AS418" i="2"/>
  <c r="AR418" i="2"/>
  <c r="AQ418" i="2"/>
  <c r="AP418" i="2"/>
  <c r="AO418" i="2"/>
  <c r="AN418" i="2"/>
  <c r="AM418" i="2"/>
  <c r="AL418" i="2"/>
  <c r="AK418" i="2"/>
  <c r="AG418" i="2"/>
  <c r="AF418" i="2"/>
  <c r="AE418" i="2"/>
  <c r="AD418" i="2"/>
  <c r="AC418" i="2"/>
  <c r="AA418" i="2"/>
  <c r="Z418" i="2"/>
  <c r="Y418" i="2"/>
  <c r="X418" i="2"/>
  <c r="W418" i="2"/>
  <c r="E415" i="2"/>
  <c r="D415" i="2"/>
  <c r="E414" i="2"/>
  <c r="D414" i="2"/>
  <c r="E413" i="2"/>
  <c r="D413" i="2"/>
  <c r="E412" i="2"/>
  <c r="D412" i="2"/>
  <c r="E411" i="2"/>
  <c r="D411" i="2"/>
  <c r="E410" i="2"/>
  <c r="D410" i="2"/>
  <c r="DE399" i="2"/>
  <c r="DC399" i="2"/>
  <c r="L618" i="15"/>
  <c r="F399" i="2"/>
  <c r="DE398" i="2"/>
  <c r="DC398" i="2"/>
  <c r="DD398" i="2" s="1"/>
  <c r="L617" i="15"/>
  <c r="K617" i="15"/>
  <c r="L616" i="15"/>
  <c r="K616" i="15"/>
  <c r="AE615" i="15"/>
  <c r="AC615" i="15" s="1"/>
  <c r="L615" i="15"/>
  <c r="K615" i="15"/>
  <c r="L614" i="15"/>
  <c r="K614" i="15"/>
  <c r="BS398" i="2"/>
  <c r="BS399" i="2" s="1"/>
  <c r="AU398" i="2"/>
  <c r="AU399" i="2" s="1"/>
  <c r="AI398" i="2"/>
  <c r="AI399" i="2" s="1"/>
  <c r="V398" i="2"/>
  <c r="L613" i="15"/>
  <c r="K613" i="15"/>
  <c r="E390" i="2"/>
  <c r="D390" i="2"/>
  <c r="E389" i="2"/>
  <c r="D389" i="2"/>
  <c r="E388" i="2"/>
  <c r="D388" i="2"/>
  <c r="E387" i="2"/>
  <c r="D387" i="2"/>
  <c r="E386" i="2"/>
  <c r="D386" i="2"/>
  <c r="DE376" i="2"/>
  <c r="DC376" i="2"/>
  <c r="DD376" i="2" s="1"/>
  <c r="AE612" i="15" s="1"/>
  <c r="AC612" i="15" s="1"/>
  <c r="H376" i="2"/>
  <c r="K612" i="15"/>
  <c r="I612" i="15" s="1"/>
  <c r="DE375" i="2"/>
  <c r="DC375" i="2"/>
  <c r="H375" i="2"/>
  <c r="F375" i="2"/>
  <c r="DE374" i="2"/>
  <c r="DC374" i="2"/>
  <c r="H374" i="2"/>
  <c r="F374" i="2"/>
  <c r="DE373" i="2"/>
  <c r="DC373" i="2"/>
  <c r="H373" i="2"/>
  <c r="F373" i="2"/>
  <c r="DE372" i="2"/>
  <c r="DC372" i="2"/>
  <c r="V372" i="2"/>
  <c r="V373" i="2" s="1"/>
  <c r="V374" i="2" s="1"/>
  <c r="V375" i="2" s="1"/>
  <c r="V376" i="2" s="1"/>
  <c r="H372" i="2"/>
  <c r="F372" i="2"/>
  <c r="DE371" i="2"/>
  <c r="DD371" i="2"/>
  <c r="DC371" i="2"/>
  <c r="DB371" i="2"/>
  <c r="BE371" i="2"/>
  <c r="BD371" i="2"/>
  <c r="BC371" i="2"/>
  <c r="BB371" i="2"/>
  <c r="AZ371" i="2"/>
  <c r="AY371" i="2"/>
  <c r="AX371" i="2"/>
  <c r="AW371" i="2"/>
  <c r="AS371" i="2"/>
  <c r="AR371" i="2"/>
  <c r="AQ371" i="2"/>
  <c r="AP371" i="2"/>
  <c r="AN371" i="2"/>
  <c r="AM371" i="2"/>
  <c r="AL371" i="2"/>
  <c r="AK371" i="2"/>
  <c r="AG371" i="2"/>
  <c r="AF371" i="2"/>
  <c r="AE371" i="2"/>
  <c r="AD371" i="2"/>
  <c r="AC371" i="2"/>
  <c r="AA371" i="2"/>
  <c r="Z371" i="2"/>
  <c r="Y371" i="2"/>
  <c r="X371" i="2"/>
  <c r="W371" i="2"/>
  <c r="E368" i="2"/>
  <c r="D368" i="2"/>
  <c r="AU342" i="2"/>
  <c r="V342" i="2"/>
  <c r="H342" i="2"/>
  <c r="F342" i="2"/>
  <c r="BE341" i="2"/>
  <c r="BD341" i="2"/>
  <c r="BC341" i="2"/>
  <c r="BB341" i="2"/>
  <c r="AZ341" i="2"/>
  <c r="AY341" i="2"/>
  <c r="AX341" i="2"/>
  <c r="AW341" i="2"/>
  <c r="AS341" i="2"/>
  <c r="AR341" i="2"/>
  <c r="AQ341" i="2"/>
  <c r="AP341" i="2"/>
  <c r="AO341" i="2"/>
  <c r="AN341" i="2"/>
  <c r="AM341" i="2"/>
  <c r="AL341" i="2"/>
  <c r="AK341" i="2"/>
  <c r="AG341" i="2"/>
  <c r="AF341" i="2"/>
  <c r="AE341" i="2"/>
  <c r="AD341" i="2"/>
  <c r="AC341" i="2"/>
  <c r="AA341" i="2"/>
  <c r="Z341" i="2"/>
  <c r="Y341" i="2"/>
  <c r="X341" i="2"/>
  <c r="W341" i="2"/>
  <c r="E336" i="2"/>
  <c r="D336" i="2"/>
  <c r="E335" i="2"/>
  <c r="D335" i="2"/>
  <c r="DC323" i="2"/>
  <c r="AW323" i="2"/>
  <c r="AV323" i="2"/>
  <c r="K323" i="2"/>
  <c r="H323" i="2"/>
  <c r="F323" i="2"/>
  <c r="DE322" i="2"/>
  <c r="DC322" i="2"/>
  <c r="AU322" i="2"/>
  <c r="AU323" i="2" s="1"/>
  <c r="AU324" i="2" s="1"/>
  <c r="AU325" i="2" s="1"/>
  <c r="V322" i="2"/>
  <c r="V323" i="2" s="1"/>
  <c r="V324" i="2" s="1"/>
  <c r="V325" i="2" s="1"/>
  <c r="H322" i="2"/>
  <c r="F322" i="2"/>
  <c r="DE321" i="2"/>
  <c r="DD321" i="2"/>
  <c r="DC321" i="2"/>
  <c r="DB321" i="2"/>
  <c r="BE321" i="2"/>
  <c r="BD321" i="2"/>
  <c r="BC321" i="2"/>
  <c r="BB321" i="2"/>
  <c r="AZ321" i="2"/>
  <c r="AY321" i="2"/>
  <c r="AX321" i="2"/>
  <c r="AW321" i="2"/>
  <c r="AS321" i="2"/>
  <c r="AR321" i="2"/>
  <c r="AQ321" i="2"/>
  <c r="AP321" i="2"/>
  <c r="AO321" i="2"/>
  <c r="AN321" i="2"/>
  <c r="AM321" i="2"/>
  <c r="AL321" i="2"/>
  <c r="AK321" i="2"/>
  <c r="AG321" i="2"/>
  <c r="AF321" i="2"/>
  <c r="AE321" i="2"/>
  <c r="AD321" i="2"/>
  <c r="AC321" i="2"/>
  <c r="AA321" i="2"/>
  <c r="Z321" i="2"/>
  <c r="Y321" i="2"/>
  <c r="X321" i="2"/>
  <c r="W321" i="2"/>
  <c r="E318" i="2"/>
  <c r="D318" i="2"/>
  <c r="DE308" i="2"/>
  <c r="DC308" i="2"/>
  <c r="BS308" i="2"/>
  <c r="AU308" i="2"/>
  <c r="AI308" i="2"/>
  <c r="V308" i="2"/>
  <c r="G308" i="2"/>
  <c r="F308" i="2"/>
  <c r="DE307" i="2"/>
  <c r="DD307" i="2"/>
  <c r="DC307" i="2"/>
  <c r="DB307" i="2"/>
  <c r="CC307" i="2"/>
  <c r="CB307" i="2"/>
  <c r="CA307" i="2"/>
  <c r="BZ307" i="2"/>
  <c r="BY307" i="2"/>
  <c r="BV307" i="2"/>
  <c r="BU307" i="2"/>
  <c r="BQ307" i="2"/>
  <c r="BP307" i="2"/>
  <c r="BO307" i="2"/>
  <c r="BN307" i="2"/>
  <c r="BL307" i="2"/>
  <c r="BK307" i="2"/>
  <c r="BJ307" i="2"/>
  <c r="BI307" i="2"/>
  <c r="BE307" i="2"/>
  <c r="BD307" i="2"/>
  <c r="BC307" i="2"/>
  <c r="BB307" i="2"/>
  <c r="AZ307" i="2"/>
  <c r="AY307" i="2"/>
  <c r="AX307" i="2"/>
  <c r="AW307" i="2"/>
  <c r="AS307" i="2"/>
  <c r="AR307" i="2"/>
  <c r="AQ307" i="2"/>
  <c r="AP307" i="2"/>
  <c r="AO307" i="2"/>
  <c r="AN307" i="2"/>
  <c r="AM307" i="2"/>
  <c r="AL307" i="2"/>
  <c r="AK307" i="2"/>
  <c r="AG307" i="2"/>
  <c r="AF307" i="2"/>
  <c r="AE307" i="2"/>
  <c r="AD307" i="2"/>
  <c r="AC307" i="2"/>
  <c r="AA307" i="2"/>
  <c r="Z307" i="2"/>
  <c r="Y307" i="2"/>
  <c r="X307" i="2"/>
  <c r="W307" i="2"/>
  <c r="V305" i="2"/>
  <c r="I302" i="2"/>
  <c r="H302" i="2"/>
  <c r="E302" i="2"/>
  <c r="D302" i="2"/>
  <c r="I301" i="2"/>
  <c r="H301" i="2"/>
  <c r="E301" i="2"/>
  <c r="D301" i="2"/>
  <c r="I300" i="2"/>
  <c r="H300" i="2"/>
  <c r="E300" i="2"/>
  <c r="D300" i="2"/>
  <c r="DE290" i="2"/>
  <c r="DC290" i="2"/>
  <c r="H290" i="2"/>
  <c r="DE289" i="2"/>
  <c r="DC289" i="2"/>
  <c r="H289" i="2"/>
  <c r="DE288" i="2"/>
  <c r="DC288" i="2"/>
  <c r="H288" i="2"/>
  <c r="DE287" i="2"/>
  <c r="DD287" i="2"/>
  <c r="DC287" i="2"/>
  <c r="DB287" i="2"/>
  <c r="BE287" i="2"/>
  <c r="BD287" i="2"/>
  <c r="BC287" i="2"/>
  <c r="BB287" i="2"/>
  <c r="AZ287" i="2"/>
  <c r="AY287" i="2"/>
  <c r="AX287" i="2"/>
  <c r="AW287" i="2"/>
  <c r="AS287" i="2"/>
  <c r="AR287" i="2"/>
  <c r="AQ287" i="2"/>
  <c r="AP287" i="2"/>
  <c r="AO287" i="2"/>
  <c r="AN287" i="2"/>
  <c r="AM287" i="2"/>
  <c r="AL287" i="2"/>
  <c r="AK287" i="2"/>
  <c r="AG287" i="2"/>
  <c r="AF287" i="2"/>
  <c r="AE287" i="2"/>
  <c r="AD287" i="2"/>
  <c r="AC287" i="2"/>
  <c r="AA287" i="2"/>
  <c r="Z287" i="2"/>
  <c r="Y287" i="2"/>
  <c r="X287" i="2"/>
  <c r="W287" i="2"/>
  <c r="V285" i="2"/>
  <c r="G282" i="2"/>
  <c r="F282" i="2"/>
  <c r="E282" i="2"/>
  <c r="D282" i="2"/>
  <c r="G281" i="2"/>
  <c r="F281" i="2"/>
  <c r="E281" i="2"/>
  <c r="D281" i="2"/>
  <c r="G280" i="2"/>
  <c r="F280" i="2"/>
  <c r="E280" i="2"/>
  <c r="D280" i="2"/>
  <c r="G279" i="2"/>
  <c r="F279" i="2"/>
  <c r="E279" i="2"/>
  <c r="D279" i="2"/>
  <c r="DE269" i="2"/>
  <c r="DC269" i="2"/>
  <c r="H269" i="2"/>
  <c r="DE268" i="2"/>
  <c r="DC268" i="2"/>
  <c r="H268" i="2"/>
  <c r="DE267" i="2"/>
  <c r="DC267" i="2"/>
  <c r="H267" i="2"/>
  <c r="DE266" i="2"/>
  <c r="DC266" i="2"/>
  <c r="H266" i="2"/>
  <c r="DE265" i="2"/>
  <c r="DD265" i="2"/>
  <c r="DC265" i="2"/>
  <c r="DB265" i="2"/>
  <c r="BE265" i="2"/>
  <c r="BD265" i="2"/>
  <c r="BC265" i="2"/>
  <c r="BB265" i="2"/>
  <c r="AZ265" i="2"/>
  <c r="AY265" i="2"/>
  <c r="AX265" i="2"/>
  <c r="AW265" i="2"/>
  <c r="AS265" i="2"/>
  <c r="AR265" i="2"/>
  <c r="AQ265" i="2"/>
  <c r="AP265" i="2"/>
  <c r="AO265" i="2"/>
  <c r="AN265" i="2"/>
  <c r="AM265" i="2"/>
  <c r="AL265" i="2"/>
  <c r="AK265" i="2"/>
  <c r="AG265" i="2"/>
  <c r="AF265" i="2"/>
  <c r="AE265" i="2"/>
  <c r="AD265" i="2"/>
  <c r="AC265" i="2"/>
  <c r="AA265" i="2"/>
  <c r="Z265" i="2"/>
  <c r="Y265" i="2"/>
  <c r="X265" i="2"/>
  <c r="W265" i="2"/>
  <c r="V263" i="2"/>
  <c r="E260" i="2"/>
  <c r="D260" i="2"/>
  <c r="DE250" i="2"/>
  <c r="DC250" i="2"/>
  <c r="H250" i="2"/>
  <c r="F250" i="2"/>
  <c r="DE249" i="2"/>
  <c r="DD249" i="2"/>
  <c r="DC249" i="2"/>
  <c r="DB249" i="2"/>
  <c r="BE249" i="2"/>
  <c r="BD249" i="2"/>
  <c r="BC249" i="2"/>
  <c r="BB249" i="2"/>
  <c r="AZ249" i="2"/>
  <c r="AY249" i="2"/>
  <c r="AX249" i="2"/>
  <c r="AW249" i="2"/>
  <c r="AS249" i="2"/>
  <c r="AR249" i="2"/>
  <c r="AQ249" i="2"/>
  <c r="AP249" i="2"/>
  <c r="AO249" i="2"/>
  <c r="AN249" i="2"/>
  <c r="AM249" i="2"/>
  <c r="AL249" i="2"/>
  <c r="AK249" i="2"/>
  <c r="AG249" i="2"/>
  <c r="AF249" i="2"/>
  <c r="AE249" i="2"/>
  <c r="AD249" i="2"/>
  <c r="AC249" i="2"/>
  <c r="AA249" i="2"/>
  <c r="Z249" i="2"/>
  <c r="Y249" i="2"/>
  <c r="X249" i="2"/>
  <c r="W249" i="2"/>
  <c r="E246" i="2"/>
  <c r="D246" i="2"/>
  <c r="DC236" i="2"/>
  <c r="K236" i="2"/>
  <c r="H236" i="2"/>
  <c r="F236" i="2"/>
  <c r="DE235" i="2"/>
  <c r="DD235" i="2"/>
  <c r="DC235" i="2"/>
  <c r="DB235" i="2"/>
  <c r="BE235" i="2"/>
  <c r="BD235" i="2"/>
  <c r="BC235" i="2"/>
  <c r="BB235" i="2"/>
  <c r="AZ235" i="2"/>
  <c r="AY235" i="2"/>
  <c r="AX235" i="2"/>
  <c r="AW235" i="2"/>
  <c r="AS235" i="2"/>
  <c r="AR235" i="2"/>
  <c r="AQ235" i="2"/>
  <c r="AP235" i="2"/>
  <c r="AO235" i="2"/>
  <c r="AN235" i="2"/>
  <c r="AM235" i="2"/>
  <c r="AL235" i="2"/>
  <c r="AK235" i="2"/>
  <c r="AG235" i="2"/>
  <c r="AF235" i="2"/>
  <c r="AE235" i="2"/>
  <c r="AD235" i="2"/>
  <c r="AC235" i="2"/>
  <c r="AA235" i="2"/>
  <c r="Z235" i="2"/>
  <c r="Y235" i="2"/>
  <c r="X235" i="2"/>
  <c r="W235" i="2"/>
  <c r="V233" i="2"/>
  <c r="F230" i="2"/>
  <c r="F219" i="2" s="1"/>
  <c r="E230" i="2"/>
  <c r="D230" i="2"/>
  <c r="F229" i="2"/>
  <c r="F218" i="2" s="1"/>
  <c r="E229" i="2"/>
  <c r="D229" i="2"/>
  <c r="DE219" i="2"/>
  <c r="DC219" i="2"/>
  <c r="H219" i="2"/>
  <c r="DE218" i="2"/>
  <c r="DC218" i="2"/>
  <c r="AU218" i="2"/>
  <c r="AU219" i="2" s="1"/>
  <c r="H218" i="2"/>
  <c r="DE217" i="2"/>
  <c r="DD217" i="2"/>
  <c r="DC217" i="2"/>
  <c r="DB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H212" i="2"/>
  <c r="N212" i="2" s="1"/>
  <c r="E212" i="2"/>
  <c r="D212" i="2"/>
  <c r="H211" i="2"/>
  <c r="N211" i="2" s="1"/>
  <c r="E211" i="2"/>
  <c r="D211" i="2"/>
  <c r="H210" i="2"/>
  <c r="N210" i="2" s="1"/>
  <c r="E210" i="2"/>
  <c r="D210" i="2"/>
  <c r="H209" i="2"/>
  <c r="N209" i="2" s="1"/>
  <c r="E209" i="2"/>
  <c r="D209" i="2"/>
  <c r="H208" i="2"/>
  <c r="N208" i="2" s="1"/>
  <c r="F208" i="2"/>
  <c r="E208" i="2"/>
  <c r="D208" i="2"/>
  <c r="DE198" i="2"/>
  <c r="DC198" i="2"/>
  <c r="H198" i="2"/>
  <c r="DE197" i="2"/>
  <c r="DC197" i="2"/>
  <c r="H197" i="2"/>
  <c r="DE196" i="2"/>
  <c r="DC196" i="2"/>
  <c r="H196" i="2"/>
  <c r="DE195" i="2"/>
  <c r="DC195" i="2"/>
  <c r="H195" i="2"/>
  <c r="DE194" i="2"/>
  <c r="DC194" i="2"/>
  <c r="H194" i="2"/>
  <c r="DE193" i="2"/>
  <c r="DD193" i="2"/>
  <c r="DC193" i="2"/>
  <c r="DB193" i="2"/>
  <c r="BE193" i="2"/>
  <c r="BD193" i="2"/>
  <c r="BC193" i="2"/>
  <c r="BB193" i="2"/>
  <c r="AZ193" i="2"/>
  <c r="AY193" i="2"/>
  <c r="AX193" i="2"/>
  <c r="AW193" i="2"/>
  <c r="AS193" i="2"/>
  <c r="AR193" i="2"/>
  <c r="AQ193" i="2"/>
  <c r="AP193" i="2"/>
  <c r="AO193" i="2"/>
  <c r="AN193" i="2"/>
  <c r="AM193" i="2"/>
  <c r="AL193" i="2"/>
  <c r="AK193" i="2"/>
  <c r="AG193" i="2"/>
  <c r="AF193" i="2"/>
  <c r="AE193" i="2"/>
  <c r="AD193" i="2"/>
  <c r="AC193" i="2"/>
  <c r="AA193" i="2"/>
  <c r="Z193" i="2"/>
  <c r="Y193" i="2"/>
  <c r="X193" i="2"/>
  <c r="W193" i="2"/>
  <c r="V191" i="2"/>
  <c r="E188" i="2"/>
  <c r="E187" i="2"/>
  <c r="DE175" i="2"/>
  <c r="DC175" i="2"/>
  <c r="H175" i="2"/>
  <c r="F175" i="2"/>
  <c r="DE174" i="2"/>
  <c r="DC174" i="2"/>
  <c r="AU174" i="2"/>
  <c r="AU175" i="2" s="1"/>
  <c r="V174" i="2"/>
  <c r="V175" i="2" s="1"/>
  <c r="H174" i="2"/>
  <c r="F174" i="2"/>
  <c r="DE173" i="2"/>
  <c r="DD173" i="2"/>
  <c r="DC173" i="2"/>
  <c r="DB173" i="2"/>
  <c r="BE173" i="2"/>
  <c r="BD173" i="2"/>
  <c r="BC173" i="2"/>
  <c r="BB173" i="2"/>
  <c r="AZ173" i="2"/>
  <c r="AY173" i="2"/>
  <c r="AX173" i="2"/>
  <c r="AW173" i="2"/>
  <c r="AS173" i="2"/>
  <c r="AR173" i="2"/>
  <c r="AQ173" i="2"/>
  <c r="AP173" i="2"/>
  <c r="AO173" i="2"/>
  <c r="AN173" i="2"/>
  <c r="AM173" i="2"/>
  <c r="AL173" i="2"/>
  <c r="AK173" i="2"/>
  <c r="AG173" i="2"/>
  <c r="AF173" i="2"/>
  <c r="AE173" i="2"/>
  <c r="AD173" i="2"/>
  <c r="AC173" i="2"/>
  <c r="AA173" i="2"/>
  <c r="Z173" i="2"/>
  <c r="Y173" i="2"/>
  <c r="X173" i="2"/>
  <c r="W173" i="2"/>
  <c r="V171" i="2"/>
  <c r="DE146" i="2"/>
  <c r="DC146" i="2"/>
  <c r="H146" i="2"/>
  <c r="F146" i="2"/>
  <c r="DE144" i="2"/>
  <c r="DC144" i="2"/>
  <c r="H144" i="2"/>
  <c r="F144" i="2"/>
  <c r="DE143" i="2"/>
  <c r="DC143" i="2"/>
  <c r="H143" i="2"/>
  <c r="F143" i="2"/>
  <c r="DE142" i="2"/>
  <c r="DC142" i="2"/>
  <c r="H142" i="2"/>
  <c r="F142" i="2"/>
  <c r="DE141" i="2"/>
  <c r="DC141" i="2"/>
  <c r="H141" i="2"/>
  <c r="F141" i="2"/>
  <c r="DE139" i="2"/>
  <c r="DC139" i="2"/>
  <c r="H139" i="2"/>
  <c r="F139" i="2"/>
  <c r="DE138" i="2"/>
  <c r="DC138" i="2"/>
  <c r="H138" i="2"/>
  <c r="F138" i="2"/>
  <c r="DE137" i="2"/>
  <c r="DC137" i="2"/>
  <c r="H137" i="2"/>
  <c r="F137" i="2"/>
  <c r="DE136" i="2"/>
  <c r="DC136" i="2"/>
  <c r="H136" i="2"/>
  <c r="F136" i="2"/>
  <c r="DE133" i="2"/>
  <c r="DC133" i="2"/>
  <c r="H133" i="2"/>
  <c r="F133" i="2"/>
  <c r="DE131" i="2"/>
  <c r="J131" i="2"/>
  <c r="AO131" i="2" s="1"/>
  <c r="H131" i="2"/>
  <c r="F131" i="2"/>
  <c r="DE130" i="2"/>
  <c r="J130" i="2"/>
  <c r="H130" i="2"/>
  <c r="F130" i="2"/>
  <c r="DE129" i="2"/>
  <c r="J129" i="2"/>
  <c r="AO129" i="2" s="1"/>
  <c r="H129" i="2"/>
  <c r="F129" i="2"/>
  <c r="DE128" i="2"/>
  <c r="J128" i="2"/>
  <c r="H128" i="2"/>
  <c r="F128" i="2"/>
  <c r="DE126" i="2"/>
  <c r="J126" i="2"/>
  <c r="AO126" i="2" s="1"/>
  <c r="H126" i="2"/>
  <c r="F126" i="2"/>
  <c r="DE125" i="2"/>
  <c r="J125" i="2"/>
  <c r="H125" i="2"/>
  <c r="F125" i="2"/>
  <c r="DE124" i="2"/>
  <c r="J124" i="2"/>
  <c r="AO124" i="2" s="1"/>
  <c r="H124" i="2"/>
  <c r="F124" i="2"/>
  <c r="DE123" i="2"/>
  <c r="DC123" i="2"/>
  <c r="H123" i="2"/>
  <c r="F123" i="2"/>
  <c r="DE122" i="2"/>
  <c r="DD122" i="2"/>
  <c r="DC122" i="2"/>
  <c r="DB122" i="2"/>
  <c r="BE122" i="2"/>
  <c r="BD122" i="2"/>
  <c r="BC122" i="2"/>
  <c r="BB122" i="2"/>
  <c r="AZ122" i="2"/>
  <c r="AY122" i="2"/>
  <c r="AX122" i="2"/>
  <c r="AW122" i="2"/>
  <c r="AS122" i="2"/>
  <c r="AR122" i="2"/>
  <c r="AQ122" i="2"/>
  <c r="AP122" i="2"/>
  <c r="AO122" i="2"/>
  <c r="AN122" i="2"/>
  <c r="AM122" i="2"/>
  <c r="AL122" i="2"/>
  <c r="AK122" i="2"/>
  <c r="AG122" i="2"/>
  <c r="AF122" i="2"/>
  <c r="AE122" i="2"/>
  <c r="AD122" i="2"/>
  <c r="AC122" i="2"/>
  <c r="AA122" i="2"/>
  <c r="Z122" i="2"/>
  <c r="Y122" i="2"/>
  <c r="X122" i="2"/>
  <c r="W122" i="2"/>
  <c r="V120" i="2"/>
  <c r="BR81" i="2"/>
  <c r="BQ81" i="2"/>
  <c r="BP81" i="2"/>
  <c r="BO81" i="2"/>
  <c r="BN81" i="2"/>
  <c r="BL81" i="2"/>
  <c r="BK81" i="2"/>
  <c r="BJ81" i="2"/>
  <c r="BI81" i="2"/>
  <c r="BH81" i="2"/>
  <c r="BE81" i="2"/>
  <c r="BD81" i="2"/>
  <c r="BC81" i="2"/>
  <c r="BB81" i="2"/>
  <c r="AZ81" i="2"/>
  <c r="AY81" i="2"/>
  <c r="AX81" i="2"/>
  <c r="AW81" i="2"/>
  <c r="AV81" i="2"/>
  <c r="AU81" i="2"/>
  <c r="AS81" i="2"/>
  <c r="AR81" i="2"/>
  <c r="AQ81" i="2"/>
  <c r="AP81" i="2"/>
  <c r="AO81" i="2"/>
  <c r="AN81" i="2"/>
  <c r="AM81" i="2"/>
  <c r="AL81" i="2"/>
  <c r="AK81" i="2"/>
  <c r="AJ81" i="2"/>
  <c r="AI81" i="2"/>
  <c r="AG81" i="2"/>
  <c r="AF81" i="2"/>
  <c r="AE81" i="2"/>
  <c r="AD81" i="2"/>
  <c r="AC81" i="2"/>
  <c r="AA81" i="2"/>
  <c r="Z81" i="2"/>
  <c r="Y81" i="2"/>
  <c r="X81" i="2"/>
  <c r="W81" i="2"/>
  <c r="DE68" i="2"/>
  <c r="DD68" i="2"/>
  <c r="DC68" i="2"/>
  <c r="DB68" i="2"/>
  <c r="AG68" i="2"/>
  <c r="AF68" i="2"/>
  <c r="AE68" i="2"/>
  <c r="AD68" i="2"/>
  <c r="AC68" i="2"/>
  <c r="AA68" i="2"/>
  <c r="Z68" i="2"/>
  <c r="Y68" i="2"/>
  <c r="X68" i="2"/>
  <c r="W68" i="2"/>
  <c r="E63" i="2"/>
  <c r="V63" i="2" s="1"/>
  <c r="D63" i="2"/>
  <c r="D59" i="2"/>
  <c r="V57" i="2"/>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CP41" i="2"/>
  <c r="CO41" i="2"/>
  <c r="CN41" i="2"/>
  <c r="CM41" i="2"/>
  <c r="CL41" i="2"/>
  <c r="CJ41" i="2"/>
  <c r="CI41" i="2"/>
  <c r="CH41" i="2"/>
  <c r="CG41" i="2"/>
  <c r="CF41" i="2"/>
  <c r="CD41" i="2"/>
  <c r="CC41" i="2"/>
  <c r="CB41" i="2"/>
  <c r="CA41" i="2"/>
  <c r="BZ41" i="2"/>
  <c r="BX41" i="2"/>
  <c r="BW41" i="2"/>
  <c r="BV41" i="2"/>
  <c r="BU41" i="2"/>
  <c r="BT41" i="2"/>
  <c r="BR41" i="2"/>
  <c r="BQ41" i="2"/>
  <c r="BP41" i="2"/>
  <c r="BO41" i="2"/>
  <c r="BN41" i="2"/>
  <c r="BL41" i="2"/>
  <c r="BK41" i="2"/>
  <c r="BJ41" i="2"/>
  <c r="BI41" i="2"/>
  <c r="BH41" i="2"/>
  <c r="BF41" i="2"/>
  <c r="BE41" i="2"/>
  <c r="BD41" i="2"/>
  <c r="BC41" i="2"/>
  <c r="BB41" i="2"/>
  <c r="AZ41" i="2"/>
  <c r="AY41" i="2"/>
  <c r="AX41" i="2"/>
  <c r="AW41" i="2"/>
  <c r="AV41" i="2"/>
  <c r="AT41" i="2"/>
  <c r="AS41" i="2"/>
  <c r="AR41" i="2"/>
  <c r="AQ41" i="2"/>
  <c r="AP41" i="2"/>
  <c r="AN41" i="2"/>
  <c r="AM41" i="2"/>
  <c r="AL41" i="2"/>
  <c r="AK41" i="2"/>
  <c r="AI41" i="2"/>
  <c r="AG41" i="2"/>
  <c r="AF41" i="2"/>
  <c r="AE41" i="2"/>
  <c r="AD41" i="2"/>
  <c r="AC41" i="2"/>
  <c r="AA41" i="2"/>
  <c r="Z41" i="2"/>
  <c r="Y41" i="2"/>
  <c r="X41" i="2"/>
  <c r="W41" i="2"/>
  <c r="CP40" i="2"/>
  <c r="CO40" i="2"/>
  <c r="CN40" i="2"/>
  <c r="CM40" i="2"/>
  <c r="CL40" i="2"/>
  <c r="CJ40" i="2"/>
  <c r="CI40" i="2"/>
  <c r="CH40" i="2"/>
  <c r="CG40" i="2"/>
  <c r="CF40" i="2"/>
  <c r="CD40" i="2"/>
  <c r="CC40" i="2"/>
  <c r="CB40" i="2"/>
  <c r="CA40" i="2"/>
  <c r="BZ40" i="2"/>
  <c r="BX40" i="2"/>
  <c r="BW40" i="2"/>
  <c r="BV40" i="2"/>
  <c r="BU40" i="2"/>
  <c r="BT40" i="2"/>
  <c r="BR40" i="2"/>
  <c r="BQ40" i="2"/>
  <c r="BP40" i="2"/>
  <c r="BO40" i="2"/>
  <c r="BN40" i="2"/>
  <c r="BL40" i="2"/>
  <c r="BK40" i="2"/>
  <c r="BJ40" i="2"/>
  <c r="BI40" i="2"/>
  <c r="BH40" i="2"/>
  <c r="BF40" i="2"/>
  <c r="BE40" i="2"/>
  <c r="BD40" i="2"/>
  <c r="BC40" i="2"/>
  <c r="BB40" i="2"/>
  <c r="AZ40" i="2"/>
  <c r="AY40" i="2"/>
  <c r="AX40" i="2"/>
  <c r="AW40" i="2"/>
  <c r="AV40" i="2"/>
  <c r="AT40" i="2"/>
  <c r="AS40" i="2"/>
  <c r="AR40" i="2"/>
  <c r="AQ40" i="2"/>
  <c r="AP40" i="2"/>
  <c r="AN40" i="2"/>
  <c r="AM40" i="2"/>
  <c r="AL40" i="2"/>
  <c r="AK40" i="2"/>
  <c r="AJ40" i="2"/>
  <c r="AG40" i="2"/>
  <c r="AF40" i="2"/>
  <c r="AE40" i="2"/>
  <c r="AD40" i="2"/>
  <c r="AC40" i="2"/>
  <c r="AA40" i="2"/>
  <c r="Z40" i="2"/>
  <c r="Y40" i="2"/>
  <c r="X40" i="2"/>
  <c r="W40" i="2"/>
  <c r="H30" i="2"/>
  <c r="F30" i="2"/>
  <c r="X553" i="15"/>
  <c r="Z553" i="15" s="1"/>
  <c r="W553" i="15" s="1"/>
  <c r="H28" i="2"/>
  <c r="I553" i="15"/>
  <c r="H26" i="2"/>
  <c r="I551" i="15"/>
  <c r="DE24" i="2"/>
  <c r="H24" i="2"/>
  <c r="F24" i="2"/>
  <c r="DE23" i="2"/>
  <c r="DC23" i="2"/>
  <c r="H23" i="2"/>
  <c r="F23" i="2"/>
  <c r="DE22" i="2"/>
  <c r="X547" i="15"/>
  <c r="Z547" i="15" s="1"/>
  <c r="W547" i="15" s="1"/>
  <c r="V547" i="15" s="1"/>
  <c r="H22" i="2"/>
  <c r="F22" i="2"/>
  <c r="DE21" i="2"/>
  <c r="X546" i="15"/>
  <c r="Z546" i="15" s="1"/>
  <c r="W546" i="15" s="1"/>
  <c r="V546" i="15" s="1"/>
  <c r="H21" i="2"/>
  <c r="F21" i="2"/>
  <c r="DE20" i="2"/>
  <c r="X545" i="15"/>
  <c r="Z545" i="15" s="1"/>
  <c r="W545" i="15" s="1"/>
  <c r="V545" i="15" s="1"/>
  <c r="H20" i="2"/>
  <c r="F20" i="2"/>
  <c r="DE19" i="2"/>
  <c r="X544" i="15"/>
  <c r="Z544" i="15" s="1"/>
  <c r="W544" i="15" s="1"/>
  <c r="H19" i="2"/>
  <c r="F19" i="2"/>
  <c r="DE18" i="2"/>
  <c r="X543" i="15"/>
  <c r="Z543" i="15" s="1"/>
  <c r="W543" i="15" s="1"/>
  <c r="H18" i="2"/>
  <c r="F18" i="2"/>
  <c r="DE17" i="2"/>
  <c r="X542" i="15"/>
  <c r="Z542" i="15" s="1"/>
  <c r="W542" i="15" s="1"/>
  <c r="H17" i="2"/>
  <c r="F17" i="2"/>
  <c r="DE16" i="2"/>
  <c r="X541" i="15"/>
  <c r="Z541" i="15" s="1"/>
  <c r="W541" i="15" s="1"/>
  <c r="H16" i="2"/>
  <c r="F16" i="2"/>
  <c r="DE15" i="2"/>
  <c r="X540" i="15"/>
  <c r="Z540" i="15" s="1"/>
  <c r="W540" i="15" s="1"/>
  <c r="H15" i="2"/>
  <c r="F15" i="2"/>
  <c r="DE14" i="2"/>
  <c r="X539" i="15"/>
  <c r="Z539" i="15" s="1"/>
  <c r="W539" i="15" s="1"/>
  <c r="H14" i="2"/>
  <c r="F14" i="2"/>
  <c r="DE13" i="2"/>
  <c r="X538" i="15"/>
  <c r="Z538" i="15" s="1"/>
  <c r="W538" i="15" s="1"/>
  <c r="H13" i="2"/>
  <c r="F13" i="2"/>
  <c r="DE12" i="2"/>
  <c r="X537" i="15"/>
  <c r="Z537" i="15" s="1"/>
  <c r="W537" i="15" s="1"/>
  <c r="H12" i="2"/>
  <c r="F12" i="2"/>
  <c r="DE11" i="2"/>
  <c r="X536" i="15"/>
  <c r="Z536" i="15" s="1"/>
  <c r="W536" i="15" s="1"/>
  <c r="H11" i="2"/>
  <c r="F11" i="2"/>
  <c r="DE10" i="2"/>
  <c r="X535" i="15"/>
  <c r="Z535" i="15" s="1"/>
  <c r="H10" i="2"/>
  <c r="F10" i="2"/>
  <c r="DE9" i="2"/>
  <c r="X534" i="15"/>
  <c r="Z534" i="15" s="1"/>
  <c r="H9" i="2"/>
  <c r="F9" i="2"/>
  <c r="BE8" i="2"/>
  <c r="BD8" i="2"/>
  <c r="BC8" i="2"/>
  <c r="BB8" i="2"/>
  <c r="AZ8" i="2"/>
  <c r="AY8" i="2"/>
  <c r="AX8" i="2"/>
  <c r="AW8" i="2"/>
  <c r="AV8" i="2"/>
  <c r="AS8" i="2"/>
  <c r="AR8" i="2"/>
  <c r="AQ8" i="2"/>
  <c r="AP8" i="2"/>
  <c r="AN8" i="2"/>
  <c r="AM8" i="2"/>
  <c r="AL8" i="2"/>
  <c r="AK8" i="2"/>
  <c r="AJ8" i="2"/>
  <c r="V6" i="2"/>
  <c r="L398" i="2"/>
  <c r="Q617" i="15" s="1"/>
  <c r="O617" i="15" s="1"/>
  <c r="X474" i="15"/>
  <c r="Z474" i="15" s="1"/>
  <c r="X480" i="15"/>
  <c r="Z480" i="15" s="1"/>
  <c r="BE45" i="9"/>
  <c r="AB483" i="15"/>
  <c r="BE162" i="9"/>
  <c r="BC328" i="9"/>
  <c r="BE432" i="9"/>
  <c r="AB510" i="15"/>
  <c r="BC433" i="9"/>
  <c r="BC434" i="9"/>
  <c r="X512" i="15"/>
  <c r="Z512" i="15" s="1"/>
  <c r="BC435" i="9"/>
  <c r="BE436" i="9"/>
  <c r="AB514" i="15"/>
  <c r="BE468" i="9"/>
  <c r="AB519" i="15"/>
  <c r="BE472" i="9"/>
  <c r="AB523" i="15"/>
  <c r="BC534" i="9"/>
  <c r="X526" i="15"/>
  <c r="BC535" i="9"/>
  <c r="Y526" i="15"/>
  <c r="BC193" i="9"/>
  <c r="X490" i="15"/>
  <c r="AB503" i="15"/>
  <c r="BC363" i="9"/>
  <c r="BD363" i="9" s="1"/>
  <c r="X508" i="15"/>
  <c r="Z508" i="15" s="1"/>
  <c r="BE433" i="9"/>
  <c r="AB511" i="15"/>
  <c r="BE434" i="9"/>
  <c r="AB512" i="15"/>
  <c r="BE435" i="9"/>
  <c r="AB513" i="15"/>
  <c r="BE467" i="9"/>
  <c r="AB518" i="15"/>
  <c r="BE471" i="9"/>
  <c r="AB522" i="15"/>
  <c r="BC498" i="9"/>
  <c r="X525" i="15"/>
  <c r="Z525" i="15" s="1"/>
  <c r="BE534" i="9"/>
  <c r="AB526" i="15"/>
  <c r="X478" i="15"/>
  <c r="Z478" i="15" s="1"/>
  <c r="BC46" i="9"/>
  <c r="BE363" i="9"/>
  <c r="AB508" i="15"/>
  <c r="BC397" i="9"/>
  <c r="BD397" i="9" s="1"/>
  <c r="X509" i="15"/>
  <c r="Z509" i="15" s="1"/>
  <c r="BE466" i="9"/>
  <c r="AB517" i="15"/>
  <c r="BE470" i="9"/>
  <c r="AB521" i="15"/>
  <c r="BE498" i="9"/>
  <c r="AB525" i="15"/>
  <c r="BC162" i="9"/>
  <c r="X488" i="15"/>
  <c r="Z488" i="15" s="1"/>
  <c r="BC194" i="9"/>
  <c r="Y490" i="15"/>
  <c r="BE397" i="9"/>
  <c r="AB509" i="15"/>
  <c r="BC436" i="9"/>
  <c r="BD436" i="9" s="1"/>
  <c r="AE514" i="15" s="1"/>
  <c r="AC514" i="15" s="1"/>
  <c r="BE465" i="9"/>
  <c r="AB516" i="15"/>
  <c r="BE469" i="9"/>
  <c r="AB520" i="15"/>
  <c r="BE473" i="9"/>
  <c r="AB524" i="15"/>
  <c r="F9" i="7"/>
  <c r="K280" i="15" s="1"/>
  <c r="I280" i="15" s="1"/>
  <c r="E3005" i="6"/>
  <c r="E2835" i="6"/>
  <c r="K205" i="15"/>
  <c r="M201" i="15"/>
  <c r="K273" i="15"/>
  <c r="K218" i="15"/>
  <c r="K212" i="15"/>
  <c r="L1410" i="6"/>
  <c r="AJ193" i="15" s="1"/>
  <c r="N193" i="15"/>
  <c r="K726" i="6"/>
  <c r="L196" i="15"/>
  <c r="L136" i="6"/>
  <c r="AJ125" i="15" s="1"/>
  <c r="L1426" i="6"/>
  <c r="AJ198" i="15" s="1"/>
  <c r="L138" i="6"/>
  <c r="AJ126" i="15" s="1"/>
  <c r="L198" i="15"/>
  <c r="L1418" i="6"/>
  <c r="AJ196" i="15" s="1"/>
  <c r="L1428" i="6"/>
  <c r="AJ199" i="15" s="1"/>
  <c r="E501" i="7"/>
  <c r="BC854" i="7"/>
  <c r="BC882" i="7"/>
  <c r="X380" i="15"/>
  <c r="Z380" i="15" s="1"/>
  <c r="BE886" i="7"/>
  <c r="BE888" i="7"/>
  <c r="AB383" i="15"/>
  <c r="BE890" i="7"/>
  <c r="BE892" i="7"/>
  <c r="AB385" i="15"/>
  <c r="AB393" i="15"/>
  <c r="BC1259" i="7"/>
  <c r="BE1261" i="7"/>
  <c r="BE671" i="7"/>
  <c r="X359" i="15"/>
  <c r="Z359" i="15" s="1"/>
  <c r="BE681" i="7"/>
  <c r="AB360" i="15"/>
  <c r="AB362" i="15"/>
  <c r="X364" i="15"/>
  <c r="Z364" i="15" s="1"/>
  <c r="AB399" i="15"/>
  <c r="AB401" i="15"/>
  <c r="AB404" i="15"/>
  <c r="AB406" i="15"/>
  <c r="BE1259" i="7"/>
  <c r="BC1294" i="7"/>
  <c r="BC1295" i="7"/>
  <c r="BC1296" i="7"/>
  <c r="BC1297" i="7"/>
  <c r="BD1297" i="7" s="1"/>
  <c r="BC1298" i="7"/>
  <c r="BD1298" i="7" s="1"/>
  <c r="BC1299" i="7"/>
  <c r="BC1300" i="7"/>
  <c r="BC1301" i="7"/>
  <c r="BD1301" i="7" s="1"/>
  <c r="BC1302" i="7"/>
  <c r="BC1303" i="7"/>
  <c r="BC1304" i="7"/>
  <c r="BC1305" i="7"/>
  <c r="BD1305" i="7" s="1"/>
  <c r="AE444" i="15" s="1"/>
  <c r="AC444" i="15" s="1"/>
  <c r="BC1306" i="7"/>
  <c r="BC1307" i="7"/>
  <c r="BC1308" i="7"/>
  <c r="BC1309" i="7"/>
  <c r="BC1310" i="7"/>
  <c r="BC1311" i="7"/>
  <c r="BC1312" i="7"/>
  <c r="BC1313" i="7"/>
  <c r="BC1314" i="7"/>
  <c r="BC1315" i="7"/>
  <c r="BC1316" i="7"/>
  <c r="BC1317" i="7"/>
  <c r="BC116" i="7"/>
  <c r="M481" i="7"/>
  <c r="BE481" i="7" s="1"/>
  <c r="BC509" i="7"/>
  <c r="X336" i="15"/>
  <c r="Z336" i="15" s="1"/>
  <c r="BC551" i="7"/>
  <c r="BC732" i="7"/>
  <c r="BC733" i="7"/>
  <c r="BC808" i="7"/>
  <c r="BC809" i="7"/>
  <c r="X374" i="15"/>
  <c r="Z374" i="15" s="1"/>
  <c r="BC810" i="7"/>
  <c r="X375" i="15"/>
  <c r="Z375" i="15" s="1"/>
  <c r="AB378" i="15"/>
  <c r="X386" i="15"/>
  <c r="Z386" i="15" s="1"/>
  <c r="AB389" i="15"/>
  <c r="AB391" i="15"/>
  <c r="X394" i="15"/>
  <c r="Z394" i="15" s="1"/>
  <c r="BE1294" i="7"/>
  <c r="AB433" i="15"/>
  <c r="BE1295" i="7"/>
  <c r="AB434" i="15"/>
  <c r="BE1296" i="7"/>
  <c r="AB435" i="15"/>
  <c r="BE1297" i="7"/>
  <c r="AB436" i="15"/>
  <c r="BE1298" i="7"/>
  <c r="AB437" i="15"/>
  <c r="BE1299" i="7"/>
  <c r="AB438" i="15"/>
  <c r="BE1300" i="7"/>
  <c r="AB439" i="15"/>
  <c r="BE1301" i="7"/>
  <c r="AB440" i="15"/>
  <c r="BE1302" i="7"/>
  <c r="AB441" i="15"/>
  <c r="BE1303" i="7"/>
  <c r="AB442" i="15"/>
  <c r="BE1304" i="7"/>
  <c r="AB443" i="15"/>
  <c r="BE1305" i="7"/>
  <c r="AB444" i="15"/>
  <c r="BE1306" i="7"/>
  <c r="AB445" i="15"/>
  <c r="BE1307" i="7"/>
  <c r="AB446" i="15"/>
  <c r="BE1308" i="7"/>
  <c r="AB447" i="15"/>
  <c r="BE1309" i="7"/>
  <c r="AB448" i="15"/>
  <c r="BE1310" i="7"/>
  <c r="AB449" i="15"/>
  <c r="BE1311" i="7"/>
  <c r="AB450" i="15"/>
  <c r="BE1312" i="7"/>
  <c r="AB451" i="15"/>
  <c r="BE1313" i="7"/>
  <c r="AB452" i="15"/>
  <c r="BE1314" i="7"/>
  <c r="AB453" i="15"/>
  <c r="BE1315" i="7"/>
  <c r="AB454" i="15"/>
  <c r="BE1316" i="7"/>
  <c r="AB455" i="15"/>
  <c r="BE1317" i="7"/>
  <c r="AB456" i="15"/>
  <c r="BC599" i="7"/>
  <c r="BE673" i="7"/>
  <c r="AB356" i="15"/>
  <c r="BE732" i="7"/>
  <c r="AB366" i="15"/>
  <c r="BE733" i="7"/>
  <c r="AB367" i="15"/>
  <c r="BE884" i="7"/>
  <c r="AB381" i="15"/>
  <c r="X382" i="15"/>
  <c r="Z382" i="15" s="1"/>
  <c r="BE894" i="7"/>
  <c r="AB386" i="15"/>
  <c r="BE896" i="7"/>
  <c r="AB387" i="15"/>
  <c r="BE898" i="7"/>
  <c r="AB388" i="15"/>
  <c r="BE967" i="7"/>
  <c r="BE1002" i="7"/>
  <c r="BE16" i="7"/>
  <c r="X100" i="15"/>
  <c r="Z100" i="15" s="1"/>
  <c r="X102" i="15"/>
  <c r="Z102" i="15" s="1"/>
  <c r="AB97" i="15"/>
  <c r="AB100" i="15"/>
  <c r="BE48" i="5"/>
  <c r="AB69" i="15"/>
  <c r="BE52" i="5"/>
  <c r="AB73" i="15"/>
  <c r="AB78" i="15"/>
  <c r="BC29" i="3"/>
  <c r="X31" i="15"/>
  <c r="Z31" i="15" s="1"/>
  <c r="X19" i="15"/>
  <c r="Z19" i="15" s="1"/>
  <c r="X23" i="15"/>
  <c r="Z23" i="15" s="1"/>
  <c r="BC25" i="3"/>
  <c r="BC27" i="3"/>
  <c r="G122" i="15"/>
  <c r="BC1191" i="6"/>
  <c r="X182" i="15"/>
  <c r="Z182" i="15" s="1"/>
  <c r="X185" i="15"/>
  <c r="Z185" i="15" s="1"/>
  <c r="F228" i="6"/>
  <c r="F300" i="6" s="1"/>
  <c r="F372" i="6" s="1"/>
  <c r="F444" i="6" s="1"/>
  <c r="F516" i="6" s="1"/>
  <c r="F588" i="6" s="1"/>
  <c r="F661" i="6" s="1"/>
  <c r="F733" i="6" s="1"/>
  <c r="F237" i="6"/>
  <c r="F309" i="6" s="1"/>
  <c r="F381" i="6" s="1"/>
  <c r="F453" i="6" s="1"/>
  <c r="F525" i="6" s="1"/>
  <c r="F597" i="6" s="1"/>
  <c r="F670" i="6" s="1"/>
  <c r="F742" i="6" s="1"/>
  <c r="BE1190" i="6"/>
  <c r="AB182" i="15"/>
  <c r="F1224" i="6"/>
  <c r="F1284" i="6" s="1"/>
  <c r="BE1194" i="6"/>
  <c r="AB184" i="15"/>
  <c r="BE1196" i="6"/>
  <c r="BE1198" i="6"/>
  <c r="AB186" i="15"/>
  <c r="F2189" i="6"/>
  <c r="BC789" i="6"/>
  <c r="F1228" i="6"/>
  <c r="F1276" i="6" s="1"/>
  <c r="G187" i="15"/>
  <c r="F2179" i="6"/>
  <c r="G265" i="15"/>
  <c r="F234" i="6"/>
  <c r="F306" i="6" s="1"/>
  <c r="F378" i="6" s="1"/>
  <c r="F450" i="6" s="1"/>
  <c r="F522" i="6" s="1"/>
  <c r="F594" i="6" s="1"/>
  <c r="F667" i="6" s="1"/>
  <c r="F739" i="6" s="1"/>
  <c r="BC787" i="6"/>
  <c r="BD787" i="6" s="1"/>
  <c r="AE163" i="15" s="1"/>
  <c r="G171" i="15"/>
  <c r="Y196" i="15"/>
  <c r="Y200" i="15"/>
  <c r="X204" i="15"/>
  <c r="Z204" i="15" s="1"/>
  <c r="X214" i="15"/>
  <c r="Z214" i="15" s="1"/>
  <c r="X217" i="15"/>
  <c r="Z217" i="15" s="1"/>
  <c r="J1504" i="6"/>
  <c r="X227" i="15"/>
  <c r="Z227" i="15" s="1"/>
  <c r="J1578" i="6"/>
  <c r="X250" i="15" s="1"/>
  <c r="X249" i="15"/>
  <c r="X257" i="15"/>
  <c r="Z257" i="15" s="1"/>
  <c r="X274" i="15"/>
  <c r="Z274" i="15" s="1"/>
  <c r="BC1412" i="6"/>
  <c r="X199" i="15"/>
  <c r="Z199" i="15" s="1"/>
  <c r="BC1526" i="6"/>
  <c r="BD1526" i="6" s="1"/>
  <c r="AG235" i="15" s="1"/>
  <c r="Y235" i="15"/>
  <c r="BC1528" i="6"/>
  <c r="BD1528" i="6" s="1"/>
  <c r="Y239" i="15"/>
  <c r="BC1540" i="6"/>
  <c r="BD1540" i="6" s="1"/>
  <c r="AE240" i="15" s="1"/>
  <c r="X264" i="15"/>
  <c r="Z264" i="15" s="1"/>
  <c r="BC1408" i="6"/>
  <c r="X196" i="15"/>
  <c r="BC1490" i="6"/>
  <c r="BD1490" i="6" s="1"/>
  <c r="AE222" i="15" s="1"/>
  <c r="BC1524" i="6"/>
  <c r="X235" i="15"/>
  <c r="BC1556" i="6"/>
  <c r="BD1556" i="6" s="1"/>
  <c r="AG244" i="15" s="1"/>
  <c r="Y246" i="15"/>
  <c r="J1570" i="6"/>
  <c r="X248" i="15" s="1"/>
  <c r="J1592" i="6"/>
  <c r="Y253" i="15" s="1"/>
  <c r="Y252" i="15"/>
  <c r="Y262" i="15"/>
  <c r="J1638" i="6"/>
  <c r="X267" i="15" s="1"/>
  <c r="X268" i="15"/>
  <c r="Z268" i="15" s="1"/>
  <c r="BE1414" i="6"/>
  <c r="AB194" i="15"/>
  <c r="K1476" i="6"/>
  <c r="AB214" i="15"/>
  <c r="BE1528" i="6"/>
  <c r="AB236" i="15"/>
  <c r="BC1424" i="6"/>
  <c r="Y197" i="15"/>
  <c r="K1460" i="6"/>
  <c r="AB208" i="15"/>
  <c r="J1470" i="6"/>
  <c r="X213" i="15" s="1"/>
  <c r="X212" i="15"/>
  <c r="X230" i="15"/>
  <c r="X238" i="15"/>
  <c r="Z238" i="15" s="1"/>
  <c r="X246" i="15"/>
  <c r="BC1584" i="6"/>
  <c r="BD1584" i="6" s="1"/>
  <c r="AG251" i="15" s="1"/>
  <c r="Y251" i="15"/>
  <c r="J1598" i="6"/>
  <c r="X255" i="15" s="1"/>
  <c r="BC1624" i="6"/>
  <c r="BD1624" i="6" s="1"/>
  <c r="AE262" i="15" s="1"/>
  <c r="AB268" i="15"/>
  <c r="F7" i="9"/>
  <c r="F9" i="9"/>
  <c r="K472" i="15" s="1"/>
  <c r="I472" i="15" s="1"/>
  <c r="AN472" i="15" s="1"/>
  <c r="F8" i="7"/>
  <c r="I1420" i="6"/>
  <c r="S196" i="15" s="1"/>
  <c r="BE1440" i="6"/>
  <c r="BC1561" i="6"/>
  <c r="BD1567" i="6"/>
  <c r="AF247" i="15" s="1"/>
  <c r="L118" i="6"/>
  <c r="AJ113" i="15" s="1"/>
  <c r="BE1458" i="6"/>
  <c r="L823" i="6"/>
  <c r="AJ178" i="15" s="1"/>
  <c r="L121" i="6"/>
  <c r="AJ115" i="15" s="1"/>
  <c r="L130" i="6"/>
  <c r="AJ121" i="15" s="1"/>
  <c r="L141" i="6"/>
  <c r="AJ128" i="15" s="1"/>
  <c r="L135" i="6"/>
  <c r="AJ124" i="15" s="1"/>
  <c r="K722" i="6"/>
  <c r="H398" i="2"/>
  <c r="AE616" i="15"/>
  <c r="AC616" i="15" s="1"/>
  <c r="F1251" i="6"/>
  <c r="K1517" i="6"/>
  <c r="BE1517" i="6" s="1"/>
  <c r="BE1575" i="6"/>
  <c r="L123" i="6"/>
  <c r="AJ116" i="15" s="1"/>
  <c r="L140" i="6"/>
  <c r="L807" i="6"/>
  <c r="AJ172" i="15" s="1"/>
  <c r="V1388" i="6"/>
  <c r="I1646" i="6"/>
  <c r="Q270" i="15" s="1"/>
  <c r="F243" i="9"/>
  <c r="F541" i="9"/>
  <c r="F1100" i="7"/>
  <c r="BD1100" i="7" s="1"/>
  <c r="AE404" i="15" s="1"/>
  <c r="AC404" i="15" s="1"/>
  <c r="BD35" i="10"/>
  <c r="AE530" i="15" s="1"/>
  <c r="AC530" i="15" s="1"/>
  <c r="F11" i="9"/>
  <c r="K474" i="15" s="1"/>
  <c r="I474" i="15" s="1"/>
  <c r="L148" i="6"/>
  <c r="AJ133" i="15" s="1"/>
  <c r="J810" i="6"/>
  <c r="BC810" i="6" s="1"/>
  <c r="BC811" i="6"/>
  <c r="L152" i="6"/>
  <c r="AJ135" i="15" s="1"/>
  <c r="K1516" i="6"/>
  <c r="BE1516" i="6" s="1"/>
  <c r="BC805" i="6"/>
  <c r="I1565" i="6"/>
  <c r="T246" i="15" s="1"/>
  <c r="I1624" i="6"/>
  <c r="Q262" i="15" s="1"/>
  <c r="BC1637" i="6"/>
  <c r="BD1637" i="6" s="1"/>
  <c r="AH266" i="15" s="1"/>
  <c r="BD1527" i="6"/>
  <c r="AH235" i="15" s="1"/>
  <c r="L277" i="15"/>
  <c r="I36" i="10"/>
  <c r="O531" i="15" s="1"/>
  <c r="U531" i="15" s="1"/>
  <c r="F240" i="9"/>
  <c r="F245" i="9"/>
  <c r="F498" i="9"/>
  <c r="BD498" i="9" s="1"/>
  <c r="F595" i="7"/>
  <c r="I349" i="15" s="1"/>
  <c r="F599" i="7"/>
  <c r="F1101" i="7"/>
  <c r="L134" i="6"/>
  <c r="AJ123" i="15" s="1"/>
  <c r="L791" i="6"/>
  <c r="AJ165" i="15" s="1"/>
  <c r="L827" i="6"/>
  <c r="AJ180" i="15" s="1"/>
  <c r="F1263" i="6"/>
  <c r="L215" i="15"/>
  <c r="K1482" i="6"/>
  <c r="BE1482" i="6" s="1"/>
  <c r="J1633" i="6"/>
  <c r="BC1633" i="6" s="1"/>
  <c r="K728" i="6"/>
  <c r="L131" i="6"/>
  <c r="L144" i="6"/>
  <c r="AJ130" i="15" s="1"/>
  <c r="L149" i="6"/>
  <c r="F1239" i="6"/>
  <c r="BD1297" i="6"/>
  <c r="BC1467" i="6"/>
  <c r="BD1467" i="6" s="1"/>
  <c r="AF212" i="15" s="1"/>
  <c r="N261" i="15"/>
  <c r="BC1587" i="6"/>
  <c r="J1591" i="6"/>
  <c r="K740" i="6"/>
  <c r="X727" i="6"/>
  <c r="BE1441" i="6"/>
  <c r="I1525" i="6"/>
  <c r="R235" i="15" s="1"/>
  <c r="I1526" i="6"/>
  <c r="S235" i="15" s="1"/>
  <c r="I1576" i="6"/>
  <c r="S249" i="15" s="1"/>
  <c r="J1560" i="6"/>
  <c r="Y245" i="15" s="1"/>
  <c r="BE1596" i="6"/>
  <c r="BD1625" i="6"/>
  <c r="AF262" i="15" s="1"/>
  <c r="M3005" i="6"/>
  <c r="L3005" i="6" s="1"/>
  <c r="I1543" i="6"/>
  <c r="R241" i="15" s="1"/>
  <c r="BC1636" i="6"/>
  <c r="BD1636" i="6" s="1"/>
  <c r="AG266" i="15" s="1"/>
  <c r="O21" i="3"/>
  <c r="BE21" i="3" s="1"/>
  <c r="I58" i="10"/>
  <c r="O532" i="15" s="1"/>
  <c r="U532" i="15" s="1"/>
  <c r="BD248" i="9"/>
  <c r="AE500" i="15" s="1"/>
  <c r="AC500" i="15" s="1"/>
  <c r="L163" i="9"/>
  <c r="M163" i="9"/>
  <c r="F193" i="9"/>
  <c r="I48" i="9"/>
  <c r="F242" i="9"/>
  <c r="I494" i="15" s="1"/>
  <c r="F600" i="7"/>
  <c r="J352" i="15" s="1"/>
  <c r="M440" i="7"/>
  <c r="AB329" i="15" s="1"/>
  <c r="F591" i="7"/>
  <c r="F592" i="7"/>
  <c r="I347" i="15" s="1"/>
  <c r="F1096" i="7"/>
  <c r="F439" i="7"/>
  <c r="I328" i="15" s="1"/>
  <c r="F589" i="7"/>
  <c r="F598" i="7"/>
  <c r="I351" i="15" s="1"/>
  <c r="F1097" i="7"/>
  <c r="I401" i="15" s="1"/>
  <c r="AE423" i="15"/>
  <c r="AC423" i="15" s="1"/>
  <c r="F967" i="7"/>
  <c r="F968" i="7"/>
  <c r="I393" i="15" s="1"/>
  <c r="E1199" i="7"/>
  <c r="E1190" i="7"/>
  <c r="F590" i="7"/>
  <c r="I346" i="15" s="1"/>
  <c r="F597" i="7"/>
  <c r="J350" i="15" s="1"/>
  <c r="J833" i="6"/>
  <c r="Y181" i="15" s="1"/>
  <c r="L805" i="6"/>
  <c r="AJ170" i="15" s="1"/>
  <c r="L784" i="6"/>
  <c r="AJ161" i="15" s="1"/>
  <c r="L786" i="6"/>
  <c r="AJ162" i="15" s="1"/>
  <c r="L145" i="6"/>
  <c r="AJ131" i="15" s="1"/>
  <c r="V635" i="6"/>
  <c r="BE1432" i="6"/>
  <c r="K1457" i="6"/>
  <c r="BE1457" i="6" s="1"/>
  <c r="K739" i="6"/>
  <c r="L150" i="6"/>
  <c r="AJ134" i="15" s="1"/>
  <c r="J821" i="6"/>
  <c r="BC821" i="6" s="1"/>
  <c r="BC817" i="6"/>
  <c r="I1407" i="6"/>
  <c r="R192" i="15" s="1"/>
  <c r="K713" i="6"/>
  <c r="L124" i="6"/>
  <c r="V1376" i="6"/>
  <c r="K1472" i="6"/>
  <c r="BE1472" i="6" s="1"/>
  <c r="J1515" i="6"/>
  <c r="BC1515" i="6" s="1"/>
  <c r="K708" i="6"/>
  <c r="J1197" i="6"/>
  <c r="BC1197" i="6" s="1"/>
  <c r="F1275" i="6"/>
  <c r="BD1303" i="6"/>
  <c r="AG190" i="15" s="1"/>
  <c r="K1464" i="6"/>
  <c r="AB211" i="15" s="1"/>
  <c r="BE1462" i="6"/>
  <c r="I1468" i="6"/>
  <c r="S212" i="15" s="1"/>
  <c r="BE1474" i="6"/>
  <c r="L224" i="15"/>
  <c r="J1639" i="6"/>
  <c r="BC1639" i="6" s="1"/>
  <c r="BC1635" i="6"/>
  <c r="BD1635" i="6" s="1"/>
  <c r="AF266" i="15" s="1"/>
  <c r="K1477" i="6"/>
  <c r="BE1477" i="6" s="1"/>
  <c r="K1561" i="6"/>
  <c r="BE1561" i="6" s="1"/>
  <c r="F7" i="6"/>
  <c r="L122" i="6"/>
  <c r="BC818" i="6"/>
  <c r="BC1431" i="6"/>
  <c r="BD1431" i="6" s="1"/>
  <c r="AF200" i="15" s="1"/>
  <c r="BC1520" i="6"/>
  <c r="BD1447" i="6"/>
  <c r="AF204" i="15" s="1"/>
  <c r="BE1493" i="6"/>
  <c r="BC1577" i="6"/>
  <c r="BD1577" i="6" s="1"/>
  <c r="AH249" i="15" s="1"/>
  <c r="I1654" i="6"/>
  <c r="Q274" i="15" s="1"/>
  <c r="BD1543" i="6"/>
  <c r="AF241" i="15" s="1"/>
  <c r="BC1557" i="6"/>
  <c r="BD1557" i="6" s="1"/>
  <c r="AH244" i="15" s="1"/>
  <c r="BC1588" i="6"/>
  <c r="BD1629" i="6"/>
  <c r="AF263" i="15" s="1"/>
  <c r="BE1642" i="6"/>
  <c r="Q613" i="15"/>
  <c r="O613" i="15" s="1"/>
  <c r="Q615" i="15"/>
  <c r="O615" i="15" s="1"/>
  <c r="Q616" i="15"/>
  <c r="O616" i="15" s="1"/>
  <c r="K715" i="6"/>
  <c r="L126" i="6"/>
  <c r="AJ118" i="15" s="1"/>
  <c r="K742" i="6"/>
  <c r="L153" i="6"/>
  <c r="AJ136" i="15" s="1"/>
  <c r="F1098" i="6"/>
  <c r="F868" i="6"/>
  <c r="F889" i="6" s="1"/>
  <c r="F910" i="6" s="1"/>
  <c r="F931" i="6" s="1"/>
  <c r="F952" i="6" s="1"/>
  <c r="F973" i="6" s="1"/>
  <c r="F994" i="6" s="1"/>
  <c r="F1015" i="6" s="1"/>
  <c r="F1036" i="6" s="1"/>
  <c r="F1057" i="6" s="1"/>
  <c r="J834" i="6"/>
  <c r="BC834" i="6" s="1"/>
  <c r="X1170" i="6"/>
  <c r="K716" i="6"/>
  <c r="L146" i="6"/>
  <c r="K735" i="6"/>
  <c r="BC807" i="6"/>
  <c r="L132" i="6"/>
  <c r="AJ122" i="15" s="1"/>
  <c r="I136" i="6"/>
  <c r="Q125" i="15" s="1"/>
  <c r="O125" i="15" s="1"/>
  <c r="X1167" i="6"/>
  <c r="X1155" i="6"/>
  <c r="X1150" i="6"/>
  <c r="K805" i="6"/>
  <c r="AB170" i="15" s="1"/>
  <c r="J1084" i="6"/>
  <c r="J1085" i="6" s="1"/>
  <c r="J1086" i="6" s="1"/>
  <c r="V1116" i="6"/>
  <c r="L789" i="6"/>
  <c r="AJ164" i="15" s="1"/>
  <c r="F870" i="6"/>
  <c r="F891" i="6" s="1"/>
  <c r="F912" i="6" s="1"/>
  <c r="F933" i="6" s="1"/>
  <c r="F954" i="6" s="1"/>
  <c r="F975" i="6" s="1"/>
  <c r="F996" i="6" s="1"/>
  <c r="F1017" i="6" s="1"/>
  <c r="F1038" i="6" s="1"/>
  <c r="F1059" i="6" s="1"/>
  <c r="X1169" i="6"/>
  <c r="F1247" i="6"/>
  <c r="F1267" i="6"/>
  <c r="J1456" i="6"/>
  <c r="Y207" i="15" s="1"/>
  <c r="BC1452" i="6"/>
  <c r="BD1452" i="6" s="1"/>
  <c r="AG206" i="15" s="1"/>
  <c r="BD1507" i="6"/>
  <c r="AF229" i="15" s="1"/>
  <c r="F1282" i="6"/>
  <c r="F1234" i="6"/>
  <c r="F1288" i="6"/>
  <c r="J1444" i="6"/>
  <c r="Y203" i="15" s="1"/>
  <c r="BC1440" i="6"/>
  <c r="BD1440" i="6" s="1"/>
  <c r="AG202" i="15" s="1"/>
  <c r="K1461" i="6"/>
  <c r="BE1461" i="6" s="1"/>
  <c r="BE1459" i="6"/>
  <c r="BC1578" i="6"/>
  <c r="BC1190" i="6"/>
  <c r="F1237" i="6"/>
  <c r="F1235" i="6"/>
  <c r="F1255" i="6"/>
  <c r="J1455" i="6"/>
  <c r="BC1451" i="6"/>
  <c r="BD1451" i="6" s="1"/>
  <c r="AF206" i="15" s="1"/>
  <c r="BC1453" i="6"/>
  <c r="F2733" i="6"/>
  <c r="F2221" i="6"/>
  <c r="F2477" i="6"/>
  <c r="F2093" i="6"/>
  <c r="F1965" i="6"/>
  <c r="F1709" i="6"/>
  <c r="F2349" i="6"/>
  <c r="J1465" i="6"/>
  <c r="BC1465" i="6" s="1"/>
  <c r="F2616" i="6"/>
  <c r="F2488" i="6"/>
  <c r="F2360" i="6"/>
  <c r="F2232" i="6"/>
  <c r="F2104" i="6"/>
  <c r="F1848" i="6"/>
  <c r="F1720" i="6"/>
  <c r="F1241" i="6"/>
  <c r="F1246" i="6"/>
  <c r="F1258" i="6"/>
  <c r="J1443" i="6"/>
  <c r="BC1443" i="6" s="1"/>
  <c r="BC1439" i="6"/>
  <c r="F2727" i="6"/>
  <c r="F2215" i="6"/>
  <c r="F1959" i="6"/>
  <c r="BC1192" i="6"/>
  <c r="BD1192" i="6" s="1"/>
  <c r="AE183" i="15" s="1"/>
  <c r="F1233" i="6"/>
  <c r="F1245" i="6"/>
  <c r="F1257" i="6"/>
  <c r="F1269" i="6"/>
  <c r="F1287" i="6"/>
  <c r="F2720" i="6"/>
  <c r="F2592" i="6"/>
  <c r="F2464" i="6"/>
  <c r="F2336" i="6"/>
  <c r="F1696" i="6"/>
  <c r="F2208" i="6"/>
  <c r="F2080" i="6"/>
  <c r="F1952" i="6"/>
  <c r="F1824" i="6"/>
  <c r="F2465" i="6"/>
  <c r="J1449" i="6"/>
  <c r="J1461" i="6"/>
  <c r="BC1461" i="6" s="1"/>
  <c r="F2738" i="6"/>
  <c r="F2610" i="6"/>
  <c r="F2482" i="6"/>
  <c r="F2354" i="6"/>
  <c r="F2226" i="6"/>
  <c r="F1714" i="6"/>
  <c r="F2098" i="6"/>
  <c r="F1970" i="6"/>
  <c r="F1842" i="6"/>
  <c r="F2355" i="6"/>
  <c r="BC1474" i="6"/>
  <c r="BD1474" i="6" s="1"/>
  <c r="AE214" i="15" s="1"/>
  <c r="J1483" i="6"/>
  <c r="BC1483" i="6" s="1"/>
  <c r="BD1483" i="6" s="1"/>
  <c r="BE1487" i="6"/>
  <c r="F2494" i="6"/>
  <c r="F1982" i="6"/>
  <c r="BE1503" i="6"/>
  <c r="F2632" i="6"/>
  <c r="F2504" i="6"/>
  <c r="F2760" i="6"/>
  <c r="F2248" i="6"/>
  <c r="F2376" i="6"/>
  <c r="F2120" i="6"/>
  <c r="F1992" i="6"/>
  <c r="F1864" i="6"/>
  <c r="F1736" i="6"/>
  <c r="F2761" i="6"/>
  <c r="F1993" i="6"/>
  <c r="BE1547" i="6"/>
  <c r="BE1548" i="6"/>
  <c r="F2654" i="6"/>
  <c r="F2270" i="6"/>
  <c r="F1886" i="6"/>
  <c r="F2271" i="6"/>
  <c r="BE1567" i="6"/>
  <c r="F2664" i="6"/>
  <c r="F2536" i="6"/>
  <c r="F2408" i="6"/>
  <c r="F2792" i="6"/>
  <c r="F2280" i="6"/>
  <c r="F2152" i="6"/>
  <c r="F2024" i="6"/>
  <c r="F1896" i="6"/>
  <c r="F1768" i="6"/>
  <c r="F2409" i="6"/>
  <c r="F2281" i="6"/>
  <c r="F2793" i="6"/>
  <c r="F2665" i="6"/>
  <c r="F2537" i="6"/>
  <c r="F2153" i="6"/>
  <c r="F2025" i="6"/>
  <c r="F1897" i="6"/>
  <c r="F1769" i="6"/>
  <c r="BE1587" i="6"/>
  <c r="BE1588" i="6"/>
  <c r="BE1589" i="6"/>
  <c r="BC1595" i="6"/>
  <c r="K1613" i="6"/>
  <c r="BE1613" i="6" s="1"/>
  <c r="BE1609" i="6"/>
  <c r="BE1610" i="6"/>
  <c r="K1614" i="6"/>
  <c r="BE1614" i="6" s="1"/>
  <c r="F2682" i="6"/>
  <c r="F2554" i="6"/>
  <c r="F2810" i="6"/>
  <c r="F2426" i="6"/>
  <c r="F2298" i="6"/>
  <c r="F2170" i="6"/>
  <c r="F2042" i="6"/>
  <c r="F1786" i="6"/>
  <c r="F1914" i="6"/>
  <c r="BC1466" i="6"/>
  <c r="BD1466" i="6" s="1"/>
  <c r="AE212" i="15" s="1"/>
  <c r="F2619" i="6"/>
  <c r="F1979" i="6"/>
  <c r="BC1492" i="6"/>
  <c r="BD1492" i="6" s="1"/>
  <c r="F2755" i="6"/>
  <c r="F2115" i="6"/>
  <c r="F1731" i="6"/>
  <c r="F2636" i="6"/>
  <c r="F2508" i="6"/>
  <c r="F2380" i="6"/>
  <c r="F2764" i="6"/>
  <c r="F2124" i="6"/>
  <c r="F1996" i="6"/>
  <c r="F1740" i="6"/>
  <c r="F2252" i="6"/>
  <c r="F1868" i="6"/>
  <c r="F2650" i="6"/>
  <c r="F2522" i="6"/>
  <c r="F2394" i="6"/>
  <c r="F2266" i="6"/>
  <c r="F2778" i="6"/>
  <c r="F2138" i="6"/>
  <c r="F2010" i="6"/>
  <c r="F1882" i="6"/>
  <c r="F1754" i="6"/>
  <c r="F2779" i="6"/>
  <c r="F2395" i="6"/>
  <c r="F2651" i="6"/>
  <c r="F2523" i="6"/>
  <c r="F2267" i="6"/>
  <c r="F1883" i="6"/>
  <c r="F2139" i="6"/>
  <c r="F2011" i="6"/>
  <c r="F1755" i="6"/>
  <c r="F2788" i="6"/>
  <c r="F2020" i="6"/>
  <c r="F2789" i="6"/>
  <c r="F2405" i="6"/>
  <c r="F2277" i="6"/>
  <c r="F2661" i="6"/>
  <c r="F2533" i="6"/>
  <c r="F2149" i="6"/>
  <c r="F2021" i="6"/>
  <c r="F1893" i="6"/>
  <c r="F1765" i="6"/>
  <c r="BC1574" i="6"/>
  <c r="BD1574" i="6" s="1"/>
  <c r="AE249" i="15" s="1"/>
  <c r="F2670" i="6"/>
  <c r="F2542" i="6"/>
  <c r="F2414" i="6"/>
  <c r="F2286" i="6"/>
  <c r="F2798" i="6"/>
  <c r="F2158" i="6"/>
  <c r="F2030" i="6"/>
  <c r="F1902" i="6"/>
  <c r="F1774" i="6"/>
  <c r="F2809" i="6"/>
  <c r="F2297" i="6"/>
  <c r="F2681" i="6"/>
  <c r="F2553" i="6"/>
  <c r="F2425" i="6"/>
  <c r="F2169" i="6"/>
  <c r="F2041" i="6"/>
  <c r="F1913" i="6"/>
  <c r="F1785" i="6"/>
  <c r="BC1632" i="6"/>
  <c r="BC1644" i="6"/>
  <c r="BC1566" i="6"/>
  <c r="BD1566" i="6" s="1"/>
  <c r="AE247" i="15" s="1"/>
  <c r="BC1597" i="6"/>
  <c r="J1601" i="6"/>
  <c r="F2596" i="6"/>
  <c r="F2468" i="6"/>
  <c r="F2724" i="6"/>
  <c r="F2212" i="6"/>
  <c r="F2084" i="6"/>
  <c r="F1956" i="6"/>
  <c r="F1700" i="6"/>
  <c r="F2340" i="6"/>
  <c r="F1828" i="6"/>
  <c r="F2725" i="6"/>
  <c r="F2730" i="6"/>
  <c r="F2602" i="6"/>
  <c r="F2346" i="6"/>
  <c r="F2218" i="6"/>
  <c r="F1706" i="6"/>
  <c r="F1962" i="6"/>
  <c r="F1834" i="6"/>
  <c r="F2603" i="6"/>
  <c r="F2475" i="6"/>
  <c r="F1707" i="6"/>
  <c r="F1835" i="6"/>
  <c r="F2607" i="6"/>
  <c r="F2479" i="6"/>
  <c r="F2351" i="6"/>
  <c r="F2735" i="6"/>
  <c r="F2223" i="6"/>
  <c r="F2095" i="6"/>
  <c r="F1967" i="6"/>
  <c r="F1839" i="6"/>
  <c r="F1711" i="6"/>
  <c r="F2613" i="6"/>
  <c r="F1845" i="6"/>
  <c r="BC1480" i="6"/>
  <c r="BD1480" i="6" s="1"/>
  <c r="F2674" i="6"/>
  <c r="F2290" i="6"/>
  <c r="F2419" i="6"/>
  <c r="F2803" i="6"/>
  <c r="F2675" i="6"/>
  <c r="F2547" i="6"/>
  <c r="F2291" i="6"/>
  <c r="BC1608" i="6"/>
  <c r="BC1610" i="6"/>
  <c r="BD1610" i="6" s="1"/>
  <c r="AG258" i="15" s="1"/>
  <c r="K1622" i="6"/>
  <c r="BE1622" i="6" s="1"/>
  <c r="K1640" i="6"/>
  <c r="BE1640" i="6" s="1"/>
  <c r="F2703" i="6"/>
  <c r="BE1659" i="6"/>
  <c r="F1918" i="6"/>
  <c r="F2035" i="6"/>
  <c r="F2163" i="6"/>
  <c r="F2671" i="6"/>
  <c r="BC1594" i="6"/>
  <c r="BD1594" i="6" s="1"/>
  <c r="AE254" i="15" s="1"/>
  <c r="BE1617" i="6"/>
  <c r="F2819" i="6"/>
  <c r="F2691" i="6"/>
  <c r="F2563" i="6"/>
  <c r="F2435" i="6"/>
  <c r="F2307" i="6"/>
  <c r="BE1637" i="6"/>
  <c r="F2441" i="6"/>
  <c r="F2313" i="6"/>
  <c r="F2825" i="6"/>
  <c r="F2697" i="6"/>
  <c r="F2569" i="6"/>
  <c r="F2577" i="6"/>
  <c r="L1406" i="6"/>
  <c r="AJ192" i="15" s="1"/>
  <c r="L1416" i="6"/>
  <c r="AJ195" i="15" s="1"/>
  <c r="F1798" i="6"/>
  <c r="F1807" i="6"/>
  <c r="F2301" i="6"/>
  <c r="F2685" i="6"/>
  <c r="F2557" i="6"/>
  <c r="F2429" i="6"/>
  <c r="F2813" i="6"/>
  <c r="F2814" i="6"/>
  <c r="F2686" i="6"/>
  <c r="F2558" i="6"/>
  <c r="F2430" i="6"/>
  <c r="F2302" i="6"/>
  <c r="F2174" i="6"/>
  <c r="BC1630" i="6"/>
  <c r="BD1630" i="6" s="1"/>
  <c r="AE264" i="15" s="1"/>
  <c r="F2694" i="6"/>
  <c r="F2310" i="6"/>
  <c r="F2567" i="6"/>
  <c r="BC1642" i="6"/>
  <c r="BD1642" i="6" s="1"/>
  <c r="AE268" i="15" s="1"/>
  <c r="BC1643" i="6"/>
  <c r="F2571" i="6"/>
  <c r="BE1651" i="6"/>
  <c r="BC1658" i="6"/>
  <c r="BD1658" i="6" s="1"/>
  <c r="AE276" i="15" s="1"/>
  <c r="L1422" i="6"/>
  <c r="AJ197" i="15" s="1"/>
  <c r="F1779" i="6"/>
  <c r="F1907" i="6"/>
  <c r="F1917" i="6"/>
  <c r="F1923" i="6"/>
  <c r="F1929" i="6"/>
  <c r="F2057" i="6"/>
  <c r="F2173" i="6"/>
  <c r="F2185" i="6"/>
  <c r="BC1634" i="6"/>
  <c r="BD1634" i="6" s="1"/>
  <c r="AE266" i="15" s="1"/>
  <c r="BC1646" i="6"/>
  <c r="F2317" i="6"/>
  <c r="K3095" i="6"/>
  <c r="K1534" i="6" s="1"/>
  <c r="X3057" i="6"/>
  <c r="F1789" i="6"/>
  <c r="F1790" i="6"/>
  <c r="F1795" i="6"/>
  <c r="F1803" i="6"/>
  <c r="F2045" i="6"/>
  <c r="F2051" i="6"/>
  <c r="F2183" i="6"/>
  <c r="D503" i="7"/>
  <c r="V503" i="7" s="1"/>
  <c r="V473" i="7"/>
  <c r="BE480" i="7"/>
  <c r="F901" i="7"/>
  <c r="E1189" i="7"/>
  <c r="E1203" i="7"/>
  <c r="D426" i="9"/>
  <c r="V426" i="9" s="1"/>
  <c r="D357" i="9"/>
  <c r="V357" i="9" s="1"/>
  <c r="D528" i="9"/>
  <c r="V528" i="9" s="1"/>
  <c r="D391" i="9"/>
  <c r="V391" i="9" s="1"/>
  <c r="D425" i="9"/>
  <c r="V425" i="9" s="1"/>
  <c r="D558" i="9"/>
  <c r="D232" i="9"/>
  <c r="D147" i="9"/>
  <c r="V147" i="9" s="1"/>
  <c r="V31" i="9"/>
  <c r="V232" i="9" s="1"/>
  <c r="X1272" i="7"/>
  <c r="K12" i="9"/>
  <c r="AB475" i="15" s="1"/>
  <c r="BE11" i="9"/>
  <c r="F1272" i="7"/>
  <c r="F1262" i="7" s="1"/>
  <c r="F244" i="9"/>
  <c r="M244" i="9" s="1"/>
  <c r="O496" i="15" s="1"/>
  <c r="W496" i="15" s="1"/>
  <c r="BD247" i="9"/>
  <c r="AE499" i="15" s="1"/>
  <c r="AC499" i="15" s="1"/>
  <c r="D527" i="9"/>
  <c r="V527" i="9" s="1"/>
  <c r="D424" i="9"/>
  <c r="V424" i="9" s="1"/>
  <c r="D556" i="9"/>
  <c r="D356" i="9"/>
  <c r="V356" i="9" s="1"/>
  <c r="D230" i="9"/>
  <c r="D390" i="9"/>
  <c r="V390" i="9" s="1"/>
  <c r="D146" i="9"/>
  <c r="V146" i="9" s="1"/>
  <c r="N43" i="9"/>
  <c r="J45" i="9"/>
  <c r="J46" i="9"/>
  <c r="F241" i="9"/>
  <c r="N40" i="9"/>
  <c r="J40" i="9"/>
  <c r="F246" i="9"/>
  <c r="BD246" i="9" s="1"/>
  <c r="AE498" i="15" s="1"/>
  <c r="AC498" i="15" s="1"/>
  <c r="N44" i="9"/>
  <c r="J44" i="9"/>
  <c r="N48" i="9"/>
  <c r="J48" i="9"/>
  <c r="F113" i="9"/>
  <c r="F114" i="9"/>
  <c r="F118" i="9"/>
  <c r="F122" i="9"/>
  <c r="BD328" i="9"/>
  <c r="BD22" i="10"/>
  <c r="AE529" i="15" s="1"/>
  <c r="AC529" i="15" s="1"/>
  <c r="F194" i="9"/>
  <c r="BD194" i="9" s="1"/>
  <c r="AG490" i="15" s="1"/>
  <c r="AD490" i="15" s="1"/>
  <c r="I499" i="15"/>
  <c r="I500" i="15"/>
  <c r="F1242" i="6"/>
  <c r="BD1427" i="6"/>
  <c r="AF198" i="15" s="1"/>
  <c r="L137" i="6"/>
  <c r="I1495" i="6"/>
  <c r="R224" i="15" s="1"/>
  <c r="I1661" i="6"/>
  <c r="R277" i="15" s="1"/>
  <c r="L218" i="15"/>
  <c r="L205" i="15"/>
  <c r="M250" i="15"/>
  <c r="L253" i="15"/>
  <c r="L245" i="15"/>
  <c r="I1559" i="6"/>
  <c r="R245" i="15" s="1"/>
  <c r="L228" i="15"/>
  <c r="L248" i="15"/>
  <c r="L259" i="15"/>
  <c r="N213" i="15"/>
  <c r="L255" i="15"/>
  <c r="L271" i="15"/>
  <c r="L275" i="15"/>
  <c r="I1623" i="6"/>
  <c r="T261" i="15" s="1"/>
  <c r="N255" i="15"/>
  <c r="I1601" i="6"/>
  <c r="T255" i="15" s="1"/>
  <c r="N201" i="15"/>
  <c r="L265" i="15"/>
  <c r="N250" i="15"/>
  <c r="L231" i="15"/>
  <c r="K727" i="6"/>
  <c r="K725" i="6"/>
  <c r="F1248" i="6"/>
  <c r="K734" i="6"/>
  <c r="K120" i="15"/>
  <c r="I120" i="15" s="1"/>
  <c r="K168" i="15"/>
  <c r="I168" i="15" s="1"/>
  <c r="M131" i="15"/>
  <c r="J131" i="15" s="1"/>
  <c r="I145" i="6"/>
  <c r="Q131" i="15" s="1"/>
  <c r="O131" i="15" s="1"/>
  <c r="K131" i="15"/>
  <c r="I131" i="15" s="1"/>
  <c r="BE1460" i="6"/>
  <c r="AB209" i="15"/>
  <c r="BE1644" i="6"/>
  <c r="AB269" i="15"/>
  <c r="K196" i="15"/>
  <c r="BE1464" i="6"/>
  <c r="M252" i="9"/>
  <c r="O504" i="15" s="1"/>
  <c r="K736" i="6"/>
  <c r="L147" i="6"/>
  <c r="AJ132" i="15" s="1"/>
  <c r="K806" i="6"/>
  <c r="BE806" i="6" s="1"/>
  <c r="K709" i="6"/>
  <c r="L120" i="6"/>
  <c r="AJ114" i="15" s="1"/>
  <c r="K718" i="6"/>
  <c r="L129" i="6"/>
  <c r="AJ120" i="15" s="1"/>
  <c r="BD296" i="16" l="1"/>
  <c r="AE61" i="15" s="1"/>
  <c r="AC61" i="15" s="1"/>
  <c r="BC667" i="7"/>
  <c r="X363" i="15"/>
  <c r="Z363" i="15" s="1"/>
  <c r="BC45" i="9"/>
  <c r="BE48" i="9"/>
  <c r="BC10" i="9"/>
  <c r="BC1645" i="6"/>
  <c r="BC1457" i="6"/>
  <c r="BD1457" i="6" s="1"/>
  <c r="AH207" i="15" s="1"/>
  <c r="Q1685" i="6"/>
  <c r="X3021" i="6" s="1"/>
  <c r="BC1558" i="6"/>
  <c r="BD1558" i="6" s="1"/>
  <c r="AE245" i="15" s="1"/>
  <c r="AB199" i="15"/>
  <c r="BE1428" i="6"/>
  <c r="Y213" i="15"/>
  <c r="BC1472" i="6"/>
  <c r="F2191" i="6"/>
  <c r="F2034" i="6"/>
  <c r="F1927" i="6"/>
  <c r="F2699" i="6"/>
  <c r="F2311" i="6"/>
  <c r="BC1654" i="6"/>
  <c r="BD1654" i="6" s="1"/>
  <c r="AE274" i="15" s="1"/>
  <c r="F2319" i="6"/>
  <c r="F2831" i="6"/>
  <c r="BC1609" i="6"/>
  <c r="BD1609" i="6" s="1"/>
  <c r="AF258" i="15" s="1"/>
  <c r="F2802" i="6"/>
  <c r="F1973" i="6"/>
  <c r="F2229" i="6"/>
  <c r="F2148" i="6"/>
  <c r="F2404" i="6"/>
  <c r="F2371" i="6"/>
  <c r="F2243" i="6"/>
  <c r="F2015" i="6"/>
  <c r="F2527" i="6"/>
  <c r="F1737" i="6"/>
  <c r="F2121" i="6"/>
  <c r="F2249" i="6"/>
  <c r="F2593" i="6"/>
  <c r="I1587" i="6"/>
  <c r="R252" i="15" s="1"/>
  <c r="BC1651" i="6"/>
  <c r="BD1651" i="6" s="1"/>
  <c r="AF272" i="15" s="1"/>
  <c r="BE1463" i="6"/>
  <c r="BC1487" i="6"/>
  <c r="BD1197" i="6"/>
  <c r="AF185" i="15" s="1"/>
  <c r="K1473" i="6"/>
  <c r="BE1473" i="6" s="1"/>
  <c r="BC1493" i="6"/>
  <c r="BE1643" i="6"/>
  <c r="Y241" i="15"/>
  <c r="J1514" i="6"/>
  <c r="X231" i="15" s="1"/>
  <c r="X225" i="15"/>
  <c r="Y212" i="15"/>
  <c r="Z212" i="15" s="1"/>
  <c r="BC1500" i="6"/>
  <c r="BD1500" i="6" s="1"/>
  <c r="AE226" i="15" s="1"/>
  <c r="BC1437" i="6"/>
  <c r="BD1437" i="6" s="1"/>
  <c r="AH201" i="15" s="1"/>
  <c r="BC1445" i="6"/>
  <c r="Y137" i="15"/>
  <c r="F2055" i="6"/>
  <c r="F2162" i="6"/>
  <c r="F2695" i="6"/>
  <c r="F2187" i="6"/>
  <c r="F2063" i="6"/>
  <c r="F1935" i="6"/>
  <c r="F1778" i="6"/>
  <c r="F2315" i="6"/>
  <c r="F2827" i="6"/>
  <c r="F2823" i="6"/>
  <c r="F2447" i="6"/>
  <c r="F2418" i="6"/>
  <c r="F2357" i="6"/>
  <c r="F2101" i="6"/>
  <c r="F2741" i="6"/>
  <c r="BC1601" i="6"/>
  <c r="BD1601" i="6" s="1"/>
  <c r="AH255" i="15" s="1"/>
  <c r="F1764" i="6"/>
  <c r="F2532" i="6"/>
  <c r="F1859" i="6"/>
  <c r="F2499" i="6"/>
  <c r="K1615" i="6"/>
  <c r="BE1615" i="6" s="1"/>
  <c r="F2143" i="6"/>
  <c r="F2783" i="6"/>
  <c r="F2377" i="6"/>
  <c r="F2505" i="6"/>
  <c r="F1953" i="6"/>
  <c r="J1571" i="6"/>
  <c r="BC1571" i="6" s="1"/>
  <c r="J1579" i="6"/>
  <c r="BC1579" i="6" s="1"/>
  <c r="BE1631" i="6"/>
  <c r="BC1468" i="6"/>
  <c r="BD1468" i="6" s="1"/>
  <c r="AG212" i="15" s="1"/>
  <c r="AB187" i="15"/>
  <c r="BC1435" i="6"/>
  <c r="M3029" i="6"/>
  <c r="L3029" i="6" s="1"/>
  <c r="K3029" i="6" s="1"/>
  <c r="K1430" i="6" s="1"/>
  <c r="K1434" i="6" s="1"/>
  <c r="BC183" i="6"/>
  <c r="BD183" i="6" s="1"/>
  <c r="AE156" i="15" s="1"/>
  <c r="AC156" i="15" s="1"/>
  <c r="F2059" i="6"/>
  <c r="F1931" i="6"/>
  <c r="F2443" i="6"/>
  <c r="F2439" i="6"/>
  <c r="F1906" i="6"/>
  <c r="F2575" i="6"/>
  <c r="F2546" i="6"/>
  <c r="F1717" i="6"/>
  <c r="F2485" i="6"/>
  <c r="F1701" i="6"/>
  <c r="F1892" i="6"/>
  <c r="F2276" i="6"/>
  <c r="F2660" i="6"/>
  <c r="F1987" i="6"/>
  <c r="F2627" i="6"/>
  <c r="BE1568" i="6"/>
  <c r="F1887" i="6"/>
  <c r="F2399" i="6"/>
  <c r="F1865" i="6"/>
  <c r="BC1462" i="6"/>
  <c r="F2081" i="6"/>
  <c r="BC1659" i="6"/>
  <c r="BD1659" i="6" s="1"/>
  <c r="AF276" i="15" s="1"/>
  <c r="AC276" i="15" s="1"/>
  <c r="K1559" i="6"/>
  <c r="BE1559" i="6" s="1"/>
  <c r="K1623" i="6"/>
  <c r="BE1623" i="6" s="1"/>
  <c r="BE816" i="6"/>
  <c r="X174" i="15"/>
  <c r="Z174" i="15" s="1"/>
  <c r="F225" i="6"/>
  <c r="F297" i="6" s="1"/>
  <c r="F369" i="6" s="1"/>
  <c r="F441" i="6" s="1"/>
  <c r="F513" i="6" s="1"/>
  <c r="F585" i="6" s="1"/>
  <c r="F658" i="6" s="1"/>
  <c r="F730" i="6" s="1"/>
  <c r="I1457" i="6"/>
  <c r="T207" i="15" s="1"/>
  <c r="X145" i="15"/>
  <c r="BC185" i="6"/>
  <c r="H1598" i="6"/>
  <c r="I1630" i="6"/>
  <c r="Q264" i="15" s="1"/>
  <c r="I1547" i="6"/>
  <c r="R242" i="15" s="1"/>
  <c r="I1450" i="6"/>
  <c r="Q206" i="15" s="1"/>
  <c r="I1637" i="6"/>
  <c r="T266" i="15" s="1"/>
  <c r="I1512" i="6"/>
  <c r="S230" i="15" s="1"/>
  <c r="I1617" i="6"/>
  <c r="R260" i="15" s="1"/>
  <c r="I1197" i="6"/>
  <c r="R185" i="15" s="1"/>
  <c r="I1655" i="6"/>
  <c r="R274" i="15" s="1"/>
  <c r="I1636" i="6"/>
  <c r="S266" i="15" s="1"/>
  <c r="I1658" i="6"/>
  <c r="Q276" i="15" s="1"/>
  <c r="I1574" i="6"/>
  <c r="Q249" i="15" s="1"/>
  <c r="I1492" i="6"/>
  <c r="Q223" i="15" s="1"/>
  <c r="I1566" i="6"/>
  <c r="Q247" i="15" s="1"/>
  <c r="E142" i="16"/>
  <c r="E107" i="16"/>
  <c r="AB45" i="15"/>
  <c r="E156" i="16"/>
  <c r="E133" i="16"/>
  <c r="E159" i="16"/>
  <c r="E136" i="16"/>
  <c r="O590" i="7"/>
  <c r="O593" i="7"/>
  <c r="BE1439" i="6"/>
  <c r="K1443" i="6"/>
  <c r="BE1443" i="6" s="1"/>
  <c r="F1272" i="6"/>
  <c r="N509" i="7"/>
  <c r="BE509" i="7" s="1"/>
  <c r="BE1655" i="6"/>
  <c r="F1963" i="6"/>
  <c r="F2219" i="6"/>
  <c r="F2731" i="6"/>
  <c r="F2085" i="6"/>
  <c r="F2469" i="6"/>
  <c r="F2337" i="6"/>
  <c r="F2209" i="6"/>
  <c r="BC1476" i="6"/>
  <c r="BE1447" i="6"/>
  <c r="M550" i="7"/>
  <c r="BE550" i="7" s="1"/>
  <c r="J1648" i="6"/>
  <c r="AB195" i="15"/>
  <c r="X13" i="15"/>
  <c r="Z13" i="15" s="1"/>
  <c r="AB364" i="15"/>
  <c r="X377" i="15"/>
  <c r="Z377" i="15" s="1"/>
  <c r="BC130" i="6"/>
  <c r="BD130" i="6" s="1"/>
  <c r="AE121" i="15" s="1"/>
  <c r="AC121" i="15" s="1"/>
  <c r="X121" i="15"/>
  <c r="BD1445" i="6"/>
  <c r="AH203" i="15" s="1"/>
  <c r="J1523" i="6"/>
  <c r="BC1523" i="6" s="1"/>
  <c r="BD1523" i="6" s="1"/>
  <c r="AF234" i="15" s="1"/>
  <c r="BC1521" i="6"/>
  <c r="BD1521" i="6" s="1"/>
  <c r="AF233" i="15" s="1"/>
  <c r="Y237" i="15"/>
  <c r="BC1532" i="6"/>
  <c r="BD1532" i="6" s="1"/>
  <c r="AG237" i="15" s="1"/>
  <c r="BC1589" i="6"/>
  <c r="J1593" i="6"/>
  <c r="BC1593" i="6" s="1"/>
  <c r="Y258" i="15"/>
  <c r="J1614" i="6"/>
  <c r="AB218" i="15"/>
  <c r="F1230" i="6"/>
  <c r="F2091" i="6"/>
  <c r="F2341" i="6"/>
  <c r="F2597" i="6"/>
  <c r="F1825" i="6"/>
  <c r="F1697" i="6"/>
  <c r="BE1647" i="6"/>
  <c r="G173" i="15"/>
  <c r="F1101" i="6"/>
  <c r="K814" i="6"/>
  <c r="BE814" i="6" s="1"/>
  <c r="BE812" i="6"/>
  <c r="J820" i="6"/>
  <c r="BC820" i="6" s="1"/>
  <c r="BC816" i="6"/>
  <c r="D213" i="15"/>
  <c r="BC1471" i="6"/>
  <c r="X219" i="15"/>
  <c r="Z219" i="15" s="1"/>
  <c r="BC1484" i="6"/>
  <c r="BC1513" i="6"/>
  <c r="BD1513" i="6" s="1"/>
  <c r="AH230" i="15" s="1"/>
  <c r="J1517" i="6"/>
  <c r="BC1517" i="6" s="1"/>
  <c r="K1599" i="6"/>
  <c r="BE1599" i="6" s="1"/>
  <c r="BE1595" i="6"/>
  <c r="BE43" i="9"/>
  <c r="AB481" i="15"/>
  <c r="X58" i="15"/>
  <c r="Z58" i="15" s="1"/>
  <c r="BC244" i="16"/>
  <c r="BC7" i="3"/>
  <c r="X9" i="15"/>
  <c r="Z9" i="15" s="1"/>
  <c r="BC23" i="3"/>
  <c r="X25" i="15"/>
  <c r="Z25" i="15" s="1"/>
  <c r="H1482" i="6"/>
  <c r="I1480" i="6"/>
  <c r="Q217" i="15" s="1"/>
  <c r="F1572" i="6"/>
  <c r="M248" i="15" s="1"/>
  <c r="F550" i="7"/>
  <c r="I339" i="15" s="1"/>
  <c r="AN339" i="15" s="1"/>
  <c r="F891" i="7"/>
  <c r="L384" i="15" s="1"/>
  <c r="F889" i="7"/>
  <c r="BD889" i="7" s="1"/>
  <c r="AF383" i="15" s="1"/>
  <c r="BE1059" i="7"/>
  <c r="AB396" i="15"/>
  <c r="X471" i="15"/>
  <c r="Z471" i="15" s="1"/>
  <c r="BC8" i="9"/>
  <c r="BD36" i="10"/>
  <c r="AE531" i="15" s="1"/>
  <c r="AC531" i="15" s="1"/>
  <c r="X35" i="15"/>
  <c r="Z35" i="15" s="1"/>
  <c r="X45" i="15"/>
  <c r="Z45" i="15" s="1"/>
  <c r="E148" i="16"/>
  <c r="E135" i="16"/>
  <c r="I444" i="7"/>
  <c r="F246" i="6"/>
  <c r="F318" i="6" s="1"/>
  <c r="F390" i="6" s="1"/>
  <c r="F462" i="6" s="1"/>
  <c r="F534" i="6" s="1"/>
  <c r="F606" i="6" s="1"/>
  <c r="F679" i="6" s="1"/>
  <c r="F751" i="6" s="1"/>
  <c r="Y155" i="15"/>
  <c r="BC177" i="6"/>
  <c r="BC163" i="6"/>
  <c r="BD163" i="6" s="1"/>
  <c r="AE143" i="15" s="1"/>
  <c r="AC143" i="15" s="1"/>
  <c r="BD193" i="9"/>
  <c r="BD1304" i="7"/>
  <c r="AE443" i="15" s="1"/>
  <c r="AC443" i="15" s="1"/>
  <c r="BC900" i="7"/>
  <c r="BD900" i="7" s="1"/>
  <c r="AE389" i="15" s="1"/>
  <c r="O11" i="3"/>
  <c r="BE11" i="3" s="1"/>
  <c r="F14" i="3"/>
  <c r="BD14" i="3" s="1"/>
  <c r="F20" i="3"/>
  <c r="I22" i="15" s="1"/>
  <c r="F26" i="3"/>
  <c r="I28" i="15" s="1"/>
  <c r="AN28" i="15" s="1"/>
  <c r="F28" i="3"/>
  <c r="F1470" i="6"/>
  <c r="K213" i="15" s="1"/>
  <c r="F1494" i="6"/>
  <c r="F1516" i="6"/>
  <c r="M231" i="15" s="1"/>
  <c r="F1570" i="6"/>
  <c r="K248" i="15" s="1"/>
  <c r="I248" i="15" s="1"/>
  <c r="F1632" i="6"/>
  <c r="BD1632" i="6" s="1"/>
  <c r="AE265" i="15" s="1"/>
  <c r="I440" i="7"/>
  <c r="X36" i="15"/>
  <c r="Z36" i="15" s="1"/>
  <c r="E147" i="16"/>
  <c r="E108" i="16"/>
  <c r="E121" i="16"/>
  <c r="AB37" i="15"/>
  <c r="BE244" i="16"/>
  <c r="E144" i="16"/>
  <c r="E158" i="16"/>
  <c r="E162" i="16"/>
  <c r="J442" i="7"/>
  <c r="F273" i="6"/>
  <c r="F345" i="6" s="1"/>
  <c r="F417" i="6" s="1"/>
  <c r="F489" i="6" s="1"/>
  <c r="F561" i="6" s="1"/>
  <c r="F633" i="6" s="1"/>
  <c r="F706" i="6" s="1"/>
  <c r="F778" i="6" s="1"/>
  <c r="Y140" i="15"/>
  <c r="BC187" i="6"/>
  <c r="X149" i="15"/>
  <c r="F7" i="3"/>
  <c r="BD7" i="3" s="1"/>
  <c r="AE9" i="15" s="1"/>
  <c r="AC9" i="15" s="1"/>
  <c r="N8" i="3"/>
  <c r="F9" i="3"/>
  <c r="I11" i="15" s="1"/>
  <c r="N10" i="3"/>
  <c r="F11" i="3"/>
  <c r="I13" i="15" s="1"/>
  <c r="AN13" i="15" s="1"/>
  <c r="N12" i="3"/>
  <c r="F13" i="3"/>
  <c r="N14" i="3"/>
  <c r="F17" i="3"/>
  <c r="G17" i="3" s="1"/>
  <c r="O19" i="15" s="1"/>
  <c r="W19" i="15" s="1"/>
  <c r="N20" i="3"/>
  <c r="N22" i="3"/>
  <c r="F23" i="3"/>
  <c r="N24" i="3"/>
  <c r="F25" i="3"/>
  <c r="I27" i="15" s="1"/>
  <c r="N26" i="3"/>
  <c r="N27" i="3"/>
  <c r="N28" i="3"/>
  <c r="N29" i="3"/>
  <c r="N30" i="3"/>
  <c r="I144" i="6"/>
  <c r="Q130" i="15" s="1"/>
  <c r="W130" i="15" s="1"/>
  <c r="I1517" i="6"/>
  <c r="T231" i="15" s="1"/>
  <c r="I1558" i="6"/>
  <c r="Q245" i="15" s="1"/>
  <c r="A1657" i="6"/>
  <c r="Q1686" i="6"/>
  <c r="X3111" i="6" s="1"/>
  <c r="F1444" i="6"/>
  <c r="M203" i="15" s="1"/>
  <c r="I1560" i="6"/>
  <c r="S245" i="15" s="1"/>
  <c r="M3027" i="6"/>
  <c r="L3027" i="6" s="1"/>
  <c r="I1461" i="6"/>
  <c r="R209" i="15" s="1"/>
  <c r="I1641" i="6"/>
  <c r="T267" i="15" s="1"/>
  <c r="M3009" i="6"/>
  <c r="L3009" i="6" s="1"/>
  <c r="K3009" i="6" s="1"/>
  <c r="K1410" i="6" s="1"/>
  <c r="AB193" i="15" s="1"/>
  <c r="W311" i="7"/>
  <c r="W335" i="7"/>
  <c r="X39" i="15"/>
  <c r="Z39" i="15" s="1"/>
  <c r="E116" i="16"/>
  <c r="D315" i="16"/>
  <c r="V315" i="16" s="1"/>
  <c r="BC179" i="6"/>
  <c r="BC176" i="6"/>
  <c r="BD176" i="6" s="1"/>
  <c r="AG151" i="15" s="1"/>
  <c r="AD151" i="15" s="1"/>
  <c r="F15" i="7"/>
  <c r="K286" i="15" s="1"/>
  <c r="I286" i="15" s="1"/>
  <c r="AN286" i="15" s="1"/>
  <c r="X343" i="15"/>
  <c r="Z343" i="15" s="1"/>
  <c r="AB335" i="15"/>
  <c r="AB354" i="15"/>
  <c r="AB284" i="15"/>
  <c r="X351" i="15"/>
  <c r="Z351" i="15" s="1"/>
  <c r="E103" i="7"/>
  <c r="F12" i="7"/>
  <c r="K283" i="15" s="1"/>
  <c r="I283" i="15" s="1"/>
  <c r="G36" i="15"/>
  <c r="D166" i="16"/>
  <c r="V166" i="16" s="1"/>
  <c r="AB42" i="15"/>
  <c r="E157" i="16"/>
  <c r="D262" i="16"/>
  <c r="V262" i="16" s="1"/>
  <c r="I69" i="16"/>
  <c r="Q40" i="15" s="1"/>
  <c r="BE57" i="16"/>
  <c r="BD244" i="16"/>
  <c r="BB244" i="16" s="1"/>
  <c r="AA58" i="15" s="1"/>
  <c r="E124" i="16"/>
  <c r="D289" i="16"/>
  <c r="V289" i="16" s="1"/>
  <c r="X243" i="15"/>
  <c r="BC1550" i="6"/>
  <c r="X205" i="15"/>
  <c r="Z205" i="15" s="1"/>
  <c r="BC1448" i="6"/>
  <c r="BD1448" i="6" s="1"/>
  <c r="AE205" i="15" s="1"/>
  <c r="K3005" i="6"/>
  <c r="K1406" i="6" s="1"/>
  <c r="N267" i="15"/>
  <c r="M245" i="15"/>
  <c r="M3017" i="6"/>
  <c r="L3017" i="6" s="1"/>
  <c r="K3017" i="6" s="1"/>
  <c r="K1418" i="6" s="1"/>
  <c r="BE1418" i="6" s="1"/>
  <c r="X3167" i="6"/>
  <c r="X3095" i="6"/>
  <c r="F2573" i="6"/>
  <c r="F2445" i="6"/>
  <c r="F1903" i="6"/>
  <c r="F2822" i="6"/>
  <c r="F2031" i="6"/>
  <c r="F2321" i="6"/>
  <c r="F2799" i="6"/>
  <c r="BC1650" i="6"/>
  <c r="BD1645" i="6"/>
  <c r="AF269" i="15" s="1"/>
  <c r="M3013" i="6"/>
  <c r="L3013" i="6" s="1"/>
  <c r="K3059" i="6"/>
  <c r="K1486" i="6" s="1"/>
  <c r="K3057" i="6"/>
  <c r="K1484" i="6" s="1"/>
  <c r="F2701" i="6"/>
  <c r="F2065" i="6"/>
  <c r="F1933" i="6"/>
  <c r="F1805" i="6"/>
  <c r="Q1687" i="6"/>
  <c r="X3091" i="6" s="1"/>
  <c r="F2182" i="6"/>
  <c r="F2566" i="6"/>
  <c r="F2833" i="6"/>
  <c r="F2449" i="6"/>
  <c r="BE1635" i="6"/>
  <c r="F2287" i="6"/>
  <c r="J1649" i="6"/>
  <c r="BC1649" i="6" s="1"/>
  <c r="BC1446" i="6"/>
  <c r="BD1446" i="6" s="1"/>
  <c r="AE204" i="15" s="1"/>
  <c r="BC1661" i="6"/>
  <c r="BD1661" i="6" s="1"/>
  <c r="AF277" i="15" s="1"/>
  <c r="F1851" i="6"/>
  <c r="F2491" i="6"/>
  <c r="BC1616" i="6"/>
  <c r="BD1616" i="6" s="1"/>
  <c r="AE260" i="15" s="1"/>
  <c r="F2142" i="6"/>
  <c r="F2526" i="6"/>
  <c r="F1854" i="6"/>
  <c r="F2238" i="6"/>
  <c r="F2099" i="6"/>
  <c r="F1831" i="6"/>
  <c r="F2599" i="6"/>
  <c r="F1229" i="6"/>
  <c r="F872" i="6"/>
  <c r="F893" i="6" s="1"/>
  <c r="F914" i="6" s="1"/>
  <c r="F935" i="6" s="1"/>
  <c r="F956" i="6" s="1"/>
  <c r="F977" i="6" s="1"/>
  <c r="F998" i="6" s="1"/>
  <c r="F1019" i="6" s="1"/>
  <c r="F1040" i="6" s="1"/>
  <c r="F1061" i="6" s="1"/>
  <c r="J1615" i="6"/>
  <c r="BC1615" i="6" s="1"/>
  <c r="BD1615" i="6" s="1"/>
  <c r="AH259" i="15" s="1"/>
  <c r="M3015" i="6"/>
  <c r="L3015" i="6" s="1"/>
  <c r="J1488" i="6"/>
  <c r="K1573" i="6"/>
  <c r="BE1573" i="6" s="1"/>
  <c r="J1652" i="6"/>
  <c r="BC1508" i="6"/>
  <c r="BD1508" i="6" s="1"/>
  <c r="AG229" i="15" s="1"/>
  <c r="BC1478" i="6"/>
  <c r="J1660" i="6"/>
  <c r="Y256" i="15"/>
  <c r="F2054" i="6"/>
  <c r="G177" i="15"/>
  <c r="G273" i="15"/>
  <c r="I124" i="6"/>
  <c r="S116" i="15" s="1"/>
  <c r="P116" i="15" s="1"/>
  <c r="W116" i="15" s="1"/>
  <c r="BD132" i="6"/>
  <c r="AE122" i="15" s="1"/>
  <c r="AC122" i="15" s="1"/>
  <c r="BC1456" i="6"/>
  <c r="BC1444" i="6"/>
  <c r="BD1444" i="6" s="1"/>
  <c r="AG203" i="15" s="1"/>
  <c r="BC1598" i="6"/>
  <c r="M3025" i="6"/>
  <c r="L3025" i="6" s="1"/>
  <c r="X3059" i="6"/>
  <c r="F2829" i="6"/>
  <c r="F2193" i="6"/>
  <c r="F1937" i="6"/>
  <c r="F2438" i="6"/>
  <c r="F2159" i="6"/>
  <c r="F2705" i="6"/>
  <c r="F2415" i="6"/>
  <c r="F1926" i="6"/>
  <c r="BC1638" i="6"/>
  <c r="BC1596" i="6"/>
  <c r="F2363" i="6"/>
  <c r="F2107" i="6"/>
  <c r="F2747" i="6"/>
  <c r="F1758" i="6"/>
  <c r="F2782" i="6"/>
  <c r="F2366" i="6"/>
  <c r="F2622" i="6"/>
  <c r="F1715" i="6"/>
  <c r="F2483" i="6"/>
  <c r="F2087" i="6"/>
  <c r="F2343" i="6"/>
  <c r="BC1441" i="6"/>
  <c r="BD1441" i="6" s="1"/>
  <c r="AH202" i="15" s="1"/>
  <c r="AD202" i="15" s="1"/>
  <c r="F1265" i="6"/>
  <c r="K1483" i="6"/>
  <c r="BE1483" i="6" s="1"/>
  <c r="BC1194" i="6"/>
  <c r="M3021" i="6"/>
  <c r="L3021" i="6" s="1"/>
  <c r="K3021" i="6" s="1"/>
  <c r="K1422" i="6" s="1"/>
  <c r="BE1556" i="6"/>
  <c r="J1522" i="6"/>
  <c r="BE1597" i="6"/>
  <c r="BC1433" i="6"/>
  <c r="BC1641" i="6"/>
  <c r="K833" i="6"/>
  <c r="BE833" i="6" s="1"/>
  <c r="X260" i="15"/>
  <c r="J1590" i="6"/>
  <c r="X253" i="15" s="1"/>
  <c r="Z253" i="15" s="1"/>
  <c r="BC1628" i="6"/>
  <c r="C231" i="15"/>
  <c r="AM231" i="15" s="1"/>
  <c r="BC1586" i="6"/>
  <c r="BD1586" i="6" s="1"/>
  <c r="AE252" i="15" s="1"/>
  <c r="J1600" i="6"/>
  <c r="BC1600" i="6" s="1"/>
  <c r="F1723" i="6"/>
  <c r="F2235" i="6"/>
  <c r="F2014" i="6"/>
  <c r="F2398" i="6"/>
  <c r="F1726" i="6"/>
  <c r="F1971" i="6"/>
  <c r="F2611" i="6"/>
  <c r="BC1449" i="6"/>
  <c r="BD1449" i="6" s="1"/>
  <c r="AF205" i="15" s="1"/>
  <c r="F1703" i="6"/>
  <c r="F2471" i="6"/>
  <c r="BD1190" i="6"/>
  <c r="J1477" i="6"/>
  <c r="BC1477" i="6" s="1"/>
  <c r="BC1619" i="6"/>
  <c r="J1559" i="6"/>
  <c r="BC1559" i="6" s="1"/>
  <c r="J1505" i="6"/>
  <c r="BC1505" i="6" s="1"/>
  <c r="BC1486" i="6"/>
  <c r="BD1486" i="6" s="1"/>
  <c r="AE220" i="15" s="1"/>
  <c r="I1459" i="6"/>
  <c r="R208" i="15" s="1"/>
  <c r="BE824" i="6"/>
  <c r="BC1416" i="6"/>
  <c r="BD1416" i="6" s="1"/>
  <c r="Y247" i="15"/>
  <c r="Z247" i="15" s="1"/>
  <c r="BC1498" i="6"/>
  <c r="BD1498" i="6" s="1"/>
  <c r="AG225" i="15" s="1"/>
  <c r="X237" i="15"/>
  <c r="F1809" i="6"/>
  <c r="BD12" i="3"/>
  <c r="AE14" i="15" s="1"/>
  <c r="AC14" i="15" s="1"/>
  <c r="BD20" i="3"/>
  <c r="AE22" i="15" s="1"/>
  <c r="AC22" i="15" s="1"/>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1" i="15"/>
  <c r="AN91" i="15" s="1"/>
  <c r="AO91" i="15" s="1"/>
  <c r="BD256" i="5"/>
  <c r="I87" i="15"/>
  <c r="AN87" i="15" s="1"/>
  <c r="BD205" i="5"/>
  <c r="I7" i="9"/>
  <c r="Q470" i="15" s="1"/>
  <c r="O470" i="15" s="1"/>
  <c r="U470" i="15" s="1"/>
  <c r="K470" i="15"/>
  <c r="I470" i="15" s="1"/>
  <c r="AN470" i="15" s="1"/>
  <c r="BC9" i="9"/>
  <c r="BD9" i="9" s="1"/>
  <c r="AE472" i="15" s="1"/>
  <c r="AC472" i="15" s="1"/>
  <c r="X472" i="15"/>
  <c r="Z472" i="15" s="1"/>
  <c r="BC7" i="9"/>
  <c r="X470" i="15"/>
  <c r="Z470" i="15" s="1"/>
  <c r="BE9" i="9"/>
  <c r="AB472" i="15"/>
  <c r="AN391" i="15"/>
  <c r="I245" i="15"/>
  <c r="AN328" i="15"/>
  <c r="AN246" i="15"/>
  <c r="X175" i="15"/>
  <c r="Z175" i="15" s="1"/>
  <c r="BC813" i="6"/>
  <c r="BC1656" i="6"/>
  <c r="BD1656" i="6" s="1"/>
  <c r="AE275" i="15" s="1"/>
  <c r="X261" i="15"/>
  <c r="BC1620" i="6"/>
  <c r="F207" i="6"/>
  <c r="F279" i="6" s="1"/>
  <c r="F351" i="6" s="1"/>
  <c r="F423" i="6" s="1"/>
  <c r="F495" i="6" s="1"/>
  <c r="F567" i="6" s="1"/>
  <c r="F640" i="6" s="1"/>
  <c r="F712" i="6" s="1"/>
  <c r="Y127" i="15"/>
  <c r="Z127" i="15" s="1"/>
  <c r="BC140" i="6"/>
  <c r="X187" i="15"/>
  <c r="Z187" i="15" s="1"/>
  <c r="J1201" i="6"/>
  <c r="BC1201" i="6" s="1"/>
  <c r="BD1201" i="6" s="1"/>
  <c r="AF187" i="15" s="1"/>
  <c r="W1251" i="6"/>
  <c r="X1251" i="6"/>
  <c r="BC1432" i="6"/>
  <c r="BD1432" i="6" s="1"/>
  <c r="AG200" i="15" s="1"/>
  <c r="J1436" i="6"/>
  <c r="Y201" i="15" s="1"/>
  <c r="J1473" i="6"/>
  <c r="BC1469" i="6"/>
  <c r="BD1469" i="6" s="1"/>
  <c r="AH212" i="15" s="1"/>
  <c r="AD212" i="15" s="1"/>
  <c r="X218" i="15"/>
  <c r="Z218" i="15" s="1"/>
  <c r="BC1482" i="6"/>
  <c r="BD1482" i="6" s="1"/>
  <c r="AE218" i="15" s="1"/>
  <c r="G218" i="15"/>
  <c r="F2744" i="6"/>
  <c r="F1976" i="6"/>
  <c r="BC1518" i="6"/>
  <c r="BD1518" i="6" s="1"/>
  <c r="AE232" i="15" s="1"/>
  <c r="X232" i="15"/>
  <c r="Z232" i="15" s="1"/>
  <c r="BE1576" i="6"/>
  <c r="K1580" i="6"/>
  <c r="BE1580" i="6" s="1"/>
  <c r="BE1577" i="6"/>
  <c r="K1581" i="6"/>
  <c r="BE1581" i="6" s="1"/>
  <c r="X251" i="15"/>
  <c r="Z251" i="15" s="1"/>
  <c r="BC1582" i="6"/>
  <c r="BD1582" i="6" s="1"/>
  <c r="AE251" i="15" s="1"/>
  <c r="AC251" i="15" s="1"/>
  <c r="Y260" i="15"/>
  <c r="Z260" i="15" s="1"/>
  <c r="J1622" i="6"/>
  <c r="F1266" i="6"/>
  <c r="BC1514" i="6"/>
  <c r="BD1514" i="6" s="1"/>
  <c r="AE231" i="15" s="1"/>
  <c r="D1150" i="6"/>
  <c r="V1150" i="6" s="1"/>
  <c r="BC1592" i="6"/>
  <c r="BE808" i="6"/>
  <c r="F869" i="6"/>
  <c r="F890" i="6" s="1"/>
  <c r="F911" i="6" s="1"/>
  <c r="F932" i="6" s="1"/>
  <c r="F953" i="6" s="1"/>
  <c r="F974" i="6" s="1"/>
  <c r="F995" i="6" s="1"/>
  <c r="F1016" i="6" s="1"/>
  <c r="F1037" i="6" s="1"/>
  <c r="F1058" i="6" s="1"/>
  <c r="X210" i="15"/>
  <c r="Z210" i="15" s="1"/>
  <c r="BC1406" i="6"/>
  <c r="X136" i="15"/>
  <c r="Z136" i="15" s="1"/>
  <c r="X106" i="15"/>
  <c r="Z106" i="15" s="1"/>
  <c r="BC1200" i="6"/>
  <c r="BD1200" i="6" s="1"/>
  <c r="X184" i="15"/>
  <c r="Z184" i="15" s="1"/>
  <c r="D259" i="15"/>
  <c r="BC1613" i="6"/>
  <c r="BD1613" i="6" s="1"/>
  <c r="AF259" i="15" s="1"/>
  <c r="F1240" i="6"/>
  <c r="F1270" i="6"/>
  <c r="F1252" i="6"/>
  <c r="F1103" i="6"/>
  <c r="F871" i="6"/>
  <c r="F892" i="6" s="1"/>
  <c r="F913" i="6" s="1"/>
  <c r="F934" i="6" s="1"/>
  <c r="F955" i="6" s="1"/>
  <c r="F976" i="6" s="1"/>
  <c r="F997" i="6" s="1"/>
  <c r="F1018" i="6" s="1"/>
  <c r="F1039" i="6" s="1"/>
  <c r="F1060" i="6" s="1"/>
  <c r="K822" i="6"/>
  <c r="BE822" i="6" s="1"/>
  <c r="BE818" i="6"/>
  <c r="BC824" i="6"/>
  <c r="J826" i="6"/>
  <c r="BC826" i="6" s="1"/>
  <c r="G209" i="15"/>
  <c r="F2605" i="6"/>
  <c r="F1837" i="6"/>
  <c r="H1505" i="6"/>
  <c r="I1503" i="6"/>
  <c r="R227" i="15" s="1"/>
  <c r="BC1569" i="6"/>
  <c r="BD1569" i="6" s="1"/>
  <c r="AH247" i="15" s="1"/>
  <c r="J1573" i="6"/>
  <c r="BC1573" i="6" s="1"/>
  <c r="BD1573" i="6" s="1"/>
  <c r="AH248" i="15" s="1"/>
  <c r="G181" i="15"/>
  <c r="F1111" i="6"/>
  <c r="F874" i="6"/>
  <c r="F895" i="6" s="1"/>
  <c r="F916" i="6" s="1"/>
  <c r="F937" i="6" s="1"/>
  <c r="F958" i="6" s="1"/>
  <c r="F979" i="6" s="1"/>
  <c r="F1000" i="6" s="1"/>
  <c r="F1021" i="6" s="1"/>
  <c r="F1042" i="6" s="1"/>
  <c r="F1063" i="6" s="1"/>
  <c r="F1277" i="6"/>
  <c r="F1259" i="6"/>
  <c r="F1271" i="6"/>
  <c r="F1253" i="6"/>
  <c r="X242" i="15"/>
  <c r="BC1546" i="6"/>
  <c r="BD1546" i="6" s="1"/>
  <c r="AE242" i="15" s="1"/>
  <c r="BC1549" i="6"/>
  <c r="BD1549" i="6" s="1"/>
  <c r="AH242" i="15" s="1"/>
  <c r="J1553" i="6"/>
  <c r="BC1553" i="6" s="1"/>
  <c r="BD1553" i="6" s="1"/>
  <c r="AH243" i="15" s="1"/>
  <c r="BC1623" i="6"/>
  <c r="I150" i="6"/>
  <c r="Q134" i="15" s="1"/>
  <c r="O134" i="15" s="1"/>
  <c r="Q203" i="6"/>
  <c r="X719" i="6" s="1"/>
  <c r="BD1198" i="6"/>
  <c r="AE186" i="15" s="1"/>
  <c r="BC1581" i="6"/>
  <c r="BD1581" i="6" s="1"/>
  <c r="AH250" i="15" s="1"/>
  <c r="Z258" i="15"/>
  <c r="AN120" i="15"/>
  <c r="AO120" i="15" s="1"/>
  <c r="AN346" i="15"/>
  <c r="O162" i="15"/>
  <c r="AN499" i="15"/>
  <c r="AN435" i="15"/>
  <c r="AN443" i="15"/>
  <c r="AN131" i="15"/>
  <c r="AO131" i="15" s="1"/>
  <c r="AN227" i="15"/>
  <c r="DD740" i="2"/>
  <c r="AE661" i="15" s="1"/>
  <c r="AC661" i="15" s="1"/>
  <c r="V230" i="9"/>
  <c r="V556" i="9"/>
  <c r="I490" i="15"/>
  <c r="AN490" i="15" s="1"/>
  <c r="BD672" i="7"/>
  <c r="AF355" i="15" s="1"/>
  <c r="F1102" i="7"/>
  <c r="M1102" i="7" s="1"/>
  <c r="O406" i="15" s="1"/>
  <c r="W406" i="15" s="1"/>
  <c r="BE808" i="7"/>
  <c r="BC432" i="9"/>
  <c r="BD432" i="9" s="1"/>
  <c r="AE510" i="15" s="1"/>
  <c r="AC510" i="15" s="1"/>
  <c r="AB515" i="15"/>
  <c r="F239" i="9"/>
  <c r="I1191" i="6"/>
  <c r="R182" i="15" s="1"/>
  <c r="I1193" i="6"/>
  <c r="R183" i="15" s="1"/>
  <c r="AB183" i="15"/>
  <c r="BD1191" i="6"/>
  <c r="AF182" i="15" s="1"/>
  <c r="X186" i="15"/>
  <c r="Z186" i="15" s="1"/>
  <c r="J1199" i="6"/>
  <c r="BC1199" i="6" s="1"/>
  <c r="BD1199" i="6" s="1"/>
  <c r="AF186" i="15" s="1"/>
  <c r="BD1194" i="6"/>
  <c r="AE184" i="15" s="1"/>
  <c r="AN242" i="15"/>
  <c r="Y432" i="15"/>
  <c r="Z432" i="15" s="1"/>
  <c r="BC1059" i="7"/>
  <c r="BD1059" i="7" s="1"/>
  <c r="BB1059" i="7" s="1"/>
  <c r="AA396" i="15" s="1"/>
  <c r="BD1028" i="7"/>
  <c r="AE395" i="15" s="1"/>
  <c r="AC395" i="15" s="1"/>
  <c r="BD884" i="7"/>
  <c r="AE381" i="15" s="1"/>
  <c r="BD894" i="7"/>
  <c r="AE386" i="15" s="1"/>
  <c r="AC386" i="15" s="1"/>
  <c r="BD896" i="7"/>
  <c r="BB896" i="7" s="1"/>
  <c r="AA387" i="15" s="1"/>
  <c r="I688" i="7"/>
  <c r="R363" i="15" s="1"/>
  <c r="O598" i="7"/>
  <c r="AB351" i="15" s="1"/>
  <c r="G656" i="7"/>
  <c r="I884" i="7"/>
  <c r="Q381" i="15" s="1"/>
  <c r="AN283" i="15"/>
  <c r="BE125" i="7"/>
  <c r="AN393" i="15"/>
  <c r="I386" i="15"/>
  <c r="AN386" i="15" s="1"/>
  <c r="I901" i="7"/>
  <c r="R389" i="15" s="1"/>
  <c r="D543" i="7"/>
  <c r="F442" i="7"/>
  <c r="I331" i="15" s="1"/>
  <c r="I296" i="16"/>
  <c r="O61" i="15" s="1"/>
  <c r="Q61" i="15" s="1"/>
  <c r="I244" i="16"/>
  <c r="O58" i="15" s="1"/>
  <c r="U58" i="15" s="1"/>
  <c r="BC208" i="16"/>
  <c r="BD208" i="16" s="1"/>
  <c r="AE48" i="15" s="1"/>
  <c r="AC48" i="15" s="1"/>
  <c r="BE216" i="16"/>
  <c r="BE77" i="16"/>
  <c r="K40" i="15"/>
  <c r="I40" i="15" s="1"/>
  <c r="I1192" i="6"/>
  <c r="Q183" i="15" s="1"/>
  <c r="BC174" i="6"/>
  <c r="BD174" i="6" s="1"/>
  <c r="AE150" i="15" s="1"/>
  <c r="AC150" i="15" s="1"/>
  <c r="AB129" i="15"/>
  <c r="BD151" i="6"/>
  <c r="AG134" i="15" s="1"/>
  <c r="AD134" i="15" s="1"/>
  <c r="AB604" i="15"/>
  <c r="I621" i="15"/>
  <c r="AN621" i="15" s="1"/>
  <c r="I623" i="15"/>
  <c r="AN623" i="15" s="1"/>
  <c r="I636" i="15"/>
  <c r="AN636" i="15" s="1"/>
  <c r="I638" i="15"/>
  <c r="AN638" i="15" s="1"/>
  <c r="I640" i="15"/>
  <c r="AN640" i="15" s="1"/>
  <c r="I642" i="15"/>
  <c r="AN642" i="15" s="1"/>
  <c r="I648" i="15"/>
  <c r="AN648" i="15" s="1"/>
  <c r="I660" i="15"/>
  <c r="AN660" i="15" s="1"/>
  <c r="I662" i="15"/>
  <c r="AN662" i="15" s="1"/>
  <c r="AO662" i="15" s="1"/>
  <c r="I625" i="15"/>
  <c r="AN625" i="15" s="1"/>
  <c r="I627" i="15"/>
  <c r="AN627" i="15" s="1"/>
  <c r="I630" i="15"/>
  <c r="AN630" i="15" s="1"/>
  <c r="I632" i="15"/>
  <c r="AN632" i="15" s="1"/>
  <c r="I634" i="15"/>
  <c r="AN634" i="15" s="1"/>
  <c r="J662" i="15"/>
  <c r="AO741" i="2"/>
  <c r="I646" i="15"/>
  <c r="AN646" i="15" s="1"/>
  <c r="I655" i="15"/>
  <c r="AN655" i="15" s="1"/>
  <c r="I656" i="15"/>
  <c r="AN656" i="15" s="1"/>
  <c r="I661" i="15"/>
  <c r="AN661" i="15" s="1"/>
  <c r="X568" i="15"/>
  <c r="Z568" i="15" s="1"/>
  <c r="W568" i="15" s="1"/>
  <c r="AO125" i="2"/>
  <c r="X570" i="15"/>
  <c r="Z570" i="15" s="1"/>
  <c r="W570" i="15" s="1"/>
  <c r="AO128" i="2"/>
  <c r="X572" i="15"/>
  <c r="Z572" i="15" s="1"/>
  <c r="W572" i="15" s="1"/>
  <c r="AO130" i="2"/>
  <c r="I643" i="15"/>
  <c r="AN643" i="15" s="1"/>
  <c r="I657" i="15"/>
  <c r="AN657" i="15" s="1"/>
  <c r="J661" i="15"/>
  <c r="AO740" i="2"/>
  <c r="I665" i="15"/>
  <c r="AN665" i="15" s="1"/>
  <c r="I620" i="15"/>
  <c r="AN620" i="15" s="1"/>
  <c r="I622" i="15"/>
  <c r="AN622" i="15" s="1"/>
  <c r="I637" i="15"/>
  <c r="AN637" i="15" s="1"/>
  <c r="I639" i="15"/>
  <c r="AN639" i="15" s="1"/>
  <c r="I641" i="15"/>
  <c r="AN641" i="15" s="1"/>
  <c r="I649" i="15"/>
  <c r="AN649" i="15" s="1"/>
  <c r="I659" i="15"/>
  <c r="AN659" i="15" s="1"/>
  <c r="I624" i="15"/>
  <c r="AN624" i="15" s="1"/>
  <c r="I626" i="15"/>
  <c r="AN626" i="15" s="1"/>
  <c r="I628" i="15"/>
  <c r="AN628" i="15" s="1"/>
  <c r="I629" i="15"/>
  <c r="AN629" i="15" s="1"/>
  <c r="I631" i="15"/>
  <c r="AN631" i="15" s="1"/>
  <c r="I633" i="15"/>
  <c r="AN633" i="15" s="1"/>
  <c r="I635" i="15"/>
  <c r="AN635" i="15" s="1"/>
  <c r="L602" i="15"/>
  <c r="AO308" i="2"/>
  <c r="I647" i="15"/>
  <c r="AN647" i="15" s="1"/>
  <c r="I650" i="15"/>
  <c r="AN650" i="15" s="1"/>
  <c r="I654" i="15"/>
  <c r="AN654" i="15" s="1"/>
  <c r="DD505" i="2"/>
  <c r="AE636" i="15" s="1"/>
  <c r="AC636" i="15" s="1"/>
  <c r="DD588" i="2"/>
  <c r="AE648" i="15" s="1"/>
  <c r="AC648" i="15" s="1"/>
  <c r="I589" i="2"/>
  <c r="O649" i="15" s="1"/>
  <c r="V649" i="15" s="1"/>
  <c r="U649" i="15" s="1"/>
  <c r="I592" i="15"/>
  <c r="AN592" i="15" s="1"/>
  <c r="I603" i="15"/>
  <c r="AN603" i="15" s="1"/>
  <c r="I604" i="15"/>
  <c r="AN604" i="15" s="1"/>
  <c r="J740" i="2"/>
  <c r="O661" i="15" s="1"/>
  <c r="I566" i="15"/>
  <c r="AN566" i="15" s="1"/>
  <c r="I568" i="15"/>
  <c r="AN568" i="15" s="1"/>
  <c r="I570" i="15"/>
  <c r="AN570" i="15" s="1"/>
  <c r="I572" i="15"/>
  <c r="AN572" i="15" s="1"/>
  <c r="I574" i="15"/>
  <c r="AN574" i="15" s="1"/>
  <c r="I576" i="15"/>
  <c r="AN576" i="15" s="1"/>
  <c r="I578" i="15"/>
  <c r="AN578" i="15" s="1"/>
  <c r="I580" i="15"/>
  <c r="AN580" i="15" s="1"/>
  <c r="I582" i="15"/>
  <c r="AN582" i="15" s="1"/>
  <c r="I585" i="15"/>
  <c r="AN585" i="15" s="1"/>
  <c r="I593" i="15"/>
  <c r="AN593" i="15" s="1"/>
  <c r="I584" i="15"/>
  <c r="AN584" i="15" s="1"/>
  <c r="I591" i="15"/>
  <c r="AN591" i="15" s="1"/>
  <c r="I567" i="15"/>
  <c r="AN567" i="15" s="1"/>
  <c r="I569" i="15"/>
  <c r="AN569" i="15" s="1"/>
  <c r="I571" i="15"/>
  <c r="AN571" i="15" s="1"/>
  <c r="I573" i="15"/>
  <c r="AN573" i="15" s="1"/>
  <c r="I575" i="15"/>
  <c r="AN575" i="15" s="1"/>
  <c r="I577" i="15"/>
  <c r="AN577" i="15" s="1"/>
  <c r="I579" i="15"/>
  <c r="AN579" i="15" s="1"/>
  <c r="I581" i="15"/>
  <c r="AN581" i="15" s="1"/>
  <c r="I583" i="15"/>
  <c r="AN583" i="15" s="1"/>
  <c r="I607" i="15"/>
  <c r="AN607" i="15" s="1"/>
  <c r="DD688" i="2"/>
  <c r="AE656" i="15" s="1"/>
  <c r="AC656" i="15" s="1"/>
  <c r="DD479" i="2"/>
  <c r="AE629" i="15" s="1"/>
  <c r="AC629" i="15" s="1"/>
  <c r="DD485" i="2"/>
  <c r="AE635" i="15" s="1"/>
  <c r="AC635" i="15" s="1"/>
  <c r="BE35" i="10"/>
  <c r="BB397" i="9"/>
  <c r="AA509" i="15" s="1"/>
  <c r="BC467" i="9"/>
  <c r="BD467" i="9" s="1"/>
  <c r="X515" i="15"/>
  <c r="Z515" i="15" s="1"/>
  <c r="BD434" i="9"/>
  <c r="AE512" i="15" s="1"/>
  <c r="AC512" i="15" s="1"/>
  <c r="BD435" i="9"/>
  <c r="AE513" i="15" s="1"/>
  <c r="AC513" i="15" s="1"/>
  <c r="BD433" i="9"/>
  <c r="BB433" i="9" s="1"/>
  <c r="AA511" i="15" s="1"/>
  <c r="L498" i="9"/>
  <c r="O525" i="15" s="1"/>
  <c r="V525" i="15" s="1"/>
  <c r="I11" i="9"/>
  <c r="Q474" i="15" s="1"/>
  <c r="M193" i="9"/>
  <c r="O490" i="15" s="1"/>
  <c r="J363" i="9"/>
  <c r="O508" i="15" s="1"/>
  <c r="V508" i="15" s="1"/>
  <c r="M248" i="9"/>
  <c r="O500" i="15" s="1"/>
  <c r="W500" i="15" s="1"/>
  <c r="I435" i="9"/>
  <c r="O513" i="15" s="1"/>
  <c r="V513" i="15" s="1"/>
  <c r="I432" i="9"/>
  <c r="O510" i="15" s="1"/>
  <c r="V510" i="15" s="1"/>
  <c r="I433" i="9"/>
  <c r="O511" i="15" s="1"/>
  <c r="V511" i="15" s="1"/>
  <c r="AB484" i="15"/>
  <c r="BC13" i="9"/>
  <c r="M194" i="9"/>
  <c r="P490" i="15" s="1"/>
  <c r="W490" i="15" s="1"/>
  <c r="AN494" i="15"/>
  <c r="I511" i="15"/>
  <c r="AN511" i="15" s="1"/>
  <c r="BB498" i="9"/>
  <c r="AA525" i="15" s="1"/>
  <c r="I510" i="15"/>
  <c r="AN510" i="15" s="1"/>
  <c r="F162" i="9"/>
  <c r="I488" i="15" s="1"/>
  <c r="AN488" i="15" s="1"/>
  <c r="AA504" i="15"/>
  <c r="M242" i="9"/>
  <c r="O494" i="15" s="1"/>
  <c r="W494" i="15" s="1"/>
  <c r="BD242" i="9"/>
  <c r="AE494" i="15" s="1"/>
  <c r="AC494" i="15" s="1"/>
  <c r="BD437" i="9"/>
  <c r="BB437" i="9" s="1"/>
  <c r="AA515" i="15" s="1"/>
  <c r="I437" i="9"/>
  <c r="O515" i="15" s="1"/>
  <c r="V515" i="15" s="1"/>
  <c r="I535" i="9"/>
  <c r="P526" i="15" s="1"/>
  <c r="W526" i="15" s="1"/>
  <c r="BD535" i="9"/>
  <c r="AG526" i="15" s="1"/>
  <c r="AD526" i="15" s="1"/>
  <c r="X486" i="15"/>
  <c r="Z486" i="15" s="1"/>
  <c r="X481" i="15"/>
  <c r="Z481" i="15" s="1"/>
  <c r="I434" i="9"/>
  <c r="O512" i="15" s="1"/>
  <c r="V512" i="15" s="1"/>
  <c r="F534" i="9"/>
  <c r="I526" i="15" s="1"/>
  <c r="AN526" i="15" s="1"/>
  <c r="I508" i="15"/>
  <c r="AN508" i="15" s="1"/>
  <c r="AO508" i="15" s="1"/>
  <c r="BC466" i="9"/>
  <c r="BD466" i="9" s="1"/>
  <c r="AE517" i="15" s="1"/>
  <c r="AC517" i="15" s="1"/>
  <c r="BE193" i="9"/>
  <c r="AB490" i="15"/>
  <c r="M247" i="9"/>
  <c r="O499" i="15" s="1"/>
  <c r="W499" i="15" s="1"/>
  <c r="F163" i="9"/>
  <c r="K163" i="9" s="1"/>
  <c r="O489" i="15" s="1"/>
  <c r="V489" i="15" s="1"/>
  <c r="BC44" i="9"/>
  <c r="K14" i="9"/>
  <c r="K10" i="9"/>
  <c r="AB476" i="15"/>
  <c r="F8" i="9"/>
  <c r="BB1298" i="7"/>
  <c r="AA437" i="15" s="1"/>
  <c r="I896" i="7"/>
  <c r="Q387" i="15" s="1"/>
  <c r="O387" i="15" s="1"/>
  <c r="V387" i="15" s="1"/>
  <c r="BD967" i="7"/>
  <c r="AE392" i="15" s="1"/>
  <c r="AC392" i="15" s="1"/>
  <c r="BD1314" i="7"/>
  <c r="AE453" i="15" s="1"/>
  <c r="AC453" i="15" s="1"/>
  <c r="I669" i="7"/>
  <c r="Q354" i="15" s="1"/>
  <c r="BD1316" i="7"/>
  <c r="BB1316" i="7" s="1"/>
  <c r="AA455" i="15" s="1"/>
  <c r="BD1296" i="7"/>
  <c r="BB1296" i="7" s="1"/>
  <c r="AA435" i="15" s="1"/>
  <c r="I882" i="7"/>
  <c r="Q380" i="15" s="1"/>
  <c r="BD1294" i="7"/>
  <c r="BB1294" i="7" s="1"/>
  <c r="AA433" i="15" s="1"/>
  <c r="BD1303" i="7"/>
  <c r="AE442" i="15" s="1"/>
  <c r="AC442" i="15" s="1"/>
  <c r="BD1312" i="7"/>
  <c r="BB1312" i="7" s="1"/>
  <c r="AA451" i="15" s="1"/>
  <c r="BD1300" i="7"/>
  <c r="AE439" i="15" s="1"/>
  <c r="AC439" i="15" s="1"/>
  <c r="AB363" i="15"/>
  <c r="AB336" i="15"/>
  <c r="I374" i="15"/>
  <c r="AN374" i="15" s="1"/>
  <c r="I1314" i="7"/>
  <c r="Q453" i="15" s="1"/>
  <c r="O453" i="15" s="1"/>
  <c r="U453" i="15" s="1"/>
  <c r="O596" i="7"/>
  <c r="BE596" i="7" s="1"/>
  <c r="BC1261" i="7"/>
  <c r="X395" i="15"/>
  <c r="Z395" i="15" s="1"/>
  <c r="X392" i="15"/>
  <c r="Z392" i="15" s="1"/>
  <c r="AB390" i="15"/>
  <c r="X387" i="15"/>
  <c r="Z387" i="15" s="1"/>
  <c r="X381" i="15"/>
  <c r="Z381" i="15" s="1"/>
  <c r="BD1299" i="7"/>
  <c r="BB1299" i="7" s="1"/>
  <c r="AA438" i="15" s="1"/>
  <c r="BD1295" i="7"/>
  <c r="AE434" i="15" s="1"/>
  <c r="AC434" i="15" s="1"/>
  <c r="BD882" i="7"/>
  <c r="AE380" i="15" s="1"/>
  <c r="AC380" i="15" s="1"/>
  <c r="X360" i="15"/>
  <c r="Z360" i="15" s="1"/>
  <c r="AB281" i="15"/>
  <c r="W329" i="7"/>
  <c r="F481" i="7"/>
  <c r="I335" i="15" s="1"/>
  <c r="AN335" i="15" s="1"/>
  <c r="F903" i="7"/>
  <c r="L390" i="15" s="1"/>
  <c r="I390" i="15" s="1"/>
  <c r="F1002" i="7"/>
  <c r="I394" i="15" s="1"/>
  <c r="AN394" i="15" s="1"/>
  <c r="F1094" i="7"/>
  <c r="I398" i="15" s="1"/>
  <c r="AN398" i="15" s="1"/>
  <c r="F1095" i="7"/>
  <c r="BD1095" i="7" s="1"/>
  <c r="BB1095" i="7" s="1"/>
  <c r="AA399" i="15" s="1"/>
  <c r="F1099" i="7"/>
  <c r="I403" i="15" s="1"/>
  <c r="AN403" i="15" s="1"/>
  <c r="I373" i="15"/>
  <c r="AN373" i="15" s="1"/>
  <c r="I1312" i="7"/>
  <c r="Q451" i="15" s="1"/>
  <c r="O451" i="15" s="1"/>
  <c r="U451" i="15" s="1"/>
  <c r="I1303" i="7"/>
  <c r="Q442" i="15" s="1"/>
  <c r="O442" i="15" s="1"/>
  <c r="U442" i="15" s="1"/>
  <c r="BD1306" i="7"/>
  <c r="AE445" i="15" s="1"/>
  <c r="AC445" i="15" s="1"/>
  <c r="BD1302" i="7"/>
  <c r="AE441" i="15" s="1"/>
  <c r="AC441" i="15" s="1"/>
  <c r="BE677" i="7"/>
  <c r="I893" i="7"/>
  <c r="R385" i="15" s="1"/>
  <c r="BD669" i="7"/>
  <c r="AE354" i="15" s="1"/>
  <c r="BE807" i="7"/>
  <c r="BD891" i="7"/>
  <c r="AF384" i="15" s="1"/>
  <c r="F1271" i="7"/>
  <c r="F1261" i="7" s="1"/>
  <c r="I432" i="15" s="1"/>
  <c r="AN432" i="15" s="1"/>
  <c r="AB339" i="15"/>
  <c r="I1262" i="7"/>
  <c r="P432" i="15" s="1"/>
  <c r="V432" i="15" s="1"/>
  <c r="F811" i="7"/>
  <c r="N510" i="7"/>
  <c r="BE510" i="7" s="1"/>
  <c r="F18" i="7"/>
  <c r="K289" i="15" s="1"/>
  <c r="I289" i="15" s="1"/>
  <c r="AN289" i="15" s="1"/>
  <c r="F17" i="7"/>
  <c r="K288" i="15" s="1"/>
  <c r="I288" i="15" s="1"/>
  <c r="AN288" i="15" s="1"/>
  <c r="V38" i="7"/>
  <c r="M551" i="7"/>
  <c r="X310" i="15"/>
  <c r="Z310" i="15" s="1"/>
  <c r="X285" i="15"/>
  <c r="Z285" i="15" s="1"/>
  <c r="X347" i="15"/>
  <c r="Z347" i="15" s="1"/>
  <c r="L383" i="15"/>
  <c r="I383" i="15" s="1"/>
  <c r="I375" i="15"/>
  <c r="AN375" i="15" s="1"/>
  <c r="BC136" i="7"/>
  <c r="BE679" i="7"/>
  <c r="AB379" i="15"/>
  <c r="X334" i="15"/>
  <c r="Z334" i="15" s="1"/>
  <c r="F10" i="7"/>
  <c r="K281" i="15" s="1"/>
  <c r="I281" i="15" s="1"/>
  <c r="AN281" i="15" s="1"/>
  <c r="X1270" i="7"/>
  <c r="F1107" i="7"/>
  <c r="BD1107" i="7" s="1"/>
  <c r="AE411" i="15" s="1"/>
  <c r="AC411" i="15" s="1"/>
  <c r="F1110" i="7"/>
  <c r="BD1110" i="7" s="1"/>
  <c r="I670" i="7"/>
  <c r="R354" i="15" s="1"/>
  <c r="BD682" i="7"/>
  <c r="AF360" i="15" s="1"/>
  <c r="I9" i="7"/>
  <c r="Q280" i="15" s="1"/>
  <c r="O280" i="15" s="1"/>
  <c r="F440" i="7"/>
  <c r="BD440" i="7" s="1"/>
  <c r="AE329" i="15" s="1"/>
  <c r="AC329" i="15" s="1"/>
  <c r="F480" i="7"/>
  <c r="I334" i="15" s="1"/>
  <c r="AN334" i="15" s="1"/>
  <c r="F555" i="7"/>
  <c r="I344" i="15" s="1"/>
  <c r="AN344" i="15" s="1"/>
  <c r="BC600" i="7"/>
  <c r="BD600" i="7" s="1"/>
  <c r="AG352" i="15" s="1"/>
  <c r="AD352" i="15" s="1"/>
  <c r="I15" i="7"/>
  <c r="Q286" i="15" s="1"/>
  <c r="O286" i="15" s="1"/>
  <c r="BD679" i="7"/>
  <c r="AE359" i="15" s="1"/>
  <c r="AB288" i="15"/>
  <c r="BC550" i="7"/>
  <c r="BD550" i="7" s="1"/>
  <c r="AE339" i="15" s="1"/>
  <c r="AC339" i="15" s="1"/>
  <c r="J510" i="7"/>
  <c r="F510" i="7" s="1"/>
  <c r="BD510" i="7" s="1"/>
  <c r="E495" i="7"/>
  <c r="AB282" i="15"/>
  <c r="X346" i="15"/>
  <c r="Z346" i="15" s="1"/>
  <c r="BC511" i="7"/>
  <c r="I682" i="7"/>
  <c r="R360" i="15" s="1"/>
  <c r="F853" i="7"/>
  <c r="I378" i="15" s="1"/>
  <c r="AN378" i="15" s="1"/>
  <c r="I422" i="15"/>
  <c r="AN422" i="15" s="1"/>
  <c r="I1220" i="7"/>
  <c r="O422" i="15" s="1"/>
  <c r="V422" i="15" s="1"/>
  <c r="D504" i="7"/>
  <c r="V504" i="7" s="1"/>
  <c r="BC142" i="7"/>
  <c r="BC481" i="7"/>
  <c r="BD683" i="7"/>
  <c r="AE361" i="15" s="1"/>
  <c r="BD888" i="7"/>
  <c r="I423" i="15"/>
  <c r="AN423" i="15" s="1"/>
  <c r="I1221" i="7"/>
  <c r="O423" i="15" s="1"/>
  <c r="V423" i="15" s="1"/>
  <c r="I425" i="15"/>
  <c r="AN425" i="15" s="1"/>
  <c r="I1223" i="7"/>
  <c r="O425" i="15" s="1"/>
  <c r="V425" i="15" s="1"/>
  <c r="BE52" i="7"/>
  <c r="BE54" i="7"/>
  <c r="X383" i="15"/>
  <c r="Z383" i="15" s="1"/>
  <c r="X354" i="15"/>
  <c r="Z354" i="15" s="1"/>
  <c r="E106" i="7"/>
  <c r="F132" i="7"/>
  <c r="BD132" i="7" s="1"/>
  <c r="BE1104" i="7"/>
  <c r="AB409" i="15"/>
  <c r="AB397" i="15"/>
  <c r="AB377" i="15"/>
  <c r="F852" i="7"/>
  <c r="I377" i="15" s="1"/>
  <c r="AN377" i="15" s="1"/>
  <c r="X376" i="15"/>
  <c r="Z376" i="15" s="1"/>
  <c r="H591" i="7"/>
  <c r="M591" i="7" s="1"/>
  <c r="P346" i="15" s="1"/>
  <c r="X348" i="15"/>
  <c r="Z348" i="15" s="1"/>
  <c r="J968" i="7"/>
  <c r="O393" i="15" s="1"/>
  <c r="V393" i="15" s="1"/>
  <c r="F143" i="7"/>
  <c r="I325" i="15" s="1"/>
  <c r="AN325" i="15" s="1"/>
  <c r="BE599" i="7"/>
  <c r="AB352" i="15"/>
  <c r="F1260" i="7"/>
  <c r="J431" i="15" s="1"/>
  <c r="F129" i="7"/>
  <c r="BD129" i="7" s="1"/>
  <c r="AE311" i="15" s="1"/>
  <c r="AC311" i="15" s="1"/>
  <c r="F905" i="7"/>
  <c r="I905" i="7" s="1"/>
  <c r="R391" i="15" s="1"/>
  <c r="F1270" i="7"/>
  <c r="F1259" i="7" s="1"/>
  <c r="I431" i="15" s="1"/>
  <c r="AN431" i="15" s="1"/>
  <c r="BD968" i="7"/>
  <c r="BB968" i="7" s="1"/>
  <c r="AA393" i="15" s="1"/>
  <c r="F551" i="7"/>
  <c r="I340" i="15" s="1"/>
  <c r="AN340" i="15" s="1"/>
  <c r="BD730" i="7"/>
  <c r="BB730" i="7" s="1"/>
  <c r="AA364" i="15" s="1"/>
  <c r="BE1108" i="7"/>
  <c r="AB412" i="15"/>
  <c r="E1204" i="7"/>
  <c r="F14" i="7"/>
  <c r="K285" i="15" s="1"/>
  <c r="I285" i="15" s="1"/>
  <c r="AN285" i="15" s="1"/>
  <c r="BD1309" i="7"/>
  <c r="AE448" i="15" s="1"/>
  <c r="AC448" i="15" s="1"/>
  <c r="BD1313" i="7"/>
  <c r="BB1313" i="7" s="1"/>
  <c r="AA452" i="15" s="1"/>
  <c r="F854" i="7"/>
  <c r="I1316" i="7"/>
  <c r="Q455" i="15" s="1"/>
  <c r="O455" i="15" s="1"/>
  <c r="U455" i="15" s="1"/>
  <c r="BD887" i="7"/>
  <c r="AF382" i="15" s="1"/>
  <c r="I1313" i="7"/>
  <c r="Q452" i="15" s="1"/>
  <c r="O452" i="15" s="1"/>
  <c r="U452" i="15" s="1"/>
  <c r="E1167" i="7"/>
  <c r="J732" i="7"/>
  <c r="O366" i="15" s="1"/>
  <c r="V366" i="15" s="1"/>
  <c r="X321" i="15"/>
  <c r="Z321" i="15" s="1"/>
  <c r="AB395" i="15"/>
  <c r="X393" i="15"/>
  <c r="Z393" i="15" s="1"/>
  <c r="AB278" i="15"/>
  <c r="X361" i="15"/>
  <c r="Z361" i="15" s="1"/>
  <c r="AB357" i="15"/>
  <c r="BD1317" i="7"/>
  <c r="AE456" i="15" s="1"/>
  <c r="AC456" i="15" s="1"/>
  <c r="BD1315" i="7"/>
  <c r="AE454" i="15" s="1"/>
  <c r="AC454" i="15" s="1"/>
  <c r="BD1311" i="7"/>
  <c r="AE450" i="15" s="1"/>
  <c r="AC450" i="15" s="1"/>
  <c r="BC555" i="7"/>
  <c r="Y431" i="15"/>
  <c r="Z431" i="15" s="1"/>
  <c r="F122" i="7"/>
  <c r="BD122" i="7" s="1"/>
  <c r="BB122" i="7" s="1"/>
  <c r="AA304" i="15" s="1"/>
  <c r="I678" i="7"/>
  <c r="R358" i="15" s="1"/>
  <c r="I681" i="7"/>
  <c r="Q360" i="15" s="1"/>
  <c r="I685" i="7"/>
  <c r="Q362" i="15" s="1"/>
  <c r="I687" i="7"/>
  <c r="Q363" i="15" s="1"/>
  <c r="I885" i="7"/>
  <c r="R381" i="15" s="1"/>
  <c r="I886" i="7"/>
  <c r="Q382" i="15" s="1"/>
  <c r="I887" i="7"/>
  <c r="R382" i="15" s="1"/>
  <c r="I888" i="7"/>
  <c r="Q383" i="15" s="1"/>
  <c r="I890" i="7"/>
  <c r="Q384" i="15" s="1"/>
  <c r="I891" i="7"/>
  <c r="R384" i="15" s="1"/>
  <c r="I892" i="7"/>
  <c r="Q385" i="15" s="1"/>
  <c r="I898" i="7"/>
  <c r="Q388" i="15" s="1"/>
  <c r="O388" i="15" s="1"/>
  <c r="I1308" i="7"/>
  <c r="Q447" i="15" s="1"/>
  <c r="O447" i="15" s="1"/>
  <c r="U447" i="15" s="1"/>
  <c r="I1310" i="7"/>
  <c r="Q449" i="15" s="1"/>
  <c r="O449" i="15" s="1"/>
  <c r="U449" i="15" s="1"/>
  <c r="D404" i="7"/>
  <c r="V404" i="7" s="1"/>
  <c r="I1307" i="7"/>
  <c r="Q446" i="15" s="1"/>
  <c r="O446" i="15" s="1"/>
  <c r="U446" i="15" s="1"/>
  <c r="I667" i="7"/>
  <c r="Q353" i="15" s="1"/>
  <c r="AA425" i="15"/>
  <c r="I1311" i="7"/>
  <c r="Q450" i="15" s="1"/>
  <c r="O450" i="15" s="1"/>
  <c r="U450" i="15" s="1"/>
  <c r="BD1308" i="7"/>
  <c r="BB1308" i="7" s="1"/>
  <c r="AA447" i="15" s="1"/>
  <c r="I1309" i="7"/>
  <c r="Q448" i="15" s="1"/>
  <c r="O448" i="15" s="1"/>
  <c r="U448" i="15" s="1"/>
  <c r="BE124" i="7"/>
  <c r="BD886" i="7"/>
  <c r="AE382" i="15" s="1"/>
  <c r="BD687" i="7"/>
  <c r="AE363" i="15" s="1"/>
  <c r="AB407" i="15"/>
  <c r="AB405" i="15"/>
  <c r="AB403" i="15"/>
  <c r="AB400" i="15"/>
  <c r="AB398" i="15"/>
  <c r="AB380" i="15"/>
  <c r="X378" i="15"/>
  <c r="Z378" i="15" s="1"/>
  <c r="X372" i="15"/>
  <c r="Z372" i="15" s="1"/>
  <c r="X337" i="15"/>
  <c r="Z337" i="15" s="1"/>
  <c r="I1315" i="7"/>
  <c r="Q454" i="15" s="1"/>
  <c r="O454" i="15" s="1"/>
  <c r="U454" i="15" s="1"/>
  <c r="BC596" i="7"/>
  <c r="BD596" i="7" s="1"/>
  <c r="AE350" i="15" s="1"/>
  <c r="AC350" i="15" s="1"/>
  <c r="F53" i="7"/>
  <c r="K53" i="7" s="1"/>
  <c r="O291" i="15" s="1"/>
  <c r="W291" i="15" s="1"/>
  <c r="BD671" i="7"/>
  <c r="I672" i="7"/>
  <c r="R355" i="15" s="1"/>
  <c r="BD678" i="7"/>
  <c r="BD681" i="7"/>
  <c r="BE810" i="7"/>
  <c r="K550" i="7"/>
  <c r="O339" i="15" s="1"/>
  <c r="W339" i="15" s="1"/>
  <c r="BD1310" i="7"/>
  <c r="AE449" i="15" s="1"/>
  <c r="AC449" i="15" s="1"/>
  <c r="I1317" i="7"/>
  <c r="Q456" i="15" s="1"/>
  <c r="O456" i="15" s="1"/>
  <c r="U456" i="15" s="1"/>
  <c r="BB1297" i="7"/>
  <c r="AA436" i="15" s="1"/>
  <c r="J58" i="7"/>
  <c r="F58" i="7" s="1"/>
  <c r="K58" i="7" s="1"/>
  <c r="O296" i="15" s="1"/>
  <c r="W296" i="15" s="1"/>
  <c r="BD1307" i="7"/>
  <c r="BB1307" i="7" s="1"/>
  <c r="AA446" i="15" s="1"/>
  <c r="AB317" i="15"/>
  <c r="D352" i="15"/>
  <c r="BC673" i="7"/>
  <c r="BD673" i="7" s="1"/>
  <c r="AE356" i="15" s="1"/>
  <c r="AB285" i="15"/>
  <c r="BD667" i="7"/>
  <c r="AE353" i="15" s="1"/>
  <c r="BD668" i="7"/>
  <c r="AF353" i="15" s="1"/>
  <c r="I883" i="7"/>
  <c r="R380" i="15" s="1"/>
  <c r="I396" i="15"/>
  <c r="AN396" i="15" s="1"/>
  <c r="J1059" i="7"/>
  <c r="O396" i="15" s="1"/>
  <c r="V396" i="15" s="1"/>
  <c r="BC123" i="7"/>
  <c r="F52" i="7"/>
  <c r="BD52" i="7" s="1"/>
  <c r="AE290" i="15" s="1"/>
  <c r="AC290" i="15" s="1"/>
  <c r="F441" i="7"/>
  <c r="I330" i="15" s="1"/>
  <c r="AN330" i="15" s="1"/>
  <c r="M554" i="7"/>
  <c r="BE554" i="7" s="1"/>
  <c r="M552" i="7"/>
  <c r="M553" i="7"/>
  <c r="I676" i="7"/>
  <c r="R357" i="15" s="1"/>
  <c r="I684" i="7"/>
  <c r="R361" i="15" s="1"/>
  <c r="BD885" i="7"/>
  <c r="AF381" i="15" s="1"/>
  <c r="J1028" i="7"/>
  <c r="O395" i="15" s="1"/>
  <c r="V395" i="15" s="1"/>
  <c r="F1093" i="7"/>
  <c r="I397" i="15" s="1"/>
  <c r="AN397" i="15" s="1"/>
  <c r="M1094" i="7"/>
  <c r="O398" i="15" s="1"/>
  <c r="W398" i="15" s="1"/>
  <c r="M1097" i="7"/>
  <c r="O401" i="15" s="1"/>
  <c r="W401" i="15" s="1"/>
  <c r="I1294" i="7"/>
  <c r="Q433" i="15" s="1"/>
  <c r="O433" i="15" s="1"/>
  <c r="U433" i="15" s="1"/>
  <c r="I1295" i="7"/>
  <c r="Q434" i="15" s="1"/>
  <c r="O434" i="15" s="1"/>
  <c r="U434" i="15" s="1"/>
  <c r="I1296" i="7"/>
  <c r="Q435" i="15" s="1"/>
  <c r="O435" i="15" s="1"/>
  <c r="U435" i="15" s="1"/>
  <c r="I1297" i="7"/>
  <c r="Q436" i="15" s="1"/>
  <c r="O436" i="15" s="1"/>
  <c r="U436" i="15" s="1"/>
  <c r="I1298" i="7"/>
  <c r="Q437" i="15" s="1"/>
  <c r="O437" i="15" s="1"/>
  <c r="U437" i="15" s="1"/>
  <c r="I1299" i="7"/>
  <c r="Q438" i="15" s="1"/>
  <c r="O438" i="15" s="1"/>
  <c r="U438" i="15" s="1"/>
  <c r="I1300" i="7"/>
  <c r="Q439" i="15" s="1"/>
  <c r="O439" i="15" s="1"/>
  <c r="U439" i="15" s="1"/>
  <c r="I1301" i="7"/>
  <c r="Q440" i="15" s="1"/>
  <c r="O440" i="15" s="1"/>
  <c r="U440" i="15" s="1"/>
  <c r="I1302" i="7"/>
  <c r="Q441" i="15" s="1"/>
  <c r="O441" i="15" s="1"/>
  <c r="U441" i="15" s="1"/>
  <c r="I1304" i="7"/>
  <c r="Q443" i="15" s="1"/>
  <c r="O443" i="15" s="1"/>
  <c r="U443" i="15" s="1"/>
  <c r="I1305" i="7"/>
  <c r="Q444" i="15" s="1"/>
  <c r="O444" i="15" s="1"/>
  <c r="U444" i="15" s="1"/>
  <c r="I1306" i="7"/>
  <c r="Q445" i="15" s="1"/>
  <c r="O445" i="15" s="1"/>
  <c r="U445" i="15" s="1"/>
  <c r="M589" i="7"/>
  <c r="O345" i="15" s="1"/>
  <c r="W345" i="15" s="1"/>
  <c r="BD674" i="7"/>
  <c r="AF356" i="15" s="1"/>
  <c r="BD676" i="7"/>
  <c r="AF357" i="15" s="1"/>
  <c r="BD684" i="7"/>
  <c r="AF361" i="15" s="1"/>
  <c r="F554" i="7"/>
  <c r="BD554" i="7" s="1"/>
  <c r="AE343" i="15" s="1"/>
  <c r="AC343" i="15" s="1"/>
  <c r="I894" i="7"/>
  <c r="Q386" i="15" s="1"/>
  <c r="O386" i="15" s="1"/>
  <c r="V386" i="15" s="1"/>
  <c r="I900" i="7"/>
  <c r="Q389" i="15" s="1"/>
  <c r="I902" i="7"/>
  <c r="Q390" i="15" s="1"/>
  <c r="I904" i="7"/>
  <c r="Q391" i="15" s="1"/>
  <c r="D544" i="7"/>
  <c r="D583" i="7" s="1"/>
  <c r="V583" i="7" s="1"/>
  <c r="V656" i="7" s="1"/>
  <c r="L389" i="15"/>
  <c r="I389" i="15" s="1"/>
  <c r="BD732" i="7"/>
  <c r="BB732" i="7" s="1"/>
  <c r="AA366" i="15" s="1"/>
  <c r="J730" i="7"/>
  <c r="O364" i="15" s="1"/>
  <c r="V364" i="15" s="1"/>
  <c r="V586" i="7"/>
  <c r="E94" i="7"/>
  <c r="X299" i="15"/>
  <c r="Z299" i="15" s="1"/>
  <c r="AB302" i="15"/>
  <c r="X302" i="15"/>
  <c r="Z302" i="15" s="1"/>
  <c r="X313" i="15"/>
  <c r="Z313" i="15" s="1"/>
  <c r="BC677" i="7"/>
  <c r="BD677" i="7" s="1"/>
  <c r="AE358" i="15" s="1"/>
  <c r="F134" i="7"/>
  <c r="K134" i="7" s="1"/>
  <c r="O316" i="15" s="1"/>
  <c r="W316" i="15" s="1"/>
  <c r="BC591" i="7"/>
  <c r="BD591" i="7" s="1"/>
  <c r="AG346" i="15" s="1"/>
  <c r="AD346" i="15" s="1"/>
  <c r="E110" i="7"/>
  <c r="X289" i="15"/>
  <c r="Z289" i="15" s="1"/>
  <c r="X282" i="15"/>
  <c r="Z282" i="15" s="1"/>
  <c r="BC54" i="7"/>
  <c r="F54" i="7"/>
  <c r="K54" i="7" s="1"/>
  <c r="O292" i="15" s="1"/>
  <c r="W292" i="15" s="1"/>
  <c r="F127" i="7"/>
  <c r="I309" i="15" s="1"/>
  <c r="AN309" i="15" s="1"/>
  <c r="I675" i="7"/>
  <c r="Q357" i="15" s="1"/>
  <c r="I679" i="7"/>
  <c r="Q359" i="15" s="1"/>
  <c r="AB361" i="15"/>
  <c r="AB353" i="15"/>
  <c r="BD670" i="7"/>
  <c r="AF354" i="15" s="1"/>
  <c r="I673" i="7"/>
  <c r="Q356" i="15" s="1"/>
  <c r="M595" i="7"/>
  <c r="O349" i="15" s="1"/>
  <c r="W349" i="15" s="1"/>
  <c r="J811" i="7"/>
  <c r="O376" i="15" s="1"/>
  <c r="V376" i="15" s="1"/>
  <c r="E96" i="7"/>
  <c r="H594" i="7"/>
  <c r="BC9" i="7"/>
  <c r="BD9" i="7" s="1"/>
  <c r="AE280" i="15" s="1"/>
  <c r="AC280" i="15" s="1"/>
  <c r="BC126" i="7"/>
  <c r="BC16" i="7"/>
  <c r="BD16" i="7" s="1"/>
  <c r="AE287" i="15" s="1"/>
  <c r="AC287" i="15" s="1"/>
  <c r="BC597" i="7"/>
  <c r="BD597" i="7" s="1"/>
  <c r="AN401" i="15"/>
  <c r="AN349" i="15"/>
  <c r="F118" i="7"/>
  <c r="I300" i="15" s="1"/>
  <c r="AN300" i="15" s="1"/>
  <c r="X278" i="15"/>
  <c r="Z278" i="15" s="1"/>
  <c r="AB327" i="15"/>
  <c r="X327" i="15"/>
  <c r="Z327" i="15" s="1"/>
  <c r="AN436" i="15"/>
  <c r="X329" i="15"/>
  <c r="Z329" i="15" s="1"/>
  <c r="K439" i="7"/>
  <c r="O328" i="15" s="1"/>
  <c r="W328" i="15" s="1"/>
  <c r="J509" i="7"/>
  <c r="I509" i="7"/>
  <c r="AB293" i="15"/>
  <c r="X291" i="15"/>
  <c r="Z291" i="15" s="1"/>
  <c r="E104" i="7"/>
  <c r="I511" i="7"/>
  <c r="F511" i="7" s="1"/>
  <c r="L511" i="7" s="1"/>
  <c r="O338" i="15" s="1"/>
  <c r="W338" i="15" s="1"/>
  <c r="I13" i="7"/>
  <c r="Q284" i="15" s="1"/>
  <c r="O284" i="15" s="1"/>
  <c r="I367" i="15"/>
  <c r="AN367" i="15" s="1"/>
  <c r="J733" i="7"/>
  <c r="O367" i="15" s="1"/>
  <c r="V367" i="15" s="1"/>
  <c r="BD733" i="7"/>
  <c r="BB733" i="7" s="1"/>
  <c r="AA367" i="15" s="1"/>
  <c r="AE440" i="15"/>
  <c r="AC440" i="15" s="1"/>
  <c r="BB1301" i="7"/>
  <c r="AA440" i="15" s="1"/>
  <c r="I372" i="15"/>
  <c r="AN372" i="15" s="1"/>
  <c r="J807" i="7"/>
  <c r="O372" i="15" s="1"/>
  <c r="V372" i="15" s="1"/>
  <c r="BD807" i="7"/>
  <c r="AE372" i="15" s="1"/>
  <c r="AC372" i="15" s="1"/>
  <c r="I376" i="15"/>
  <c r="AN376" i="15" s="1"/>
  <c r="M1100" i="7"/>
  <c r="O404" i="15" s="1"/>
  <c r="W404" i="15" s="1"/>
  <c r="BD15" i="7"/>
  <c r="BB15" i="7" s="1"/>
  <c r="AA286" i="15" s="1"/>
  <c r="BD1097" i="7"/>
  <c r="BB1097" i="7" s="1"/>
  <c r="AA401" i="15" s="1"/>
  <c r="BD1101" i="7"/>
  <c r="AE405" i="15" s="1"/>
  <c r="AC405" i="15" s="1"/>
  <c r="P1109" i="7"/>
  <c r="P1110" i="7"/>
  <c r="P1112" i="7"/>
  <c r="BE1112" i="7" s="1"/>
  <c r="BD811" i="7"/>
  <c r="BB811" i="7" s="1"/>
  <c r="AA376" i="15" s="1"/>
  <c r="M1110" i="7"/>
  <c r="O414" i="15" s="1"/>
  <c r="W414" i="15" s="1"/>
  <c r="AA423" i="15"/>
  <c r="I405" i="15"/>
  <c r="AN405" i="15" s="1"/>
  <c r="I418" i="15"/>
  <c r="AN418" i="15" s="1"/>
  <c r="I12" i="7"/>
  <c r="Q283" i="15" s="1"/>
  <c r="O283" i="15" s="1"/>
  <c r="BD13" i="7"/>
  <c r="AE284" i="15" s="1"/>
  <c r="AC284" i="15" s="1"/>
  <c r="F57" i="7"/>
  <c r="K57" i="7" s="1"/>
  <c r="O295" i="15" s="1"/>
  <c r="W295" i="15" s="1"/>
  <c r="F594" i="7"/>
  <c r="J348" i="15" s="1"/>
  <c r="BD675" i="7"/>
  <c r="AE357" i="15" s="1"/>
  <c r="I680" i="7"/>
  <c r="R359" i="15" s="1"/>
  <c r="I683" i="7"/>
  <c r="Q361" i="15" s="1"/>
  <c r="I686" i="7"/>
  <c r="R362" i="15" s="1"/>
  <c r="BD892" i="7"/>
  <c r="AE385" i="15" s="1"/>
  <c r="AC385" i="15" s="1"/>
  <c r="BD898" i="7"/>
  <c r="AE388" i="15" s="1"/>
  <c r="BD902" i="7"/>
  <c r="AE390" i="15" s="1"/>
  <c r="BD904" i="7"/>
  <c r="AE391" i="15" s="1"/>
  <c r="Q1103" i="7"/>
  <c r="P1106" i="7"/>
  <c r="BE1106" i="7" s="1"/>
  <c r="Q1109" i="7"/>
  <c r="Q1110" i="7"/>
  <c r="P1114" i="7"/>
  <c r="BE1114" i="7" s="1"/>
  <c r="BB1114" i="7" s="1"/>
  <c r="I10" i="7"/>
  <c r="Q281" i="15" s="1"/>
  <c r="O281" i="15" s="1"/>
  <c r="BD12" i="7"/>
  <c r="BB12" i="7" s="1"/>
  <c r="AA283" i="15" s="1"/>
  <c r="F123" i="7"/>
  <c r="K123" i="7" s="1"/>
  <c r="O305" i="15" s="1"/>
  <c r="W305" i="15" s="1"/>
  <c r="F593" i="7"/>
  <c r="BD593" i="7" s="1"/>
  <c r="AE348" i="15" s="1"/>
  <c r="AC348" i="15" s="1"/>
  <c r="I668" i="7"/>
  <c r="R353" i="15" s="1"/>
  <c r="I671" i="7"/>
  <c r="Q355" i="15" s="1"/>
  <c r="I674" i="7"/>
  <c r="R356" i="15" s="1"/>
  <c r="I677" i="7"/>
  <c r="Q358" i="15" s="1"/>
  <c r="BD680" i="7"/>
  <c r="AF359" i="15" s="1"/>
  <c r="BD686" i="7"/>
  <c r="AF362" i="15" s="1"/>
  <c r="BD688" i="7"/>
  <c r="I889" i="7"/>
  <c r="R383" i="15" s="1"/>
  <c r="E1211" i="7"/>
  <c r="P1113" i="7"/>
  <c r="BE1113" i="7" s="1"/>
  <c r="Q1114" i="7"/>
  <c r="I1218" i="7"/>
  <c r="O420" i="15" s="1"/>
  <c r="V420" i="15" s="1"/>
  <c r="X333" i="15"/>
  <c r="Z333" i="15" s="1"/>
  <c r="M1099" i="7"/>
  <c r="O403" i="15" s="1"/>
  <c r="W403" i="15" s="1"/>
  <c r="Q1105" i="7"/>
  <c r="P1107" i="7"/>
  <c r="BD10" i="3"/>
  <c r="X14" i="15"/>
  <c r="Z14" i="15" s="1"/>
  <c r="F30" i="3"/>
  <c r="I32" i="15" s="1"/>
  <c r="AN32" i="15" s="1"/>
  <c r="X61" i="15"/>
  <c r="Z61" i="15" s="1"/>
  <c r="V51" i="16"/>
  <c r="D237" i="16"/>
  <c r="V237" i="16"/>
  <c r="J2174" i="6"/>
  <c r="J2046" i="6"/>
  <c r="J2814" i="6"/>
  <c r="J1918" i="6"/>
  <c r="J2430" i="6"/>
  <c r="J2686" i="6"/>
  <c r="J1790" i="6"/>
  <c r="J2302" i="6"/>
  <c r="J2558" i="6"/>
  <c r="C1623" i="6"/>
  <c r="A1623" i="6" s="1"/>
  <c r="I1433" i="6"/>
  <c r="T200" i="15" s="1"/>
  <c r="I1453" i="6"/>
  <c r="T206" i="15" s="1"/>
  <c r="I1190" i="6"/>
  <c r="Q182" i="15" s="1"/>
  <c r="L185" i="15"/>
  <c r="I1199" i="6"/>
  <c r="R186" i="15" s="1"/>
  <c r="I1200" i="6"/>
  <c r="Q187" i="15" s="1"/>
  <c r="I1481" i="6"/>
  <c r="R217" i="15" s="1"/>
  <c r="O217" i="15" s="1"/>
  <c r="W217" i="15" s="1"/>
  <c r="I1487" i="6"/>
  <c r="R220" i="15" s="1"/>
  <c r="Q1684" i="6"/>
  <c r="X3009" i="6" s="1"/>
  <c r="Y248" i="15"/>
  <c r="Z248" i="15" s="1"/>
  <c r="BC1572" i="6"/>
  <c r="BD1572" i="6" s="1"/>
  <c r="AG248" i="15" s="1"/>
  <c r="X183" i="15"/>
  <c r="Z183" i="15" s="1"/>
  <c r="J1193" i="6"/>
  <c r="BC1193" i="6" s="1"/>
  <c r="BD1193" i="6" s="1"/>
  <c r="AF183" i="15" s="1"/>
  <c r="AC183" i="15" s="1"/>
  <c r="F1285" i="6"/>
  <c r="F1279" i="6"/>
  <c r="X194" i="15"/>
  <c r="Z194" i="15" s="1"/>
  <c r="BC1414" i="6"/>
  <c r="BD1414" i="6" s="1"/>
  <c r="BC1548" i="6"/>
  <c r="Y242" i="15"/>
  <c r="Y249" i="15"/>
  <c r="Z249" i="15" s="1"/>
  <c r="BC1576" i="6"/>
  <c r="BD1576" i="6" s="1"/>
  <c r="AG249" i="15" s="1"/>
  <c r="AD249" i="15" s="1"/>
  <c r="A1652" i="6"/>
  <c r="C273" i="15"/>
  <c r="AM273" i="15" s="1"/>
  <c r="K1648" i="6"/>
  <c r="BE1648" i="6" s="1"/>
  <c r="BC1590" i="6"/>
  <c r="F1278" i="6"/>
  <c r="F1254" i="6"/>
  <c r="F1260" i="6"/>
  <c r="F2543" i="6"/>
  <c r="BC1458" i="6"/>
  <c r="BD1458" i="6" s="1"/>
  <c r="F2090" i="6"/>
  <c r="F2474" i="6"/>
  <c r="F1957" i="6"/>
  <c r="F1829" i="6"/>
  <c r="BC1554" i="6"/>
  <c r="BD1554" i="6" s="1"/>
  <c r="F1759" i="6"/>
  <c r="F1843" i="6"/>
  <c r="F2227" i="6"/>
  <c r="BC1455" i="6"/>
  <c r="W1249" i="6"/>
  <c r="F1249" i="6"/>
  <c r="L1194" i="6"/>
  <c r="AJ184" i="15" s="1"/>
  <c r="F1264" i="6"/>
  <c r="K1553" i="6"/>
  <c r="BE1553" i="6" s="1"/>
  <c r="J1580" i="6"/>
  <c r="BC1568" i="6"/>
  <c r="BD1568" i="6" s="1"/>
  <c r="AG247" i="15" s="1"/>
  <c r="J1552" i="6"/>
  <c r="Y243" i="15" s="1"/>
  <c r="J1612" i="6"/>
  <c r="X244" i="15"/>
  <c r="Z244" i="15" s="1"/>
  <c r="F219" i="6"/>
  <c r="F291" i="6" s="1"/>
  <c r="F363" i="6" s="1"/>
  <c r="F435" i="6" s="1"/>
  <c r="F507" i="6" s="1"/>
  <c r="F579" i="6" s="1"/>
  <c r="F652" i="6" s="1"/>
  <c r="F724" i="6" s="1"/>
  <c r="BD1195" i="6"/>
  <c r="AF184" i="15" s="1"/>
  <c r="J832" i="6"/>
  <c r="BC832" i="6" s="1"/>
  <c r="Y180" i="15"/>
  <c r="BC829" i="6"/>
  <c r="BE830" i="6"/>
  <c r="K834" i="6"/>
  <c r="BE834" i="6" s="1"/>
  <c r="K184" i="15"/>
  <c r="I184" i="15" s="1"/>
  <c r="I1194" i="6"/>
  <c r="Q184" i="15" s="1"/>
  <c r="X193" i="15"/>
  <c r="Z193" i="15" s="1"/>
  <c r="BC1410" i="6"/>
  <c r="BD1410" i="6" s="1"/>
  <c r="AE193" i="15" s="1"/>
  <c r="AC193" i="15" s="1"/>
  <c r="K1435" i="6"/>
  <c r="BE1435" i="6" s="1"/>
  <c r="BE1431" i="6"/>
  <c r="K1437" i="6"/>
  <c r="BE1437" i="6" s="1"/>
  <c r="E201" i="15"/>
  <c r="BC1436" i="6"/>
  <c r="BD1436" i="6" s="1"/>
  <c r="AG201" i="15" s="1"/>
  <c r="AD201" i="15" s="1"/>
  <c r="X202" i="15"/>
  <c r="Z202" i="15" s="1"/>
  <c r="J1442" i="6"/>
  <c r="H1456" i="6"/>
  <c r="I1452" i="6"/>
  <c r="S206" i="15" s="1"/>
  <c r="X241" i="15"/>
  <c r="Z241" i="15" s="1"/>
  <c r="BC1542" i="6"/>
  <c r="BD1542" i="6" s="1"/>
  <c r="AE241" i="15" s="1"/>
  <c r="AC241" i="15" s="1"/>
  <c r="J1551" i="6"/>
  <c r="BC1551" i="6" s="1"/>
  <c r="BD1551" i="6" s="1"/>
  <c r="AF243" i="15" s="1"/>
  <c r="BC1547" i="6"/>
  <c r="BD1547" i="6" s="1"/>
  <c r="AF242" i="15" s="1"/>
  <c r="F1243" i="6"/>
  <c r="F1261" i="6"/>
  <c r="F1236" i="6"/>
  <c r="K1471" i="6"/>
  <c r="BE1471" i="6" s="1"/>
  <c r="X208" i="15"/>
  <c r="Z208" i="15" s="1"/>
  <c r="X178" i="15"/>
  <c r="Z178" i="15" s="1"/>
  <c r="BC823" i="6"/>
  <c r="J825" i="6"/>
  <c r="BC825" i="6" s="1"/>
  <c r="G179" i="15"/>
  <c r="F1109" i="6"/>
  <c r="F873" i="6"/>
  <c r="F894" i="6" s="1"/>
  <c r="F915" i="6" s="1"/>
  <c r="F936" i="6" s="1"/>
  <c r="F957" i="6" s="1"/>
  <c r="F978" i="6" s="1"/>
  <c r="F999" i="6" s="1"/>
  <c r="F1020" i="6" s="1"/>
  <c r="F1041" i="6" s="1"/>
  <c r="F1062" i="6" s="1"/>
  <c r="X200" i="15"/>
  <c r="Z200" i="15" s="1"/>
  <c r="J1434" i="6"/>
  <c r="X229" i="15"/>
  <c r="Z229" i="15" s="1"/>
  <c r="BC1506" i="6"/>
  <c r="BD1506" i="6" s="1"/>
  <c r="AE229" i="15" s="1"/>
  <c r="AC229" i="15" s="1"/>
  <c r="Y230" i="15"/>
  <c r="Z230" i="15" s="1"/>
  <c r="BC1512" i="6"/>
  <c r="BD1512" i="6" s="1"/>
  <c r="AG230" i="15" s="1"/>
  <c r="AD230" i="15" s="1"/>
  <c r="J1516" i="6"/>
  <c r="X239" i="15"/>
  <c r="Z239" i="15" s="1"/>
  <c r="BC1536" i="6"/>
  <c r="BD1536" i="6" s="1"/>
  <c r="AE239" i="15" s="1"/>
  <c r="H1633" i="6"/>
  <c r="I1633" i="6" s="1"/>
  <c r="R265" i="15" s="1"/>
  <c r="I1631" i="6"/>
  <c r="R264" i="15" s="1"/>
  <c r="O264" i="15" s="1"/>
  <c r="W264" i="15" s="1"/>
  <c r="Y266" i="15"/>
  <c r="Z266" i="15" s="1"/>
  <c r="J1640" i="6"/>
  <c r="G269" i="15"/>
  <c r="F1801" i="6"/>
  <c r="AB216" i="15"/>
  <c r="BE1478" i="6"/>
  <c r="AB217" i="15"/>
  <c r="BE1480" i="6"/>
  <c r="F1231" i="6"/>
  <c r="I1446" i="6"/>
  <c r="Q204" i="15" s="1"/>
  <c r="BE1451" i="6"/>
  <c r="Y259" i="15"/>
  <c r="BC1614" i="6"/>
  <c r="BC143" i="6"/>
  <c r="BD143" i="6" s="1"/>
  <c r="AE129" i="15" s="1"/>
  <c r="AC129" i="15" s="1"/>
  <c r="X129" i="15"/>
  <c r="Z129" i="15" s="1"/>
  <c r="Y133" i="15"/>
  <c r="Z133" i="15" s="1"/>
  <c r="BC149" i="6"/>
  <c r="BD149" i="6" s="1"/>
  <c r="AG133" i="15" s="1"/>
  <c r="AD133" i="15" s="1"/>
  <c r="X170" i="15"/>
  <c r="Z170" i="15" s="1"/>
  <c r="J806" i="6"/>
  <c r="AB198" i="15"/>
  <c r="BE1426" i="6"/>
  <c r="K1456" i="6"/>
  <c r="BE1456" i="6" s="1"/>
  <c r="BE1452" i="6"/>
  <c r="H1460" i="6"/>
  <c r="I1458" i="6"/>
  <c r="Q208" i="15" s="1"/>
  <c r="O208" i="15" s="1"/>
  <c r="W208" i="15" s="1"/>
  <c r="I1462" i="6"/>
  <c r="Q210" i="15" s="1"/>
  <c r="F213" i="15"/>
  <c r="BC1473" i="6"/>
  <c r="BD1473" i="6" s="1"/>
  <c r="AH213" i="15" s="1"/>
  <c r="X223" i="15"/>
  <c r="Z223" i="15" s="1"/>
  <c r="J1494" i="6"/>
  <c r="H1572" i="6"/>
  <c r="I1568" i="6"/>
  <c r="S247" i="15" s="1"/>
  <c r="X256" i="15"/>
  <c r="BC1602" i="6"/>
  <c r="BD1602" i="6" s="1"/>
  <c r="AE256" i="15" s="1"/>
  <c r="J1621" i="6"/>
  <c r="BC1621" i="6" s="1"/>
  <c r="BC1617" i="6"/>
  <c r="BD1617" i="6" s="1"/>
  <c r="AF260" i="15" s="1"/>
  <c r="AC260" i="15" s="1"/>
  <c r="D273" i="15"/>
  <c r="BC1653" i="6"/>
  <c r="BD1653" i="6" s="1"/>
  <c r="AF273" i="15" s="1"/>
  <c r="J1657" i="6"/>
  <c r="BC1657" i="6" s="1"/>
  <c r="BC1655" i="6"/>
  <c r="BD1655" i="6" s="1"/>
  <c r="AF274" i="15" s="1"/>
  <c r="R1688" i="6"/>
  <c r="M267" i="15"/>
  <c r="J267" i="15" s="1"/>
  <c r="F1640" i="6"/>
  <c r="BC1489" i="6"/>
  <c r="BD1489" i="6" s="1"/>
  <c r="AF221" i="15" s="1"/>
  <c r="BD1196" i="6"/>
  <c r="AE185" i="15" s="1"/>
  <c r="AC185" i="15" s="1"/>
  <c r="BC1495" i="6"/>
  <c r="F1456" i="6"/>
  <c r="M207" i="15" s="1"/>
  <c r="J207" i="15" s="1"/>
  <c r="F1476" i="6"/>
  <c r="I1476" i="6" s="1"/>
  <c r="Q215" i="15" s="1"/>
  <c r="F1504" i="6"/>
  <c r="F1638" i="6"/>
  <c r="BD1638" i="6" s="1"/>
  <c r="AE267" i="15" s="1"/>
  <c r="F1648" i="6"/>
  <c r="K271" i="15" s="1"/>
  <c r="I271" i="15" s="1"/>
  <c r="F1435" i="6"/>
  <c r="F1434" i="6"/>
  <c r="K201" i="15" s="1"/>
  <c r="BD168" i="6"/>
  <c r="AE146" i="15" s="1"/>
  <c r="AC146" i="15" s="1"/>
  <c r="F1460" i="6"/>
  <c r="F1552" i="6"/>
  <c r="F1592" i="6"/>
  <c r="F1614" i="6"/>
  <c r="M259" i="15" s="1"/>
  <c r="J259" i="15" s="1"/>
  <c r="BC1591" i="6"/>
  <c r="BD141" i="6"/>
  <c r="AE128" i="15" s="1"/>
  <c r="AC128" i="15" s="1"/>
  <c r="A1477" i="6"/>
  <c r="A1649" i="6"/>
  <c r="A1653" i="6"/>
  <c r="F1472" i="6"/>
  <c r="BD1472" i="6" s="1"/>
  <c r="AG213" i="15" s="1"/>
  <c r="AD213" i="15" s="1"/>
  <c r="F1550" i="6"/>
  <c r="F1590" i="6"/>
  <c r="F1612" i="6"/>
  <c r="K259" i="15" s="1"/>
  <c r="F1644" i="6"/>
  <c r="K269" i="15" s="1"/>
  <c r="I269" i="15" s="1"/>
  <c r="F1660" i="6"/>
  <c r="I1660" i="6" s="1"/>
  <c r="Q277" i="15" s="1"/>
  <c r="O277" i="15" s="1"/>
  <c r="W277" i="15" s="1"/>
  <c r="BD1455" i="6"/>
  <c r="AF207" i="15" s="1"/>
  <c r="BD1561" i="6"/>
  <c r="AH245" i="15" s="1"/>
  <c r="BD1478" i="6"/>
  <c r="AE216" i="15" s="1"/>
  <c r="BD1537" i="6"/>
  <c r="AF239" i="15" s="1"/>
  <c r="I1548" i="6"/>
  <c r="S242" i="15" s="1"/>
  <c r="I1563" i="6"/>
  <c r="R246" i="15" s="1"/>
  <c r="BD1564" i="6"/>
  <c r="AG246" i="15" s="1"/>
  <c r="AD246" i="15" s="1"/>
  <c r="I1596" i="6"/>
  <c r="S254" i="15" s="1"/>
  <c r="BD1603" i="6"/>
  <c r="AF256" i="15" s="1"/>
  <c r="I1604" i="6"/>
  <c r="S256" i="15" s="1"/>
  <c r="BD1605" i="6"/>
  <c r="AH256" i="15" s="1"/>
  <c r="BD1606" i="6"/>
  <c r="AE257" i="15" s="1"/>
  <c r="AC257" i="15" s="1"/>
  <c r="BD1608" i="6"/>
  <c r="AE258" i="15" s="1"/>
  <c r="AC258" i="15" s="1"/>
  <c r="A1622" i="6"/>
  <c r="BD1633" i="6"/>
  <c r="AF265" i="15" s="1"/>
  <c r="BD1599" i="6"/>
  <c r="AF255" i="15" s="1"/>
  <c r="I1422" i="6"/>
  <c r="Q197" i="15" s="1"/>
  <c r="BD1429" i="6"/>
  <c r="AF199" i="15" s="1"/>
  <c r="I1439" i="6"/>
  <c r="R202" i="15" s="1"/>
  <c r="I1523" i="6"/>
  <c r="R234" i="15" s="1"/>
  <c r="BD1535" i="6"/>
  <c r="AF238" i="15" s="1"/>
  <c r="BD1539" i="6"/>
  <c r="AH239" i="15" s="1"/>
  <c r="AD239" i="15" s="1"/>
  <c r="I1619" i="6"/>
  <c r="T260" i="15" s="1"/>
  <c r="BD1571" i="6"/>
  <c r="AF248" i="15" s="1"/>
  <c r="BD1491" i="6"/>
  <c r="AF222" i="15" s="1"/>
  <c r="AC222" i="15" s="1"/>
  <c r="BB1528" i="6"/>
  <c r="AA236" i="15" s="1"/>
  <c r="I1499" i="6"/>
  <c r="T225" i="15" s="1"/>
  <c r="P225" i="15" s="1"/>
  <c r="W225" i="15" s="1"/>
  <c r="I1607" i="6"/>
  <c r="R257" i="15" s="1"/>
  <c r="I1609" i="6"/>
  <c r="R258" i="15" s="1"/>
  <c r="I1651" i="6"/>
  <c r="R272" i="15" s="1"/>
  <c r="I1494" i="6"/>
  <c r="Q224" i="15" s="1"/>
  <c r="O224" i="15" s="1"/>
  <c r="W224" i="15" s="1"/>
  <c r="BD1520" i="6"/>
  <c r="AE233" i="15" s="1"/>
  <c r="I1648" i="6"/>
  <c r="Q271" i="15" s="1"/>
  <c r="AE236" i="15"/>
  <c r="AC236" i="15" s="1"/>
  <c r="K224" i="15"/>
  <c r="I224" i="15" s="1"/>
  <c r="BD1650" i="6"/>
  <c r="AE272" i="15" s="1"/>
  <c r="AC272" i="15" s="1"/>
  <c r="BD1604" i="6"/>
  <c r="AG256" i="15" s="1"/>
  <c r="BD1596" i="6"/>
  <c r="AG254" i="15" s="1"/>
  <c r="BD1462" i="6"/>
  <c r="BB1462" i="6" s="1"/>
  <c r="AA210" i="15" s="1"/>
  <c r="I1478" i="6"/>
  <c r="Q216" i="15" s="1"/>
  <c r="BD1646" i="6"/>
  <c r="AE270" i="15" s="1"/>
  <c r="BD1600" i="6"/>
  <c r="AG255" i="15" s="1"/>
  <c r="BD1588" i="6"/>
  <c r="AG252" i="15" s="1"/>
  <c r="BD1548" i="6"/>
  <c r="AG242" i="15" s="1"/>
  <c r="BD1628" i="6"/>
  <c r="AE263" i="15" s="1"/>
  <c r="AC263" i="15" s="1"/>
  <c r="BD1524" i="6"/>
  <c r="AE235" i="15" s="1"/>
  <c r="BD1484" i="6"/>
  <c r="AE219" i="15" s="1"/>
  <c r="AC219" i="15" s="1"/>
  <c r="I1506" i="6"/>
  <c r="Q229" i="15" s="1"/>
  <c r="O229" i="15" s="1"/>
  <c r="I1522" i="6"/>
  <c r="Q234" i="15" s="1"/>
  <c r="O234" i="15" s="1"/>
  <c r="W234" i="15" s="1"/>
  <c r="I1536" i="6"/>
  <c r="Q239" i="15" s="1"/>
  <c r="O239" i="15" s="1"/>
  <c r="I1514" i="6"/>
  <c r="Q231" i="15" s="1"/>
  <c r="I1448" i="6"/>
  <c r="Q205" i="15" s="1"/>
  <c r="O205" i="15" s="1"/>
  <c r="W205" i="15" s="1"/>
  <c r="I1606" i="6"/>
  <c r="Q257" i="15" s="1"/>
  <c r="I1608" i="6"/>
  <c r="Q258" i="15" s="1"/>
  <c r="I1584" i="6"/>
  <c r="S251" i="15" s="1"/>
  <c r="I1626" i="6"/>
  <c r="S262" i="15" s="1"/>
  <c r="I1628" i="6"/>
  <c r="Q263" i="15" s="1"/>
  <c r="I1482" i="6"/>
  <c r="Q218" i="15" s="1"/>
  <c r="I1490" i="6"/>
  <c r="Q222" i="15" s="1"/>
  <c r="I1496" i="6"/>
  <c r="Q225" i="15" s="1"/>
  <c r="O225" i="15" s="1"/>
  <c r="I1500" i="6"/>
  <c r="Q226" i="15" s="1"/>
  <c r="O226" i="15" s="1"/>
  <c r="W226" i="15" s="1"/>
  <c r="I1542" i="6"/>
  <c r="Q241" i="15" s="1"/>
  <c r="O241" i="15" s="1"/>
  <c r="I1582" i="6"/>
  <c r="Q251" i="15" s="1"/>
  <c r="O251" i="15" s="1"/>
  <c r="I1484" i="6"/>
  <c r="Q219" i="15" s="1"/>
  <c r="I1524" i="6"/>
  <c r="Q235" i="15" s="1"/>
  <c r="O235" i="15" s="1"/>
  <c r="I1579" i="6"/>
  <c r="R250" i="15" s="1"/>
  <c r="BD1597" i="6"/>
  <c r="AH254" i="15" s="1"/>
  <c r="BD1461" i="6"/>
  <c r="AF209" i="15" s="1"/>
  <c r="BD1481" i="6"/>
  <c r="AF217" i="15" s="1"/>
  <c r="BD1587" i="6"/>
  <c r="AF252" i="15" s="1"/>
  <c r="AC252" i="15" s="1"/>
  <c r="I1603" i="6"/>
  <c r="R256" i="15" s="1"/>
  <c r="O256" i="15" s="1"/>
  <c r="I1605" i="6"/>
  <c r="T256" i="15" s="1"/>
  <c r="I1629" i="6"/>
  <c r="R263" i="15" s="1"/>
  <c r="O263" i="15" s="1"/>
  <c r="W263" i="15" s="1"/>
  <c r="BD1657" i="6"/>
  <c r="AF275" i="15" s="1"/>
  <c r="BD1641" i="6"/>
  <c r="AH267" i="15" s="1"/>
  <c r="BD1649" i="6"/>
  <c r="BD1563" i="6"/>
  <c r="AF246" i="15" s="1"/>
  <c r="AC246" i="15" s="1"/>
  <c r="BD1589" i="6"/>
  <c r="AH252" i="15" s="1"/>
  <c r="I1647" i="6"/>
  <c r="R270" i="15" s="1"/>
  <c r="O270" i="15" s="1"/>
  <c r="W270" i="15" s="1"/>
  <c r="I1521" i="6"/>
  <c r="R233" i="15" s="1"/>
  <c r="I1529" i="6"/>
  <c r="R236" i="15" s="1"/>
  <c r="I1531" i="6"/>
  <c r="R237" i="15" s="1"/>
  <c r="I1585" i="6"/>
  <c r="T251" i="15" s="1"/>
  <c r="I1625" i="6"/>
  <c r="R262" i="15" s="1"/>
  <c r="O262" i="15" s="1"/>
  <c r="I1627" i="6"/>
  <c r="T262" i="15" s="1"/>
  <c r="BD1595" i="6"/>
  <c r="AF254" i="15" s="1"/>
  <c r="AC254" i="15" s="1"/>
  <c r="BD1443" i="6"/>
  <c r="AF203" i="15" s="1"/>
  <c r="I1595" i="6"/>
  <c r="R254" i="15" s="1"/>
  <c r="O254" i="15" s="1"/>
  <c r="I1599" i="6"/>
  <c r="R255" i="15" s="1"/>
  <c r="L243" i="15"/>
  <c r="BD1453" i="6"/>
  <c r="AH206" i="15" s="1"/>
  <c r="AD206" i="15" s="1"/>
  <c r="BD1475" i="6"/>
  <c r="AF214" i="15" s="1"/>
  <c r="AC214" i="15" s="1"/>
  <c r="L246" i="15"/>
  <c r="I246" i="15" s="1"/>
  <c r="BB1416" i="6"/>
  <c r="AA195" i="15" s="1"/>
  <c r="L207" i="15"/>
  <c r="I207" i="15" s="1"/>
  <c r="BD1647" i="6"/>
  <c r="AF270" i="15" s="1"/>
  <c r="BD1505" i="6"/>
  <c r="AF228" i="15" s="1"/>
  <c r="I1415" i="6"/>
  <c r="R194" i="15" s="1"/>
  <c r="BD1477" i="6"/>
  <c r="AF215" i="15" s="1"/>
  <c r="BD1579" i="6"/>
  <c r="AF250" i="15" s="1"/>
  <c r="I1621" i="6"/>
  <c r="R261" i="15" s="1"/>
  <c r="N231" i="15"/>
  <c r="J231" i="15" s="1"/>
  <c r="L273" i="15"/>
  <c r="I273" i="15" s="1"/>
  <c r="N245" i="15"/>
  <c r="J245" i="15" s="1"/>
  <c r="BD1517" i="6"/>
  <c r="AH231" i="15" s="1"/>
  <c r="BD1643" i="6"/>
  <c r="AF268" i="15" s="1"/>
  <c r="AC268" i="15" s="1"/>
  <c r="BD1619" i="6"/>
  <c r="AH260" i="15" s="1"/>
  <c r="BD1487" i="6"/>
  <c r="AF220" i="15" s="1"/>
  <c r="BD1515" i="6"/>
  <c r="AF231" i="15" s="1"/>
  <c r="BD1433" i="6"/>
  <c r="AH200" i="15" s="1"/>
  <c r="BD1459" i="6"/>
  <c r="AF208" i="15" s="1"/>
  <c r="I1479" i="6"/>
  <c r="R216" i="15" s="1"/>
  <c r="BD1495" i="6"/>
  <c r="AF224" i="15" s="1"/>
  <c r="I1535" i="6"/>
  <c r="R238" i="15" s="1"/>
  <c r="I1539" i="6"/>
  <c r="T239" i="15" s="1"/>
  <c r="I1541" i="6"/>
  <c r="R240" i="15" s="1"/>
  <c r="O240" i="15" s="1"/>
  <c r="W240" i="15" s="1"/>
  <c r="BD1621" i="6"/>
  <c r="AF261" i="15" s="1"/>
  <c r="I1491" i="6"/>
  <c r="R222" i="15" s="1"/>
  <c r="I1509" i="6"/>
  <c r="T229" i="15" s="1"/>
  <c r="P229" i="15" s="1"/>
  <c r="W229" i="15" s="1"/>
  <c r="BD1439" i="6"/>
  <c r="AF202" i="15" s="1"/>
  <c r="AC202" i="15" s="1"/>
  <c r="BD1623" i="6"/>
  <c r="AH261" i="15" s="1"/>
  <c r="BD1519" i="6"/>
  <c r="AF232" i="15" s="1"/>
  <c r="BD1471" i="6"/>
  <c r="AF213" i="15" s="1"/>
  <c r="BD1511" i="6"/>
  <c r="AF230" i="15" s="1"/>
  <c r="AC230" i="15" s="1"/>
  <c r="BD1493" i="6"/>
  <c r="AF223" i="15" s="1"/>
  <c r="M193" i="15"/>
  <c r="J193" i="15" s="1"/>
  <c r="BD1479" i="6"/>
  <c r="AF216" i="15" s="1"/>
  <c r="BD1497" i="6"/>
  <c r="AF225" i="15" s="1"/>
  <c r="AC225" i="15" s="1"/>
  <c r="BD1501" i="6"/>
  <c r="AF226" i="15" s="1"/>
  <c r="AC226" i="15" s="1"/>
  <c r="BD1541" i="6"/>
  <c r="AF240" i="15" s="1"/>
  <c r="AC240" i="15" s="1"/>
  <c r="I1545" i="6"/>
  <c r="T241" i="15" s="1"/>
  <c r="P241" i="15" s="1"/>
  <c r="W241" i="15" s="1"/>
  <c r="AB135" i="15"/>
  <c r="BE152" i="6"/>
  <c r="AB204" i="15"/>
  <c r="BE1446" i="6"/>
  <c r="BB1446" i="6" s="1"/>
  <c r="AA204" i="15" s="1"/>
  <c r="K1448" i="6"/>
  <c r="I1414" i="6"/>
  <c r="Q194" i="15" s="1"/>
  <c r="O194" i="15" s="1"/>
  <c r="W194" i="15" s="1"/>
  <c r="I1417" i="6"/>
  <c r="R195" i="15" s="1"/>
  <c r="A1489" i="6"/>
  <c r="I1562" i="6"/>
  <c r="Q246" i="15" s="1"/>
  <c r="I1564" i="6"/>
  <c r="S246" i="15" s="1"/>
  <c r="P246" i="15" s="1"/>
  <c r="W246" i="15" s="1"/>
  <c r="I1573" i="6"/>
  <c r="T248" i="15" s="1"/>
  <c r="F802" i="6"/>
  <c r="I802" i="6" s="1"/>
  <c r="S168" i="15" s="1"/>
  <c r="P168" i="15" s="1"/>
  <c r="W168" i="15" s="1"/>
  <c r="I1195" i="6"/>
  <c r="R184" i="15" s="1"/>
  <c r="I1196" i="6"/>
  <c r="Q185" i="15" s="1"/>
  <c r="O185" i="15" s="1"/>
  <c r="W185" i="15" s="1"/>
  <c r="I1198" i="6"/>
  <c r="Q186" i="15" s="1"/>
  <c r="I1443" i="6"/>
  <c r="R203" i="15" s="1"/>
  <c r="A1461" i="6"/>
  <c r="I1551" i="6"/>
  <c r="R243" i="15" s="1"/>
  <c r="I1412" i="6"/>
  <c r="S193" i="15" s="1"/>
  <c r="P193" i="15" s="1"/>
  <c r="W193" i="15" s="1"/>
  <c r="I1592" i="6"/>
  <c r="S253" i="15" s="1"/>
  <c r="I1622" i="6"/>
  <c r="S261" i="15" s="1"/>
  <c r="P261" i="15" s="1"/>
  <c r="W261" i="15" s="1"/>
  <c r="I1638" i="6"/>
  <c r="Q267" i="15" s="1"/>
  <c r="L1442" i="6"/>
  <c r="AJ203" i="15" s="1"/>
  <c r="I1406" i="6"/>
  <c r="Q192" i="15" s="1"/>
  <c r="O192" i="15" s="1"/>
  <c r="I1411" i="6"/>
  <c r="R193" i="15" s="1"/>
  <c r="O193" i="15" s="1"/>
  <c r="I1418" i="6"/>
  <c r="Q196" i="15" s="1"/>
  <c r="I1427" i="6"/>
  <c r="R198" i="15" s="1"/>
  <c r="I1429" i="6"/>
  <c r="R199" i="15" s="1"/>
  <c r="I1445" i="6"/>
  <c r="T203" i="15" s="1"/>
  <c r="C203" i="15"/>
  <c r="AM203" i="15" s="1"/>
  <c r="AN203" i="15" s="1"/>
  <c r="I1455" i="6"/>
  <c r="R207" i="15" s="1"/>
  <c r="L1460" i="6"/>
  <c r="AJ209" i="15" s="1"/>
  <c r="C209" i="15"/>
  <c r="AM209" i="15" s="1"/>
  <c r="A1465" i="6"/>
  <c r="I1471" i="6"/>
  <c r="R213" i="15" s="1"/>
  <c r="I1477" i="6"/>
  <c r="R215" i="15" s="1"/>
  <c r="I1485" i="6"/>
  <c r="R219" i="15" s="1"/>
  <c r="I1519" i="6"/>
  <c r="R232" i="15" s="1"/>
  <c r="O232" i="15" s="1"/>
  <c r="W232" i="15" s="1"/>
  <c r="I1528" i="6"/>
  <c r="Q236" i="15" s="1"/>
  <c r="I1530" i="6"/>
  <c r="Q237" i="15" s="1"/>
  <c r="I1533" i="6"/>
  <c r="T237" i="15" s="1"/>
  <c r="P237" i="15" s="1"/>
  <c r="W237" i="15" s="1"/>
  <c r="I1534" i="6"/>
  <c r="Q238" i="15" s="1"/>
  <c r="I1538" i="6"/>
  <c r="S239" i="15" s="1"/>
  <c r="C243" i="15"/>
  <c r="AM243" i="15" s="1"/>
  <c r="I1580" i="6"/>
  <c r="S250" i="15" s="1"/>
  <c r="A1621" i="6"/>
  <c r="W129" i="15"/>
  <c r="O129" i="15"/>
  <c r="I1474" i="6"/>
  <c r="Q214" i="15" s="1"/>
  <c r="I1469" i="6"/>
  <c r="T212" i="15" s="1"/>
  <c r="P212" i="15" s="1"/>
  <c r="W212" i="15" s="1"/>
  <c r="X122" i="15"/>
  <c r="X139" i="15"/>
  <c r="I1569" i="6"/>
  <c r="T247" i="15" s="1"/>
  <c r="I1493" i="6"/>
  <c r="R223" i="15" s="1"/>
  <c r="O223" i="15" s="1"/>
  <c r="BC802" i="6"/>
  <c r="BC139" i="6"/>
  <c r="BD139" i="6" s="1"/>
  <c r="AE127" i="15" s="1"/>
  <c r="AC127" i="15" s="1"/>
  <c r="BC784" i="6"/>
  <c r="BD784" i="6" s="1"/>
  <c r="AE161" i="15" s="1"/>
  <c r="AC161" i="15" s="1"/>
  <c r="I1447" i="6"/>
  <c r="R204" i="15" s="1"/>
  <c r="I1554" i="6"/>
  <c r="Q244" i="15" s="1"/>
  <c r="X132" i="15"/>
  <c r="Z132" i="15" s="1"/>
  <c r="BE138" i="6"/>
  <c r="Y165" i="15"/>
  <c r="X125" i="15"/>
  <c r="Z125" i="15" s="1"/>
  <c r="Y116" i="15"/>
  <c r="BB1474" i="6"/>
  <c r="AA214" i="15" s="1"/>
  <c r="I1432" i="6"/>
  <c r="S200" i="15" s="1"/>
  <c r="I1555" i="6"/>
  <c r="R244" i="15" s="1"/>
  <c r="I1502" i="6"/>
  <c r="Q227" i="15" s="1"/>
  <c r="I1556" i="6"/>
  <c r="S244" i="15" s="1"/>
  <c r="I1557" i="6"/>
  <c r="T244" i="15" s="1"/>
  <c r="BC118" i="6"/>
  <c r="BD118" i="6" s="1"/>
  <c r="AE113" i="15" s="1"/>
  <c r="AC113" i="15" s="1"/>
  <c r="AB118" i="15"/>
  <c r="X108" i="15"/>
  <c r="AN231" i="15"/>
  <c r="BB147" i="6"/>
  <c r="AA132" i="15" s="1"/>
  <c r="I1513" i="6"/>
  <c r="T230" i="15" s="1"/>
  <c r="P230" i="15" s="1"/>
  <c r="W230" i="15" s="1"/>
  <c r="Y131" i="15"/>
  <c r="I1466" i="6"/>
  <c r="Q212" i="15" s="1"/>
  <c r="I1299" i="6"/>
  <c r="S189" i="15" s="1"/>
  <c r="P189" i="15" s="1"/>
  <c r="W189" i="15" s="1"/>
  <c r="I1611" i="6"/>
  <c r="T258" i="15" s="1"/>
  <c r="AD266" i="15"/>
  <c r="I1438" i="6"/>
  <c r="Q202" i="15" s="1"/>
  <c r="I1635" i="6"/>
  <c r="R266" i="15" s="1"/>
  <c r="I1597" i="6"/>
  <c r="T254" i="15" s="1"/>
  <c r="I1511" i="6"/>
  <c r="R230" i="15" s="1"/>
  <c r="H1612" i="6"/>
  <c r="I1612" i="6" s="1"/>
  <c r="Q259" i="15" s="1"/>
  <c r="O259" i="15" s="1"/>
  <c r="BC137" i="6"/>
  <c r="BD137" i="6" s="1"/>
  <c r="AG125" i="15" s="1"/>
  <c r="AD125" i="15" s="1"/>
  <c r="BC799" i="6"/>
  <c r="BD799" i="6" s="1"/>
  <c r="AG167" i="15" s="1"/>
  <c r="AD167" i="15" s="1"/>
  <c r="BC148" i="6"/>
  <c r="BD148" i="6" s="1"/>
  <c r="AE133" i="15" s="1"/>
  <c r="AC133" i="15" s="1"/>
  <c r="X128" i="15"/>
  <c r="BC13" i="6"/>
  <c r="Y161" i="15"/>
  <c r="Z161" i="15" s="1"/>
  <c r="I1634" i="6"/>
  <c r="Q266" i="15" s="1"/>
  <c r="I1610" i="6"/>
  <c r="S258" i="15" s="1"/>
  <c r="I1650" i="6"/>
  <c r="Q272" i="15" s="1"/>
  <c r="I1546" i="6"/>
  <c r="Q242" i="15" s="1"/>
  <c r="O242" i="15" s="1"/>
  <c r="I1440" i="6"/>
  <c r="S202" i="15" s="1"/>
  <c r="X131" i="15"/>
  <c r="AB164" i="15"/>
  <c r="Y177" i="15"/>
  <c r="I1431" i="6"/>
  <c r="R200" i="15" s="1"/>
  <c r="I1588" i="6"/>
  <c r="S252" i="15" s="1"/>
  <c r="I1659" i="6"/>
  <c r="R276" i="15" s="1"/>
  <c r="O276" i="15" s="1"/>
  <c r="I1616" i="6"/>
  <c r="Q260" i="15" s="1"/>
  <c r="O260" i="15" s="1"/>
  <c r="I1575" i="6"/>
  <c r="R249" i="15" s="1"/>
  <c r="I1586" i="6"/>
  <c r="Q252" i="15" s="1"/>
  <c r="O252" i="15" s="1"/>
  <c r="I1618" i="6"/>
  <c r="S260" i="15" s="1"/>
  <c r="I1589" i="6"/>
  <c r="T252" i="15" s="1"/>
  <c r="X116" i="15"/>
  <c r="BC10" i="6"/>
  <c r="BC129" i="6"/>
  <c r="BD129" i="6" s="1"/>
  <c r="AE120" i="15" s="1"/>
  <c r="AC120" i="15" s="1"/>
  <c r="J261" i="15"/>
  <c r="H10" i="6"/>
  <c r="BC181" i="6"/>
  <c r="BD181" i="6" s="1"/>
  <c r="AE155" i="15" s="1"/>
  <c r="AC155" i="15" s="1"/>
  <c r="Y143" i="15"/>
  <c r="Z143" i="15" s="1"/>
  <c r="Y152" i="15"/>
  <c r="Z152" i="15" s="1"/>
  <c r="AE188" i="15"/>
  <c r="AC188" i="15" s="1"/>
  <c r="BB1295" i="6"/>
  <c r="AA188" i="15" s="1"/>
  <c r="BB1305" i="6"/>
  <c r="AA191" i="15" s="1"/>
  <c r="I1642" i="6"/>
  <c r="Q268" i="15" s="1"/>
  <c r="I1510" i="6"/>
  <c r="Q230" i="15" s="1"/>
  <c r="X147" i="15"/>
  <c r="Z147" i="15" s="1"/>
  <c r="I205" i="15"/>
  <c r="Y1084" i="6"/>
  <c r="I1567" i="6"/>
  <c r="R247" i="15" s="1"/>
  <c r="O247" i="15" s="1"/>
  <c r="I1430" i="6"/>
  <c r="Q200" i="15" s="1"/>
  <c r="X1247" i="6"/>
  <c r="I1441" i="6"/>
  <c r="T202" i="15" s="1"/>
  <c r="I1577" i="6"/>
  <c r="T249" i="15" s="1"/>
  <c r="P249" i="15" s="1"/>
  <c r="W249" i="15" s="1"/>
  <c r="I1475" i="6"/>
  <c r="R214" i="15" s="1"/>
  <c r="I1486" i="6"/>
  <c r="Q220" i="15" s="1"/>
  <c r="I1643" i="6"/>
  <c r="R268" i="15" s="1"/>
  <c r="Y168" i="15"/>
  <c r="BC18" i="6"/>
  <c r="X165" i="15"/>
  <c r="BC795" i="6"/>
  <c r="BD795" i="6" s="1"/>
  <c r="X135" i="15"/>
  <c r="Z135" i="15" s="1"/>
  <c r="F805" i="6"/>
  <c r="K170" i="15" s="1"/>
  <c r="I170" i="15" s="1"/>
  <c r="AN170" i="15" s="1"/>
  <c r="AN189" i="15"/>
  <c r="Y169" i="15"/>
  <c r="X736" i="6"/>
  <c r="I1463" i="6"/>
  <c r="R210" i="15" s="1"/>
  <c r="I1549" i="6"/>
  <c r="T242" i="15" s="1"/>
  <c r="I1467" i="6"/>
  <c r="R212" i="15" s="1"/>
  <c r="I1451" i="6"/>
  <c r="R206" i="15" s="1"/>
  <c r="BC138" i="6"/>
  <c r="BD138" i="6" s="1"/>
  <c r="AE126" i="15" s="1"/>
  <c r="AC126" i="15" s="1"/>
  <c r="X113" i="15"/>
  <c r="BC16" i="6"/>
  <c r="X157" i="15"/>
  <c r="Z157" i="15" s="1"/>
  <c r="J1167" i="6"/>
  <c r="K801" i="6" s="1"/>
  <c r="O860" i="6"/>
  <c r="J1163" i="6"/>
  <c r="K797" i="6" s="1"/>
  <c r="O861" i="6"/>
  <c r="J1157" i="6"/>
  <c r="K791" i="6" s="1"/>
  <c r="J1180" i="6"/>
  <c r="O859" i="6"/>
  <c r="J1174" i="6"/>
  <c r="J1150" i="6"/>
  <c r="K784" i="6" s="1"/>
  <c r="BE784" i="6" s="1"/>
  <c r="AN234" i="15"/>
  <c r="AN223" i="15"/>
  <c r="BC175" i="6"/>
  <c r="BD175" i="6" s="1"/>
  <c r="X138" i="15"/>
  <c r="Z138" i="15" s="1"/>
  <c r="F807" i="6"/>
  <c r="BC827" i="6"/>
  <c r="BC815" i="6"/>
  <c r="BE828" i="6"/>
  <c r="K804" i="6"/>
  <c r="BE804" i="6" s="1"/>
  <c r="BC812" i="6"/>
  <c r="X180" i="15"/>
  <c r="F811" i="6"/>
  <c r="F808" i="6"/>
  <c r="BD808" i="6" s="1"/>
  <c r="AF172" i="15" s="1"/>
  <c r="X181" i="15"/>
  <c r="Z181" i="15" s="1"/>
  <c r="K821" i="6"/>
  <c r="BE821" i="6" s="1"/>
  <c r="J819" i="6"/>
  <c r="BC833" i="6"/>
  <c r="X162" i="15"/>
  <c r="Z162" i="15" s="1"/>
  <c r="AB166" i="15"/>
  <c r="BE795" i="6"/>
  <c r="BE805" i="6"/>
  <c r="AB163" i="15"/>
  <c r="AC163" i="15"/>
  <c r="AN168" i="15"/>
  <c r="AO168" i="15" s="1"/>
  <c r="AN241" i="15"/>
  <c r="AN208" i="15"/>
  <c r="AN247" i="15"/>
  <c r="P165" i="15"/>
  <c r="W165" i="15" s="1"/>
  <c r="BB787" i="6"/>
  <c r="AA163" i="15" s="1"/>
  <c r="BC12" i="6"/>
  <c r="AD165" i="15"/>
  <c r="BD135" i="6"/>
  <c r="AE124" i="15" s="1"/>
  <c r="AC124" i="15" s="1"/>
  <c r="I141" i="6"/>
  <c r="Q128" i="15" s="1"/>
  <c r="O128" i="15" s="1"/>
  <c r="Y134" i="15"/>
  <c r="BC122" i="6"/>
  <c r="BD122" i="6" s="1"/>
  <c r="AG115" i="15" s="1"/>
  <c r="AD115" i="15" s="1"/>
  <c r="J750" i="6"/>
  <c r="K161" i="6" s="1"/>
  <c r="Y145" i="15"/>
  <c r="Z145" i="15" s="1"/>
  <c r="AB136" i="15"/>
  <c r="AB114" i="15"/>
  <c r="X123" i="15"/>
  <c r="Z123" i="15" s="1"/>
  <c r="R207" i="6"/>
  <c r="X137" i="15"/>
  <c r="I186" i="6"/>
  <c r="Q158" i="15" s="1"/>
  <c r="O158" i="15" s="1"/>
  <c r="W159" i="15"/>
  <c r="K749" i="6"/>
  <c r="AE195" i="15"/>
  <c r="AC195" i="15" s="1"/>
  <c r="H16" i="6"/>
  <c r="X3103" i="6"/>
  <c r="X3039" i="6"/>
  <c r="X3123" i="6"/>
  <c r="M7" i="6"/>
  <c r="O105" i="15" s="1"/>
  <c r="W105" i="15" s="1"/>
  <c r="X3047" i="6"/>
  <c r="I105" i="15"/>
  <c r="AN105" i="15" s="1"/>
  <c r="X3017" i="6"/>
  <c r="AF218" i="15"/>
  <c r="BB1482" i="6"/>
  <c r="AA218" i="15" s="1"/>
  <c r="AB238" i="15"/>
  <c r="BE1534" i="6"/>
  <c r="AB220" i="15"/>
  <c r="K1488" i="6"/>
  <c r="BE1486" i="6"/>
  <c r="K811" i="6"/>
  <c r="BE811" i="6" s="1"/>
  <c r="J1087" i="6"/>
  <c r="F812" i="6" s="1"/>
  <c r="AB171" i="15"/>
  <c r="I1593" i="6"/>
  <c r="T253" i="15" s="1"/>
  <c r="AB124" i="15"/>
  <c r="BE135" i="6"/>
  <c r="Y255" i="15"/>
  <c r="Z255" i="15" s="1"/>
  <c r="K130" i="15"/>
  <c r="I130" i="15" s="1"/>
  <c r="AN130" i="15" s="1"/>
  <c r="BD144" i="6"/>
  <c r="AE130" i="15" s="1"/>
  <c r="AC130" i="15" s="1"/>
  <c r="M134" i="15"/>
  <c r="J134" i="15" s="1"/>
  <c r="I151" i="6"/>
  <c r="S134" i="15" s="1"/>
  <c r="P134" i="15" s="1"/>
  <c r="W134" i="15" s="1"/>
  <c r="I1591" i="6"/>
  <c r="R253" i="15" s="1"/>
  <c r="AC266" i="15"/>
  <c r="M255" i="15"/>
  <c r="J255" i="15" s="1"/>
  <c r="I110" i="6"/>
  <c r="O17" i="6" s="1"/>
  <c r="Z110" i="6"/>
  <c r="Z104" i="6"/>
  <c r="AA108" i="6"/>
  <c r="AA102" i="6"/>
  <c r="Z108" i="6"/>
  <c r="Z102" i="6"/>
  <c r="AA110" i="6"/>
  <c r="AA104" i="6"/>
  <c r="Y656" i="7"/>
  <c r="BD126" i="6"/>
  <c r="K118" i="15"/>
  <c r="I118" i="15" s="1"/>
  <c r="AN118" i="15" s="1"/>
  <c r="I126" i="6"/>
  <c r="Q118" i="15" s="1"/>
  <c r="W118" i="15" s="1"/>
  <c r="M122" i="15"/>
  <c r="J122" i="15" s="1"/>
  <c r="I133" i="6"/>
  <c r="S122" i="15" s="1"/>
  <c r="P122" i="15" s="1"/>
  <c r="W122" i="15" s="1"/>
  <c r="K124" i="15"/>
  <c r="I124" i="15" s="1"/>
  <c r="AN124" i="15" s="1"/>
  <c r="I135" i="6"/>
  <c r="Q124" i="15" s="1"/>
  <c r="K136" i="15"/>
  <c r="I136" i="15" s="1"/>
  <c r="AN136" i="15" s="1"/>
  <c r="I153" i="6"/>
  <c r="Q136" i="15" s="1"/>
  <c r="W136" i="15" s="1"/>
  <c r="BD153" i="6"/>
  <c r="BE129" i="6"/>
  <c r="AB120" i="15"/>
  <c r="I275" i="15"/>
  <c r="BE1646" i="6"/>
  <c r="AF271" i="15"/>
  <c r="I1645" i="6"/>
  <c r="R269" i="15" s="1"/>
  <c r="K122" i="15"/>
  <c r="I122" i="15" s="1"/>
  <c r="AN122" i="15" s="1"/>
  <c r="I132" i="6"/>
  <c r="Q122" i="15" s="1"/>
  <c r="O122" i="15" s="1"/>
  <c r="K193" i="15"/>
  <c r="L192" i="15"/>
  <c r="M127" i="15"/>
  <c r="J127" i="15" s="1"/>
  <c r="K134" i="15"/>
  <c r="I134" i="15" s="1"/>
  <c r="AN134" i="15" s="1"/>
  <c r="K165" i="15"/>
  <c r="AN165" i="15" s="1"/>
  <c r="K166" i="15"/>
  <c r="AN166" i="15" s="1"/>
  <c r="K182" i="15"/>
  <c r="AN182" i="15" s="1"/>
  <c r="L202" i="15"/>
  <c r="L217" i="15"/>
  <c r="M225" i="15"/>
  <c r="M229" i="15"/>
  <c r="J229" i="15" s="1"/>
  <c r="L235" i="15"/>
  <c r="L239" i="15"/>
  <c r="K240" i="15"/>
  <c r="L242" i="15"/>
  <c r="I242" i="15" s="1"/>
  <c r="A1579" i="6"/>
  <c r="C1580" i="6"/>
  <c r="K252" i="15"/>
  <c r="AN252" i="15" s="1"/>
  <c r="K272" i="15"/>
  <c r="AN272" i="15" s="1"/>
  <c r="I1653" i="6"/>
  <c r="R273" i="15" s="1"/>
  <c r="O273" i="15" s="1"/>
  <c r="W273" i="15" s="1"/>
  <c r="I1656" i="6"/>
  <c r="Q275" i="15" s="1"/>
  <c r="O275" i="15" s="1"/>
  <c r="W275" i="15" s="1"/>
  <c r="AJ272" i="15"/>
  <c r="L1652" i="6"/>
  <c r="AJ273" i="15" s="1"/>
  <c r="K138" i="15"/>
  <c r="I138" i="15" s="1"/>
  <c r="BC158" i="6"/>
  <c r="BD158" i="6" s="1"/>
  <c r="Y139" i="15"/>
  <c r="K141" i="15"/>
  <c r="I141" i="15" s="1"/>
  <c r="M145" i="15"/>
  <c r="J145" i="15" s="1"/>
  <c r="I167" i="6"/>
  <c r="S145" i="15" s="1"/>
  <c r="P145" i="15" s="1"/>
  <c r="W145" i="15" s="1"/>
  <c r="M157" i="15"/>
  <c r="J157" i="15" s="1"/>
  <c r="I185" i="6"/>
  <c r="S157" i="15" s="1"/>
  <c r="P157" i="15" s="1"/>
  <c r="W157" i="15" s="1"/>
  <c r="BD185" i="6"/>
  <c r="AG157" i="15" s="1"/>
  <c r="AD157" i="15" s="1"/>
  <c r="G140" i="15"/>
  <c r="F243" i="6"/>
  <c r="F315" i="6" s="1"/>
  <c r="F387" i="6" s="1"/>
  <c r="F459" i="6" s="1"/>
  <c r="F531" i="6" s="1"/>
  <c r="F603" i="6" s="1"/>
  <c r="F676" i="6" s="1"/>
  <c r="F748" i="6" s="1"/>
  <c r="F270" i="6"/>
  <c r="F342" i="6" s="1"/>
  <c r="F414" i="6" s="1"/>
  <c r="F486" i="6" s="1"/>
  <c r="F558" i="6" s="1"/>
  <c r="F630" i="6" s="1"/>
  <c r="F703" i="6" s="1"/>
  <c r="F775" i="6" s="1"/>
  <c r="G158" i="15"/>
  <c r="K155" i="15"/>
  <c r="I155" i="15" s="1"/>
  <c r="O188" i="15"/>
  <c r="W188" i="15" s="1"/>
  <c r="BC1560" i="6"/>
  <c r="BD1560" i="6" s="1"/>
  <c r="AG245" i="15" s="1"/>
  <c r="BC1552" i="6"/>
  <c r="BD1559" i="6"/>
  <c r="AF245" i="15" s="1"/>
  <c r="AC245" i="15" s="1"/>
  <c r="I140" i="6"/>
  <c r="S127" i="15" s="1"/>
  <c r="P127" i="15" s="1"/>
  <c r="W127" i="15" s="1"/>
  <c r="BD1593" i="6"/>
  <c r="AH253" i="15" s="1"/>
  <c r="I152" i="6"/>
  <c r="Q135" i="15" s="1"/>
  <c r="K267" i="15"/>
  <c r="BC1460" i="6"/>
  <c r="BD1460" i="6" s="1"/>
  <c r="AE209" i="15" s="1"/>
  <c r="L125" i="6"/>
  <c r="AJ117" i="15" s="1"/>
  <c r="M192" i="15"/>
  <c r="X112" i="15"/>
  <c r="Z112" i="15" s="1"/>
  <c r="BD789" i="6"/>
  <c r="Y121" i="15"/>
  <c r="Z121" i="15" s="1"/>
  <c r="X134" i="15"/>
  <c r="M119" i="15"/>
  <c r="J119" i="15" s="1"/>
  <c r="K125" i="15"/>
  <c r="I125" i="15" s="1"/>
  <c r="AN125" i="15" s="1"/>
  <c r="AO125" i="15" s="1"/>
  <c r="M125" i="15"/>
  <c r="J125" i="15" s="1"/>
  <c r="K194" i="15"/>
  <c r="AN194" i="15" s="1"/>
  <c r="M113" i="15"/>
  <c r="J113" i="15" s="1"/>
  <c r="K126" i="15"/>
  <c r="I126" i="15" s="1"/>
  <c r="AN126" i="15" s="1"/>
  <c r="L195" i="15"/>
  <c r="N192" i="15"/>
  <c r="L193" i="15"/>
  <c r="BD7" i="6"/>
  <c r="AE105" i="15" s="1"/>
  <c r="AC105" i="15" s="1"/>
  <c r="M115" i="15"/>
  <c r="J115" i="15" s="1"/>
  <c r="K732" i="6"/>
  <c r="M165" i="15"/>
  <c r="J165" i="15" s="1"/>
  <c r="L167" i="15"/>
  <c r="L186" i="15"/>
  <c r="K187" i="15"/>
  <c r="AN187" i="15" s="1"/>
  <c r="K197" i="15"/>
  <c r="AN197" i="15" s="1"/>
  <c r="L200" i="15"/>
  <c r="C201" i="15"/>
  <c r="AM201" i="15" s="1"/>
  <c r="A1434" i="6"/>
  <c r="K202" i="15"/>
  <c r="AN202" i="15" s="1"/>
  <c r="N206" i="15"/>
  <c r="A1464" i="6"/>
  <c r="C211" i="15"/>
  <c r="AM211" i="15" s="1"/>
  <c r="K217" i="15"/>
  <c r="AN217" i="15" s="1"/>
  <c r="L220" i="15"/>
  <c r="L238" i="15"/>
  <c r="A1558" i="6"/>
  <c r="C245" i="15"/>
  <c r="AM245" i="15" s="1"/>
  <c r="AN245" i="15" s="1"/>
  <c r="I1615" i="6"/>
  <c r="T259" i="15" s="1"/>
  <c r="K752" i="6"/>
  <c r="L163" i="6"/>
  <c r="AJ143" i="15" s="1"/>
  <c r="K755" i="6"/>
  <c r="L166" i="6"/>
  <c r="AJ145" i="15" s="1"/>
  <c r="K761" i="6"/>
  <c r="L172" i="6"/>
  <c r="AJ149" i="15" s="1"/>
  <c r="L174" i="6"/>
  <c r="AJ150" i="15" s="1"/>
  <c r="K763" i="6"/>
  <c r="K766" i="6"/>
  <c r="L177" i="6"/>
  <c r="AJ152" i="15" s="1"/>
  <c r="K776" i="6"/>
  <c r="L187" i="6"/>
  <c r="BD1591" i="6"/>
  <c r="AF253" i="15" s="1"/>
  <c r="L221" i="15"/>
  <c r="I221" i="15" s="1"/>
  <c r="BD146" i="6"/>
  <c r="AG131" i="15" s="1"/>
  <c r="AD131" i="15" s="1"/>
  <c r="BD1412" i="6"/>
  <c r="AG193" i="15" s="1"/>
  <c r="AD193" i="15" s="1"/>
  <c r="G118" i="15"/>
  <c r="BD140" i="6"/>
  <c r="AG127" i="15" s="1"/>
  <c r="AD127" i="15" s="1"/>
  <c r="X114" i="15"/>
  <c r="Z114" i="15" s="1"/>
  <c r="Y108" i="15"/>
  <c r="N196" i="15"/>
  <c r="K113" i="15"/>
  <c r="I113" i="15" s="1"/>
  <c r="AN113" i="15" s="1"/>
  <c r="AO113" i="15" s="1"/>
  <c r="K115" i="15"/>
  <c r="I115" i="15" s="1"/>
  <c r="AN115" i="15" s="1"/>
  <c r="M121" i="15"/>
  <c r="J121" i="15" s="1"/>
  <c r="K129" i="15"/>
  <c r="I129" i="15" s="1"/>
  <c r="AN129" i="15" s="1"/>
  <c r="M116" i="15"/>
  <c r="J116" i="15" s="1"/>
  <c r="K128" i="15"/>
  <c r="I128" i="15" s="1"/>
  <c r="AN128" i="15" s="1"/>
  <c r="K132" i="15"/>
  <c r="I132" i="15" s="1"/>
  <c r="AN132" i="15" s="1"/>
  <c r="L163" i="15"/>
  <c r="I163" i="15" s="1"/>
  <c r="K167" i="15"/>
  <c r="AN167" i="15" s="1"/>
  <c r="K185" i="15"/>
  <c r="AN185" i="15" s="1"/>
  <c r="K186" i="15"/>
  <c r="AN186" i="15" s="1"/>
  <c r="M190" i="15"/>
  <c r="J190" i="15" s="1"/>
  <c r="BD1419" i="6"/>
  <c r="AF196" i="15" s="1"/>
  <c r="AC196" i="15" s="1"/>
  <c r="L199" i="15"/>
  <c r="K200" i="15"/>
  <c r="AN200" i="15" s="1"/>
  <c r="K210" i="15"/>
  <c r="AN210" i="15" s="1"/>
  <c r="L219" i="15"/>
  <c r="L222" i="15"/>
  <c r="K230" i="15"/>
  <c r="AN230" i="15" s="1"/>
  <c r="I1515" i="6"/>
  <c r="R231" i="15" s="1"/>
  <c r="I1516" i="6"/>
  <c r="S231" i="15" s="1"/>
  <c r="P231" i="15" s="1"/>
  <c r="W231" i="15" s="1"/>
  <c r="N237" i="15"/>
  <c r="N242" i="15"/>
  <c r="A1551" i="6"/>
  <c r="C1552" i="6"/>
  <c r="I1465" i="6"/>
  <c r="R211" i="15" s="1"/>
  <c r="AJ247" i="15"/>
  <c r="L1570" i="6"/>
  <c r="AJ248" i="15" s="1"/>
  <c r="BC1570" i="6"/>
  <c r="BD1570" i="6" s="1"/>
  <c r="AE248" i="15" s="1"/>
  <c r="BC1470" i="6"/>
  <c r="BD1470" i="6" s="1"/>
  <c r="AE213" i="15" s="1"/>
  <c r="O163" i="15"/>
  <c r="W163" i="15" s="1"/>
  <c r="K215" i="15"/>
  <c r="I215" i="15" s="1"/>
  <c r="L142" i="6"/>
  <c r="BC127" i="6"/>
  <c r="BD127" i="6" s="1"/>
  <c r="AE119" i="15" s="1"/>
  <c r="AC119" i="15" s="1"/>
  <c r="Y113" i="15"/>
  <c r="BD791" i="6"/>
  <c r="BD152" i="6"/>
  <c r="K119" i="15"/>
  <c r="I119" i="15" s="1"/>
  <c r="AN119" i="15" s="1"/>
  <c r="AO119" i="15" s="1"/>
  <c r="L194" i="15"/>
  <c r="L1198" i="6"/>
  <c r="AJ186" i="15" s="1"/>
  <c r="I121" i="6"/>
  <c r="Q115" i="15" s="1"/>
  <c r="O115" i="15" s="1"/>
  <c r="K116" i="15"/>
  <c r="I116" i="15" s="1"/>
  <c r="AN116" i="15" s="1"/>
  <c r="AO116" i="15" s="1"/>
  <c r="I131" i="6"/>
  <c r="S121" i="15" s="1"/>
  <c r="P121" i="15" s="1"/>
  <c r="W121" i="15" s="1"/>
  <c r="K135" i="15"/>
  <c r="I135" i="15" s="1"/>
  <c r="AN135" i="15" s="1"/>
  <c r="K161" i="15"/>
  <c r="I161" i="15" s="1"/>
  <c r="AN161" i="15" s="1"/>
  <c r="AO161" i="15" s="1"/>
  <c r="K164" i="15"/>
  <c r="AN164" i="15" s="1"/>
  <c r="L164" i="15"/>
  <c r="L165" i="15"/>
  <c r="L166" i="15"/>
  <c r="K183" i="15"/>
  <c r="AN183" i="15" s="1"/>
  <c r="L183" i="15"/>
  <c r="L189" i="15"/>
  <c r="I189" i="15" s="1"/>
  <c r="M189" i="15"/>
  <c r="N189" i="15"/>
  <c r="C205" i="15"/>
  <c r="AM205" i="15" s="1"/>
  <c r="AN205" i="15" s="1"/>
  <c r="A1448" i="6"/>
  <c r="L208" i="15"/>
  <c r="I208" i="15" s="1"/>
  <c r="N212" i="15"/>
  <c r="K219" i="15"/>
  <c r="AN219" i="15" s="1"/>
  <c r="A1488" i="6"/>
  <c r="C221" i="15"/>
  <c r="AM221" i="15" s="1"/>
  <c r="AN221" i="15" s="1"/>
  <c r="K222" i="15"/>
  <c r="AN222" i="15" s="1"/>
  <c r="K773" i="6"/>
  <c r="I1435" i="6"/>
  <c r="R201" i="15" s="1"/>
  <c r="C1436" i="6"/>
  <c r="A1435" i="6"/>
  <c r="I1442" i="6"/>
  <c r="Q203" i="15" s="1"/>
  <c r="L204" i="15"/>
  <c r="A1449" i="6"/>
  <c r="K206" i="15"/>
  <c r="AN206" i="15" s="1"/>
  <c r="C207" i="15"/>
  <c r="AM207" i="15" s="1"/>
  <c r="AN207" i="15" s="1"/>
  <c r="A1454" i="6"/>
  <c r="L212" i="15"/>
  <c r="I212" i="15" s="1"/>
  <c r="L214" i="15"/>
  <c r="I214" i="15" s="1"/>
  <c r="I1483" i="6"/>
  <c r="R218" i="15" s="1"/>
  <c r="K220" i="15"/>
  <c r="I1489" i="6"/>
  <c r="R221" i="15" s="1"/>
  <c r="C224" i="15"/>
  <c r="AM224" i="15" s="1"/>
  <c r="A1494" i="6"/>
  <c r="N225" i="15"/>
  <c r="C228" i="15"/>
  <c r="AM228" i="15" s="1"/>
  <c r="A1504" i="6"/>
  <c r="K235" i="15"/>
  <c r="AN235" i="15" s="1"/>
  <c r="N235" i="15"/>
  <c r="J235" i="15" s="1"/>
  <c r="K238" i="15"/>
  <c r="AN238" i="15" s="1"/>
  <c r="K239" i="15"/>
  <c r="AN239" i="15" s="1"/>
  <c r="L247" i="15"/>
  <c r="I247" i="15" s="1"/>
  <c r="C255" i="15"/>
  <c r="AM255" i="15" s="1"/>
  <c r="C267" i="15"/>
  <c r="AM267" i="15" s="1"/>
  <c r="A1638" i="6"/>
  <c r="L1464" i="6"/>
  <c r="AJ211" i="15" s="1"/>
  <c r="I1598" i="6"/>
  <c r="Q255" i="15" s="1"/>
  <c r="I178" i="6"/>
  <c r="S152" i="15" s="1"/>
  <c r="P152" i="15" s="1"/>
  <c r="W152" i="15" s="1"/>
  <c r="L178" i="6"/>
  <c r="K767" i="6"/>
  <c r="K774" i="6"/>
  <c r="L185" i="6"/>
  <c r="K777" i="6"/>
  <c r="L188" i="6"/>
  <c r="AJ159" i="15" s="1"/>
  <c r="M143" i="15"/>
  <c r="J143" i="15" s="1"/>
  <c r="I164" i="6"/>
  <c r="S143" i="15" s="1"/>
  <c r="P143" i="15" s="1"/>
  <c r="W143" i="15" s="1"/>
  <c r="M155" i="15"/>
  <c r="J155" i="15" s="1"/>
  <c r="I182" i="6"/>
  <c r="S155" i="15" s="1"/>
  <c r="P155" i="15" s="1"/>
  <c r="W155" i="15" s="1"/>
  <c r="K157" i="15"/>
  <c r="I157" i="15" s="1"/>
  <c r="L191" i="15"/>
  <c r="I191" i="15" s="1"/>
  <c r="N200" i="15"/>
  <c r="J200" i="15" s="1"/>
  <c r="M202" i="15"/>
  <c r="K204" i="15"/>
  <c r="I204" i="15" s="1"/>
  <c r="I1454" i="6"/>
  <c r="Q207" i="15" s="1"/>
  <c r="M206" i="15"/>
  <c r="C1456" i="6"/>
  <c r="A1455" i="6"/>
  <c r="K211" i="15"/>
  <c r="C213" i="15"/>
  <c r="AM213" i="15" s="1"/>
  <c r="AN213" i="15" s="1"/>
  <c r="A1470" i="6"/>
  <c r="L216" i="15"/>
  <c r="C218" i="15"/>
  <c r="AM218" i="15" s="1"/>
  <c r="AN218" i="15" s="1"/>
  <c r="A1482" i="6"/>
  <c r="I1488" i="6"/>
  <c r="Q221" i="15" s="1"/>
  <c r="L223" i="15"/>
  <c r="I223" i="15" s="1"/>
  <c r="A1495" i="6"/>
  <c r="K225" i="15"/>
  <c r="AN225" i="15" s="1"/>
  <c r="A1505" i="6"/>
  <c r="C1516" i="6"/>
  <c r="A1515" i="6"/>
  <c r="L234" i="15"/>
  <c r="I234" i="15" s="1"/>
  <c r="L236" i="15"/>
  <c r="I236" i="15" s="1"/>
  <c r="L237" i="15"/>
  <c r="BD1533" i="6"/>
  <c r="AH237" i="15" s="1"/>
  <c r="AD237" i="15" s="1"/>
  <c r="M242" i="15"/>
  <c r="C1572" i="6"/>
  <c r="A1571" i="6"/>
  <c r="M256" i="15"/>
  <c r="N256" i="15"/>
  <c r="L258" i="15"/>
  <c r="C1640" i="6"/>
  <c r="A1639" i="6"/>
  <c r="K276" i="15"/>
  <c r="AN276" i="15" s="1"/>
  <c r="I187" i="6"/>
  <c r="S158" i="15" s="1"/>
  <c r="P158" i="15" s="1"/>
  <c r="W158" i="15" s="1"/>
  <c r="K745" i="6"/>
  <c r="L156" i="6"/>
  <c r="AJ138" i="15" s="1"/>
  <c r="K143" i="15"/>
  <c r="I143" i="15" s="1"/>
  <c r="K147" i="15"/>
  <c r="I147" i="15" s="1"/>
  <c r="I170" i="6"/>
  <c r="Q147" i="15" s="1"/>
  <c r="O147" i="15" s="1"/>
  <c r="Z151" i="15"/>
  <c r="M137" i="15"/>
  <c r="J137" i="15" s="1"/>
  <c r="L182" i="15"/>
  <c r="BD1304" i="6"/>
  <c r="AH190" i="15" s="1"/>
  <c r="AD190" i="15" s="1"/>
  <c r="I1419" i="6"/>
  <c r="R196" i="15" s="1"/>
  <c r="I1437" i="6"/>
  <c r="T201" i="15" s="1"/>
  <c r="P201" i="15" s="1"/>
  <c r="W201" i="15" s="1"/>
  <c r="I1444" i="6"/>
  <c r="S203" i="15" s="1"/>
  <c r="N202" i="15"/>
  <c r="C1444" i="6"/>
  <c r="A1443" i="6"/>
  <c r="I1470" i="6"/>
  <c r="Q213" i="15" s="1"/>
  <c r="M212" i="15"/>
  <c r="C1472" i="6"/>
  <c r="A1471" i="6"/>
  <c r="C215" i="15"/>
  <c r="AM215" i="15" s="1"/>
  <c r="A1476" i="6"/>
  <c r="K216" i="15"/>
  <c r="AN216" i="15" s="1"/>
  <c r="A1483" i="6"/>
  <c r="K226" i="15"/>
  <c r="I226" i="15" s="1"/>
  <c r="I1505" i="6"/>
  <c r="R228" i="15" s="1"/>
  <c r="L230" i="15"/>
  <c r="M230" i="15"/>
  <c r="J230" i="15" s="1"/>
  <c r="K237" i="15"/>
  <c r="AN237" i="15" s="1"/>
  <c r="M237" i="15"/>
  <c r="L251" i="15"/>
  <c r="I251" i="15" s="1"/>
  <c r="L252" i="15"/>
  <c r="A1591" i="6"/>
  <c r="C1592" i="6"/>
  <c r="M254" i="15"/>
  <c r="K258" i="15"/>
  <c r="AN258" i="15" s="1"/>
  <c r="M260" i="15"/>
  <c r="C265" i="15"/>
  <c r="AM265" i="15" s="1"/>
  <c r="A1632" i="6"/>
  <c r="K266" i="15"/>
  <c r="I266" i="15" s="1"/>
  <c r="C269" i="15"/>
  <c r="AM269" i="15" s="1"/>
  <c r="A1644" i="6"/>
  <c r="K270" i="15"/>
  <c r="AN270" i="15" s="1"/>
  <c r="AJ212" i="15"/>
  <c r="L1470" i="6"/>
  <c r="AJ213" i="15" s="1"/>
  <c r="K139" i="15"/>
  <c r="I139" i="15" s="1"/>
  <c r="I157" i="6"/>
  <c r="Q139" i="15" s="1"/>
  <c r="O139" i="15" s="1"/>
  <c r="BC169" i="6"/>
  <c r="BD169" i="6" s="1"/>
  <c r="Y146" i="15"/>
  <c r="Z146" i="15" s="1"/>
  <c r="M151" i="15"/>
  <c r="J151" i="15" s="1"/>
  <c r="I181" i="6"/>
  <c r="Q155" i="15" s="1"/>
  <c r="O155" i="15" s="1"/>
  <c r="N239" i="15"/>
  <c r="J239" i="15" s="1"/>
  <c r="L240" i="15"/>
  <c r="N241" i="15"/>
  <c r="J241" i="15" s="1"/>
  <c r="I1553" i="6"/>
  <c r="T243" i="15" s="1"/>
  <c r="M244" i="15"/>
  <c r="N244" i="15"/>
  <c r="M246" i="15"/>
  <c r="I1570" i="6"/>
  <c r="Q248" i="15" s="1"/>
  <c r="M247" i="15"/>
  <c r="C248" i="15"/>
  <c r="AM248" i="15" s="1"/>
  <c r="K249" i="15"/>
  <c r="AN249" i="15" s="1"/>
  <c r="L249" i="15"/>
  <c r="I1581" i="6"/>
  <c r="T250" i="15" s="1"/>
  <c r="C250" i="15"/>
  <c r="AM250" i="15" s="1"/>
  <c r="A1578" i="6"/>
  <c r="M251" i="15"/>
  <c r="N251" i="15"/>
  <c r="N252" i="15"/>
  <c r="J252" i="15" s="1"/>
  <c r="C253" i="15"/>
  <c r="AM253" i="15" s="1"/>
  <c r="A1590" i="6"/>
  <c r="I1600" i="6"/>
  <c r="S255" i="15" s="1"/>
  <c r="P255" i="15" s="1"/>
  <c r="W255" i="15" s="1"/>
  <c r="C1600" i="6"/>
  <c r="A1599" i="6"/>
  <c r="K256" i="15"/>
  <c r="L256" i="15"/>
  <c r="K257" i="15"/>
  <c r="L257" i="15"/>
  <c r="N258" i="15"/>
  <c r="J258" i="15" s="1"/>
  <c r="C259" i="15"/>
  <c r="AM259" i="15" s="1"/>
  <c r="AN259" i="15" s="1"/>
  <c r="A1612" i="6"/>
  <c r="L260" i="15"/>
  <c r="N260" i="15"/>
  <c r="K262" i="15"/>
  <c r="L262" i="15"/>
  <c r="K264" i="15"/>
  <c r="AN264" i="15" s="1"/>
  <c r="L264" i="15"/>
  <c r="A1633" i="6"/>
  <c r="N266" i="15"/>
  <c r="J266" i="15" s="1"/>
  <c r="K268" i="15"/>
  <c r="AN268" i="15" s="1"/>
  <c r="A1645" i="6"/>
  <c r="L274" i="15"/>
  <c r="C275" i="15"/>
  <c r="AM275" i="15" s="1"/>
  <c r="AN275" i="15" s="1"/>
  <c r="A1656" i="6"/>
  <c r="C277" i="15"/>
  <c r="AM277" i="15" s="1"/>
  <c r="A1660" i="6"/>
  <c r="BD164" i="6"/>
  <c r="AG143" i="15" s="1"/>
  <c r="AD143" i="15" s="1"/>
  <c r="BD182" i="6"/>
  <c r="AG155" i="15" s="1"/>
  <c r="AD155" i="15" s="1"/>
  <c r="BD170" i="6"/>
  <c r="AE147" i="15" s="1"/>
  <c r="AC147" i="15" s="1"/>
  <c r="BD187" i="6"/>
  <c r="AG158" i="15" s="1"/>
  <c r="AD158" i="15" s="1"/>
  <c r="K158" i="15"/>
  <c r="I158" i="15" s="1"/>
  <c r="K137" i="15"/>
  <c r="I137" i="15" s="1"/>
  <c r="I161" i="6"/>
  <c r="Q141" i="15" s="1"/>
  <c r="M149" i="15"/>
  <c r="J149" i="15" s="1"/>
  <c r="I175" i="6"/>
  <c r="Q151" i="15" s="1"/>
  <c r="O151" i="15" s="1"/>
  <c r="BD184" i="6"/>
  <c r="AE157" i="15" s="1"/>
  <c r="AC157" i="15" s="1"/>
  <c r="K159" i="15"/>
  <c r="I159" i="15" s="1"/>
  <c r="I1561" i="6"/>
  <c r="T245" i="15" s="1"/>
  <c r="P245" i="15" s="1"/>
  <c r="W245" i="15" s="1"/>
  <c r="C1560" i="6"/>
  <c r="A1559" i="6"/>
  <c r="N246" i="15"/>
  <c r="I1572" i="6"/>
  <c r="S248" i="15" s="1"/>
  <c r="P248" i="15" s="1"/>
  <c r="W248" i="15" s="1"/>
  <c r="N247" i="15"/>
  <c r="M249" i="15"/>
  <c r="J249" i="15" s="1"/>
  <c r="N254" i="15"/>
  <c r="J254" i="15" s="1"/>
  <c r="I1614" i="6"/>
  <c r="S259" i="15" s="1"/>
  <c r="C1614" i="6"/>
  <c r="A1613" i="6"/>
  <c r="K260" i="15"/>
  <c r="AN260" i="15" s="1"/>
  <c r="C261" i="15"/>
  <c r="AM261" i="15" s="1"/>
  <c r="A1620" i="6"/>
  <c r="M262" i="15"/>
  <c r="N262" i="15"/>
  <c r="I1640" i="6"/>
  <c r="S267" i="15" s="1"/>
  <c r="P267" i="15" s="1"/>
  <c r="W267" i="15" s="1"/>
  <c r="L268" i="15"/>
  <c r="I1649" i="6"/>
  <c r="R271" i="15" s="1"/>
  <c r="C271" i="15"/>
  <c r="AM271" i="15" s="1"/>
  <c r="A1648" i="6"/>
  <c r="L272" i="15"/>
  <c r="K274" i="15"/>
  <c r="AN274" i="15" s="1"/>
  <c r="L276" i="15"/>
  <c r="A1661" i="6"/>
  <c r="N197" i="15"/>
  <c r="BD160" i="6"/>
  <c r="AG140" i="15" s="1"/>
  <c r="AD140" i="15" s="1"/>
  <c r="BD167" i="6"/>
  <c r="AG145" i="15" s="1"/>
  <c r="AD145" i="15" s="1"/>
  <c r="K140" i="15"/>
  <c r="I140" i="15" s="1"/>
  <c r="BD161" i="6"/>
  <c r="AE141" i="15" s="1"/>
  <c r="AC141" i="15" s="1"/>
  <c r="I173" i="6"/>
  <c r="S149" i="15" s="1"/>
  <c r="P149" i="15" s="1"/>
  <c r="W149" i="15" s="1"/>
  <c r="K150" i="15"/>
  <c r="I150" i="15" s="1"/>
  <c r="I514" i="15"/>
  <c r="AN514" i="15" s="1"/>
  <c r="J490" i="15"/>
  <c r="BD245" i="9"/>
  <c r="AE497" i="15" s="1"/>
  <c r="AC497" i="15" s="1"/>
  <c r="BD7" i="9"/>
  <c r="AE470" i="15" s="1"/>
  <c r="AC470" i="15" s="1"/>
  <c r="K477" i="15"/>
  <c r="I477" i="15" s="1"/>
  <c r="AN477" i="15" s="1"/>
  <c r="F13" i="9"/>
  <c r="I13" i="9" s="1"/>
  <c r="Q476" i="15" s="1"/>
  <c r="J328" i="9"/>
  <c r="O507" i="15" s="1"/>
  <c r="V507" i="15" s="1"/>
  <c r="I515" i="15"/>
  <c r="AN515" i="15" s="1"/>
  <c r="I9" i="9"/>
  <c r="Q472" i="15" s="1"/>
  <c r="O472" i="15" s="1"/>
  <c r="U472" i="15" s="1"/>
  <c r="F10" i="9"/>
  <c r="BD10" i="9" s="1"/>
  <c r="AE473" i="15" s="1"/>
  <c r="AC473" i="15" s="1"/>
  <c r="I512" i="15"/>
  <c r="AN512" i="15" s="1"/>
  <c r="I513" i="15"/>
  <c r="AN513" i="15" s="1"/>
  <c r="BD239" i="9"/>
  <c r="BB239" i="9" s="1"/>
  <c r="AA491" i="15" s="1"/>
  <c r="I525" i="15"/>
  <c r="AN525" i="15" s="1"/>
  <c r="BB363" i="9"/>
  <c r="AA508" i="15" s="1"/>
  <c r="F12" i="9"/>
  <c r="I509" i="15"/>
  <c r="AN509" i="15" s="1"/>
  <c r="AO509" i="15" s="1"/>
  <c r="I436" i="9"/>
  <c r="O514" i="15" s="1"/>
  <c r="V514" i="15" s="1"/>
  <c r="BC465" i="9"/>
  <c r="BC469" i="9"/>
  <c r="J526" i="15"/>
  <c r="BC257" i="5"/>
  <c r="M208" i="2"/>
  <c r="F194" i="2" s="1"/>
  <c r="V399" i="2"/>
  <c r="AB201" i="15"/>
  <c r="BE1434" i="6"/>
  <c r="X105" i="15"/>
  <c r="Z105" i="15" s="1"/>
  <c r="X110" i="15"/>
  <c r="Z110" i="15" s="1"/>
  <c r="X3119" i="6"/>
  <c r="AB196" i="15"/>
  <c r="Q206" i="6"/>
  <c r="X3115" i="6"/>
  <c r="X107" i="15"/>
  <c r="Z107" i="15" s="1"/>
  <c r="E166" i="16"/>
  <c r="E237" i="16"/>
  <c r="I50" i="15"/>
  <c r="AN50" i="15" s="1"/>
  <c r="I217" i="16"/>
  <c r="O57" i="15" s="1"/>
  <c r="BD209" i="16"/>
  <c r="AE49" i="15" s="1"/>
  <c r="AC49" i="15" s="1"/>
  <c r="I215" i="16"/>
  <c r="O55" i="15" s="1"/>
  <c r="V55" i="15" s="1"/>
  <c r="BD212" i="16"/>
  <c r="AE52" i="15" s="1"/>
  <c r="AC52" i="15" s="1"/>
  <c r="BE213" i="16"/>
  <c r="BB213" i="16" s="1"/>
  <c r="AA53" i="15" s="1"/>
  <c r="I210" i="16"/>
  <c r="O50" i="15" s="1"/>
  <c r="V50" i="15" s="1"/>
  <c r="I209" i="16"/>
  <c r="O49" i="15" s="1"/>
  <c r="V49" i="15" s="1"/>
  <c r="I67" i="16"/>
  <c r="Q39" i="15" s="1"/>
  <c r="O39" i="15" s="1"/>
  <c r="I507" i="15"/>
  <c r="AN507" i="15" s="1"/>
  <c r="BE328" i="9"/>
  <c r="BB328" i="9" s="1"/>
  <c r="AA507" i="15" s="1"/>
  <c r="I491" i="15"/>
  <c r="AN491" i="15" s="1"/>
  <c r="M246" i="9"/>
  <c r="O498" i="15" s="1"/>
  <c r="W498" i="15" s="1"/>
  <c r="BD244" i="9"/>
  <c r="AE496" i="15" s="1"/>
  <c r="AC496" i="15" s="1"/>
  <c r="X487" i="15"/>
  <c r="Z487" i="15" s="1"/>
  <c r="X475" i="15"/>
  <c r="Z475" i="15" s="1"/>
  <c r="M254" i="9"/>
  <c r="O506" i="15" s="1"/>
  <c r="BC470" i="9"/>
  <c r="BD470" i="9" s="1"/>
  <c r="E558" i="9"/>
  <c r="E232" i="9"/>
  <c r="BD243" i="9"/>
  <c r="AE495" i="15" s="1"/>
  <c r="AC495" i="15" s="1"/>
  <c r="M239" i="9"/>
  <c r="O491" i="15" s="1"/>
  <c r="W491" i="15" s="1"/>
  <c r="I495" i="15"/>
  <c r="AN495" i="15" s="1"/>
  <c r="M240" i="9"/>
  <c r="O492" i="15" s="1"/>
  <c r="W492" i="15" s="1"/>
  <c r="M243" i="9"/>
  <c r="O495" i="15" s="1"/>
  <c r="W495" i="15" s="1"/>
  <c r="I492" i="15"/>
  <c r="AN492" i="15" s="1"/>
  <c r="BB436" i="9"/>
  <c r="AA514" i="15" s="1"/>
  <c r="AB480" i="15"/>
  <c r="I43" i="9"/>
  <c r="F43" i="9" s="1"/>
  <c r="BD43" i="9" s="1"/>
  <c r="X485" i="15"/>
  <c r="Z485" i="15" s="1"/>
  <c r="X477" i="15"/>
  <c r="Z477" i="15" s="1"/>
  <c r="AB482" i="15"/>
  <c r="I493" i="15"/>
  <c r="AN493" i="15" s="1"/>
  <c r="BB254" i="9"/>
  <c r="AA506" i="15" s="1"/>
  <c r="AE525" i="15"/>
  <c r="AC525" i="15" s="1"/>
  <c r="BB435" i="9"/>
  <c r="AA513" i="15" s="1"/>
  <c r="AE508" i="15"/>
  <c r="AC508" i="15" s="1"/>
  <c r="M245" i="9"/>
  <c r="O497" i="15" s="1"/>
  <c r="W497" i="15" s="1"/>
  <c r="I497" i="15"/>
  <c r="AN497" i="15" s="1"/>
  <c r="AE490" i="15"/>
  <c r="AC490" i="15" s="1"/>
  <c r="C518" i="15"/>
  <c r="AM518" i="15" s="1"/>
  <c r="BB11" i="9"/>
  <c r="AA474" i="15" s="1"/>
  <c r="I504" i="15"/>
  <c r="AN504" i="15" s="1"/>
  <c r="AO504" i="15" s="1"/>
  <c r="AE507" i="15"/>
  <c r="AC507" i="15" s="1"/>
  <c r="AE509" i="15"/>
  <c r="AC509" i="15" s="1"/>
  <c r="I40" i="9"/>
  <c r="F40" i="9" s="1"/>
  <c r="W504" i="15"/>
  <c r="BD241" i="9"/>
  <c r="M251" i="9"/>
  <c r="O503" i="15" s="1"/>
  <c r="W503" i="15" s="1"/>
  <c r="I496" i="15"/>
  <c r="AN496" i="15" s="1"/>
  <c r="AO496" i="15" s="1"/>
  <c r="M241" i="9"/>
  <c r="O493" i="15" s="1"/>
  <c r="W493" i="15" s="1"/>
  <c r="BD240" i="9"/>
  <c r="AE504" i="15"/>
  <c r="AC504" i="15" s="1"/>
  <c r="I41" i="9"/>
  <c r="F41" i="9" s="1"/>
  <c r="I479" i="15" s="1"/>
  <c r="AN479" i="15" s="1"/>
  <c r="AB485" i="15"/>
  <c r="I42" i="9"/>
  <c r="F42" i="9" s="1"/>
  <c r="I480" i="15" s="1"/>
  <c r="AN480" i="15" s="1"/>
  <c r="F48" i="9"/>
  <c r="BD48" i="9" s="1"/>
  <c r="BB48" i="9" s="1"/>
  <c r="AA486" i="15" s="1"/>
  <c r="AB479" i="15"/>
  <c r="I47" i="9"/>
  <c r="F47" i="9" s="1"/>
  <c r="I49" i="9"/>
  <c r="F49" i="9" s="1"/>
  <c r="I44" i="9"/>
  <c r="F44" i="9" s="1"/>
  <c r="I482" i="15" s="1"/>
  <c r="AN482" i="15" s="1"/>
  <c r="I45" i="9"/>
  <c r="F45" i="9" s="1"/>
  <c r="AB487" i="15"/>
  <c r="I46" i="9"/>
  <c r="F46" i="9" s="1"/>
  <c r="E1209" i="7"/>
  <c r="BB1305" i="7"/>
  <c r="AA444" i="15" s="1"/>
  <c r="I406" i="15"/>
  <c r="AN406" i="15" s="1"/>
  <c r="F56" i="7"/>
  <c r="I294" i="15" s="1"/>
  <c r="AN294" i="15" s="1"/>
  <c r="BD1094" i="7"/>
  <c r="AE398" i="15" s="1"/>
  <c r="AC398" i="15" s="1"/>
  <c r="BD1099" i="7"/>
  <c r="AE403" i="15" s="1"/>
  <c r="AC403" i="15" s="1"/>
  <c r="BC17" i="7"/>
  <c r="BD17" i="7" s="1"/>
  <c r="BD590" i="7"/>
  <c r="AE346" i="15" s="1"/>
  <c r="AC346" i="15" s="1"/>
  <c r="X283" i="15"/>
  <c r="Z283" i="15" s="1"/>
  <c r="X295" i="15"/>
  <c r="Z295" i="15" s="1"/>
  <c r="BD592" i="7"/>
  <c r="AE347" i="15" s="1"/>
  <c r="AC347" i="15" s="1"/>
  <c r="E1197" i="7"/>
  <c r="M1095" i="7"/>
  <c r="O399" i="15" s="1"/>
  <c r="W399" i="15" s="1"/>
  <c r="E1192" i="7"/>
  <c r="BC141" i="7"/>
  <c r="X312" i="15"/>
  <c r="Z312" i="15" s="1"/>
  <c r="AB295" i="15"/>
  <c r="BC135" i="7"/>
  <c r="AB301" i="15"/>
  <c r="BE440" i="7"/>
  <c r="BB1300" i="7"/>
  <c r="AA439" i="15" s="1"/>
  <c r="M590" i="7"/>
  <c r="O346" i="15" s="1"/>
  <c r="W346" i="15" s="1"/>
  <c r="E1171" i="7"/>
  <c r="AB304" i="15"/>
  <c r="E1166" i="7"/>
  <c r="BD598" i="7"/>
  <c r="AE351" i="15" s="1"/>
  <c r="AC351" i="15" s="1"/>
  <c r="AE437" i="15"/>
  <c r="AC437" i="15" s="1"/>
  <c r="I399" i="15"/>
  <c r="AN399" i="15" s="1"/>
  <c r="BC8" i="7"/>
  <c r="BD8" i="7" s="1"/>
  <c r="AE279" i="15" s="1"/>
  <c r="AC279" i="15" s="1"/>
  <c r="BC56" i="7"/>
  <c r="BC119" i="7"/>
  <c r="X281" i="15"/>
  <c r="Z281" i="15" s="1"/>
  <c r="BD439" i="7"/>
  <c r="AE328" i="15" s="1"/>
  <c r="AC328" i="15" s="1"/>
  <c r="M598" i="7"/>
  <c r="O351" i="15" s="1"/>
  <c r="W351" i="15" s="1"/>
  <c r="X307" i="15"/>
  <c r="Z307" i="15" s="1"/>
  <c r="X320" i="15"/>
  <c r="Z320" i="15" s="1"/>
  <c r="AB308" i="15"/>
  <c r="AB350" i="15"/>
  <c r="M592" i="7"/>
  <c r="O347" i="15" s="1"/>
  <c r="W347" i="15" s="1"/>
  <c r="X315" i="15"/>
  <c r="Z315" i="15" s="1"/>
  <c r="BC890" i="7"/>
  <c r="BD890" i="7" s="1"/>
  <c r="AE384" i="15" s="1"/>
  <c r="X388" i="15"/>
  <c r="Z388" i="15" s="1"/>
  <c r="X328" i="15"/>
  <c r="Z328" i="15" s="1"/>
  <c r="AB291" i="15"/>
  <c r="BB1317" i="7"/>
  <c r="AA456" i="15" s="1"/>
  <c r="X304" i="15"/>
  <c r="Z304" i="15" s="1"/>
  <c r="X391" i="15"/>
  <c r="Z391" i="15" s="1"/>
  <c r="X357" i="15"/>
  <c r="Z357" i="15" s="1"/>
  <c r="AE438" i="15"/>
  <c r="AC438" i="15" s="1"/>
  <c r="X326" i="15"/>
  <c r="Z326" i="15" s="1"/>
  <c r="BE136" i="7"/>
  <c r="X290" i="15"/>
  <c r="Z290" i="15" s="1"/>
  <c r="F125" i="7"/>
  <c r="K125" i="7" s="1"/>
  <c r="O307" i="15" s="1"/>
  <c r="W307" i="15" s="1"/>
  <c r="F133" i="7"/>
  <c r="K133" i="7" s="1"/>
  <c r="O315" i="15" s="1"/>
  <c r="W315" i="15" s="1"/>
  <c r="X309" i="15"/>
  <c r="Z309" i="15" s="1"/>
  <c r="X385" i="15"/>
  <c r="Z385" i="15" s="1"/>
  <c r="X390" i="15"/>
  <c r="Z390" i="15" s="1"/>
  <c r="AB313" i="15"/>
  <c r="BE439" i="7"/>
  <c r="BC55" i="7"/>
  <c r="F144" i="7"/>
  <c r="K144" i="7" s="1"/>
  <c r="O326" i="15" s="1"/>
  <c r="W326" i="15" s="1"/>
  <c r="X314" i="15"/>
  <c r="Z314" i="15" s="1"/>
  <c r="BE134" i="7"/>
  <c r="F140" i="7"/>
  <c r="BD140" i="7" s="1"/>
  <c r="AE322" i="15" s="1"/>
  <c r="AC322" i="15" s="1"/>
  <c r="BE138" i="7"/>
  <c r="X325" i="15"/>
  <c r="Z325" i="15" s="1"/>
  <c r="M600" i="7"/>
  <c r="P352" i="15" s="1"/>
  <c r="F136" i="7"/>
  <c r="K136" i="7" s="1"/>
  <c r="O318" i="15" s="1"/>
  <c r="W318" i="15" s="1"/>
  <c r="X311" i="15"/>
  <c r="Z311" i="15" s="1"/>
  <c r="BC134" i="7"/>
  <c r="BC685" i="7"/>
  <c r="BD685" i="7" s="1"/>
  <c r="AE362" i="15" s="1"/>
  <c r="BD595" i="7"/>
  <c r="BB595" i="7" s="1"/>
  <c r="AA349" i="15" s="1"/>
  <c r="M597" i="7"/>
  <c r="P350" i="15" s="1"/>
  <c r="X330" i="15"/>
  <c r="Z330" i="15" s="1"/>
  <c r="X286" i="15"/>
  <c r="Z286" i="15" s="1"/>
  <c r="F141" i="7"/>
  <c r="F119" i="7"/>
  <c r="K119" i="7" s="1"/>
  <c r="O301" i="15" s="1"/>
  <c r="X355" i="15"/>
  <c r="Z355" i="15" s="1"/>
  <c r="BC594" i="7"/>
  <c r="X319" i="15"/>
  <c r="Z319" i="15" s="1"/>
  <c r="BC124" i="7"/>
  <c r="X284" i="15"/>
  <c r="Z284" i="15" s="1"/>
  <c r="BD1102" i="7"/>
  <c r="X322" i="15"/>
  <c r="Z322" i="15" s="1"/>
  <c r="X349" i="15"/>
  <c r="Z349" i="15" s="1"/>
  <c r="AN440" i="15"/>
  <c r="AB349" i="15"/>
  <c r="I16" i="7"/>
  <c r="Q287" i="15" s="1"/>
  <c r="O287" i="15" s="1"/>
  <c r="F121" i="7"/>
  <c r="K121" i="7" s="1"/>
  <c r="O303" i="15" s="1"/>
  <c r="W303" i="15" s="1"/>
  <c r="BB894" i="7"/>
  <c r="AA386" i="15" s="1"/>
  <c r="AB315" i="15"/>
  <c r="F135" i="7"/>
  <c r="K135" i="7" s="1"/>
  <c r="O317" i="15" s="1"/>
  <c r="W317" i="15" s="1"/>
  <c r="F137" i="7"/>
  <c r="K137" i="7" s="1"/>
  <c r="O319" i="15" s="1"/>
  <c r="W319" i="15" s="1"/>
  <c r="D350" i="15"/>
  <c r="AB305" i="15"/>
  <c r="F131" i="7"/>
  <c r="BD131" i="7" s="1"/>
  <c r="BB131" i="7" s="1"/>
  <c r="AA313" i="15" s="1"/>
  <c r="AN361" i="15"/>
  <c r="BB1302" i="7"/>
  <c r="AA441" i="15" s="1"/>
  <c r="F126" i="7"/>
  <c r="K126" i="7" s="1"/>
  <c r="O308" i="15" s="1"/>
  <c r="F138" i="7"/>
  <c r="BD138" i="7" s="1"/>
  <c r="F124" i="7"/>
  <c r="K124" i="7" s="1"/>
  <c r="O306" i="15" s="1"/>
  <c r="W306" i="15" s="1"/>
  <c r="BE128" i="7"/>
  <c r="AB310" i="15"/>
  <c r="AB319" i="15"/>
  <c r="BE137" i="7"/>
  <c r="I428" i="15"/>
  <c r="AN428" i="15" s="1"/>
  <c r="O428" i="15"/>
  <c r="V428" i="15" s="1"/>
  <c r="K278" i="15"/>
  <c r="I278" i="15" s="1"/>
  <c r="AN278" i="15" s="1"/>
  <c r="BD7" i="7"/>
  <c r="I7" i="7"/>
  <c r="Q278" i="15" s="1"/>
  <c r="O278" i="15" s="1"/>
  <c r="BE118" i="7"/>
  <c r="AB300" i="15"/>
  <c r="BE143" i="7"/>
  <c r="AB325" i="15"/>
  <c r="AB311" i="15"/>
  <c r="BE129" i="7"/>
  <c r="BE139" i="7"/>
  <c r="AB321" i="15"/>
  <c r="BE144" i="7"/>
  <c r="AB326" i="15"/>
  <c r="BE140" i="7"/>
  <c r="AB322" i="15"/>
  <c r="AB312" i="15"/>
  <c r="BE130" i="7"/>
  <c r="K282" i="15"/>
  <c r="I282" i="15" s="1"/>
  <c r="AN282" i="15" s="1"/>
  <c r="I11" i="7"/>
  <c r="Q282" i="15" s="1"/>
  <c r="O282" i="15" s="1"/>
  <c r="BE116" i="7"/>
  <c r="AB298" i="15"/>
  <c r="BE121" i="7"/>
  <c r="AB303" i="15"/>
  <c r="BE141" i="7"/>
  <c r="AB323" i="15"/>
  <c r="BE590" i="7"/>
  <c r="AB346" i="15"/>
  <c r="BE117" i="7"/>
  <c r="AB299" i="15"/>
  <c r="BE127" i="7"/>
  <c r="AB309" i="15"/>
  <c r="AB314" i="15"/>
  <c r="BE132" i="7"/>
  <c r="BE142" i="7"/>
  <c r="AB324" i="15"/>
  <c r="BE511" i="7"/>
  <c r="AB338" i="15"/>
  <c r="BD11" i="7"/>
  <c r="AE282" i="15" s="1"/>
  <c r="AC282" i="15" s="1"/>
  <c r="K287" i="15"/>
  <c r="I287" i="15" s="1"/>
  <c r="AN287" i="15" s="1"/>
  <c r="W323" i="7"/>
  <c r="F116" i="7"/>
  <c r="K116" i="7" s="1"/>
  <c r="O298" i="15" s="1"/>
  <c r="W298" i="15" s="1"/>
  <c r="F128" i="7"/>
  <c r="K128" i="7" s="1"/>
  <c r="O310" i="15" s="1"/>
  <c r="W310" i="15" s="1"/>
  <c r="F142" i="7"/>
  <c r="F55" i="7"/>
  <c r="F130" i="7"/>
  <c r="I312" i="15" s="1"/>
  <c r="AN312" i="15" s="1"/>
  <c r="AB279" i="15"/>
  <c r="X345" i="15"/>
  <c r="Z345" i="15" s="1"/>
  <c r="I443" i="7"/>
  <c r="F443" i="7" s="1"/>
  <c r="F444" i="7"/>
  <c r="I333" i="15" s="1"/>
  <c r="F139" i="7"/>
  <c r="BD139" i="7" s="1"/>
  <c r="F145" i="7"/>
  <c r="K145" i="7" s="1"/>
  <c r="O327" i="15" s="1"/>
  <c r="W327" i="15" s="1"/>
  <c r="AE436" i="15"/>
  <c r="AC436" i="15" s="1"/>
  <c r="BD901" i="7"/>
  <c r="BB900" i="7" s="1"/>
  <c r="AA389" i="15" s="1"/>
  <c r="AF358" i="15"/>
  <c r="E109" i="7"/>
  <c r="E98" i="7"/>
  <c r="AF388" i="15"/>
  <c r="X303" i="15"/>
  <c r="Z303" i="15" s="1"/>
  <c r="X300" i="15"/>
  <c r="Z300" i="15" s="1"/>
  <c r="BC442" i="7"/>
  <c r="F1104" i="7"/>
  <c r="M1104" i="7" s="1"/>
  <c r="O408" i="15" s="1"/>
  <c r="W408" i="15" s="1"/>
  <c r="F1105" i="7"/>
  <c r="F1106" i="7"/>
  <c r="F1112" i="7"/>
  <c r="F1113" i="7"/>
  <c r="BD1113" i="7" s="1"/>
  <c r="BB1100" i="7"/>
  <c r="AA404" i="15" s="1"/>
  <c r="BD1103" i="7"/>
  <c r="BB1103" i="7" s="1"/>
  <c r="AA407" i="15" s="1"/>
  <c r="F1109" i="7"/>
  <c r="M1114" i="7"/>
  <c r="O418" i="15" s="1"/>
  <c r="W418" i="15" s="1"/>
  <c r="I404" i="15"/>
  <c r="AN404" i="15" s="1"/>
  <c r="AB344" i="15"/>
  <c r="F59" i="7"/>
  <c r="I297" i="15" s="1"/>
  <c r="AN297" i="15" s="1"/>
  <c r="AB294" i="15"/>
  <c r="E108" i="7"/>
  <c r="Q204" i="6"/>
  <c r="I108" i="6"/>
  <c r="J730" i="6"/>
  <c r="K141" i="6" s="1"/>
  <c r="J716" i="6"/>
  <c r="K127" i="6" s="1"/>
  <c r="Y108" i="6"/>
  <c r="Y659" i="7"/>
  <c r="BC15" i="6"/>
  <c r="O7" i="6"/>
  <c r="BE7" i="6" s="1"/>
  <c r="J725" i="6"/>
  <c r="K136" i="6" s="1"/>
  <c r="Q205" i="6"/>
  <c r="X734" i="6" s="1"/>
  <c r="X104" i="6"/>
  <c r="I104" i="6"/>
  <c r="O13" i="6"/>
  <c r="X716" i="6"/>
  <c r="I102" i="6"/>
  <c r="X102" i="6"/>
  <c r="J739" i="6"/>
  <c r="K150" i="6" s="1"/>
  <c r="BE150" i="6" s="1"/>
  <c r="J721" i="6"/>
  <c r="K132" i="6" s="1"/>
  <c r="Y102" i="6"/>
  <c r="J712" i="6"/>
  <c r="K123" i="6" s="1"/>
  <c r="BE123" i="6" s="1"/>
  <c r="BB123" i="6" s="1"/>
  <c r="AA116" i="15" s="1"/>
  <c r="Y104" i="6"/>
  <c r="J719" i="6"/>
  <c r="K130" i="6" s="1"/>
  <c r="BE130" i="6" s="1"/>
  <c r="J728" i="6"/>
  <c r="K139" i="6" s="1"/>
  <c r="BE139" i="6" s="1"/>
  <c r="J734" i="6"/>
  <c r="K145" i="6" s="1"/>
  <c r="AB131" i="15" s="1"/>
  <c r="J737" i="6"/>
  <c r="K148" i="6" s="1"/>
  <c r="W104" i="6"/>
  <c r="W102" i="6"/>
  <c r="J710" i="6"/>
  <c r="K121" i="6" s="1"/>
  <c r="BE121" i="6" s="1"/>
  <c r="X110" i="6"/>
  <c r="Q202" i="6"/>
  <c r="W108" i="6"/>
  <c r="J707" i="6"/>
  <c r="K118" i="6" s="1"/>
  <c r="AB113" i="15" s="1"/>
  <c r="X108" i="6"/>
  <c r="I42" i="6"/>
  <c r="I8" i="6"/>
  <c r="Y110" i="6"/>
  <c r="J8" i="6"/>
  <c r="O8" i="6"/>
  <c r="O14" i="6"/>
  <c r="BE14" i="6" s="1"/>
  <c r="O132" i="15"/>
  <c r="W132" i="15"/>
  <c r="AE132" i="15"/>
  <c r="AC132" i="15" s="1"/>
  <c r="I158" i="6"/>
  <c r="S139" i="15" s="1"/>
  <c r="P139" i="15" s="1"/>
  <c r="W139" i="15" s="1"/>
  <c r="D111" i="15"/>
  <c r="D112" i="15"/>
  <c r="A18" i="6"/>
  <c r="AC262" i="15"/>
  <c r="AD189" i="15"/>
  <c r="I1571" i="6"/>
  <c r="R248" i="15" s="1"/>
  <c r="I168" i="6"/>
  <c r="Q146" i="15" s="1"/>
  <c r="O146" i="15" s="1"/>
  <c r="AE190" i="15"/>
  <c r="AC190" i="15" s="1"/>
  <c r="O189" i="15"/>
  <c r="I1520" i="6"/>
  <c r="Q233" i="15" s="1"/>
  <c r="O245" i="15"/>
  <c r="D107" i="15"/>
  <c r="D108" i="15"/>
  <c r="A12" i="6"/>
  <c r="Z189" i="15"/>
  <c r="I177" i="6"/>
  <c r="Q152" i="15" s="1"/>
  <c r="O152" i="15" s="1"/>
  <c r="BE1406" i="6"/>
  <c r="AB192" i="15"/>
  <c r="I57" i="6"/>
  <c r="BE1410" i="6"/>
  <c r="E230" i="9"/>
  <c r="E527" i="9"/>
  <c r="X3107" i="6"/>
  <c r="X3085" i="6"/>
  <c r="BC41" i="9"/>
  <c r="K8" i="9"/>
  <c r="BD14" i="9"/>
  <c r="AE477" i="15" s="1"/>
  <c r="AC477" i="15" s="1"/>
  <c r="BD8" i="9"/>
  <c r="AE471" i="15" s="1"/>
  <c r="AC471" i="15" s="1"/>
  <c r="V558" i="9"/>
  <c r="BE7" i="9"/>
  <c r="I14" i="9"/>
  <c r="Q477" i="15" s="1"/>
  <c r="I35" i="10"/>
  <c r="O530" i="15" s="1"/>
  <c r="U530" i="15" s="1"/>
  <c r="I531" i="15"/>
  <c r="AN531" i="15" s="1"/>
  <c r="AO531" i="15" s="1"/>
  <c r="BC58" i="10"/>
  <c r="BD58" i="10" s="1"/>
  <c r="AE532" i="15" s="1"/>
  <c r="AC532" i="15" s="1"/>
  <c r="BB35" i="10"/>
  <c r="AA530" i="15" s="1"/>
  <c r="I8" i="10"/>
  <c r="O528" i="15" s="1"/>
  <c r="U528" i="15" s="1"/>
  <c r="BE58" i="10"/>
  <c r="I530" i="15"/>
  <c r="AN530" i="15" s="1"/>
  <c r="I532" i="15"/>
  <c r="AN532" i="15" s="1"/>
  <c r="AO532" i="15" s="1"/>
  <c r="I529" i="15"/>
  <c r="AN529" i="15" s="1"/>
  <c r="AO529" i="15" s="1"/>
  <c r="F255" i="5"/>
  <c r="I255" i="5" s="1"/>
  <c r="O90" i="15" s="1"/>
  <c r="V90" i="15" s="1"/>
  <c r="F257" i="5"/>
  <c r="I92" i="15" s="1"/>
  <c r="AN92" i="15" s="1"/>
  <c r="I298" i="5"/>
  <c r="O96" i="15" s="1"/>
  <c r="V96" i="15" s="1"/>
  <c r="I301" i="5"/>
  <c r="O99" i="15" s="1"/>
  <c r="V99" i="15" s="1"/>
  <c r="AA96" i="15"/>
  <c r="AB102" i="15"/>
  <c r="AA102" i="15"/>
  <c r="F207" i="5"/>
  <c r="J205" i="5"/>
  <c r="O87" i="15" s="1"/>
  <c r="V87" i="15" s="1"/>
  <c r="F206" i="5"/>
  <c r="F204" i="5"/>
  <c r="X88" i="15"/>
  <c r="Z88" i="15" s="1"/>
  <c r="G84" i="15"/>
  <c r="BC255" i="5"/>
  <c r="X82" i="15"/>
  <c r="Z82" i="15" s="1"/>
  <c r="AB88" i="15"/>
  <c r="X84" i="15"/>
  <c r="Z84" i="15" s="1"/>
  <c r="AB67" i="15"/>
  <c r="X80" i="15"/>
  <c r="Z80" i="15" s="1"/>
  <c r="AN66" i="15"/>
  <c r="BD48" i="5"/>
  <c r="BB48" i="5" s="1"/>
  <c r="AA69" i="15" s="1"/>
  <c r="X96" i="15"/>
  <c r="Z96" i="15" s="1"/>
  <c r="BE51" i="5"/>
  <c r="BD53" i="5"/>
  <c r="AE74" i="15" s="1"/>
  <c r="AC74" i="15" s="1"/>
  <c r="BD47" i="5"/>
  <c r="AE68" i="15" s="1"/>
  <c r="AC68" i="15" s="1"/>
  <c r="I51" i="5"/>
  <c r="O72" i="15" s="1"/>
  <c r="W72" i="15" s="1"/>
  <c r="AE100" i="15"/>
  <c r="AC100" i="15" s="1"/>
  <c r="I299" i="5"/>
  <c r="O97" i="15" s="1"/>
  <c r="V97" i="15" s="1"/>
  <c r="I302" i="5"/>
  <c r="O100" i="15" s="1"/>
  <c r="V100" i="15" s="1"/>
  <c r="I48" i="5"/>
  <c r="O69" i="15" s="1"/>
  <c r="W69" i="15" s="1"/>
  <c r="AB82" i="15"/>
  <c r="AE99" i="15"/>
  <c r="AC99" i="15" s="1"/>
  <c r="AB80" i="15"/>
  <c r="X69" i="15"/>
  <c r="Z69" i="15" s="1"/>
  <c r="AE97" i="15"/>
  <c r="AC97" i="15" s="1"/>
  <c r="I53" i="5"/>
  <c r="O74" i="15" s="1"/>
  <c r="W74" i="15" s="1"/>
  <c r="BE255" i="5"/>
  <c r="BC7" i="5"/>
  <c r="BD7" i="5" s="1"/>
  <c r="AE62" i="15" s="1"/>
  <c r="AC62" i="15" s="1"/>
  <c r="BD52" i="5"/>
  <c r="BB52" i="5" s="1"/>
  <c r="AA73" i="15" s="1"/>
  <c r="J152" i="5"/>
  <c r="O82" i="15" s="1"/>
  <c r="V82" i="15" s="1"/>
  <c r="AB84" i="15"/>
  <c r="BD46" i="5"/>
  <c r="AE67" i="15" s="1"/>
  <c r="AC67" i="15" s="1"/>
  <c r="AB94" i="15"/>
  <c r="X73" i="15"/>
  <c r="Z73" i="15" s="1"/>
  <c r="AB92" i="15"/>
  <c r="I296" i="5"/>
  <c r="O94" i="15" s="1"/>
  <c r="V94" i="15" s="1"/>
  <c r="I52" i="5"/>
  <c r="O73" i="15" s="1"/>
  <c r="W73" i="15" s="1"/>
  <c r="X67" i="15"/>
  <c r="Z67" i="15" s="1"/>
  <c r="I47" i="5"/>
  <c r="O68" i="15" s="1"/>
  <c r="W68" i="15" s="1"/>
  <c r="I84" i="15"/>
  <c r="AN84" i="15" s="1"/>
  <c r="BD154" i="5"/>
  <c r="I46" i="5"/>
  <c r="O67" i="15" s="1"/>
  <c r="W67" i="15" s="1"/>
  <c r="BD102" i="5"/>
  <c r="AE80" i="15" s="1"/>
  <c r="AC80" i="15" s="1"/>
  <c r="J154" i="5"/>
  <c r="O84" i="15" s="1"/>
  <c r="V84" i="15" s="1"/>
  <c r="AB86" i="15"/>
  <c r="BC51" i="5"/>
  <c r="BD51" i="5" s="1"/>
  <c r="AE72" i="15" s="1"/>
  <c r="AC72" i="15" s="1"/>
  <c r="K11" i="5"/>
  <c r="O66" i="15" s="1"/>
  <c r="V66" i="15" s="1"/>
  <c r="J102" i="5"/>
  <c r="O80" i="15" s="1"/>
  <c r="V80" i="15" s="1"/>
  <c r="AB74" i="15"/>
  <c r="BE47" i="5"/>
  <c r="BC296" i="5"/>
  <c r="BD296" i="5" s="1"/>
  <c r="BB296" i="5" s="1"/>
  <c r="AA94" i="15" s="1"/>
  <c r="BE10" i="5"/>
  <c r="BC10" i="5"/>
  <c r="AB96" i="15"/>
  <c r="X74" i="15"/>
  <c r="Z74" i="15" s="1"/>
  <c r="X68" i="15"/>
  <c r="Z68" i="15" s="1"/>
  <c r="BC204" i="5"/>
  <c r="AE102" i="15"/>
  <c r="AC102" i="15" s="1"/>
  <c r="AN69" i="15"/>
  <c r="BB152" i="5"/>
  <c r="AA82" i="15" s="1"/>
  <c r="K7" i="5"/>
  <c r="O62" i="15" s="1"/>
  <c r="V62" i="15" s="1"/>
  <c r="E288" i="16"/>
  <c r="E201" i="16"/>
  <c r="BE69" i="16"/>
  <c r="BD72" i="16"/>
  <c r="AF41" i="15" s="1"/>
  <c r="AC41" i="15" s="1"/>
  <c r="BD70" i="16"/>
  <c r="AF40" i="15" s="1"/>
  <c r="BD69" i="16"/>
  <c r="I63" i="16"/>
  <c r="Q37" i="15" s="1"/>
  <c r="V37" i="15" s="1"/>
  <c r="BD67" i="16"/>
  <c r="AE39" i="15" s="1"/>
  <c r="BD59" i="16"/>
  <c r="AE35" i="15" s="1"/>
  <c r="F58" i="16"/>
  <c r="L34" i="15" s="1"/>
  <c r="BD73" i="16"/>
  <c r="AE42" i="15" s="1"/>
  <c r="I59" i="16"/>
  <c r="Q35" i="15" s="1"/>
  <c r="O35" i="15" s="1"/>
  <c r="BC473" i="9"/>
  <c r="C517" i="15"/>
  <c r="AM517" i="15" s="1"/>
  <c r="I467" i="9"/>
  <c r="O518" i="15" s="1"/>
  <c r="V518" i="15" s="1"/>
  <c r="I471" i="9"/>
  <c r="O522" i="15" s="1"/>
  <c r="V522" i="15" s="1"/>
  <c r="I472" i="9"/>
  <c r="O523" i="15" s="1"/>
  <c r="V523" i="15" s="1"/>
  <c r="BC468" i="9"/>
  <c r="BC472" i="9"/>
  <c r="F74" i="16"/>
  <c r="BD74" i="16" s="1"/>
  <c r="I72" i="16"/>
  <c r="F62" i="16"/>
  <c r="L36" i="15" s="1"/>
  <c r="I36" i="15" s="1"/>
  <c r="C520" i="15"/>
  <c r="AM520" i="15" s="1"/>
  <c r="BB208" i="16"/>
  <c r="AA48" i="15" s="1"/>
  <c r="E261" i="16"/>
  <c r="I70" i="16"/>
  <c r="BC471" i="9"/>
  <c r="E165" i="16"/>
  <c r="BD65" i="16"/>
  <c r="AE38" i="15" s="1"/>
  <c r="I76" i="16"/>
  <c r="K38" i="15"/>
  <c r="AN38" i="15" s="1"/>
  <c r="K41" i="15"/>
  <c r="I41" i="15" s="1"/>
  <c r="X40" i="15"/>
  <c r="Z40" i="15" s="1"/>
  <c r="E123" i="16"/>
  <c r="I68" i="16"/>
  <c r="BD173" i="16"/>
  <c r="BE295" i="16"/>
  <c r="BD268" i="16"/>
  <c r="AE59" i="15" s="1"/>
  <c r="AC59" i="15" s="1"/>
  <c r="I79" i="16"/>
  <c r="Q45" i="15" s="1"/>
  <c r="V45" i="15" s="1"/>
  <c r="BD78" i="16"/>
  <c r="AF44" i="15" s="1"/>
  <c r="AB39" i="15"/>
  <c r="I65" i="16"/>
  <c r="Q38" i="15" s="1"/>
  <c r="O38" i="15" s="1"/>
  <c r="I56" i="15"/>
  <c r="AN56" i="15" s="1"/>
  <c r="BC211" i="16"/>
  <c r="BD211" i="16" s="1"/>
  <c r="AE51" i="15" s="1"/>
  <c r="AC51" i="15" s="1"/>
  <c r="I61" i="16"/>
  <c r="Q36" i="15" s="1"/>
  <c r="V36" i="15" s="1"/>
  <c r="E137" i="16"/>
  <c r="I295" i="16"/>
  <c r="O60" i="15" s="1"/>
  <c r="U60" i="15" s="1"/>
  <c r="X55" i="15"/>
  <c r="Z55" i="15" s="1"/>
  <c r="I214" i="16"/>
  <c r="O54" i="15" s="1"/>
  <c r="V54" i="15" s="1"/>
  <c r="I212" i="16"/>
  <c r="O52" i="15" s="1"/>
  <c r="V52" i="15" s="1"/>
  <c r="E114" i="16"/>
  <c r="I75" i="16"/>
  <c r="Q43" i="15" s="1"/>
  <c r="O43" i="15" s="1"/>
  <c r="F7" i="16"/>
  <c r="L7" i="16" s="1"/>
  <c r="O33" i="15" s="1"/>
  <c r="V33" i="15" s="1"/>
  <c r="C516" i="15"/>
  <c r="AM516" i="15" s="1"/>
  <c r="H466" i="9"/>
  <c r="K39" i="15"/>
  <c r="I39" i="15" s="1"/>
  <c r="E149" i="16"/>
  <c r="BE210" i="16"/>
  <c r="AB36" i="15"/>
  <c r="F80" i="16"/>
  <c r="BD80" i="16" s="1"/>
  <c r="I173" i="16"/>
  <c r="O47" i="15" s="1"/>
  <c r="V47" i="15" s="1"/>
  <c r="BE214" i="16"/>
  <c r="I71" i="16"/>
  <c r="Q41" i="15" s="1"/>
  <c r="O41" i="15" s="1"/>
  <c r="O20" i="3"/>
  <c r="BE20" i="3" s="1"/>
  <c r="O22" i="3"/>
  <c r="BE22" i="3" s="1"/>
  <c r="F19" i="3"/>
  <c r="G19" i="3" s="1"/>
  <c r="O21" i="15" s="1"/>
  <c r="W21" i="15" s="1"/>
  <c r="O30" i="3"/>
  <c r="BE30" i="3" s="1"/>
  <c r="N9" i="3"/>
  <c r="O9" i="3"/>
  <c r="BE9" i="3" s="1"/>
  <c r="O13" i="3"/>
  <c r="BE13" i="3" s="1"/>
  <c r="O25" i="3"/>
  <c r="BE25" i="3" s="1"/>
  <c r="O10" i="3"/>
  <c r="BE10" i="3" s="1"/>
  <c r="E46" i="5"/>
  <c r="G67" i="15" s="1"/>
  <c r="E47" i="5"/>
  <c r="G68" i="15" s="1"/>
  <c r="N17" i="3"/>
  <c r="X10" i="15"/>
  <c r="Z10" i="15" s="1"/>
  <c r="N23" i="3"/>
  <c r="BC30" i="3"/>
  <c r="X24" i="15"/>
  <c r="Z24" i="15" s="1"/>
  <c r="G26" i="3"/>
  <c r="O28" i="15" s="1"/>
  <c r="W28" i="15" s="1"/>
  <c r="X28" i="15"/>
  <c r="Z28" i="15" s="1"/>
  <c r="X20" i="15"/>
  <c r="Z20" i="15" s="1"/>
  <c r="F21" i="3"/>
  <c r="I23" i="15" s="1"/>
  <c r="AN23" i="15" s="1"/>
  <c r="BD23" i="3"/>
  <c r="AE25" i="15" s="1"/>
  <c r="AC25"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G25" i="3"/>
  <c r="O27" i="15" s="1"/>
  <c r="W27" i="15" s="1"/>
  <c r="N19" i="3"/>
  <c r="BB12" i="3"/>
  <c r="AA14" i="15" s="1"/>
  <c r="BC28" i="3"/>
  <c r="BD28" i="3" s="1"/>
  <c r="F8" i="3"/>
  <c r="N21" i="3"/>
  <c r="F22" i="3"/>
  <c r="O24" i="3"/>
  <c r="BE24" i="3" s="1"/>
  <c r="O27" i="3"/>
  <c r="BE27" i="3" s="1"/>
  <c r="O28" i="3"/>
  <c r="BE28" i="3" s="1"/>
  <c r="I588" i="2"/>
  <c r="O648" i="15" s="1"/>
  <c r="V648" i="15" s="1"/>
  <c r="U648" i="15" s="1"/>
  <c r="DD724" i="2"/>
  <c r="AE660" i="15" s="1"/>
  <c r="AC660" i="15" s="1"/>
  <c r="I555" i="15"/>
  <c r="AN555" i="15" s="1"/>
  <c r="I419" i="2"/>
  <c r="F640" i="2"/>
  <c r="DD706" i="2"/>
  <c r="AE659" i="15" s="1"/>
  <c r="AC659" i="15" s="1"/>
  <c r="DD455" i="2"/>
  <c r="AE624" i="15" s="1"/>
  <c r="AC624" i="15" s="1"/>
  <c r="DD457" i="2"/>
  <c r="AE626" i="15" s="1"/>
  <c r="AC626" i="15" s="1"/>
  <c r="DD483" i="2"/>
  <c r="AE633" i="15" s="1"/>
  <c r="AC633" i="15" s="1"/>
  <c r="DD741" i="2"/>
  <c r="AE662" i="15" s="1"/>
  <c r="AC662" i="15" s="1"/>
  <c r="I542" i="15"/>
  <c r="AN542" i="15" s="1"/>
  <c r="I534" i="15"/>
  <c r="AN534" i="15" s="1"/>
  <c r="I538" i="15"/>
  <c r="AN538" i="15" s="1"/>
  <c r="I546" i="15"/>
  <c r="AN546" i="15" s="1"/>
  <c r="K608" i="15"/>
  <c r="I608" i="15" s="1"/>
  <c r="AN608" i="15" s="1"/>
  <c r="I535" i="15"/>
  <c r="AN535" i="15" s="1"/>
  <c r="I537" i="15"/>
  <c r="AN537" i="15" s="1"/>
  <c r="I539" i="15"/>
  <c r="AN539" i="15" s="1"/>
  <c r="I541" i="15"/>
  <c r="AN541" i="15" s="1"/>
  <c r="I543" i="15"/>
  <c r="AN543" i="15" s="1"/>
  <c r="I545" i="15"/>
  <c r="AN545" i="15" s="1"/>
  <c r="I547" i="15"/>
  <c r="AN547" i="15" s="1"/>
  <c r="I549" i="15"/>
  <c r="AN549" i="15" s="1"/>
  <c r="I536" i="15"/>
  <c r="AN536" i="15" s="1"/>
  <c r="I540" i="15"/>
  <c r="AN540" i="15" s="1"/>
  <c r="I544" i="15"/>
  <c r="AN544" i="15" s="1"/>
  <c r="I548" i="15"/>
  <c r="AN548" i="15" s="1"/>
  <c r="K610" i="15"/>
  <c r="I610" i="15" s="1"/>
  <c r="AN610" i="15" s="1"/>
  <c r="K609" i="15"/>
  <c r="I609" i="15" s="1"/>
  <c r="AN609" i="15" s="1"/>
  <c r="AE617" i="15"/>
  <c r="AC617" i="15" s="1"/>
  <c r="DB398" i="2"/>
  <c r="AA617" i="15" s="1"/>
  <c r="DD776" i="2"/>
  <c r="AE665" i="15" s="1"/>
  <c r="AC665" i="15" s="1"/>
  <c r="K740" i="2"/>
  <c r="P661" i="15" s="1"/>
  <c r="W661" i="15" s="1"/>
  <c r="V661" i="15" s="1"/>
  <c r="U661" i="15" s="1"/>
  <c r="K619" i="15"/>
  <c r="I619" i="15" s="1"/>
  <c r="AN619" i="15" s="1"/>
  <c r="DD419" i="2"/>
  <c r="AE619" i="15" s="1"/>
  <c r="AC619" i="15" s="1"/>
  <c r="DD456" i="2"/>
  <c r="AE625" i="15" s="1"/>
  <c r="AC625" i="15" s="1"/>
  <c r="I373" i="2"/>
  <c r="Q609" i="15" s="1"/>
  <c r="O609" i="15" s="1"/>
  <c r="W609" i="15" s="1"/>
  <c r="V609" i="15" s="1"/>
  <c r="U609" i="15" s="1"/>
  <c r="AJ233" i="15"/>
  <c r="L1522" i="6"/>
  <c r="AJ234" i="15" s="1"/>
  <c r="D582" i="7"/>
  <c r="V543" i="7"/>
  <c r="F1108" i="7"/>
  <c r="F311" i="9"/>
  <c r="P243" i="9"/>
  <c r="W311" i="9"/>
  <c r="P245" i="9"/>
  <c r="F313" i="9"/>
  <c r="W313" i="9"/>
  <c r="F315" i="9"/>
  <c r="W315" i="9"/>
  <c r="P247" i="9"/>
  <c r="I426" i="15"/>
  <c r="AN426" i="15" s="1"/>
  <c r="O426" i="15"/>
  <c r="V426" i="15" s="1"/>
  <c r="L182" i="6"/>
  <c r="K771" i="6"/>
  <c r="BC159" i="6"/>
  <c r="BD159" i="6" s="1"/>
  <c r="X140" i="15"/>
  <c r="Z140" i="15" s="1"/>
  <c r="AE238" i="15"/>
  <c r="X228" i="15"/>
  <c r="Z228" i="15" s="1"/>
  <c r="BC1504" i="6"/>
  <c r="BD1504" i="6" s="1"/>
  <c r="I503" i="15"/>
  <c r="AN503" i="15" s="1"/>
  <c r="BE1484" i="6"/>
  <c r="AB219" i="15"/>
  <c r="L267" i="15"/>
  <c r="I1639" i="6"/>
  <c r="R267" i="15" s="1"/>
  <c r="K253" i="15"/>
  <c r="I253" i="15" s="1"/>
  <c r="I1590" i="6"/>
  <c r="Q253" i="15" s="1"/>
  <c r="BD1590" i="6"/>
  <c r="AF235" i="15"/>
  <c r="K198" i="15"/>
  <c r="I198" i="15" s="1"/>
  <c r="I1426" i="6"/>
  <c r="Q198" i="15" s="1"/>
  <c r="AE117" i="15"/>
  <c r="AC117" i="15" s="1"/>
  <c r="I12" i="15"/>
  <c r="AN12" i="15" s="1"/>
  <c r="G10" i="3"/>
  <c r="O12" i="15" s="1"/>
  <c r="W12" i="15" s="1"/>
  <c r="O126" i="15"/>
  <c r="AE223" i="15"/>
  <c r="G13" i="3"/>
  <c r="O15" i="15" s="1"/>
  <c r="W15" i="15" s="1"/>
  <c r="I15" i="15"/>
  <c r="AN15" i="15" s="1"/>
  <c r="BD809" i="7"/>
  <c r="AE12" i="15"/>
  <c r="AC12" i="15" s="1"/>
  <c r="AE244" i="15"/>
  <c r="AC244" i="15" s="1"/>
  <c r="BB1218" i="7"/>
  <c r="AA420" i="15" s="1"/>
  <c r="AE420" i="15"/>
  <c r="AC420" i="15" s="1"/>
  <c r="X273" i="15"/>
  <c r="Z273" i="15" s="1"/>
  <c r="BC1652" i="6"/>
  <c r="BD1652" i="6" s="1"/>
  <c r="BB120" i="6"/>
  <c r="AA114" i="15" s="1"/>
  <c r="J346" i="15"/>
  <c r="I407" i="15"/>
  <c r="AN407" i="15" s="1"/>
  <c r="M1103" i="7"/>
  <c r="O407" i="15" s="1"/>
  <c r="W407" i="15" s="1"/>
  <c r="J432" i="15"/>
  <c r="BD1262" i="7"/>
  <c r="AG432" i="15" s="1"/>
  <c r="AD432" i="15" s="1"/>
  <c r="AB200" i="15"/>
  <c r="BE1430" i="6"/>
  <c r="AE422" i="15"/>
  <c r="AC422" i="15" s="1"/>
  <c r="AA422" i="15"/>
  <c r="AE217" i="15"/>
  <c r="M196" i="15"/>
  <c r="BD1420" i="6"/>
  <c r="BE1476" i="6"/>
  <c r="AB215" i="15"/>
  <c r="AE182" i="15"/>
  <c r="I120" i="6"/>
  <c r="Q114" i="15" s="1"/>
  <c r="O114" i="15" s="1"/>
  <c r="K114" i="15"/>
  <c r="I114" i="15" s="1"/>
  <c r="AN114" i="15" s="1"/>
  <c r="O164" i="15"/>
  <c r="W164" i="15" s="1"/>
  <c r="I345" i="15"/>
  <c r="AN345" i="15" s="1"/>
  <c r="BD589" i="7"/>
  <c r="AE418" i="15"/>
  <c r="AC418" i="15" s="1"/>
  <c r="BD1639" i="6"/>
  <c r="P196" i="15"/>
  <c r="W196" i="15" s="1"/>
  <c r="BD1096" i="7"/>
  <c r="M1096" i="7"/>
  <c r="O400" i="15" s="1"/>
  <c r="W400" i="15" s="1"/>
  <c r="I400" i="15"/>
  <c r="AN400" i="15" s="1"/>
  <c r="I352" i="15"/>
  <c r="AN352" i="15" s="1"/>
  <c r="M599" i="7"/>
  <c r="O352" i="15" s="1"/>
  <c r="W352" i="15" s="1"/>
  <c r="AD203" i="15"/>
  <c r="AE208" i="15"/>
  <c r="BB1458" i="6"/>
  <c r="AA208" i="15" s="1"/>
  <c r="AC206" i="15"/>
  <c r="I521" i="15"/>
  <c r="AN521" i="15" s="1"/>
  <c r="I470" i="9"/>
  <c r="O521" i="15" s="1"/>
  <c r="V521" i="15" s="1"/>
  <c r="J967" i="7"/>
  <c r="O392" i="15" s="1"/>
  <c r="V392" i="15" s="1"/>
  <c r="I392" i="15"/>
  <c r="AN392" i="15" s="1"/>
  <c r="M596" i="7"/>
  <c r="O350" i="15" s="1"/>
  <c r="W350" i="15" s="1"/>
  <c r="I350" i="15"/>
  <c r="AN350" i="15" s="1"/>
  <c r="BD534" i="9"/>
  <c r="I534" i="9"/>
  <c r="O526" i="15" s="1"/>
  <c r="I304" i="15"/>
  <c r="AN304" i="15" s="1"/>
  <c r="BE163" i="9"/>
  <c r="AB489" i="15"/>
  <c r="AE189" i="15"/>
  <c r="AC189" i="15" s="1"/>
  <c r="BB1297" i="6"/>
  <c r="AA189" i="15" s="1"/>
  <c r="I311" i="15"/>
  <c r="AN311" i="15" s="1"/>
  <c r="BC163" i="9"/>
  <c r="X489" i="15"/>
  <c r="Z489" i="15" s="1"/>
  <c r="G28" i="3"/>
  <c r="O30" i="15" s="1"/>
  <c r="W30" i="15" s="1"/>
  <c r="I30" i="15"/>
  <c r="AN30" i="15" s="1"/>
  <c r="I1416" i="6"/>
  <c r="Q195" i="15" s="1"/>
  <c r="K195" i="15"/>
  <c r="BD1002" i="7"/>
  <c r="J248" i="15"/>
  <c r="AC249" i="15"/>
  <c r="K807" i="6"/>
  <c r="AD260" i="15"/>
  <c r="I203" i="15"/>
  <c r="AE200" i="15"/>
  <c r="AC200" i="15" s="1"/>
  <c r="J250" i="15"/>
  <c r="I498" i="15"/>
  <c r="AN498" i="15" s="1"/>
  <c r="BD599" i="7"/>
  <c r="J203" i="15"/>
  <c r="I213" i="15"/>
  <c r="BE12" i="9"/>
  <c r="BB22" i="10"/>
  <c r="AA529" i="15" s="1"/>
  <c r="K143" i="7"/>
  <c r="O325" i="15" s="1"/>
  <c r="W325" i="15" s="1"/>
  <c r="I8" i="7"/>
  <c r="Q279" i="15" s="1"/>
  <c r="O279" i="15" s="1"/>
  <c r="K279" i="15"/>
  <c r="I279" i="15" s="1"/>
  <c r="AN279" i="15" s="1"/>
  <c r="BC1464" i="6"/>
  <c r="BD1464" i="6" s="1"/>
  <c r="X211" i="15"/>
  <c r="Z211" i="15" s="1"/>
  <c r="BC9" i="3"/>
  <c r="BD9" i="3" s="1"/>
  <c r="X11" i="15"/>
  <c r="Z11" i="15" s="1"/>
  <c r="BC13" i="3"/>
  <c r="BD13" i="3" s="1"/>
  <c r="X15" i="15"/>
  <c r="Z15" i="15" s="1"/>
  <c r="F18" i="3"/>
  <c r="N18" i="3"/>
  <c r="BC19" i="3"/>
  <c r="X21" i="15"/>
  <c r="Z21" i="15" s="1"/>
  <c r="BC11" i="5"/>
  <c r="BD11" i="5" s="1"/>
  <c r="X66" i="15"/>
  <c r="Z66" i="15" s="1"/>
  <c r="G224" i="15"/>
  <c r="F2110" i="6"/>
  <c r="BC133" i="6"/>
  <c r="BD133" i="6" s="1"/>
  <c r="Y122" i="15"/>
  <c r="BC142" i="6"/>
  <c r="BD142" i="6" s="1"/>
  <c r="Y128" i="15"/>
  <c r="BE144" i="6"/>
  <c r="AB130" i="15"/>
  <c r="BC801" i="6"/>
  <c r="BD801" i="6" s="1"/>
  <c r="J803" i="6"/>
  <c r="X168" i="15"/>
  <c r="J809" i="6"/>
  <c r="X172" i="15"/>
  <c r="Z172" i="15" s="1"/>
  <c r="M1101" i="7"/>
  <c r="O405" i="15" s="1"/>
  <c r="W405" i="15" s="1"/>
  <c r="BE134" i="6"/>
  <c r="BB134" i="6" s="1"/>
  <c r="AA123" i="15" s="1"/>
  <c r="AB123" i="15"/>
  <c r="L187" i="15"/>
  <c r="I1201" i="6"/>
  <c r="R187" i="15" s="1"/>
  <c r="X197" i="15"/>
  <c r="Z197" i="15" s="1"/>
  <c r="BC1422" i="6"/>
  <c r="BD1422" i="6" s="1"/>
  <c r="BC1426" i="6"/>
  <c r="BD1426" i="6" s="1"/>
  <c r="X198" i="15"/>
  <c r="Z198" i="15" s="1"/>
  <c r="X206" i="15"/>
  <c r="Z206" i="15" s="1"/>
  <c r="J1454" i="6"/>
  <c r="AB138" i="15"/>
  <c r="BE156" i="6"/>
  <c r="E51" i="5"/>
  <c r="G72" i="15" s="1"/>
  <c r="E48" i="5"/>
  <c r="G69" i="15" s="1"/>
  <c r="BE7" i="5"/>
  <c r="AB62" i="15"/>
  <c r="O166" i="15"/>
  <c r="W166" i="15" s="1"/>
  <c r="F24" i="3"/>
  <c r="Z196" i="15"/>
  <c r="L128" i="6"/>
  <c r="L1414" i="6" s="1"/>
  <c r="AJ194" i="15" s="1"/>
  <c r="K717" i="6"/>
  <c r="BE786" i="6"/>
  <c r="BB786" i="6" s="1"/>
  <c r="AA162" i="15" s="1"/>
  <c r="AB162" i="15"/>
  <c r="L197" i="15"/>
  <c r="I1423" i="6"/>
  <c r="R197" i="15" s="1"/>
  <c r="AJ242" i="15"/>
  <c r="L1550" i="6"/>
  <c r="AJ243" i="15" s="1"/>
  <c r="BE40" i="9"/>
  <c r="AB478" i="15"/>
  <c r="BC295" i="16"/>
  <c r="BD295" i="16" s="1"/>
  <c r="X60" i="15"/>
  <c r="Z60" i="15" s="1"/>
  <c r="X50" i="15"/>
  <c r="Z50" i="15" s="1"/>
  <c r="BC210" i="16"/>
  <c r="BD210" i="16" s="1"/>
  <c r="K148" i="15"/>
  <c r="I148" i="15" s="1"/>
  <c r="I171" i="6"/>
  <c r="Q148" i="15" s="1"/>
  <c r="O148" i="15" s="1"/>
  <c r="BD171" i="6"/>
  <c r="BD150" i="6"/>
  <c r="AB66" i="15"/>
  <c r="K602" i="15"/>
  <c r="L308" i="2"/>
  <c r="Q602" i="15" s="1"/>
  <c r="O602" i="15" s="1"/>
  <c r="V602" i="15" s="1"/>
  <c r="U602" i="15" s="1"/>
  <c r="I78" i="15"/>
  <c r="AN78" i="15" s="1"/>
  <c r="J100" i="5"/>
  <c r="O78" i="15" s="1"/>
  <c r="V78" i="15" s="1"/>
  <c r="BC121" i="6"/>
  <c r="BD121" i="6" s="1"/>
  <c r="X115" i="15"/>
  <c r="Z115" i="15" s="1"/>
  <c r="BC797" i="6"/>
  <c r="BD797" i="6" s="1"/>
  <c r="X167" i="15"/>
  <c r="Z167" i="15" s="1"/>
  <c r="F1226" i="6"/>
  <c r="G185" i="15"/>
  <c r="AJ204" i="15"/>
  <c r="L1448" i="6"/>
  <c r="AJ205" i="15" s="1"/>
  <c r="AJ214" i="15"/>
  <c r="L1476" i="6"/>
  <c r="AJ215" i="15" s="1"/>
  <c r="AJ217" i="15"/>
  <c r="L1482" i="6"/>
  <c r="AJ218" i="15" s="1"/>
  <c r="K618" i="15"/>
  <c r="I618" i="15" s="1"/>
  <c r="L399" i="2"/>
  <c r="Q618" i="15" s="1"/>
  <c r="O618" i="15" s="1"/>
  <c r="W618" i="15" s="1"/>
  <c r="V618" i="15" s="1"/>
  <c r="U618" i="15" s="1"/>
  <c r="I658" i="15"/>
  <c r="AN658" i="15" s="1"/>
  <c r="DD705" i="2"/>
  <c r="AE658" i="15" s="1"/>
  <c r="AC658" i="15" s="1"/>
  <c r="BC100" i="5"/>
  <c r="BD100" i="5" s="1"/>
  <c r="X78" i="15"/>
  <c r="Z78" i="15" s="1"/>
  <c r="BE125" i="6"/>
  <c r="BB125" i="6" s="1"/>
  <c r="AA117" i="15" s="1"/>
  <c r="AB117" i="15"/>
  <c r="AJ258" i="15"/>
  <c r="L1612" i="6"/>
  <c r="AJ259" i="15" s="1"/>
  <c r="M128" i="15"/>
  <c r="J128" i="15" s="1"/>
  <c r="I142" i="6"/>
  <c r="S128" i="15" s="1"/>
  <c r="P128" i="15" s="1"/>
  <c r="W128" i="15" s="1"/>
  <c r="AJ252" i="15"/>
  <c r="L1590" i="6"/>
  <c r="AJ253" i="15" s="1"/>
  <c r="AB132" i="15"/>
  <c r="J748" i="6"/>
  <c r="K159" i="6" s="1"/>
  <c r="J751" i="6"/>
  <c r="K162" i="6" s="1"/>
  <c r="J743" i="6"/>
  <c r="K154" i="6" s="1"/>
  <c r="K1515" i="6"/>
  <c r="BE1515" i="6" s="1"/>
  <c r="BE1511" i="6"/>
  <c r="AJ249" i="15"/>
  <c r="L1578" i="6"/>
  <c r="AJ250" i="15" s="1"/>
  <c r="L1190" i="6"/>
  <c r="AJ182" i="15" s="1"/>
  <c r="O23" i="3"/>
  <c r="BE23" i="3" s="1"/>
  <c r="AJ254" i="15"/>
  <c r="L1598" i="6"/>
  <c r="AJ255" i="15" s="1"/>
  <c r="J741" i="2"/>
  <c r="O662" i="15" s="1"/>
  <c r="F759" i="2"/>
  <c r="AJ220" i="15"/>
  <c r="L1488" i="6"/>
  <c r="AJ221" i="15" s="1"/>
  <c r="AJ223" i="15"/>
  <c r="L1494" i="6"/>
  <c r="AJ224" i="15" s="1"/>
  <c r="L1504" i="6"/>
  <c r="AJ228" i="15" s="1"/>
  <c r="DD458" i="2"/>
  <c r="AE627" i="15" s="1"/>
  <c r="AC627" i="15" s="1"/>
  <c r="DD480" i="2"/>
  <c r="AE630" i="15" s="1"/>
  <c r="AC630" i="15" s="1"/>
  <c r="L1434" i="6"/>
  <c r="AJ201" i="15" s="1"/>
  <c r="AJ268" i="15"/>
  <c r="L1644" i="6"/>
  <c r="AJ269" i="15" s="1"/>
  <c r="Z192" i="15"/>
  <c r="L1656" i="6"/>
  <c r="AJ275" i="15" s="1"/>
  <c r="F758" i="2"/>
  <c r="I758" i="2" s="1"/>
  <c r="O663" i="15" s="1"/>
  <c r="V663" i="15" s="1"/>
  <c r="U663" i="15" s="1"/>
  <c r="O40" i="15"/>
  <c r="V40" i="15"/>
  <c r="I263" i="15"/>
  <c r="L1558" i="6"/>
  <c r="AJ245" i="15" s="1"/>
  <c r="AJ260" i="15"/>
  <c r="L1620" i="6"/>
  <c r="AJ261" i="15" s="1"/>
  <c r="I1464" i="6"/>
  <c r="Q211" i="15" s="1"/>
  <c r="I229" i="15"/>
  <c r="AJ266" i="15"/>
  <c r="L1638" i="6"/>
  <c r="AJ267" i="15" s="1"/>
  <c r="AJ270" i="15"/>
  <c r="L1648" i="6"/>
  <c r="AJ271" i="15" s="1"/>
  <c r="I254" i="15"/>
  <c r="AJ206" i="15"/>
  <c r="L1454" i="6"/>
  <c r="AJ207" i="15" s="1"/>
  <c r="I232" i="15"/>
  <c r="AJ230" i="15"/>
  <c r="L1514" i="6"/>
  <c r="AJ231" i="15" s="1"/>
  <c r="AJ264" i="15"/>
  <c r="L1632" i="6"/>
  <c r="AJ265" i="15" s="1"/>
  <c r="AJ276" i="15"/>
  <c r="L1660" i="6"/>
  <c r="AJ277" i="15" s="1"/>
  <c r="I117" i="7"/>
  <c r="F117" i="7" s="1"/>
  <c r="W317" i="7"/>
  <c r="I120" i="7"/>
  <c r="F120" i="7" s="1"/>
  <c r="M442" i="7"/>
  <c r="M443" i="7"/>
  <c r="M444" i="7"/>
  <c r="M441" i="7"/>
  <c r="I528" i="15"/>
  <c r="AN528" i="15" s="1"/>
  <c r="BD8" i="10"/>
  <c r="AE58" i="15"/>
  <c r="AC58" i="15" s="1"/>
  <c r="BD77" i="16"/>
  <c r="I77" i="16"/>
  <c r="Q44" i="15" s="1"/>
  <c r="O44" i="15" s="1"/>
  <c r="BC75" i="16"/>
  <c r="BD75" i="16" s="1"/>
  <c r="X43" i="15"/>
  <c r="Z43" i="15" s="1"/>
  <c r="I363" i="15"/>
  <c r="L37" i="15"/>
  <c r="I37" i="15" s="1"/>
  <c r="I64" i="16"/>
  <c r="I62" i="16"/>
  <c r="AB59" i="15"/>
  <c r="BE268" i="16"/>
  <c r="I46" i="15"/>
  <c r="AN46" i="15" s="1"/>
  <c r="I172" i="16"/>
  <c r="O46" i="15" s="1"/>
  <c r="V46" i="15" s="1"/>
  <c r="BD76" i="16"/>
  <c r="AF43" i="15" s="1"/>
  <c r="I78" i="16"/>
  <c r="BC63" i="16"/>
  <c r="BD63" i="16" s="1"/>
  <c r="K34" i="15"/>
  <c r="I57" i="16"/>
  <c r="Q34" i="15" s="1"/>
  <c r="L162" i="6"/>
  <c r="AJ142" i="15" s="1"/>
  <c r="K751" i="6"/>
  <c r="AB531" i="15"/>
  <c r="BE36" i="10"/>
  <c r="BB36" i="10" s="1"/>
  <c r="AA531" i="15" s="1"/>
  <c r="I59" i="15"/>
  <c r="K59" i="15" s="1"/>
  <c r="I268" i="16"/>
  <c r="O59" i="15" s="1"/>
  <c r="Q59" i="15" s="1"/>
  <c r="E134" i="16"/>
  <c r="E120" i="16"/>
  <c r="E289" i="16"/>
  <c r="E262" i="16"/>
  <c r="E202" i="16"/>
  <c r="I43" i="15"/>
  <c r="BE296" i="16"/>
  <c r="BB296" i="16" s="1"/>
  <c r="AA61" i="15" s="1"/>
  <c r="I208" i="16"/>
  <c r="O48" i="15" s="1"/>
  <c r="V48" i="15" s="1"/>
  <c r="I73" i="16"/>
  <c r="Q42" i="15" s="1"/>
  <c r="O42" i="15" s="1"/>
  <c r="I216" i="16"/>
  <c r="O56" i="15" s="1"/>
  <c r="V56" i="15" s="1"/>
  <c r="BC214" i="16"/>
  <c r="BD214" i="16" s="1"/>
  <c r="X54" i="15"/>
  <c r="Z54" i="15" s="1"/>
  <c r="AB49" i="15"/>
  <c r="BE209" i="16"/>
  <c r="L35" i="15"/>
  <c r="I35" i="15" s="1"/>
  <c r="BD60" i="16"/>
  <c r="AF35" i="15" s="1"/>
  <c r="BD68" i="16"/>
  <c r="BE65" i="16"/>
  <c r="AB38" i="15"/>
  <c r="BD64" i="16"/>
  <c r="AF37" i="15" s="1"/>
  <c r="BD7" i="10"/>
  <c r="I213" i="16"/>
  <c r="O53" i="15" s="1"/>
  <c r="V53" i="15" s="1"/>
  <c r="I51" i="15"/>
  <c r="AN51" i="15" s="1"/>
  <c r="I211" i="16"/>
  <c r="O51" i="15" s="1"/>
  <c r="V51" i="15" s="1"/>
  <c r="BD172" i="16"/>
  <c r="F66" i="16"/>
  <c r="I179" i="6"/>
  <c r="Q153" i="15" s="1"/>
  <c r="W153" i="15" s="1"/>
  <c r="K153" i="15"/>
  <c r="I153" i="15" s="1"/>
  <c r="E146" i="16"/>
  <c r="E113" i="16"/>
  <c r="BD57" i="16"/>
  <c r="K442" i="7"/>
  <c r="O331" i="15" s="1"/>
  <c r="W331" i="15" s="1"/>
  <c r="BD179" i="6"/>
  <c r="I162" i="6"/>
  <c r="Q142" i="15" s="1"/>
  <c r="W142" i="15" s="1"/>
  <c r="BD162" i="6"/>
  <c r="K747" i="6"/>
  <c r="K768" i="6"/>
  <c r="M139" i="15"/>
  <c r="J139" i="15" s="1"/>
  <c r="K151" i="15"/>
  <c r="I151" i="15" s="1"/>
  <c r="I189" i="6"/>
  <c r="Q160" i="15" s="1"/>
  <c r="K160" i="15"/>
  <c r="I160" i="15" s="1"/>
  <c r="BD189" i="6"/>
  <c r="BC188" i="6"/>
  <c r="BD188" i="6" s="1"/>
  <c r="X159" i="15"/>
  <c r="Z159" i="15" s="1"/>
  <c r="AB52" i="15"/>
  <c r="E112" i="16"/>
  <c r="E126" i="16"/>
  <c r="E122" i="16"/>
  <c r="BD178" i="6"/>
  <c r="AG152" i="15" s="1"/>
  <c r="AD152" i="15" s="1"/>
  <c r="M152" i="15"/>
  <c r="J152" i="15" s="1"/>
  <c r="BD156" i="6"/>
  <c r="I156" i="6"/>
  <c r="Q138" i="15" s="1"/>
  <c r="O138" i="15" s="1"/>
  <c r="BC173" i="6"/>
  <c r="BD173" i="6" s="1"/>
  <c r="Y149" i="15"/>
  <c r="BC186" i="6"/>
  <c r="BD186" i="6" s="1"/>
  <c r="X158" i="15"/>
  <c r="Z158" i="15" s="1"/>
  <c r="O156" i="15"/>
  <c r="W156" i="15"/>
  <c r="K152" i="15"/>
  <c r="I152" i="15" s="1"/>
  <c r="BD177" i="6"/>
  <c r="K144" i="15"/>
  <c r="I144" i="15" s="1"/>
  <c r="I165" i="6"/>
  <c r="Q144" i="15" s="1"/>
  <c r="W144" i="15" s="1"/>
  <c r="E140" i="16"/>
  <c r="BE215" i="16"/>
  <c r="BB215" i="16" s="1"/>
  <c r="AA55" i="15" s="1"/>
  <c r="K154" i="15"/>
  <c r="I154" i="15" s="1"/>
  <c r="I180" i="6"/>
  <c r="Q154" i="15" s="1"/>
  <c r="O154" i="15" s="1"/>
  <c r="BD180" i="6"/>
  <c r="M158" i="15"/>
  <c r="J158" i="15" s="1"/>
  <c r="BC443" i="7"/>
  <c r="X332" i="15"/>
  <c r="Z332" i="15" s="1"/>
  <c r="K746" i="6"/>
  <c r="J746" i="6" s="1"/>
  <c r="K157" i="6" s="1"/>
  <c r="L157" i="6"/>
  <c r="AJ139" i="15" s="1"/>
  <c r="M140" i="15"/>
  <c r="J140" i="15" s="1"/>
  <c r="I160" i="6"/>
  <c r="S140" i="15" s="1"/>
  <c r="P140" i="15" s="1"/>
  <c r="W140" i="15" s="1"/>
  <c r="M146" i="15"/>
  <c r="J146" i="15" s="1"/>
  <c r="I169" i="6"/>
  <c r="S146" i="15" s="1"/>
  <c r="P146" i="15" s="1"/>
  <c r="W146" i="15" s="1"/>
  <c r="K756" i="6"/>
  <c r="K760" i="6"/>
  <c r="K146" i="15"/>
  <c r="I146" i="15" s="1"/>
  <c r="I606" i="2"/>
  <c r="O650" i="15" s="1"/>
  <c r="V650" i="15" s="1"/>
  <c r="U650" i="15" s="1"/>
  <c r="DD323" i="2"/>
  <c r="AE604" i="15" s="1"/>
  <c r="AC604" i="15" s="1"/>
  <c r="F289" i="2"/>
  <c r="DD322" i="2"/>
  <c r="AE603" i="15" s="1"/>
  <c r="AC603" i="15" s="1"/>
  <c r="DD372" i="2"/>
  <c r="AE608" i="15" s="1"/>
  <c r="AC608" i="15" s="1"/>
  <c r="DE323" i="2"/>
  <c r="F267" i="2"/>
  <c r="F268" i="2"/>
  <c r="I268" i="2" s="1"/>
  <c r="O597" i="15" s="1"/>
  <c r="V597" i="15" s="1"/>
  <c r="U597" i="15" s="1"/>
  <c r="I372" i="2"/>
  <c r="Q608" i="15" s="1"/>
  <c r="O608" i="15" s="1"/>
  <c r="W608" i="15" s="1"/>
  <c r="V608" i="15" s="1"/>
  <c r="U608" i="15" s="1"/>
  <c r="M211" i="2"/>
  <c r="F197" i="2" s="1"/>
  <c r="DD219" i="2"/>
  <c r="AE592" i="15" s="1"/>
  <c r="AC592" i="15" s="1"/>
  <c r="F290" i="2"/>
  <c r="AE613" i="15"/>
  <c r="AC613" i="15" s="1"/>
  <c r="M212" i="2"/>
  <c r="F198" i="2" s="1"/>
  <c r="I590" i="15" s="1"/>
  <c r="AN590" i="15" s="1"/>
  <c r="I672" i="2"/>
  <c r="O655" i="15" s="1"/>
  <c r="W655" i="15" s="1"/>
  <c r="V655" i="15" s="1"/>
  <c r="U655" i="15" s="1"/>
  <c r="DD373" i="2"/>
  <c r="AE609" i="15" s="1"/>
  <c r="AC609" i="15" s="1"/>
  <c r="DD375" i="2"/>
  <c r="AE611" i="15" s="1"/>
  <c r="AC611" i="15" s="1"/>
  <c r="AE614" i="15"/>
  <c r="AC614" i="15" s="1"/>
  <c r="DD399" i="2"/>
  <c r="DD435" i="2"/>
  <c r="AE620" i="15" s="1"/>
  <c r="AC620" i="15" s="1"/>
  <c r="DD436" i="2"/>
  <c r="AE621" i="15" s="1"/>
  <c r="AC621" i="15" s="1"/>
  <c r="DD437" i="2"/>
  <c r="AE622" i="15" s="1"/>
  <c r="AC622" i="15" s="1"/>
  <c r="DD438" i="2"/>
  <c r="AE623" i="15" s="1"/>
  <c r="AC623" i="15" s="1"/>
  <c r="I455" i="2"/>
  <c r="O624" i="15" s="1"/>
  <c r="V624" i="15" s="1"/>
  <c r="U624" i="15" s="1"/>
  <c r="DD672" i="2"/>
  <c r="AE655" i="15" s="1"/>
  <c r="AC655" i="15" s="1"/>
  <c r="Q614" i="15"/>
  <c r="O614" i="15" s="1"/>
  <c r="W614" i="15" s="1"/>
  <c r="V614" i="15" s="1"/>
  <c r="U614" i="15" s="1"/>
  <c r="H399" i="2"/>
  <c r="DD459" i="2"/>
  <c r="AE628" i="15" s="1"/>
  <c r="AC628" i="15" s="1"/>
  <c r="DD481" i="2"/>
  <c r="AE631" i="15" s="1"/>
  <c r="AC631" i="15" s="1"/>
  <c r="DD482" i="2"/>
  <c r="AE632" i="15" s="1"/>
  <c r="AC632" i="15" s="1"/>
  <c r="DD484" i="2"/>
  <c r="DD506" i="2"/>
  <c r="AE637" i="15" s="1"/>
  <c r="AC637" i="15" s="1"/>
  <c r="DD507" i="2"/>
  <c r="AE638" i="15" s="1"/>
  <c r="AC638" i="15" s="1"/>
  <c r="DD508" i="2"/>
  <c r="AE639" i="15" s="1"/>
  <c r="AC639" i="15" s="1"/>
  <c r="DD509" i="2"/>
  <c r="AE640" i="15" s="1"/>
  <c r="AC640" i="15" s="1"/>
  <c r="DD510" i="2"/>
  <c r="AE641" i="15" s="1"/>
  <c r="AC641" i="15" s="1"/>
  <c r="DD511" i="2"/>
  <c r="AE642" i="15" s="1"/>
  <c r="AC642" i="15" s="1"/>
  <c r="F547" i="2"/>
  <c r="DD547" i="2" s="1"/>
  <c r="AE644" i="15" s="1"/>
  <c r="AC644" i="15" s="1"/>
  <c r="F548" i="2"/>
  <c r="DD589" i="2"/>
  <c r="AE649" i="15" s="1"/>
  <c r="AC649" i="15" s="1"/>
  <c r="DD704" i="2"/>
  <c r="AE657" i="15" s="1"/>
  <c r="AC657" i="15" s="1"/>
  <c r="DD138" i="2"/>
  <c r="AE577" i="15" s="1"/>
  <c r="AC577" i="15" s="1"/>
  <c r="I136" i="2"/>
  <c r="O575" i="15" s="1"/>
  <c r="I570" i="2"/>
  <c r="O646" i="15" s="1"/>
  <c r="V646" i="15" s="1"/>
  <c r="U646" i="15" s="1"/>
  <c r="I133" i="2"/>
  <c r="O574" i="15" s="1"/>
  <c r="V574" i="15" s="1"/>
  <c r="U574" i="15" s="1"/>
  <c r="I137" i="2"/>
  <c r="O576" i="15" s="1"/>
  <c r="V576" i="15" s="1"/>
  <c r="U576" i="15" s="1"/>
  <c r="I131" i="2"/>
  <c r="O573" i="15" s="1"/>
  <c r="DD571" i="2"/>
  <c r="AE647" i="15" s="1"/>
  <c r="AC647" i="15" s="1"/>
  <c r="DD606" i="2"/>
  <c r="AE650" i="15" s="1"/>
  <c r="AC650" i="15" s="1"/>
  <c r="M210" i="2"/>
  <c r="F196" i="2" s="1"/>
  <c r="DD123" i="2"/>
  <c r="AE566" i="15" s="1"/>
  <c r="AC566" i="15" s="1"/>
  <c r="DD133" i="2"/>
  <c r="AE574" i="15" s="1"/>
  <c r="AC574" i="15" s="1"/>
  <c r="DD136" i="2"/>
  <c r="AE575" i="15" s="1"/>
  <c r="AC575" i="15" s="1"/>
  <c r="DD137" i="2"/>
  <c r="AE576" i="15" s="1"/>
  <c r="AC576" i="15" s="1"/>
  <c r="DD139" i="2"/>
  <c r="AE578" i="15" s="1"/>
  <c r="AC578" i="15" s="1"/>
  <c r="DD141" i="2"/>
  <c r="AE579" i="15" s="1"/>
  <c r="AC579" i="15" s="1"/>
  <c r="DD142" i="2"/>
  <c r="AE580" i="15" s="1"/>
  <c r="AC580" i="15" s="1"/>
  <c r="DD143" i="2"/>
  <c r="AE581" i="15" s="1"/>
  <c r="AC581" i="15" s="1"/>
  <c r="DD144" i="2"/>
  <c r="AE582" i="15" s="1"/>
  <c r="AC582" i="15" s="1"/>
  <c r="I250" i="2"/>
  <c r="O594" i="15" s="1"/>
  <c r="DD146" i="2"/>
  <c r="AE583" i="15" s="1"/>
  <c r="AC583" i="15" s="1"/>
  <c r="F266" i="2"/>
  <c r="I704" i="2"/>
  <c r="O657" i="15" s="1"/>
  <c r="V657" i="15" s="1"/>
  <c r="U657" i="15" s="1"/>
  <c r="DC125" i="2"/>
  <c r="DD125" i="2" s="1"/>
  <c r="AE568" i="15" s="1"/>
  <c r="AC568" i="15" s="1"/>
  <c r="DD308" i="2"/>
  <c r="AE602" i="15" s="1"/>
  <c r="AC602" i="15" s="1"/>
  <c r="I531" i="2"/>
  <c r="O643" i="15" s="1"/>
  <c r="V643" i="15" s="1"/>
  <c r="U643" i="15" s="1"/>
  <c r="DD640" i="2"/>
  <c r="AE653" i="15" s="1"/>
  <c r="AC653" i="15" s="1"/>
  <c r="I123" i="2"/>
  <c r="O566" i="15" s="1"/>
  <c r="V566" i="15" s="1"/>
  <c r="U566" i="15" s="1"/>
  <c r="I124" i="2"/>
  <c r="O567" i="15" s="1"/>
  <c r="I125" i="2"/>
  <c r="O568" i="15" s="1"/>
  <c r="I126" i="2"/>
  <c r="O569" i="15" s="1"/>
  <c r="I128" i="2"/>
  <c r="O570" i="15" s="1"/>
  <c r="I129" i="2"/>
  <c r="O571" i="15" s="1"/>
  <c r="I130" i="2"/>
  <c r="O572" i="15" s="1"/>
  <c r="I138" i="2"/>
  <c r="O577" i="15" s="1"/>
  <c r="V577" i="15" s="1"/>
  <c r="U577" i="15" s="1"/>
  <c r="I139" i="2"/>
  <c r="O578" i="15" s="1"/>
  <c r="V578" i="15" s="1"/>
  <c r="U578" i="15" s="1"/>
  <c r="I141" i="2"/>
  <c r="O579" i="15" s="1"/>
  <c r="V579" i="15" s="1"/>
  <c r="U579" i="15" s="1"/>
  <c r="I142" i="2"/>
  <c r="O580" i="15" s="1"/>
  <c r="V580" i="15" s="1"/>
  <c r="U580" i="15" s="1"/>
  <c r="I143" i="2"/>
  <c r="O581" i="15" s="1"/>
  <c r="V581" i="15" s="1"/>
  <c r="U581" i="15" s="1"/>
  <c r="I144" i="2"/>
  <c r="O582" i="15" s="1"/>
  <c r="V582" i="15" s="1"/>
  <c r="U582" i="15" s="1"/>
  <c r="I146" i="2"/>
  <c r="O583" i="15" s="1"/>
  <c r="V583" i="15" s="1"/>
  <c r="U583" i="15" s="1"/>
  <c r="F269" i="2"/>
  <c r="F288" i="2"/>
  <c r="I435" i="2"/>
  <c r="O620" i="15" s="1"/>
  <c r="V620" i="15" s="1"/>
  <c r="U620" i="15" s="1"/>
  <c r="I436" i="2"/>
  <c r="O621" i="15" s="1"/>
  <c r="V621" i="15" s="1"/>
  <c r="U621" i="15" s="1"/>
  <c r="I437" i="2"/>
  <c r="O622" i="15" s="1"/>
  <c r="V622" i="15" s="1"/>
  <c r="U622" i="15" s="1"/>
  <c r="I438" i="2"/>
  <c r="O623" i="15" s="1"/>
  <c r="V623" i="15" s="1"/>
  <c r="U623" i="15" s="1"/>
  <c r="I505" i="2"/>
  <c r="O636" i="15" s="1"/>
  <c r="W636" i="15" s="1"/>
  <c r="V636" i="15" s="1"/>
  <c r="U636" i="15" s="1"/>
  <c r="I506" i="2"/>
  <c r="O637" i="15" s="1"/>
  <c r="W637" i="15" s="1"/>
  <c r="V637" i="15" s="1"/>
  <c r="U637" i="15" s="1"/>
  <c r="I507" i="2"/>
  <c r="O638" i="15" s="1"/>
  <c r="I508" i="2"/>
  <c r="O639" i="15" s="1"/>
  <c r="W639" i="15" s="1"/>
  <c r="V639" i="15" s="1"/>
  <c r="U639" i="15" s="1"/>
  <c r="I509" i="2"/>
  <c r="O640" i="15" s="1"/>
  <c r="W640" i="15" s="1"/>
  <c r="V640" i="15" s="1"/>
  <c r="U640" i="15" s="1"/>
  <c r="I510" i="2"/>
  <c r="O641" i="15" s="1"/>
  <c r="W641" i="15" s="1"/>
  <c r="V641" i="15" s="1"/>
  <c r="U641" i="15" s="1"/>
  <c r="I323" i="2"/>
  <c r="O604" i="15" s="1"/>
  <c r="W604" i="15" s="1"/>
  <c r="V604" i="15" s="1"/>
  <c r="U604" i="15" s="1"/>
  <c r="I322" i="2"/>
  <c r="O603" i="15" s="1"/>
  <c r="W603" i="15" s="1"/>
  <c r="V603" i="15" s="1"/>
  <c r="U603" i="15" s="1"/>
  <c r="X551" i="15"/>
  <c r="Z551" i="15" s="1"/>
  <c r="W551" i="15" s="1"/>
  <c r="AE551" i="15"/>
  <c r="AC551" i="15" s="1"/>
  <c r="DD218" i="2"/>
  <c r="AE591" i="15" s="1"/>
  <c r="AC591" i="15" s="1"/>
  <c r="H308" i="2"/>
  <c r="DC128" i="2"/>
  <c r="DD128" i="2" s="1"/>
  <c r="AE570" i="15" s="1"/>
  <c r="AC570" i="15" s="1"/>
  <c r="AE553" i="15"/>
  <c r="AC553" i="15" s="1"/>
  <c r="AK68" i="2"/>
  <c r="AW68" i="2"/>
  <c r="AO68" i="2"/>
  <c r="AS68" i="2"/>
  <c r="BE68" i="2"/>
  <c r="K611" i="15"/>
  <c r="I611" i="15" s="1"/>
  <c r="AN611" i="15" s="1"/>
  <c r="I375" i="2"/>
  <c r="Q611" i="15" s="1"/>
  <c r="O611" i="15" s="1"/>
  <c r="W611" i="15" s="1"/>
  <c r="V611" i="15" s="1"/>
  <c r="U611" i="15" s="1"/>
  <c r="X549" i="15"/>
  <c r="Z549" i="15" s="1"/>
  <c r="W549" i="15" s="1"/>
  <c r="DC24" i="2"/>
  <c r="DD24" i="2" s="1"/>
  <c r="AE549" i="15" s="1"/>
  <c r="AC549" i="15" s="1"/>
  <c r="X555" i="15"/>
  <c r="Z555" i="15" s="1"/>
  <c r="W555" i="15" s="1"/>
  <c r="DC30" i="2"/>
  <c r="DD30" i="2" s="1"/>
  <c r="DB30" i="2" s="1"/>
  <c r="AV68" i="2"/>
  <c r="AJ68" i="2"/>
  <c r="AN68" i="2"/>
  <c r="AZ68" i="2"/>
  <c r="BD68" i="2"/>
  <c r="AR68" i="2"/>
  <c r="X567" i="15"/>
  <c r="Z567" i="15" s="1"/>
  <c r="W567" i="15" s="1"/>
  <c r="DC124" i="2"/>
  <c r="DD124" i="2" s="1"/>
  <c r="DD175" i="2"/>
  <c r="AE585" i="15" s="1"/>
  <c r="AC585" i="15" s="1"/>
  <c r="DD236" i="2"/>
  <c r="AE593" i="15" s="1"/>
  <c r="AC593" i="15" s="1"/>
  <c r="DC130" i="2"/>
  <c r="DD130" i="2" s="1"/>
  <c r="AE572" i="15" s="1"/>
  <c r="AC572" i="15" s="1"/>
  <c r="DD174" i="2"/>
  <c r="AE584" i="15" s="1"/>
  <c r="AC584" i="15" s="1"/>
  <c r="M209" i="2"/>
  <c r="F195" i="2" s="1"/>
  <c r="I218" i="2"/>
  <c r="O591" i="15" s="1"/>
  <c r="W591" i="15" s="1"/>
  <c r="V591" i="15" s="1"/>
  <c r="U591" i="15" s="1"/>
  <c r="AB593" i="15"/>
  <c r="DE236" i="2"/>
  <c r="X569" i="15"/>
  <c r="Z569" i="15" s="1"/>
  <c r="W569" i="15" s="1"/>
  <c r="DC126" i="2"/>
  <c r="DD126" i="2" s="1"/>
  <c r="AE569" i="15" s="1"/>
  <c r="AC569" i="15" s="1"/>
  <c r="X571" i="15"/>
  <c r="Z571" i="15" s="1"/>
  <c r="W571" i="15" s="1"/>
  <c r="DC129" i="2"/>
  <c r="DD129" i="2" s="1"/>
  <c r="AE571" i="15" s="1"/>
  <c r="AC571" i="15" s="1"/>
  <c r="X573" i="15"/>
  <c r="Z573" i="15" s="1"/>
  <c r="W573" i="15" s="1"/>
  <c r="DC131" i="2"/>
  <c r="DD131" i="2" s="1"/>
  <c r="AE573" i="15" s="1"/>
  <c r="AC573" i="15" s="1"/>
  <c r="DD656" i="2"/>
  <c r="AE654" i="15" s="1"/>
  <c r="AC654" i="15" s="1"/>
  <c r="I175" i="2"/>
  <c r="O585" i="15" s="1"/>
  <c r="V585" i="15" s="1"/>
  <c r="U585" i="15" s="1"/>
  <c r="DC9" i="2"/>
  <c r="DD9" i="2" s="1"/>
  <c r="AE534" i="15" s="1"/>
  <c r="AC534" i="15" s="1"/>
  <c r="AY68" i="2"/>
  <c r="AM68" i="2"/>
  <c r="BC68" i="2"/>
  <c r="AQ68" i="2"/>
  <c r="I219" i="2"/>
  <c r="O592" i="15" s="1"/>
  <c r="W592" i="15" s="1"/>
  <c r="V592" i="15" s="1"/>
  <c r="U592" i="15" s="1"/>
  <c r="I594" i="15"/>
  <c r="AN594" i="15" s="1"/>
  <c r="DD250" i="2"/>
  <c r="AE594" i="15" s="1"/>
  <c r="AC594" i="15" s="1"/>
  <c r="DD374" i="2"/>
  <c r="AE610" i="15" s="1"/>
  <c r="AC610" i="15" s="1"/>
  <c r="DD570" i="2"/>
  <c r="AE646" i="15" s="1"/>
  <c r="AC646" i="15" s="1"/>
  <c r="I13" i="2"/>
  <c r="O538" i="15" s="1"/>
  <c r="V538" i="15" s="1"/>
  <c r="U538" i="15" s="1"/>
  <c r="I14" i="2"/>
  <c r="O539" i="15" s="1"/>
  <c r="V539" i="15" s="1"/>
  <c r="U539" i="15" s="1"/>
  <c r="I17" i="2"/>
  <c r="O542" i="15" s="1"/>
  <c r="V542" i="15" s="1"/>
  <c r="U542" i="15" s="1"/>
  <c r="I18" i="2"/>
  <c r="O543" i="15" s="1"/>
  <c r="V543" i="15" s="1"/>
  <c r="U543" i="15" s="1"/>
  <c r="I19" i="2"/>
  <c r="O544" i="15" s="1"/>
  <c r="V544" i="15" s="1"/>
  <c r="U544" i="15" s="1"/>
  <c r="I20" i="2"/>
  <c r="O545" i="15" s="1"/>
  <c r="U545" i="15" s="1"/>
  <c r="I21" i="2"/>
  <c r="O546" i="15" s="1"/>
  <c r="U546" i="15" s="1"/>
  <c r="I22" i="2"/>
  <c r="O547" i="15" s="1"/>
  <c r="U547" i="15" s="1"/>
  <c r="I23" i="2"/>
  <c r="O548" i="15" s="1"/>
  <c r="W548" i="15" s="1"/>
  <c r="V548" i="15" s="1"/>
  <c r="U548" i="15" s="1"/>
  <c r="I26" i="2"/>
  <c r="O551" i="15" s="1"/>
  <c r="I28" i="2"/>
  <c r="O553" i="15" s="1"/>
  <c r="V553" i="15" s="1"/>
  <c r="U553" i="15" s="1"/>
  <c r="AL68" i="2"/>
  <c r="AX68" i="2"/>
  <c r="BB68" i="2"/>
  <c r="AP68" i="2"/>
  <c r="I174" i="2"/>
  <c r="O584" i="15" s="1"/>
  <c r="V584" i="15" s="1"/>
  <c r="U584" i="15" s="1"/>
  <c r="I236" i="2"/>
  <c r="O593" i="15" s="1"/>
  <c r="W593" i="15" s="1"/>
  <c r="V593" i="15" s="1"/>
  <c r="U593" i="15" s="1"/>
  <c r="DD531" i="2"/>
  <c r="AE643" i="15" s="1"/>
  <c r="AC643" i="15" s="1"/>
  <c r="I571" i="2"/>
  <c r="O647" i="15" s="1"/>
  <c r="V647" i="15" s="1"/>
  <c r="U647" i="15" s="1"/>
  <c r="I547" i="2"/>
  <c r="O644" i="15" s="1"/>
  <c r="V644" i="15" s="1"/>
  <c r="U644" i="15" s="1"/>
  <c r="W662" i="15"/>
  <c r="V662" i="15" s="1"/>
  <c r="U662" i="15" s="1"/>
  <c r="I459" i="2"/>
  <c r="O628" i="15" s="1"/>
  <c r="V628" i="15" s="1"/>
  <c r="U628" i="15" s="1"/>
  <c r="I479" i="2"/>
  <c r="O629" i="15" s="1"/>
  <c r="V629" i="15" s="1"/>
  <c r="U629" i="15" s="1"/>
  <c r="I480" i="2"/>
  <c r="O630" i="15" s="1"/>
  <c r="V630" i="15" s="1"/>
  <c r="U630" i="15" s="1"/>
  <c r="I481" i="2"/>
  <c r="O631" i="15" s="1"/>
  <c r="V631" i="15" s="1"/>
  <c r="U631" i="15" s="1"/>
  <c r="I482" i="2"/>
  <c r="O632" i="15" s="1"/>
  <c r="V632" i="15" s="1"/>
  <c r="U632" i="15" s="1"/>
  <c r="I483" i="2"/>
  <c r="O633" i="15" s="1"/>
  <c r="V633" i="15" s="1"/>
  <c r="U633" i="15" s="1"/>
  <c r="I484" i="2"/>
  <c r="O634" i="15" s="1"/>
  <c r="I485" i="2"/>
  <c r="O635" i="15" s="1"/>
  <c r="V635" i="15" s="1"/>
  <c r="U635" i="15" s="1"/>
  <c r="I511" i="2"/>
  <c r="O642" i="15" s="1"/>
  <c r="I656" i="2"/>
  <c r="O654" i="15" s="1"/>
  <c r="I688" i="2"/>
  <c r="O656" i="15" s="1"/>
  <c r="U656" i="15" s="1"/>
  <c r="I705" i="2"/>
  <c r="O658" i="15" s="1"/>
  <c r="V658" i="15" s="1"/>
  <c r="U658" i="15" s="1"/>
  <c r="I706" i="2"/>
  <c r="O659" i="15" s="1"/>
  <c r="I724" i="2"/>
  <c r="O660" i="15" s="1"/>
  <c r="W660" i="15" s="1"/>
  <c r="V660" i="15" s="1"/>
  <c r="U660" i="15" s="1"/>
  <c r="I759" i="2"/>
  <c r="O664" i="15" s="1"/>
  <c r="V664" i="15" s="1"/>
  <c r="U664" i="15" s="1"/>
  <c r="Z246" i="15"/>
  <c r="AC204" i="15"/>
  <c r="Z262" i="15"/>
  <c r="Z252" i="15"/>
  <c r="AD251" i="15"/>
  <c r="AN191" i="15"/>
  <c r="W117" i="15"/>
  <c r="AN347" i="15"/>
  <c r="I616" i="15"/>
  <c r="I617" i="15"/>
  <c r="AN351" i="15"/>
  <c r="AN82" i="15"/>
  <c r="AN355" i="15"/>
  <c r="AN357" i="15"/>
  <c r="AN284" i="15"/>
  <c r="AN356" i="15"/>
  <c r="I190" i="15"/>
  <c r="Z225" i="15"/>
  <c r="AD229" i="15"/>
  <c r="AD225" i="15"/>
  <c r="O190" i="15"/>
  <c r="AC191" i="15"/>
  <c r="AC227" i="15"/>
  <c r="AN42" i="15"/>
  <c r="AN384" i="15"/>
  <c r="Z111" i="15"/>
  <c r="Z526" i="15"/>
  <c r="AN190" i="15"/>
  <c r="AN254" i="15"/>
  <c r="AN196" i="15"/>
  <c r="AA615" i="15"/>
  <c r="I776" i="2"/>
  <c r="O665" i="15" s="1"/>
  <c r="W665" i="15" s="1"/>
  <c r="V665" i="15" s="1"/>
  <c r="U665" i="15" s="1"/>
  <c r="AN94" i="15"/>
  <c r="AN97" i="15"/>
  <c r="I388" i="15"/>
  <c r="AN388" i="15" s="1"/>
  <c r="I241" i="15"/>
  <c r="I354" i="15"/>
  <c r="I362" i="15"/>
  <c r="I380" i="15"/>
  <c r="AN36" i="15"/>
  <c r="P190" i="15"/>
  <c r="W190" i="15" s="1"/>
  <c r="AN500" i="15"/>
  <c r="W615" i="15"/>
  <c r="V615" i="15" s="1"/>
  <c r="U615" i="15" s="1"/>
  <c r="AN251" i="15"/>
  <c r="AN382" i="15"/>
  <c r="P266" i="15"/>
  <c r="W266" i="15" s="1"/>
  <c r="AN360" i="15"/>
  <c r="AN358" i="15"/>
  <c r="AN613" i="15"/>
  <c r="AO613" i="15" s="1"/>
  <c r="Z254" i="15"/>
  <c r="AN474" i="15"/>
  <c r="Z155" i="15"/>
  <c r="AD258" i="15"/>
  <c r="AD244" i="15"/>
  <c r="O165" i="15"/>
  <c r="AD241" i="15"/>
  <c r="P235" i="15"/>
  <c r="W235" i="15" s="1"/>
  <c r="AC212" i="15"/>
  <c r="P167" i="15"/>
  <c r="W167" i="15" s="1"/>
  <c r="O167" i="15"/>
  <c r="AC247" i="15"/>
  <c r="I227" i="15"/>
  <c r="AN263" i="15"/>
  <c r="AN232" i="15"/>
  <c r="AN229" i="15"/>
  <c r="Z213" i="15"/>
  <c r="Z235" i="15"/>
  <c r="I381" i="15"/>
  <c r="I640" i="2"/>
  <c r="O653" i="15" s="1"/>
  <c r="U653" i="15" s="1"/>
  <c r="I614" i="15"/>
  <c r="I615" i="15"/>
  <c r="I613" i="15"/>
  <c r="I456" i="2"/>
  <c r="O625" i="15" s="1"/>
  <c r="V625" i="15" s="1"/>
  <c r="U625" i="15" s="1"/>
  <c r="I457" i="2"/>
  <c r="O626" i="15" s="1"/>
  <c r="V626" i="15" s="1"/>
  <c r="U626" i="15" s="1"/>
  <c r="I458" i="2"/>
  <c r="O627" i="15" s="1"/>
  <c r="V627" i="15" s="1"/>
  <c r="U627" i="15" s="1"/>
  <c r="AA616" i="15"/>
  <c r="AN617" i="15"/>
  <c r="AO617" i="15" s="1"/>
  <c r="AN616" i="15"/>
  <c r="AO616" i="15" s="1"/>
  <c r="AN615" i="15"/>
  <c r="AO615" i="15" s="1"/>
  <c r="AN614" i="15"/>
  <c r="DB376" i="2"/>
  <c r="AA612" i="15" s="1"/>
  <c r="I374" i="2"/>
  <c r="Q610" i="15" s="1"/>
  <c r="O610" i="15" s="1"/>
  <c r="W610" i="15" s="1"/>
  <c r="V610" i="15" s="1"/>
  <c r="U610" i="15" s="1"/>
  <c r="I376" i="2"/>
  <c r="Q612" i="15" s="1"/>
  <c r="O612" i="15" s="1"/>
  <c r="W612" i="15" s="1"/>
  <c r="V612" i="15" s="1"/>
  <c r="U612" i="15" s="1"/>
  <c r="I342" i="2"/>
  <c r="O607" i="15" s="1"/>
  <c r="AN22" i="15"/>
  <c r="O274" i="15"/>
  <c r="W274" i="15" s="1"/>
  <c r="AN420" i="15"/>
  <c r="AN390" i="15"/>
  <c r="I259" i="15"/>
  <c r="O123" i="15"/>
  <c r="I196" i="15"/>
  <c r="AD235" i="15"/>
  <c r="AN68" i="15"/>
  <c r="AN123" i="15"/>
  <c r="J201" i="15"/>
  <c r="I218" i="15"/>
  <c r="I231" i="15"/>
  <c r="Z245" i="15"/>
  <c r="AC237" i="15"/>
  <c r="AN74" i="15"/>
  <c r="I188" i="15"/>
  <c r="AN446" i="15"/>
  <c r="AN449" i="15"/>
  <c r="O150" i="15"/>
  <c r="W150" i="15"/>
  <c r="AN280" i="15"/>
  <c r="AN551" i="15"/>
  <c r="AN121" i="15"/>
  <c r="AO121" i="15" s="1"/>
  <c r="I358" i="15"/>
  <c r="AN214" i="15"/>
  <c r="Z237" i="15"/>
  <c r="AN62" i="15"/>
  <c r="Z352" i="15"/>
  <c r="AN273" i="15"/>
  <c r="W617" i="15"/>
  <c r="V617" i="15" s="1"/>
  <c r="U617" i="15" s="1"/>
  <c r="I233" i="15"/>
  <c r="Z350" i="15"/>
  <c r="I355" i="15"/>
  <c r="I359" i="15"/>
  <c r="I361" i="15"/>
  <c r="AN363" i="15"/>
  <c r="AN364" i="15"/>
  <c r="AN381" i="15"/>
  <c r="AN385" i="15"/>
  <c r="I387" i="15"/>
  <c r="AN387" i="15" s="1"/>
  <c r="AN442" i="15"/>
  <c r="AN452" i="15"/>
  <c r="AN456" i="15"/>
  <c r="AN188" i="15"/>
  <c r="W120" i="15"/>
  <c r="AC264" i="15"/>
  <c r="AN353" i="15"/>
  <c r="I353" i="15"/>
  <c r="AN133" i="15"/>
  <c r="AO133" i="15" s="1"/>
  <c r="I357" i="15"/>
  <c r="I382" i="15"/>
  <c r="AN448" i="15"/>
  <c r="AN451" i="15"/>
  <c r="AD262" i="15"/>
  <c r="AN102" i="15"/>
  <c r="AO102" i="15" s="1"/>
  <c r="I384" i="15"/>
  <c r="I385" i="15"/>
  <c r="AN445" i="15"/>
  <c r="AN359" i="15"/>
  <c r="AN527" i="15"/>
  <c r="AO527" i="15" s="1"/>
  <c r="O191" i="15"/>
  <c r="W191" i="15" s="1"/>
  <c r="AN162" i="15"/>
  <c r="I356" i="15"/>
  <c r="I360" i="15"/>
  <c r="AN439" i="15"/>
  <c r="AN43" i="15"/>
  <c r="DD23" i="2"/>
  <c r="DB23" i="2" s="1"/>
  <c r="AA548" i="15" s="1"/>
  <c r="AA613" i="15"/>
  <c r="DC13" i="2"/>
  <c r="DD13" i="2" s="1"/>
  <c r="AE538" i="15" s="1"/>
  <c r="AC538" i="15" s="1"/>
  <c r="DC22" i="2"/>
  <c r="DD22" i="2" s="1"/>
  <c r="AE547" i="15" s="1"/>
  <c r="AC547" i="15" s="1"/>
  <c r="DC19" i="2"/>
  <c r="DD19" i="2" s="1"/>
  <c r="AE544" i="15" s="1"/>
  <c r="AC544" i="15" s="1"/>
  <c r="DC16" i="2"/>
  <c r="DD16" i="2" s="1"/>
  <c r="AE541" i="15" s="1"/>
  <c r="AC541" i="15" s="1"/>
  <c r="DC12" i="2"/>
  <c r="DD12" i="2" s="1"/>
  <c r="AE537" i="15" s="1"/>
  <c r="AC537" i="15" s="1"/>
  <c r="DC11" i="2"/>
  <c r="DD11" i="2" s="1"/>
  <c r="AE536" i="15" s="1"/>
  <c r="AC536" i="15" s="1"/>
  <c r="V509" i="15"/>
  <c r="AN233" i="15"/>
  <c r="AN14" i="15"/>
  <c r="AN236" i="15"/>
  <c r="AN244" i="15"/>
  <c r="I244" i="15"/>
  <c r="AN389" i="15"/>
  <c r="AN11" i="15"/>
  <c r="Z176" i="15"/>
  <c r="AN100" i="15"/>
  <c r="AN354" i="15"/>
  <c r="J167" i="15"/>
  <c r="Z490" i="15"/>
  <c r="AN380" i="15"/>
  <c r="AN72" i="15"/>
  <c r="AN96" i="15"/>
  <c r="AN395" i="15"/>
  <c r="AN433" i="15"/>
  <c r="AN444" i="15"/>
  <c r="AN450" i="15"/>
  <c r="AN67" i="15"/>
  <c r="AN383" i="15"/>
  <c r="AN434" i="15"/>
  <c r="AN441" i="15"/>
  <c r="AN454" i="15"/>
  <c r="AN58" i="15"/>
  <c r="AN27" i="15"/>
  <c r="AN366" i="15"/>
  <c r="AN438" i="15"/>
  <c r="AN44" i="15"/>
  <c r="AN73" i="15"/>
  <c r="AN362" i="15"/>
  <c r="AN80" i="15"/>
  <c r="AN117" i="15"/>
  <c r="AO117" i="15" s="1"/>
  <c r="AN437" i="15"/>
  <c r="AN453" i="15"/>
  <c r="AN37" i="15"/>
  <c r="AN55" i="15"/>
  <c r="AN553" i="15"/>
  <c r="AN127" i="15"/>
  <c r="AO127" i="15" s="1"/>
  <c r="AN35" i="15"/>
  <c r="I44" i="15"/>
  <c r="AN54" i="15"/>
  <c r="AN47" i="15"/>
  <c r="AN48" i="15"/>
  <c r="AN53" i="15"/>
  <c r="AN49" i="15"/>
  <c r="AN212" i="15"/>
  <c r="AN99" i="15"/>
  <c r="AN447" i="15"/>
  <c r="AN455" i="15"/>
  <c r="AN45" i="15"/>
  <c r="AN52" i="15"/>
  <c r="AN60" i="15"/>
  <c r="Z190" i="15"/>
  <c r="DB479" i="2"/>
  <c r="AA629" i="15" s="1"/>
  <c r="I11" i="2"/>
  <c r="O536" i="15" s="1"/>
  <c r="DC21" i="2"/>
  <c r="DD21" i="2" s="1"/>
  <c r="AE546" i="15" s="1"/>
  <c r="AC546" i="15" s="1"/>
  <c r="DC10" i="2"/>
  <c r="DD10" i="2" s="1"/>
  <c r="DB10" i="2" s="1"/>
  <c r="AA535" i="15" s="1"/>
  <c r="I15" i="2"/>
  <c r="O540" i="15" s="1"/>
  <c r="V540" i="15" s="1"/>
  <c r="U540" i="15" s="1"/>
  <c r="DB455" i="2"/>
  <c r="AA624" i="15" s="1"/>
  <c r="I12" i="2"/>
  <c r="O537" i="15" s="1"/>
  <c r="V537" i="15" s="1"/>
  <c r="U537" i="15" s="1"/>
  <c r="I24" i="2"/>
  <c r="O549" i="15" s="1"/>
  <c r="I30" i="2"/>
  <c r="O555" i="15" s="1"/>
  <c r="W613" i="15"/>
  <c r="V613" i="15" s="1"/>
  <c r="U613" i="15" s="1"/>
  <c r="I9" i="2"/>
  <c r="O534" i="15" s="1"/>
  <c r="W534" i="15" s="1"/>
  <c r="V534" i="15" s="1"/>
  <c r="U534" i="15" s="1"/>
  <c r="I10" i="2"/>
  <c r="O535" i="15" s="1"/>
  <c r="W535" i="15" s="1"/>
  <c r="V535" i="15" s="1"/>
  <c r="U535" i="15" s="1"/>
  <c r="DC14" i="2"/>
  <c r="DD14" i="2" s="1"/>
  <c r="I16" i="2"/>
  <c r="O541" i="15" s="1"/>
  <c r="V541" i="15" s="1"/>
  <c r="U541" i="15" s="1"/>
  <c r="DC20" i="2"/>
  <c r="DD20" i="2" s="1"/>
  <c r="DC17" i="2"/>
  <c r="DD17" i="2" s="1"/>
  <c r="DC15" i="2"/>
  <c r="DD15" i="2" s="1"/>
  <c r="DC18" i="2"/>
  <c r="DD18" i="2" s="1"/>
  <c r="AN612" i="15"/>
  <c r="W616" i="15"/>
  <c r="V616" i="15" s="1"/>
  <c r="U616" i="15" s="1"/>
  <c r="AN163" i="15"/>
  <c r="AN61" i="15"/>
  <c r="Z137" i="15" l="1"/>
  <c r="AC274" i="15"/>
  <c r="AN248" i="15"/>
  <c r="AD255" i="15"/>
  <c r="BD30" i="3"/>
  <c r="G14" i="3"/>
  <c r="O16" i="15" s="1"/>
  <c r="W16" i="15" s="1"/>
  <c r="I9" i="15"/>
  <c r="AN9" i="15" s="1"/>
  <c r="G30" i="3"/>
  <c r="O32" i="15" s="1"/>
  <c r="W32" i="15" s="1"/>
  <c r="BB14" i="3"/>
  <c r="AA16" i="15" s="1"/>
  <c r="AE16" i="15"/>
  <c r="AC16" i="15" s="1"/>
  <c r="I16" i="15"/>
  <c r="AN16" i="15" s="1"/>
  <c r="BD17" i="3"/>
  <c r="AE19" i="15" s="1"/>
  <c r="AC19" i="15" s="1"/>
  <c r="I19" i="15"/>
  <c r="AN19" i="15" s="1"/>
  <c r="G11" i="3"/>
  <c r="O13" i="15" s="1"/>
  <c r="W13" i="15" s="1"/>
  <c r="G7" i="3"/>
  <c r="O9" i="15" s="1"/>
  <c r="W9" i="15" s="1"/>
  <c r="BD11" i="3"/>
  <c r="AE13" i="15" s="1"/>
  <c r="AC13" i="15" s="1"/>
  <c r="I21" i="15"/>
  <c r="AN21" i="15" s="1"/>
  <c r="BD26" i="3"/>
  <c r="BB10" i="3"/>
  <c r="AA12" i="15" s="1"/>
  <c r="BB20" i="3"/>
  <c r="AA22" i="15" s="1"/>
  <c r="DB740" i="2"/>
  <c r="AA661" i="15" s="1"/>
  <c r="DB505" i="2"/>
  <c r="AA636" i="15" s="1"/>
  <c r="DB456" i="2"/>
  <c r="AA625" i="15" s="1"/>
  <c r="DB588" i="2"/>
  <c r="DB688" i="2"/>
  <c r="AA656" i="15" s="1"/>
  <c r="BB434" i="9"/>
  <c r="AA512" i="15" s="1"/>
  <c r="AO510" i="15"/>
  <c r="BB193" i="9"/>
  <c r="AA490" i="15" s="1"/>
  <c r="BB432" i="9"/>
  <c r="AA510" i="15" s="1"/>
  <c r="BB1295" i="7"/>
  <c r="AA434" i="15" s="1"/>
  <c r="BB1303" i="7"/>
  <c r="AA442" i="15" s="1"/>
  <c r="K132" i="7"/>
  <c r="O314" i="15" s="1"/>
  <c r="W314" i="15" s="1"/>
  <c r="BB882" i="7"/>
  <c r="AA380" i="15" s="1"/>
  <c r="AE387" i="15"/>
  <c r="AC387" i="15" s="1"/>
  <c r="BD442" i="7"/>
  <c r="AE331" i="15" s="1"/>
  <c r="AC331" i="15" s="1"/>
  <c r="AE433" i="15"/>
  <c r="AC433" i="15" s="1"/>
  <c r="BB671" i="7"/>
  <c r="AA355" i="15" s="1"/>
  <c r="BB1304" i="7"/>
  <c r="AA443" i="15" s="1"/>
  <c r="AE435" i="15"/>
  <c r="AC435" i="15" s="1"/>
  <c r="I314" i="15"/>
  <c r="AN314" i="15" s="1"/>
  <c r="AO314" i="15" s="1"/>
  <c r="BD143" i="7"/>
  <c r="BB143" i="7" s="1"/>
  <c r="AA325" i="15" s="1"/>
  <c r="BB1314" i="7"/>
  <c r="AA453" i="15" s="1"/>
  <c r="BB888" i="7"/>
  <c r="AA383" i="15" s="1"/>
  <c r="AC205" i="15"/>
  <c r="BB1200" i="6"/>
  <c r="AA187" i="15" s="1"/>
  <c r="AE187" i="15"/>
  <c r="I1456" i="6"/>
  <c r="S207" i="15" s="1"/>
  <c r="P207" i="15" s="1"/>
  <c r="W207" i="15" s="1"/>
  <c r="K813" i="6"/>
  <c r="AN215" i="15"/>
  <c r="BB1484" i="6"/>
  <c r="AA219" i="15" s="1"/>
  <c r="O206" i="15"/>
  <c r="O249" i="15"/>
  <c r="AO249" i="15" s="1"/>
  <c r="AD245" i="15"/>
  <c r="BB1534" i="6"/>
  <c r="AA238" i="15" s="1"/>
  <c r="AC233" i="15"/>
  <c r="Z256" i="15"/>
  <c r="AC220" i="15"/>
  <c r="Z149" i="15"/>
  <c r="Z243" i="15"/>
  <c r="O130" i="15"/>
  <c r="AO130" i="15" s="1"/>
  <c r="J206" i="15"/>
  <c r="BB1190" i="6"/>
  <c r="AA182" i="15" s="1"/>
  <c r="BB1480" i="6"/>
  <c r="AA217" i="15" s="1"/>
  <c r="BB130" i="6"/>
  <c r="AA121" i="15" s="1"/>
  <c r="BB71" i="16"/>
  <c r="AA41" i="15" s="1"/>
  <c r="AE194" i="15"/>
  <c r="AC194" i="15" s="1"/>
  <c r="BB1414" i="6"/>
  <c r="AA194" i="15" s="1"/>
  <c r="BB1430" i="6"/>
  <c r="AA200" i="15" s="1"/>
  <c r="AC265" i="15"/>
  <c r="I198" i="2"/>
  <c r="O590" i="15" s="1"/>
  <c r="W590" i="15" s="1"/>
  <c r="V590" i="15" s="1"/>
  <c r="U590" i="15" s="1"/>
  <c r="BB209" i="16"/>
  <c r="AA49" i="15" s="1"/>
  <c r="I90" i="15"/>
  <c r="AN90" i="15" s="1"/>
  <c r="BD19" i="3"/>
  <c r="K162" i="9"/>
  <c r="O488" i="15" s="1"/>
  <c r="V488" i="15" s="1"/>
  <c r="J809" i="7"/>
  <c r="O374" i="15" s="1"/>
  <c r="V374" i="15" s="1"/>
  <c r="I489" i="15"/>
  <c r="AN489" i="15" s="1"/>
  <c r="K277" i="15"/>
  <c r="I277" i="15" s="1"/>
  <c r="BD1552" i="6"/>
  <c r="AG243" i="15" s="1"/>
  <c r="AD243" i="15" s="1"/>
  <c r="I1644" i="6"/>
  <c r="Q269" i="15" s="1"/>
  <c r="I1434" i="6"/>
  <c r="Q201" i="15" s="1"/>
  <c r="O201" i="15" s="1"/>
  <c r="I414" i="15"/>
  <c r="AN414" i="15" s="1"/>
  <c r="X271" i="15"/>
  <c r="Z271" i="15" s="1"/>
  <c r="BC1648" i="6"/>
  <c r="BD62" i="16"/>
  <c r="BB61" i="16" s="1"/>
  <c r="AA36" i="15" s="1"/>
  <c r="BD162" i="9"/>
  <c r="BB162" i="9" s="1"/>
  <c r="AA488" i="15" s="1"/>
  <c r="BB30" i="3"/>
  <c r="AA32" i="15" s="1"/>
  <c r="L510" i="7"/>
  <c r="O337" i="15" s="1"/>
  <c r="W337" i="15" s="1"/>
  <c r="BB1113" i="7"/>
  <c r="BB1306" i="7"/>
  <c r="AA445" i="15" s="1"/>
  <c r="BB1646" i="6"/>
  <c r="AA270" i="15" s="1"/>
  <c r="AB271" i="15"/>
  <c r="BB143" i="6"/>
  <c r="AA129" i="15" s="1"/>
  <c r="X179" i="15"/>
  <c r="Z179" i="15" s="1"/>
  <c r="I903" i="7"/>
  <c r="R390" i="15" s="1"/>
  <c r="O390" i="15" s="1"/>
  <c r="V390" i="15" s="1"/>
  <c r="BE593" i="7"/>
  <c r="AB348" i="15"/>
  <c r="K265" i="15"/>
  <c r="I265" i="15" s="1"/>
  <c r="I1632" i="6"/>
  <c r="Q265" i="15" s="1"/>
  <c r="O265" i="15" s="1"/>
  <c r="DD198" i="2"/>
  <c r="AE590" i="15" s="1"/>
  <c r="AC590" i="15" s="1"/>
  <c r="W506" i="15"/>
  <c r="AO506" i="15"/>
  <c r="BB7" i="9"/>
  <c r="AA470" i="15" s="1"/>
  <c r="BE553" i="7"/>
  <c r="BB553" i="7" s="1"/>
  <c r="AA342" i="15" s="1"/>
  <c r="AB342" i="15"/>
  <c r="BD905" i="7"/>
  <c r="AF391" i="15" s="1"/>
  <c r="AC391" i="15" s="1"/>
  <c r="AB341" i="15"/>
  <c r="BE552" i="7"/>
  <c r="BB552" i="7" s="1"/>
  <c r="AA341" i="15" s="1"/>
  <c r="M1112" i="7"/>
  <c r="O416" i="15" s="1"/>
  <c r="W416" i="15" s="1"/>
  <c r="BD1112" i="7"/>
  <c r="BB1112" i="7" s="1"/>
  <c r="V57" i="15"/>
  <c r="AO57" i="15"/>
  <c r="BE1422" i="6"/>
  <c r="AB197" i="15"/>
  <c r="X277" i="15"/>
  <c r="Z277" i="15" s="1"/>
  <c r="BC1660" i="6"/>
  <c r="BD1660" i="6" s="1"/>
  <c r="AE277" i="15" s="1"/>
  <c r="AC277" i="15" s="1"/>
  <c r="X234" i="15"/>
  <c r="Z234" i="15" s="1"/>
  <c r="BC1522" i="6"/>
  <c r="BD1522" i="6" s="1"/>
  <c r="AE234" i="15" s="1"/>
  <c r="AC234" i="15" s="1"/>
  <c r="X221" i="15"/>
  <c r="Z221" i="15" s="1"/>
  <c r="BC1488" i="6"/>
  <c r="BD1488" i="6" s="1"/>
  <c r="AE221" i="15" s="1"/>
  <c r="AC221" i="15" s="1"/>
  <c r="J207" i="5"/>
  <c r="O89" i="15" s="1"/>
  <c r="V89" i="15" s="1"/>
  <c r="I89" i="15"/>
  <c r="AN89" i="15" s="1"/>
  <c r="BD207" i="5"/>
  <c r="BB205" i="5"/>
  <c r="AA87" i="15" s="1"/>
  <c r="AE87" i="15"/>
  <c r="AC87" i="15" s="1"/>
  <c r="AO87" i="15"/>
  <c r="BB256" i="5"/>
  <c r="AA91" i="15" s="1"/>
  <c r="AE91" i="15"/>
  <c r="AC91" i="15" s="1"/>
  <c r="AC186" i="15"/>
  <c r="BE8" i="9"/>
  <c r="BB8" i="9" s="1"/>
  <c r="AA471" i="15" s="1"/>
  <c r="AB471" i="15"/>
  <c r="AO472" i="15"/>
  <c r="BD163" i="9"/>
  <c r="BB163" i="9" s="1"/>
  <c r="AA489" i="15" s="1"/>
  <c r="AO470" i="15"/>
  <c r="I8" i="9"/>
  <c r="Q471" i="15" s="1"/>
  <c r="O471" i="15" s="1"/>
  <c r="U471" i="15" s="1"/>
  <c r="K471" i="15"/>
  <c r="I471" i="15" s="1"/>
  <c r="AN471" i="15" s="1"/>
  <c r="O477" i="15"/>
  <c r="U477" i="15" s="1"/>
  <c r="O476" i="15"/>
  <c r="AD242" i="15"/>
  <c r="O474" i="15"/>
  <c r="U474" i="15" s="1"/>
  <c r="AD254" i="15"/>
  <c r="O182" i="15"/>
  <c r="W182" i="15" s="1"/>
  <c r="AO500" i="15"/>
  <c r="V572" i="15"/>
  <c r="U572" i="15" s="1"/>
  <c r="AC218" i="15"/>
  <c r="O363" i="15"/>
  <c r="AO363" i="15" s="1"/>
  <c r="AC231" i="15"/>
  <c r="Z242" i="15"/>
  <c r="AD248" i="15"/>
  <c r="V35" i="15"/>
  <c r="AC232" i="15"/>
  <c r="V39" i="15"/>
  <c r="AO134" i="15"/>
  <c r="AC242" i="15"/>
  <c r="AC187" i="15"/>
  <c r="P251" i="15"/>
  <c r="W251" i="15" s="1"/>
  <c r="AO513" i="15"/>
  <c r="O267" i="15"/>
  <c r="O233" i="15"/>
  <c r="W233" i="15" s="1"/>
  <c r="AO525" i="15"/>
  <c r="P247" i="15"/>
  <c r="W247" i="15" s="1"/>
  <c r="AC275" i="15"/>
  <c r="AD247" i="15"/>
  <c r="AC381" i="15"/>
  <c r="O195" i="15"/>
  <c r="W195" i="15" s="1"/>
  <c r="AC208" i="15"/>
  <c r="O231" i="15"/>
  <c r="AO231" i="15" s="1"/>
  <c r="AP231" i="15" s="1"/>
  <c r="AO242" i="15"/>
  <c r="O227" i="15"/>
  <c r="AO227" i="15" s="1"/>
  <c r="O246" i="15"/>
  <c r="AO246" i="15" s="1"/>
  <c r="M168" i="15"/>
  <c r="J168" i="15" s="1"/>
  <c r="Y261" i="15"/>
  <c r="Z261" i="15" s="1"/>
  <c r="BC1622" i="6"/>
  <c r="BD1622" i="6" s="1"/>
  <c r="AG261" i="15" s="1"/>
  <c r="AD261" i="15" s="1"/>
  <c r="Z116" i="15"/>
  <c r="AO14" i="15"/>
  <c r="U61" i="15"/>
  <c r="Z168" i="15"/>
  <c r="AC217" i="15"/>
  <c r="O271" i="15"/>
  <c r="W271" i="15" s="1"/>
  <c r="Z139" i="15"/>
  <c r="I602" i="15"/>
  <c r="V38" i="15"/>
  <c r="O210" i="15"/>
  <c r="W210" i="15" s="1"/>
  <c r="P254" i="15"/>
  <c r="W254" i="15" s="1"/>
  <c r="O266" i="15"/>
  <c r="AC239" i="15"/>
  <c r="I264" i="15"/>
  <c r="J212" i="15"/>
  <c r="AO115" i="15"/>
  <c r="O222" i="15"/>
  <c r="W222" i="15" s="1"/>
  <c r="O238" i="15"/>
  <c r="W238" i="15" s="1"/>
  <c r="O237" i="15"/>
  <c r="AO237" i="15" s="1"/>
  <c r="AD252" i="15"/>
  <c r="O258" i="15"/>
  <c r="AO258" i="15" s="1"/>
  <c r="O272" i="15"/>
  <c r="W272" i="15" s="1"/>
  <c r="AC256" i="15"/>
  <c r="AN184" i="15"/>
  <c r="Z180" i="15"/>
  <c r="AO61" i="15"/>
  <c r="AO52" i="15"/>
  <c r="AO162" i="15"/>
  <c r="AO490" i="15"/>
  <c r="AN201" i="15"/>
  <c r="O200" i="15"/>
  <c r="AO200" i="15" s="1"/>
  <c r="P200" i="15"/>
  <c r="W200" i="15" s="1"/>
  <c r="O204" i="15"/>
  <c r="W204" i="15" s="1"/>
  <c r="O381" i="15"/>
  <c r="V381" i="15" s="1"/>
  <c r="AD200" i="15"/>
  <c r="AO48" i="15"/>
  <c r="AN40" i="15"/>
  <c r="AO40" i="15" s="1"/>
  <c r="AO50" i="15"/>
  <c r="V59" i="15"/>
  <c r="O236" i="15"/>
  <c r="W236" i="15" s="1"/>
  <c r="O216" i="15"/>
  <c r="W216" i="15" s="1"/>
  <c r="AC270" i="15"/>
  <c r="I206" i="15"/>
  <c r="I185" i="15"/>
  <c r="AO47" i="15"/>
  <c r="I272" i="15"/>
  <c r="O230" i="15"/>
  <c r="AO230" i="15" s="1"/>
  <c r="P239" i="15"/>
  <c r="W239" i="15" s="1"/>
  <c r="P256" i="15"/>
  <c r="W256" i="15" s="1"/>
  <c r="P262" i="15"/>
  <c r="W262" i="15" s="1"/>
  <c r="O257" i="15"/>
  <c r="W257" i="15" s="1"/>
  <c r="O202" i="15"/>
  <c r="AO202" i="15" s="1"/>
  <c r="O218" i="15"/>
  <c r="W218" i="15" s="1"/>
  <c r="I183" i="15"/>
  <c r="AC238" i="15"/>
  <c r="O184" i="15"/>
  <c r="W184" i="15" s="1"/>
  <c r="P206" i="15"/>
  <c r="W206" i="15" s="1"/>
  <c r="I220" i="15"/>
  <c r="O215" i="15"/>
  <c r="W215" i="15" s="1"/>
  <c r="AO499" i="15"/>
  <c r="O197" i="15"/>
  <c r="AO197" i="15" s="1"/>
  <c r="AC182" i="15"/>
  <c r="J242" i="15"/>
  <c r="AO498" i="15"/>
  <c r="AC235" i="15"/>
  <c r="O244" i="15"/>
  <c r="AO244" i="15" s="1"/>
  <c r="AD256" i="15"/>
  <c r="AC216" i="15"/>
  <c r="O183" i="15"/>
  <c r="W183" i="15" s="1"/>
  <c r="I186" i="15"/>
  <c r="AO49" i="15"/>
  <c r="AO58" i="15"/>
  <c r="O187" i="15"/>
  <c r="AO187" i="15" s="1"/>
  <c r="AC223" i="15"/>
  <c r="I268" i="15"/>
  <c r="P242" i="15"/>
  <c r="W242" i="15" s="1"/>
  <c r="AO442" i="15"/>
  <c r="AO280" i="15"/>
  <c r="V570" i="15"/>
  <c r="U570" i="15" s="1"/>
  <c r="AO283" i="15"/>
  <c r="AO526" i="15"/>
  <c r="AN253" i="15"/>
  <c r="AN266" i="15"/>
  <c r="I187" i="15"/>
  <c r="Z128" i="15"/>
  <c r="AO512" i="15"/>
  <c r="O212" i="15"/>
  <c r="AO212" i="15" s="1"/>
  <c r="AC359" i="15"/>
  <c r="AO60" i="15"/>
  <c r="AO528" i="15"/>
  <c r="O220" i="15"/>
  <c r="W220" i="15" s="1"/>
  <c r="P252" i="15"/>
  <c r="W252" i="15" s="1"/>
  <c r="O380" i="15"/>
  <c r="V380" i="15" s="1"/>
  <c r="AO55" i="15"/>
  <c r="O37" i="15"/>
  <c r="AO37" i="15" s="1"/>
  <c r="Z122" i="15"/>
  <c r="J244" i="15"/>
  <c r="AN269" i="15"/>
  <c r="AC209" i="15"/>
  <c r="P260" i="15"/>
  <c r="W260" i="15" s="1"/>
  <c r="P258" i="15"/>
  <c r="W258" i="15" s="1"/>
  <c r="AO423" i="15"/>
  <c r="AC184" i="15"/>
  <c r="I219" i="15"/>
  <c r="DB706" i="2"/>
  <c r="AO654" i="15"/>
  <c r="DB458" i="2"/>
  <c r="AA627" i="15" s="1"/>
  <c r="AO642" i="15"/>
  <c r="DB741" i="2"/>
  <c r="AA662" i="15" s="1"/>
  <c r="DB323" i="2"/>
  <c r="AA604" i="15" s="1"/>
  <c r="AO511" i="15"/>
  <c r="I1259" i="7"/>
  <c r="O431" i="15" s="1"/>
  <c r="AO431" i="15" s="1"/>
  <c r="K554" i="7"/>
  <c r="O343" i="15" s="1"/>
  <c r="W343" i="15" s="1"/>
  <c r="M1107" i="7"/>
  <c r="O411" i="15" s="1"/>
  <c r="W411" i="15" s="1"/>
  <c r="BD1259" i="7"/>
  <c r="AE431" i="15" s="1"/>
  <c r="AC431" i="15" s="1"/>
  <c r="I411" i="15"/>
  <c r="AN411" i="15" s="1"/>
  <c r="AB337" i="15"/>
  <c r="AO447" i="15"/>
  <c r="K129" i="7"/>
  <c r="O311" i="15" s="1"/>
  <c r="W311" i="15" s="1"/>
  <c r="BB510" i="7"/>
  <c r="AA337" i="15" s="1"/>
  <c r="AO649" i="15"/>
  <c r="AO515" i="15"/>
  <c r="AE364" i="15"/>
  <c r="AC364" i="15" s="1"/>
  <c r="BB1198" i="6"/>
  <c r="AA186" i="15" s="1"/>
  <c r="BB1194" i="6"/>
  <c r="AA184" i="15" s="1"/>
  <c r="AO247" i="15"/>
  <c r="AO281" i="15"/>
  <c r="AO453" i="15"/>
  <c r="AO455" i="15"/>
  <c r="AO446" i="15"/>
  <c r="AO163" i="15"/>
  <c r="AE455" i="15"/>
  <c r="AC455" i="15" s="1"/>
  <c r="I1260" i="7"/>
  <c r="P431" i="15" s="1"/>
  <c r="V431" i="15" s="1"/>
  <c r="BB1028" i="7"/>
  <c r="AA395" i="15" s="1"/>
  <c r="I1002" i="7"/>
  <c r="O394" i="15" s="1"/>
  <c r="V394" i="15" s="1"/>
  <c r="O382" i="15"/>
  <c r="V382" i="15" s="1"/>
  <c r="J808" i="7"/>
  <c r="O373" i="15" s="1"/>
  <c r="V373" i="15" s="1"/>
  <c r="BD808" i="7"/>
  <c r="AE373" i="15" s="1"/>
  <c r="AC373" i="15" s="1"/>
  <c r="O354" i="15"/>
  <c r="AO354" i="15" s="1"/>
  <c r="BE598" i="7"/>
  <c r="BB598" i="7" s="1"/>
  <c r="AA351" i="15" s="1"/>
  <c r="O592" i="7"/>
  <c r="O589" i="7"/>
  <c r="BD853" i="7"/>
  <c r="BD1260" i="7"/>
  <c r="AG431" i="15" s="1"/>
  <c r="AD431" i="15" s="1"/>
  <c r="I853" i="7"/>
  <c r="O378" i="15" s="1"/>
  <c r="V378" i="15" s="1"/>
  <c r="O360" i="15"/>
  <c r="AO360" i="15" s="1"/>
  <c r="AO451" i="15"/>
  <c r="BB1315" i="7"/>
  <c r="AA454" i="15" s="1"/>
  <c r="AE383" i="15"/>
  <c r="AC383" i="15" s="1"/>
  <c r="AC384" i="15"/>
  <c r="AO366" i="15"/>
  <c r="AE451" i="15"/>
  <c r="AC451" i="15" s="1"/>
  <c r="O385" i="15"/>
  <c r="V385" i="15" s="1"/>
  <c r="BB967" i="7"/>
  <c r="AA392" i="15" s="1"/>
  <c r="BB681" i="7"/>
  <c r="AA360" i="15" s="1"/>
  <c r="AO393" i="15"/>
  <c r="O389" i="15"/>
  <c r="V389" i="15" s="1"/>
  <c r="K551" i="7"/>
  <c r="O340" i="15" s="1"/>
  <c r="W340" i="15" s="1"/>
  <c r="K555" i="7"/>
  <c r="O344" i="15" s="1"/>
  <c r="W344" i="15" s="1"/>
  <c r="BD551" i="7"/>
  <c r="AE340" i="15" s="1"/>
  <c r="AC340" i="15" s="1"/>
  <c r="K480" i="7"/>
  <c r="O334" i="15" s="1"/>
  <c r="W334" i="15" s="1"/>
  <c r="BD480" i="7"/>
  <c r="BD481" i="7"/>
  <c r="K481" i="7"/>
  <c r="O335" i="15" s="1"/>
  <c r="W335" i="15" s="1"/>
  <c r="K440" i="7"/>
  <c r="O329" i="15" s="1"/>
  <c r="W329" i="15" s="1"/>
  <c r="I17" i="7"/>
  <c r="Q288" i="15" s="1"/>
  <c r="O288" i="15" s="1"/>
  <c r="AO288" i="15" s="1"/>
  <c r="BD10" i="7"/>
  <c r="BB10" i="7" s="1"/>
  <c r="AA281" i="15" s="1"/>
  <c r="I18" i="7"/>
  <c r="Q289" i="15" s="1"/>
  <c r="O289" i="15" s="1"/>
  <c r="AO289" i="15" s="1"/>
  <c r="BB212" i="16"/>
  <c r="AA52" i="15" s="1"/>
  <c r="AO53" i="15"/>
  <c r="AO38" i="15"/>
  <c r="I34" i="15"/>
  <c r="Q60" i="15"/>
  <c r="O186" i="15"/>
  <c r="W186" i="15" s="1"/>
  <c r="BB1192" i="6"/>
  <c r="AA183" i="15" s="1"/>
  <c r="BB1196" i="6"/>
  <c r="AA185" i="15" s="1"/>
  <c r="X3029" i="6"/>
  <c r="X3033" i="6"/>
  <c r="X3005" i="6"/>
  <c r="AO648" i="15"/>
  <c r="DB457" i="2"/>
  <c r="AA626" i="15" s="1"/>
  <c r="V568" i="15"/>
  <c r="U568" i="15" s="1"/>
  <c r="I645" i="15"/>
  <c r="AN645" i="15" s="1"/>
  <c r="I644" i="15"/>
  <c r="AN644" i="15" s="1"/>
  <c r="AO644" i="15" s="1"/>
  <c r="I664" i="15"/>
  <c r="AN664" i="15" s="1"/>
  <c r="AO664" i="15" s="1"/>
  <c r="I653" i="15"/>
  <c r="AN653" i="15" s="1"/>
  <c r="AO653" i="15" s="1"/>
  <c r="DD758" i="2"/>
  <c r="AE663" i="15" s="1"/>
  <c r="AC663" i="15" s="1"/>
  <c r="DB483" i="2"/>
  <c r="AA633" i="15" s="1"/>
  <c r="DB724" i="2"/>
  <c r="AA660" i="15" s="1"/>
  <c r="AO608" i="15"/>
  <c r="DB136" i="2"/>
  <c r="AA575" i="15" s="1"/>
  <c r="AO661" i="15"/>
  <c r="AN602" i="15"/>
  <c r="AO602" i="15" s="1"/>
  <c r="I600" i="15"/>
  <c r="AN600" i="15" s="1"/>
  <c r="DB485" i="2"/>
  <c r="AA635" i="15" s="1"/>
  <c r="DB776" i="2"/>
  <c r="AA665" i="15" s="1"/>
  <c r="I597" i="15"/>
  <c r="AN597" i="15" s="1"/>
  <c r="AO597" i="15" s="1"/>
  <c r="I595" i="15"/>
  <c r="AN595" i="15" s="1"/>
  <c r="I267" i="2"/>
  <c r="O596" i="15" s="1"/>
  <c r="V596" i="15" s="1"/>
  <c r="U596" i="15" s="1"/>
  <c r="DB606" i="2"/>
  <c r="I289" i="2"/>
  <c r="O600" i="15" s="1"/>
  <c r="V600" i="15" s="1"/>
  <c r="U600" i="15" s="1"/>
  <c r="I586" i="15"/>
  <c r="AN586" i="15" s="1"/>
  <c r="I197" i="2"/>
  <c r="O589" i="15" s="1"/>
  <c r="W589" i="15" s="1"/>
  <c r="V589" i="15" s="1"/>
  <c r="U589" i="15" s="1"/>
  <c r="I587" i="15"/>
  <c r="AN587" i="15" s="1"/>
  <c r="I601" i="15"/>
  <c r="AN601" i="15" s="1"/>
  <c r="AO530" i="15"/>
  <c r="AE511" i="15"/>
  <c r="AC511" i="15" s="1"/>
  <c r="I481" i="15"/>
  <c r="AN481" i="15" s="1"/>
  <c r="AO507" i="15"/>
  <c r="AE515" i="15"/>
  <c r="AC515" i="15" s="1"/>
  <c r="AO494" i="15"/>
  <c r="BB242" i="9"/>
  <c r="AA494" i="15" s="1"/>
  <c r="AO493" i="15"/>
  <c r="AO489" i="15"/>
  <c r="AO514" i="15"/>
  <c r="BB9" i="9"/>
  <c r="AA472" i="15" s="1"/>
  <c r="AO495" i="15"/>
  <c r="AE491" i="15"/>
  <c r="AC491" i="15" s="1"/>
  <c r="AO503" i="15"/>
  <c r="AO492" i="15"/>
  <c r="BD41" i="9"/>
  <c r="BE10" i="9"/>
  <c r="BB10" i="9" s="1"/>
  <c r="AA473" i="15" s="1"/>
  <c r="AB473" i="15"/>
  <c r="BE14" i="9"/>
  <c r="BB14" i="9" s="1"/>
  <c r="AA477" i="15" s="1"/>
  <c r="AB477" i="15"/>
  <c r="O353" i="15"/>
  <c r="AO353" i="15" s="1"/>
  <c r="O384" i="15"/>
  <c r="V384" i="15" s="1"/>
  <c r="BD555" i="7"/>
  <c r="BB555" i="7" s="1"/>
  <c r="AA344" i="15" s="1"/>
  <c r="BD903" i="7"/>
  <c r="AF390" i="15" s="1"/>
  <c r="AC390" i="15" s="1"/>
  <c r="AC354" i="15"/>
  <c r="AO452" i="15"/>
  <c r="J810" i="7"/>
  <c r="O375" i="15" s="1"/>
  <c r="V375" i="15" s="1"/>
  <c r="AO438" i="15"/>
  <c r="AO443" i="15"/>
  <c r="I343" i="15"/>
  <c r="AN343" i="15" s="1"/>
  <c r="AE452" i="15"/>
  <c r="AC452" i="15" s="1"/>
  <c r="BD1261" i="7"/>
  <c r="AE432" i="15" s="1"/>
  <c r="AC432" i="15" s="1"/>
  <c r="I337" i="15"/>
  <c r="AN337" i="15" s="1"/>
  <c r="M1093" i="7"/>
  <c r="O397" i="15" s="1"/>
  <c r="W397" i="15" s="1"/>
  <c r="BB1311" i="7"/>
  <c r="AA450" i="15" s="1"/>
  <c r="AO286" i="15"/>
  <c r="I1261" i="7"/>
  <c r="O432" i="15" s="1"/>
  <c r="AO432" i="15" s="1"/>
  <c r="I329" i="15"/>
  <c r="AN329" i="15" s="1"/>
  <c r="AO434" i="15"/>
  <c r="AO422" i="15"/>
  <c r="BB1309" i="7"/>
  <c r="AA448" i="15" s="1"/>
  <c r="BD1093" i="7"/>
  <c r="BB1093" i="7" s="1"/>
  <c r="AA397" i="15" s="1"/>
  <c r="O355" i="15"/>
  <c r="AO355" i="15" s="1"/>
  <c r="BD18" i="7"/>
  <c r="AE289" i="15" s="1"/>
  <c r="AC289" i="15" s="1"/>
  <c r="L391" i="15"/>
  <c r="I391" i="15" s="1"/>
  <c r="BD441" i="7"/>
  <c r="AE330" i="15" s="1"/>
  <c r="AC330" i="15" s="1"/>
  <c r="BB1101" i="7"/>
  <c r="AA405" i="15" s="1"/>
  <c r="BE551" i="7"/>
  <c r="AB340" i="15"/>
  <c r="BD810" i="7"/>
  <c r="AE375" i="15" s="1"/>
  <c r="AC375" i="15" s="1"/>
  <c r="AO425" i="15"/>
  <c r="O358" i="15"/>
  <c r="AO358" i="15" s="1"/>
  <c r="AC361" i="15"/>
  <c r="BD14" i="7"/>
  <c r="I852" i="7"/>
  <c r="O377" i="15" s="1"/>
  <c r="V377" i="15" s="1"/>
  <c r="BD852" i="7"/>
  <c r="AO448" i="15"/>
  <c r="O362" i="15"/>
  <c r="AO362" i="15" s="1"/>
  <c r="BB1310" i="7"/>
  <c r="AA449" i="15" s="1"/>
  <c r="BB550" i="7"/>
  <c r="AA339" i="15" s="1"/>
  <c r="AE355" i="15"/>
  <c r="AC355" i="15" s="1"/>
  <c r="AE425" i="15"/>
  <c r="AC425" i="15" s="1"/>
  <c r="AC353" i="15"/>
  <c r="BD57" i="7"/>
  <c r="BB57" i="7" s="1"/>
  <c r="AA295" i="15" s="1"/>
  <c r="AO444" i="15"/>
  <c r="AC357" i="15"/>
  <c r="M594" i="7"/>
  <c r="P348" i="15" s="1"/>
  <c r="I291" i="15"/>
  <c r="AN291" i="15" s="1"/>
  <c r="AO291" i="15" s="1"/>
  <c r="BB679" i="7"/>
  <c r="AA359" i="15" s="1"/>
  <c r="BD53" i="7"/>
  <c r="BB53" i="7" s="1"/>
  <c r="AA291" i="15" s="1"/>
  <c r="M593" i="7"/>
  <c r="O348" i="15" s="1"/>
  <c r="W348" i="15" s="1"/>
  <c r="BD127" i="7"/>
  <c r="AE309" i="15" s="1"/>
  <c r="AC309" i="15" s="1"/>
  <c r="K441" i="7"/>
  <c r="O330" i="15" s="1"/>
  <c r="W330" i="15" s="1"/>
  <c r="BB675" i="7"/>
  <c r="AA357" i="15" s="1"/>
  <c r="AB410" i="15"/>
  <c r="I416" i="15"/>
  <c r="AN416" i="15" s="1"/>
  <c r="O391" i="15"/>
  <c r="V391" i="15" s="1"/>
  <c r="AO396" i="15"/>
  <c r="AO449" i="15"/>
  <c r="AE401" i="15"/>
  <c r="AC401" i="15" s="1"/>
  <c r="AO328" i="15"/>
  <c r="K56" i="7"/>
  <c r="O294" i="15" s="1"/>
  <c r="W294" i="15" s="1"/>
  <c r="AO345" i="15"/>
  <c r="BB683" i="7"/>
  <c r="AA361" i="15" s="1"/>
  <c r="BB884" i="7"/>
  <c r="AA381" i="15" s="1"/>
  <c r="AO440" i="15"/>
  <c r="BB886" i="7"/>
  <c r="AA382" i="15" s="1"/>
  <c r="BB9" i="7"/>
  <c r="AA280" i="15" s="1"/>
  <c r="AO349" i="15"/>
  <c r="AO433" i="15"/>
  <c r="AO346" i="15"/>
  <c r="AC356" i="15"/>
  <c r="AE286" i="15"/>
  <c r="AC286" i="15" s="1"/>
  <c r="AE360" i="15"/>
  <c r="AC360" i="15" s="1"/>
  <c r="AE446" i="15"/>
  <c r="AC446" i="15" s="1"/>
  <c r="AC382" i="15"/>
  <c r="I408" i="15"/>
  <c r="AN408" i="15" s="1"/>
  <c r="AO408" i="15" s="1"/>
  <c r="AO414" i="15"/>
  <c r="AO454" i="15"/>
  <c r="AO395" i="15"/>
  <c r="AO364" i="15"/>
  <c r="AO420" i="15"/>
  <c r="BD511" i="7"/>
  <c r="BB511" i="7" s="1"/>
  <c r="AA338" i="15" s="1"/>
  <c r="AE396" i="15"/>
  <c r="AC396" i="15" s="1"/>
  <c r="K127" i="7"/>
  <c r="O309" i="15" s="1"/>
  <c r="W309" i="15" s="1"/>
  <c r="O383" i="15"/>
  <c r="V383" i="15" s="1"/>
  <c r="I290" i="15"/>
  <c r="AN290" i="15" s="1"/>
  <c r="AO401" i="15"/>
  <c r="K52" i="7"/>
  <c r="O290" i="15" s="1"/>
  <c r="W290" i="15" s="1"/>
  <c r="AO437" i="15"/>
  <c r="AO441" i="15"/>
  <c r="AO450" i="15"/>
  <c r="AO445" i="15"/>
  <c r="AO456" i="15"/>
  <c r="AO435" i="15"/>
  <c r="I326" i="15"/>
  <c r="AN326" i="15" s="1"/>
  <c r="AO326" i="15" s="1"/>
  <c r="K122" i="7"/>
  <c r="O304" i="15" s="1"/>
  <c r="W304" i="15" s="1"/>
  <c r="AE393" i="15"/>
  <c r="AC393" i="15" s="1"/>
  <c r="AB343" i="15"/>
  <c r="AE376" i="15"/>
  <c r="AC376" i="15" s="1"/>
  <c r="BB673" i="7"/>
  <c r="AA356" i="15" s="1"/>
  <c r="D656" i="7"/>
  <c r="BB16" i="7"/>
  <c r="AA287" i="15" s="1"/>
  <c r="BB667" i="7"/>
  <c r="AA353" i="15" s="1"/>
  <c r="AE447" i="15"/>
  <c r="AC447" i="15" s="1"/>
  <c r="BB687" i="7"/>
  <c r="AA363" i="15" s="1"/>
  <c r="AO339" i="15"/>
  <c r="BD594" i="7"/>
  <c r="AG348" i="15" s="1"/>
  <c r="AD348" i="15" s="1"/>
  <c r="O357" i="15"/>
  <c r="AO357" i="15" s="1"/>
  <c r="BD123" i="7"/>
  <c r="AE305" i="15" s="1"/>
  <c r="AC305" i="15" s="1"/>
  <c r="I379" i="15"/>
  <c r="AN379" i="15" s="1"/>
  <c r="I854" i="7"/>
  <c r="O379" i="15" s="1"/>
  <c r="V379" i="15" s="1"/>
  <c r="AE399" i="15"/>
  <c r="AC399" i="15" s="1"/>
  <c r="BB13" i="7"/>
  <c r="AA284" i="15" s="1"/>
  <c r="BB669" i="7"/>
  <c r="AA354" i="15" s="1"/>
  <c r="I14" i="7"/>
  <c r="Q285" i="15" s="1"/>
  <c r="O285" i="15" s="1"/>
  <c r="AO285" i="15" s="1"/>
  <c r="BD854" i="7"/>
  <c r="BD1104" i="7"/>
  <c r="AE408" i="15" s="1"/>
  <c r="AC408" i="15" s="1"/>
  <c r="BD118" i="7"/>
  <c r="AE300" i="15" s="1"/>
  <c r="AC300" i="15" s="1"/>
  <c r="D721" i="7"/>
  <c r="BB892" i="7"/>
  <c r="AA385" i="15" s="1"/>
  <c r="BD56" i="7"/>
  <c r="AE294" i="15" s="1"/>
  <c r="AC294" i="15" s="1"/>
  <c r="K118" i="7"/>
  <c r="O300" i="15" s="1"/>
  <c r="W300" i="15" s="1"/>
  <c r="O361" i="15"/>
  <c r="AO361" i="15" s="1"/>
  <c r="AO436" i="15"/>
  <c r="O356" i="15"/>
  <c r="AO356" i="15" s="1"/>
  <c r="O359" i="15"/>
  <c r="AO359" i="15" s="1"/>
  <c r="AO439" i="15"/>
  <c r="AO398" i="15"/>
  <c r="AO372" i="15"/>
  <c r="I338" i="15"/>
  <c r="AN338" i="15" s="1"/>
  <c r="AO338" i="15" s="1"/>
  <c r="V544" i="7"/>
  <c r="AO367" i="15"/>
  <c r="AE367" i="15"/>
  <c r="AC367" i="15" s="1"/>
  <c r="AE366" i="15"/>
  <c r="AC366" i="15" s="1"/>
  <c r="BB677" i="7"/>
  <c r="AA358" i="15" s="1"/>
  <c r="BD134" i="7"/>
  <c r="AE316" i="15" s="1"/>
  <c r="AC316" i="15" s="1"/>
  <c r="I292" i="15"/>
  <c r="AN292" i="15" s="1"/>
  <c r="AO292" i="15" s="1"/>
  <c r="BD54" i="7"/>
  <c r="BB54" i="7" s="1"/>
  <c r="AA292" i="15" s="1"/>
  <c r="BB807" i="7"/>
  <c r="AA372" i="15" s="1"/>
  <c r="AF363" i="15"/>
  <c r="AC363" i="15" s="1"/>
  <c r="AO284" i="15"/>
  <c r="BB898" i="7"/>
  <c r="AA388" i="15" s="1"/>
  <c r="I305" i="15"/>
  <c r="AN305" i="15" s="1"/>
  <c r="AO305" i="15" s="1"/>
  <c r="AC358" i="15"/>
  <c r="AO404" i="15"/>
  <c r="AC388" i="15"/>
  <c r="AE283" i="15"/>
  <c r="AC283" i="15" s="1"/>
  <c r="I316" i="15"/>
  <c r="AN316" i="15" s="1"/>
  <c r="AO316" i="15" s="1"/>
  <c r="AO376" i="15"/>
  <c r="BB596" i="7"/>
  <c r="AA350" i="15" s="1"/>
  <c r="I348" i="15"/>
  <c r="AN348" i="15" s="1"/>
  <c r="I295" i="15"/>
  <c r="AN295" i="15" s="1"/>
  <c r="AO295" i="15" s="1"/>
  <c r="AO403" i="15"/>
  <c r="I296" i="15"/>
  <c r="AN296" i="15" s="1"/>
  <c r="AO296" i="15" s="1"/>
  <c r="BD55" i="7"/>
  <c r="BB55" i="7" s="1"/>
  <c r="AA293" i="15" s="1"/>
  <c r="AO406" i="15"/>
  <c r="AO351" i="15"/>
  <c r="BB52" i="7"/>
  <c r="AA290" i="15" s="1"/>
  <c r="BD144" i="7"/>
  <c r="BB144" i="7" s="1"/>
  <c r="AA326" i="15" s="1"/>
  <c r="F509" i="7"/>
  <c r="L509" i="7" s="1"/>
  <c r="O336" i="15" s="1"/>
  <c r="W336" i="15" s="1"/>
  <c r="M1106" i="7"/>
  <c r="O410" i="15" s="1"/>
  <c r="W410" i="15" s="1"/>
  <c r="AB417" i="15"/>
  <c r="AB416" i="15"/>
  <c r="BE1109" i="7"/>
  <c r="AB413" i="15"/>
  <c r="BD1105" i="7"/>
  <c r="BB1105" i="7" s="1"/>
  <c r="AA409" i="15" s="1"/>
  <c r="BE1107" i="7"/>
  <c r="BB1107" i="7" s="1"/>
  <c r="AA411" i="15" s="1"/>
  <c r="AB411" i="15"/>
  <c r="I417" i="15"/>
  <c r="AN417" i="15" s="1"/>
  <c r="BE1110" i="7"/>
  <c r="BB1110" i="7" s="1"/>
  <c r="AA414" i="15" s="1"/>
  <c r="AB414" i="15"/>
  <c r="M1109" i="7"/>
  <c r="O413" i="15" s="1"/>
  <c r="W413" i="15" s="1"/>
  <c r="AA418" i="15"/>
  <c r="AB418" i="15"/>
  <c r="W223" i="15"/>
  <c r="AO223" i="15"/>
  <c r="AN204" i="15"/>
  <c r="I270" i="15"/>
  <c r="I166" i="15"/>
  <c r="J752" i="6"/>
  <c r="K163" i="6" s="1"/>
  <c r="AB143" i="15" s="1"/>
  <c r="P244" i="15"/>
  <c r="W244" i="15" s="1"/>
  <c r="I216" i="15"/>
  <c r="BB7" i="6"/>
  <c r="AA105" i="15" s="1"/>
  <c r="I274" i="15"/>
  <c r="J251" i="15"/>
  <c r="I252" i="15"/>
  <c r="AO129" i="15"/>
  <c r="Z113" i="15"/>
  <c r="Z165" i="15"/>
  <c r="O268" i="15"/>
  <c r="AO268" i="15" s="1"/>
  <c r="BD1614" i="6"/>
  <c r="AG259" i="15" s="1"/>
  <c r="AD259" i="15" s="1"/>
  <c r="BE17" i="6"/>
  <c r="AB112" i="15"/>
  <c r="AN226" i="15"/>
  <c r="AO226" i="15" s="1"/>
  <c r="W148" i="15"/>
  <c r="AB105" i="15"/>
  <c r="L172" i="15"/>
  <c r="Q207" i="6"/>
  <c r="AN271" i="15"/>
  <c r="I808" i="6"/>
  <c r="R172" i="15" s="1"/>
  <c r="BB1486" i="6"/>
  <c r="AA220" i="15" s="1"/>
  <c r="BD802" i="6"/>
  <c r="AG168" i="15" s="1"/>
  <c r="AD168" i="15" s="1"/>
  <c r="K243" i="15"/>
  <c r="AN243" i="15" s="1"/>
  <c r="I1550" i="6"/>
  <c r="Q243" i="15" s="1"/>
  <c r="O243" i="15" s="1"/>
  <c r="BD1592" i="6"/>
  <c r="AG253" i="15" s="1"/>
  <c r="AD253" i="15" s="1"/>
  <c r="M253" i="15"/>
  <c r="J253" i="15" s="1"/>
  <c r="X171" i="15"/>
  <c r="Z171" i="15" s="1"/>
  <c r="BC806" i="6"/>
  <c r="X201" i="15"/>
  <c r="Z201" i="15" s="1"/>
  <c r="BC1434" i="6"/>
  <c r="BD1434" i="6" s="1"/>
  <c r="AE201" i="15" s="1"/>
  <c r="BD1456" i="6"/>
  <c r="AG207" i="15" s="1"/>
  <c r="AD207" i="15" s="1"/>
  <c r="X203" i="15"/>
  <c r="Z203" i="15" s="1"/>
  <c r="BC1442" i="6"/>
  <c r="BD1442" i="6" s="1"/>
  <c r="AE203" i="15" s="1"/>
  <c r="AC203" i="15" s="1"/>
  <c r="AN220" i="15"/>
  <c r="AO105" i="15"/>
  <c r="AO128" i="15"/>
  <c r="AO189" i="15"/>
  <c r="Z108" i="15"/>
  <c r="O269" i="15"/>
  <c r="W269" i="15" s="1"/>
  <c r="I1472" i="6"/>
  <c r="S213" i="15" s="1"/>
  <c r="P213" i="15" s="1"/>
  <c r="W213" i="15" s="1"/>
  <c r="M213" i="15"/>
  <c r="J213" i="15" s="1"/>
  <c r="I1552" i="6"/>
  <c r="S243" i="15" s="1"/>
  <c r="P243" i="15" s="1"/>
  <c r="W243" i="15" s="1"/>
  <c r="M243" i="15"/>
  <c r="J243" i="15" s="1"/>
  <c r="L201" i="15"/>
  <c r="I201" i="15" s="1"/>
  <c r="BD1435" i="6"/>
  <c r="AF201" i="15" s="1"/>
  <c r="K228" i="15"/>
  <c r="I228" i="15" s="1"/>
  <c r="I1504" i="6"/>
  <c r="Q228" i="15" s="1"/>
  <c r="O228" i="15" s="1"/>
  <c r="W228" i="15" s="1"/>
  <c r="X224" i="15"/>
  <c r="Z224" i="15" s="1"/>
  <c r="BC1494" i="6"/>
  <c r="BD1494" i="6" s="1"/>
  <c r="AE224" i="15" s="1"/>
  <c r="AC224" i="15" s="1"/>
  <c r="Y267" i="15"/>
  <c r="Z267" i="15" s="1"/>
  <c r="BC1640" i="6"/>
  <c r="BD1640" i="6" s="1"/>
  <c r="AG267" i="15" s="1"/>
  <c r="AD267" i="15" s="1"/>
  <c r="BD1644" i="6"/>
  <c r="I1460" i="6"/>
  <c r="Q209" i="15" s="1"/>
  <c r="O209" i="15" s="1"/>
  <c r="W209" i="15" s="1"/>
  <c r="K209" i="15"/>
  <c r="I209" i="15" s="1"/>
  <c r="K3169" i="6"/>
  <c r="K1650" i="6" s="1"/>
  <c r="X3169" i="6"/>
  <c r="K3063" i="6"/>
  <c r="K1492" i="6" s="1"/>
  <c r="X3101" i="6"/>
  <c r="R1689" i="6"/>
  <c r="K3101" i="6"/>
  <c r="K1540" i="6" s="1"/>
  <c r="X3063" i="6"/>
  <c r="Q1688" i="6"/>
  <c r="K3061" i="6"/>
  <c r="K1490" i="6" s="1"/>
  <c r="X3061" i="6"/>
  <c r="BD1648" i="6"/>
  <c r="BD1476" i="6"/>
  <c r="AE215" i="15" s="1"/>
  <c r="AC215" i="15" s="1"/>
  <c r="Y250" i="15"/>
  <c r="Z250" i="15" s="1"/>
  <c r="BC1580" i="6"/>
  <c r="BD1580" i="6" s="1"/>
  <c r="AG250" i="15" s="1"/>
  <c r="AD250" i="15" s="1"/>
  <c r="W147" i="15"/>
  <c r="P250" i="15"/>
  <c r="W250" i="15" s="1"/>
  <c r="P203" i="15"/>
  <c r="W203" i="15" s="1"/>
  <c r="J202" i="15"/>
  <c r="J755" i="6"/>
  <c r="K166" i="6" s="1"/>
  <c r="AB145" i="15" s="1"/>
  <c r="BB784" i="6"/>
  <c r="AA161" i="15" s="1"/>
  <c r="AO276" i="15"/>
  <c r="BC1516" i="6"/>
  <c r="BD1516" i="6" s="1"/>
  <c r="AG231" i="15" s="1"/>
  <c r="AD231" i="15" s="1"/>
  <c r="Y231" i="15"/>
  <c r="Z231" i="15" s="1"/>
  <c r="BD1550" i="6"/>
  <c r="AE243" i="15" s="1"/>
  <c r="AC243" i="15" s="1"/>
  <c r="X259" i="15"/>
  <c r="Z259" i="15" s="1"/>
  <c r="BC1612" i="6"/>
  <c r="BD1612" i="6" s="1"/>
  <c r="AE259" i="15" s="1"/>
  <c r="AC259" i="15" s="1"/>
  <c r="I197" i="15"/>
  <c r="J196" i="15"/>
  <c r="I217" i="15"/>
  <c r="I235" i="15"/>
  <c r="I210" i="15"/>
  <c r="O198" i="15"/>
  <c r="W198" i="15" s="1"/>
  <c r="O196" i="15"/>
  <c r="AO196" i="15" s="1"/>
  <c r="O207" i="15"/>
  <c r="AO207" i="15" s="1"/>
  <c r="AP207" i="15" s="1"/>
  <c r="AC248" i="15"/>
  <c r="I222" i="15"/>
  <c r="AE210" i="15"/>
  <c r="AC210" i="15" s="1"/>
  <c r="BB1460" i="6"/>
  <c r="AA209" i="15" s="1"/>
  <c r="BB1642" i="6"/>
  <c r="AA268" i="15" s="1"/>
  <c r="O213" i="15"/>
  <c r="AO213" i="15" s="1"/>
  <c r="AP213" i="15" s="1"/>
  <c r="O255" i="15"/>
  <c r="P202" i="15"/>
  <c r="W202" i="15" s="1"/>
  <c r="BB129" i="6"/>
  <c r="AA120" i="15" s="1"/>
  <c r="O214" i="15"/>
  <c r="W214" i="15" s="1"/>
  <c r="AN277" i="15"/>
  <c r="AO277" i="15" s="1"/>
  <c r="AP277" i="15" s="1"/>
  <c r="AN224" i="15"/>
  <c r="AO224" i="15" s="1"/>
  <c r="AP224" i="15" s="1"/>
  <c r="AO263" i="15"/>
  <c r="AO254" i="15"/>
  <c r="AN267" i="15"/>
  <c r="O219" i="15"/>
  <c r="W219" i="15" s="1"/>
  <c r="P253" i="15"/>
  <c r="W253" i="15" s="1"/>
  <c r="I260" i="15"/>
  <c r="J237" i="15"/>
  <c r="BB1478" i="6"/>
  <c r="AA216" i="15" s="1"/>
  <c r="O253" i="15"/>
  <c r="BB1410" i="6"/>
  <c r="AA193" i="15" s="1"/>
  <c r="K192" i="15"/>
  <c r="BD1406" i="6"/>
  <c r="AE192" i="15" s="1"/>
  <c r="AC192" i="15" s="1"/>
  <c r="O203" i="15"/>
  <c r="AO203" i="15" s="1"/>
  <c r="AP203" i="15" s="1"/>
  <c r="I1408" i="6"/>
  <c r="S192" i="15" s="1"/>
  <c r="P192" i="15" s="1"/>
  <c r="W192" i="15" s="1"/>
  <c r="BD1408" i="6"/>
  <c r="AG192" i="15" s="1"/>
  <c r="AD192" i="15" s="1"/>
  <c r="AC213" i="15"/>
  <c r="K199" i="15"/>
  <c r="BD1428" i="6"/>
  <c r="I1428" i="6"/>
  <c r="Q199" i="15" s="1"/>
  <c r="O199" i="15" s="1"/>
  <c r="W199" i="15" s="1"/>
  <c r="BE1448" i="6"/>
  <c r="BB1448" i="6" s="1"/>
  <c r="AA205" i="15" s="1"/>
  <c r="AB205" i="15"/>
  <c r="Z131" i="15"/>
  <c r="J262" i="15"/>
  <c r="O248" i="15"/>
  <c r="AO248" i="15" s="1"/>
  <c r="AP248" i="15" s="1"/>
  <c r="BB138" i="6"/>
  <c r="AA126" i="15" s="1"/>
  <c r="J246" i="15"/>
  <c r="J189" i="15"/>
  <c r="AN211" i="15"/>
  <c r="Z134" i="15"/>
  <c r="I225" i="15"/>
  <c r="O142" i="15"/>
  <c r="AO114" i="15"/>
  <c r="AO234" i="15"/>
  <c r="I276" i="15"/>
  <c r="AO225" i="15"/>
  <c r="I194" i="15"/>
  <c r="BB144" i="6"/>
  <c r="AA130" i="15" s="1"/>
  <c r="X737" i="6"/>
  <c r="I267" i="15"/>
  <c r="AB161" i="15"/>
  <c r="I249" i="15"/>
  <c r="I230" i="15"/>
  <c r="J256" i="15"/>
  <c r="AO251" i="15"/>
  <c r="AO241" i="15"/>
  <c r="Y1085" i="6"/>
  <c r="Y1086" i="6" s="1"/>
  <c r="Y1170" i="6"/>
  <c r="I805" i="6"/>
  <c r="Q170" i="15" s="1"/>
  <c r="O170" i="15" s="1"/>
  <c r="BD805" i="6"/>
  <c r="AO264" i="15"/>
  <c r="BE797" i="6"/>
  <c r="AB167" i="15"/>
  <c r="I182" i="15"/>
  <c r="BE791" i="6"/>
  <c r="BB791" i="6" s="1"/>
  <c r="AA165" i="15" s="1"/>
  <c r="AB165" i="15"/>
  <c r="AB168" i="15"/>
  <c r="K803" i="6"/>
  <c r="BE801" i="6"/>
  <c r="BB801" i="6" s="1"/>
  <c r="AA168" i="15" s="1"/>
  <c r="X177" i="15"/>
  <c r="Z177" i="15" s="1"/>
  <c r="BC819" i="6"/>
  <c r="O221" i="15"/>
  <c r="AO221" i="15" s="1"/>
  <c r="AP221" i="15" s="1"/>
  <c r="AO166" i="15"/>
  <c r="AO164" i="15"/>
  <c r="BB135" i="6"/>
  <c r="AA124" i="15" s="1"/>
  <c r="J760" i="6"/>
  <c r="K171" i="6" s="1"/>
  <c r="J759" i="6"/>
  <c r="K170" i="6" s="1"/>
  <c r="R208" i="6"/>
  <c r="J761" i="6" s="1"/>
  <c r="K172" i="6" s="1"/>
  <c r="J757" i="6"/>
  <c r="K168" i="6" s="1"/>
  <c r="J754" i="6"/>
  <c r="K165" i="6" s="1"/>
  <c r="AB141" i="15"/>
  <c r="BE161" i="6"/>
  <c r="BB161" i="6" s="1"/>
  <c r="AA141" i="15" s="1"/>
  <c r="AO132" i="15"/>
  <c r="W138" i="15"/>
  <c r="O136" i="15"/>
  <c r="AO136" i="15" s="1"/>
  <c r="BB139" i="6"/>
  <c r="AA127" i="15" s="1"/>
  <c r="W154" i="15"/>
  <c r="W276" i="15"/>
  <c r="AB116" i="15"/>
  <c r="AO275" i="15"/>
  <c r="AP275" i="15" s="1"/>
  <c r="I257" i="15"/>
  <c r="AO215" i="15"/>
  <c r="AP215" i="15" s="1"/>
  <c r="AO185" i="15"/>
  <c r="I238" i="15"/>
  <c r="I262" i="15"/>
  <c r="J247" i="15"/>
  <c r="AO205" i="15"/>
  <c r="AP205" i="15" s="1"/>
  <c r="P259" i="15"/>
  <c r="W259" i="15" s="1"/>
  <c r="J225" i="15"/>
  <c r="I202" i="15"/>
  <c r="BE145" i="6"/>
  <c r="BB145" i="6" s="1"/>
  <c r="AA131" i="15" s="1"/>
  <c r="A1572" i="6"/>
  <c r="J2533" i="6"/>
  <c r="J2021" i="6"/>
  <c r="C1573" i="6"/>
  <c r="A1573" i="6" s="1"/>
  <c r="J2661" i="6"/>
  <c r="J1893" i="6"/>
  <c r="J2789" i="6"/>
  <c r="J1765" i="6"/>
  <c r="J2405" i="6"/>
  <c r="J2277" i="6"/>
  <c r="J2149" i="6"/>
  <c r="A1614" i="6"/>
  <c r="J2298" i="6"/>
  <c r="J2042" i="6"/>
  <c r="J2810" i="6"/>
  <c r="J2554" i="6"/>
  <c r="J2170" i="6"/>
  <c r="J1914" i="6"/>
  <c r="J2426" i="6"/>
  <c r="J1786" i="6"/>
  <c r="J2682" i="6"/>
  <c r="C1615" i="6"/>
  <c r="A1615" i="6" s="1"/>
  <c r="A1560" i="6"/>
  <c r="C1561" i="6"/>
  <c r="A1561" i="6" s="1"/>
  <c r="J2655" i="6"/>
  <c r="J2143" i="6"/>
  <c r="J2271" i="6"/>
  <c r="J1759" i="6"/>
  <c r="J2783" i="6"/>
  <c r="J2015" i="6"/>
  <c r="J2527" i="6"/>
  <c r="J1887" i="6"/>
  <c r="J2399" i="6"/>
  <c r="J260" i="15"/>
  <c r="I164" i="15"/>
  <c r="AE165" i="15"/>
  <c r="AC165" i="15" s="1"/>
  <c r="L211" i="15"/>
  <c r="I211" i="15" s="1"/>
  <c r="AE164" i="15"/>
  <c r="AC164" i="15" s="1"/>
  <c r="BB789" i="6"/>
  <c r="AA164" i="15" s="1"/>
  <c r="J192" i="15"/>
  <c r="I240" i="15"/>
  <c r="AN240" i="15"/>
  <c r="AO240" i="15" s="1"/>
  <c r="BD1465" i="6"/>
  <c r="AF211" i="15" s="1"/>
  <c r="K261" i="15"/>
  <c r="A1444" i="6"/>
  <c r="J2469" i="6"/>
  <c r="J1957" i="6"/>
  <c r="C1445" i="6"/>
  <c r="A1445" i="6" s="1"/>
  <c r="J2597" i="6"/>
  <c r="J1829" i="6"/>
  <c r="J2725" i="6"/>
  <c r="J1701" i="6"/>
  <c r="J2341" i="6"/>
  <c r="J2213" i="6"/>
  <c r="J2085" i="6"/>
  <c r="A1640" i="6"/>
  <c r="J2823" i="6"/>
  <c r="J1927" i="6"/>
  <c r="J2311" i="6"/>
  <c r="C1641" i="6"/>
  <c r="A1641" i="6" s="1"/>
  <c r="J2567" i="6"/>
  <c r="J2055" i="6"/>
  <c r="J2183" i="6"/>
  <c r="J2439" i="6"/>
  <c r="J1799" i="6"/>
  <c r="J2695" i="6"/>
  <c r="K255" i="15"/>
  <c r="I255" i="15" s="1"/>
  <c r="AO122" i="15"/>
  <c r="AO188" i="15"/>
  <c r="AO208" i="15"/>
  <c r="O144" i="15"/>
  <c r="O153" i="15"/>
  <c r="AO252" i="15"/>
  <c r="I258" i="15"/>
  <c r="I200" i="15"/>
  <c r="I239" i="15"/>
  <c r="AO270" i="15"/>
  <c r="AN257" i="15"/>
  <c r="AB174" i="15"/>
  <c r="O141" i="15"/>
  <c r="W141" i="15"/>
  <c r="AN256" i="15"/>
  <c r="AO256" i="15" s="1"/>
  <c r="I256" i="15"/>
  <c r="C1473" i="6"/>
  <c r="A1473" i="6" s="1"/>
  <c r="A1472" i="6"/>
  <c r="J2611" i="6"/>
  <c r="J2099" i="6"/>
  <c r="J2355" i="6"/>
  <c r="J1715" i="6"/>
  <c r="J2739" i="6"/>
  <c r="J1971" i="6"/>
  <c r="J2483" i="6"/>
  <c r="J1843" i="6"/>
  <c r="J2227" i="6"/>
  <c r="C1437" i="6"/>
  <c r="A1437" i="6" s="1"/>
  <c r="A1436" i="6"/>
  <c r="J2721" i="6"/>
  <c r="J2337" i="6"/>
  <c r="J1825" i="6"/>
  <c r="J2465" i="6"/>
  <c r="J1697" i="6"/>
  <c r="J1953" i="6"/>
  <c r="J2593" i="6"/>
  <c r="J2209" i="6"/>
  <c r="J2081" i="6"/>
  <c r="AE166" i="15"/>
  <c r="AC166" i="15" s="1"/>
  <c r="BB795" i="6"/>
  <c r="AA166" i="15" s="1"/>
  <c r="W135" i="15"/>
  <c r="O135" i="15"/>
  <c r="AO135" i="15" s="1"/>
  <c r="AN193" i="15"/>
  <c r="AO193" i="15" s="1"/>
  <c r="I193" i="15"/>
  <c r="BB153" i="6"/>
  <c r="AA136" i="15" s="1"/>
  <c r="AE136" i="15"/>
  <c r="AC136" i="15" s="1"/>
  <c r="O124" i="15"/>
  <c r="AO124" i="15" s="1"/>
  <c r="W124" i="15"/>
  <c r="BB126" i="6"/>
  <c r="AA118" i="15" s="1"/>
  <c r="AE118" i="15"/>
  <c r="AC118" i="15" s="1"/>
  <c r="BB1301" i="6"/>
  <c r="AA190" i="15" s="1"/>
  <c r="K174" i="15"/>
  <c r="I811" i="6"/>
  <c r="Q174" i="15" s="1"/>
  <c r="BD811" i="6"/>
  <c r="AE174" i="15" s="1"/>
  <c r="AB221" i="15"/>
  <c r="BE1488" i="6"/>
  <c r="BB1488" i="6" s="1"/>
  <c r="AA221" i="15" s="1"/>
  <c r="BD1598" i="6"/>
  <c r="AE255" i="15" s="1"/>
  <c r="AC255" i="15" s="1"/>
  <c r="A1600" i="6"/>
  <c r="J2803" i="6"/>
  <c r="J2419" i="6"/>
  <c r="J1779" i="6"/>
  <c r="J2163" i="6"/>
  <c r="J2675" i="6"/>
  <c r="J2035" i="6"/>
  <c r="J2547" i="6"/>
  <c r="J1907" i="6"/>
  <c r="J2291" i="6"/>
  <c r="C1601" i="6"/>
  <c r="A1601" i="6" s="1"/>
  <c r="A1456" i="6"/>
  <c r="J2731" i="6"/>
  <c r="J2219" i="6"/>
  <c r="J1707" i="6"/>
  <c r="J2603" i="6"/>
  <c r="J1963" i="6"/>
  <c r="J2475" i="6"/>
  <c r="J1835" i="6"/>
  <c r="J2347" i="6"/>
  <c r="C1457" i="6"/>
  <c r="A1457" i="6" s="1"/>
  <c r="J2091" i="6"/>
  <c r="AE135" i="15"/>
  <c r="AC135" i="15" s="1"/>
  <c r="BB152" i="6"/>
  <c r="AA135" i="15" s="1"/>
  <c r="A1580" i="6"/>
  <c r="C1581" i="6"/>
  <c r="A1581" i="6" s="1"/>
  <c r="J2409" i="6"/>
  <c r="J1769" i="6"/>
  <c r="J2665" i="6"/>
  <c r="J2025" i="6"/>
  <c r="J2793" i="6"/>
  <c r="J2153" i="6"/>
  <c r="J2537" i="6"/>
  <c r="J1897" i="6"/>
  <c r="J2281" i="6"/>
  <c r="AN198" i="15"/>
  <c r="AO229" i="15"/>
  <c r="I237" i="15"/>
  <c r="AN262" i="15"/>
  <c r="AO262" i="15" s="1"/>
  <c r="O118" i="15"/>
  <c r="AO118" i="15" s="1"/>
  <c r="AO259" i="15"/>
  <c r="AP259" i="15" s="1"/>
  <c r="AO260" i="15"/>
  <c r="AO245" i="15"/>
  <c r="AP245" i="15" s="1"/>
  <c r="A1592" i="6"/>
  <c r="J2799" i="6"/>
  <c r="J1903" i="6"/>
  <c r="J2415" i="6"/>
  <c r="C1593" i="6"/>
  <c r="A1593" i="6" s="1"/>
  <c r="J2671" i="6"/>
  <c r="J2159" i="6"/>
  <c r="J2543" i="6"/>
  <c r="J2031" i="6"/>
  <c r="J2287" i="6"/>
  <c r="J1775" i="6"/>
  <c r="C1517" i="6"/>
  <c r="A1517" i="6" s="1"/>
  <c r="A1516" i="6"/>
  <c r="J2505" i="6"/>
  <c r="J1865" i="6"/>
  <c r="J2633" i="6"/>
  <c r="J1737" i="6"/>
  <c r="J2121" i="6"/>
  <c r="J2249" i="6"/>
  <c r="J2761" i="6"/>
  <c r="J1993" i="6"/>
  <c r="J2377" i="6"/>
  <c r="A1552" i="6"/>
  <c r="J2779" i="6"/>
  <c r="J1883" i="6"/>
  <c r="J2523" i="6"/>
  <c r="J2139" i="6"/>
  <c r="C1553" i="6"/>
  <c r="A1553" i="6" s="1"/>
  <c r="J2651" i="6"/>
  <c r="J1755" i="6"/>
  <c r="J2267" i="6"/>
  <c r="J2395" i="6"/>
  <c r="J2011" i="6"/>
  <c r="I167" i="15"/>
  <c r="I1620" i="6"/>
  <c r="Q261" i="15" s="1"/>
  <c r="O261" i="15" s="1"/>
  <c r="I165" i="15"/>
  <c r="BD1620" i="6"/>
  <c r="AE261" i="15" s="1"/>
  <c r="AC261" i="15" s="1"/>
  <c r="J1088" i="6"/>
  <c r="F815" i="6" s="1"/>
  <c r="K473" i="15"/>
  <c r="I473" i="15" s="1"/>
  <c r="AN473" i="15" s="1"/>
  <c r="K476" i="15"/>
  <c r="I476" i="15" s="1"/>
  <c r="AN476" i="15" s="1"/>
  <c r="BD13" i="9"/>
  <c r="K475" i="15"/>
  <c r="I475" i="15" s="1"/>
  <c r="AN475" i="15" s="1"/>
  <c r="I12" i="9"/>
  <c r="Q475" i="15" s="1"/>
  <c r="BD12" i="9"/>
  <c r="AE475" i="15" s="1"/>
  <c r="AC475" i="15" s="1"/>
  <c r="I10" i="9"/>
  <c r="Q473" i="15" s="1"/>
  <c r="AO99" i="15"/>
  <c r="BD255" i="5"/>
  <c r="AE90" i="15" s="1"/>
  <c r="AC90" i="15" s="1"/>
  <c r="I290" i="2"/>
  <c r="O601" i="15" s="1"/>
  <c r="V601" i="15" s="1"/>
  <c r="U601" i="15" s="1"/>
  <c r="DD268" i="2"/>
  <c r="AE597" i="15" s="1"/>
  <c r="AC597" i="15" s="1"/>
  <c r="DB510" i="2"/>
  <c r="AA641" i="15" s="1"/>
  <c r="DD290" i="2"/>
  <c r="AE601" i="15" s="1"/>
  <c r="AC601" i="15" s="1"/>
  <c r="F8" i="6"/>
  <c r="M8" i="6" s="1"/>
  <c r="O106" i="15" s="1"/>
  <c r="W106" i="15" s="1"/>
  <c r="AO56" i="15"/>
  <c r="I465" i="9"/>
  <c r="O516" i="15" s="1"/>
  <c r="V516" i="15" s="1"/>
  <c r="BD465" i="9"/>
  <c r="BB465" i="9" s="1"/>
  <c r="AA516" i="15" s="1"/>
  <c r="I466" i="9"/>
  <c r="O517" i="15" s="1"/>
  <c r="V517" i="15" s="1"/>
  <c r="BD58" i="16"/>
  <c r="AF34" i="15" s="1"/>
  <c r="BD469" i="9"/>
  <c r="AE520" i="15" s="1"/>
  <c r="AC520" i="15" s="1"/>
  <c r="BD472" i="9"/>
  <c r="AE523" i="15" s="1"/>
  <c r="AC523" i="15" s="1"/>
  <c r="I516" i="15"/>
  <c r="AN516" i="15" s="1"/>
  <c r="BB69" i="16"/>
  <c r="AA40" i="15" s="1"/>
  <c r="AO497" i="15"/>
  <c r="AO491" i="15"/>
  <c r="K41" i="9"/>
  <c r="O479" i="15" s="1"/>
  <c r="W479" i="15" s="1"/>
  <c r="BB466" i="9"/>
  <c r="AA517" i="15" s="1"/>
  <c r="K49" i="9"/>
  <c r="O487" i="15" s="1"/>
  <c r="W487" i="15" s="1"/>
  <c r="BD49" i="9"/>
  <c r="AE487" i="15" s="1"/>
  <c r="AC487" i="15" s="1"/>
  <c r="K43" i="9"/>
  <c r="O481" i="15" s="1"/>
  <c r="W481" i="15" s="1"/>
  <c r="BD42" i="9"/>
  <c r="AE480" i="15" s="1"/>
  <c r="AC480" i="15" s="1"/>
  <c r="I487" i="15"/>
  <c r="AN487" i="15" s="1"/>
  <c r="I517" i="15"/>
  <c r="AN517" i="15" s="1"/>
  <c r="K48" i="9"/>
  <c r="O486" i="15" s="1"/>
  <c r="W486" i="15" s="1"/>
  <c r="BD44" i="9"/>
  <c r="BB44" i="9" s="1"/>
  <c r="AA482" i="15" s="1"/>
  <c r="AO521" i="15"/>
  <c r="BD40" i="9"/>
  <c r="AE478" i="15" s="1"/>
  <c r="AC478" i="15" s="1"/>
  <c r="I478" i="15"/>
  <c r="AN478" i="15" s="1"/>
  <c r="I468" i="9"/>
  <c r="O519" i="15" s="1"/>
  <c r="V519" i="15" s="1"/>
  <c r="I523" i="15"/>
  <c r="AN523" i="15" s="1"/>
  <c r="AO523" i="15" s="1"/>
  <c r="I520" i="15"/>
  <c r="AN520" i="15" s="1"/>
  <c r="I469" i="9"/>
  <c r="O520" i="15" s="1"/>
  <c r="V520" i="15" s="1"/>
  <c r="I518" i="15"/>
  <c r="AN518" i="15" s="1"/>
  <c r="AO518" i="15" s="1"/>
  <c r="K40" i="9"/>
  <c r="O478" i="15" s="1"/>
  <c r="W478" i="15" s="1"/>
  <c r="AE493" i="15"/>
  <c r="AC493" i="15" s="1"/>
  <c r="BB241" i="9"/>
  <c r="AA493" i="15" s="1"/>
  <c r="AE492" i="15"/>
  <c r="AC492" i="15" s="1"/>
  <c r="BB240" i="9"/>
  <c r="AA492" i="15" s="1"/>
  <c r="K46" i="9"/>
  <c r="O484" i="15" s="1"/>
  <c r="W484" i="15" s="1"/>
  <c r="BD46" i="9"/>
  <c r="I484" i="15"/>
  <c r="AN484" i="15" s="1"/>
  <c r="K45" i="9"/>
  <c r="O483" i="15" s="1"/>
  <c r="W483" i="15" s="1"/>
  <c r="BD45" i="9"/>
  <c r="I483" i="15"/>
  <c r="AN483" i="15" s="1"/>
  <c r="K44" i="9"/>
  <c r="O482" i="15" s="1"/>
  <c r="W482" i="15" s="1"/>
  <c r="K42" i="9"/>
  <c r="O480" i="15" s="1"/>
  <c r="W480" i="15" s="1"/>
  <c r="I486" i="15"/>
  <c r="AN486" i="15" s="1"/>
  <c r="BD47" i="9"/>
  <c r="K47" i="9"/>
  <c r="O485" i="15" s="1"/>
  <c r="W485" i="15" s="1"/>
  <c r="I485" i="15"/>
  <c r="AN485" i="15" s="1"/>
  <c r="AO347" i="15"/>
  <c r="BD125" i="7"/>
  <c r="AE307" i="15" s="1"/>
  <c r="AC307" i="15" s="1"/>
  <c r="K131" i="7"/>
  <c r="O313" i="15" s="1"/>
  <c r="W313" i="15" s="1"/>
  <c r="BB1099" i="7"/>
  <c r="AA403" i="15" s="1"/>
  <c r="AE304" i="15"/>
  <c r="AC304" i="15" s="1"/>
  <c r="AG350" i="15"/>
  <c r="AD350" i="15" s="1"/>
  <c r="I313" i="15"/>
  <c r="AN313" i="15" s="1"/>
  <c r="AE313" i="15"/>
  <c r="AC313" i="15" s="1"/>
  <c r="BB1094" i="7"/>
  <c r="AA398" i="15" s="1"/>
  <c r="BD141" i="7"/>
  <c r="BB141" i="7" s="1"/>
  <c r="AA323" i="15" s="1"/>
  <c r="BD121" i="7"/>
  <c r="AE303" i="15" s="1"/>
  <c r="AC303" i="15" s="1"/>
  <c r="AE295" i="15"/>
  <c r="AC295" i="15" s="1"/>
  <c r="I301" i="15"/>
  <c r="AN301" i="15" s="1"/>
  <c r="AO301" i="15" s="1"/>
  <c r="K130" i="7"/>
  <c r="O312" i="15" s="1"/>
  <c r="W312" i="15" s="1"/>
  <c r="K444" i="7"/>
  <c r="O333" i="15" s="1"/>
  <c r="W333" i="15" s="1"/>
  <c r="I315" i="15"/>
  <c r="AN315" i="15" s="1"/>
  <c r="AO315" i="15" s="1"/>
  <c r="BB590" i="7"/>
  <c r="AA346" i="15" s="1"/>
  <c r="BD130" i="7"/>
  <c r="BB130" i="7" s="1"/>
  <c r="AA312" i="15" s="1"/>
  <c r="BB440" i="7"/>
  <c r="AA329" i="15" s="1"/>
  <c r="BD135" i="7"/>
  <c r="AE317" i="15" s="1"/>
  <c r="AC317" i="15" s="1"/>
  <c r="AO428" i="15"/>
  <c r="I317" i="15"/>
  <c r="AN317" i="15" s="1"/>
  <c r="AO317" i="15" s="1"/>
  <c r="AO399" i="15"/>
  <c r="K140" i="7"/>
  <c r="O322" i="15" s="1"/>
  <c r="W322" i="15" s="1"/>
  <c r="I322" i="15"/>
  <c r="AN322" i="15" s="1"/>
  <c r="AC362" i="15"/>
  <c r="BB8" i="7"/>
  <c r="AA279" i="15" s="1"/>
  <c r="K141" i="7"/>
  <c r="O323" i="15" s="1"/>
  <c r="W323" i="15" s="1"/>
  <c r="BB685" i="7"/>
  <c r="AA362" i="15" s="1"/>
  <c r="M1113" i="7"/>
  <c r="O417" i="15" s="1"/>
  <c r="W417" i="15" s="1"/>
  <c r="AO278" i="15"/>
  <c r="I323" i="15"/>
  <c r="AN323" i="15" s="1"/>
  <c r="BB890" i="7"/>
  <c r="AA384" i="15" s="1"/>
  <c r="I303" i="15"/>
  <c r="AN303" i="15" s="1"/>
  <c r="AO303" i="15" s="1"/>
  <c r="BB439" i="7"/>
  <c r="AA328" i="15" s="1"/>
  <c r="I306" i="15"/>
  <c r="AN306" i="15" s="1"/>
  <c r="AO306" i="15" s="1"/>
  <c r="BD133" i="7"/>
  <c r="AE315" i="15" s="1"/>
  <c r="AC315" i="15" s="1"/>
  <c r="AE349" i="15"/>
  <c r="AC349" i="15" s="1"/>
  <c r="BD124" i="7"/>
  <c r="AE306" i="15" s="1"/>
  <c r="AC306" i="15" s="1"/>
  <c r="K59" i="7"/>
  <c r="O297" i="15" s="1"/>
  <c r="W297" i="15" s="1"/>
  <c r="I293" i="15"/>
  <c r="AN293" i="15" s="1"/>
  <c r="I307" i="15"/>
  <c r="AN307" i="15" s="1"/>
  <c r="AO307" i="15" s="1"/>
  <c r="I318" i="15"/>
  <c r="AN318" i="15" s="1"/>
  <c r="AO318" i="15" s="1"/>
  <c r="BD1109" i="7"/>
  <c r="AE413" i="15" s="1"/>
  <c r="AC413" i="15" s="1"/>
  <c r="AO287" i="15"/>
  <c r="AO282" i="15"/>
  <c r="BD136" i="7"/>
  <c r="BB136" i="7" s="1"/>
  <c r="AA318" i="15" s="1"/>
  <c r="BB554" i="7"/>
  <c r="AA343" i="15" s="1"/>
  <c r="I409" i="15"/>
  <c r="AN409" i="15" s="1"/>
  <c r="I310" i="15"/>
  <c r="AN310" i="15" s="1"/>
  <c r="AO310" i="15" s="1"/>
  <c r="BD128" i="7"/>
  <c r="BB128" i="7" s="1"/>
  <c r="AA310" i="15" s="1"/>
  <c r="W301" i="15"/>
  <c r="I308" i="15"/>
  <c r="AN308" i="15" s="1"/>
  <c r="AO308" i="15" s="1"/>
  <c r="BD116" i="7"/>
  <c r="BB116" i="7" s="1"/>
  <c r="AA298" i="15" s="1"/>
  <c r="BD119" i="7"/>
  <c r="BB129" i="7"/>
  <c r="AA311" i="15" s="1"/>
  <c r="BD443" i="7"/>
  <c r="AE332" i="15" s="1"/>
  <c r="AC332" i="15" s="1"/>
  <c r="AO325" i="15"/>
  <c r="AO279" i="15"/>
  <c r="I320" i="15"/>
  <c r="AN320" i="15" s="1"/>
  <c r="AO426" i="15"/>
  <c r="AO350" i="15"/>
  <c r="BD444" i="7"/>
  <c r="AE333" i="15" s="1"/>
  <c r="AC333" i="15" s="1"/>
  <c r="K55" i="7"/>
  <c r="O293" i="15" s="1"/>
  <c r="W293" i="15" s="1"/>
  <c r="M1105" i="7"/>
  <c r="O409" i="15" s="1"/>
  <c r="W409" i="15" s="1"/>
  <c r="BD126" i="7"/>
  <c r="BD137" i="7"/>
  <c r="AE319" i="15" s="1"/>
  <c r="AC319" i="15" s="1"/>
  <c r="BB11" i="7"/>
  <c r="AA282" i="15" s="1"/>
  <c r="W308" i="15"/>
  <c r="AO386" i="15"/>
  <c r="AE417" i="15"/>
  <c r="AC417" i="15" s="1"/>
  <c r="AE406" i="15"/>
  <c r="AC406" i="15" s="1"/>
  <c r="BB1102" i="7"/>
  <c r="AA406" i="15" s="1"/>
  <c r="K138" i="7"/>
  <c r="O320" i="15" s="1"/>
  <c r="I327" i="15"/>
  <c r="AN327" i="15" s="1"/>
  <c r="AO327" i="15" s="1"/>
  <c r="I319" i="15"/>
  <c r="AN319" i="15" s="1"/>
  <c r="AO319" i="15" s="1"/>
  <c r="AE414" i="15"/>
  <c r="AC414" i="15" s="1"/>
  <c r="BD145" i="7"/>
  <c r="AE327" i="15" s="1"/>
  <c r="AC327" i="15" s="1"/>
  <c r="I298" i="15"/>
  <c r="AN298" i="15" s="1"/>
  <c r="AO298" i="15" s="1"/>
  <c r="K139" i="7"/>
  <c r="O321" i="15" s="1"/>
  <c r="W321" i="15" s="1"/>
  <c r="BB140" i="7"/>
  <c r="AA322" i="15" s="1"/>
  <c r="I321" i="15"/>
  <c r="AN321" i="15" s="1"/>
  <c r="BB7" i="7"/>
  <c r="AA278" i="15" s="1"/>
  <c r="AE278" i="15"/>
  <c r="AC278" i="15" s="1"/>
  <c r="AE428" i="15"/>
  <c r="AC428" i="15" s="1"/>
  <c r="AA428" i="15"/>
  <c r="AO405" i="15"/>
  <c r="AO387" i="15"/>
  <c r="I413" i="15"/>
  <c r="AN413" i="15" s="1"/>
  <c r="AF389" i="15"/>
  <c r="AC389" i="15" s="1"/>
  <c r="BB138" i="7"/>
  <c r="AA320" i="15" s="1"/>
  <c r="AE320" i="15"/>
  <c r="AC320" i="15" s="1"/>
  <c r="AO352" i="15"/>
  <c r="I332" i="15"/>
  <c r="K443" i="7"/>
  <c r="O332" i="15" s="1"/>
  <c r="W332" i="15" s="1"/>
  <c r="I324" i="15"/>
  <c r="AN324" i="15" s="1"/>
  <c r="BD142" i="7"/>
  <c r="K142" i="7"/>
  <c r="O324" i="15" s="1"/>
  <c r="W324" i="15" s="1"/>
  <c r="AO392" i="15"/>
  <c r="AE321" i="15"/>
  <c r="AC321" i="15" s="1"/>
  <c r="BB139" i="7"/>
  <c r="AA321" i="15" s="1"/>
  <c r="AO400" i="15"/>
  <c r="AO407" i="15"/>
  <c r="BD1106" i="7"/>
  <c r="BB1106" i="7" s="1"/>
  <c r="AA410" i="15" s="1"/>
  <c r="I410" i="15"/>
  <c r="AN410" i="15" s="1"/>
  <c r="AO418" i="15"/>
  <c r="AE407" i="15"/>
  <c r="AC407" i="15" s="1"/>
  <c r="AE337" i="15"/>
  <c r="AC337" i="15" s="1"/>
  <c r="AB110" i="15"/>
  <c r="I43" i="6"/>
  <c r="I9" i="6"/>
  <c r="AB115" i="15"/>
  <c r="AB128" i="15"/>
  <c r="BE141" i="6"/>
  <c r="BB141" i="6" s="1"/>
  <c r="AA128" i="15" s="1"/>
  <c r="O9" i="6"/>
  <c r="AB134" i="15"/>
  <c r="O15" i="6"/>
  <c r="J9" i="6"/>
  <c r="AB106" i="15"/>
  <c r="BE8" i="6"/>
  <c r="BE136" i="6"/>
  <c r="BB136" i="6" s="1"/>
  <c r="AA125" i="15" s="1"/>
  <c r="AB125" i="15"/>
  <c r="AB127" i="15"/>
  <c r="BE118" i="6"/>
  <c r="BB118" i="6" s="1"/>
  <c r="AA113" i="15" s="1"/>
  <c r="BE148" i="6"/>
  <c r="BB148" i="6" s="1"/>
  <c r="AA133" i="15" s="1"/>
  <c r="AB133" i="15"/>
  <c r="X728" i="6"/>
  <c r="X725" i="6"/>
  <c r="BE127" i="6"/>
  <c r="BB127" i="6" s="1"/>
  <c r="AA119" i="15" s="1"/>
  <c r="AB119" i="15"/>
  <c r="AB121" i="15"/>
  <c r="BE13" i="6"/>
  <c r="AB109" i="15"/>
  <c r="X710" i="6"/>
  <c r="X707" i="6"/>
  <c r="AB122" i="15"/>
  <c r="BE132" i="6"/>
  <c r="BB132" i="6" s="1"/>
  <c r="AA122" i="15" s="1"/>
  <c r="O11" i="6"/>
  <c r="W114" i="15"/>
  <c r="AO126" i="15"/>
  <c r="AO165" i="15"/>
  <c r="AO273" i="15"/>
  <c r="AP273" i="15" s="1"/>
  <c r="AO274" i="15"/>
  <c r="O211" i="15"/>
  <c r="W211" i="15" s="1"/>
  <c r="I58" i="6"/>
  <c r="AE486" i="15"/>
  <c r="AC486" i="15" s="1"/>
  <c r="BB58" i="10"/>
  <c r="AA532" i="15" s="1"/>
  <c r="BD257" i="5"/>
  <c r="AE92" i="15" s="1"/>
  <c r="AC92" i="15" s="1"/>
  <c r="I257" i="5"/>
  <c r="O92" i="15" s="1"/>
  <c r="V92" i="15" s="1"/>
  <c r="AO96" i="15"/>
  <c r="AE96" i="15"/>
  <c r="AC96" i="15" s="1"/>
  <c r="BD206" i="5"/>
  <c r="BB206" i="5" s="1"/>
  <c r="AA88" i="15" s="1"/>
  <c r="J206" i="5"/>
  <c r="O88" i="15" s="1"/>
  <c r="V88" i="15" s="1"/>
  <c r="AO100" i="15"/>
  <c r="AO74" i="15"/>
  <c r="AO72" i="15"/>
  <c r="AE69" i="15"/>
  <c r="AC69" i="15" s="1"/>
  <c r="BB53" i="5"/>
  <c r="AA74" i="15" s="1"/>
  <c r="AO69" i="15"/>
  <c r="BB47" i="5"/>
  <c r="AA68" i="15" s="1"/>
  <c r="AE73" i="15"/>
  <c r="AC73" i="15" s="1"/>
  <c r="AO97" i="15"/>
  <c r="AO73" i="15"/>
  <c r="AO90" i="15"/>
  <c r="AO94" i="15"/>
  <c r="AA97" i="15"/>
  <c r="AA99" i="15"/>
  <c r="AA100" i="15"/>
  <c r="AO82" i="15"/>
  <c r="AO78" i="15"/>
  <c r="BB46" i="5"/>
  <c r="AA67" i="15" s="1"/>
  <c r="AO68" i="15"/>
  <c r="AO84" i="15"/>
  <c r="AO66" i="15"/>
  <c r="AO80" i="15"/>
  <c r="BB102" i="5"/>
  <c r="AA80" i="15" s="1"/>
  <c r="BB51" i="5"/>
  <c r="AA72" i="15" s="1"/>
  <c r="AE84" i="15"/>
  <c r="AC84" i="15" s="1"/>
  <c r="BB154" i="5"/>
  <c r="AA84" i="15" s="1"/>
  <c r="AO67" i="15"/>
  <c r="AE94" i="15"/>
  <c r="AC94" i="15" s="1"/>
  <c r="AO62" i="15"/>
  <c r="BB7" i="5"/>
  <c r="AA62" i="15" s="1"/>
  <c r="BD10" i="5"/>
  <c r="K10" i="5"/>
  <c r="O65" i="15" s="1"/>
  <c r="V65" i="15" s="1"/>
  <c r="I65" i="15"/>
  <c r="AN65" i="15" s="1"/>
  <c r="AO42" i="15"/>
  <c r="AE40" i="15"/>
  <c r="AC40" i="15" s="1"/>
  <c r="O45" i="15"/>
  <c r="AO45" i="15" s="1"/>
  <c r="AC35" i="15"/>
  <c r="L42" i="15"/>
  <c r="I42" i="15" s="1"/>
  <c r="I74" i="16"/>
  <c r="AF42" i="15"/>
  <c r="AC42" i="15" s="1"/>
  <c r="BB73" i="16"/>
  <c r="AA42" i="15" s="1"/>
  <c r="I58" i="16"/>
  <c r="BD468" i="9"/>
  <c r="AE519" i="15" s="1"/>
  <c r="AC519" i="15" s="1"/>
  <c r="I522" i="15"/>
  <c r="AN522" i="15" s="1"/>
  <c r="AO522" i="15" s="1"/>
  <c r="V43" i="15"/>
  <c r="I519" i="15"/>
  <c r="AN519" i="15" s="1"/>
  <c r="BD471" i="9"/>
  <c r="BB471" i="9" s="1"/>
  <c r="AA522" i="15" s="1"/>
  <c r="AO43" i="15"/>
  <c r="AN39" i="15"/>
  <c r="AO39" i="15" s="1"/>
  <c r="O36" i="15"/>
  <c r="AO36" i="15" s="1"/>
  <c r="AO46" i="15"/>
  <c r="BB268" i="16"/>
  <c r="AA59" i="15" s="1"/>
  <c r="V41" i="15"/>
  <c r="AN41" i="15"/>
  <c r="AO41" i="15" s="1"/>
  <c r="V44" i="15"/>
  <c r="AF45" i="15"/>
  <c r="AC45" i="15" s="1"/>
  <c r="BB79" i="16"/>
  <c r="AA45" i="15" s="1"/>
  <c r="I1227" i="7"/>
  <c r="BD216" i="16"/>
  <c r="AO51" i="15"/>
  <c r="BD7" i="16"/>
  <c r="AE33" i="15" s="1"/>
  <c r="AC33" i="15" s="1"/>
  <c r="I33" i="15"/>
  <c r="AN33" i="15" s="1"/>
  <c r="AO33" i="15" s="1"/>
  <c r="AO54" i="15"/>
  <c r="BB211" i="16"/>
  <c r="AA51" i="15" s="1"/>
  <c r="L45" i="15"/>
  <c r="I45" i="15" s="1"/>
  <c r="I80" i="16"/>
  <c r="BB59" i="16"/>
  <c r="AA35" i="15" s="1"/>
  <c r="AE47" i="15"/>
  <c r="AC47" i="15" s="1"/>
  <c r="BB173" i="16"/>
  <c r="AA47" i="15" s="1"/>
  <c r="AO9" i="15"/>
  <c r="AO28" i="15"/>
  <c r="G21" i="3"/>
  <c r="O23" i="15" s="1"/>
  <c r="W23" i="15" s="1"/>
  <c r="BD21" i="3"/>
  <c r="AE23" i="15" s="1"/>
  <c r="AC23" i="15" s="1"/>
  <c r="BB25" i="3"/>
  <c r="AA27" i="15" s="1"/>
  <c r="BB7" i="3"/>
  <c r="AA9" i="15" s="1"/>
  <c r="AE32" i="15"/>
  <c r="AC32" i="15" s="1"/>
  <c r="AO19" i="15"/>
  <c r="AO13" i="15"/>
  <c r="AO16" i="15"/>
  <c r="AO12" i="15"/>
  <c r="AO11" i="15"/>
  <c r="AO21" i="15"/>
  <c r="AO27"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663" i="15"/>
  <c r="AN663" i="15" s="1"/>
  <c r="AO663" i="15" s="1"/>
  <c r="DB480" i="2"/>
  <c r="AA630" i="15" s="1"/>
  <c r="DB435" i="2"/>
  <c r="AA620" i="15" s="1"/>
  <c r="DB459" i="2"/>
  <c r="AA628" i="15" s="1"/>
  <c r="AO609" i="15"/>
  <c r="AE618" i="15"/>
  <c r="AC618" i="15" s="1"/>
  <c r="DB399" i="2"/>
  <c r="AA618" i="15" s="1"/>
  <c r="AO604" i="15"/>
  <c r="I195" i="2"/>
  <c r="O587" i="15" s="1"/>
  <c r="W587" i="15" s="1"/>
  <c r="V587" i="15" s="1"/>
  <c r="U587" i="15" s="1"/>
  <c r="DD289" i="2"/>
  <c r="AE600" i="15" s="1"/>
  <c r="AC600" i="15" s="1"/>
  <c r="DB219" i="2"/>
  <c r="AA592" i="15" s="1"/>
  <c r="DB322" i="2"/>
  <c r="AA603" i="15" s="1"/>
  <c r="DB704" i="2"/>
  <c r="DB142" i="2"/>
  <c r="AA580" i="15" s="1"/>
  <c r="DB419" i="2"/>
  <c r="AA619" i="15" s="1"/>
  <c r="DB705" i="2"/>
  <c r="Q619" i="15"/>
  <c r="O619" i="15" s="1"/>
  <c r="W619" i="15" s="1"/>
  <c r="V619" i="15" s="1"/>
  <c r="U619" i="15" s="1"/>
  <c r="AO574" i="15"/>
  <c r="AO637" i="15"/>
  <c r="DB640" i="2"/>
  <c r="AA653" i="15" s="1"/>
  <c r="AO646" i="15"/>
  <c r="DB437" i="2"/>
  <c r="AA622" i="15" s="1"/>
  <c r="DB123" i="2"/>
  <c r="AA566" i="15" s="1"/>
  <c r="DB482" i="2"/>
  <c r="AA632" i="15" s="1"/>
  <c r="DB128" i="2"/>
  <c r="AA570" i="15" s="1"/>
  <c r="DB507" i="2"/>
  <c r="AA638" i="15" s="1"/>
  <c r="DB672" i="2"/>
  <c r="AA655" i="15" s="1"/>
  <c r="DB144" i="2"/>
  <c r="AA582" i="15" s="1"/>
  <c r="V551" i="15"/>
  <c r="U551" i="15" s="1"/>
  <c r="AO656" i="15"/>
  <c r="AO581" i="15"/>
  <c r="DB125" i="2"/>
  <c r="AA568" i="15" s="1"/>
  <c r="V549" i="15"/>
  <c r="U549" i="15" s="1"/>
  <c r="DB375" i="2"/>
  <c r="AA611" i="15" s="1"/>
  <c r="DB372" i="2"/>
  <c r="AA608" i="15" s="1"/>
  <c r="DB508" i="2"/>
  <c r="AA639" i="15" s="1"/>
  <c r="AO629" i="15"/>
  <c r="AO576" i="15"/>
  <c r="AO643" i="15"/>
  <c r="AO638" i="15"/>
  <c r="W638" i="15"/>
  <c r="V638" i="15" s="1"/>
  <c r="U638" i="15" s="1"/>
  <c r="DB129" i="2"/>
  <c r="AA571" i="15" s="1"/>
  <c r="AO622" i="15"/>
  <c r="AO566" i="15"/>
  <c r="AO633" i="15"/>
  <c r="AO577" i="15"/>
  <c r="DB9" i="2"/>
  <c r="AA534" i="15" s="1"/>
  <c r="AO614" i="15"/>
  <c r="AA614" i="15"/>
  <c r="DB589" i="2"/>
  <c r="AO549" i="15"/>
  <c r="AO569" i="15"/>
  <c r="AO650" i="15"/>
  <c r="AO580" i="15"/>
  <c r="AO568" i="15"/>
  <c r="V569" i="15"/>
  <c r="U569" i="15" s="1"/>
  <c r="DB506" i="2"/>
  <c r="AA637" i="15" s="1"/>
  <c r="AO542" i="15"/>
  <c r="DB373" i="2"/>
  <c r="AA609" i="15" s="1"/>
  <c r="DB218" i="2"/>
  <c r="AA591" i="15" s="1"/>
  <c r="AO634" i="15"/>
  <c r="AO624" i="15"/>
  <c r="AO575" i="15"/>
  <c r="DB24" i="2"/>
  <c r="AA549" i="15" s="1"/>
  <c r="AE46" i="15"/>
  <c r="AC46" i="15" s="1"/>
  <c r="BB172" i="16"/>
  <c r="AA46" i="15" s="1"/>
  <c r="BB467" i="9"/>
  <c r="AA518" i="15" s="1"/>
  <c r="AE518" i="15"/>
  <c r="AC518" i="15" s="1"/>
  <c r="BB17" i="7"/>
  <c r="AA288" i="15" s="1"/>
  <c r="AE288" i="15"/>
  <c r="AC288" i="15" s="1"/>
  <c r="AE228" i="15"/>
  <c r="AC228" i="15" s="1"/>
  <c r="BE813" i="6"/>
  <c r="AB175" i="15"/>
  <c r="F316" i="9"/>
  <c r="AB499" i="15"/>
  <c r="W316" i="9"/>
  <c r="P248" i="9"/>
  <c r="BE247" i="9"/>
  <c r="BB247" i="9" s="1"/>
  <c r="AA499" i="15" s="1"/>
  <c r="AE37" i="15"/>
  <c r="AC37" i="15" s="1"/>
  <c r="BB63" i="16"/>
  <c r="AA37" i="15" s="1"/>
  <c r="BE159" i="6"/>
  <c r="BB159" i="6" s="1"/>
  <c r="AA140" i="15" s="1"/>
  <c r="AB140" i="15"/>
  <c r="F1274" i="6"/>
  <c r="F1268" i="6"/>
  <c r="F1280" i="6"/>
  <c r="F1256" i="6"/>
  <c r="F1244" i="6"/>
  <c r="F1262" i="6"/>
  <c r="F1238" i="6"/>
  <c r="F1232" i="6"/>
  <c r="F1286" i="6"/>
  <c r="F1250" i="6"/>
  <c r="AG122" i="15"/>
  <c r="AD122" i="15" s="1"/>
  <c r="AE21" i="15"/>
  <c r="AC21" i="15" s="1"/>
  <c r="BB19" i="3"/>
  <c r="AA21" i="15" s="1"/>
  <c r="AE211" i="15"/>
  <c r="AE345" i="15"/>
  <c r="AC345" i="15" s="1"/>
  <c r="AE479" i="15"/>
  <c r="AC479" i="15" s="1"/>
  <c r="BB41" i="9"/>
  <c r="AA479" i="15" s="1"/>
  <c r="AE426" i="15"/>
  <c r="AC426" i="15" s="1"/>
  <c r="AA426" i="15"/>
  <c r="BD1108" i="7"/>
  <c r="I412" i="15"/>
  <c r="AN412" i="15" s="1"/>
  <c r="V582" i="7"/>
  <c r="V650" i="7" s="1"/>
  <c r="D650" i="7"/>
  <c r="D720" i="7" s="1"/>
  <c r="AN618" i="15"/>
  <c r="AO618" i="15" s="1"/>
  <c r="AE528" i="15"/>
  <c r="AC528" i="15" s="1"/>
  <c r="BB8" i="10"/>
  <c r="AA528" i="15" s="1"/>
  <c r="BB295" i="16"/>
  <c r="AA60" i="15" s="1"/>
  <c r="AE60" i="15"/>
  <c r="AC60" i="15" s="1"/>
  <c r="X169" i="15"/>
  <c r="Z169" i="15" s="1"/>
  <c r="BC803" i="6"/>
  <c r="J204" i="5"/>
  <c r="O86" i="15" s="1"/>
  <c r="V86" i="15" s="1"/>
  <c r="I86" i="15"/>
  <c r="AN86" i="15" s="1"/>
  <c r="BD204" i="5"/>
  <c r="AE273" i="15"/>
  <c r="AC273" i="15" s="1"/>
  <c r="M1108" i="7"/>
  <c r="O412" i="15" s="1"/>
  <c r="W412" i="15" s="1"/>
  <c r="AG146" i="15"/>
  <c r="AD146" i="15" s="1"/>
  <c r="I302" i="15"/>
  <c r="AN302" i="15" s="1"/>
  <c r="BD120" i="7"/>
  <c r="K120" i="7"/>
  <c r="O302" i="15" s="1"/>
  <c r="W302" i="15" s="1"/>
  <c r="DB570" i="2"/>
  <c r="AA646" i="15" s="1"/>
  <c r="AE34" i="15"/>
  <c r="DB511" i="2"/>
  <c r="AA642" i="15" s="1"/>
  <c r="AB139" i="15"/>
  <c r="BE157" i="6"/>
  <c r="BB157" i="6" s="1"/>
  <c r="AA139" i="15" s="1"/>
  <c r="AE159" i="15"/>
  <c r="AC159" i="15" s="1"/>
  <c r="AE142" i="15"/>
  <c r="AC142" i="15" s="1"/>
  <c r="BB214" i="16"/>
  <c r="AA54" i="15" s="1"/>
  <c r="AE54" i="15"/>
  <c r="AC54" i="15" s="1"/>
  <c r="AE43" i="15"/>
  <c r="AC43" i="15" s="1"/>
  <c r="BB75" i="16"/>
  <c r="AA43" i="15" s="1"/>
  <c r="K250" i="15"/>
  <c r="I1578" i="6"/>
  <c r="Q250" i="15" s="1"/>
  <c r="O250" i="15" s="1"/>
  <c r="BD1578" i="6"/>
  <c r="AE167" i="15"/>
  <c r="AC167" i="15" s="1"/>
  <c r="BB797" i="6"/>
  <c r="AA167" i="15" s="1"/>
  <c r="BB150" i="6"/>
  <c r="AA134" i="15" s="1"/>
  <c r="AE134" i="15"/>
  <c r="AC134" i="15" s="1"/>
  <c r="X207" i="15"/>
  <c r="Z207" i="15" s="1"/>
  <c r="BC1454" i="6"/>
  <c r="BD1454" i="6" s="1"/>
  <c r="AE168" i="15"/>
  <c r="AC168" i="15" s="1"/>
  <c r="I88" i="15"/>
  <c r="AN88" i="15" s="1"/>
  <c r="BD18" i="3"/>
  <c r="I20" i="15"/>
  <c r="AN20" i="15" s="1"/>
  <c r="G18" i="3"/>
  <c r="O20" i="15" s="1"/>
  <c r="W20" i="15" s="1"/>
  <c r="BB534" i="9"/>
  <c r="AA526" i="15" s="1"/>
  <c r="AE526" i="15"/>
  <c r="AC526" i="15" s="1"/>
  <c r="BB1096" i="7"/>
  <c r="AA400" i="15" s="1"/>
  <c r="AE400" i="15"/>
  <c r="AC400" i="15" s="1"/>
  <c r="AE253" i="15"/>
  <c r="AC253" i="15" s="1"/>
  <c r="AE503" i="15"/>
  <c r="AC503" i="15" s="1"/>
  <c r="AA503" i="15"/>
  <c r="I194" i="2"/>
  <c r="O586" i="15" s="1"/>
  <c r="W586" i="15" s="1"/>
  <c r="V586" i="15" s="1"/>
  <c r="U586" i="15" s="1"/>
  <c r="DB481" i="2"/>
  <c r="AA631" i="15" s="1"/>
  <c r="AO206" i="15"/>
  <c r="V634" i="15"/>
  <c r="U634" i="15" s="1"/>
  <c r="AO621" i="15"/>
  <c r="V573" i="15"/>
  <c r="U573" i="15" s="1"/>
  <c r="DB436" i="2"/>
  <c r="AA621" i="15" s="1"/>
  <c r="AE151" i="15"/>
  <c r="AC151" i="15" s="1"/>
  <c r="AE160" i="15"/>
  <c r="AC160" i="15" s="1"/>
  <c r="AF39" i="15"/>
  <c r="AC39" i="15" s="1"/>
  <c r="BB67" i="16"/>
  <c r="AA39" i="15" s="1"/>
  <c r="AB330" i="15"/>
  <c r="BE441" i="7"/>
  <c r="DD759" i="2"/>
  <c r="BB100" i="5"/>
  <c r="AA78" i="15" s="1"/>
  <c r="AE78" i="15"/>
  <c r="AC78" i="15" s="1"/>
  <c r="AE148" i="15"/>
  <c r="AC148" i="15" s="1"/>
  <c r="AE314" i="15"/>
  <c r="AC314" i="15" s="1"/>
  <c r="BB132" i="7"/>
  <c r="AA314" i="15" s="1"/>
  <c r="AN195" i="15"/>
  <c r="I195" i="15"/>
  <c r="AG196" i="15"/>
  <c r="AD196" i="15" s="1"/>
  <c r="BB1418" i="6"/>
  <c r="AA196" i="15" s="1"/>
  <c r="BB43" i="9"/>
  <c r="AA481" i="15" s="1"/>
  <c r="AE481" i="15"/>
  <c r="AC481" i="15" s="1"/>
  <c r="AE152" i="15"/>
  <c r="AC152" i="15" s="1"/>
  <c r="BE162" i="6"/>
  <c r="BB162" i="6" s="1"/>
  <c r="AA142" i="15" s="1"/>
  <c r="AB142" i="15"/>
  <c r="DB139" i="2"/>
  <c r="AA578" i="15" s="1"/>
  <c r="DB374" i="2"/>
  <c r="AA610" i="15" s="1"/>
  <c r="DB175" i="2"/>
  <c r="AA585" i="15" s="1"/>
  <c r="V42" i="15"/>
  <c r="AO232" i="15"/>
  <c r="V575" i="15"/>
  <c r="U575" i="15" s="1"/>
  <c r="AE158" i="15"/>
  <c r="AC158" i="15" s="1"/>
  <c r="AE153" i="15"/>
  <c r="AC153" i="15" s="1"/>
  <c r="AE527" i="15"/>
  <c r="AC527" i="15" s="1"/>
  <c r="BB7" i="10"/>
  <c r="AA527" i="15" s="1"/>
  <c r="BB77" i="16"/>
  <c r="AA44" i="15" s="1"/>
  <c r="AE44" i="15"/>
  <c r="AC44" i="15" s="1"/>
  <c r="BE444" i="7"/>
  <c r="AB333" i="15"/>
  <c r="AE115" i="15"/>
  <c r="AC115" i="15" s="1"/>
  <c r="BB121" i="6"/>
  <c r="AA115" i="15" s="1"/>
  <c r="AE15" i="15"/>
  <c r="AC15" i="15" s="1"/>
  <c r="BB13" i="3"/>
  <c r="AA15" i="15" s="1"/>
  <c r="I807" i="6"/>
  <c r="Q172" i="15" s="1"/>
  <c r="BD807" i="6"/>
  <c r="K172" i="15"/>
  <c r="AF267" i="15"/>
  <c r="AC267" i="15" s="1"/>
  <c r="BB809" i="7"/>
  <c r="AA374" i="15" s="1"/>
  <c r="AE374" i="15"/>
  <c r="AC374" i="15" s="1"/>
  <c r="P246" i="9"/>
  <c r="F314" i="9"/>
  <c r="AB497" i="15"/>
  <c r="W314" i="9"/>
  <c r="BE245" i="9"/>
  <c r="BB245" i="9" s="1"/>
  <c r="AA497" i="15" s="1"/>
  <c r="DB138" i="2"/>
  <c r="AA577" i="15" s="1"/>
  <c r="AE138" i="15"/>
  <c r="AC138" i="15" s="1"/>
  <c r="BB156" i="6"/>
  <c r="AA138" i="15" s="1"/>
  <c r="DB656" i="2"/>
  <c r="AA654" i="15" s="1"/>
  <c r="AO623" i="15"/>
  <c r="W160" i="15"/>
  <c r="O160" i="15"/>
  <c r="AG139" i="15"/>
  <c r="AD139" i="15" s="1"/>
  <c r="AN34" i="15"/>
  <c r="BE443" i="7"/>
  <c r="AB332" i="15"/>
  <c r="BD117" i="7"/>
  <c r="K117" i="7"/>
  <c r="O299" i="15" s="1"/>
  <c r="W299" i="15" s="1"/>
  <c r="I299" i="15"/>
  <c r="AN299" i="15" s="1"/>
  <c r="AE198" i="15"/>
  <c r="AC198" i="15" s="1"/>
  <c r="BB1426" i="6"/>
  <c r="AA198" i="15" s="1"/>
  <c r="AB172" i="15"/>
  <c r="K809" i="6"/>
  <c r="BE807" i="6"/>
  <c r="BB28" i="3"/>
  <c r="AA30" i="15" s="1"/>
  <c r="AE30" i="15"/>
  <c r="AC30" i="15" s="1"/>
  <c r="AE140" i="15"/>
  <c r="AC140" i="15" s="1"/>
  <c r="AE154" i="15"/>
  <c r="AC154" i="15" s="1"/>
  <c r="I26" i="15"/>
  <c r="AN26" i="15" s="1"/>
  <c r="BD24" i="3"/>
  <c r="G24" i="3"/>
  <c r="O26" i="15" s="1"/>
  <c r="W26" i="15" s="1"/>
  <c r="X173" i="15"/>
  <c r="Z173" i="15" s="1"/>
  <c r="BC809" i="6"/>
  <c r="AN59" i="15"/>
  <c r="AO59" i="15" s="1"/>
  <c r="DD267" i="2"/>
  <c r="AE596" i="15" s="1"/>
  <c r="AC596" i="15" s="1"/>
  <c r="DB531" i="2"/>
  <c r="AA643" i="15" s="1"/>
  <c r="DB146" i="2"/>
  <c r="AA583" i="15" s="1"/>
  <c r="AG149" i="15"/>
  <c r="AD149" i="15" s="1"/>
  <c r="L38" i="15"/>
  <c r="I38" i="15" s="1"/>
  <c r="BD66" i="16"/>
  <c r="I66" i="16"/>
  <c r="O34" i="15"/>
  <c r="V34" i="15"/>
  <c r="BE442" i="7"/>
  <c r="AB331" i="15"/>
  <c r="AB137" i="15"/>
  <c r="BE154" i="6"/>
  <c r="BB154" i="6" s="1"/>
  <c r="AA137" i="15" s="1"/>
  <c r="AE50" i="15"/>
  <c r="AC50" i="15" s="1"/>
  <c r="BB210" i="16"/>
  <c r="AA50" i="15" s="1"/>
  <c r="AE197" i="15"/>
  <c r="AC197" i="15" s="1"/>
  <c r="AG128" i="15"/>
  <c r="AD128" i="15" s="1"/>
  <c r="AE66" i="15"/>
  <c r="AC66" i="15" s="1"/>
  <c r="BB11" i="5"/>
  <c r="AA66" i="15" s="1"/>
  <c r="AE11" i="15"/>
  <c r="AC11" i="15" s="1"/>
  <c r="BB9" i="3"/>
  <c r="AA11" i="15" s="1"/>
  <c r="AE352" i="15"/>
  <c r="AC352" i="15" s="1"/>
  <c r="BB599" i="7"/>
  <c r="AA352" i="15" s="1"/>
  <c r="AE394" i="15"/>
  <c r="AC394" i="15" s="1"/>
  <c r="BB1002" i="7"/>
  <c r="AA394" i="15" s="1"/>
  <c r="AE521" i="15"/>
  <c r="AC521" i="15" s="1"/>
  <c r="BB470" i="9"/>
  <c r="AA521" i="15" s="1"/>
  <c r="BE243" i="9"/>
  <c r="BB243" i="9" s="1"/>
  <c r="AA495" i="15" s="1"/>
  <c r="AB495" i="15"/>
  <c r="W312" i="9"/>
  <c r="P244" i="9"/>
  <c r="F312" i="9"/>
  <c r="I588" i="15"/>
  <c r="AN588" i="15" s="1"/>
  <c r="DD196" i="2"/>
  <c r="AE588" i="15" s="1"/>
  <c r="AC588" i="15" s="1"/>
  <c r="DB547" i="2"/>
  <c r="AA644" i="15" s="1"/>
  <c r="AO603" i="15"/>
  <c r="I548" i="2"/>
  <c r="O645" i="15" s="1"/>
  <c r="V645" i="15" s="1"/>
  <c r="U645" i="15" s="1"/>
  <c r="I596" i="15"/>
  <c r="AN596" i="15" s="1"/>
  <c r="DB250" i="2"/>
  <c r="AA594" i="15" s="1"/>
  <c r="DB509" i="2"/>
  <c r="AA640" i="15" s="1"/>
  <c r="DB438" i="2"/>
  <c r="AA623" i="15" s="1"/>
  <c r="DB174" i="2"/>
  <c r="AA584" i="15" s="1"/>
  <c r="I266" i="2"/>
  <c r="O595" i="15" s="1"/>
  <c r="V595" i="15" s="1"/>
  <c r="U595" i="15" s="1"/>
  <c r="AO655" i="15"/>
  <c r="AO578" i="15"/>
  <c r="DD548" i="2"/>
  <c r="AE645" i="15" s="1"/>
  <c r="AC645" i="15" s="1"/>
  <c r="DD197" i="2"/>
  <c r="AE589" i="15" s="1"/>
  <c r="AC589" i="15" s="1"/>
  <c r="AO610" i="15"/>
  <c r="AO658" i="15"/>
  <c r="AO570" i="15"/>
  <c r="AO582" i="15"/>
  <c r="DD194" i="2"/>
  <c r="AE586" i="15" s="1"/>
  <c r="AC586" i="15" s="1"/>
  <c r="AO546" i="15"/>
  <c r="AE634" i="15"/>
  <c r="AC634" i="15" s="1"/>
  <c r="DB484" i="2"/>
  <c r="AA634" i="15" s="1"/>
  <c r="AO630" i="15"/>
  <c r="AO631" i="15"/>
  <c r="AO594" i="15"/>
  <c r="AO548" i="15"/>
  <c r="I589" i="15"/>
  <c r="AN589" i="15" s="1"/>
  <c r="AO639" i="15"/>
  <c r="AO620" i="15"/>
  <c r="AO657" i="15"/>
  <c r="DB571" i="2"/>
  <c r="DB308" i="2"/>
  <c r="AA602" i="15" s="1"/>
  <c r="AO567" i="15"/>
  <c r="DB133" i="2"/>
  <c r="AA574" i="15" s="1"/>
  <c r="DB141" i="2"/>
  <c r="AA579" i="15" s="1"/>
  <c r="DB236" i="2"/>
  <c r="AA593" i="15" s="1"/>
  <c r="V594" i="15"/>
  <c r="U594" i="15" s="1"/>
  <c r="AO571" i="15"/>
  <c r="V571" i="15"/>
  <c r="U571" i="15" s="1"/>
  <c r="AO640" i="15"/>
  <c r="AO583" i="15"/>
  <c r="AO579" i="15"/>
  <c r="V567" i="15"/>
  <c r="U567" i="15" s="1"/>
  <c r="AO641" i="15"/>
  <c r="AO636" i="15"/>
  <c r="DB143" i="2"/>
  <c r="AA581" i="15" s="1"/>
  <c r="AO572" i="15"/>
  <c r="DB758" i="2"/>
  <c r="AA663" i="15" s="1"/>
  <c r="AO592" i="15"/>
  <c r="DD266" i="2"/>
  <c r="DB130" i="2"/>
  <c r="AA572" i="15" s="1"/>
  <c r="W642" i="15"/>
  <c r="V642" i="15" s="1"/>
  <c r="U642" i="15" s="1"/>
  <c r="AO553" i="15"/>
  <c r="DB126" i="2"/>
  <c r="AA569" i="15" s="1"/>
  <c r="DB137" i="2"/>
  <c r="AA576" i="15" s="1"/>
  <c r="AO545" i="15"/>
  <c r="AO573" i="15"/>
  <c r="I196" i="2"/>
  <c r="O588" i="15" s="1"/>
  <c r="W588" i="15" s="1"/>
  <c r="V588" i="15" s="1"/>
  <c r="U588" i="15" s="1"/>
  <c r="AA553" i="15"/>
  <c r="AO539" i="15"/>
  <c r="AO551" i="15"/>
  <c r="AO659" i="15"/>
  <c r="AO635" i="15"/>
  <c r="AO632" i="15"/>
  <c r="I599" i="15"/>
  <c r="AN599" i="15" s="1"/>
  <c r="DD288" i="2"/>
  <c r="I288" i="2"/>
  <c r="O599" i="15" s="1"/>
  <c r="V599" i="15" s="1"/>
  <c r="U599" i="15" s="1"/>
  <c r="DB131" i="2"/>
  <c r="AA573" i="15" s="1"/>
  <c r="AO611" i="15"/>
  <c r="DD195" i="2"/>
  <c r="AE587" i="15" s="1"/>
  <c r="AC587" i="15" s="1"/>
  <c r="I598" i="15"/>
  <c r="AN598" i="15" s="1"/>
  <c r="DD269" i="2"/>
  <c r="I269" i="2"/>
  <c r="O598" i="15" s="1"/>
  <c r="V598" i="15" s="1"/>
  <c r="U598" i="15" s="1"/>
  <c r="AO543" i="15"/>
  <c r="AO585" i="15"/>
  <c r="AO584" i="15"/>
  <c r="V659" i="15"/>
  <c r="U659" i="15" s="1"/>
  <c r="AO547" i="15"/>
  <c r="AA551" i="15"/>
  <c r="AO591" i="15"/>
  <c r="AO660" i="15"/>
  <c r="AO647" i="15"/>
  <c r="AO593" i="15"/>
  <c r="AO544" i="15"/>
  <c r="U654" i="15"/>
  <c r="AE567" i="15"/>
  <c r="AC567" i="15" s="1"/>
  <c r="DB124" i="2"/>
  <c r="AA567" i="15" s="1"/>
  <c r="AO628" i="15"/>
  <c r="AO538" i="15"/>
  <c r="AO44" i="15"/>
  <c r="AO194" i="15"/>
  <c r="AO239" i="15"/>
  <c r="AO123" i="15"/>
  <c r="AO190" i="15"/>
  <c r="AO665" i="15"/>
  <c r="AO35" i="15"/>
  <c r="AO626" i="15"/>
  <c r="AO167" i="15"/>
  <c r="DB22" i="2"/>
  <c r="AA547" i="15" s="1"/>
  <c r="AE548" i="15"/>
  <c r="AC548" i="15" s="1"/>
  <c r="AO612" i="15"/>
  <c r="DB12" i="2"/>
  <c r="AA537" i="15" s="1"/>
  <c r="AO607" i="15"/>
  <c r="AO627" i="15"/>
  <c r="AO555" i="15"/>
  <c r="AO536" i="15"/>
  <c r="AO625" i="15"/>
  <c r="W607" i="15"/>
  <c r="V607" i="15" s="1"/>
  <c r="U607" i="15" s="1"/>
  <c r="AO235" i="15"/>
  <c r="AO191" i="15"/>
  <c r="AO217" i="15"/>
  <c r="DB19" i="2"/>
  <c r="AA544" i="15" s="1"/>
  <c r="AE535" i="15"/>
  <c r="AC535" i="15" s="1"/>
  <c r="DB21" i="2"/>
  <c r="AA546" i="15" s="1"/>
  <c r="AO540" i="15"/>
  <c r="V388" i="15"/>
  <c r="AO388" i="15"/>
  <c r="DB11" i="2"/>
  <c r="AA536" i="15" s="1"/>
  <c r="DB16" i="2"/>
  <c r="AA541" i="15" s="1"/>
  <c r="DB13" i="2"/>
  <c r="AA538" i="15" s="1"/>
  <c r="V536" i="15"/>
  <c r="U536" i="15" s="1"/>
  <c r="AE542" i="15"/>
  <c r="AC542" i="15" s="1"/>
  <c r="DB17" i="2"/>
  <c r="AA542" i="15" s="1"/>
  <c r="AE539" i="15"/>
  <c r="AC539" i="15" s="1"/>
  <c r="DB14" i="2"/>
  <c r="AA539" i="15" s="1"/>
  <c r="V555" i="15"/>
  <c r="U555" i="15" s="1"/>
  <c r="AO541" i="15"/>
  <c r="AO537" i="15"/>
  <c r="AE545" i="15"/>
  <c r="AC545" i="15" s="1"/>
  <c r="DB20" i="2"/>
  <c r="AA545" i="15" s="1"/>
  <c r="AE555" i="15"/>
  <c r="AC555" i="15" s="1"/>
  <c r="AA555" i="15"/>
  <c r="AO534" i="15"/>
  <c r="AE540" i="15"/>
  <c r="AC540" i="15" s="1"/>
  <c r="DB15" i="2"/>
  <c r="AA540" i="15" s="1"/>
  <c r="AE543" i="15"/>
  <c r="AC543" i="15" s="1"/>
  <c r="DB18" i="2"/>
  <c r="AA543" i="15" s="1"/>
  <c r="AO535" i="15"/>
  <c r="BB11" i="3" l="1"/>
  <c r="AA13" i="15" s="1"/>
  <c r="AO32" i="15"/>
  <c r="BB17" i="3"/>
  <c r="AA19" i="15" s="1"/>
  <c r="BB26" i="3"/>
  <c r="AA28" i="15" s="1"/>
  <c r="AE28" i="15"/>
  <c r="AC28" i="15" s="1"/>
  <c r="AO590" i="15"/>
  <c r="DB198" i="2"/>
  <c r="AA590" i="15" s="1"/>
  <c r="AE488" i="15"/>
  <c r="AC488" i="15" s="1"/>
  <c r="AO488" i="15"/>
  <c r="BB904" i="7"/>
  <c r="AA391" i="15" s="1"/>
  <c r="AE325" i="15"/>
  <c r="AC325" i="15" s="1"/>
  <c r="AO416" i="15"/>
  <c r="AE293" i="15"/>
  <c r="AC293" i="15" s="1"/>
  <c r="AO375" i="15"/>
  <c r="AO374" i="15"/>
  <c r="BB442" i="7"/>
  <c r="AA331" i="15" s="1"/>
  <c r="AO337" i="15"/>
  <c r="BB118" i="7"/>
  <c r="AA300" i="15" s="1"/>
  <c r="BB1261" i="7"/>
  <c r="AA432" i="15" s="1"/>
  <c r="AN265" i="15"/>
  <c r="AO182" i="15"/>
  <c r="AF36" i="15"/>
  <c r="AC36" i="15" s="1"/>
  <c r="W265" i="15"/>
  <c r="AO265" i="15"/>
  <c r="AP265" i="15" s="1"/>
  <c r="AO89" i="15"/>
  <c r="BB21" i="3"/>
  <c r="AA23" i="15" s="1"/>
  <c r="BB207" i="5"/>
  <c r="AA89" i="15" s="1"/>
  <c r="AE89" i="15"/>
  <c r="AC89" i="15" s="1"/>
  <c r="AO471" i="15"/>
  <c r="AE489" i="15"/>
  <c r="AC489" i="15" s="1"/>
  <c r="AO477" i="15"/>
  <c r="AO476" i="15"/>
  <c r="AO474" i="15"/>
  <c r="O473" i="15"/>
  <c r="U473" i="15" s="1"/>
  <c r="U476" i="15"/>
  <c r="O475" i="15"/>
  <c r="U475" i="15" s="1"/>
  <c r="AO233" i="15"/>
  <c r="AO23" i="15"/>
  <c r="W227" i="15"/>
  <c r="AO267" i="15"/>
  <c r="AP267" i="15" s="1"/>
  <c r="AO201" i="15"/>
  <c r="AP201" i="15" s="1"/>
  <c r="AO195" i="15"/>
  <c r="I106" i="15"/>
  <c r="AN106" i="15" s="1"/>
  <c r="AO106" i="15" s="1"/>
  <c r="AO266" i="15"/>
  <c r="AO222" i="15"/>
  <c r="AO204" i="15"/>
  <c r="AO294" i="15"/>
  <c r="AO271" i="15"/>
  <c r="AP271" i="15" s="1"/>
  <c r="AO210" i="15"/>
  <c r="AO238" i="15"/>
  <c r="AO272" i="15"/>
  <c r="AO410" i="15"/>
  <c r="AO220" i="15"/>
  <c r="AO216" i="15"/>
  <c r="AO596" i="15"/>
  <c r="AO304" i="15"/>
  <c r="AO411" i="15"/>
  <c r="AO343" i="15"/>
  <c r="AO381" i="15"/>
  <c r="W187" i="15"/>
  <c r="AO382" i="15"/>
  <c r="AO340" i="15"/>
  <c r="AO236" i="15"/>
  <c r="AO257" i="15"/>
  <c r="AO183" i="15"/>
  <c r="AO218" i="15"/>
  <c r="AP218" i="15" s="1"/>
  <c r="AO184" i="15"/>
  <c r="AO311" i="15"/>
  <c r="AO219" i="15"/>
  <c r="AO253" i="15"/>
  <c r="AP253" i="15" s="1"/>
  <c r="AO380" i="15"/>
  <c r="AO269" i="15"/>
  <c r="AP269" i="15" s="1"/>
  <c r="AO198" i="15"/>
  <c r="AO378" i="15"/>
  <c r="BB18" i="7"/>
  <c r="AA289" i="15" s="1"/>
  <c r="AO600" i="15"/>
  <c r="AO601" i="15"/>
  <c r="AO373" i="15"/>
  <c r="AO186" i="15"/>
  <c r="W268" i="15"/>
  <c r="AO385" i="15"/>
  <c r="AO243" i="15"/>
  <c r="AP243" i="15" s="1"/>
  <c r="AO389" i="15"/>
  <c r="BB1259" i="7"/>
  <c r="AA431" i="15" s="1"/>
  <c r="AA416" i="15"/>
  <c r="AO394" i="15"/>
  <c r="BB902" i="7"/>
  <c r="AA390" i="15" s="1"/>
  <c r="BB808" i="7"/>
  <c r="AA373" i="15" s="1"/>
  <c r="BE589" i="7"/>
  <c r="BB589" i="7" s="1"/>
  <c r="AA345" i="15" s="1"/>
  <c r="AB345" i="15"/>
  <c r="BE592" i="7"/>
  <c r="BB592" i="7" s="1"/>
  <c r="AA347" i="15" s="1"/>
  <c r="AB347" i="15"/>
  <c r="BB593" i="7"/>
  <c r="AA348" i="15" s="1"/>
  <c r="AE378" i="15"/>
  <c r="AC378" i="15" s="1"/>
  <c r="BB853" i="7"/>
  <c r="AA378" i="15" s="1"/>
  <c r="AE281" i="15"/>
  <c r="AC281" i="15" s="1"/>
  <c r="BB1104" i="7"/>
  <c r="AA408" i="15" s="1"/>
  <c r="AE416" i="15"/>
  <c r="AC416" i="15" s="1"/>
  <c r="AO348" i="15"/>
  <c r="AO344" i="15"/>
  <c r="BB123" i="7"/>
  <c r="AA305" i="15" s="1"/>
  <c r="AO309" i="15"/>
  <c r="AE397" i="15"/>
  <c r="AC397" i="15" s="1"/>
  <c r="AO397" i="15"/>
  <c r="AO390" i="15"/>
  <c r="AO384" i="15"/>
  <c r="BB134" i="7"/>
  <c r="AA316" i="15" s="1"/>
  <c r="BB441" i="7"/>
  <c r="AA330" i="15" s="1"/>
  <c r="AO391" i="15"/>
  <c r="AE291" i="15"/>
  <c r="AC291" i="15" s="1"/>
  <c r="AE326" i="15"/>
  <c r="AC326" i="15" s="1"/>
  <c r="AE344" i="15"/>
  <c r="AC344" i="15" s="1"/>
  <c r="BB551" i="7"/>
  <c r="AA340" i="15" s="1"/>
  <c r="AO335" i="15"/>
  <c r="AO334" i="15"/>
  <c r="AE335" i="15"/>
  <c r="AC335" i="15" s="1"/>
  <c r="BB481" i="7"/>
  <c r="AA335" i="15" s="1"/>
  <c r="AE334" i="15"/>
  <c r="AC334" i="15" s="1"/>
  <c r="BB480" i="7"/>
  <c r="AA334" i="15" s="1"/>
  <c r="AO329" i="15"/>
  <c r="AO330" i="15"/>
  <c r="BB127" i="7"/>
  <c r="AA309" i="15" s="1"/>
  <c r="AE338" i="15"/>
  <c r="AC338" i="15" s="1"/>
  <c r="BB56" i="7"/>
  <c r="AA294" i="15" s="1"/>
  <c r="BB57" i="16"/>
  <c r="AA34" i="15" s="1"/>
  <c r="AC34" i="15"/>
  <c r="BE166" i="6"/>
  <c r="BB166" i="6" s="1"/>
  <c r="AA145" i="15" s="1"/>
  <c r="BE163" i="6"/>
  <c r="BB163" i="6" s="1"/>
  <c r="AA143" i="15" s="1"/>
  <c r="AO645" i="15"/>
  <c r="DB290" i="2"/>
  <c r="AA601" i="15" s="1"/>
  <c r="AO589" i="15"/>
  <c r="DB268" i="2"/>
  <c r="AA597" i="15" s="1"/>
  <c r="AO516" i="15"/>
  <c r="AO479" i="15"/>
  <c r="BB42" i="9"/>
  <c r="AA480" i="15" s="1"/>
  <c r="BB49" i="9"/>
  <c r="AA487" i="15" s="1"/>
  <c r="AE310" i="15"/>
  <c r="AC310" i="15" s="1"/>
  <c r="BB810" i="7"/>
  <c r="AA375" i="15" s="1"/>
  <c r="BB1109" i="7"/>
  <c r="AA413" i="15" s="1"/>
  <c r="AO383" i="15"/>
  <c r="AO300" i="15"/>
  <c r="AO312" i="15"/>
  <c r="AE285" i="15"/>
  <c r="AC285" i="15" s="1"/>
  <c r="BB14" i="7"/>
  <c r="AA285" i="15" s="1"/>
  <c r="AE377" i="15"/>
  <c r="AC377" i="15" s="1"/>
  <c r="BB852" i="7"/>
  <c r="AA377" i="15" s="1"/>
  <c r="AO377" i="15"/>
  <c r="AE409" i="15"/>
  <c r="AC409" i="15" s="1"/>
  <c r="AO313" i="15"/>
  <c r="BD509" i="7"/>
  <c r="AE336" i="15" s="1"/>
  <c r="AC336" i="15" s="1"/>
  <c r="AO290" i="15"/>
  <c r="BB854" i="7"/>
  <c r="AA379" i="15" s="1"/>
  <c r="AE379" i="15"/>
  <c r="AC379" i="15" s="1"/>
  <c r="AO379" i="15"/>
  <c r="D761" i="7"/>
  <c r="V721" i="7"/>
  <c r="AE292" i="15"/>
  <c r="AC292" i="15" s="1"/>
  <c r="AO413" i="15"/>
  <c r="I336" i="15"/>
  <c r="AN336" i="15" s="1"/>
  <c r="AO336" i="15" s="1"/>
  <c r="AO409" i="15"/>
  <c r="DB289" i="2"/>
  <c r="AA600" i="15" s="1"/>
  <c r="AO517" i="15"/>
  <c r="BE1490" i="6"/>
  <c r="BB1490" i="6" s="1"/>
  <c r="AA222" i="15" s="1"/>
  <c r="AB222" i="15"/>
  <c r="K3171" i="6"/>
  <c r="K1654" i="6" s="1"/>
  <c r="X3143" i="6"/>
  <c r="R1690" i="6"/>
  <c r="K3069" i="6"/>
  <c r="K1500" i="6" s="1"/>
  <c r="K3143" i="6"/>
  <c r="K1606" i="6" s="1"/>
  <c r="K3071" i="6"/>
  <c r="K1502" i="6" s="1"/>
  <c r="X3171" i="6"/>
  <c r="Q1689" i="6"/>
  <c r="X3071" i="6"/>
  <c r="X3069" i="6"/>
  <c r="AE269" i="15"/>
  <c r="AC269" i="15" s="1"/>
  <c r="BB1644" i="6"/>
  <c r="AA269" i="15" s="1"/>
  <c r="O172" i="15"/>
  <c r="W172" i="15" s="1"/>
  <c r="X3135" i="6"/>
  <c r="X3131" i="6"/>
  <c r="X3127" i="6"/>
  <c r="X3097" i="6"/>
  <c r="AB272" i="15"/>
  <c r="K1652" i="6"/>
  <c r="BE1650" i="6"/>
  <c r="BB1650" i="6" s="1"/>
  <c r="AA272" i="15" s="1"/>
  <c r="BB1434" i="6"/>
  <c r="AA201" i="15" s="1"/>
  <c r="AC201" i="15"/>
  <c r="I243" i="15"/>
  <c r="BB1476" i="6"/>
  <c r="AA215" i="15" s="1"/>
  <c r="AN209" i="15"/>
  <c r="AO209" i="15" s="1"/>
  <c r="AE271" i="15"/>
  <c r="AC271" i="15" s="1"/>
  <c r="BB1648" i="6"/>
  <c r="AA271" i="15" s="1"/>
  <c r="R1691" i="6"/>
  <c r="BE1540" i="6"/>
  <c r="BB1540" i="6" s="1"/>
  <c r="AA240" i="15" s="1"/>
  <c r="AB240" i="15"/>
  <c r="K1494" i="6"/>
  <c r="BE1492" i="6"/>
  <c r="BB1492" i="6" s="1"/>
  <c r="AA223" i="15" s="1"/>
  <c r="AB223" i="15"/>
  <c r="AN228" i="15"/>
  <c r="AO228" i="15" s="1"/>
  <c r="AP228" i="15" s="1"/>
  <c r="W221" i="15"/>
  <c r="AO214" i="15"/>
  <c r="BB1406" i="6"/>
  <c r="AA192" i="15" s="1"/>
  <c r="AN192" i="15"/>
  <c r="AO192" i="15" s="1"/>
  <c r="I192" i="15"/>
  <c r="BB1428" i="6"/>
  <c r="AA199" i="15" s="1"/>
  <c r="AE199" i="15"/>
  <c r="AC199" i="15" s="1"/>
  <c r="AN199" i="15"/>
  <c r="AO199" i="15" s="1"/>
  <c r="I199" i="15"/>
  <c r="Y1087" i="6"/>
  <c r="Y1088" i="6" s="1"/>
  <c r="Y1089" i="6" s="1"/>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72" i="6"/>
  <c r="AE170" i="15"/>
  <c r="AC170" i="15" s="1"/>
  <c r="BB805" i="6"/>
  <c r="AA170" i="15" s="1"/>
  <c r="W170" i="15"/>
  <c r="AO170" i="15"/>
  <c r="BE803" i="6"/>
  <c r="AB169" i="15"/>
  <c r="AC211" i="15"/>
  <c r="BB1464" i="6"/>
  <c r="AA211" i="15" s="1"/>
  <c r="AO211" i="15"/>
  <c r="AP211" i="15" s="1"/>
  <c r="BE172" i="6"/>
  <c r="BB172" i="6" s="1"/>
  <c r="AA149" i="15" s="1"/>
  <c r="AB149" i="15"/>
  <c r="AB146" i="15"/>
  <c r="BE168" i="6"/>
  <c r="BB168" i="6" s="1"/>
  <c r="AA146" i="15" s="1"/>
  <c r="J763" i="6"/>
  <c r="K174" i="6" s="1"/>
  <c r="R209" i="6"/>
  <c r="R210" i="6" s="1"/>
  <c r="J764" i="6"/>
  <c r="K175" i="6" s="1"/>
  <c r="J766" i="6"/>
  <c r="K177" i="6" s="1"/>
  <c r="J769" i="6"/>
  <c r="K180" i="6" s="1"/>
  <c r="Q208" i="6"/>
  <c r="J768" i="6"/>
  <c r="K179" i="6" s="1"/>
  <c r="BE170" i="6"/>
  <c r="BB170" i="6" s="1"/>
  <c r="AA147" i="15" s="1"/>
  <c r="AB147" i="15"/>
  <c r="BE165" i="6"/>
  <c r="BB165" i="6" s="1"/>
  <c r="AA144" i="15" s="1"/>
  <c r="AB144" i="15"/>
  <c r="AB148" i="15"/>
  <c r="BE171" i="6"/>
  <c r="BB171" i="6" s="1"/>
  <c r="AA148" i="15" s="1"/>
  <c r="K815" i="6"/>
  <c r="J1089" i="6"/>
  <c r="F816" i="6" s="1"/>
  <c r="X1174" i="6"/>
  <c r="Y1174" i="6"/>
  <c r="M3051" i="6"/>
  <c r="L3051" i="6" s="1"/>
  <c r="M3063" i="6"/>
  <c r="L3063" i="6" s="1"/>
  <c r="M3043" i="6"/>
  <c r="L3043" i="6" s="1"/>
  <c r="M3053" i="6"/>
  <c r="L3053" i="6" s="1"/>
  <c r="M3091" i="6"/>
  <c r="L3091" i="6" s="1"/>
  <c r="K3091" i="6" s="1"/>
  <c r="K1530" i="6" s="1"/>
  <c r="M3145" i="6"/>
  <c r="L3145" i="6" s="1"/>
  <c r="K3145" i="6" s="1"/>
  <c r="K1608" i="6" s="1"/>
  <c r="M3081" i="6"/>
  <c r="L3081" i="6" s="1"/>
  <c r="M3085" i="6"/>
  <c r="L3085" i="6" s="1"/>
  <c r="K3085" i="6" s="1"/>
  <c r="K1524" i="6" s="1"/>
  <c r="M3135" i="6"/>
  <c r="L3135" i="6" s="1"/>
  <c r="K3135" i="6" s="1"/>
  <c r="K1594" i="6" s="1"/>
  <c r="M3073" i="6"/>
  <c r="L3073" i="6" s="1"/>
  <c r="K3073" i="6" s="1"/>
  <c r="K1506" i="6" s="1"/>
  <c r="M3143" i="6"/>
  <c r="L3143" i="6" s="1"/>
  <c r="M3103" i="6"/>
  <c r="L3103" i="6" s="1"/>
  <c r="K3103" i="6" s="1"/>
  <c r="K1542" i="6" s="1"/>
  <c r="M3033" i="6"/>
  <c r="L3033" i="6" s="1"/>
  <c r="K3033" i="6" s="1"/>
  <c r="K1438" i="6" s="1"/>
  <c r="M3089" i="6"/>
  <c r="L3089" i="6" s="1"/>
  <c r="M3077" i="6"/>
  <c r="L3077" i="6" s="1"/>
  <c r="K3077" i="6" s="1"/>
  <c r="K1510" i="6" s="1"/>
  <c r="M3059" i="6"/>
  <c r="L3059" i="6" s="1"/>
  <c r="M3167" i="6"/>
  <c r="L3167" i="6" s="1"/>
  <c r="M3095" i="6"/>
  <c r="L3095" i="6" s="1"/>
  <c r="M3083" i="6"/>
  <c r="L3083" i="6" s="1"/>
  <c r="M3127" i="6"/>
  <c r="L3127" i="6" s="1"/>
  <c r="K3127" i="6" s="1"/>
  <c r="K1582" i="6" s="1"/>
  <c r="M3139" i="6"/>
  <c r="L3139" i="6" s="1"/>
  <c r="K3139" i="6" s="1"/>
  <c r="K1602" i="6" s="1"/>
  <c r="M3047" i="6"/>
  <c r="L3047" i="6" s="1"/>
  <c r="K3047" i="6" s="1"/>
  <c r="K1466" i="6" s="1"/>
  <c r="M3061" i="6"/>
  <c r="L3061" i="6" s="1"/>
  <c r="M3057" i="6"/>
  <c r="L3057" i="6" s="1"/>
  <c r="M3045" i="6"/>
  <c r="L3045" i="6" s="1"/>
  <c r="M3171" i="6"/>
  <c r="L3171" i="6" s="1"/>
  <c r="M3159" i="6"/>
  <c r="L3159" i="6" s="1"/>
  <c r="M3165" i="6"/>
  <c r="L3165" i="6" s="1"/>
  <c r="M3107" i="6"/>
  <c r="L3107" i="6" s="1"/>
  <c r="K3107" i="6" s="1"/>
  <c r="K1546" i="6" s="1"/>
  <c r="M3039" i="6"/>
  <c r="L3039" i="6" s="1"/>
  <c r="K3039" i="6" s="1"/>
  <c r="K1450" i="6" s="1"/>
  <c r="M3123" i="6"/>
  <c r="L3123" i="6" s="1"/>
  <c r="K3123" i="6" s="1"/>
  <c r="K1574" i="6" s="1"/>
  <c r="M3097" i="6"/>
  <c r="L3097" i="6" s="1"/>
  <c r="K3097" i="6" s="1"/>
  <c r="K1536" i="6" s="1"/>
  <c r="M3149" i="6"/>
  <c r="L3149" i="6" s="1"/>
  <c r="K3149" i="6" s="1"/>
  <c r="K1616" i="6" s="1"/>
  <c r="M3065" i="6"/>
  <c r="L3065" i="6" s="1"/>
  <c r="K3065" i="6" s="1"/>
  <c r="K1496" i="6" s="1"/>
  <c r="M3055" i="6"/>
  <c r="L3055" i="6" s="1"/>
  <c r="M3111" i="6"/>
  <c r="L3111" i="6" s="1"/>
  <c r="K3111" i="6" s="1"/>
  <c r="K1554" i="6" s="1"/>
  <c r="M3153" i="6"/>
  <c r="L3153" i="6" s="1"/>
  <c r="K3153" i="6" s="1"/>
  <c r="K1624" i="6" s="1"/>
  <c r="M3101" i="6"/>
  <c r="L3101" i="6" s="1"/>
  <c r="M3157" i="6"/>
  <c r="L3157" i="6" s="1"/>
  <c r="M3169" i="6"/>
  <c r="L3169" i="6" s="1"/>
  <c r="M3119" i="6"/>
  <c r="L3119" i="6" s="1"/>
  <c r="K3119" i="6" s="1"/>
  <c r="K1566" i="6" s="1"/>
  <c r="M3071" i="6"/>
  <c r="L3071" i="6" s="1"/>
  <c r="M3069" i="6"/>
  <c r="L3069" i="6" s="1"/>
  <c r="M3161" i="6"/>
  <c r="L3161" i="6" s="1"/>
  <c r="K3161" i="6" s="1"/>
  <c r="K1634" i="6" s="1"/>
  <c r="M3115" i="6"/>
  <c r="L3115" i="6" s="1"/>
  <c r="K3115" i="6" s="1"/>
  <c r="K1562" i="6" s="1"/>
  <c r="M3131" i="6"/>
  <c r="L3131" i="6" s="1"/>
  <c r="K3131" i="6" s="1"/>
  <c r="K1586" i="6" s="1"/>
  <c r="M3037" i="6"/>
  <c r="L3037" i="6" s="1"/>
  <c r="M3173" i="6"/>
  <c r="L3173" i="6" s="1"/>
  <c r="I261" i="15"/>
  <c r="AN261" i="15"/>
  <c r="AO261" i="15" s="1"/>
  <c r="AP261" i="15" s="1"/>
  <c r="I812" i="6"/>
  <c r="R174" i="15" s="1"/>
  <c r="O174" i="15" s="1"/>
  <c r="W174" i="15" s="1"/>
  <c r="BD812" i="6"/>
  <c r="L174" i="15"/>
  <c r="I174" i="15" s="1"/>
  <c r="AN174" i="15"/>
  <c r="AN255" i="15"/>
  <c r="AO255" i="15" s="1"/>
  <c r="AP255" i="15" s="1"/>
  <c r="BD473" i="9"/>
  <c r="AE524" i="15" s="1"/>
  <c r="AC524" i="15" s="1"/>
  <c r="BB12" i="9"/>
  <c r="AA475" i="15" s="1"/>
  <c r="AE476" i="15"/>
  <c r="AC476" i="15" s="1"/>
  <c r="BB13" i="9"/>
  <c r="AA476" i="15" s="1"/>
  <c r="BB255" i="5"/>
  <c r="AA90" i="15" s="1"/>
  <c r="F9" i="6"/>
  <c r="M9" i="6" s="1"/>
  <c r="O107" i="15" s="1"/>
  <c r="W107" i="15" s="1"/>
  <c r="BD8" i="6"/>
  <c r="AE106" i="15" s="1"/>
  <c r="AC106" i="15" s="1"/>
  <c r="AE516" i="15"/>
  <c r="AC516" i="15" s="1"/>
  <c r="BB469" i="9"/>
  <c r="AA520" i="15" s="1"/>
  <c r="BB472" i="9"/>
  <c r="AA523" i="15" s="1"/>
  <c r="I524" i="15"/>
  <c r="AN524" i="15" s="1"/>
  <c r="I473" i="9"/>
  <c r="O524" i="15" s="1"/>
  <c r="V524" i="15" s="1"/>
  <c r="AO487" i="15"/>
  <c r="AO481" i="15"/>
  <c r="AO520" i="15"/>
  <c r="AO486" i="15"/>
  <c r="AE482" i="15"/>
  <c r="AC482" i="15" s="1"/>
  <c r="AO484" i="15"/>
  <c r="AO519" i="15"/>
  <c r="BB40" i="9"/>
  <c r="AA478" i="15" s="1"/>
  <c r="AO483" i="15"/>
  <c r="AE522" i="15"/>
  <c r="AC522" i="15" s="1"/>
  <c r="BB468" i="9"/>
  <c r="AA519" i="15" s="1"/>
  <c r="AO482" i="15"/>
  <c r="AO478" i="15"/>
  <c r="AO480" i="15"/>
  <c r="AO485" i="15"/>
  <c r="BB46" i="9"/>
  <c r="AA484" i="15" s="1"/>
  <c r="AE484" i="15"/>
  <c r="AC484" i="15" s="1"/>
  <c r="BB45" i="9"/>
  <c r="AA483" i="15" s="1"/>
  <c r="AE483" i="15"/>
  <c r="AC483" i="15" s="1"/>
  <c r="AE485" i="15"/>
  <c r="AC485" i="15" s="1"/>
  <c r="BB47" i="9"/>
  <c r="AA485" i="15" s="1"/>
  <c r="BB135" i="7"/>
  <c r="AA317" i="15" s="1"/>
  <c r="BB121" i="7"/>
  <c r="AA303" i="15" s="1"/>
  <c r="BB125" i="7"/>
  <c r="AA307" i="15" s="1"/>
  <c r="AE323" i="15"/>
  <c r="AC323" i="15" s="1"/>
  <c r="AE298" i="15"/>
  <c r="AC298" i="15" s="1"/>
  <c r="AE312" i="15"/>
  <c r="AC312" i="15" s="1"/>
  <c r="BB124" i="7"/>
  <c r="AA306" i="15" s="1"/>
  <c r="AO322" i="15"/>
  <c r="AO417" i="15"/>
  <c r="AO323" i="15"/>
  <c r="BB443" i="7"/>
  <c r="AA332" i="15" s="1"/>
  <c r="AO297" i="15"/>
  <c r="BB133" i="7"/>
  <c r="AA315" i="15" s="1"/>
  <c r="AO324" i="15"/>
  <c r="AA417" i="15"/>
  <c r="AE318" i="15"/>
  <c r="AC318" i="15" s="1"/>
  <c r="BB444" i="7"/>
  <c r="AA333" i="15" s="1"/>
  <c r="BB119" i="7"/>
  <c r="AA301" i="15" s="1"/>
  <c r="AE301" i="15"/>
  <c r="AC301" i="15" s="1"/>
  <c r="AO293" i="15"/>
  <c r="AO321" i="15"/>
  <c r="BB126" i="7"/>
  <c r="AA308" i="15" s="1"/>
  <c r="AE308" i="15"/>
  <c r="AC308" i="15" s="1"/>
  <c r="BB145" i="7"/>
  <c r="AA327" i="15" s="1"/>
  <c r="BB137" i="7"/>
  <c r="AA319" i="15" s="1"/>
  <c r="W320" i="15"/>
  <c r="AO320" i="15"/>
  <c r="AE324" i="15"/>
  <c r="AC324" i="15" s="1"/>
  <c r="BB142" i="7"/>
  <c r="AA324" i="15" s="1"/>
  <c r="AE410" i="15"/>
  <c r="AC410" i="15" s="1"/>
  <c r="BE15" i="6"/>
  <c r="AB111" i="15"/>
  <c r="J10" i="6"/>
  <c r="BE11" i="6"/>
  <c r="AB108" i="15"/>
  <c r="I44" i="6"/>
  <c r="I10" i="6"/>
  <c r="BE9" i="6"/>
  <c r="AB107" i="15"/>
  <c r="I59" i="6"/>
  <c r="BB257" i="5"/>
  <c r="AA92" i="15" s="1"/>
  <c r="AO92" i="15"/>
  <c r="AE88" i="15"/>
  <c r="AC88" i="15" s="1"/>
  <c r="AO88" i="15"/>
  <c r="AO65" i="15"/>
  <c r="AO86" i="15"/>
  <c r="AE65" i="15"/>
  <c r="AC65" i="15" s="1"/>
  <c r="BB10" i="5"/>
  <c r="AA65" i="15" s="1"/>
  <c r="BB7" i="16"/>
  <c r="AA33" i="15" s="1"/>
  <c r="BB216" i="16"/>
  <c r="AA56" i="15" s="1"/>
  <c r="AE56" i="15"/>
  <c r="AC56" i="15" s="1"/>
  <c r="O429" i="15"/>
  <c r="V429" i="15" s="1"/>
  <c r="I429" i="15"/>
  <c r="AN429" i="15" s="1"/>
  <c r="BB27" i="3"/>
  <c r="AA29" i="15" s="1"/>
  <c r="AE31" i="15"/>
  <c r="AC31" i="15" s="1"/>
  <c r="BB29" i="3"/>
  <c r="AA31" i="15" s="1"/>
  <c r="AO29" i="15"/>
  <c r="AE24" i="15"/>
  <c r="AC24" i="15" s="1"/>
  <c r="BB22" i="3"/>
  <c r="AA24" i="15" s="1"/>
  <c r="BB8" i="3"/>
  <c r="AA10" i="15" s="1"/>
  <c r="AE10" i="15"/>
  <c r="AC10" i="15" s="1"/>
  <c r="AO10" i="15"/>
  <c r="AO24" i="15"/>
  <c r="AO587" i="15"/>
  <c r="AO619" i="15"/>
  <c r="AO595" i="15"/>
  <c r="AO586" i="15"/>
  <c r="DB194" i="2"/>
  <c r="AA586" i="15" s="1"/>
  <c r="DB267" i="2"/>
  <c r="AA596" i="15" s="1"/>
  <c r="DB548" i="2"/>
  <c r="AA645" i="15" s="1"/>
  <c r="AO299" i="15"/>
  <c r="BE246" i="9"/>
  <c r="BB246" i="9" s="1"/>
  <c r="AA498" i="15" s="1"/>
  <c r="AB498" i="15"/>
  <c r="AO20" i="15"/>
  <c r="BB120" i="7"/>
  <c r="AA302" i="15" s="1"/>
  <c r="AE302" i="15"/>
  <c r="AC302" i="15" s="1"/>
  <c r="BE809" i="6"/>
  <c r="AB173" i="15"/>
  <c r="BB18" i="3"/>
  <c r="AA20" i="15" s="1"/>
  <c r="AE20" i="15"/>
  <c r="AC20" i="15" s="1"/>
  <c r="AO302" i="15"/>
  <c r="AE86" i="15"/>
  <c r="AC86" i="15" s="1"/>
  <c r="BB204" i="5"/>
  <c r="AA86" i="15" s="1"/>
  <c r="AF38" i="15"/>
  <c r="AC38" i="15" s="1"/>
  <c r="BB65" i="16"/>
  <c r="AA38" i="15" s="1"/>
  <c r="AE299" i="15"/>
  <c r="AC299" i="15" s="1"/>
  <c r="BB117" i="7"/>
  <c r="AA299" i="15" s="1"/>
  <c r="I172" i="15"/>
  <c r="AN172" i="15"/>
  <c r="AE172" i="15"/>
  <c r="AC172" i="15" s="1"/>
  <c r="BB807" i="6"/>
  <c r="AA172" i="15" s="1"/>
  <c r="V720" i="7"/>
  <c r="D760" i="7"/>
  <c r="BB24" i="3"/>
  <c r="AA26" i="15" s="1"/>
  <c r="AE26" i="15"/>
  <c r="AC26" i="15" s="1"/>
  <c r="AE250" i="15"/>
  <c r="AC250" i="15" s="1"/>
  <c r="BE248" i="9"/>
  <c r="BB248" i="9" s="1"/>
  <c r="AA500" i="15" s="1"/>
  <c r="AB500" i="15"/>
  <c r="M197" i="15"/>
  <c r="J197" i="15" s="1"/>
  <c r="I1424" i="6"/>
  <c r="S197" i="15" s="1"/>
  <c r="P197" i="15" s="1"/>
  <c r="W197" i="15" s="1"/>
  <c r="BD1424" i="6"/>
  <c r="DB196" i="2"/>
  <c r="AA588" i="15" s="1"/>
  <c r="BE244" i="9"/>
  <c r="BB244" i="9" s="1"/>
  <c r="AA496" i="15" s="1"/>
  <c r="AB496" i="15"/>
  <c r="AO26" i="15"/>
  <c r="AO34" i="15"/>
  <c r="AO412" i="15"/>
  <c r="DB197" i="2"/>
  <c r="AA589" i="15" s="1"/>
  <c r="AE664" i="15"/>
  <c r="AC664" i="15" s="1"/>
  <c r="DB759" i="2"/>
  <c r="AA664" i="15" s="1"/>
  <c r="AE207" i="15"/>
  <c r="AC207" i="15" s="1"/>
  <c r="AN250" i="15"/>
  <c r="AO250" i="15" s="1"/>
  <c r="AP250" i="15" s="1"/>
  <c r="I250" i="15"/>
  <c r="AE412" i="15"/>
  <c r="AC412" i="15" s="1"/>
  <c r="BB1108" i="7"/>
  <c r="AA412" i="15" s="1"/>
  <c r="AO599" i="15"/>
  <c r="AE595" i="15"/>
  <c r="AC595" i="15" s="1"/>
  <c r="DB266" i="2"/>
  <c r="AA595" i="15" s="1"/>
  <c r="AO588" i="15"/>
  <c r="AE599" i="15"/>
  <c r="AC599" i="15" s="1"/>
  <c r="DB288" i="2"/>
  <c r="AA599" i="15" s="1"/>
  <c r="AE598" i="15"/>
  <c r="AC598" i="15" s="1"/>
  <c r="DB269" i="2"/>
  <c r="AA598" i="15" s="1"/>
  <c r="AO598" i="15"/>
  <c r="DB195" i="2"/>
  <c r="AA587" i="15" s="1"/>
  <c r="AO475" i="15" l="1"/>
  <c r="AO473" i="15"/>
  <c r="AO172" i="15"/>
  <c r="BB473" i="9"/>
  <c r="AA524" i="15" s="1"/>
  <c r="BB509" i="7"/>
  <c r="AA336" i="15" s="1"/>
  <c r="V761" i="7"/>
  <c r="D843" i="7"/>
  <c r="BE1502" i="6"/>
  <c r="BB1502" i="6" s="1"/>
  <c r="AA227" i="15" s="1"/>
  <c r="K1504" i="6"/>
  <c r="AB227" i="15"/>
  <c r="BE1606" i="6"/>
  <c r="BB1606" i="6" s="1"/>
  <c r="AA257" i="15" s="1"/>
  <c r="AB257" i="15"/>
  <c r="AB274" i="15"/>
  <c r="K1656" i="6"/>
  <c r="BE1654" i="6"/>
  <c r="BB1654" i="6" s="1"/>
  <c r="AA274" i="15" s="1"/>
  <c r="AB224" i="15"/>
  <c r="BE1494" i="6"/>
  <c r="BB1494" i="6" s="1"/>
  <c r="AA224" i="15" s="1"/>
  <c r="AB273" i="15"/>
  <c r="BE1652" i="6"/>
  <c r="BB1652" i="6" s="1"/>
  <c r="AA273" i="15" s="1"/>
  <c r="X3145" i="6"/>
  <c r="X3065" i="6"/>
  <c r="X3139" i="6"/>
  <c r="X3149" i="6"/>
  <c r="AB226" i="15"/>
  <c r="BE1500" i="6"/>
  <c r="BB1500" i="6" s="1"/>
  <c r="AA226" i="15" s="1"/>
  <c r="K3083" i="6"/>
  <c r="K3157" i="6"/>
  <c r="K1628" i="6" s="1"/>
  <c r="X3173" i="6"/>
  <c r="X3081" i="6"/>
  <c r="Q1690" i="6"/>
  <c r="Q1691" i="6" s="1"/>
  <c r="X3083" i="6"/>
  <c r="X3159" i="6"/>
  <c r="X3157" i="6"/>
  <c r="K3173" i="6"/>
  <c r="K1658" i="6" s="1"/>
  <c r="K3081" i="6"/>
  <c r="K1518" i="6" s="1"/>
  <c r="K3159" i="6"/>
  <c r="K1630" i="6" s="1"/>
  <c r="BD9" i="6"/>
  <c r="AE107" i="15" s="1"/>
  <c r="AC107" i="15" s="1"/>
  <c r="AB152" i="15"/>
  <c r="BE177" i="6"/>
  <c r="BB177" i="6" s="1"/>
  <c r="AA152" i="15" s="1"/>
  <c r="AB150" i="15"/>
  <c r="BE174" i="6"/>
  <c r="BB174" i="6" s="1"/>
  <c r="AA150" i="15" s="1"/>
  <c r="BE179" i="6"/>
  <c r="BB179" i="6" s="1"/>
  <c r="AA153" i="15" s="1"/>
  <c r="AB153" i="15"/>
  <c r="BE175" i="6"/>
  <c r="BB175" i="6" s="1"/>
  <c r="AA151" i="15" s="1"/>
  <c r="AB151" i="15"/>
  <c r="AB154" i="15"/>
  <c r="BE180" i="6"/>
  <c r="BB180" i="6" s="1"/>
  <c r="AA154" i="15" s="1"/>
  <c r="J778" i="6"/>
  <c r="K189" i="6" s="1"/>
  <c r="J777" i="6"/>
  <c r="K188" i="6" s="1"/>
  <c r="J772" i="6"/>
  <c r="K183" i="6" s="1"/>
  <c r="J770" i="6"/>
  <c r="K181" i="6" s="1"/>
  <c r="J775" i="6"/>
  <c r="K186" i="6" s="1"/>
  <c r="Q209" i="6"/>
  <c r="Q210" i="6" s="1"/>
  <c r="J773" i="6"/>
  <c r="K184" i="6" s="1"/>
  <c r="I107" i="15"/>
  <c r="AN107" i="15" s="1"/>
  <c r="AO107" i="15" s="1"/>
  <c r="F10" i="6"/>
  <c r="BD10" i="6" s="1"/>
  <c r="AG107" i="15" s="1"/>
  <c r="AD107" i="15" s="1"/>
  <c r="AO174" i="15"/>
  <c r="BE1586" i="6"/>
  <c r="BB1586" i="6" s="1"/>
  <c r="AA252" i="15" s="1"/>
  <c r="K1590" i="6"/>
  <c r="AB252" i="15"/>
  <c r="BE1496" i="6"/>
  <c r="BB1496" i="6" s="1"/>
  <c r="AA225" i="15" s="1"/>
  <c r="AB225" i="15"/>
  <c r="K1454" i="6"/>
  <c r="BE1450" i="6"/>
  <c r="BB1450" i="6" s="1"/>
  <c r="AA206" i="15" s="1"/>
  <c r="AB206" i="15"/>
  <c r="K1470" i="6"/>
  <c r="BE1466" i="6"/>
  <c r="BB1466" i="6" s="1"/>
  <c r="AA212" i="15" s="1"/>
  <c r="AB212" i="15"/>
  <c r="BE1506" i="6"/>
  <c r="BB1506" i="6" s="1"/>
  <c r="AA229" i="15" s="1"/>
  <c r="AB229" i="15"/>
  <c r="AB258" i="15"/>
  <c r="K1612" i="6"/>
  <c r="BE1608" i="6"/>
  <c r="BB1608" i="6" s="1"/>
  <c r="AA258" i="15" s="1"/>
  <c r="I815" i="6"/>
  <c r="Q176" i="15" s="1"/>
  <c r="BD815" i="6"/>
  <c r="AE176" i="15" s="1"/>
  <c r="K176" i="15"/>
  <c r="AN176" i="15" s="1"/>
  <c r="K1638" i="6"/>
  <c r="AB266" i="15"/>
  <c r="BE1634" i="6"/>
  <c r="BB1634" i="6" s="1"/>
  <c r="AA266" i="15" s="1"/>
  <c r="AB244" i="15"/>
  <c r="BE1554" i="6"/>
  <c r="BB1554" i="6" s="1"/>
  <c r="AA244" i="15" s="1"/>
  <c r="K1558" i="6"/>
  <c r="AF174" i="15"/>
  <c r="AC174" i="15" s="1"/>
  <c r="BB811" i="6"/>
  <c r="AA174" i="15" s="1"/>
  <c r="BE1562" i="6"/>
  <c r="BB1562" i="6" s="1"/>
  <c r="AA246" i="15" s="1"/>
  <c r="AB246" i="15"/>
  <c r="BE1566" i="6"/>
  <c r="BB1566" i="6" s="1"/>
  <c r="AA247" i="15" s="1"/>
  <c r="K1570" i="6"/>
  <c r="AB247" i="15"/>
  <c r="BE1624" i="6"/>
  <c r="BB1624" i="6" s="1"/>
  <c r="AA262" i="15" s="1"/>
  <c r="AB262" i="15"/>
  <c r="K1620" i="6"/>
  <c r="AB260" i="15"/>
  <c r="BE1616" i="6"/>
  <c r="BB1616" i="6" s="1"/>
  <c r="AA260" i="15" s="1"/>
  <c r="BE1546" i="6"/>
  <c r="BB1546" i="6" s="1"/>
  <c r="AA242" i="15" s="1"/>
  <c r="AB242" i="15"/>
  <c r="K1550" i="6"/>
  <c r="AB256" i="15"/>
  <c r="BE1602" i="6"/>
  <c r="BB1602" i="6" s="1"/>
  <c r="AA256" i="15" s="1"/>
  <c r="K1442" i="6"/>
  <c r="AB202" i="15"/>
  <c r="BE1438" i="6"/>
  <c r="BB1438" i="6" s="1"/>
  <c r="AA202" i="15" s="1"/>
  <c r="AB254" i="15"/>
  <c r="K1598" i="6"/>
  <c r="BE1594" i="6"/>
  <c r="BB1594" i="6" s="1"/>
  <c r="AA254" i="15" s="1"/>
  <c r="AB237" i="15"/>
  <c r="BE1530" i="6"/>
  <c r="BB1530" i="6" s="1"/>
  <c r="AA237" i="15" s="1"/>
  <c r="J1090" i="6"/>
  <c r="F817" i="6" s="1"/>
  <c r="BE1536" i="6"/>
  <c r="BB1536" i="6" s="1"/>
  <c r="AA239" i="15" s="1"/>
  <c r="AB239" i="15"/>
  <c r="BE1582" i="6"/>
  <c r="BB1582" i="6" s="1"/>
  <c r="AA251" i="15" s="1"/>
  <c r="AB251" i="15"/>
  <c r="AB241" i="15"/>
  <c r="BE1542" i="6"/>
  <c r="BB1542" i="6" s="1"/>
  <c r="AA241" i="15" s="1"/>
  <c r="BE1524" i="6"/>
  <c r="BB1524" i="6" s="1"/>
  <c r="AA235" i="15" s="1"/>
  <c r="AB235" i="15"/>
  <c r="AB249" i="15"/>
  <c r="BE1574" i="6"/>
  <c r="BB1574" i="6" s="1"/>
  <c r="AA249" i="15" s="1"/>
  <c r="K1578" i="6"/>
  <c r="AB230" i="15"/>
  <c r="BE1510" i="6"/>
  <c r="BB1510" i="6" s="1"/>
  <c r="AA230" i="15" s="1"/>
  <c r="K1514" i="6"/>
  <c r="BE815" i="6"/>
  <c r="AB176" i="15"/>
  <c r="K819" i="6"/>
  <c r="BB8" i="6"/>
  <c r="AA106" i="15" s="1"/>
  <c r="AO524" i="15"/>
  <c r="I11" i="6"/>
  <c r="I45" i="6"/>
  <c r="J11" i="6"/>
  <c r="I60" i="6"/>
  <c r="AO429" i="15"/>
  <c r="AA429" i="15"/>
  <c r="AE429" i="15"/>
  <c r="AC429" i="15" s="1"/>
  <c r="V760" i="7"/>
  <c r="D842" i="7"/>
  <c r="AG197" i="15"/>
  <c r="AD197" i="15" s="1"/>
  <c r="BB1422" i="6"/>
  <c r="AA197" i="15" s="1"/>
  <c r="V843" i="7" l="1"/>
  <c r="D875" i="7"/>
  <c r="AB264" i="15"/>
  <c r="BE1630" i="6"/>
  <c r="BB1630" i="6" s="1"/>
  <c r="AA264" i="15" s="1"/>
  <c r="K1632" i="6"/>
  <c r="AB275" i="15"/>
  <c r="BE1656" i="6"/>
  <c r="BB1656" i="6" s="1"/>
  <c r="AA275" i="15" s="1"/>
  <c r="K1522" i="6"/>
  <c r="K1520" i="6"/>
  <c r="M10" i="6"/>
  <c r="P107" i="15" s="1"/>
  <c r="AB232" i="15"/>
  <c r="BE1518" i="6"/>
  <c r="BB1518" i="6" s="1"/>
  <c r="AA232" i="15" s="1"/>
  <c r="BE1628" i="6"/>
  <c r="BB1628" i="6" s="1"/>
  <c r="AA263" i="15" s="1"/>
  <c r="AB263" i="15"/>
  <c r="AB228" i="15"/>
  <c r="BE1504" i="6"/>
  <c r="BB1504" i="6" s="1"/>
  <c r="AA228" i="15" s="1"/>
  <c r="K1660" i="6"/>
  <c r="BE1658" i="6"/>
  <c r="BB1658" i="6" s="1"/>
  <c r="AA276" i="15" s="1"/>
  <c r="AB276" i="15"/>
  <c r="X3153" i="6"/>
  <c r="X3073" i="6"/>
  <c r="X3077" i="6"/>
  <c r="X3161" i="6"/>
  <c r="J107" i="15"/>
  <c r="F11" i="6"/>
  <c r="I108" i="15" s="1"/>
  <c r="AN108" i="15" s="1"/>
  <c r="BE188" i="6"/>
  <c r="BB188" i="6" s="1"/>
  <c r="AA159" i="15" s="1"/>
  <c r="AB159" i="15"/>
  <c r="AB158" i="15"/>
  <c r="BE186" i="6"/>
  <c r="BB186" i="6" s="1"/>
  <c r="AA158" i="15" s="1"/>
  <c r="AB160" i="15"/>
  <c r="BE189" i="6"/>
  <c r="BB189" i="6" s="1"/>
  <c r="AA160" i="15" s="1"/>
  <c r="AB155" i="15"/>
  <c r="BE181" i="6"/>
  <c r="BB181" i="6" s="1"/>
  <c r="AA155" i="15" s="1"/>
  <c r="BE184" i="6"/>
  <c r="BB184" i="6" s="1"/>
  <c r="AA157" i="15" s="1"/>
  <c r="AB157" i="15"/>
  <c r="AB156" i="15"/>
  <c r="BE183" i="6"/>
  <c r="BB183" i="6" s="1"/>
  <c r="AA156" i="15" s="1"/>
  <c r="BD816" i="6"/>
  <c r="AF176" i="15" s="1"/>
  <c r="AC176" i="15" s="1"/>
  <c r="L176" i="15"/>
  <c r="I176" i="15" s="1"/>
  <c r="I816" i="6"/>
  <c r="R176" i="15" s="1"/>
  <c r="O176" i="15" s="1"/>
  <c r="AO176" i="15" s="1"/>
  <c r="BE1454" i="6"/>
  <c r="BB1454" i="6" s="1"/>
  <c r="AA207" i="15" s="1"/>
  <c r="AB207" i="15"/>
  <c r="BE1590" i="6"/>
  <c r="BB1590" i="6" s="1"/>
  <c r="AA253" i="15" s="1"/>
  <c r="AB253" i="15"/>
  <c r="BE1578" i="6"/>
  <c r="BB1578" i="6" s="1"/>
  <c r="AA250" i="15" s="1"/>
  <c r="AB250" i="15"/>
  <c r="J1091" i="6"/>
  <c r="F818" i="6" s="1"/>
  <c r="AB255" i="15"/>
  <c r="BE1598" i="6"/>
  <c r="BB1598" i="6" s="1"/>
  <c r="AA255" i="15" s="1"/>
  <c r="AB203" i="15"/>
  <c r="BE1442" i="6"/>
  <c r="BB1442" i="6" s="1"/>
  <c r="AA203" i="15" s="1"/>
  <c r="BE1620" i="6"/>
  <c r="BB1620" i="6" s="1"/>
  <c r="AA261" i="15" s="1"/>
  <c r="AB261" i="15"/>
  <c r="BE1570" i="6"/>
  <c r="BB1570" i="6" s="1"/>
  <c r="AA248" i="15" s="1"/>
  <c r="AB248" i="15"/>
  <c r="BE1638" i="6"/>
  <c r="BB1638" i="6" s="1"/>
  <c r="AA267" i="15" s="1"/>
  <c r="AB267" i="15"/>
  <c r="BE1470" i="6"/>
  <c r="BB1470" i="6" s="1"/>
  <c r="AA213" i="15" s="1"/>
  <c r="AB213" i="15"/>
  <c r="AB243" i="15"/>
  <c r="BE1550" i="6"/>
  <c r="BB1550" i="6" s="1"/>
  <c r="AA243" i="15" s="1"/>
  <c r="AB245" i="15"/>
  <c r="BE1558" i="6"/>
  <c r="BB1558" i="6" s="1"/>
  <c r="AA245" i="15" s="1"/>
  <c r="AB231" i="15"/>
  <c r="BE1514" i="6"/>
  <c r="BB1514" i="6" s="1"/>
  <c r="AA231" i="15" s="1"/>
  <c r="AB177" i="15"/>
  <c r="BE819" i="6"/>
  <c r="AB259" i="15"/>
  <c r="BE1612" i="6"/>
  <c r="BB1612" i="6" s="1"/>
  <c r="AA259" i="15" s="1"/>
  <c r="J12" i="6"/>
  <c r="I46" i="6"/>
  <c r="I12" i="6"/>
  <c r="BB9" i="6"/>
  <c r="AA107" i="15" s="1"/>
  <c r="BD11" i="6"/>
  <c r="I61" i="6"/>
  <c r="D874" i="7"/>
  <c r="V842" i="7"/>
  <c r="M11" i="6" l="1"/>
  <c r="O108" i="15" s="1"/>
  <c r="W108" i="15" s="1"/>
  <c r="D960" i="7"/>
  <c r="V875" i="7"/>
  <c r="BE1660" i="6"/>
  <c r="BB1660" i="6" s="1"/>
  <c r="AA277" i="15" s="1"/>
  <c r="AB277" i="15"/>
  <c r="AB233" i="15"/>
  <c r="BE1520" i="6"/>
  <c r="BB1520" i="6" s="1"/>
  <c r="AA233" i="15" s="1"/>
  <c r="AB265" i="15"/>
  <c r="BE1632" i="6"/>
  <c r="BB1632" i="6" s="1"/>
  <c r="AA265" i="15" s="1"/>
  <c r="BE1522" i="6"/>
  <c r="BB1522" i="6" s="1"/>
  <c r="AA234" i="15" s="1"/>
  <c r="AB234" i="15"/>
  <c r="F12" i="6"/>
  <c r="I817" i="6"/>
  <c r="S176" i="15" s="1"/>
  <c r="M176" i="15"/>
  <c r="BD817" i="6"/>
  <c r="AG176" i="15" s="1"/>
  <c r="J1092" i="6"/>
  <c r="F823" i="6" s="1"/>
  <c r="J13" i="6"/>
  <c r="I13" i="6"/>
  <c r="I47" i="6"/>
  <c r="I62" i="6"/>
  <c r="AE108" i="15"/>
  <c r="AC108" i="15" s="1"/>
  <c r="D994" i="7"/>
  <c r="V874" i="7"/>
  <c r="D959" i="7"/>
  <c r="V959" i="7" s="1"/>
  <c r="AO108" i="15" l="1"/>
  <c r="M12" i="6"/>
  <c r="P108" i="15" s="1"/>
  <c r="BD12" i="6"/>
  <c r="AG108" i="15" s="1"/>
  <c r="AD108" i="15" s="1"/>
  <c r="D995" i="7"/>
  <c r="V960" i="7"/>
  <c r="J108" i="15"/>
  <c r="F13" i="6"/>
  <c r="M13" i="6" s="1"/>
  <c r="O109" i="15" s="1"/>
  <c r="W109" i="15" s="1"/>
  <c r="X1178" i="6"/>
  <c r="Y1178" i="6"/>
  <c r="K823" i="6"/>
  <c r="J1093" i="6"/>
  <c r="F824" i="6" s="1"/>
  <c r="N176" i="15"/>
  <c r="J176" i="15" s="1"/>
  <c r="I818" i="6"/>
  <c r="T176" i="15" s="1"/>
  <c r="P176" i="15" s="1"/>
  <c r="W176" i="15" s="1"/>
  <c r="BD818" i="6"/>
  <c r="AH176" i="15" s="1"/>
  <c r="AD176" i="15" s="1"/>
  <c r="J14" i="6"/>
  <c r="I48" i="6"/>
  <c r="I14" i="6"/>
  <c r="I63" i="6"/>
  <c r="V994" i="7"/>
  <c r="D1020" i="7"/>
  <c r="F14" i="6" l="1"/>
  <c r="I110" i="15" s="1"/>
  <c r="AN110" i="15" s="1"/>
  <c r="BD13" i="6"/>
  <c r="AE109" i="15" s="1"/>
  <c r="AC109" i="15" s="1"/>
  <c r="BB11" i="6"/>
  <c r="AA108" i="15" s="1"/>
  <c r="D1021" i="7"/>
  <c r="V995" i="7"/>
  <c r="I109" i="15"/>
  <c r="AN109" i="15" s="1"/>
  <c r="AO109" i="15" s="1"/>
  <c r="K178" i="15"/>
  <c r="I823" i="6"/>
  <c r="Q178" i="15" s="1"/>
  <c r="BD823" i="6"/>
  <c r="AE178" i="15" s="1"/>
  <c r="K825" i="6"/>
  <c r="AB178" i="15"/>
  <c r="BE823" i="6"/>
  <c r="J1094" i="6"/>
  <c r="F827" i="6" s="1"/>
  <c r="BB815" i="6"/>
  <c r="AA176" i="15" s="1"/>
  <c r="J15" i="6"/>
  <c r="I15" i="6"/>
  <c r="I49" i="6"/>
  <c r="I64" i="6"/>
  <c r="BD14" i="6"/>
  <c r="D1051" i="7"/>
  <c r="V1020" i="7"/>
  <c r="M14" i="6" l="1"/>
  <c r="O110" i="15" s="1"/>
  <c r="W110" i="15" s="1"/>
  <c r="BB13" i="6"/>
  <c r="AA109" i="15" s="1"/>
  <c r="D1052" i="7"/>
  <c r="V1021" i="7"/>
  <c r="F15" i="6"/>
  <c r="I111" i="15" s="1"/>
  <c r="AN111" i="15" s="1"/>
  <c r="AN178" i="15"/>
  <c r="BD824" i="6"/>
  <c r="AF178" i="15" s="1"/>
  <c r="AC178" i="15" s="1"/>
  <c r="L178" i="15"/>
  <c r="I178" i="15" s="1"/>
  <c r="I824" i="6"/>
  <c r="R178" i="15" s="1"/>
  <c r="O178" i="15" s="1"/>
  <c r="W178" i="15" s="1"/>
  <c r="X1180" i="6"/>
  <c r="Y1180" i="6"/>
  <c r="K827" i="6"/>
  <c r="J1095" i="6"/>
  <c r="F828" i="6" s="1"/>
  <c r="BE825" i="6"/>
  <c r="AB179" i="15"/>
  <c r="J16" i="6"/>
  <c r="I16" i="6"/>
  <c r="I50" i="6"/>
  <c r="AO110" i="15"/>
  <c r="AE110" i="15"/>
  <c r="AC110" i="15" s="1"/>
  <c r="BB14" i="6"/>
  <c r="AA110" i="15" s="1"/>
  <c r="I65" i="6"/>
  <c r="V1051" i="7"/>
  <c r="D1084" i="7"/>
  <c r="D1085" i="7" l="1"/>
  <c r="D1248" i="7" s="1"/>
  <c r="V1052" i="7"/>
  <c r="M15" i="6"/>
  <c r="O111" i="15" s="1"/>
  <c r="W111" i="15" s="1"/>
  <c r="BD15" i="6"/>
  <c r="AE111" i="15" s="1"/>
  <c r="AC111" i="15" s="1"/>
  <c r="F16" i="6"/>
  <c r="BD16" i="6" s="1"/>
  <c r="AG111" i="15" s="1"/>
  <c r="AD111" i="15" s="1"/>
  <c r="K180" i="15"/>
  <c r="AN180" i="15" s="1"/>
  <c r="I827" i="6"/>
  <c r="Q180" i="15" s="1"/>
  <c r="BD827" i="6"/>
  <c r="AE180" i="15" s="1"/>
  <c r="K831" i="6"/>
  <c r="AB180" i="15"/>
  <c r="BE827" i="6"/>
  <c r="BB823" i="6"/>
  <c r="AA178" i="15" s="1"/>
  <c r="AO178" i="15"/>
  <c r="J1096" i="6"/>
  <c r="F829" i="6" s="1"/>
  <c r="J17" i="6"/>
  <c r="I17" i="6"/>
  <c r="I51" i="6"/>
  <c r="I66" i="6"/>
  <c r="AO111" i="15"/>
  <c r="D1185" i="7"/>
  <c r="V1185" i="7" s="1"/>
  <c r="V1084" i="7"/>
  <c r="M16" i="6" l="1"/>
  <c r="P111" i="15" s="1"/>
  <c r="J111" i="15"/>
  <c r="V1085" i="7"/>
  <c r="V1248" i="7" s="1"/>
  <c r="D1189" i="7"/>
  <c r="F17" i="6"/>
  <c r="M17" i="6" s="1"/>
  <c r="O112" i="15" s="1"/>
  <c r="W112" i="15" s="1"/>
  <c r="J1097" i="6"/>
  <c r="F830" i="6" s="1"/>
  <c r="BD828" i="6"/>
  <c r="AF180" i="15" s="1"/>
  <c r="AC180" i="15" s="1"/>
  <c r="L180" i="15"/>
  <c r="I180" i="15" s="1"/>
  <c r="I828" i="6"/>
  <c r="R180" i="15" s="1"/>
  <c r="O180" i="15" s="1"/>
  <c r="AO180" i="15" s="1"/>
  <c r="BE831" i="6"/>
  <c r="AB181" i="15"/>
  <c r="I18" i="6"/>
  <c r="J18" i="6"/>
  <c r="BB15" i="6"/>
  <c r="AA111" i="15" s="1"/>
  <c r="V1189" i="7" l="1"/>
  <c r="D1288" i="7"/>
  <c r="BD17" i="6"/>
  <c r="AE112" i="15" s="1"/>
  <c r="AC112" i="15" s="1"/>
  <c r="I112" i="15"/>
  <c r="AN112" i="15" s="1"/>
  <c r="AO112" i="15" s="1"/>
  <c r="M180" i="15"/>
  <c r="BD829" i="6"/>
  <c r="AG180" i="15" s="1"/>
  <c r="I829" i="6"/>
  <c r="S180" i="15" s="1"/>
  <c r="J1098" i="6"/>
  <c r="F803" i="6" s="1"/>
  <c r="F18" i="6"/>
  <c r="D1340" i="7"/>
  <c r="V1340" i="7" s="1"/>
  <c r="V1286" i="7"/>
  <c r="V1288" i="7" l="1"/>
  <c r="D1341" i="7"/>
  <c r="V1341" i="7" s="1"/>
  <c r="BD830" i="6"/>
  <c r="AH180" i="15" s="1"/>
  <c r="AD180" i="15" s="1"/>
  <c r="N180" i="15"/>
  <c r="J180" i="15" s="1"/>
  <c r="I830" i="6"/>
  <c r="T180" i="15" s="1"/>
  <c r="P180" i="15" s="1"/>
  <c r="W180" i="15" s="1"/>
  <c r="J1099" i="6"/>
  <c r="F804" i="6" s="1"/>
  <c r="BD18" i="6"/>
  <c r="AG112" i="15" s="1"/>
  <c r="AD112" i="15" s="1"/>
  <c r="M18" i="6"/>
  <c r="P112" i="15" s="1"/>
  <c r="J112" i="15"/>
  <c r="I803" i="6" l="1"/>
  <c r="Q169" i="15" s="1"/>
  <c r="O169" i="15" s="1"/>
  <c r="K169" i="15"/>
  <c r="I169" i="15" s="1"/>
  <c r="AN169" i="15" s="1"/>
  <c r="BD803" i="6"/>
  <c r="AE169" i="15" s="1"/>
  <c r="AC169" i="15" s="1"/>
  <c r="BB827" i="6"/>
  <c r="AA180" i="15" s="1"/>
  <c r="J1100" i="6"/>
  <c r="F806" i="6" s="1"/>
  <c r="BB17" i="6"/>
  <c r="AA112" i="15" s="1"/>
  <c r="AO169" i="15" l="1"/>
  <c r="J1101" i="6"/>
  <c r="F809" i="6" s="1"/>
  <c r="M169" i="15"/>
  <c r="J169" i="15" s="1"/>
  <c r="BD804" i="6"/>
  <c r="AG169" i="15" s="1"/>
  <c r="AD169" i="15" s="1"/>
  <c r="I804" i="6"/>
  <c r="S169" i="15" s="1"/>
  <c r="P169" i="15" s="1"/>
  <c r="W169" i="15" s="1"/>
  <c r="BB803" i="6" l="1"/>
  <c r="AA169" i="15" s="1"/>
  <c r="I806" i="6"/>
  <c r="Q171" i="15" s="1"/>
  <c r="O171" i="15" s="1"/>
  <c r="W171" i="15" s="1"/>
  <c r="BD806" i="6"/>
  <c r="K171" i="15"/>
  <c r="I171" i="15" s="1"/>
  <c r="AN171" i="15" s="1"/>
  <c r="J1102" i="6"/>
  <c r="F810" i="6" s="1"/>
  <c r="BD809" i="6" l="1"/>
  <c r="AE173" i="15" s="1"/>
  <c r="I809" i="6"/>
  <c r="Q173" i="15" s="1"/>
  <c r="K173" i="15"/>
  <c r="AN173" i="15" s="1"/>
  <c r="BB806" i="6"/>
  <c r="AA171" i="15" s="1"/>
  <c r="AE171" i="15"/>
  <c r="AC171" i="15" s="1"/>
  <c r="J1103" i="6"/>
  <c r="F813" i="6" s="1"/>
  <c r="AO171" i="15"/>
  <c r="L173" i="15" l="1"/>
  <c r="I173" i="15" s="1"/>
  <c r="I810" i="6"/>
  <c r="R173" i="15" s="1"/>
  <c r="O173" i="15" s="1"/>
  <c r="W173" i="15" s="1"/>
  <c r="BD810" i="6"/>
  <c r="AF173" i="15" s="1"/>
  <c r="AC173" i="15" s="1"/>
  <c r="J1104" i="6"/>
  <c r="F814" i="6" s="1"/>
  <c r="K175" i="15" l="1"/>
  <c r="BD813" i="6"/>
  <c r="AE175" i="15" s="1"/>
  <c r="I813" i="6"/>
  <c r="Q175" i="15" s="1"/>
  <c r="J1105" i="6"/>
  <c r="F819" i="6" s="1"/>
  <c r="BB809" i="6"/>
  <c r="AA173" i="15" s="1"/>
  <c r="AO173" i="15"/>
  <c r="BD814" i="6" l="1"/>
  <c r="AF175" i="15" s="1"/>
  <c r="AC175" i="15" s="1"/>
  <c r="I814" i="6"/>
  <c r="R175" i="15" s="1"/>
  <c r="O175" i="15" s="1"/>
  <c r="W175" i="15" s="1"/>
  <c r="L175" i="15"/>
  <c r="I175" i="15" s="1"/>
  <c r="AN175" i="15"/>
  <c r="J1106" i="6"/>
  <c r="F820" i="6" s="1"/>
  <c r="K177" i="15" l="1"/>
  <c r="AN177" i="15" s="1"/>
  <c r="BD819" i="6"/>
  <c r="AE177" i="15" s="1"/>
  <c r="I819" i="6"/>
  <c r="Q177" i="15" s="1"/>
  <c r="AO175" i="15"/>
  <c r="J1107" i="6"/>
  <c r="F821" i="6" s="1"/>
  <c r="BB813" i="6"/>
  <c r="AA175" i="15" s="1"/>
  <c r="L177" i="15" l="1"/>
  <c r="I177" i="15" s="1"/>
  <c r="I820" i="6"/>
  <c r="R177" i="15" s="1"/>
  <c r="O177" i="15" s="1"/>
  <c r="AO177" i="15" s="1"/>
  <c r="BD820" i="6"/>
  <c r="AF177" i="15" s="1"/>
  <c r="AC177" i="15" s="1"/>
  <c r="J1108" i="6"/>
  <c r="F822" i="6" s="1"/>
  <c r="I821" i="6" l="1"/>
  <c r="S177" i="15" s="1"/>
  <c r="BD821" i="6"/>
  <c r="AG177" i="15" s="1"/>
  <c r="M177" i="15"/>
  <c r="J1109" i="6"/>
  <c r="J1110" i="6" s="1"/>
  <c r="F826" i="6" s="1"/>
  <c r="I822" i="6" l="1"/>
  <c r="T177" i="15" s="1"/>
  <c r="P177" i="15" s="1"/>
  <c r="W177" i="15" s="1"/>
  <c r="BD822" i="6"/>
  <c r="AH177" i="15" s="1"/>
  <c r="AD177" i="15" s="1"/>
  <c r="N177" i="15"/>
  <c r="J177" i="15" s="1"/>
  <c r="J1111" i="6"/>
  <c r="J1112" i="6" s="1"/>
  <c r="F832" i="6" s="1"/>
  <c r="J1113" i="6" l="1"/>
  <c r="L179" i="15"/>
  <c r="BD826" i="6"/>
  <c r="AF179" i="15" s="1"/>
  <c r="I826" i="6"/>
  <c r="R179" i="15" s="1"/>
  <c r="BB819" i="6"/>
  <c r="AA177" i="15" s="1"/>
  <c r="F833" i="6" l="1"/>
  <c r="F825" i="6"/>
  <c r="L181" i="15"/>
  <c r="I832" i="6"/>
  <c r="R181" i="15" s="1"/>
  <c r="BD832" i="6"/>
  <c r="AF181" i="15" s="1"/>
  <c r="J1114" i="6"/>
  <c r="F831" i="6" l="1"/>
  <c r="F834" i="6"/>
  <c r="BD833" i="6"/>
  <c r="AG181" i="15" s="1"/>
  <c r="M181" i="15"/>
  <c r="I833" i="6"/>
  <c r="S181" i="15" s="1"/>
  <c r="K179" i="15"/>
  <c r="I825" i="6"/>
  <c r="Q179" i="15" s="1"/>
  <c r="O179" i="15" s="1"/>
  <c r="W179" i="15" s="1"/>
  <c r="BD825" i="6"/>
  <c r="N181" i="15" l="1"/>
  <c r="J181" i="15" s="1"/>
  <c r="I834" i="6"/>
  <c r="T181" i="15" s="1"/>
  <c r="P181" i="15" s="1"/>
  <c r="W181" i="15" s="1"/>
  <c r="BD834" i="6"/>
  <c r="AH181" i="15" s="1"/>
  <c r="AD181" i="15" s="1"/>
  <c r="I179" i="15"/>
  <c r="AN179" i="15"/>
  <c r="AO179" i="15" s="1"/>
  <c r="AE179" i="15"/>
  <c r="AC179" i="15" s="1"/>
  <c r="BB825" i="6"/>
  <c r="AA179" i="15" s="1"/>
  <c r="K181" i="15"/>
  <c r="I831" i="6"/>
  <c r="Q181" i="15" s="1"/>
  <c r="O181" i="15" s="1"/>
  <c r="BD831" i="6"/>
  <c r="I181" i="15" l="1"/>
  <c r="AN181" i="15"/>
  <c r="AO181" i="15" s="1"/>
  <c r="BB831" i="6"/>
  <c r="AA181" i="15" s="1"/>
  <c r="AE181" i="15"/>
  <c r="AC181" i="15" s="1"/>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7"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0"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1" authorId="0" shapeId="0">
      <text>
        <r>
          <rPr>
            <sz val="9"/>
            <color indexed="81"/>
            <rFont val="Tahoma"/>
            <family val="2"/>
          </rPr>
          <t>LED New and Baseline Assumptions</t>
        </r>
      </text>
    </comment>
    <comment ref="G41" authorId="0" shapeId="0">
      <text>
        <r>
          <rPr>
            <sz val="9"/>
            <color indexed="81"/>
            <rFont val="Tahoma"/>
            <family val="2"/>
          </rPr>
          <t>LED New and Baseline Assumptions</t>
        </r>
      </text>
    </comment>
    <comment ref="I41"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F59" authorId="0" shapeId="0">
      <text>
        <r>
          <rPr>
            <b/>
            <sz val="9"/>
            <color indexed="81"/>
            <rFont val="Tahoma"/>
            <family val="2"/>
          </rPr>
          <t>Average of measures 3023,3024,3025 from ADM</t>
        </r>
      </text>
    </comment>
    <comment ref="X59" authorId="0" shapeId="0">
      <text>
        <r>
          <rPr>
            <b/>
            <sz val="9"/>
            <color indexed="81"/>
            <rFont val="Tahoma"/>
            <family val="2"/>
          </rPr>
          <t>Average of measures 3023,3024,3025 from ADM</t>
        </r>
      </text>
    </comment>
    <comment ref="Y59" authorId="0" shapeId="0">
      <text>
        <r>
          <rPr>
            <b/>
            <sz val="9"/>
            <color indexed="81"/>
            <rFont val="Tahoma"/>
            <family val="2"/>
          </rPr>
          <t>Average of measures 3023,3024,3025 from ADM</t>
        </r>
      </text>
    </comment>
    <comment ref="C68"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81" authorId="0" shapeId="0">
      <text>
        <r>
          <rPr>
            <sz val="9"/>
            <color indexed="81"/>
            <rFont val="Tahoma"/>
            <family val="2"/>
          </rPr>
          <t>Lighting_Controls Tables</t>
        </r>
      </text>
    </comment>
    <comment ref="G81" authorId="0" shapeId="0">
      <text>
        <r>
          <rPr>
            <sz val="9"/>
            <color indexed="81"/>
            <rFont val="Tahoma"/>
            <family val="2"/>
          </rPr>
          <t>Lighting Reference Table</t>
        </r>
      </text>
    </comment>
    <comment ref="H81" authorId="0" shapeId="0">
      <text>
        <r>
          <rPr>
            <sz val="9"/>
            <color indexed="81"/>
            <rFont val="Tahoma"/>
            <family val="2"/>
          </rPr>
          <t>Lighting_Controls Tables</t>
        </r>
      </text>
    </comment>
    <comment ref="I81"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84" authorId="0" shapeId="0">
      <text>
        <r>
          <rPr>
            <b/>
            <sz val="9"/>
            <color indexed="81"/>
            <rFont val="Tahoma"/>
            <family val="2"/>
          </rPr>
          <t>Lawrence Berkeley National Laboratory. A Meta-Analysis of Energy Savings from Lighting Controls in Commercial Buildings. Page &amp; Associates Inc. 2011.</t>
        </r>
      </text>
    </comment>
    <comment ref="K90"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07" authorId="0" shapeId="0">
      <text>
        <r>
          <rPr>
            <sz val="9"/>
            <color indexed="81"/>
            <rFont val="Tahoma"/>
            <family val="2"/>
          </rPr>
          <t>LED New and Baseline Assumptions</t>
        </r>
      </text>
    </comment>
    <comment ref="G107" authorId="0" shapeId="0">
      <text>
        <r>
          <rPr>
            <sz val="9"/>
            <color indexed="81"/>
            <rFont val="Tahoma"/>
            <family val="2"/>
          </rPr>
          <t>LED New and Baseline Assumptions</t>
        </r>
      </text>
    </comment>
    <comment ref="J107"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16" authorId="0" shapeId="0">
      <text>
        <r>
          <rPr>
            <b/>
            <sz val="9"/>
            <color indexed="81"/>
            <rFont val="Tahoma"/>
            <family val="2"/>
          </rPr>
          <t>Lawrence Berkeley National Laboratory. A Meta-Analysis of Energy Savings from Lighting Controls in Commercial Buildings. Page &amp; Associates Inc. 2011.</t>
        </r>
      </text>
    </comment>
    <comment ref="H155" authorId="0" shapeId="0">
      <text>
        <r>
          <rPr>
            <sz val="9"/>
            <color indexed="81"/>
            <rFont val="Tahoma"/>
            <family val="2"/>
          </rPr>
          <t>Refrigerator &amp; Freezer Tables</t>
        </r>
      </text>
    </comment>
    <comment ref="J155" authorId="0" shapeId="0">
      <text>
        <r>
          <rPr>
            <sz val="9"/>
            <color indexed="81"/>
            <rFont val="Tahoma"/>
            <family val="2"/>
          </rPr>
          <t>Refrigerator &amp; Freezer Tables</t>
        </r>
      </text>
    </comment>
    <comment ref="F207" authorId="0" shapeId="0">
      <text>
        <r>
          <rPr>
            <sz val="9"/>
            <color indexed="81"/>
            <rFont val="Tahoma"/>
            <family val="2"/>
          </rPr>
          <t>Heat Pump Water Heater Tables</t>
        </r>
      </text>
    </comment>
    <comment ref="H207" authorId="0" shapeId="0">
      <text>
        <r>
          <rPr>
            <sz val="9"/>
            <color indexed="81"/>
            <rFont val="Tahoma"/>
            <family val="2"/>
          </rPr>
          <t>Heat Pump Water Heater Tables</t>
        </r>
      </text>
    </comment>
    <comment ref="Q207" authorId="0" shapeId="0">
      <text>
        <r>
          <rPr>
            <sz val="9"/>
            <color indexed="81"/>
            <rFont val="Tahoma"/>
            <family val="2"/>
          </rPr>
          <t>Heat Pump Water Heater Tables</t>
        </r>
      </text>
    </comment>
    <comment ref="R207" authorId="0" shapeId="0">
      <text>
        <r>
          <rPr>
            <sz val="9"/>
            <color indexed="81"/>
            <rFont val="Tahoma"/>
            <family val="2"/>
          </rPr>
          <t>Heat Pump Water Heater Tables</t>
        </r>
      </text>
    </comment>
    <comment ref="S207" authorId="0" shapeId="0">
      <text>
        <r>
          <rPr>
            <sz val="9"/>
            <color indexed="81"/>
            <rFont val="Tahoma"/>
            <family val="2"/>
          </rPr>
          <t>Heat Pump Water Heater Tables</t>
        </r>
      </text>
    </comment>
    <comment ref="I229" authorId="0" shapeId="0">
      <text>
        <r>
          <rPr>
            <sz val="9"/>
            <color indexed="81"/>
            <rFont val="Tahoma"/>
            <family val="2"/>
          </rPr>
          <t>Average eff from energy.gov</t>
        </r>
      </text>
    </comment>
    <comment ref="K278" authorId="0" shapeId="0">
      <text>
        <r>
          <rPr>
            <sz val="9"/>
            <color indexed="81"/>
            <rFont val="Tahoma"/>
            <family val="2"/>
          </rPr>
          <t>Stm Cooker &amp; Holding Cab Tables</t>
        </r>
      </text>
    </comment>
    <comment ref="I299" authorId="0" shapeId="0">
      <text>
        <r>
          <rPr>
            <sz val="9"/>
            <color indexed="81"/>
            <rFont val="Tahoma"/>
            <family val="2"/>
          </rPr>
          <t>Stm Cooker &amp; Holding Cab Tables</t>
        </r>
      </text>
    </comment>
    <comment ref="N308" authorId="0" shapeId="0">
      <text>
        <r>
          <rPr>
            <sz val="9"/>
            <color indexed="81"/>
            <rFont val="Tahoma"/>
            <family val="2"/>
          </rPr>
          <t xml:space="preserve">remains in alignment with program data (PY20)
</t>
        </r>
      </text>
    </comment>
    <comment ref="E322" authorId="0" shapeId="0">
      <text>
        <r>
          <rPr>
            <b/>
            <sz val="9"/>
            <color indexed="81"/>
            <rFont val="Tahoma"/>
            <family val="2"/>
          </rPr>
          <t>Jun- 2020 Removed 1-75HP and adjusted to allow measures &gt;= 1HP</t>
        </r>
      </text>
    </comment>
    <comment ref="E323" authorId="0" shapeId="0">
      <text>
        <r>
          <rPr>
            <b/>
            <sz val="9"/>
            <color indexed="81"/>
            <rFont val="Tahoma"/>
            <family val="2"/>
          </rPr>
          <t>Jun- 2020 Removed 1-75HP and adjusted to allow measures &gt;= 1HP</t>
        </r>
      </text>
    </comment>
    <comment ref="H334" authorId="0" shapeId="0">
      <text>
        <r>
          <rPr>
            <sz val="9"/>
            <color indexed="81"/>
            <rFont val="Tahoma"/>
            <family val="2"/>
          </rPr>
          <t>Chilled_Hot Water Pump Tables</t>
        </r>
      </text>
    </comment>
    <comment ref="I334" authorId="0" shapeId="0">
      <text>
        <r>
          <rPr>
            <sz val="9"/>
            <color indexed="81"/>
            <rFont val="Tahoma"/>
            <family val="2"/>
          </rPr>
          <t>Chilled_Hot Water Pump Tables</t>
        </r>
      </text>
    </comment>
    <comment ref="E342" authorId="0" shapeId="0">
      <text>
        <r>
          <rPr>
            <b/>
            <sz val="9"/>
            <color indexed="81"/>
            <rFont val="Tahoma"/>
            <family val="2"/>
          </rPr>
          <t>Jun- 2020 Removed 1-75HP and adjusted to allow measures &gt;= 1HP</t>
        </r>
      </text>
    </comment>
    <comment ref="H367" authorId="0" shapeId="0">
      <text>
        <r>
          <rPr>
            <sz val="9"/>
            <color indexed="81"/>
            <rFont val="Tahoma"/>
            <family val="2"/>
          </rPr>
          <t>VFD Supply_Return Fan Tables</t>
        </r>
      </text>
    </comment>
    <comment ref="I367" authorId="0" shapeId="0">
      <text>
        <r>
          <rPr>
            <sz val="9"/>
            <color indexed="81"/>
            <rFont val="Tahoma"/>
            <family val="2"/>
          </rPr>
          <t>VFD Supply_Return Fan Tables</t>
        </r>
      </text>
    </comment>
    <comment ref="J367" authorId="0" shapeId="0">
      <text>
        <r>
          <rPr>
            <sz val="9"/>
            <color indexed="81"/>
            <rFont val="Tahoma"/>
            <family val="2"/>
          </rPr>
          <t>VFD Supply_Return Fan Tables</t>
        </r>
      </text>
    </comment>
    <comment ref="K367" authorId="0" shapeId="0">
      <text>
        <r>
          <rPr>
            <sz val="9"/>
            <color indexed="81"/>
            <rFont val="Tahoma"/>
            <family val="2"/>
          </rPr>
          <t>VFD Supply_Return Fan Tables</t>
        </r>
      </text>
    </comment>
    <comment ref="H368" authorId="0" shapeId="0">
      <text>
        <r>
          <rPr>
            <sz val="9"/>
            <color indexed="81"/>
            <rFont val="Tahoma"/>
            <family val="2"/>
          </rPr>
          <t>Assumed 20HP ODP 4-pole 1800RPM</t>
        </r>
      </text>
    </comment>
    <comment ref="E372" authorId="0" shapeId="0">
      <text>
        <r>
          <rPr>
            <sz val="9"/>
            <color indexed="81"/>
            <rFont val="Tahoma"/>
            <family val="2"/>
          </rPr>
          <t>changed name to include packaged and split sytems - aligns with Vol2 description</t>
        </r>
      </text>
    </comment>
    <comment ref="G385" authorId="0" shapeId="0">
      <text>
        <r>
          <rPr>
            <b/>
            <sz val="9"/>
            <color indexed="81"/>
            <rFont val="Tahoma"/>
            <family val="2"/>
          </rPr>
          <t>Author:</t>
        </r>
        <r>
          <rPr>
            <sz val="9"/>
            <color indexed="81"/>
            <rFont val="Tahoma"/>
            <family val="2"/>
          </rPr>
          <t xml:space="preserve">
IECC 2012, non-electric heating</t>
        </r>
      </text>
    </comment>
    <comment ref="DB393" authorId="0" shapeId="0">
      <text>
        <r>
          <rPr>
            <b/>
            <sz val="9"/>
            <color indexed="81"/>
            <rFont val="Tahoma"/>
            <family val="2"/>
          </rPr>
          <t xml:space="preserve">Opinion Dynamics: 
</t>
        </r>
        <r>
          <rPr>
            <sz val="9"/>
            <color indexed="81"/>
            <rFont val="Tahoma"/>
            <family val="2"/>
          </rPr>
          <t>Updated TRC calculation to include heating benefits</t>
        </r>
      </text>
    </comment>
    <comment ref="G409" authorId="0" shapeId="0">
      <text>
        <r>
          <rPr>
            <sz val="9"/>
            <color indexed="81"/>
            <rFont val="Tahoma"/>
            <family val="2"/>
          </rPr>
          <t>2009 IECC</t>
        </r>
      </text>
    </comment>
    <comment ref="I409" authorId="0" shapeId="0">
      <text>
        <r>
          <rPr>
            <sz val="9"/>
            <color indexed="81"/>
            <rFont val="Tahoma"/>
            <family val="2"/>
          </rPr>
          <t xml:space="preserve">2012 IECC
</t>
        </r>
      </text>
    </comment>
    <comment ref="N409" authorId="0" shapeId="0">
      <text>
        <r>
          <rPr>
            <sz val="9"/>
            <color indexed="81"/>
            <rFont val="Tahoma"/>
            <family val="2"/>
          </rPr>
          <t>2009 IECC</t>
        </r>
      </text>
    </comment>
    <comment ref="G410" authorId="0" shapeId="0">
      <text>
        <r>
          <rPr>
            <sz val="9"/>
            <color indexed="81"/>
            <rFont val="Tahoma"/>
            <family val="2"/>
          </rPr>
          <t>2009 IECC</t>
        </r>
      </text>
    </comment>
    <comment ref="H410" authorId="0" shapeId="0">
      <text>
        <r>
          <rPr>
            <sz val="9"/>
            <color indexed="81"/>
            <rFont val="Tahoma"/>
            <family val="2"/>
          </rPr>
          <t>2015 IECC (First 2)</t>
        </r>
      </text>
    </comment>
    <comment ref="G428" authorId="0" shapeId="0">
      <text>
        <r>
          <rPr>
            <sz val="9"/>
            <color indexed="81"/>
            <rFont val="Tahoma"/>
            <family val="2"/>
          </rPr>
          <t>2009 IECC</t>
        </r>
      </text>
    </comment>
    <comment ref="N563" authorId="0" shapeId="0">
      <text>
        <r>
          <rPr>
            <b/>
            <sz val="9"/>
            <color indexed="81"/>
            <rFont val="Tahoma"/>
            <family val="2"/>
          </rPr>
          <t xml:space="preserve">Cut and pasted this entire section of inputs below the inputs above to allow room room for revision updates to the right of column "U" </t>
        </r>
      </text>
    </comment>
    <comment ref="C621"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16" authorId="0" shapeId="0">
      <text>
        <r>
          <rPr>
            <sz val="9"/>
            <color indexed="81"/>
            <rFont val="Tahoma"/>
            <family val="2"/>
          </rPr>
          <t>Average of Table</t>
        </r>
      </text>
    </comment>
    <comment ref="H716" authorId="0" shapeId="0">
      <text>
        <r>
          <rPr>
            <sz val="9"/>
            <color indexed="81"/>
            <rFont val="Tahoma"/>
            <family val="2"/>
          </rPr>
          <t>Average of Table</t>
        </r>
      </text>
    </comment>
    <comment ref="V789"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 xml:space="preserve">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62" authorId="0" shapeId="0">
      <text>
        <r>
          <rPr>
            <b/>
            <sz val="9"/>
            <color indexed="81"/>
            <rFont val="Tahoma"/>
            <family val="2"/>
          </rPr>
          <t>MO - TRM</t>
        </r>
      </text>
    </comment>
    <comment ref="G244" authorId="0" shapeId="0">
      <text>
        <r>
          <rPr>
            <sz val="9"/>
            <color indexed="81"/>
            <rFont val="Tahoma"/>
            <family val="2"/>
          </rPr>
          <t>PY2018 Evaluation updated to HVAC RES end use in calculations. Previously: Miscellaneous RES</t>
        </r>
      </text>
    </comment>
    <comment ref="W253" authorId="0" shapeId="0">
      <text>
        <r>
          <rPr>
            <b/>
            <sz val="9"/>
            <color indexed="81"/>
            <rFont val="Tahoma"/>
            <family val="2"/>
          </rPr>
          <t>PY16 EfficientProducts Database - Average CADR/Watt, updated Mar 2017</t>
        </r>
        <r>
          <rPr>
            <sz val="9"/>
            <color indexed="81"/>
            <rFont val="Tahoma"/>
            <family val="2"/>
          </rPr>
          <t xml:space="preserve">
</t>
        </r>
      </text>
    </comment>
    <comment ref="X253" authorId="0" shapeId="0">
      <text>
        <r>
          <rPr>
            <b/>
            <sz val="9"/>
            <color indexed="81"/>
            <rFont val="Tahoma"/>
            <family val="2"/>
          </rPr>
          <t>PY17 EfficientProducts Database</t>
        </r>
      </text>
    </comment>
    <comment ref="W25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55" authorId="0" shapeId="0">
      <text>
        <r>
          <rPr>
            <b/>
            <sz val="9"/>
            <color indexed="81"/>
            <rFont val="Tahoma"/>
            <family val="2"/>
          </rPr>
          <t>PY17 EfficientProducts Database</t>
        </r>
        <r>
          <rPr>
            <sz val="9"/>
            <color indexed="81"/>
            <rFont val="Tahoma"/>
            <family val="2"/>
          </rPr>
          <t xml:space="preserve">
</t>
        </r>
      </text>
    </comment>
    <comment ref="W25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57" authorId="0" shapeId="0">
      <text>
        <r>
          <rPr>
            <b/>
            <sz val="9"/>
            <color indexed="81"/>
            <rFont val="Tahoma"/>
            <family val="2"/>
          </rPr>
          <t>PY17 EfficientProducts Database</t>
        </r>
        <r>
          <rPr>
            <sz val="9"/>
            <color indexed="81"/>
            <rFont val="Tahoma"/>
            <family val="2"/>
          </rPr>
          <t xml:space="preserve">
</t>
        </r>
      </text>
    </comment>
    <comment ref="E275" authorId="0" shapeId="0">
      <text>
        <r>
          <rPr>
            <b/>
            <sz val="9"/>
            <color indexed="81"/>
            <rFont val="Tahoma"/>
            <family val="2"/>
          </rPr>
          <t>THESE CATEGORIES WERE TITLED WRONG - SIMPLY FLIPPED THE NAMES TOP TO BOTTOM</t>
        </r>
      </text>
    </comment>
    <comment ref="W306" authorId="0" shapeId="0">
      <text>
        <r>
          <rPr>
            <b/>
            <sz val="9"/>
            <color indexed="81"/>
            <rFont val="Tahoma"/>
            <family val="2"/>
          </rPr>
          <t>PY13 RebateSavers Database (average BTU)</t>
        </r>
        <r>
          <rPr>
            <sz val="9"/>
            <color indexed="81"/>
            <rFont val="Tahoma"/>
            <family val="2"/>
          </rPr>
          <t xml:space="preserve">
</t>
        </r>
      </text>
    </comment>
    <comment ref="W307" authorId="0" shapeId="0">
      <text>
        <r>
          <rPr>
            <b/>
            <sz val="9"/>
            <color indexed="81"/>
            <rFont val="Tahoma"/>
            <family val="2"/>
          </rPr>
          <t>Federal minimum efficiency standard (updated from EER to CEER in March 2017)</t>
        </r>
        <r>
          <rPr>
            <sz val="9"/>
            <color indexed="81"/>
            <rFont val="Tahoma"/>
            <family val="2"/>
          </rPr>
          <t xml:space="preserve">
</t>
        </r>
      </text>
    </comment>
    <comment ref="X30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1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1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charset val="1"/>
          </rPr>
          <t>Appliance Recycling Program</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charset val="1"/>
          </rPr>
          <t>Appliance Recycling Program</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1" authorId="0" shapeId="0">
      <text>
        <r>
          <rPr>
            <b/>
            <sz val="9"/>
            <color indexed="81"/>
            <rFont val="Tahoma"/>
            <family val="2"/>
          </rPr>
          <t>changed to take hours and days into account to match to formats of other deemed tables</t>
        </r>
      </text>
    </comment>
    <comment ref="W84" authorId="0" shapeId="0">
      <text>
        <r>
          <rPr>
            <b/>
            <sz val="9"/>
            <color indexed="81"/>
            <rFont val="Tahoma"/>
            <family val="2"/>
          </rPr>
          <t>PY16 Engineering Simulation Modeling adjusted for heating and cooling saturations</t>
        </r>
      </text>
    </comment>
    <comment ref="W86" authorId="0" shapeId="0">
      <text>
        <r>
          <rPr>
            <b/>
            <sz val="9"/>
            <color indexed="81"/>
            <rFont val="Tahoma"/>
            <family val="2"/>
          </rPr>
          <t xml:space="preserve">PY16 Energy Efficiency Kits School Survey Results </t>
        </r>
        <r>
          <rPr>
            <sz val="9"/>
            <color indexed="81"/>
            <rFont val="Tahoma"/>
            <family val="2"/>
          </rPr>
          <t xml:space="preserve">
</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D101" authorId="0" shapeId="0">
      <text>
        <r>
          <rPr>
            <b/>
            <sz val="9"/>
            <color indexed="81"/>
            <rFont val="Tahoma"/>
            <charset val="1"/>
          </rPr>
          <t>Appliance Recycling Program</t>
        </r>
      </text>
    </comment>
    <comment ref="W113" authorId="0" shapeId="0">
      <text>
        <r>
          <rPr>
            <b/>
            <sz val="9"/>
            <color indexed="81"/>
            <rFont val="Tahoma"/>
            <family val="2"/>
          </rPr>
          <t>PY16 Energy Efficiency Kits School Survey Results</t>
        </r>
        <r>
          <rPr>
            <sz val="9"/>
            <color indexed="81"/>
            <rFont val="Tahoma"/>
            <family val="2"/>
          </rPr>
          <t xml:space="preserve">
</t>
        </r>
      </text>
    </comment>
    <comment ref="W124" authorId="0" shapeId="0">
      <text>
        <r>
          <rPr>
            <b/>
            <sz val="9"/>
            <color indexed="81"/>
            <rFont val="Tahoma"/>
            <family val="2"/>
          </rPr>
          <t>PY16 Energy Efficiency Kits School Survey Results</t>
        </r>
        <r>
          <rPr>
            <sz val="9"/>
            <color indexed="81"/>
            <rFont val="Tahoma"/>
            <family val="2"/>
          </rPr>
          <t xml:space="preserve">
</t>
        </r>
      </text>
    </comment>
    <comment ref="W140" authorId="0" shapeId="0">
      <text>
        <r>
          <rPr>
            <b/>
            <sz val="9"/>
            <color indexed="81"/>
            <rFont val="Tahoma"/>
            <family val="2"/>
          </rPr>
          <t>PY16 Energy Efficiency Kits School Survey Results</t>
        </r>
        <r>
          <rPr>
            <sz val="9"/>
            <color indexed="81"/>
            <rFont val="Tahoma"/>
            <family val="2"/>
          </rPr>
          <t xml:space="preserve">
</t>
        </r>
      </text>
    </comment>
    <comment ref="W142" authorId="0" shapeId="0">
      <text>
        <r>
          <rPr>
            <b/>
            <sz val="9"/>
            <color indexed="81"/>
            <rFont val="Tahoma"/>
            <family val="2"/>
          </rPr>
          <t>PY16 Energy Efficiency Kits School Survey Results</t>
        </r>
        <r>
          <rPr>
            <sz val="9"/>
            <color indexed="81"/>
            <rFont val="Tahoma"/>
            <family val="2"/>
          </rPr>
          <t xml:space="preserve">
</t>
        </r>
      </text>
    </comment>
    <comment ref="D153" authorId="0" shapeId="0">
      <text>
        <r>
          <rPr>
            <b/>
            <sz val="9"/>
            <color indexed="81"/>
            <rFont val="Tahoma"/>
            <charset val="1"/>
          </rPr>
          <t>Appliance Recycling Program</t>
        </r>
      </text>
    </comment>
    <comment ref="W165" authorId="0" shapeId="0">
      <text>
        <r>
          <rPr>
            <b/>
            <sz val="9"/>
            <color indexed="81"/>
            <rFont val="Tahoma"/>
            <family val="2"/>
          </rPr>
          <t xml:space="preserve">PY16 Energy Efficiency Kits School Survey Results </t>
        </r>
        <r>
          <rPr>
            <sz val="9"/>
            <color indexed="81"/>
            <rFont val="Tahoma"/>
            <family val="2"/>
          </rPr>
          <t xml:space="preserve">
</t>
        </r>
      </text>
    </comment>
    <comment ref="W174" authorId="0" shapeId="0">
      <text>
        <r>
          <rPr>
            <b/>
            <sz val="9"/>
            <color indexed="81"/>
            <rFont val="Tahoma"/>
            <family val="2"/>
          </rPr>
          <t xml:space="preserve">PY16 Energy Efficiency Kits School Survey Results </t>
        </r>
        <r>
          <rPr>
            <sz val="9"/>
            <color indexed="81"/>
            <rFont val="Tahoma"/>
            <family val="2"/>
          </rPr>
          <t xml:space="preserve">
</t>
        </r>
      </text>
    </comment>
    <comment ref="W181" authorId="0" shapeId="0">
      <text>
        <r>
          <rPr>
            <b/>
            <sz val="9"/>
            <color indexed="81"/>
            <rFont val="Tahoma"/>
            <family val="2"/>
          </rPr>
          <t xml:space="preserve">PY16 Energy Efficiency Kits School Survey Results </t>
        </r>
        <r>
          <rPr>
            <sz val="9"/>
            <color indexed="81"/>
            <rFont val="Tahoma"/>
            <family val="2"/>
          </rPr>
          <t xml:space="preserve">
</t>
        </r>
      </text>
    </comment>
    <comment ref="W191" authorId="0" shapeId="0">
      <text>
        <r>
          <rPr>
            <b/>
            <sz val="9"/>
            <color indexed="81"/>
            <rFont val="Tahoma"/>
            <family val="2"/>
          </rPr>
          <t xml:space="preserve">PY16 Energy Efficiency Kits School Survey Results </t>
        </r>
      </text>
    </comment>
    <comment ref="W193" authorId="0" shapeId="0">
      <text>
        <r>
          <rPr>
            <b/>
            <sz val="9"/>
            <color indexed="81"/>
            <rFont val="Tahoma"/>
            <family val="2"/>
          </rPr>
          <t xml:space="preserve">PY16 Energy Efficiency Kits School Survey Results </t>
        </r>
        <r>
          <rPr>
            <sz val="9"/>
            <color indexed="81"/>
            <rFont val="Tahoma"/>
            <family val="2"/>
          </rPr>
          <t xml:space="preserve">
</t>
        </r>
      </text>
    </comment>
    <comment ref="D205" authorId="0" shapeId="0">
      <text>
        <r>
          <rPr>
            <b/>
            <sz val="9"/>
            <color indexed="81"/>
            <rFont val="Tahoma"/>
            <charset val="1"/>
          </rPr>
          <t>Appliance Recycling Program</t>
        </r>
      </text>
    </comment>
    <comment ref="W217" authorId="0" shapeId="0">
      <text>
        <r>
          <rPr>
            <b/>
            <sz val="9"/>
            <color indexed="81"/>
            <rFont val="Tahoma"/>
            <family val="2"/>
          </rPr>
          <t>PY16 Energy Efficiency Kits School Survey Results</t>
        </r>
        <r>
          <rPr>
            <sz val="9"/>
            <color indexed="81"/>
            <rFont val="Tahoma"/>
            <family val="2"/>
          </rPr>
          <t xml:space="preserve">
</t>
        </r>
      </text>
    </comment>
    <comment ref="W227" authorId="0" shapeId="0">
      <text>
        <r>
          <rPr>
            <b/>
            <sz val="9"/>
            <color indexed="81"/>
            <rFont val="Tahoma"/>
            <family val="2"/>
          </rPr>
          <t>PY16 Energy Efficiency Kits School Survey Results </t>
        </r>
        <r>
          <rPr>
            <sz val="9"/>
            <color indexed="81"/>
            <rFont val="Tahoma"/>
            <family val="2"/>
          </rPr>
          <t xml:space="preserve">
</t>
        </r>
      </text>
    </comment>
    <comment ref="W234" authorId="0" shapeId="0">
      <text>
        <r>
          <rPr>
            <b/>
            <sz val="9"/>
            <color indexed="81"/>
            <rFont val="Tahoma"/>
            <family val="2"/>
          </rPr>
          <t>PY16 Energy Efficiency Kits School Survey Results </t>
        </r>
      </text>
    </comment>
    <comment ref="W243" authorId="0" shapeId="0">
      <text>
        <r>
          <rPr>
            <b/>
            <sz val="9"/>
            <color indexed="81"/>
            <rFont val="Tahoma"/>
            <family val="2"/>
          </rPr>
          <t>PY16 Energy Efficiency Kits School Survey Results </t>
        </r>
        <r>
          <rPr>
            <sz val="9"/>
            <color indexed="81"/>
            <rFont val="Tahoma"/>
            <family val="2"/>
          </rPr>
          <t xml:space="preserve">
</t>
        </r>
      </text>
    </comment>
    <comment ref="W245" authorId="0" shapeId="0">
      <text>
        <r>
          <rPr>
            <b/>
            <sz val="9"/>
            <color indexed="81"/>
            <rFont val="Tahoma"/>
            <family val="2"/>
          </rPr>
          <t>PY16 Energy Efficiency Kits School Survey Results </t>
        </r>
        <r>
          <rPr>
            <sz val="9"/>
            <color indexed="81"/>
            <rFont val="Tahoma"/>
            <family val="2"/>
          </rPr>
          <t xml:space="preserve">
</t>
        </r>
      </text>
    </comment>
    <comment ref="D256" authorId="0" shapeId="0">
      <text>
        <r>
          <rPr>
            <b/>
            <sz val="9"/>
            <color indexed="81"/>
            <rFont val="Tahoma"/>
            <charset val="1"/>
          </rPr>
          <t>Appliance Recycling Program</t>
        </r>
      </text>
    </comment>
    <comment ref="W278" authorId="0" shapeId="0">
      <text>
        <r>
          <rPr>
            <b/>
            <sz val="9"/>
            <color indexed="81"/>
            <rFont val="Tahoma"/>
            <family val="2"/>
          </rPr>
          <t xml:space="preserve">PY16 Energy Efficiency Kits School Survey Results </t>
        </r>
        <r>
          <rPr>
            <sz val="9"/>
            <color indexed="81"/>
            <rFont val="Tahoma"/>
            <family val="2"/>
          </rPr>
          <t xml:space="preserve">
</t>
        </r>
      </text>
    </comment>
    <comment ref="W281" authorId="0" shapeId="0">
      <text>
        <r>
          <rPr>
            <b/>
            <sz val="9"/>
            <color indexed="81"/>
            <rFont val="Tahoma"/>
            <family val="2"/>
          </rPr>
          <t xml:space="preserve">PY16 Energy Efficiency Kits School Survey Results </t>
        </r>
        <r>
          <rPr>
            <sz val="9"/>
            <color indexed="81"/>
            <rFont val="Tahoma"/>
            <family val="2"/>
          </rPr>
          <t xml:space="preserve">
</t>
        </r>
      </text>
    </comment>
    <comment ref="AI281" authorId="0" shapeId="0">
      <text>
        <r>
          <rPr>
            <b/>
            <sz val="9"/>
            <color indexed="81"/>
            <rFont val="Tahoma"/>
            <family val="2"/>
          </rPr>
          <t>Assumption based on program design</t>
        </r>
        <r>
          <rPr>
            <sz val="9"/>
            <color indexed="81"/>
            <rFont val="Tahoma"/>
            <family val="2"/>
          </rPr>
          <t xml:space="preserve">
</t>
        </r>
      </text>
    </comment>
    <comment ref="D296"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52"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2" authorId="0" shapeId="0">
      <text>
        <r>
          <rPr>
            <b/>
            <sz val="9"/>
            <color indexed="81"/>
            <rFont val="Tahoma"/>
            <family val="2"/>
          </rPr>
          <t>This value is not new just including it in the input table (previously only shown in the equation)</t>
        </r>
      </text>
    </comment>
    <comment ref="Y53"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7" authorId="0" shapeId="0">
      <text>
        <r>
          <rPr>
            <b/>
            <sz val="9"/>
            <color indexed="81"/>
            <rFont val="Tahoma"/>
            <family val="2"/>
          </rPr>
          <t>This value is not new just including it in the input table (previously only shown in the equation)</t>
        </r>
      </text>
    </comment>
    <comment ref="I68" authorId="0" shapeId="0">
      <text>
        <r>
          <rPr>
            <sz val="12"/>
            <color indexed="81"/>
            <rFont val="Tahoma"/>
            <family val="2"/>
          </rPr>
          <t xml:space="preserve">THIS VALUE SHOULD REMAIN 1215 
The formula compares uses a ratio of the Wisconsin vs St. Louis values </t>
        </r>
      </text>
    </comment>
    <comment ref="X68" authorId="0" shapeId="0">
      <text>
        <r>
          <rPr>
            <sz val="12"/>
            <color indexed="81"/>
            <rFont val="Tahoma"/>
            <family val="2"/>
          </rPr>
          <t xml:space="preserve">THIS VALUE SHOULD REMAIN 1215 
The formula compares uses a ratio of the Wisconsin vs St. Louis values </t>
        </r>
      </text>
    </comment>
    <comment ref="Y68" authorId="0" shapeId="0">
      <text>
        <r>
          <rPr>
            <sz val="12"/>
            <color indexed="81"/>
            <rFont val="Tahoma"/>
            <family val="2"/>
          </rPr>
          <t xml:space="preserve">This values should remain 1215 
The formula compares a ratio of the Wisconsin vs St. Louis values </t>
        </r>
      </text>
    </comment>
    <comment ref="I75" authorId="0" shapeId="0">
      <text>
        <r>
          <rPr>
            <sz val="12"/>
            <color indexed="81"/>
            <rFont val="Tahoma"/>
            <family val="2"/>
          </rPr>
          <t>SEE NOTE IN CELL "E62"</t>
        </r>
      </text>
    </comment>
    <comment ref="X75" authorId="0" shapeId="0">
      <text>
        <r>
          <rPr>
            <sz val="12"/>
            <color indexed="81"/>
            <rFont val="Tahoma"/>
            <family val="2"/>
          </rPr>
          <t>SEE NOTE IN CELL "E62"</t>
        </r>
      </text>
    </comment>
    <comment ref="Y75" authorId="0" shapeId="0">
      <text>
        <r>
          <rPr>
            <sz val="12"/>
            <color indexed="81"/>
            <rFont val="Tahoma"/>
            <family val="2"/>
          </rPr>
          <t>SEE NOTE IN CELL "E62"</t>
        </r>
      </text>
    </comment>
    <comment ref="Q96"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2" authorId="0" shapeId="0">
      <text>
        <r>
          <rPr>
            <b/>
            <sz val="9"/>
            <color indexed="81"/>
            <rFont val="Tahoma"/>
            <family val="2"/>
          </rPr>
          <t>discount factor =  (1+discount rate)^(1/3 EUL-1).    year 1 is considered to be when the measure is installed and therefore do not discount “period 1”.</t>
        </r>
      </text>
    </comment>
    <comment ref="X205"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9" authorId="0" shapeId="0">
      <text>
        <r>
          <rPr>
            <b/>
            <sz val="9"/>
            <color indexed="81"/>
            <rFont val="Tahoma"/>
            <family val="2"/>
          </rPr>
          <t>update from Community Savers - ADM</t>
        </r>
        <r>
          <rPr>
            <sz val="9"/>
            <color indexed="81"/>
            <rFont val="Tahoma"/>
            <family val="2"/>
          </rPr>
          <t xml:space="preserve">
</t>
        </r>
      </text>
    </comment>
    <comment ref="X214"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8" authorId="0" shapeId="0">
      <text>
        <r>
          <rPr>
            <b/>
            <sz val="9"/>
            <color indexed="81"/>
            <rFont val="Tahoma"/>
            <family val="2"/>
          </rPr>
          <t>update from Community Savers - ADM</t>
        </r>
        <r>
          <rPr>
            <sz val="9"/>
            <color indexed="81"/>
            <rFont val="Tahoma"/>
            <family val="2"/>
          </rPr>
          <t xml:space="preserve">
</t>
        </r>
      </text>
    </comment>
    <comment ref="X223"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X277"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81" authorId="0" shapeId="0">
      <text>
        <r>
          <rPr>
            <b/>
            <sz val="9"/>
            <color indexed="81"/>
            <rFont val="Tahoma"/>
            <family val="2"/>
          </rPr>
          <t>update from Community Savers - ADM</t>
        </r>
        <r>
          <rPr>
            <sz val="9"/>
            <color indexed="81"/>
            <rFont val="Tahoma"/>
            <family val="2"/>
          </rPr>
          <t xml:space="preserve">
</t>
        </r>
      </text>
    </comment>
    <comment ref="X295"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9" authorId="0" shapeId="0">
      <text>
        <r>
          <rPr>
            <b/>
            <sz val="9"/>
            <color indexed="81"/>
            <rFont val="Tahoma"/>
            <family val="2"/>
          </rPr>
          <t>update from Community Savers - ADM</t>
        </r>
        <r>
          <rPr>
            <sz val="9"/>
            <color indexed="81"/>
            <rFont val="Tahoma"/>
            <family val="2"/>
          </rPr>
          <t xml:space="preserve">
</t>
        </r>
      </text>
    </comment>
    <comment ref="X421"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5" authorId="0" shapeId="0">
      <text>
        <r>
          <rPr>
            <b/>
            <sz val="9"/>
            <color indexed="81"/>
            <rFont val="Tahoma"/>
            <family val="2"/>
          </rPr>
          <t>update from Community Savers - ADM</t>
        </r>
        <r>
          <rPr>
            <sz val="9"/>
            <color indexed="81"/>
            <rFont val="Tahoma"/>
            <family val="2"/>
          </rPr>
          <t xml:space="preserve">
</t>
        </r>
      </text>
    </comment>
    <comment ref="X436"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9" authorId="0" shapeId="0">
      <text>
        <r>
          <rPr>
            <b/>
            <sz val="9"/>
            <color indexed="81"/>
            <rFont val="Tahoma"/>
            <family val="2"/>
          </rPr>
          <t>update from Community Savers - ADM</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3" authorId="0" shapeId="0">
      <text>
        <r>
          <rPr>
            <b/>
            <sz val="9"/>
            <color indexed="81"/>
            <rFont val="Tahoma"/>
            <family val="2"/>
          </rPr>
          <t>update from Community Savers - ADM</t>
        </r>
        <r>
          <rPr>
            <sz val="9"/>
            <color indexed="81"/>
            <rFont val="Tahoma"/>
            <family val="2"/>
          </rPr>
          <t xml:space="preserve">
</t>
        </r>
      </text>
    </comment>
    <comment ref="X5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2" authorId="0" shapeId="0">
      <text>
        <r>
          <rPr>
            <b/>
            <sz val="9"/>
            <color indexed="81"/>
            <rFont val="Tahoma"/>
            <family val="2"/>
          </rPr>
          <t xml:space="preserve">corrected typo error
</t>
        </r>
      </text>
    </comment>
    <comment ref="X707" authorId="0" shapeId="0">
      <text>
        <r>
          <rPr>
            <b/>
            <sz val="9"/>
            <color indexed="81"/>
            <rFont val="Tahoma"/>
            <family val="2"/>
          </rPr>
          <t>capacities updated</t>
        </r>
        <r>
          <rPr>
            <sz val="9"/>
            <color indexed="81"/>
            <rFont val="Tahoma"/>
            <family val="2"/>
          </rPr>
          <t xml:space="preserve">
</t>
        </r>
      </text>
    </comment>
    <comment ref="Y707" authorId="0" shapeId="0">
      <text>
        <r>
          <rPr>
            <b/>
            <sz val="9"/>
            <color indexed="81"/>
            <rFont val="Tahoma"/>
            <family val="2"/>
          </rPr>
          <t>Formula updated in this calculation 
Also Updates if capacities change</t>
        </r>
      </text>
    </comment>
    <comment ref="D784" authorId="0" shapeId="0">
      <text>
        <r>
          <rPr>
            <b/>
            <sz val="9"/>
            <color indexed="81"/>
            <rFont val="Tahoma"/>
            <family val="2"/>
          </rPr>
          <t>Previously listed as SF/SFLI
MF/MLI</t>
        </r>
        <r>
          <rPr>
            <sz val="9"/>
            <color indexed="81"/>
            <rFont val="Tahoma"/>
            <family val="2"/>
          </rPr>
          <t xml:space="preserve">
</t>
        </r>
      </text>
    </comment>
    <comment ref="F78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898" authorId="0" shapeId="0">
      <text>
        <r>
          <rPr>
            <sz val="11"/>
            <color indexed="81"/>
            <rFont val="Tahoma"/>
            <family val="2"/>
          </rPr>
          <t>MO TRM includes 7.7 for manufacture dates prior to 1/2/2017 and 8.0 for manufacture dates after 1/1/2017</t>
        </r>
      </text>
    </comment>
    <comment ref="X898" authorId="0" shapeId="0">
      <text>
        <r>
          <rPr>
            <sz val="11"/>
            <color indexed="81"/>
            <rFont val="Tahoma"/>
            <family val="2"/>
          </rPr>
          <t>MO TRM includes 7.7 for manufacture dates prior to 1/2/2017 and 8.0 for manufacture dates after 1/1/2017</t>
        </r>
      </text>
    </comment>
    <comment ref="W959" authorId="0" shapeId="0">
      <text>
        <r>
          <rPr>
            <sz val="9"/>
            <color indexed="81"/>
            <rFont val="Tahoma"/>
            <family val="2"/>
          </rPr>
          <t>Assumed same size as similar ASHP</t>
        </r>
      </text>
    </comment>
    <comment ref="X959" authorId="0" shapeId="0">
      <text>
        <r>
          <rPr>
            <sz val="11"/>
            <color indexed="81"/>
            <rFont val="Tahoma"/>
            <family val="2"/>
          </rPr>
          <t>CADMUS PROVIDED A SINGLE "Tonnage" value" used same for heating and cooling</t>
        </r>
        <r>
          <rPr>
            <sz val="9"/>
            <color indexed="81"/>
            <rFont val="Tahoma"/>
            <family val="2"/>
          </rPr>
          <t xml:space="preserve">
</t>
        </r>
      </text>
    </comment>
    <comment ref="W960" authorId="0" shapeId="0">
      <text>
        <r>
          <rPr>
            <sz val="9"/>
            <color indexed="81"/>
            <rFont val="Tahoma"/>
            <family val="2"/>
          </rPr>
          <t xml:space="preserve">Assumed Same Size as similar ASHP
</t>
        </r>
      </text>
    </comment>
    <comment ref="W1001" authorId="0" shapeId="0">
      <text>
        <r>
          <rPr>
            <sz val="11"/>
            <color indexed="81"/>
            <rFont val="Tahoma"/>
            <family val="2"/>
          </rPr>
          <t>MO TRM includes 13 for manufacture dates prior to 1/2/2017 and 14 for manufacture dates after 1/1/2017</t>
        </r>
      </text>
    </comment>
    <comment ref="X1001" authorId="0" shapeId="0">
      <text>
        <r>
          <rPr>
            <sz val="11"/>
            <color indexed="81"/>
            <rFont val="Tahoma"/>
            <family val="2"/>
          </rPr>
          <t>MO TRM includes 13 for manufacture dates prior to 1/2/2017 and 14 for manufacture dates after 1/1/2017</t>
        </r>
      </text>
    </comment>
    <comment ref="X1081" authorId="0" shapeId="0">
      <text>
        <r>
          <rPr>
            <sz val="11"/>
            <color indexed="81"/>
            <rFont val="Tahoma"/>
            <family val="2"/>
          </rPr>
          <t>Used Cadmus data to update the tonnage of the units  but the updated tonnage was for SF only therfore left the application here to convert for MF</t>
        </r>
      </text>
    </comment>
    <comment ref="X1098" authorId="0" shapeId="0">
      <text>
        <r>
          <rPr>
            <sz val="11"/>
            <color indexed="81"/>
            <rFont val="Tahoma"/>
            <family val="2"/>
          </rPr>
          <t>Used Cadmus data to update the tonnage of the units  but the updated tonnage was for SF only therfore left the application here to convert for MF</t>
        </r>
      </text>
    </comment>
    <comment ref="X1150" authorId="0" shapeId="0">
      <text>
        <r>
          <rPr>
            <b/>
            <sz val="9"/>
            <color indexed="81"/>
            <rFont val="Tahoma"/>
            <family val="2"/>
          </rPr>
          <t>Capacity of units adjusted which impacts cost/ton calculation</t>
        </r>
      </text>
    </comment>
    <comment ref="Y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0" authorId="0" shapeId="0">
      <text>
        <r>
          <rPr>
            <b/>
            <sz val="9"/>
            <color indexed="81"/>
            <rFont val="Tahoma"/>
            <family val="2"/>
          </rPr>
          <t>Previously listed as SF/SFLI
MF/MLI</t>
        </r>
        <r>
          <rPr>
            <sz val="9"/>
            <color indexed="81"/>
            <rFont val="Tahoma"/>
            <family val="2"/>
          </rPr>
          <t xml:space="preserve">
</t>
        </r>
      </text>
    </comment>
    <comment ref="X122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5" authorId="0" shapeId="0">
      <text>
        <r>
          <rPr>
            <b/>
            <sz val="9"/>
            <color indexed="81"/>
            <rFont val="Tahoma"/>
            <family val="2"/>
          </rPr>
          <t>Previously listed as SF/SFLI
MF/MLI</t>
        </r>
        <r>
          <rPr>
            <sz val="9"/>
            <color indexed="81"/>
            <rFont val="Tahoma"/>
            <family val="2"/>
          </rPr>
          <t xml:space="preserve">
</t>
        </r>
      </text>
    </comment>
    <comment ref="X1342" authorId="0" shapeId="0">
      <text>
        <r>
          <rPr>
            <b/>
            <sz val="9"/>
            <color indexed="81"/>
            <rFont val="Tahoma"/>
            <family val="2"/>
          </rPr>
          <t>Added this line item - needs a separate base for ER1 vs ER2</t>
        </r>
      </text>
    </comment>
    <comment ref="Y1345" authorId="0" shapeId="0">
      <text>
        <r>
          <rPr>
            <b/>
            <sz val="9"/>
            <color indexed="81"/>
            <rFont val="Tahoma"/>
            <family val="2"/>
          </rPr>
          <t>Author:</t>
        </r>
        <r>
          <rPr>
            <sz val="9"/>
            <color indexed="81"/>
            <rFont val="Tahoma"/>
            <family val="2"/>
          </rPr>
          <t xml:space="preserve">
COP of 4.44 from report table 15 *3.41
</t>
        </r>
      </text>
    </comment>
    <comment ref="Z1345" authorId="0" shapeId="0">
      <text>
        <r>
          <rPr>
            <b/>
            <sz val="9"/>
            <color indexed="81"/>
            <rFont val="Tahoma"/>
            <family val="2"/>
          </rPr>
          <t>Author:</t>
        </r>
        <r>
          <rPr>
            <sz val="9"/>
            <color indexed="81"/>
            <rFont val="Tahoma"/>
            <family val="2"/>
          </rPr>
          <t xml:space="preserve">
COP of 4.44 from report table 15 *3.41
</t>
        </r>
      </text>
    </comment>
    <comment ref="AA1345" authorId="0" shapeId="0">
      <text>
        <r>
          <rPr>
            <b/>
            <sz val="9"/>
            <color indexed="81"/>
            <rFont val="Tahoma"/>
            <family val="2"/>
          </rPr>
          <t>Author:</t>
        </r>
        <r>
          <rPr>
            <sz val="9"/>
            <color indexed="81"/>
            <rFont val="Tahoma"/>
            <family val="2"/>
          </rPr>
          <t xml:space="preserve">
COP of 4.44 from report table 15 *3.41
</t>
        </r>
      </text>
    </comment>
    <comment ref="J135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J1343</t>
        </r>
      </text>
    </comment>
    <comment ref="J13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J1341</t>
        </r>
      </text>
    </comment>
    <comment ref="X1369" authorId="0" shapeId="0">
      <text>
        <r>
          <rPr>
            <b/>
            <sz val="9"/>
            <color indexed="81"/>
            <rFont val="Tahoma"/>
            <family val="2"/>
          </rPr>
          <t xml:space="preserve">Changed to EER rather than SEER in calc </t>
        </r>
        <r>
          <rPr>
            <sz val="9"/>
            <color indexed="81"/>
            <rFont val="Tahoma"/>
            <family val="2"/>
          </rPr>
          <t xml:space="preserve">
</t>
        </r>
      </text>
    </comment>
    <comment ref="D1406" authorId="0" shapeId="0">
      <text>
        <r>
          <rPr>
            <b/>
            <sz val="9"/>
            <color indexed="81"/>
            <rFont val="Tahoma"/>
            <family val="2"/>
          </rPr>
          <t>Previously listed as SF/SFLI
MF/MLI</t>
        </r>
        <r>
          <rPr>
            <sz val="9"/>
            <color indexed="81"/>
            <rFont val="Tahoma"/>
            <family val="2"/>
          </rPr>
          <t xml:space="preserve">
</t>
        </r>
      </text>
    </comment>
    <comment ref="F140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534" authorId="0" shapeId="0">
      <text>
        <r>
          <rPr>
            <b/>
            <sz val="9"/>
            <color indexed="81"/>
            <rFont val="Tahoma"/>
            <family val="2"/>
          </rPr>
          <t xml:space="preserve">353900 was a duplicate measure to this and was removed in PY2019 </t>
        </r>
      </text>
    </comment>
    <comment ref="W1810" authorId="0" shapeId="0">
      <text>
        <r>
          <rPr>
            <b/>
            <sz val="9"/>
            <color indexed="81"/>
            <rFont val="Tahoma"/>
            <family val="2"/>
          </rPr>
          <t>MO TRM</t>
        </r>
        <r>
          <rPr>
            <sz val="9"/>
            <color indexed="81"/>
            <rFont val="Tahoma"/>
            <family val="2"/>
          </rPr>
          <t xml:space="preserve">
</t>
        </r>
      </text>
    </comment>
    <comment ref="X1810" authorId="0" shapeId="0">
      <text>
        <r>
          <rPr>
            <b/>
            <sz val="9"/>
            <color indexed="81"/>
            <rFont val="Tahoma"/>
            <family val="2"/>
          </rPr>
          <t>2017 Cadmus EM&amp;V - 2016 -2017 AMR Data &amp; HP</t>
        </r>
        <r>
          <rPr>
            <sz val="9"/>
            <color indexed="81"/>
            <rFont val="Tahoma"/>
            <family val="2"/>
          </rPr>
          <t xml:space="preserve">
</t>
        </r>
      </text>
    </comment>
    <comment ref="X2584"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5" authorId="0" shapeId="0">
      <text>
        <r>
          <rPr>
            <b/>
            <sz val="9"/>
            <color indexed="81"/>
            <rFont val="Tahoma"/>
            <family val="2"/>
          </rPr>
          <t>Author:</t>
        </r>
        <r>
          <rPr>
            <sz val="9"/>
            <color indexed="81"/>
            <rFont val="Tahoma"/>
            <family val="2"/>
          </rPr>
          <t xml:space="preserve">
Adjusted Capacity based upon HF Factor</t>
        </r>
      </text>
    </comment>
    <comment ref="Y3005" authorId="0" shapeId="0">
      <text>
        <r>
          <rPr>
            <b/>
            <sz val="14"/>
            <color indexed="81"/>
            <rFont val="Tahoma"/>
            <family val="2"/>
          </rPr>
          <t>Adjusted Formula so that it all calculations were driven off column J and not J&amp;K so that this could be copied over with each new TRM update 8/13/2019</t>
        </r>
      </text>
    </comment>
    <comment ref="Z3005" authorId="0" shapeId="0">
      <text>
        <r>
          <rPr>
            <b/>
            <sz val="14"/>
            <color indexed="81"/>
            <rFont val="Tahoma"/>
            <family val="2"/>
          </rPr>
          <t>Adjusted Formula so that it all calculations were driven off column J and not J&amp;K so that this could be copied over with each new TRM update 8/13/2019</t>
        </r>
      </text>
    </comment>
    <comment ref="AA3005" authorId="0" shapeId="0">
      <text>
        <r>
          <rPr>
            <b/>
            <sz val="14"/>
            <color indexed="81"/>
            <rFont val="Tahoma"/>
            <family val="2"/>
          </rPr>
          <t>Adjusted Formula so that it all calculations were driven off column J and not J&amp;K so that this could be copied over with each new TRM update 8/13/2019</t>
        </r>
      </text>
    </comment>
    <comment ref="AB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9" authorId="0" shapeId="0">
      <text>
        <r>
          <rPr>
            <b/>
            <sz val="9"/>
            <color indexed="81"/>
            <rFont val="Tahoma"/>
            <family val="2"/>
          </rPr>
          <t>Author:</t>
        </r>
        <r>
          <rPr>
            <sz val="9"/>
            <color indexed="81"/>
            <rFont val="Tahoma"/>
            <family val="2"/>
          </rPr>
          <t xml:space="preserve">
Adjusted Capacity based upon HF Factor</t>
        </r>
      </text>
    </comment>
    <comment ref="L3013" authorId="0" shapeId="0">
      <text>
        <r>
          <rPr>
            <b/>
            <sz val="9"/>
            <color indexed="81"/>
            <rFont val="Tahoma"/>
            <family val="2"/>
          </rPr>
          <t>Author:</t>
        </r>
        <r>
          <rPr>
            <sz val="9"/>
            <color indexed="81"/>
            <rFont val="Tahoma"/>
            <family val="2"/>
          </rPr>
          <t xml:space="preserve">
Adjusted Capacity based upon HF Factor</t>
        </r>
      </text>
    </comment>
    <comment ref="L3015" authorId="0" shapeId="0">
      <text>
        <r>
          <rPr>
            <b/>
            <sz val="9"/>
            <color indexed="81"/>
            <rFont val="Tahoma"/>
            <family val="2"/>
          </rPr>
          <t>Author:</t>
        </r>
        <r>
          <rPr>
            <sz val="9"/>
            <color indexed="81"/>
            <rFont val="Tahoma"/>
            <family val="2"/>
          </rPr>
          <t xml:space="preserve">
Adjusted Capacity based upon HF Factor</t>
        </r>
      </text>
    </comment>
    <comment ref="L3017" authorId="0" shapeId="0">
      <text>
        <r>
          <rPr>
            <b/>
            <sz val="9"/>
            <color indexed="81"/>
            <rFont val="Tahoma"/>
            <family val="2"/>
          </rPr>
          <t>Author:</t>
        </r>
        <r>
          <rPr>
            <sz val="9"/>
            <color indexed="81"/>
            <rFont val="Tahoma"/>
            <family val="2"/>
          </rPr>
          <t xml:space="preserve">
Adjusted Capacity based upon HF Factor</t>
        </r>
      </text>
    </comment>
    <comment ref="L3021" authorId="0" shapeId="0">
      <text>
        <r>
          <rPr>
            <b/>
            <sz val="9"/>
            <color indexed="81"/>
            <rFont val="Tahoma"/>
            <family val="2"/>
          </rPr>
          <t>Author:</t>
        </r>
        <r>
          <rPr>
            <sz val="9"/>
            <color indexed="81"/>
            <rFont val="Tahoma"/>
            <family val="2"/>
          </rPr>
          <t xml:space="preserve">
Adjusted Capacity based upon HF Factor</t>
        </r>
      </text>
    </comment>
    <comment ref="L3025" authorId="0" shapeId="0">
      <text>
        <r>
          <rPr>
            <b/>
            <sz val="9"/>
            <color indexed="81"/>
            <rFont val="Tahoma"/>
            <family val="2"/>
          </rPr>
          <t>Author:</t>
        </r>
        <r>
          <rPr>
            <sz val="9"/>
            <color indexed="81"/>
            <rFont val="Tahoma"/>
            <family val="2"/>
          </rPr>
          <t xml:space="preserve">
Adjusted Capacity based upon HF Factor</t>
        </r>
      </text>
    </comment>
    <comment ref="L3027" authorId="0" shapeId="0">
      <text>
        <r>
          <rPr>
            <b/>
            <sz val="9"/>
            <color indexed="81"/>
            <rFont val="Tahoma"/>
            <family val="2"/>
          </rPr>
          <t>Author:</t>
        </r>
        <r>
          <rPr>
            <sz val="9"/>
            <color indexed="81"/>
            <rFont val="Tahoma"/>
            <family val="2"/>
          </rPr>
          <t xml:space="preserve">
Adjusted Capacity based upon HF Factor</t>
        </r>
      </text>
    </comment>
    <comment ref="L3029" authorId="0" shapeId="0">
      <text>
        <r>
          <rPr>
            <b/>
            <sz val="9"/>
            <color indexed="81"/>
            <rFont val="Tahoma"/>
            <family val="2"/>
          </rPr>
          <t>Author:</t>
        </r>
        <r>
          <rPr>
            <sz val="9"/>
            <color indexed="81"/>
            <rFont val="Tahoma"/>
            <family val="2"/>
          </rPr>
          <t xml:space="preserve">
Adjusted Capacity based upon HF Factor</t>
        </r>
      </text>
    </comment>
    <comment ref="L3033" authorId="0" shapeId="0">
      <text>
        <r>
          <rPr>
            <b/>
            <sz val="9"/>
            <color indexed="81"/>
            <rFont val="Tahoma"/>
            <family val="2"/>
          </rPr>
          <t>Author:</t>
        </r>
        <r>
          <rPr>
            <sz val="9"/>
            <color indexed="81"/>
            <rFont val="Tahoma"/>
            <family val="2"/>
          </rPr>
          <t xml:space="preserve">
Adjusted Capacity based upon HF Factor</t>
        </r>
      </text>
    </comment>
    <comment ref="L3037" authorId="0" shapeId="0">
      <text>
        <r>
          <rPr>
            <b/>
            <sz val="9"/>
            <color indexed="81"/>
            <rFont val="Tahoma"/>
            <family val="2"/>
          </rPr>
          <t>Author:</t>
        </r>
        <r>
          <rPr>
            <sz val="9"/>
            <color indexed="81"/>
            <rFont val="Tahoma"/>
            <family val="2"/>
          </rPr>
          <t xml:space="preserve">
Adjusted Capacity based upon HF Factor</t>
        </r>
      </text>
    </comment>
    <comment ref="L3039" authorId="0" shapeId="0">
      <text>
        <r>
          <rPr>
            <b/>
            <sz val="9"/>
            <color indexed="81"/>
            <rFont val="Tahoma"/>
            <family val="2"/>
          </rPr>
          <t>Author:</t>
        </r>
        <r>
          <rPr>
            <sz val="9"/>
            <color indexed="81"/>
            <rFont val="Tahoma"/>
            <family val="2"/>
          </rPr>
          <t xml:space="preserve">
Adjusted Capacity based upon HF Factor</t>
        </r>
      </text>
    </comment>
    <comment ref="L3043" authorId="0" shapeId="0">
      <text>
        <r>
          <rPr>
            <b/>
            <sz val="9"/>
            <color indexed="81"/>
            <rFont val="Tahoma"/>
            <family val="2"/>
          </rPr>
          <t>Author:</t>
        </r>
        <r>
          <rPr>
            <sz val="9"/>
            <color indexed="81"/>
            <rFont val="Tahoma"/>
            <family val="2"/>
          </rPr>
          <t xml:space="preserve">
Adjusted Capacity based upon HF Factor</t>
        </r>
      </text>
    </comment>
    <comment ref="L3045" authorId="0" shapeId="0">
      <text>
        <r>
          <rPr>
            <b/>
            <sz val="9"/>
            <color indexed="81"/>
            <rFont val="Tahoma"/>
            <family val="2"/>
          </rPr>
          <t>Author:</t>
        </r>
        <r>
          <rPr>
            <sz val="9"/>
            <color indexed="81"/>
            <rFont val="Tahoma"/>
            <family val="2"/>
          </rPr>
          <t xml:space="preserve">
Adjusted Capacity based upon HF Factor</t>
        </r>
      </text>
    </comment>
    <comment ref="L3047" authorId="0" shapeId="0">
      <text>
        <r>
          <rPr>
            <b/>
            <sz val="9"/>
            <color indexed="81"/>
            <rFont val="Tahoma"/>
            <family val="2"/>
          </rPr>
          <t>Author:</t>
        </r>
        <r>
          <rPr>
            <sz val="9"/>
            <color indexed="81"/>
            <rFont val="Tahoma"/>
            <family val="2"/>
          </rPr>
          <t xml:space="preserve">
Adjusted Capacity based upon HF Factor</t>
        </r>
      </text>
    </comment>
    <comment ref="L3051" authorId="0" shapeId="0">
      <text>
        <r>
          <rPr>
            <b/>
            <sz val="9"/>
            <color indexed="81"/>
            <rFont val="Tahoma"/>
            <family val="2"/>
          </rPr>
          <t>Author:</t>
        </r>
        <r>
          <rPr>
            <sz val="9"/>
            <color indexed="81"/>
            <rFont val="Tahoma"/>
            <family val="2"/>
          </rPr>
          <t xml:space="preserve">
Adjusted Capacity based upon HF Factor</t>
        </r>
      </text>
    </comment>
    <comment ref="L3053" authorId="0" shapeId="0">
      <text>
        <r>
          <rPr>
            <b/>
            <sz val="9"/>
            <color indexed="81"/>
            <rFont val="Tahoma"/>
            <family val="2"/>
          </rPr>
          <t>Author:</t>
        </r>
        <r>
          <rPr>
            <sz val="9"/>
            <color indexed="81"/>
            <rFont val="Tahoma"/>
            <family val="2"/>
          </rPr>
          <t xml:space="preserve">
Adjusted Capacity based upon HF Factor</t>
        </r>
      </text>
    </comment>
    <comment ref="L3055" authorId="0" shapeId="0">
      <text>
        <r>
          <rPr>
            <b/>
            <sz val="9"/>
            <color indexed="81"/>
            <rFont val="Tahoma"/>
            <family val="2"/>
          </rPr>
          <t>Author:</t>
        </r>
        <r>
          <rPr>
            <sz val="9"/>
            <color indexed="81"/>
            <rFont val="Tahoma"/>
            <family val="2"/>
          </rPr>
          <t xml:space="preserve">
Adjusted Capacity based upon HF Factor</t>
        </r>
      </text>
    </comment>
    <comment ref="L3057" authorId="0" shapeId="0">
      <text>
        <r>
          <rPr>
            <b/>
            <sz val="9"/>
            <color indexed="81"/>
            <rFont val="Tahoma"/>
            <family val="2"/>
          </rPr>
          <t>Author:</t>
        </r>
        <r>
          <rPr>
            <sz val="9"/>
            <color indexed="81"/>
            <rFont val="Tahoma"/>
            <family val="2"/>
          </rPr>
          <t xml:space="preserve">
Adjusted Capacity based upon HF Factor</t>
        </r>
      </text>
    </comment>
    <comment ref="L3059" authorId="0" shapeId="0">
      <text>
        <r>
          <rPr>
            <b/>
            <sz val="9"/>
            <color indexed="81"/>
            <rFont val="Tahoma"/>
            <family val="2"/>
          </rPr>
          <t>Author:</t>
        </r>
        <r>
          <rPr>
            <sz val="9"/>
            <color indexed="81"/>
            <rFont val="Tahoma"/>
            <family val="2"/>
          </rPr>
          <t xml:space="preserve">
Adjusted Capacity based upon HF Factor</t>
        </r>
      </text>
    </comment>
    <comment ref="L3061" authorId="0" shapeId="0">
      <text>
        <r>
          <rPr>
            <b/>
            <sz val="9"/>
            <color indexed="81"/>
            <rFont val="Tahoma"/>
            <family val="2"/>
          </rPr>
          <t>Author:</t>
        </r>
        <r>
          <rPr>
            <sz val="9"/>
            <color indexed="81"/>
            <rFont val="Tahoma"/>
            <family val="2"/>
          </rPr>
          <t xml:space="preserve">
Adjusted Capacity based upon HF Factor</t>
        </r>
      </text>
    </comment>
    <comment ref="L3063" authorId="0" shapeId="0">
      <text>
        <r>
          <rPr>
            <b/>
            <sz val="9"/>
            <color indexed="81"/>
            <rFont val="Tahoma"/>
            <family val="2"/>
          </rPr>
          <t>Author:</t>
        </r>
        <r>
          <rPr>
            <sz val="9"/>
            <color indexed="81"/>
            <rFont val="Tahoma"/>
            <family val="2"/>
          </rPr>
          <t xml:space="preserve">
Adjusted Capacity based upon HF Factor</t>
        </r>
      </text>
    </comment>
    <comment ref="L3065" authorId="0" shapeId="0">
      <text>
        <r>
          <rPr>
            <b/>
            <sz val="9"/>
            <color indexed="81"/>
            <rFont val="Tahoma"/>
            <family val="2"/>
          </rPr>
          <t>Author:</t>
        </r>
        <r>
          <rPr>
            <sz val="9"/>
            <color indexed="81"/>
            <rFont val="Tahoma"/>
            <family val="2"/>
          </rPr>
          <t xml:space="preserve">
Adjusted Capacity based upon HF Factor</t>
        </r>
      </text>
    </comment>
    <comment ref="L3069" authorId="0" shapeId="0">
      <text>
        <r>
          <rPr>
            <b/>
            <sz val="9"/>
            <color indexed="81"/>
            <rFont val="Tahoma"/>
            <family val="2"/>
          </rPr>
          <t>Author:</t>
        </r>
        <r>
          <rPr>
            <sz val="9"/>
            <color indexed="81"/>
            <rFont val="Tahoma"/>
            <family val="2"/>
          </rPr>
          <t xml:space="preserve">
Adjusted Capacity based upon HF Factor</t>
        </r>
      </text>
    </comment>
    <comment ref="L3071" authorId="0" shapeId="0">
      <text>
        <r>
          <rPr>
            <b/>
            <sz val="9"/>
            <color indexed="81"/>
            <rFont val="Tahoma"/>
            <family val="2"/>
          </rPr>
          <t>Author:</t>
        </r>
        <r>
          <rPr>
            <sz val="9"/>
            <color indexed="81"/>
            <rFont val="Tahoma"/>
            <family val="2"/>
          </rPr>
          <t xml:space="preserve">
Adjusted Capacity based upon HF Factor</t>
        </r>
      </text>
    </comment>
    <comment ref="L3073" authorId="0" shapeId="0">
      <text>
        <r>
          <rPr>
            <b/>
            <sz val="9"/>
            <color indexed="81"/>
            <rFont val="Tahoma"/>
            <family val="2"/>
          </rPr>
          <t>Author:</t>
        </r>
        <r>
          <rPr>
            <sz val="9"/>
            <color indexed="81"/>
            <rFont val="Tahoma"/>
            <family val="2"/>
          </rPr>
          <t xml:space="preserve">
Adjusted Capacity based upon HF Factor</t>
        </r>
      </text>
    </comment>
    <comment ref="L3077" authorId="0" shapeId="0">
      <text>
        <r>
          <rPr>
            <b/>
            <sz val="9"/>
            <color indexed="81"/>
            <rFont val="Tahoma"/>
            <family val="2"/>
          </rPr>
          <t>Author:</t>
        </r>
        <r>
          <rPr>
            <sz val="9"/>
            <color indexed="81"/>
            <rFont val="Tahoma"/>
            <family val="2"/>
          </rPr>
          <t xml:space="preserve">
Adjusted Capacity based upon HF Factor</t>
        </r>
      </text>
    </comment>
    <comment ref="L3081" authorId="0" shapeId="0">
      <text>
        <r>
          <rPr>
            <b/>
            <sz val="9"/>
            <color indexed="81"/>
            <rFont val="Tahoma"/>
            <family val="2"/>
          </rPr>
          <t>Author:</t>
        </r>
        <r>
          <rPr>
            <sz val="9"/>
            <color indexed="81"/>
            <rFont val="Tahoma"/>
            <family val="2"/>
          </rPr>
          <t xml:space="preserve">
Adjusted Capacity based upon HF Factor</t>
        </r>
      </text>
    </comment>
    <comment ref="L3083" authorId="0" shapeId="0">
      <text>
        <r>
          <rPr>
            <b/>
            <sz val="9"/>
            <color indexed="81"/>
            <rFont val="Tahoma"/>
            <family val="2"/>
          </rPr>
          <t>Author:</t>
        </r>
        <r>
          <rPr>
            <sz val="9"/>
            <color indexed="81"/>
            <rFont val="Tahoma"/>
            <family val="2"/>
          </rPr>
          <t xml:space="preserve">
Adjusted Capacity based upon HF Factor</t>
        </r>
      </text>
    </comment>
    <comment ref="L3085" authorId="0" shapeId="0">
      <text>
        <r>
          <rPr>
            <b/>
            <sz val="9"/>
            <color indexed="81"/>
            <rFont val="Tahoma"/>
            <family val="2"/>
          </rPr>
          <t>Author:</t>
        </r>
        <r>
          <rPr>
            <sz val="9"/>
            <color indexed="81"/>
            <rFont val="Tahoma"/>
            <family val="2"/>
          </rPr>
          <t xml:space="preserve">
Adjusted Capacity based upon HF Factor</t>
        </r>
      </text>
    </comment>
    <comment ref="L3089" authorId="0" shapeId="0">
      <text>
        <r>
          <rPr>
            <b/>
            <sz val="9"/>
            <color indexed="81"/>
            <rFont val="Tahoma"/>
            <family val="2"/>
          </rPr>
          <t>Author:</t>
        </r>
        <r>
          <rPr>
            <sz val="9"/>
            <color indexed="81"/>
            <rFont val="Tahoma"/>
            <family val="2"/>
          </rPr>
          <t xml:space="preserve">
Adjusted Capacity based upon HF Factor</t>
        </r>
      </text>
    </comment>
    <comment ref="L3091" authorId="0" shapeId="0">
      <text>
        <r>
          <rPr>
            <b/>
            <sz val="9"/>
            <color indexed="81"/>
            <rFont val="Tahoma"/>
            <family val="2"/>
          </rPr>
          <t>Author:</t>
        </r>
        <r>
          <rPr>
            <sz val="9"/>
            <color indexed="81"/>
            <rFont val="Tahoma"/>
            <family val="2"/>
          </rPr>
          <t xml:space="preserve">
Adjusted Capacity based upon HF Factor</t>
        </r>
      </text>
    </comment>
    <comment ref="L3095" authorId="0" shapeId="0">
      <text>
        <r>
          <rPr>
            <b/>
            <sz val="9"/>
            <color indexed="81"/>
            <rFont val="Tahoma"/>
            <family val="2"/>
          </rPr>
          <t>Author:</t>
        </r>
        <r>
          <rPr>
            <sz val="9"/>
            <color indexed="81"/>
            <rFont val="Tahoma"/>
            <family val="2"/>
          </rPr>
          <t xml:space="preserve">
Adjusted Capacity based upon HF Factor</t>
        </r>
      </text>
    </comment>
    <comment ref="L3097" authorId="0" shapeId="0">
      <text>
        <r>
          <rPr>
            <b/>
            <sz val="9"/>
            <color indexed="81"/>
            <rFont val="Tahoma"/>
            <family val="2"/>
          </rPr>
          <t>Author:</t>
        </r>
        <r>
          <rPr>
            <sz val="9"/>
            <color indexed="81"/>
            <rFont val="Tahoma"/>
            <family val="2"/>
          </rPr>
          <t xml:space="preserve">
Adjusted Capacity based upon HF Factor</t>
        </r>
      </text>
    </comment>
    <comment ref="L3101" authorId="0" shapeId="0">
      <text>
        <r>
          <rPr>
            <b/>
            <sz val="9"/>
            <color indexed="81"/>
            <rFont val="Tahoma"/>
            <family val="2"/>
          </rPr>
          <t>Author:</t>
        </r>
        <r>
          <rPr>
            <sz val="9"/>
            <color indexed="81"/>
            <rFont val="Tahoma"/>
            <family val="2"/>
          </rPr>
          <t xml:space="preserve">
Adjusted Capacity based upon HF Factor</t>
        </r>
      </text>
    </comment>
    <comment ref="L3103" authorId="0" shapeId="0">
      <text>
        <r>
          <rPr>
            <b/>
            <sz val="9"/>
            <color indexed="81"/>
            <rFont val="Tahoma"/>
            <family val="2"/>
          </rPr>
          <t>Author:</t>
        </r>
        <r>
          <rPr>
            <sz val="9"/>
            <color indexed="81"/>
            <rFont val="Tahoma"/>
            <family val="2"/>
          </rPr>
          <t xml:space="preserve">
Adjusted Capacity based upon HF Factor</t>
        </r>
      </text>
    </comment>
    <comment ref="L3107" authorId="0" shapeId="0">
      <text>
        <r>
          <rPr>
            <b/>
            <sz val="9"/>
            <color indexed="81"/>
            <rFont val="Tahoma"/>
            <family val="2"/>
          </rPr>
          <t>Author:</t>
        </r>
        <r>
          <rPr>
            <sz val="9"/>
            <color indexed="81"/>
            <rFont val="Tahoma"/>
            <family val="2"/>
          </rPr>
          <t xml:space="preserve">
Adjusted Capacity based upon HF Factor</t>
        </r>
      </text>
    </comment>
    <comment ref="L3111" authorId="0" shapeId="0">
      <text>
        <r>
          <rPr>
            <b/>
            <sz val="9"/>
            <color indexed="81"/>
            <rFont val="Tahoma"/>
            <family val="2"/>
          </rPr>
          <t>Author:</t>
        </r>
        <r>
          <rPr>
            <sz val="9"/>
            <color indexed="81"/>
            <rFont val="Tahoma"/>
            <family val="2"/>
          </rPr>
          <t xml:space="preserve">
Adjusted Capacity based upon HF Factor</t>
        </r>
      </text>
    </comment>
    <comment ref="X3111" authorId="0" shapeId="0">
      <text>
        <r>
          <rPr>
            <b/>
            <sz val="14"/>
            <color indexed="81"/>
            <rFont val="Tahoma"/>
            <family val="2"/>
          </rPr>
          <t xml:space="preserve">These highlighted "Green" include a corrections to the forumula. It was previously pointing to an incorrect cell reference
</t>
        </r>
      </text>
    </comment>
    <comment ref="L3115" authorId="0" shapeId="0">
      <text>
        <r>
          <rPr>
            <b/>
            <sz val="9"/>
            <color indexed="81"/>
            <rFont val="Tahoma"/>
            <family val="2"/>
          </rPr>
          <t>Author:</t>
        </r>
        <r>
          <rPr>
            <sz val="9"/>
            <color indexed="81"/>
            <rFont val="Tahoma"/>
            <family val="2"/>
          </rPr>
          <t xml:space="preserve">
Adjusted Capacity based upon HF Factor</t>
        </r>
      </text>
    </comment>
    <comment ref="L3119" authorId="0" shapeId="0">
      <text>
        <r>
          <rPr>
            <b/>
            <sz val="9"/>
            <color indexed="81"/>
            <rFont val="Tahoma"/>
            <family val="2"/>
          </rPr>
          <t>Author:</t>
        </r>
        <r>
          <rPr>
            <sz val="9"/>
            <color indexed="81"/>
            <rFont val="Tahoma"/>
            <family val="2"/>
          </rPr>
          <t xml:space="preserve">
Adjusted Capacity based upon HF Factor</t>
        </r>
      </text>
    </comment>
    <comment ref="L3123" authorId="0" shapeId="0">
      <text>
        <r>
          <rPr>
            <b/>
            <sz val="9"/>
            <color indexed="81"/>
            <rFont val="Tahoma"/>
            <family val="2"/>
          </rPr>
          <t>Author:</t>
        </r>
        <r>
          <rPr>
            <sz val="9"/>
            <color indexed="81"/>
            <rFont val="Tahoma"/>
            <family val="2"/>
          </rPr>
          <t xml:space="preserve">
Adjusted Capacity based upon HF Factor</t>
        </r>
      </text>
    </comment>
    <comment ref="L3127" authorId="0" shapeId="0">
      <text>
        <r>
          <rPr>
            <b/>
            <sz val="9"/>
            <color indexed="81"/>
            <rFont val="Tahoma"/>
            <family val="2"/>
          </rPr>
          <t>Author:</t>
        </r>
        <r>
          <rPr>
            <sz val="9"/>
            <color indexed="81"/>
            <rFont val="Tahoma"/>
            <family val="2"/>
          </rPr>
          <t xml:space="preserve">
Adjusted Capacity based upon HF Factor</t>
        </r>
      </text>
    </comment>
    <comment ref="L3131" authorId="0" shapeId="0">
      <text>
        <r>
          <rPr>
            <b/>
            <sz val="9"/>
            <color indexed="81"/>
            <rFont val="Tahoma"/>
            <family val="2"/>
          </rPr>
          <t>Author:</t>
        </r>
        <r>
          <rPr>
            <sz val="9"/>
            <color indexed="81"/>
            <rFont val="Tahoma"/>
            <family val="2"/>
          </rPr>
          <t xml:space="preserve">
Adjusted Capacity based upon HF Factor</t>
        </r>
      </text>
    </comment>
    <comment ref="L3135" authorId="0" shapeId="0">
      <text>
        <r>
          <rPr>
            <b/>
            <sz val="9"/>
            <color indexed="81"/>
            <rFont val="Tahoma"/>
            <family val="2"/>
          </rPr>
          <t>Author:</t>
        </r>
        <r>
          <rPr>
            <sz val="9"/>
            <color indexed="81"/>
            <rFont val="Tahoma"/>
            <family val="2"/>
          </rPr>
          <t xml:space="preserve">
Adjusted Capacity based upon HF Factor</t>
        </r>
      </text>
    </comment>
    <comment ref="L3139" authorId="0" shapeId="0">
      <text>
        <r>
          <rPr>
            <b/>
            <sz val="9"/>
            <color indexed="81"/>
            <rFont val="Tahoma"/>
            <family val="2"/>
          </rPr>
          <t>Author:</t>
        </r>
        <r>
          <rPr>
            <sz val="9"/>
            <color indexed="81"/>
            <rFont val="Tahoma"/>
            <family val="2"/>
          </rPr>
          <t xml:space="preserve">
Adjusted Capacity based upon HF Factor</t>
        </r>
      </text>
    </comment>
    <comment ref="L3143" authorId="0" shapeId="0">
      <text>
        <r>
          <rPr>
            <b/>
            <sz val="9"/>
            <color indexed="81"/>
            <rFont val="Tahoma"/>
            <family val="2"/>
          </rPr>
          <t>Author:</t>
        </r>
        <r>
          <rPr>
            <sz val="9"/>
            <color indexed="81"/>
            <rFont val="Tahoma"/>
            <family val="2"/>
          </rPr>
          <t xml:space="preserve">
Adjusted Capacity based upon HF Factor</t>
        </r>
      </text>
    </comment>
    <comment ref="L3145" authorId="0" shapeId="0">
      <text>
        <r>
          <rPr>
            <b/>
            <sz val="9"/>
            <color indexed="81"/>
            <rFont val="Tahoma"/>
            <family val="2"/>
          </rPr>
          <t>Author:</t>
        </r>
        <r>
          <rPr>
            <sz val="9"/>
            <color indexed="81"/>
            <rFont val="Tahoma"/>
            <family val="2"/>
          </rPr>
          <t xml:space="preserve">
Adjusted Capacity based upon HF Factor</t>
        </r>
      </text>
    </comment>
    <comment ref="L3149" authorId="0" shapeId="0">
      <text>
        <r>
          <rPr>
            <b/>
            <sz val="9"/>
            <color indexed="81"/>
            <rFont val="Tahoma"/>
            <family val="2"/>
          </rPr>
          <t>Author:</t>
        </r>
        <r>
          <rPr>
            <sz val="9"/>
            <color indexed="81"/>
            <rFont val="Tahoma"/>
            <family val="2"/>
          </rPr>
          <t xml:space="preserve">
Adjusted Capacity based upon HF Factor</t>
        </r>
      </text>
    </comment>
    <comment ref="L3153" authorId="0" shapeId="0">
      <text>
        <r>
          <rPr>
            <b/>
            <sz val="9"/>
            <color indexed="81"/>
            <rFont val="Tahoma"/>
            <family val="2"/>
          </rPr>
          <t>Author:</t>
        </r>
        <r>
          <rPr>
            <sz val="9"/>
            <color indexed="81"/>
            <rFont val="Tahoma"/>
            <family val="2"/>
          </rPr>
          <t xml:space="preserve">
Adjusted Capacity based upon HF Factor</t>
        </r>
      </text>
    </comment>
    <comment ref="L3157" authorId="0" shapeId="0">
      <text>
        <r>
          <rPr>
            <b/>
            <sz val="9"/>
            <color indexed="81"/>
            <rFont val="Tahoma"/>
            <family val="2"/>
          </rPr>
          <t>Author:</t>
        </r>
        <r>
          <rPr>
            <sz val="9"/>
            <color indexed="81"/>
            <rFont val="Tahoma"/>
            <family val="2"/>
          </rPr>
          <t xml:space="preserve">
Adjusted Capacity based upon HF Factor</t>
        </r>
      </text>
    </comment>
    <comment ref="L3159" authorId="0" shapeId="0">
      <text>
        <r>
          <rPr>
            <b/>
            <sz val="9"/>
            <color indexed="81"/>
            <rFont val="Tahoma"/>
            <family val="2"/>
          </rPr>
          <t>Author:</t>
        </r>
        <r>
          <rPr>
            <sz val="9"/>
            <color indexed="81"/>
            <rFont val="Tahoma"/>
            <family val="2"/>
          </rPr>
          <t xml:space="preserve">
Adjusted Capacity based upon HF Factor</t>
        </r>
      </text>
    </comment>
    <comment ref="L3161" authorId="0" shapeId="0">
      <text>
        <r>
          <rPr>
            <b/>
            <sz val="9"/>
            <color indexed="81"/>
            <rFont val="Tahoma"/>
            <family val="2"/>
          </rPr>
          <t>Author:</t>
        </r>
        <r>
          <rPr>
            <sz val="9"/>
            <color indexed="81"/>
            <rFont val="Tahoma"/>
            <family val="2"/>
          </rPr>
          <t xml:space="preserve">
Adjusted Capacity based upon HF Factor</t>
        </r>
      </text>
    </comment>
    <comment ref="L3165" authorId="0" shapeId="0">
      <text>
        <r>
          <rPr>
            <b/>
            <sz val="9"/>
            <color indexed="81"/>
            <rFont val="Tahoma"/>
            <family val="2"/>
          </rPr>
          <t>Author:</t>
        </r>
        <r>
          <rPr>
            <sz val="9"/>
            <color indexed="81"/>
            <rFont val="Tahoma"/>
            <family val="2"/>
          </rPr>
          <t xml:space="preserve">
Adjusted Capacity based upon HF Factor</t>
        </r>
      </text>
    </comment>
    <comment ref="L3167" authorId="0" shapeId="0">
      <text>
        <r>
          <rPr>
            <b/>
            <sz val="9"/>
            <color indexed="81"/>
            <rFont val="Tahoma"/>
            <family val="2"/>
          </rPr>
          <t>Author:</t>
        </r>
        <r>
          <rPr>
            <sz val="9"/>
            <color indexed="81"/>
            <rFont val="Tahoma"/>
            <family val="2"/>
          </rPr>
          <t xml:space="preserve">
Adjusted Capacity based upon HF Factor</t>
        </r>
      </text>
    </comment>
    <comment ref="L3169" authorId="0" shapeId="0">
      <text>
        <r>
          <rPr>
            <b/>
            <sz val="9"/>
            <color indexed="81"/>
            <rFont val="Tahoma"/>
            <family val="2"/>
          </rPr>
          <t>Author:</t>
        </r>
        <r>
          <rPr>
            <sz val="9"/>
            <color indexed="81"/>
            <rFont val="Tahoma"/>
            <family val="2"/>
          </rPr>
          <t xml:space="preserve">
Adjusted Capacity based upon HF Factor</t>
        </r>
      </text>
    </comment>
    <comment ref="L3171" authorId="0" shapeId="0">
      <text>
        <r>
          <rPr>
            <b/>
            <sz val="9"/>
            <color indexed="81"/>
            <rFont val="Tahoma"/>
            <family val="2"/>
          </rPr>
          <t>Author:</t>
        </r>
        <r>
          <rPr>
            <sz val="9"/>
            <color indexed="81"/>
            <rFont val="Tahoma"/>
            <family val="2"/>
          </rPr>
          <t xml:space="preserve">
Adjusted Capacity based upon HF Factor</t>
        </r>
      </text>
    </comment>
    <comment ref="L3173"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7" authorId="0" shapeId="0">
      <text>
        <r>
          <rPr>
            <b/>
            <sz val="9"/>
            <color indexed="81"/>
            <rFont val="Tahoma"/>
            <family val="2"/>
          </rPr>
          <t>updated to per sq ft. basis</t>
        </r>
        <r>
          <rPr>
            <sz val="9"/>
            <color indexed="81"/>
            <rFont val="Tahoma"/>
            <family val="2"/>
          </rPr>
          <t xml:space="preserve">
</t>
        </r>
      </text>
    </comment>
    <comment ref="Y404" authorId="0" shapeId="0">
      <text>
        <r>
          <rPr>
            <b/>
            <sz val="9"/>
            <color indexed="81"/>
            <rFont val="Tahoma"/>
            <family val="2"/>
          </rPr>
          <t>based upon a per sq. ft basis</t>
        </r>
        <r>
          <rPr>
            <sz val="9"/>
            <color indexed="81"/>
            <rFont val="Tahoma"/>
            <family val="2"/>
          </rPr>
          <t xml:space="preserve">
</t>
        </r>
      </text>
    </comment>
    <comment ref="Y438" authorId="0" shapeId="0">
      <text>
        <r>
          <rPr>
            <b/>
            <sz val="9"/>
            <color indexed="81"/>
            <rFont val="Tahoma"/>
            <family val="2"/>
          </rPr>
          <t>changed to a per square foot value rather than per average size home</t>
        </r>
      </text>
    </comment>
    <comment ref="Y459" authorId="0" shapeId="0">
      <text>
        <r>
          <rPr>
            <b/>
            <sz val="9"/>
            <color indexed="81"/>
            <rFont val="Tahoma"/>
            <family val="2"/>
          </rPr>
          <t>updated to per square ft. basis</t>
        </r>
        <r>
          <rPr>
            <sz val="9"/>
            <color indexed="81"/>
            <rFont val="Tahoma"/>
            <family val="2"/>
          </rPr>
          <t xml:space="preserve">
</t>
        </r>
      </text>
    </comment>
    <comment ref="Y474" authorId="0" shapeId="0">
      <text>
        <r>
          <rPr>
            <b/>
            <sz val="9"/>
            <color indexed="81"/>
            <rFont val="Tahoma"/>
            <family val="2"/>
          </rPr>
          <t>updated to per square ft. basis</t>
        </r>
        <r>
          <rPr>
            <sz val="9"/>
            <color indexed="81"/>
            <rFont val="Tahoma"/>
            <family val="2"/>
          </rPr>
          <t xml:space="preserve">
</t>
        </r>
      </text>
    </comment>
    <comment ref="X49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2" authorId="0" shapeId="0">
      <text>
        <r>
          <rPr>
            <b/>
            <sz val="9"/>
            <color indexed="81"/>
            <rFont val="Tahoma"/>
            <family val="2"/>
          </rPr>
          <t>In PY2017 this was included in the ISR rate.</t>
        </r>
        <r>
          <rPr>
            <sz val="9"/>
            <color indexed="81"/>
            <rFont val="Tahoma"/>
            <family val="2"/>
          </rPr>
          <t xml:space="preserve">
</t>
        </r>
      </text>
    </comment>
    <comment ref="Y502" authorId="0" shapeId="0">
      <text>
        <r>
          <rPr>
            <b/>
            <sz val="9"/>
            <color indexed="81"/>
            <rFont val="Tahoma"/>
            <family val="2"/>
          </rPr>
          <t xml:space="preserve"> included in the ISR rate.</t>
        </r>
        <r>
          <rPr>
            <sz val="9"/>
            <color indexed="81"/>
            <rFont val="Tahoma"/>
            <family val="2"/>
          </rPr>
          <t xml:space="preserve">
</t>
        </r>
      </text>
    </comment>
    <comment ref="Y544" authorId="0" shapeId="0">
      <text>
        <r>
          <rPr>
            <b/>
            <sz val="9"/>
            <color indexed="81"/>
            <rFont val="Tahoma"/>
            <family val="2"/>
          </rPr>
          <t>updated to per foot basis</t>
        </r>
        <r>
          <rPr>
            <sz val="9"/>
            <color indexed="81"/>
            <rFont val="Tahoma"/>
            <family val="2"/>
          </rPr>
          <t xml:space="preserve">
</t>
        </r>
      </text>
    </comment>
    <comment ref="Y583" authorId="0" shapeId="0">
      <text>
        <r>
          <rPr>
            <b/>
            <sz val="9"/>
            <color indexed="81"/>
            <rFont val="Tahoma"/>
            <family val="2"/>
          </rPr>
          <t>updated to per square foot basis</t>
        </r>
      </text>
    </comment>
    <comment ref="I589" authorId="0" shapeId="0">
      <text>
        <r>
          <rPr>
            <b/>
            <sz val="9"/>
            <color indexed="81"/>
            <rFont val="Tahoma"/>
            <family val="2"/>
          </rPr>
          <t xml:space="preserve">Opinion Dynamics:
</t>
        </r>
        <r>
          <rPr>
            <sz val="9"/>
            <color indexed="81"/>
            <rFont val="Tahoma"/>
            <family val="2"/>
          </rPr>
          <t xml:space="preserve">Added ISR (100%) in December 2020 update
</t>
        </r>
      </text>
    </comment>
    <comment ref="Y626" authorId="0" shapeId="0">
      <text>
        <r>
          <rPr>
            <b/>
            <sz val="9"/>
            <color indexed="81"/>
            <rFont val="Tahoma"/>
            <family val="2"/>
          </rPr>
          <t>This value is not new just including it in the input table (previously only shown in the equation)</t>
        </r>
      </text>
    </comment>
    <comment ref="Y635" authorId="0" shapeId="0">
      <text>
        <r>
          <rPr>
            <b/>
            <sz val="9"/>
            <color indexed="81"/>
            <rFont val="Tahoma"/>
            <family val="2"/>
          </rPr>
          <t>This value is not new just including it in the input table (previously only shown in the equation)</t>
        </r>
      </text>
    </comment>
    <comment ref="Y638" authorId="0" shapeId="0">
      <text>
        <r>
          <rPr>
            <b/>
            <sz val="9"/>
            <color indexed="81"/>
            <rFont val="Tahoma"/>
            <family val="2"/>
          </rPr>
          <t>This value is not new just including it in the input table (previously only shown in the equation)</t>
        </r>
      </text>
    </comment>
    <comment ref="Y642" authorId="0" shapeId="0">
      <text>
        <r>
          <rPr>
            <b/>
            <sz val="9"/>
            <color indexed="81"/>
            <rFont val="Tahoma"/>
            <family val="2"/>
          </rPr>
          <t>This value is not new just including it in the input table (previously only shown in the equation)</t>
        </r>
      </text>
    </comment>
    <comment ref="M645" authorId="0" shapeId="0">
      <text>
        <r>
          <rPr>
            <b/>
            <sz val="9"/>
            <color indexed="81"/>
            <rFont val="Tahoma"/>
            <family val="2"/>
          </rPr>
          <t>Same table is in HVAC and MFMR deemed tables</t>
        </r>
        <r>
          <rPr>
            <sz val="9"/>
            <color indexed="81"/>
            <rFont val="Tahoma"/>
            <family val="2"/>
          </rPr>
          <t xml:space="preserve">
</t>
        </r>
      </text>
    </comment>
    <comment ref="I64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4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4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4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56" authorId="0" shapeId="0">
      <text>
        <r>
          <rPr>
            <b/>
            <sz val="9"/>
            <color indexed="81"/>
            <rFont val="Tahoma"/>
            <family val="2"/>
          </rPr>
          <t>Formula updated</t>
        </r>
        <r>
          <rPr>
            <sz val="9"/>
            <color indexed="81"/>
            <rFont val="Tahoma"/>
            <family val="2"/>
          </rPr>
          <t xml:space="preserve">
</t>
        </r>
      </text>
    </comment>
    <comment ref="C687" authorId="0" shapeId="0">
      <text>
        <r>
          <rPr>
            <b/>
            <sz val="9"/>
            <color indexed="81"/>
            <rFont val="Tahoma"/>
            <family val="2"/>
          </rPr>
          <t>In PY19 TRM update this was 403300 (Same as prior measure)</t>
        </r>
      </text>
    </comment>
    <comment ref="X695"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43" authorId="0" shapeId="0">
      <text>
        <r>
          <rPr>
            <b/>
            <sz val="9"/>
            <color indexed="81"/>
            <rFont val="Tahoma"/>
            <family val="2"/>
          </rPr>
          <t>Author:</t>
        </r>
        <r>
          <rPr>
            <sz val="9"/>
            <color indexed="81"/>
            <rFont val="Tahoma"/>
            <family val="2"/>
          </rPr>
          <t xml:space="preserve">
changed "showerhead' to "aerator"</t>
        </r>
      </text>
    </comment>
    <comment ref="E745" authorId="0" shapeId="0">
      <text>
        <r>
          <rPr>
            <b/>
            <sz val="9"/>
            <color indexed="81"/>
            <rFont val="Tahoma"/>
            <family val="2"/>
          </rPr>
          <t>Author:</t>
        </r>
        <r>
          <rPr>
            <sz val="9"/>
            <color indexed="81"/>
            <rFont val="Tahoma"/>
            <family val="2"/>
          </rPr>
          <t xml:space="preserve">
changed "showerhead' to "aerator"</t>
        </r>
      </text>
    </comment>
    <comment ref="W74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48" authorId="0" shapeId="0">
      <text>
        <r>
          <rPr>
            <b/>
            <sz val="9"/>
            <color indexed="81"/>
            <rFont val="Tahoma"/>
            <family val="2"/>
          </rPr>
          <t xml:space="preserve">No Drain factor included in PY2017 EM&amp;V results
</t>
        </r>
      </text>
    </comment>
    <comment ref="W75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58" authorId="0" shapeId="0">
      <text>
        <r>
          <rPr>
            <b/>
            <sz val="9"/>
            <color indexed="81"/>
            <rFont val="Tahoma"/>
            <family val="2"/>
          </rPr>
          <t>These original values appear to be flipped - would assume DI would be 100%</t>
        </r>
      </text>
    </comment>
    <comment ref="W759" authorId="0" shapeId="0">
      <text>
        <r>
          <rPr>
            <b/>
            <sz val="9"/>
            <color indexed="81"/>
            <rFont val="Tahoma"/>
            <family val="2"/>
          </rPr>
          <t>Missouri TRM</t>
        </r>
        <r>
          <rPr>
            <sz val="9"/>
            <color indexed="81"/>
            <rFont val="Tahoma"/>
            <family val="2"/>
          </rPr>
          <t xml:space="preserve">
</t>
        </r>
      </text>
    </comment>
    <comment ref="E782" authorId="0" shapeId="0">
      <text>
        <r>
          <rPr>
            <b/>
            <sz val="9"/>
            <color indexed="81"/>
            <rFont val="Tahoma"/>
            <family val="2"/>
          </rPr>
          <t>Author:</t>
        </r>
        <r>
          <rPr>
            <sz val="9"/>
            <color indexed="81"/>
            <rFont val="Tahoma"/>
            <family val="2"/>
          </rPr>
          <t xml:space="preserve">
changed "showerhead' to "aerator"</t>
        </r>
      </text>
    </comment>
    <comment ref="E784" authorId="0" shapeId="0">
      <text>
        <r>
          <rPr>
            <b/>
            <sz val="9"/>
            <color indexed="81"/>
            <rFont val="Tahoma"/>
            <family val="2"/>
          </rPr>
          <t>Author:</t>
        </r>
        <r>
          <rPr>
            <sz val="9"/>
            <color indexed="81"/>
            <rFont val="Tahoma"/>
            <family val="2"/>
          </rPr>
          <t xml:space="preserve">
changed "showerhead' to "aerator"</t>
        </r>
      </text>
    </comment>
    <comment ref="V82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2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24" authorId="0" shapeId="0">
      <text>
        <r>
          <rPr>
            <b/>
            <sz val="9"/>
            <color indexed="81"/>
            <rFont val="Tahoma"/>
            <family val="2"/>
          </rPr>
          <t>Author:</t>
        </r>
        <r>
          <rPr>
            <sz val="9"/>
            <color indexed="81"/>
            <rFont val="Tahoma"/>
            <family val="2"/>
          </rPr>
          <t xml:space="preserve">
Showerhead pivot tab cell E428</t>
        </r>
      </text>
    </comment>
    <comment ref="V824" authorId="0" shapeId="0">
      <text>
        <r>
          <rPr>
            <b/>
            <sz val="9"/>
            <color indexed="81"/>
            <rFont val="Tahoma"/>
            <family val="2"/>
          </rPr>
          <t>PY2016 Program Data, per Community Saves 2016 EM&amp;V report. </t>
        </r>
        <r>
          <rPr>
            <sz val="9"/>
            <color indexed="81"/>
            <rFont val="Tahoma"/>
            <family val="2"/>
          </rPr>
          <t xml:space="preserve">
</t>
        </r>
      </text>
    </comment>
    <comment ref="X824" authorId="0" shapeId="0">
      <text>
        <r>
          <rPr>
            <b/>
            <sz val="9"/>
            <color indexed="81"/>
            <rFont val="Tahoma"/>
            <family val="2"/>
          </rPr>
          <t>PY2017  Community Savers Site Visit Data and Ride Along Data (ADM only provided the delta GPM, not the base and efficient values)</t>
        </r>
      </text>
    </comment>
    <comment ref="G826" authorId="0" shapeId="0">
      <text>
        <r>
          <rPr>
            <b/>
            <sz val="9"/>
            <color indexed="81"/>
            <rFont val="Tahoma"/>
            <family val="2"/>
          </rPr>
          <t>Author:</t>
        </r>
        <r>
          <rPr>
            <sz val="9"/>
            <color indexed="81"/>
            <rFont val="Tahoma"/>
            <family val="2"/>
          </rPr>
          <t xml:space="preserve">
Showerhead pivot tab cell E428</t>
        </r>
      </text>
    </comment>
    <comment ref="W827" authorId="0" shapeId="0">
      <text>
        <r>
          <rPr>
            <b/>
            <sz val="9"/>
            <color indexed="81"/>
            <rFont val="Tahoma"/>
            <family val="2"/>
          </rPr>
          <t>Missouri TRM</t>
        </r>
      </text>
    </comment>
    <comment ref="W83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44" authorId="0" shapeId="0">
      <text>
        <r>
          <rPr>
            <b/>
            <sz val="9"/>
            <color indexed="81"/>
            <rFont val="Tahoma"/>
            <family val="2"/>
          </rPr>
          <t>PY19 Actual</t>
        </r>
        <r>
          <rPr>
            <sz val="9"/>
            <color indexed="81"/>
            <rFont val="Tahoma"/>
            <family val="2"/>
          </rPr>
          <t xml:space="preserve">
</t>
        </r>
      </text>
    </comment>
    <comment ref="Y845" authorId="0" shapeId="0">
      <text>
        <r>
          <rPr>
            <b/>
            <sz val="9"/>
            <color indexed="81"/>
            <rFont val="Tahoma"/>
            <family val="2"/>
          </rPr>
          <t>added handheld showerhead option</t>
        </r>
      </text>
    </comment>
    <comment ref="Y846" authorId="0" shapeId="0">
      <text>
        <r>
          <rPr>
            <b/>
            <sz val="9"/>
            <color indexed="81"/>
            <rFont val="Tahoma"/>
            <family val="2"/>
          </rPr>
          <t>combination of $7 from IL TRM and difference in actual DI costs</t>
        </r>
        <r>
          <rPr>
            <sz val="9"/>
            <color indexed="81"/>
            <rFont val="Tahoma"/>
            <family val="2"/>
          </rPr>
          <t xml:space="preserve">
</t>
        </r>
      </text>
    </comment>
    <comment ref="W86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56" authorId="0" shapeId="0">
      <text>
        <r>
          <rPr>
            <b/>
            <sz val="9"/>
            <color indexed="81"/>
            <rFont val="Tahoma"/>
            <family val="2"/>
          </rPr>
          <t>MO TRM</t>
        </r>
      </text>
    </comment>
    <comment ref="X958" authorId="0" shapeId="0">
      <text>
        <r>
          <rPr>
            <b/>
            <sz val="9"/>
            <color indexed="81"/>
            <rFont val="Tahoma"/>
            <family val="2"/>
          </rPr>
          <t>no adjustment as these did not align in same manner with ADM formula</t>
        </r>
        <r>
          <rPr>
            <sz val="9"/>
            <color indexed="81"/>
            <rFont val="Tahoma"/>
            <family val="2"/>
          </rPr>
          <t xml:space="preserve">
</t>
        </r>
      </text>
    </comment>
    <comment ref="Y958" authorId="0" shapeId="0">
      <text>
        <r>
          <rPr>
            <b/>
            <sz val="9"/>
            <color indexed="81"/>
            <rFont val="Tahoma"/>
            <family val="2"/>
          </rPr>
          <t>no adjustment as these did not align in same manner with ADM formula</t>
        </r>
        <r>
          <rPr>
            <sz val="9"/>
            <color indexed="81"/>
            <rFont val="Tahoma"/>
            <family val="2"/>
          </rPr>
          <t xml:space="preserve">
</t>
        </r>
      </text>
    </comment>
    <comment ref="W1127" authorId="0" shapeId="0">
      <text>
        <r>
          <rPr>
            <b/>
            <sz val="9"/>
            <color indexed="81"/>
            <rFont val="Tahoma"/>
            <family val="2"/>
          </rPr>
          <t xml:space="preserve">Bulb-type and lumen look-up in Energy Star database
</t>
        </r>
      </text>
    </comment>
    <comment ref="W1129" authorId="0" shapeId="0">
      <text>
        <r>
          <rPr>
            <b/>
            <sz val="9"/>
            <color indexed="81"/>
            <rFont val="Tahoma"/>
            <family val="2"/>
          </rPr>
          <t xml:space="preserve">Matched to nearest EE wattage in TRM wattage table
</t>
        </r>
        <r>
          <rPr>
            <sz val="9"/>
            <color indexed="81"/>
            <rFont val="Tahoma"/>
            <family val="2"/>
          </rPr>
          <t xml:space="preserve">
</t>
        </r>
      </text>
    </comment>
    <comment ref="W1130" authorId="0" shapeId="0">
      <text>
        <r>
          <rPr>
            <b/>
            <sz val="9"/>
            <color indexed="81"/>
            <rFont val="Tahoma"/>
            <family val="2"/>
          </rPr>
          <t>Bulb-type and lumen look-up in Energy Star database</t>
        </r>
      </text>
    </comment>
    <comment ref="W1132" authorId="0" shapeId="0">
      <text>
        <r>
          <rPr>
            <b/>
            <sz val="9"/>
            <color indexed="81"/>
            <rFont val="Tahoma"/>
            <family val="2"/>
          </rPr>
          <t xml:space="preserve">Bulb-type and lumen look-up in Energy Star database
</t>
        </r>
        <r>
          <rPr>
            <sz val="9"/>
            <color indexed="81"/>
            <rFont val="Tahoma"/>
            <family val="2"/>
          </rPr>
          <t xml:space="preserve">
</t>
        </r>
      </text>
    </comment>
    <comment ref="W1134" authorId="0" shapeId="0">
      <text>
        <r>
          <rPr>
            <b/>
            <sz val="9"/>
            <color indexed="81"/>
            <rFont val="Tahoma"/>
            <family val="2"/>
          </rPr>
          <t>Bulb-type and lumen look-up in Energy Star database</t>
        </r>
      </text>
    </comment>
    <comment ref="W1138" authorId="0" shapeId="0">
      <text>
        <r>
          <rPr>
            <b/>
            <sz val="9"/>
            <color indexed="81"/>
            <rFont val="Tahoma"/>
            <family val="2"/>
          </rPr>
          <t xml:space="preserve">Bulb-type and lumen look-up in Energy Star database
</t>
        </r>
        <r>
          <rPr>
            <sz val="9"/>
            <color indexed="81"/>
            <rFont val="Tahoma"/>
            <family val="2"/>
          </rPr>
          <t xml:space="preserve">
</t>
        </r>
      </text>
    </comment>
    <comment ref="W1150" authorId="0" shapeId="0">
      <text>
        <r>
          <rPr>
            <b/>
            <sz val="9"/>
            <color indexed="81"/>
            <rFont val="Tahoma"/>
            <family val="2"/>
          </rPr>
          <t>Program Wattage</t>
        </r>
        <r>
          <rPr>
            <sz val="9"/>
            <color indexed="81"/>
            <rFont val="Tahoma"/>
            <family val="2"/>
          </rPr>
          <t xml:space="preserve">
</t>
        </r>
      </text>
    </comment>
    <comment ref="W1151" authorId="0" shapeId="0">
      <text>
        <r>
          <rPr>
            <b/>
            <sz val="9"/>
            <color indexed="81"/>
            <rFont val="Tahoma"/>
            <family val="2"/>
          </rPr>
          <t>Program Wattage</t>
        </r>
        <r>
          <rPr>
            <sz val="9"/>
            <color indexed="81"/>
            <rFont val="Tahoma"/>
            <family val="2"/>
          </rPr>
          <t xml:space="preserve">
</t>
        </r>
      </text>
    </comment>
    <comment ref="W1152" authorId="0" shapeId="0">
      <text>
        <r>
          <rPr>
            <b/>
            <sz val="9"/>
            <color indexed="81"/>
            <rFont val="Tahoma"/>
            <family val="2"/>
          </rPr>
          <t>Program Wattage</t>
        </r>
        <r>
          <rPr>
            <sz val="9"/>
            <color indexed="81"/>
            <rFont val="Tahoma"/>
            <family val="2"/>
          </rPr>
          <t xml:space="preserve">
</t>
        </r>
      </text>
    </comment>
    <comment ref="W1153" authorId="0" shapeId="0">
      <text>
        <r>
          <rPr>
            <b/>
            <sz val="9"/>
            <color indexed="81"/>
            <rFont val="Tahoma"/>
            <family val="2"/>
          </rPr>
          <t>Program Wattage</t>
        </r>
        <r>
          <rPr>
            <sz val="9"/>
            <color indexed="81"/>
            <rFont val="Tahoma"/>
            <family val="2"/>
          </rPr>
          <t xml:space="preserve">
</t>
        </r>
      </text>
    </comment>
    <comment ref="W1154" authorId="0" shapeId="0">
      <text>
        <r>
          <rPr>
            <b/>
            <sz val="9"/>
            <color indexed="81"/>
            <rFont val="Tahoma"/>
            <family val="2"/>
          </rPr>
          <t>Program Wattage</t>
        </r>
        <r>
          <rPr>
            <sz val="9"/>
            <color indexed="81"/>
            <rFont val="Tahoma"/>
            <family val="2"/>
          </rPr>
          <t xml:space="preserve">
</t>
        </r>
      </text>
    </comment>
    <comment ref="W1156" authorId="0" shapeId="0">
      <text>
        <r>
          <rPr>
            <b/>
            <sz val="9"/>
            <color indexed="81"/>
            <rFont val="Tahoma"/>
            <family val="2"/>
          </rPr>
          <t>Program Wattage</t>
        </r>
        <r>
          <rPr>
            <sz val="9"/>
            <color indexed="81"/>
            <rFont val="Tahoma"/>
            <family val="2"/>
          </rPr>
          <t xml:space="preserve">
</t>
        </r>
      </text>
    </comment>
    <comment ref="W1157" authorId="0" shapeId="0">
      <text>
        <r>
          <rPr>
            <b/>
            <sz val="9"/>
            <color indexed="81"/>
            <rFont val="Tahoma"/>
            <family val="2"/>
          </rPr>
          <t>Bulb-type and lumen look-up in Energy Star database</t>
        </r>
        <r>
          <rPr>
            <sz val="9"/>
            <color indexed="81"/>
            <rFont val="Tahoma"/>
            <family val="2"/>
          </rPr>
          <t xml:space="preserve">
</t>
        </r>
      </text>
    </comment>
    <comment ref="W1158" authorId="0" shapeId="0">
      <text>
        <r>
          <rPr>
            <b/>
            <sz val="9"/>
            <color indexed="81"/>
            <rFont val="Tahoma"/>
            <family val="2"/>
          </rPr>
          <t>Bulb-type and lumen look-up in Energy Star database</t>
        </r>
        <r>
          <rPr>
            <sz val="9"/>
            <color indexed="81"/>
            <rFont val="Tahoma"/>
            <family val="2"/>
          </rPr>
          <t xml:space="preserve">
</t>
        </r>
      </text>
    </comment>
    <comment ref="W1159" authorId="0" shapeId="0">
      <text>
        <r>
          <rPr>
            <b/>
            <sz val="9"/>
            <color indexed="81"/>
            <rFont val="Tahoma"/>
            <family val="2"/>
          </rPr>
          <t>Bulb-type and lumen look-up in Energy Star database</t>
        </r>
        <r>
          <rPr>
            <sz val="9"/>
            <color indexed="81"/>
            <rFont val="Tahoma"/>
            <family val="2"/>
          </rPr>
          <t xml:space="preserve">
</t>
        </r>
      </text>
    </comment>
    <comment ref="W1160" authorId="0" shapeId="0">
      <text>
        <r>
          <rPr>
            <b/>
            <sz val="9"/>
            <color indexed="81"/>
            <rFont val="Tahoma"/>
            <family val="2"/>
          </rPr>
          <t>Bulb-type and lumen look-up in Energy Star database</t>
        </r>
        <r>
          <rPr>
            <sz val="9"/>
            <color indexed="81"/>
            <rFont val="Tahoma"/>
            <family val="2"/>
          </rPr>
          <t xml:space="preserve">
</t>
        </r>
      </text>
    </comment>
    <comment ref="W1161" authorId="0" shapeId="0">
      <text>
        <r>
          <rPr>
            <b/>
            <sz val="9"/>
            <color indexed="81"/>
            <rFont val="Tahoma"/>
            <family val="2"/>
          </rPr>
          <t>Bulb-type and lumen look-up in Energy Star database</t>
        </r>
        <r>
          <rPr>
            <sz val="9"/>
            <color indexed="81"/>
            <rFont val="Tahoma"/>
            <family val="2"/>
          </rPr>
          <t xml:space="preserve">
</t>
        </r>
      </text>
    </comment>
    <comment ref="W1162" authorId="0" shapeId="0">
      <text>
        <r>
          <rPr>
            <b/>
            <sz val="9"/>
            <color indexed="81"/>
            <rFont val="Tahoma"/>
            <family val="2"/>
          </rPr>
          <t>Bulb-type and lumen look-up in Energy Star database</t>
        </r>
        <r>
          <rPr>
            <sz val="9"/>
            <color indexed="81"/>
            <rFont val="Tahoma"/>
            <family val="2"/>
          </rPr>
          <t xml:space="preserve">
</t>
        </r>
      </text>
    </comment>
    <comment ref="W1163" authorId="0" shapeId="0">
      <text>
        <r>
          <rPr>
            <b/>
            <sz val="9"/>
            <color indexed="81"/>
            <rFont val="Tahoma"/>
            <family val="2"/>
          </rPr>
          <t>Bulb-type and lumen look-up in Energy Star database</t>
        </r>
        <r>
          <rPr>
            <sz val="9"/>
            <color indexed="81"/>
            <rFont val="Tahoma"/>
            <family val="2"/>
          </rPr>
          <t xml:space="preserve">
</t>
        </r>
      </text>
    </comment>
    <comment ref="W1164" authorId="0" shapeId="0">
      <text>
        <r>
          <rPr>
            <b/>
            <sz val="9"/>
            <color indexed="81"/>
            <rFont val="Tahoma"/>
            <family val="2"/>
          </rPr>
          <t>Bulb-type and lumen look-up in Energy Star database</t>
        </r>
        <r>
          <rPr>
            <sz val="9"/>
            <color indexed="81"/>
            <rFont val="Tahoma"/>
            <family val="2"/>
          </rPr>
          <t xml:space="preserve">
</t>
        </r>
      </text>
    </comment>
    <comment ref="W1165" authorId="0" shapeId="0">
      <text>
        <r>
          <rPr>
            <b/>
            <sz val="9"/>
            <color indexed="81"/>
            <rFont val="Tahoma"/>
            <family val="2"/>
          </rPr>
          <t>Bulb-type and lumen look-up in Energy Star database</t>
        </r>
        <r>
          <rPr>
            <sz val="9"/>
            <color indexed="81"/>
            <rFont val="Tahoma"/>
            <family val="2"/>
          </rPr>
          <t xml:space="preserve">
</t>
        </r>
      </text>
    </comment>
    <comment ref="W1166" authorId="0" shapeId="0">
      <text>
        <r>
          <rPr>
            <b/>
            <sz val="9"/>
            <color indexed="81"/>
            <rFont val="Tahoma"/>
            <family val="2"/>
          </rPr>
          <t>Bulb-type and lumen look-up in Energy Star database</t>
        </r>
        <r>
          <rPr>
            <sz val="9"/>
            <color indexed="81"/>
            <rFont val="Tahoma"/>
            <family val="2"/>
          </rPr>
          <t xml:space="preserve">
</t>
        </r>
      </text>
    </comment>
    <comment ref="W1167" authorId="0" shapeId="0">
      <text>
        <r>
          <rPr>
            <b/>
            <sz val="9"/>
            <color indexed="81"/>
            <rFont val="Tahoma"/>
            <family val="2"/>
          </rPr>
          <t>Bulb-type and lumen look-up in Energy Star database</t>
        </r>
        <r>
          <rPr>
            <sz val="9"/>
            <color indexed="81"/>
            <rFont val="Tahoma"/>
            <family val="2"/>
          </rPr>
          <t xml:space="preserve">
</t>
        </r>
      </text>
    </comment>
    <comment ref="W1169" authorId="0" shapeId="0">
      <text>
        <r>
          <rPr>
            <b/>
            <sz val="9"/>
            <color indexed="81"/>
            <rFont val="Tahoma"/>
            <family val="2"/>
          </rPr>
          <t>Bulb-type and lumen look-up in Energy Star database</t>
        </r>
        <r>
          <rPr>
            <sz val="9"/>
            <color indexed="81"/>
            <rFont val="Tahoma"/>
            <family val="2"/>
          </rPr>
          <t xml:space="preserve">
</t>
        </r>
      </text>
    </comment>
    <comment ref="W1170" authorId="0" shapeId="0">
      <text>
        <r>
          <rPr>
            <b/>
            <sz val="9"/>
            <color indexed="81"/>
            <rFont val="Tahoma"/>
            <family val="2"/>
          </rPr>
          <t>Bulb-type and lumen look-up in Energy Star database</t>
        </r>
        <r>
          <rPr>
            <sz val="9"/>
            <color indexed="81"/>
            <rFont val="Tahoma"/>
            <family val="2"/>
          </rPr>
          <t xml:space="preserve">
</t>
        </r>
      </text>
    </comment>
    <comment ref="W1171" authorId="0" shapeId="0">
      <text>
        <r>
          <rPr>
            <b/>
            <sz val="9"/>
            <color indexed="81"/>
            <rFont val="Tahoma"/>
            <family val="2"/>
          </rPr>
          <t>Bulb-type and lumen look-up in Energy Star database</t>
        </r>
        <r>
          <rPr>
            <sz val="9"/>
            <color indexed="81"/>
            <rFont val="Tahoma"/>
            <family val="2"/>
          </rPr>
          <t xml:space="preserve">
</t>
        </r>
      </text>
    </comment>
    <comment ref="W1173"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76" authorId="0" shapeId="0">
      <text>
        <r>
          <rPr>
            <b/>
            <sz val="9"/>
            <color indexed="81"/>
            <rFont val="Tahoma"/>
            <family val="2"/>
          </rPr>
          <t>Weighted HOU from ADM based upon program data</t>
        </r>
        <r>
          <rPr>
            <sz val="9"/>
            <color indexed="81"/>
            <rFont val="Tahoma"/>
            <family val="2"/>
          </rPr>
          <t xml:space="preserve">
</t>
        </r>
      </text>
    </comment>
    <comment ref="W117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78" authorId="0" shapeId="0">
      <text>
        <r>
          <rPr>
            <b/>
            <sz val="9"/>
            <color indexed="81"/>
            <rFont val="Tahoma"/>
            <family val="2"/>
          </rPr>
          <t>Author:</t>
        </r>
        <r>
          <rPr>
            <sz val="9"/>
            <color indexed="81"/>
            <rFont val="Tahoma"/>
            <family val="2"/>
          </rPr>
          <t xml:space="preserve">
Weighted HOU from ADM based upon program data</t>
        </r>
      </text>
    </comment>
    <comment ref="AB1234" authorId="0" shapeId="0">
      <text>
        <r>
          <rPr>
            <b/>
            <sz val="9"/>
            <color indexed="81"/>
            <rFont val="Tahoma"/>
            <family val="2"/>
          </rPr>
          <t xml:space="preserve">Opinion Dynamics:
</t>
        </r>
        <r>
          <rPr>
            <sz val="9"/>
            <color indexed="81"/>
            <rFont val="Tahoma"/>
            <family val="2"/>
          </rPr>
          <t>Reformatted table</t>
        </r>
      </text>
    </comment>
    <comment ref="Y1258" authorId="0" shapeId="0">
      <text>
        <r>
          <rPr>
            <sz val="9"/>
            <color indexed="81"/>
            <rFont val="Tahoma"/>
            <family val="2"/>
          </rPr>
          <t xml:space="preserve">Use existing inputs to develop measure based on program design.
</t>
        </r>
      </text>
    </comment>
    <comment ref="Y1271" authorId="0" shapeId="0">
      <text>
        <r>
          <rPr>
            <b/>
            <sz val="9"/>
            <color indexed="81"/>
            <rFont val="Tahoma"/>
            <family val="2"/>
          </rPr>
          <t>Added pre-1993 unit based upon existing inputs</t>
        </r>
        <r>
          <rPr>
            <sz val="9"/>
            <color indexed="81"/>
            <rFont val="Tahoma"/>
            <family val="2"/>
          </rPr>
          <t xml:space="preserve">
</t>
        </r>
      </text>
    </comment>
    <comment ref="Y1293" authorId="0" shapeId="0">
      <text>
        <r>
          <rPr>
            <b/>
            <sz val="9"/>
            <color indexed="81"/>
            <rFont val="Tahoma"/>
            <family val="2"/>
          </rPr>
          <t>Added standard size units to provide more options for Implementation and based upon program design all replacements are primary units (not secondary)</t>
        </r>
      </text>
    </comment>
    <comment ref="Y1298" authorId="0" shapeId="0">
      <text>
        <r>
          <rPr>
            <b/>
            <sz val="9"/>
            <color indexed="81"/>
            <rFont val="Tahoma"/>
            <family val="2"/>
          </rPr>
          <t xml:space="preserve">Added multiple kbtu size options (5,8,10,12,15) </t>
        </r>
      </text>
    </comment>
    <comment ref="W1327" authorId="0" shapeId="0">
      <text>
        <r>
          <rPr>
            <b/>
            <sz val="9"/>
            <color indexed="81"/>
            <rFont val="Tahoma"/>
            <family val="2"/>
          </rPr>
          <t>PY13 RebateSavers Database (average BTU)</t>
        </r>
        <r>
          <rPr>
            <sz val="9"/>
            <color indexed="81"/>
            <rFont val="Tahoma"/>
            <family val="2"/>
          </rPr>
          <t xml:space="preserve">
</t>
        </r>
      </text>
    </comment>
    <comment ref="W133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37" authorId="0" shapeId="0">
      <text>
        <r>
          <rPr>
            <b/>
            <sz val="9"/>
            <color indexed="81"/>
            <rFont val="Tahoma"/>
            <family val="2"/>
          </rPr>
          <t>used EFLH that ADM used for all measures</t>
        </r>
      </text>
    </comment>
    <comment ref="J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2"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7"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14" authorId="0" shapeId="0">
      <text>
        <r>
          <rPr>
            <b/>
            <sz val="9"/>
            <color indexed="81"/>
            <rFont val="Tahoma"/>
            <family val="2"/>
          </rPr>
          <t>This value is not new just including it in the input table (previously only shown in the equation)</t>
        </r>
      </text>
    </comment>
    <comment ref="R219" authorId="0" shapeId="0">
      <text>
        <r>
          <rPr>
            <b/>
            <sz val="9"/>
            <color indexed="81"/>
            <rFont val="Tahoma"/>
            <family val="2"/>
          </rPr>
          <t>Same table is in HVAC and MFMR deemed tables</t>
        </r>
        <r>
          <rPr>
            <sz val="9"/>
            <color indexed="81"/>
            <rFont val="Tahoma"/>
            <family val="2"/>
          </rPr>
          <t xml:space="preserve">
</t>
        </r>
      </text>
    </comment>
    <comment ref="Y219" authorId="0" shapeId="0">
      <text>
        <r>
          <rPr>
            <b/>
            <sz val="9"/>
            <color indexed="81"/>
            <rFont val="Tahoma"/>
            <family val="2"/>
          </rPr>
          <t>This value is not new just including it in the input table (previously only shown in the equation)</t>
        </r>
      </text>
    </comment>
    <comment ref="R221" authorId="0" shapeId="0">
      <text>
        <r>
          <rPr>
            <b/>
            <sz val="9"/>
            <color indexed="81"/>
            <rFont val="Tahoma"/>
            <family val="2"/>
          </rPr>
          <t>discount factor =  (1+discount rate)^(1/3 EUL-1).    year 1 is considered to be when the measure is installed and therefore do not discount “period 1”.</t>
        </r>
      </text>
    </comment>
    <comment ref="Y226" authorId="0" shapeId="0">
      <text>
        <r>
          <rPr>
            <b/>
            <sz val="9"/>
            <color indexed="81"/>
            <rFont val="Tahoma"/>
            <family val="2"/>
          </rPr>
          <t>This value is not new just including it in the input table (previously only shown in the equation)</t>
        </r>
      </text>
    </comment>
    <comment ref="Y232" authorId="0" shapeId="0">
      <text>
        <r>
          <rPr>
            <b/>
            <sz val="9"/>
            <color indexed="81"/>
            <rFont val="Tahoma"/>
            <family val="2"/>
          </rPr>
          <t>Formula updated</t>
        </r>
      </text>
    </comment>
    <comment ref="L39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<sst xmlns="http://schemas.openxmlformats.org/spreadsheetml/2006/main" count="15210" uniqueCount="3859">
  <si>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</si>
  <si>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</si>
  <si>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</si>
  <si>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</si>
  <si>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</si>
  <si>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</si>
  <si>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</si>
  <si>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</si>
  <si>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</si>
  <si>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</si>
  <si>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</si>
  <si>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</si>
  <si>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</si>
  <si>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</si>
  <si>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</si>
  <si>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</si>
  <si>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</si>
  <si>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</si>
  <si>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</si>
  <si>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</si>
  <si>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</si>
  <si>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</si>
  <si>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</si>
  <si>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</si>
  <si>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</si>
  <si>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</si>
  <si>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</si>
  <si>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</si>
  <si>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</si>
  <si>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</si>
  <si>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</si>
  <si>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</si>
  <si>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</si>
  <si>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</si>
  <si>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</si>
  <si>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</si>
  <si>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</si>
  <si>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</si>
  <si>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</si>
  <si>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</si>
  <si>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</si>
  <si>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</si>
  <si>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</si>
  <si>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</si>
  <si>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</si>
  <si>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</si>
  <si>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</si>
  <si>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</si>
  <si>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</si>
  <si>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</si>
  <si>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</si>
  <si>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</si>
  <si>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</si>
  <si>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</si>
  <si>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</si>
  <si>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</si>
  <si>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</si>
  <si>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</si>
  <si>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</si>
  <si>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</si>
  <si>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</si>
  <si>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</si>
  <si>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</si>
  <si>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</si>
  <si>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</si>
  <si>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</si>
  <si>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</si>
  <si>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</si>
  <si>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800950_2019_12_</t>
  </si>
  <si>
    <t>LED Specialty Lamp</t>
  </si>
  <si>
    <t>Evaluation Formula</t>
  </si>
  <si>
    <t xml:space="preserve">Measure Category </t>
  </si>
  <si>
    <t>Watts Base</t>
  </si>
  <si>
    <t>Watts EE</t>
  </si>
  <si>
    <t>HOU</t>
  </si>
  <si>
    <t>ISR</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</si>
  <si>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</si>
  <si>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</si>
  <si>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</si>
  <si>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</si>
  <si>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</si>
  <si>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</si>
  <si>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</si>
  <si>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</si>
  <si>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</si>
  <si>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</si>
  <si>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</si>
  <si>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</si>
  <si>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</si>
  <si>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</si>
  <si>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</si>
  <si>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</si>
  <si>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</si>
  <si>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</si>
  <si>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</si>
  <si>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</si>
  <si>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</si>
  <si>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</si>
  <si>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</si>
  <si>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</si>
  <si>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</si>
  <si>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</si>
  <si>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</si>
  <si>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</si>
  <si>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</si>
  <si>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</si>
  <si>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</si>
  <si>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</si>
  <si>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</si>
  <si>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</si>
  <si>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</si>
  <si>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</si>
  <si>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</si>
  <si>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</si>
  <si>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</si>
  <si>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</si>
  <si>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</si>
  <si>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</si>
  <si>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</si>
  <si>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</si>
  <si>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</si>
  <si>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</si>
  <si>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</si>
  <si>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</si>
  <si>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</si>
  <si>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</si>
  <si>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</si>
  <si>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</si>
  <si>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</si>
  <si>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</si>
  <si>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</si>
  <si>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</si>
  <si>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</si>
  <si>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</si>
  <si>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</si>
  <si>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</si>
  <si>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</si>
  <si>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</si>
  <si>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</si>
  <si>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</si>
  <si>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</si>
  <si>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</si>
  <si>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</si>
  <si>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</si>
  <si>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</si>
  <si>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</si>
  <si>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</si>
  <si>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</si>
  <si>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</si>
  <si>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</si>
  <si>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</si>
  <si>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</si>
  <si>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</si>
  <si>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</si>
  <si>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</si>
  <si>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</si>
  <si>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</si>
  <si>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</si>
  <si>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</si>
  <si>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</si>
  <si>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</si>
  <si>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</si>
  <si>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</si>
  <si>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</si>
  <si>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</si>
  <si>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</si>
  <si>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</si>
  <si>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</si>
  <si>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</si>
  <si>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</si>
  <si>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</si>
  <si>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</si>
  <si>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</si>
  <si>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</si>
  <si>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</si>
  <si>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</si>
  <si>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</si>
  <si>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</si>
  <si>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</si>
  <si>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</si>
  <si>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</si>
  <si>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</si>
  <si>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</si>
  <si>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</si>
  <si>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</si>
  <si>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</si>
  <si>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</si>
  <si>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</si>
  <si>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</si>
  <si>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</si>
  <si>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</si>
  <si>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</si>
  <si>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</si>
  <si>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</si>
  <si>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</si>
  <si>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</si>
  <si>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</si>
  <si>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</si>
  <si>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</si>
  <si>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</si>
  <si>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</si>
  <si>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</si>
  <si>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</si>
  <si>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</si>
  <si>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</si>
  <si>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</si>
  <si>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</si>
  <si>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</si>
  <si>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</si>
  <si>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</si>
  <si>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</si>
  <si>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</si>
  <si>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</si>
  <si>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</si>
  <si>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</si>
  <si>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</si>
  <si>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</si>
  <si>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</si>
  <si>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</si>
  <si>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</si>
  <si>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</si>
  <si>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</si>
  <si>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</si>
  <si>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</si>
  <si>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</si>
  <si>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</si>
  <si>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</si>
  <si>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</si>
  <si>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</si>
  <si>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</si>
  <si>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</si>
  <si>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</si>
  <si>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</si>
  <si>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</si>
  <si>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</si>
  <si>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</si>
  <si>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</si>
  <si>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</si>
  <si>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</si>
  <si>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</si>
  <si>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</si>
  <si>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</si>
  <si>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</si>
  <si>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</si>
  <si>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</si>
  <si>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</si>
  <si>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</si>
  <si>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</si>
  <si>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</si>
  <si>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</si>
  <si>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</si>
  <si>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</si>
  <si>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</si>
  <si>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</si>
  <si>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</si>
  <si>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</si>
  <si>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</si>
  <si>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</si>
  <si>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</si>
  <si>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</si>
  <si>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</si>
  <si>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</si>
  <si>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</si>
  <si>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</si>
  <si>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</si>
  <si>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</si>
  <si>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</si>
  <si>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</si>
  <si>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</si>
  <si>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</si>
  <si>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</si>
  <si>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</si>
  <si>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</si>
  <si>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</si>
  <si>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</si>
  <si>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</si>
  <si>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</si>
  <si>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</si>
  <si>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</si>
  <si>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</si>
  <si>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</si>
  <si>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</si>
  <si>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</si>
  <si>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</si>
  <si>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</si>
  <si>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</si>
  <si>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</si>
  <si>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</si>
  <si>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</si>
  <si>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</si>
  <si>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</si>
  <si>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</si>
  <si>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</si>
  <si>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</si>
  <si>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</si>
  <si>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</si>
  <si>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</si>
  <si>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</si>
  <si>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</si>
  <si>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</si>
  <si>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</si>
  <si>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</si>
  <si>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</si>
  <si>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</si>
  <si>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</si>
  <si>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</si>
  <si>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</si>
  <si>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</si>
  <si>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</si>
  <si>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</si>
  <si>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</si>
  <si>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</si>
  <si>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</si>
  <si>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</si>
  <si>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</si>
  <si>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</si>
  <si>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</si>
  <si>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</si>
  <si>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</si>
  <si>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</si>
  <si>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</si>
  <si>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</si>
  <si>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</si>
  <si>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</si>
  <si>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</si>
  <si>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</si>
  <si>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</si>
  <si>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</si>
  <si>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</si>
  <si>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</si>
  <si>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</si>
  <si>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</si>
  <si>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</si>
  <si>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</si>
  <si>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</si>
  <si>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</si>
  <si>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</si>
  <si>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</si>
  <si>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</si>
  <si>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</si>
  <si>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</si>
  <si>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</si>
  <si>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</si>
  <si>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</si>
  <si>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</si>
  <si>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</si>
  <si>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</si>
  <si>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</si>
  <si>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</si>
  <si>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</si>
  <si>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</si>
  <si>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</si>
  <si>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</si>
  <si>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</si>
  <si>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</si>
  <si>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</si>
  <si>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</si>
  <si>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</si>
  <si>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</si>
  <si>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</si>
  <si>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</si>
  <si>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</si>
  <si>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</si>
  <si>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</si>
  <si>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</si>
  <si>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</si>
  <si>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</si>
  <si>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</si>
  <si>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</si>
  <si>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</si>
  <si>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</si>
  <si>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</si>
  <si>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</si>
  <si>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</si>
  <si>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</si>
  <si>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</si>
  <si>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</si>
  <si>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</si>
  <si>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</si>
  <si>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</si>
  <si>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</si>
  <si>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</si>
  <si>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</si>
  <si>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</si>
  <si>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</si>
  <si>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</si>
  <si>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</si>
  <si>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</si>
  <si>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</si>
  <si>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</si>
  <si>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</si>
  <si>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</si>
  <si>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</si>
  <si>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</si>
  <si>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</si>
  <si>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</si>
  <si>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</si>
  <si>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</si>
  <si>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</si>
  <si>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</si>
  <si>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</si>
  <si>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</si>
  <si>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</si>
  <si>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</si>
  <si>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</si>
  <si>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</si>
  <si>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</si>
  <si>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</si>
  <si>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</si>
  <si>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</si>
  <si>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</si>
  <si>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</si>
  <si>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</si>
  <si>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</si>
  <si>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</si>
  <si>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</si>
  <si>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</si>
  <si>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</si>
  <si>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</si>
  <si>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</si>
  <si>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</si>
  <si>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</si>
  <si>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</si>
  <si>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</si>
  <si>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</si>
  <si>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</si>
  <si>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</si>
  <si>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</si>
  <si>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</si>
  <si>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</si>
  <si>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</si>
  <si>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</si>
  <si>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</si>
  <si>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</si>
  <si>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</si>
  <si>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</si>
  <si>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</si>
  <si>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</si>
  <si>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</si>
  <si>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</si>
  <si>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</si>
  <si>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</si>
  <si>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</si>
  <si>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</si>
  <si>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</si>
  <si>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</si>
  <si>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</si>
  <si>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</si>
  <si>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</si>
  <si>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</si>
  <si>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</si>
  <si>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</si>
  <si>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</si>
  <si>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</si>
  <si>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</si>
  <si>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</si>
  <si>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</si>
  <si>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</si>
  <si>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</si>
  <si>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</si>
  <si>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</si>
  <si>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</si>
  <si>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</si>
  <si>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</si>
  <si>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</si>
  <si>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</si>
  <si>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</si>
  <si>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</si>
  <si>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</si>
  <si>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</si>
  <si>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</si>
  <si>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</si>
  <si>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</si>
  <si>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</si>
  <si>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</si>
  <si>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</si>
  <si>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</si>
  <si>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</si>
  <si>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</si>
  <si>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</si>
  <si>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</si>
  <si>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</si>
  <si>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</si>
  <si>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</si>
  <si>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</si>
  <si>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</si>
  <si>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</si>
  <si>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</si>
  <si>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</si>
  <si>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</si>
  <si>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</si>
  <si>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</si>
  <si>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</si>
  <si>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</si>
  <si>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</si>
  <si>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</si>
  <si>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</si>
  <si>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</si>
  <si>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</si>
  <si>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</si>
  <si>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</si>
  <si>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</si>
  <si>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</si>
  <si>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</si>
  <si>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</si>
  <si>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</si>
  <si>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</si>
  <si>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</si>
  <si>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</si>
  <si>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</si>
  <si>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</si>
  <si>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</si>
  <si>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</si>
  <si>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</si>
  <si>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</si>
  <si>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</si>
  <si>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</si>
  <si>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</si>
  <si>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</si>
  <si>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</si>
  <si>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</si>
  <si>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</si>
  <si>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</si>
  <si>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</si>
  <si>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</si>
  <si>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</si>
  <si>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</si>
  <si>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</si>
  <si>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</si>
  <si>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</si>
  <si>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</si>
  <si>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</si>
  <si>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</si>
  <si>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</si>
  <si>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</si>
  <si>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</si>
  <si>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</si>
  <si>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</si>
  <si>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</si>
  <si>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</si>
  <si>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</si>
  <si>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</si>
  <si>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</si>
  <si>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</si>
  <si>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</si>
  <si>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200400_2019_12_</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</si>
  <si>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</si>
  <si>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</si>
  <si>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</si>
  <si>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</si>
  <si>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</si>
  <si>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</si>
  <si>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</si>
  <si>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</si>
  <si>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</si>
  <si>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200700_2019_12_</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</si>
  <si>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</si>
  <si>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</si>
  <si>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</si>
  <si>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</si>
  <si>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</si>
  <si>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</si>
  <si>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</si>
  <si>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</si>
  <si>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</si>
  <si>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201000_2019_12_</t>
  </si>
  <si>
    <t>201050_2019_12_</t>
  </si>
  <si>
    <t>LED - 15W Flood Light PAR30 Bulb (Halogen baseline) - Specialty Connected Light</t>
  </si>
  <si>
    <t>201100_2019_12_</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</si>
  <si>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</si>
  <si>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</si>
  <si>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</si>
  <si>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</si>
  <si>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</si>
  <si>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</si>
  <si>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</si>
  <si>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</si>
  <si>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</si>
  <si>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</si>
  <si>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</si>
  <si>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</si>
  <si>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</si>
  <si>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</si>
  <si>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</si>
  <si>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</si>
  <si>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</si>
  <si>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</si>
  <si>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</si>
  <si>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</si>
  <si>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</si>
  <si>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</si>
  <si>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</si>
  <si>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</si>
  <si>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</si>
  <si>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</si>
  <si>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</si>
  <si>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</si>
  <si>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</si>
  <si>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</si>
  <si>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</si>
  <si>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</si>
  <si>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</si>
  <si>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</si>
  <si>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</si>
  <si>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</si>
  <si>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</si>
  <si>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</si>
  <si>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</si>
  <si>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</si>
  <si>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</si>
  <si>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</si>
  <si>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</si>
  <si>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</si>
  <si>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</si>
  <si>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</si>
  <si>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</si>
  <si>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</si>
  <si>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</si>
  <si>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</si>
  <si>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</si>
  <si>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</si>
  <si>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</si>
  <si>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</si>
  <si>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</si>
  <si>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</si>
  <si>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</si>
  <si>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</si>
  <si>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</si>
  <si>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</si>
  <si>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</si>
  <si>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</si>
  <si>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</si>
  <si>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</si>
  <si>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</si>
  <si>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</si>
  <si>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</si>
  <si>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</si>
  <si>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</si>
  <si>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</si>
  <si>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</si>
  <si>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</si>
  <si>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</si>
  <si>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</si>
  <si>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</si>
  <si>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</si>
  <si>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</si>
  <si>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</si>
  <si>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</si>
  <si>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</si>
  <si>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</si>
  <si>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</si>
  <si>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</si>
  <si>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</si>
  <si>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</si>
  <si>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</si>
  <si>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</si>
  <si>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</si>
  <si>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</si>
  <si>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</si>
  <si>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</si>
  <si>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</si>
  <si>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</si>
  <si>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</si>
  <si>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</si>
  <si>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</si>
  <si>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</si>
  <si>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</si>
  <si>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</si>
  <si>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</si>
  <si>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</si>
  <si>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</si>
  <si>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</si>
  <si>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</si>
  <si>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</si>
  <si>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</si>
  <si>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</si>
  <si>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</si>
  <si>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</si>
  <si>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</si>
  <si>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</si>
  <si>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</si>
  <si>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</si>
  <si>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</si>
  <si>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</si>
  <si>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</si>
  <si>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</si>
  <si>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</si>
  <si>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</si>
  <si>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</si>
  <si>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</si>
  <si>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</si>
  <si>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</si>
  <si>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</si>
  <si>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</si>
  <si>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</si>
  <si>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</si>
  <si>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</si>
  <si>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</si>
  <si>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</si>
  <si>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</si>
  <si>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</si>
  <si>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</si>
  <si>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</si>
  <si>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</si>
  <si>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</si>
  <si>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</si>
  <si>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</si>
  <si>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</si>
  <si>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</si>
  <si>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</si>
  <si>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</si>
  <si>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</si>
  <si>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</si>
  <si>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</si>
  <si>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</si>
  <si>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</si>
  <si>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</si>
  <si>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</si>
  <si>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</si>
  <si>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</si>
  <si>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</si>
  <si>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</si>
  <si>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</si>
  <si>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</si>
  <si>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</si>
  <si>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</si>
  <si>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</si>
  <si>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</si>
  <si>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Eff_ISR</t>
  </si>
  <si>
    <t>Default value could change with evaluation</t>
  </si>
  <si>
    <t>∆Therms</t>
  </si>
  <si>
    <t>Calculated</t>
  </si>
  <si>
    <t>Fe</t>
  </si>
  <si>
    <t>Default value no alternative</t>
  </si>
  <si>
    <t>%AC</t>
  </si>
  <si>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</si>
  <si>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</si>
  <si>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</si>
  <si>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</si>
  <si>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</si>
  <si>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</si>
  <si>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</si>
  <si>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</si>
  <si>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</si>
  <si>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</si>
  <si>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</si>
  <si>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</si>
  <si>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</si>
  <si>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</si>
  <si>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</si>
  <si>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</si>
  <si>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</si>
  <si>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</si>
  <si>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</si>
  <si>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</si>
  <si>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</si>
  <si>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</si>
  <si>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</si>
  <si>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</si>
  <si>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</si>
  <si>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</si>
  <si>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</si>
  <si>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</si>
  <si>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</si>
  <si>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</si>
  <si>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</si>
  <si>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</si>
  <si>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</si>
  <si>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</si>
  <si>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</si>
  <si>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</si>
  <si>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</si>
  <si>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</si>
  <si>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</si>
  <si>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</si>
  <si>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</si>
  <si>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</si>
  <si>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</si>
  <si>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</si>
  <si>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</si>
  <si>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</si>
  <si>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</si>
  <si>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</si>
  <si>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</si>
  <si>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</si>
  <si>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</si>
  <si>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</si>
  <si>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</si>
  <si>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</si>
  <si>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</si>
  <si>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</si>
  <si>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</si>
  <si>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</si>
  <si>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</si>
  <si>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</si>
  <si>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</si>
  <si>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</si>
  <si>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</si>
  <si>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</si>
  <si>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</si>
  <si>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*The actual full installation cost of the Tier 2 AV APS (including equipment and labor) should be used.</t>
  </si>
  <si>
    <t>* No update -  Measure not in PY 2017</t>
  </si>
  <si>
    <t>* No update -  Measure not in PY 2018</t>
  </si>
  <si>
    <t>ERP</t>
  </si>
  <si>
    <t>Comments:</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</si>
  <si>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</si>
  <si>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</si>
  <si>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</si>
  <si>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</si>
  <si>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</si>
  <si>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</si>
  <si>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</si>
  <si>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</si>
  <si>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</si>
  <si>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</si>
  <si>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</si>
  <si>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</si>
  <si>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</si>
  <si>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</si>
  <si>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</si>
  <si>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</si>
  <si>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</si>
  <si>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</si>
  <si>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</si>
  <si>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</si>
  <si>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</si>
  <si>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</si>
  <si>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</si>
  <si>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</si>
  <si>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</si>
  <si>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</si>
  <si>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</si>
  <si>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</si>
  <si>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</si>
  <si>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</si>
  <si>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</si>
  <si>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</si>
  <si>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</si>
  <si>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</si>
  <si>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</si>
  <si>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</si>
  <si>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</si>
  <si>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</si>
  <si>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</si>
  <si>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</si>
  <si>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</si>
  <si>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</si>
  <si>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</si>
  <si>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</si>
  <si>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</si>
  <si>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</si>
  <si>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</si>
  <si>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</si>
  <si>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</si>
  <si>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</si>
  <si>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</si>
  <si>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</si>
  <si>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</si>
  <si>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</si>
  <si>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</si>
  <si>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</si>
  <si>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</si>
  <si>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</si>
  <si>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</si>
  <si>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</si>
  <si>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</si>
  <si>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</si>
  <si>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</si>
  <si>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</si>
  <si>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</si>
  <si>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</si>
  <si>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</si>
  <si>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</si>
  <si>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</si>
  <si>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</si>
  <si>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</si>
  <si>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</si>
  <si>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</si>
  <si>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</si>
  <si>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</si>
  <si>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</si>
  <si>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</si>
  <si>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</si>
  <si>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</si>
  <si>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</si>
  <si>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</si>
  <si>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</si>
  <si>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</si>
  <si>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</si>
  <si>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</si>
  <si>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</si>
  <si>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</si>
  <si>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</si>
  <si>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</si>
  <si>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</si>
  <si>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</si>
  <si>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</si>
  <si>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</si>
  <si>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</si>
  <si>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</si>
  <si>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</si>
  <si>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</si>
  <si>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</si>
  <si>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</si>
  <si>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</si>
  <si>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</si>
  <si>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</si>
  <si>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</si>
  <si>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</si>
  <si>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Multifamily Value</t>
  </si>
  <si>
    <t>Multifamily Source</t>
  </si>
  <si>
    <r>
      <t>Watts</t>
    </r>
    <r>
      <rPr>
        <vertAlign val="subscript"/>
        <sz val="11"/>
        <rFont val="Calibri"/>
        <family val="2"/>
        <scheme val="minor"/>
      </rPr>
      <t>Base</t>
    </r>
  </si>
  <si>
    <t>Baseline Wattage</t>
  </si>
  <si>
    <t>The lumen-equivalent halogen wattage for LEDs - Ameren Missouri EE KITS PY2018</t>
  </si>
  <si>
    <t>The lumen-equivalent Incandescent wattage for LEDs</t>
  </si>
  <si>
    <r>
      <t>Watts</t>
    </r>
    <r>
      <rPr>
        <vertAlign val="subscript"/>
        <sz val="11"/>
        <rFont val="Calibri"/>
        <family val="2"/>
        <scheme val="minor"/>
      </rPr>
      <t>EE</t>
    </r>
  </si>
  <si>
    <t>Wattage of new LED installed</t>
  </si>
  <si>
    <t>9-watt ENERGY STAR LEDs with 800 lumen output.</t>
  </si>
  <si>
    <r>
      <t>Hours</t>
    </r>
    <r>
      <rPr>
        <vertAlign val="subscript"/>
        <sz val="11"/>
        <rFont val="Calibri"/>
        <family val="2"/>
        <scheme val="minor"/>
      </rPr>
      <t>RES</t>
    </r>
  </si>
  <si>
    <t>The average hours of use per day</t>
  </si>
  <si>
    <t>2017 Ameren MO Lighting study</t>
  </si>
  <si>
    <t>Conversion Factor (day/yr)</t>
  </si>
  <si>
    <t>Conversion Factor (Wh/kWh)</t>
  </si>
  <si>
    <t>WHF</t>
  </si>
  <si>
    <t>WHF to account for interactive effects</t>
  </si>
  <si>
    <t>Electric Saturation</t>
  </si>
  <si>
    <t>% Homes with Electric Lighting</t>
  </si>
  <si>
    <t>Electric only measure</t>
  </si>
  <si>
    <t>Utility Adjustment (1-Leakage)</t>
  </si>
  <si>
    <t>% Homes in Service Territory</t>
  </si>
  <si>
    <t>Assumption based on program design</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</si>
  <si>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</si>
  <si>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</si>
  <si>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</si>
  <si>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</si>
  <si>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</si>
  <si>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</si>
  <si>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</si>
  <si>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</si>
  <si>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</si>
  <si>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</si>
  <si>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</si>
  <si>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</si>
  <si>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</si>
  <si>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</si>
  <si>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</si>
  <si>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</si>
  <si>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</si>
  <si>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</si>
  <si>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</si>
  <si>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</si>
  <si>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</si>
  <si>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</si>
  <si>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</si>
  <si>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</si>
  <si>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</si>
  <si>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</si>
  <si>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</si>
  <si>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</si>
  <si>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</si>
  <si>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</si>
  <si>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</si>
  <si>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</si>
  <si>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</si>
  <si>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</si>
  <si>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</si>
  <si>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</si>
  <si>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</si>
  <si>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</si>
  <si>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</si>
  <si>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</si>
  <si>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</si>
  <si>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</si>
  <si>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</si>
  <si>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</si>
  <si>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</si>
  <si>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</si>
  <si>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</si>
  <si>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</si>
  <si>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</si>
  <si>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</si>
  <si>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</si>
  <si>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</si>
  <si>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</si>
  <si>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</si>
  <si>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</si>
  <si>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</si>
  <si>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</si>
  <si>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</si>
  <si>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</si>
  <si>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</si>
  <si>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</si>
  <si>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</si>
  <si>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</si>
  <si>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</si>
  <si>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</si>
  <si>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</si>
  <si>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</si>
  <si>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</si>
  <si>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</si>
  <si>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</si>
  <si>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</si>
  <si>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</si>
  <si>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</si>
  <si>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</si>
  <si>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</si>
  <si>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</si>
  <si>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</si>
  <si>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</si>
  <si>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</si>
  <si>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</si>
  <si>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</si>
  <si>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</si>
  <si>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</si>
  <si>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</si>
  <si>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</si>
  <si>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</si>
  <si>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</si>
  <si>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</si>
  <si>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</si>
  <si>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</si>
  <si>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</si>
  <si>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</si>
  <si>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 per year</t>
  </si>
  <si>
    <r>
      <t>ȠDHW</t>
    </r>
    <r>
      <rPr>
        <vertAlign val="subscript"/>
        <sz val="11"/>
        <rFont val="Calibri"/>
        <family val="2"/>
        <scheme val="minor"/>
      </rPr>
      <t>Elec</t>
    </r>
  </si>
  <si>
    <t>Recovery Efficiency of electric hot water heater</t>
  </si>
  <si>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</si>
  <si>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</si>
  <si>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</si>
  <si>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</si>
  <si>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</si>
  <si>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</si>
  <si>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</si>
  <si>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</si>
  <si>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</si>
  <si>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</si>
  <si>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</si>
  <si>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</si>
  <si>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</si>
  <si>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300900_2019_12_</t>
  </si>
  <si>
    <t>Advanced Tier 1 Power Strips -Kits - Home Office</t>
  </si>
  <si>
    <t>300950_2019_12_</t>
  </si>
  <si>
    <t>301000_2019_12_</t>
  </si>
  <si>
    <t>Advanced Tier 1 Power Strips -Kits - Home Entertainment</t>
  </si>
  <si>
    <t>301050_2019_12_</t>
  </si>
  <si>
    <t>301100_2019_12_</t>
  </si>
  <si>
    <t>Advanced Tier 1 Power Strips -Kits - Unknown Location</t>
  </si>
  <si>
    <t>Office</t>
  </si>
  <si>
    <t>Entertainment</t>
  </si>
  <si>
    <t>KWh</t>
  </si>
  <si>
    <t>kWh Installation by Location</t>
  </si>
  <si>
    <t>Weighting Entertainment</t>
  </si>
  <si>
    <t>% Entertainment</t>
  </si>
  <si>
    <t>Weighting Office</t>
  </si>
  <si>
    <t>% OFFICE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</si>
  <si>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</si>
  <si>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</si>
  <si>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</si>
  <si>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</si>
  <si>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</si>
  <si>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</si>
  <si>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</si>
  <si>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</si>
  <si>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</si>
  <si>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</si>
  <si>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</si>
  <si>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</si>
  <si>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</si>
  <si>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</si>
  <si>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</si>
  <si>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</si>
  <si>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</si>
  <si>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</si>
  <si>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</si>
  <si>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</si>
  <si>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</si>
  <si>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</si>
  <si>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</si>
  <si>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</si>
  <si>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</si>
  <si>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</si>
  <si>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</si>
  <si>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</si>
  <si>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</si>
  <si>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</si>
  <si>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</si>
  <si>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</si>
  <si>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</si>
  <si>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</si>
  <si>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</si>
  <si>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</si>
  <si>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</si>
  <si>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</si>
  <si>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</si>
  <si>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</si>
  <si>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</si>
  <si>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</si>
  <si>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</si>
  <si>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</si>
  <si>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</si>
  <si>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</si>
  <si>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</si>
  <si>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</si>
  <si>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</si>
  <si>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</si>
  <si>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</si>
  <si>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</si>
  <si>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</si>
  <si>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</si>
  <si>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</si>
  <si>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</si>
  <si>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</si>
  <si>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</si>
  <si>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</si>
  <si>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</si>
  <si>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</si>
  <si>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</si>
  <si>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</si>
  <si>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</si>
  <si>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</si>
  <si>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</si>
  <si>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</si>
  <si>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</si>
  <si>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</si>
  <si>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</si>
  <si>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</si>
  <si>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</si>
  <si>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</si>
  <si>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</si>
  <si>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</si>
  <si>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</si>
  <si>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</si>
  <si>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</si>
  <si>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</si>
  <si>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</si>
  <si>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</si>
  <si>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</si>
  <si>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</si>
  <si>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</si>
  <si>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</si>
  <si>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</si>
  <si>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</si>
  <si>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</si>
  <si>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</si>
  <si>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</si>
  <si>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</si>
  <si>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</si>
  <si>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</si>
  <si>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</si>
  <si>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</si>
  <si>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</si>
  <si>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</si>
  <si>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</si>
  <si>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</si>
  <si>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</si>
  <si>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</si>
  <si>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</si>
  <si>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</si>
  <si>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</si>
  <si>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</si>
  <si>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</si>
  <si>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</si>
  <si>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</si>
  <si>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</si>
  <si>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</si>
  <si>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</si>
  <si>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</si>
  <si>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</si>
  <si>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</si>
  <si>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</si>
  <si>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</si>
  <si>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</si>
  <si>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</si>
  <si>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</si>
  <si>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</si>
  <si>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</si>
  <si>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</si>
  <si>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</si>
  <si>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</si>
  <si>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</si>
  <si>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</si>
  <si>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</si>
  <si>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</si>
  <si>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</si>
  <si>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</si>
  <si>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</si>
  <si>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</si>
  <si>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</si>
  <si>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</si>
  <si>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</si>
  <si>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</si>
  <si>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</si>
  <si>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</si>
  <si>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</si>
  <si>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PY2019</t>
  </si>
  <si>
    <t>Ameren Missouri Community Savers EM&amp;V PY2020</t>
  </si>
  <si>
    <t>SEERbase</t>
  </si>
  <si>
    <t>Seasonal Energy Efficiency Ratio of baseline unit (kBtu/kWh)</t>
  </si>
  <si>
    <t>MO TRM</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</si>
  <si>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</si>
  <si>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</si>
  <si>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</si>
  <si>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</si>
  <si>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</si>
  <si>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</si>
  <si>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</si>
  <si>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</si>
  <si>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</si>
  <si>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</si>
  <si>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</si>
  <si>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</si>
  <si>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</si>
  <si>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</si>
  <si>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</si>
  <si>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</si>
  <si>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</si>
  <si>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</si>
  <si>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</si>
  <si>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</si>
  <si>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</si>
  <si>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</si>
  <si>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</si>
  <si>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</si>
  <si>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</si>
  <si>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</si>
  <si>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</si>
  <si>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</si>
  <si>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</si>
  <si>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</si>
  <si>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</si>
  <si>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</si>
  <si>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</si>
  <si>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</si>
  <si>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</si>
  <si>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</si>
  <si>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</si>
  <si>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</si>
  <si>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</si>
  <si>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</si>
  <si>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</si>
  <si>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</si>
  <si>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</si>
  <si>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</si>
  <si>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</si>
  <si>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</si>
  <si>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</si>
  <si>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</si>
  <si>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</si>
  <si>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</si>
  <si>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</si>
  <si>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</si>
  <si>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</si>
  <si>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</si>
  <si>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</si>
  <si>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</si>
  <si>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</si>
  <si>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</si>
  <si>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</si>
  <si>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</si>
  <si>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</si>
  <si>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</si>
  <si>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</si>
  <si>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</si>
  <si>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</si>
  <si>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</si>
  <si>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</si>
  <si>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</si>
  <si>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</si>
  <si>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</si>
  <si>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</si>
  <si>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</si>
  <si>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</si>
  <si>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</si>
  <si>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</si>
  <si>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</si>
  <si>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</si>
  <si>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</si>
  <si>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</si>
  <si>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</si>
  <si>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</si>
  <si>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</si>
  <si>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</si>
  <si>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</si>
  <si>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</si>
  <si>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</si>
  <si>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</si>
  <si>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</si>
  <si>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</si>
  <si>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</si>
  <si>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</si>
  <si>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</si>
  <si>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</si>
  <si>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</si>
  <si>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</si>
  <si>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</si>
  <si>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</si>
  <si>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</si>
  <si>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</si>
  <si>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</si>
  <si>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</si>
  <si>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</si>
  <si>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</si>
  <si>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</si>
  <si>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</si>
  <si>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</si>
  <si>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</si>
  <si>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</si>
  <si>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</si>
  <si>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</si>
  <si>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</si>
  <si>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</si>
  <si>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</si>
  <si>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</si>
  <si>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</si>
  <si>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</si>
  <si>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</si>
  <si>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</si>
  <si>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</si>
  <si>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</si>
  <si>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</si>
  <si>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</si>
  <si>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</si>
  <si>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</si>
  <si>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</si>
  <si>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</si>
  <si>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</si>
  <si>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</si>
  <si>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</si>
  <si>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</si>
  <si>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</si>
  <si>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</si>
  <si>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</si>
  <si>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</si>
  <si>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</si>
  <si>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</si>
  <si>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</si>
  <si>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</si>
  <si>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</si>
  <si>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</si>
  <si>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</si>
  <si>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</si>
  <si>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</si>
  <si>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</si>
  <si>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</si>
  <si>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</si>
  <si>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</si>
  <si>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</si>
  <si>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</si>
  <si>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</si>
  <si>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</si>
  <si>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</si>
  <si>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</si>
  <si>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</si>
  <si>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</si>
  <si>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</si>
  <si>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</si>
  <si>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</si>
  <si>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</si>
  <si>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</si>
  <si>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</si>
  <si>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</si>
  <si>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</si>
  <si>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</si>
  <si>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</si>
  <si>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</si>
  <si>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</si>
  <si>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</si>
  <si>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</si>
  <si>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</si>
  <si>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</si>
  <si>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</si>
  <si>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</si>
  <si>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</si>
  <si>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</si>
  <si>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</si>
  <si>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</si>
  <si>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</si>
  <si>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</si>
  <si>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</si>
  <si>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</si>
  <si>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</si>
  <si>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</si>
  <si>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</si>
  <si>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</si>
  <si>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</si>
  <si>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</si>
  <si>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</si>
  <si>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</si>
  <si>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</si>
  <si>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</si>
  <si>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</si>
  <si>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</si>
  <si>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</si>
  <si>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</si>
  <si>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</si>
  <si>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</si>
  <si>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</si>
  <si>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</si>
  <si>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</si>
  <si>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</si>
  <si>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</si>
  <si>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</si>
  <si>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</si>
  <si>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</si>
  <si>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</si>
  <si>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</si>
  <si>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</si>
  <si>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</si>
  <si>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</si>
  <si>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</si>
  <si>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</si>
  <si>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</si>
  <si>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</si>
  <si>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</si>
  <si>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</si>
  <si>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</si>
  <si>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</si>
  <si>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</si>
  <si>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</si>
  <si>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</si>
  <si>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</si>
  <si>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</si>
  <si>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</si>
  <si>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</si>
  <si>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</si>
  <si>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</si>
  <si>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</si>
  <si>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</si>
  <si>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</si>
  <si>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</si>
  <si>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</si>
  <si>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</si>
  <si>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</si>
  <si>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</si>
  <si>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</si>
  <si>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</si>
  <si>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</si>
  <si>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</si>
  <si>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</si>
  <si>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</si>
  <si>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</si>
  <si>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</si>
  <si>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</si>
  <si>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</si>
  <si>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</si>
  <si>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</si>
  <si>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</si>
  <si>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</si>
  <si>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</si>
  <si>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</si>
  <si>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</si>
  <si>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</si>
  <si>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</si>
  <si>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</si>
  <si>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</si>
  <si>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</si>
  <si>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</si>
  <si>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</si>
  <si>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</si>
  <si>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</si>
  <si>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</si>
  <si>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</si>
  <si>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</si>
  <si>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</si>
  <si>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</si>
  <si>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</si>
  <si>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</si>
  <si>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</si>
  <si>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</si>
  <si>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</si>
  <si>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</si>
  <si>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</si>
  <si>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</si>
  <si>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</si>
  <si>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</si>
  <si>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</si>
  <si>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</si>
  <si>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</si>
  <si>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</si>
  <si>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</si>
  <si>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</si>
  <si>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</si>
  <si>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</si>
  <si>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</si>
  <si>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</si>
  <si>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</si>
  <si>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</si>
  <si>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</si>
  <si>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</si>
  <si>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</si>
  <si>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</si>
  <si>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</si>
  <si>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</si>
  <si>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</si>
  <si>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</si>
  <si>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</si>
  <si>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</si>
  <si>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</si>
  <si>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</si>
  <si>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</si>
  <si>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</si>
  <si>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</si>
  <si>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</si>
  <si>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</si>
  <si>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</si>
  <si>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</si>
  <si>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</si>
  <si>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</si>
  <si>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</si>
  <si>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</si>
  <si>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</si>
  <si>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</si>
  <si>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</si>
  <si>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</si>
  <si>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</si>
  <si>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</si>
  <si>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</si>
  <si>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</si>
  <si>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</si>
  <si>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</si>
  <si>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</si>
  <si>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</si>
  <si>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</si>
  <si>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</si>
  <si>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</si>
  <si>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</si>
  <si>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</si>
  <si>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</si>
  <si>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</si>
  <si>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</si>
  <si>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</si>
  <si>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</si>
  <si>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</si>
  <si>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</si>
  <si>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</si>
  <si>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</si>
  <si>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</si>
  <si>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</si>
  <si>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</si>
  <si>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</si>
  <si>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</si>
  <si>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</si>
  <si>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</si>
  <si>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</si>
  <si>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</si>
  <si>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</si>
  <si>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</si>
  <si>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</si>
  <si>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</si>
  <si>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</si>
  <si>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</si>
  <si>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</si>
  <si>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</si>
  <si>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</si>
  <si>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</si>
  <si>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</si>
  <si>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</si>
  <si>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</si>
  <si>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</si>
  <si>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</si>
  <si>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</si>
  <si>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</si>
  <si>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</si>
  <si>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</si>
  <si>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</si>
  <si>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</si>
  <si>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</si>
  <si>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</si>
  <si>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</si>
  <si>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</si>
  <si>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</si>
  <si>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</si>
  <si>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</si>
  <si>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</si>
  <si>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</si>
  <si>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</si>
  <si>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</si>
  <si>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</si>
  <si>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</si>
  <si>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</si>
  <si>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</si>
  <si>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</si>
  <si>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</si>
  <si>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</si>
  <si>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</si>
  <si>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</si>
  <si>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</si>
  <si>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</si>
  <si>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</si>
  <si>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</si>
  <si>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</si>
  <si>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</si>
  <si>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</si>
  <si>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</si>
  <si>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</si>
  <si>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</si>
  <si>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</si>
  <si>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</si>
  <si>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</si>
  <si>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</si>
  <si>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</si>
  <si>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</si>
  <si>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</si>
  <si>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</si>
  <si>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</si>
  <si>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</si>
  <si>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</si>
  <si>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</si>
  <si>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</si>
  <si>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</si>
  <si>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</si>
  <si>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</si>
  <si>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</si>
  <si>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</si>
  <si>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</si>
  <si>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</si>
  <si>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</si>
  <si>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</si>
  <si>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</si>
  <si>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</si>
  <si>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</si>
  <si>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</si>
  <si>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</si>
  <si>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</si>
  <si>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</si>
  <si>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</si>
  <si>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</si>
  <si>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</si>
  <si>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</si>
  <si>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</si>
  <si>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</si>
  <si>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</si>
  <si>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</si>
  <si>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</si>
  <si>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</si>
  <si>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</si>
  <si>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</si>
  <si>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</si>
  <si>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</si>
  <si>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</si>
  <si>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</si>
  <si>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</si>
  <si>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</si>
  <si>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</si>
  <si>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</si>
  <si>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</si>
  <si>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</si>
  <si>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</si>
  <si>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</si>
  <si>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</si>
  <si>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</si>
  <si>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</si>
  <si>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</si>
  <si>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</si>
  <si>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</si>
  <si>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</si>
  <si>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</si>
  <si>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</si>
  <si>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</si>
  <si>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</si>
  <si>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</si>
  <si>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</si>
  <si>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</si>
  <si>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</si>
  <si>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</si>
  <si>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</si>
  <si>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</si>
  <si>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</si>
  <si>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</si>
  <si>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</si>
  <si>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</si>
  <si>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</si>
  <si>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</si>
  <si>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</si>
  <si>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</si>
  <si>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</si>
  <si>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</si>
  <si>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</si>
  <si>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</si>
  <si>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</si>
  <si>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</si>
  <si>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</si>
  <si>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</si>
  <si>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</si>
  <si>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</si>
  <si>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</si>
  <si>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</si>
  <si>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</si>
  <si>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</si>
  <si>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</si>
  <si>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</si>
  <si>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</si>
  <si>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</si>
  <si>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</si>
  <si>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</si>
  <si>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</si>
  <si>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</si>
  <si>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</si>
  <si>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</si>
  <si>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</si>
  <si>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</si>
  <si>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</si>
  <si>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</si>
  <si>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</si>
  <si>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</si>
  <si>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</si>
  <si>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</si>
  <si>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</si>
  <si>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</si>
  <si>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</si>
  <si>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</si>
  <si>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</si>
  <si>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</si>
  <si>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</si>
  <si>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</si>
  <si>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</si>
  <si>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</si>
  <si>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</si>
  <si>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</si>
  <si>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</si>
  <si>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</si>
  <si>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</si>
  <si>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</si>
  <si>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</si>
  <si>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</si>
  <si>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</si>
  <si>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</si>
  <si>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</si>
  <si>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</si>
  <si>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</si>
  <si>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</si>
  <si>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</si>
  <si>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</si>
  <si>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</si>
  <si>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</si>
  <si>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</si>
  <si>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</si>
  <si>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</si>
  <si>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</si>
  <si>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Annual cooling savings per linear foot of duct (kWh/ft)</t>
  </si>
  <si>
    <t>Missouri TRM &amp; Iowa TRM inputs here are sourced from same Cadmus Assessment noted below.</t>
  </si>
  <si>
    <t>MH</t>
  </si>
  <si>
    <t>Iowa TRM v2.0</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</si>
  <si>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</si>
  <si>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</si>
  <si>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</si>
  <si>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</si>
  <si>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</si>
  <si>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</si>
  <si>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</si>
  <si>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</si>
  <si>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</si>
  <si>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</si>
  <si>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</si>
  <si>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</si>
  <si>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</si>
  <si>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</si>
  <si>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</si>
  <si>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</si>
  <si>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</si>
  <si>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</si>
  <si>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</si>
  <si>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</si>
  <si>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</si>
  <si>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</si>
  <si>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</si>
  <si>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</si>
  <si>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</si>
  <si>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</si>
  <si>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</si>
  <si>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</si>
  <si>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</si>
  <si>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</si>
  <si>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</si>
  <si>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</si>
  <si>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</si>
  <si>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</si>
  <si>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</si>
  <si>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</si>
  <si>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</si>
  <si>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</si>
  <si>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</si>
  <si>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</si>
  <si>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</si>
  <si>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</si>
  <si>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</si>
  <si>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</si>
  <si>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</si>
  <si>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</si>
  <si>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</si>
  <si>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</si>
  <si>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</si>
  <si>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</si>
  <si>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</si>
  <si>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</si>
  <si>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</si>
  <si>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</si>
  <si>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</si>
  <si>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</si>
  <si>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</si>
  <si>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</si>
  <si>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</si>
  <si>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</si>
  <si>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</si>
  <si>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</si>
  <si>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</si>
  <si>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</si>
  <si>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</si>
  <si>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</si>
  <si>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</si>
  <si>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</si>
  <si>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</si>
  <si>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</si>
  <si>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</si>
  <si>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</si>
  <si>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</si>
  <si>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</si>
  <si>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</si>
  <si>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</si>
  <si>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</si>
  <si>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</si>
  <si>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</si>
  <si>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</si>
  <si>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</si>
  <si>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</si>
  <si>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</si>
  <si>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</si>
  <si>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</si>
  <si>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</si>
  <si>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</si>
  <si>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</si>
  <si>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</si>
  <si>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</si>
  <si>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</si>
  <si>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</si>
  <si>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</si>
  <si>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</si>
  <si>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</si>
  <si>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</si>
  <si>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</si>
  <si>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</si>
  <si>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</si>
  <si>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</si>
  <si>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</si>
  <si>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</si>
  <si>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</si>
  <si>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</si>
  <si>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</si>
  <si>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</si>
  <si>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</si>
  <si>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</si>
  <si>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</si>
  <si>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</si>
  <si>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</si>
  <si>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</si>
  <si>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</si>
  <si>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</si>
  <si>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</si>
  <si>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</si>
  <si>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</si>
  <si>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</si>
  <si>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</si>
  <si>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</si>
  <si>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</si>
  <si>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</si>
  <si>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</si>
  <si>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</si>
  <si>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</si>
  <si>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</si>
  <si>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</si>
  <si>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</si>
  <si>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</si>
  <si>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</si>
  <si>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</si>
  <si>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</si>
  <si>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</si>
  <si>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</si>
  <si>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</si>
  <si>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</si>
  <si>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</si>
  <si>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</si>
  <si>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</si>
  <si>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</si>
  <si>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</si>
  <si>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</si>
  <si>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</si>
  <si>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</si>
  <si>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</si>
  <si>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</si>
  <si>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</si>
  <si>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</si>
  <si>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</si>
  <si>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</si>
  <si>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</si>
  <si>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</si>
  <si>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</si>
  <si>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</si>
  <si>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</si>
  <si>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</si>
  <si>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</si>
  <si>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</si>
  <si>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</si>
  <si>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</si>
  <si>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</si>
  <si>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</si>
  <si>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</si>
  <si>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</si>
  <si>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</si>
  <si>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</si>
  <si>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</si>
  <si>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</si>
  <si>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</si>
  <si>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</si>
  <si>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</si>
  <si>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t>Ameren Missouri Community Savers Evaluation PY2018 Site Visit Thermostat SB Data</t>
  </si>
  <si>
    <t>ENERGY STAR Calculator - Ameren Missouri Community Savers Evaluation PY2018</t>
  </si>
  <si>
    <t>Ameren Missouri Community Savers Evaluation PY2018 Program Data</t>
  </si>
  <si>
    <t>HSPF</t>
  </si>
  <si>
    <t>IL-TRM (Based on minimum federal standards between 1992 and 2006) - Ameren Missouri Community Savers Evaluation PY2018</t>
  </si>
  <si>
    <t>ENERGY STAR Calculator</t>
  </si>
  <si>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</si>
  <si>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</si>
  <si>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</si>
  <si>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</si>
  <si>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</si>
  <si>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</si>
  <si>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</si>
  <si>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</si>
  <si>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</si>
  <si>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</si>
  <si>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</si>
  <si>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</si>
  <si>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</si>
  <si>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</si>
  <si>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</si>
  <si>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</si>
  <si>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</si>
  <si>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</si>
  <si>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</si>
  <si>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</si>
  <si>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</si>
  <si>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</si>
  <si>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</si>
  <si>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</si>
  <si>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</si>
  <si>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</si>
  <si>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</si>
  <si>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</si>
  <si>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</si>
  <si>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</si>
  <si>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</si>
  <si>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</si>
  <si>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</si>
  <si>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</si>
  <si>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</si>
  <si>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</si>
  <si>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</si>
  <si>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</si>
  <si>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</si>
  <si>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</si>
  <si>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</si>
  <si>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</si>
  <si>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</si>
  <si>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</si>
  <si>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</si>
  <si>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</si>
  <si>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</si>
  <si>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</si>
  <si>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</si>
  <si>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</si>
  <si>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</si>
  <si>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404550_2019_12_</t>
  </si>
  <si>
    <t>LED - 12W (Halogen baseline) LI DI</t>
  </si>
  <si>
    <t>404600_2019_12_</t>
  </si>
  <si>
    <t>404650_2019_12_</t>
  </si>
  <si>
    <t>404700_2019_12_</t>
  </si>
  <si>
    <t>LED - 15W Flood Light PAR30 Bulb (Halogen baseline) LI DI</t>
  </si>
  <si>
    <t>404750_2019_12_</t>
  </si>
  <si>
    <t>LED - 18W Flood Light PAR38 Bulb (Halogen baseline) LI DI</t>
  </si>
  <si>
    <t>404800_2019_12_</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</si>
  <si>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</si>
  <si>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</si>
  <si>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</si>
  <si>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</si>
  <si>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</si>
  <si>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</si>
  <si>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</si>
  <si>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</si>
  <si>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</si>
  <si>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405100_2019_12_</t>
  </si>
  <si>
    <t>LED - 10.5W Downlight E26 (CFL baseline) LIDI</t>
  </si>
  <si>
    <t>405150_2019_12_</t>
  </si>
  <si>
    <t>LED - 12W Dimmable Light Bulb (Replacing CFL) LIDI</t>
  </si>
  <si>
    <t>405200_2019_12_</t>
  </si>
  <si>
    <t>LED - 12W (Replacing CFL) LIDI</t>
  </si>
  <si>
    <t>405250_2019_12_</t>
  </si>
  <si>
    <t>405300_2019_12_</t>
  </si>
  <si>
    <t>LED - 15W Flood Light PAR30 Bulb (CFL baseline) LIDI</t>
  </si>
  <si>
    <t>405350_2019_12_</t>
  </si>
  <si>
    <t>405400_2019_12_</t>
  </si>
  <si>
    <t>Average lumen-equivalent halogen wattage for program bulbs</t>
  </si>
  <si>
    <t>Ameren Missouri Community Savers Evaluation PY2017</t>
  </si>
  <si>
    <t>Program Wattage - Ameren Missouri Community Savers Evaluation PY2018 workpapers</t>
  </si>
  <si>
    <t>Program Wattage</t>
  </si>
  <si>
    <t>Program Wattage - Ameren Missouri Community Savers Evaluation PY2017 workpapers</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</si>
  <si>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</si>
  <si>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</si>
  <si>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</si>
  <si>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</si>
  <si>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</si>
  <si>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</si>
  <si>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</si>
  <si>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</si>
  <si>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</si>
  <si>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</si>
  <si>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</si>
  <si>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</si>
  <si>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</si>
  <si>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</si>
  <si>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</si>
  <si>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</si>
  <si>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</si>
  <si>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</si>
  <si>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</si>
  <si>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</si>
  <si>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</si>
  <si>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</si>
  <si>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</si>
  <si>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</si>
  <si>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</si>
  <si>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</si>
  <si>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</si>
  <si>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</si>
  <si>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in service/installation rate</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</si>
  <si>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</si>
  <si>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</si>
  <si>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</si>
  <si>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</si>
  <si>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</si>
  <si>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</si>
  <si>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</si>
  <si>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</si>
  <si>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</si>
  <si>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</si>
  <si>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</si>
  <si>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</si>
  <si>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</si>
  <si>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</si>
  <si>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</si>
  <si>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</si>
  <si>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</si>
  <si>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</si>
  <si>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</si>
  <si>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</si>
  <si>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</si>
  <si>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</si>
  <si>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</si>
  <si>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</si>
  <si>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</si>
  <si>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</si>
  <si>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</si>
  <si>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</si>
  <si>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</si>
  <si>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</si>
  <si>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</si>
  <si>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</si>
  <si>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</si>
  <si>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</si>
  <si>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</si>
  <si>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</si>
  <si>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</si>
  <si>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</si>
  <si>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</si>
  <si>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</si>
  <si>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</si>
  <si>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</si>
  <si>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</si>
  <si>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</si>
  <si>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</si>
  <si>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</si>
  <si>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</si>
  <si>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</si>
  <si>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</si>
  <si>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</si>
  <si>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</si>
  <si>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</si>
  <si>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</si>
  <si>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</si>
  <si>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</si>
  <si>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</si>
  <si>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</si>
  <si>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</si>
  <si>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</si>
  <si>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</si>
  <si>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</si>
  <si>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</si>
  <si>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</si>
  <si>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</si>
  <si>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</si>
  <si>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</si>
  <si>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</si>
  <si>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</si>
  <si>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</si>
  <si>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</si>
  <si>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</si>
  <si>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</si>
  <si>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</si>
  <si>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</si>
  <si>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</si>
  <si>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</si>
  <si>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</si>
  <si>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</si>
  <si>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</si>
  <si>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</si>
  <si>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</si>
  <si>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</si>
  <si>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</si>
  <si>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</si>
  <si>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</si>
  <si>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</si>
  <si>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</si>
  <si>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</si>
  <si>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</si>
  <si>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</si>
  <si>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</si>
  <si>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</si>
  <si>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</si>
  <si>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</si>
  <si>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</si>
  <si>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</si>
  <si>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</si>
  <si>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</si>
  <si>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</si>
  <si>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</si>
  <si>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</si>
  <si>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</si>
  <si>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</si>
  <si>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</si>
  <si>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</si>
  <si>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</si>
  <si>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</si>
  <si>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</si>
  <si>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</si>
  <si>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</si>
  <si>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</si>
  <si>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</si>
  <si>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</si>
  <si>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</si>
  <si>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</si>
  <si>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</si>
  <si>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</si>
  <si>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</si>
  <si>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</si>
  <si>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</si>
  <si>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</si>
  <si>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</si>
  <si>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</si>
  <si>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</si>
  <si>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</si>
  <si>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</si>
  <si>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</si>
  <si>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</si>
  <si>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</si>
  <si>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</si>
  <si>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</si>
  <si>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</si>
  <si>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</si>
  <si>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</si>
  <si>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</si>
  <si>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</si>
  <si>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</si>
  <si>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</si>
  <si>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</si>
  <si>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</si>
  <si>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</si>
  <si>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</si>
  <si>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</si>
  <si>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</si>
  <si>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</si>
  <si>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</si>
  <si>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</si>
  <si>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</si>
  <si>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</si>
  <si>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</si>
  <si>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</si>
  <si>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</si>
  <si>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</si>
  <si>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</si>
  <si>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</si>
  <si>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</si>
  <si>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</si>
  <si>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</si>
  <si>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</si>
  <si>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</si>
  <si>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</si>
  <si>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</si>
  <si>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</si>
  <si>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</si>
  <si>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</si>
  <si>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</si>
  <si>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</si>
  <si>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</si>
  <si>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</si>
  <si>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</si>
  <si>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</si>
  <si>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</si>
  <si>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</si>
  <si>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</si>
  <si>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</si>
  <si>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</si>
  <si>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</si>
  <si>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</si>
  <si>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</si>
  <si>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</si>
  <si>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</si>
  <si>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</si>
  <si>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</si>
  <si>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</si>
  <si>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</si>
  <si>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</si>
  <si>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</si>
  <si>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</si>
  <si>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</si>
  <si>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</si>
  <si>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</si>
  <si>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</si>
  <si>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Deemed savings - 22 kWh</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</si>
  <si>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</si>
  <si>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</si>
  <si>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</si>
  <si>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</si>
  <si>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</si>
  <si>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</si>
  <si>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</si>
  <si>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</si>
  <si>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</si>
  <si>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</si>
  <si>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</si>
  <si>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</si>
  <si>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</si>
  <si>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</si>
  <si>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</si>
  <si>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</si>
  <si>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</si>
  <si>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</si>
  <si>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</si>
  <si>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</si>
  <si>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</si>
  <si>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</si>
  <si>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</si>
  <si>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</si>
  <si>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</si>
  <si>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</si>
  <si>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</si>
  <si>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</si>
  <si>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</si>
  <si>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</si>
  <si>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</si>
  <si>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</si>
  <si>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</si>
  <si>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</si>
  <si>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</si>
  <si>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</si>
  <si>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</si>
  <si>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</si>
  <si>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</si>
  <si>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</si>
  <si>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</si>
  <si>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</si>
  <si>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</si>
  <si>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</si>
  <si>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</si>
  <si>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</si>
  <si>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</si>
  <si>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</si>
  <si>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</si>
  <si>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</si>
  <si>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</si>
  <si>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</si>
  <si>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</si>
  <si>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</si>
  <si>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</si>
  <si>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</si>
  <si>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</si>
  <si>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</si>
  <si>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</si>
  <si>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</si>
  <si>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</si>
  <si>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</si>
  <si>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</si>
  <si>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</si>
  <si>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</si>
  <si>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</si>
  <si>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</si>
  <si>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</si>
  <si>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</si>
  <si>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</si>
  <si>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</si>
  <si>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</si>
  <si>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</si>
  <si>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</si>
  <si>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</si>
  <si>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</si>
  <si>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</si>
  <si>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</si>
  <si>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</si>
  <si>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</si>
  <si>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UEC</t>
  </si>
  <si>
    <t>Unit Energy Consumption</t>
  </si>
  <si>
    <t>Cadmus evaluation of Ameren Missouri refrigerator recycling program year 2015</t>
  </si>
  <si>
    <t>Part Use Factor</t>
  </si>
  <si>
    <t>550150_2019_12_</t>
  </si>
  <si>
    <t>Freezer recycling</t>
  </si>
  <si>
    <t>Freezer RES</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</si>
  <si>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</si>
  <si>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</si>
  <si>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</si>
  <si>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</si>
  <si>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</si>
  <si>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</si>
  <si>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</si>
  <si>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</si>
  <si>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</si>
  <si>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</si>
  <si>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</si>
  <si>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</si>
  <si>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</si>
  <si>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</si>
  <si>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</si>
  <si>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</si>
  <si>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</si>
  <si>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</si>
  <si>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</si>
  <si>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</si>
  <si>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</si>
  <si>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</si>
  <si>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</si>
  <si>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</si>
  <si>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</si>
  <si>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</si>
  <si>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</si>
  <si>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</si>
  <si>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</si>
  <si>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</si>
  <si>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</si>
  <si>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</si>
  <si>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</si>
  <si>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</si>
  <si>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</si>
  <si>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</si>
  <si>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</si>
  <si>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</si>
  <si>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</si>
  <si>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</si>
  <si>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</si>
  <si>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</si>
  <si>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</si>
  <si>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</si>
  <si>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</si>
  <si>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</si>
  <si>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</si>
  <si>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</si>
  <si>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</si>
  <si>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</si>
  <si>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</si>
  <si>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</si>
  <si>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</si>
  <si>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</si>
  <si>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</si>
  <si>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</si>
  <si>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</si>
  <si>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</si>
  <si>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</si>
  <si>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</si>
  <si>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</si>
  <si>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</si>
  <si>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</si>
  <si>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</si>
  <si>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</si>
  <si>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</si>
  <si>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</si>
  <si>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</si>
  <si>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</si>
  <si>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</si>
  <si>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</si>
  <si>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</si>
  <si>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</si>
  <si>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</si>
  <si>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</si>
  <si>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</si>
  <si>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</si>
  <si>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</si>
  <si>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</si>
  <si>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</si>
  <si>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</si>
  <si>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</si>
  <si>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</si>
  <si>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</si>
  <si>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</si>
  <si>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</si>
  <si>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</si>
  <si>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</si>
  <si>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</si>
  <si>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</si>
  <si>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</si>
  <si>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</si>
  <si>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</si>
  <si>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</si>
  <si>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</si>
  <si>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</si>
  <si>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</si>
  <si>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</si>
  <si>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</si>
  <si>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</si>
  <si>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</si>
  <si>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</si>
  <si>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</si>
  <si>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</si>
  <si>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</si>
  <si>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</si>
  <si>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</si>
  <si>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</si>
  <si>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</si>
  <si>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</si>
  <si>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</si>
  <si>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</si>
  <si>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</si>
  <si>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</si>
  <si>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</si>
  <si>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</si>
  <si>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</si>
  <si>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</si>
  <si>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</si>
  <si>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</si>
  <si>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</si>
  <si>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</si>
  <si>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</si>
  <si>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</si>
  <si>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</si>
  <si>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</si>
  <si>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</si>
  <si>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</si>
  <si>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</si>
  <si>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</si>
  <si>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</si>
  <si>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</si>
  <si>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</si>
  <si>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</si>
  <si>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</si>
  <si>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</si>
  <si>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</si>
  <si>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</si>
  <si>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</si>
  <si>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</si>
  <si>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</si>
  <si>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</si>
  <si>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</si>
  <si>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</si>
  <si>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</si>
  <si>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</si>
  <si>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</si>
  <si>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</si>
  <si>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</si>
  <si>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</si>
  <si>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</si>
  <si>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</si>
  <si>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</si>
  <si>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</si>
  <si>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</si>
  <si>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</si>
  <si>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</si>
  <si>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</si>
  <si>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</si>
  <si>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</si>
  <si>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</si>
  <si>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</si>
  <si>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</si>
  <si>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</si>
  <si>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</si>
  <si>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</si>
  <si>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</si>
  <si>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</si>
  <si>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</si>
  <si>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</si>
  <si>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</si>
  <si>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</si>
  <si>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</si>
  <si>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</si>
  <si>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</si>
  <si>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</si>
  <si>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</si>
  <si>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</si>
  <si>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</si>
  <si>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</si>
  <si>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</si>
  <si>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</si>
  <si>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</si>
  <si>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</si>
  <si>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</si>
  <si>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</si>
  <si>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</si>
  <si>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</si>
  <si>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</si>
  <si>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</si>
  <si>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</si>
  <si>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</si>
  <si>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</si>
  <si>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</si>
  <si>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</si>
  <si>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</si>
  <si>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</si>
  <si>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</si>
  <si>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</si>
  <si>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</si>
  <si>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</si>
  <si>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</si>
  <si>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</si>
  <si>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</si>
  <si>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</si>
  <si>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</si>
  <si>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</si>
  <si>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</si>
  <si>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</si>
  <si>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</si>
  <si>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</si>
  <si>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</si>
  <si>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</si>
  <si>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</si>
  <si>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</si>
  <si>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</si>
  <si>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</si>
  <si>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</si>
  <si>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</si>
  <si>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</si>
  <si>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</si>
  <si>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</si>
  <si>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</si>
  <si>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</si>
  <si>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</si>
  <si>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</si>
  <si>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</si>
  <si>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</si>
  <si>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</si>
  <si>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</si>
  <si>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</si>
  <si>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</si>
  <si>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</si>
  <si>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</si>
  <si>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</si>
  <si>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</si>
  <si>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</si>
  <si>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</si>
  <si>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</si>
  <si>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</si>
  <si>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</si>
  <si>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</si>
  <si>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</si>
  <si>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</si>
  <si>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</si>
  <si>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</si>
  <si>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</si>
  <si>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</si>
  <si>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</si>
  <si>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</si>
  <si>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</si>
  <si>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</si>
  <si>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</si>
  <si>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</si>
  <si>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</si>
  <si>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</si>
  <si>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</si>
  <si>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</si>
  <si>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</si>
  <si>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</si>
  <si>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</si>
  <si>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</si>
  <si>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</si>
  <si>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</si>
  <si>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</si>
  <si>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</si>
  <si>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</si>
  <si>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</si>
  <si>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</si>
  <si>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</si>
  <si>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</si>
  <si>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</si>
  <si>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</si>
  <si>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</si>
  <si>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</si>
  <si>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</si>
  <si>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</si>
  <si>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</si>
  <si>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</si>
  <si>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</si>
  <si>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</si>
  <si>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</si>
  <si>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</si>
  <si>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</si>
  <si>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</si>
  <si>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</si>
  <si>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</si>
  <si>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</si>
  <si>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</si>
  <si>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</si>
  <si>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</si>
  <si>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</si>
  <si>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</si>
  <si>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</si>
  <si>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</si>
  <si>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</si>
  <si>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</si>
  <si>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</si>
  <si>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</si>
  <si>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</si>
  <si>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</si>
  <si>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</si>
  <si>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</si>
  <si>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</si>
  <si>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</si>
  <si>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</si>
  <si>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</si>
  <si>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</si>
  <si>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</si>
  <si>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</si>
  <si>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</si>
  <si>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</si>
  <si>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</si>
  <si>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</si>
  <si>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</si>
  <si>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</si>
  <si>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</si>
  <si>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</si>
  <si>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</si>
  <si>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</si>
  <si>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</si>
  <si>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</si>
  <si>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</si>
  <si>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</si>
  <si>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</si>
  <si>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</si>
  <si>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</si>
  <si>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</si>
  <si>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</si>
  <si>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</si>
  <si>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</si>
  <si>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</si>
  <si>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</si>
  <si>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</si>
  <si>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</si>
  <si>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</si>
  <si>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</si>
  <si>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</si>
  <si>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</si>
  <si>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</si>
  <si>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</si>
  <si>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</si>
  <si>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</si>
  <si>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</si>
  <si>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</si>
  <si>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</si>
  <si>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</si>
  <si>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</si>
  <si>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</si>
  <si>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</si>
  <si>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</si>
  <si>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</si>
  <si>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</si>
  <si>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</si>
  <si>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</si>
  <si>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</si>
  <si>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</si>
  <si>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</si>
  <si>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</si>
  <si>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</si>
  <si>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</si>
  <si>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</si>
  <si>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</si>
  <si>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</si>
  <si>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</si>
  <si>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</si>
  <si>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</si>
  <si>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</si>
  <si>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</si>
  <si>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</si>
  <si>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</si>
  <si>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</si>
  <si>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</si>
  <si>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</si>
  <si>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</si>
  <si>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</si>
  <si>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</si>
  <si>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</si>
  <si>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</si>
  <si>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</si>
  <si>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</si>
  <si>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</si>
  <si>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</si>
  <si>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</si>
  <si>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</si>
  <si>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</si>
  <si>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</si>
  <si>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</si>
  <si>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</si>
  <si>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</si>
  <si>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</si>
  <si>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</si>
  <si>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</si>
  <si>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</si>
  <si>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</si>
  <si>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</si>
  <si>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</si>
  <si>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</si>
  <si>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</si>
  <si>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</si>
  <si>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</si>
  <si>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</si>
  <si>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</si>
  <si>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</si>
  <si>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</si>
  <si>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</si>
  <si>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</si>
  <si>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</si>
  <si>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</si>
  <si>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</si>
  <si>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</si>
  <si>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</si>
  <si>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</si>
  <si>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</si>
  <si>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</si>
  <si>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</si>
  <si>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</si>
  <si>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</si>
  <si>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</si>
  <si>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</si>
  <si>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</si>
  <si>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</si>
  <si>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</si>
  <si>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</si>
  <si>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</si>
  <si>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</si>
  <si>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</si>
  <si>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</si>
  <si>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</si>
  <si>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</si>
  <si>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</si>
  <si>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</si>
  <si>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</si>
  <si>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</si>
  <si>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</si>
  <si>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</si>
  <si>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</si>
  <si>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</si>
  <si>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</si>
  <si>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</si>
  <si>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</si>
  <si>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</si>
  <si>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</si>
  <si>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</si>
  <si>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</si>
  <si>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</si>
  <si>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</si>
  <si>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</si>
  <si>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</si>
  <si>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</si>
  <si>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</si>
  <si>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</si>
  <si>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</si>
  <si>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</si>
  <si>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</si>
  <si>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</si>
  <si>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</si>
  <si>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</si>
  <si>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</si>
  <si>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</si>
  <si>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</si>
  <si>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</si>
  <si>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</si>
  <si>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</si>
  <si>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</si>
  <si>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</si>
  <si>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</si>
  <si>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</si>
  <si>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</si>
  <si>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</si>
  <si>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</si>
  <si>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</si>
  <si>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</si>
  <si>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</si>
  <si>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</si>
  <si>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</si>
  <si>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</si>
  <si>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</si>
  <si>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</si>
  <si>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</si>
  <si>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</si>
  <si>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</si>
  <si>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</si>
  <si>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</si>
  <si>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</si>
  <si>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</si>
  <si>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</si>
  <si>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</si>
  <si>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</si>
  <si>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</si>
  <si>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</si>
  <si>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</si>
  <si>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</si>
  <si>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</si>
  <si>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</si>
  <si>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</si>
  <si>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</si>
  <si>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</si>
  <si>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</si>
  <si>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</si>
  <si>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</si>
  <si>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</si>
  <si>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</si>
  <si>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</si>
  <si>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</si>
  <si>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</si>
  <si>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</si>
  <si>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</si>
  <si>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</si>
  <si>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</si>
  <si>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</si>
  <si>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</si>
  <si>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</si>
  <si>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</si>
  <si>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</si>
  <si>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</si>
  <si>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</si>
  <si>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</si>
  <si>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</si>
  <si>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</si>
  <si>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</si>
  <si>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</si>
  <si>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</si>
  <si>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</si>
  <si>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</si>
  <si>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</si>
  <si>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</si>
  <si>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</si>
  <si>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</si>
  <si>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</si>
  <si>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</si>
  <si>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</si>
  <si>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</si>
  <si>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</si>
  <si>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</si>
  <si>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</si>
  <si>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</si>
  <si>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</si>
  <si>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</si>
  <si>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</si>
  <si>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</si>
  <si>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</si>
  <si>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</si>
  <si>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</si>
  <si>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</si>
  <si>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</si>
  <si>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</si>
  <si>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</si>
  <si>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</si>
  <si>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</si>
  <si>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</si>
  <si>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</si>
  <si>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</si>
  <si>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</si>
  <si>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</si>
  <si>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</si>
  <si>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</si>
  <si>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</si>
  <si>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</si>
  <si>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</si>
  <si>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</si>
  <si>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</si>
  <si>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</si>
  <si>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</si>
  <si>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</si>
  <si>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</si>
  <si>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</si>
  <si>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</si>
  <si>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</si>
  <si>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</si>
  <si>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</si>
  <si>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</si>
  <si>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</si>
  <si>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</si>
  <si>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</si>
  <si>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</si>
  <si>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</si>
  <si>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</si>
  <si>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</si>
  <si>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</si>
  <si>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</si>
  <si>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</si>
  <si>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</si>
  <si>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</si>
  <si>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</si>
  <si>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</si>
  <si>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</si>
  <si>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</si>
  <si>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</si>
  <si>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</si>
  <si>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</si>
  <si>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</si>
  <si>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</si>
  <si>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</si>
  <si>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</si>
  <si>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</si>
  <si>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</si>
  <si>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</si>
  <si>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</si>
  <si>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</si>
  <si>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</si>
  <si>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</si>
  <si>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</si>
  <si>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</si>
  <si>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</si>
  <si>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</si>
  <si>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</si>
  <si>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</si>
  <si>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</si>
  <si>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</si>
  <si>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</si>
  <si>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</si>
  <si>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</si>
  <si>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</si>
  <si>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</si>
  <si>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</si>
  <si>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</si>
  <si>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</si>
  <si>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</si>
  <si>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</si>
  <si>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</si>
  <si>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</si>
  <si>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</si>
  <si>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</si>
  <si>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</si>
  <si>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</si>
  <si>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</si>
  <si>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</si>
  <si>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</si>
  <si>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</si>
  <si>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</si>
  <si>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</si>
  <si>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</si>
  <si>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</si>
  <si>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</si>
  <si>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</si>
  <si>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</si>
  <si>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</si>
  <si>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</si>
  <si>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</si>
  <si>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</si>
  <si>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</si>
  <si>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</si>
  <si>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</si>
  <si>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</si>
  <si>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</si>
  <si>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</si>
  <si>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</si>
  <si>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</si>
  <si>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</si>
  <si>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</si>
  <si>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</si>
  <si>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</si>
  <si>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</si>
  <si>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</si>
  <si>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</si>
  <si>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</si>
  <si>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</si>
  <si>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</si>
  <si>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</si>
  <si>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</si>
  <si>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</si>
  <si>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</si>
  <si>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</si>
  <si>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</si>
  <si>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</si>
  <si>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</si>
  <si>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</si>
  <si>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</si>
  <si>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</si>
  <si>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</si>
  <si>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</si>
  <si>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</si>
  <si>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</si>
  <si>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</si>
  <si>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</si>
  <si>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</si>
  <si>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</si>
  <si>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</si>
  <si>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</si>
  <si>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</si>
  <si>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</si>
  <si>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</si>
  <si>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</si>
  <si>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</si>
  <si>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</si>
  <si>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</si>
  <si>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</si>
  <si>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</si>
  <si>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</si>
  <si>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</si>
  <si>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</si>
  <si>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</si>
  <si>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</si>
  <si>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</si>
  <si>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</si>
  <si>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</si>
  <si>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</si>
  <si>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</si>
  <si>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</si>
  <si>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</si>
  <si>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</si>
  <si>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</si>
  <si>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</si>
  <si>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</si>
  <si>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</si>
  <si>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</si>
  <si>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</si>
  <si>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</si>
  <si>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</si>
  <si>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</si>
  <si>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</si>
  <si>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</si>
  <si>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</si>
  <si>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</si>
  <si>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</si>
  <si>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</si>
  <si>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</si>
  <si>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</si>
  <si>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</si>
  <si>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</si>
  <si>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</si>
  <si>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</si>
  <si>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</si>
  <si>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</si>
  <si>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</si>
  <si>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</si>
  <si>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</si>
  <si>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</si>
  <si>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</si>
  <si>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</si>
  <si>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</si>
  <si>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</si>
  <si>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</si>
  <si>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</si>
  <si>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</si>
  <si>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</si>
  <si>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</si>
  <si>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</si>
  <si>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</si>
  <si>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</si>
  <si>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</si>
  <si>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</si>
  <si>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</si>
  <si>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</si>
  <si>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</si>
  <si>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</si>
  <si>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</si>
  <si>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</si>
  <si>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</si>
  <si>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</si>
  <si>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</si>
  <si>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</si>
  <si>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</si>
  <si>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</si>
  <si>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</si>
  <si>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</si>
  <si>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</si>
  <si>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</si>
  <si>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</si>
  <si>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</si>
  <si>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</si>
  <si>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</si>
  <si>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</si>
  <si>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</si>
  <si>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</si>
  <si>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</si>
  <si>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</si>
  <si>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</si>
  <si>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</si>
  <si>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</si>
  <si>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</si>
  <si>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</si>
  <si>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</si>
  <si>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</si>
  <si>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</si>
  <si>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</si>
  <si>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</si>
  <si>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</si>
  <si>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</si>
  <si>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</si>
  <si>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</si>
  <si>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</si>
  <si>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</si>
  <si>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</si>
  <si>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</si>
  <si>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</si>
  <si>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</si>
  <si>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</si>
  <si>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</si>
  <si>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</si>
  <si>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</si>
  <si>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</si>
  <si>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</si>
  <si>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</si>
  <si>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</si>
  <si>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</si>
  <si>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</si>
  <si>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</si>
  <si>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</si>
  <si>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</si>
  <si>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</si>
  <si>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</si>
  <si>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</si>
  <si>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</si>
  <si>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</si>
  <si>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</si>
  <si>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</si>
  <si>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</si>
  <si>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</si>
  <si>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</si>
  <si>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</si>
  <si>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</si>
  <si>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</si>
  <si>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</si>
  <si>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</si>
  <si>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</si>
  <si>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</si>
  <si>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</si>
  <si>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</si>
  <si>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</si>
  <si>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</si>
  <si>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</si>
  <si>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</si>
  <si>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</si>
  <si>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</si>
  <si>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</si>
  <si>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</si>
  <si>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</si>
  <si>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</si>
  <si>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</si>
  <si>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</si>
  <si>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</si>
  <si>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</si>
  <si>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</si>
  <si>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</si>
  <si>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</si>
  <si>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</si>
  <si>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</si>
  <si>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</si>
  <si>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</si>
  <si>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</si>
  <si>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</si>
  <si>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</si>
  <si>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</si>
  <si>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</si>
  <si>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</si>
  <si>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</si>
  <si>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</si>
  <si>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</si>
  <si>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</si>
  <si>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</si>
  <si>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</si>
  <si>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</si>
  <si>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</si>
  <si>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</si>
  <si>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</si>
  <si>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</si>
  <si>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</si>
  <si>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</si>
  <si>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</si>
  <si>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</si>
  <si>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</si>
  <si>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</si>
  <si>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</si>
  <si>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</si>
  <si>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</si>
  <si>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</si>
  <si>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</si>
  <si>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</si>
  <si>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</si>
  <si>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</si>
  <si>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</si>
  <si>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</si>
  <si>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</si>
  <si>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</si>
  <si>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</si>
  <si>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</si>
  <si>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</si>
  <si>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</si>
  <si>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</si>
  <si>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</si>
  <si>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</si>
  <si>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</si>
  <si>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</si>
  <si>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</si>
  <si>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</si>
  <si>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</si>
  <si>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</si>
  <si>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</si>
  <si>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</si>
  <si>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</si>
  <si>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</si>
  <si>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</si>
  <si>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</si>
  <si>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</si>
  <si>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</si>
  <si>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</si>
  <si>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</si>
  <si>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</si>
  <si>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</si>
  <si>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</si>
  <si>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</si>
  <si>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</si>
  <si>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</si>
  <si>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</si>
  <si>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</si>
  <si>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</si>
  <si>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</si>
  <si>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</si>
  <si>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</si>
  <si>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</si>
  <si>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</si>
  <si>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</si>
  <si>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</si>
  <si>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</si>
  <si>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</si>
  <si>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</si>
  <si>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</si>
  <si>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</si>
  <si>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</si>
  <si>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</si>
  <si>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</si>
  <si>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</si>
  <si>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</si>
  <si>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</si>
  <si>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</si>
  <si>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</si>
  <si>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</si>
  <si>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</si>
  <si>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</si>
  <si>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</si>
  <si>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</si>
  <si>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</si>
  <si>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</si>
  <si>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</si>
  <si>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</si>
  <si>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</si>
  <si>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</si>
  <si>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</si>
  <si>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</si>
  <si>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</si>
  <si>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</si>
  <si>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</si>
  <si>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</si>
  <si>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</si>
  <si>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</si>
  <si>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</si>
  <si>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</si>
  <si>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</si>
  <si>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</si>
  <si>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</si>
  <si>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</si>
  <si>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</si>
  <si>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</si>
  <si>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</si>
  <si>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</si>
  <si>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</si>
  <si>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</si>
  <si>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</si>
  <si>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</si>
  <si>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</si>
  <si>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</si>
  <si>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</si>
  <si>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</si>
  <si>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</si>
  <si>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</si>
  <si>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</si>
  <si>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</si>
  <si>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</si>
  <si>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</si>
  <si>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</si>
  <si>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</si>
  <si>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</si>
  <si>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</si>
  <si>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</si>
  <si>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</si>
  <si>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</si>
  <si>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</si>
  <si>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</si>
  <si>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</si>
  <si>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</si>
  <si>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</si>
  <si>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</si>
  <si>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</si>
  <si>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</si>
  <si>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</si>
  <si>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</si>
  <si>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</si>
  <si>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</si>
  <si>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</si>
  <si>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</si>
  <si>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</si>
  <si>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</si>
  <si>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</si>
  <si>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</si>
  <si>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</si>
  <si>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</si>
  <si>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</si>
  <si>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</si>
  <si>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</si>
  <si>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</si>
  <si>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</si>
  <si>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</si>
  <si>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</si>
  <si>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</si>
  <si>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</si>
  <si>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</si>
  <si>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</si>
  <si>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</si>
  <si>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</si>
  <si>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</si>
  <si>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</si>
  <si>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</si>
  <si>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</si>
  <si>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</si>
  <si>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</si>
  <si>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</si>
  <si>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</si>
  <si>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</si>
  <si>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</si>
  <si>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</si>
  <si>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</si>
  <si>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</si>
  <si>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</si>
  <si>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</si>
  <si>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</si>
  <si>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</si>
  <si>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</si>
  <si>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</si>
  <si>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</si>
  <si>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</si>
  <si>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</si>
  <si>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</si>
  <si>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</si>
  <si>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</si>
  <si>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</si>
  <si>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</si>
  <si>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</si>
  <si>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</si>
  <si>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</si>
  <si>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</si>
  <si>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</si>
  <si>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</si>
  <si>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</si>
  <si>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</si>
  <si>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</si>
  <si>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</si>
  <si>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</si>
  <si>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</si>
  <si>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</si>
  <si>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</si>
  <si>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</si>
  <si>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</si>
  <si>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</si>
  <si>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</si>
  <si>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</si>
  <si>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</si>
  <si>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</si>
  <si>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</si>
  <si>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</si>
  <si>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</si>
  <si>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</si>
  <si>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</si>
  <si>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</si>
  <si>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</si>
  <si>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</si>
  <si>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</si>
  <si>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</si>
  <si>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</si>
  <si>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</si>
  <si>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</si>
  <si>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</si>
  <si>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</si>
  <si>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</si>
  <si>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</si>
  <si>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</si>
  <si>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</si>
  <si>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</si>
  <si>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</si>
  <si>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</si>
  <si>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</si>
  <si>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</si>
  <si>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</si>
  <si>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</si>
  <si>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</si>
  <si>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</si>
  <si>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</si>
  <si>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</si>
  <si>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</si>
  <si>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</si>
  <si>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</si>
  <si>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</si>
  <si>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</si>
  <si>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</si>
  <si>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</si>
  <si>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</si>
  <si>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</si>
  <si>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</si>
  <si>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</si>
  <si>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</si>
  <si>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</si>
  <si>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</si>
  <si>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</si>
  <si>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</si>
  <si>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</si>
  <si>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</si>
  <si>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</si>
  <si>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</si>
  <si>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</si>
  <si>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</si>
  <si>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</si>
  <si>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</si>
  <si>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</si>
  <si>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</si>
  <si>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</si>
  <si>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</si>
  <si>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</si>
  <si>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</si>
  <si>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</si>
  <si>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</si>
  <si>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</si>
  <si>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</si>
  <si>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</si>
  <si>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</si>
  <si>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</si>
  <si>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</si>
  <si>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</si>
  <si>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</si>
  <si>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</si>
  <si>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</si>
  <si>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</si>
  <si>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</si>
  <si>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</si>
  <si>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</si>
  <si>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</si>
  <si>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</si>
  <si>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</si>
  <si>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</si>
  <si>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</si>
  <si>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</si>
  <si>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</si>
  <si>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</si>
  <si>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</si>
  <si>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</si>
  <si>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</si>
  <si>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</si>
  <si>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</si>
  <si>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</si>
  <si>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</si>
  <si>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</si>
  <si>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</si>
  <si>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</si>
  <si>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t>Inc. Cost     (per ton)</t>
  </si>
  <si>
    <t>Inc. Cost (per Hp)</t>
  </si>
  <si>
    <t xml:space="preserve">LED Replacing Interior T5 Fluorescent (Type A / Hybrid) </t>
  </si>
  <si>
    <t xml:space="preserve">LED Replacing Interior T5 Fluorescent (Type B, C, Kits, and Fixtures </t>
  </si>
  <si>
    <t xml:space="preserve">LED Replacting Interior T8 Fluorescent (Type A / Hybrid) </t>
  </si>
  <si>
    <t xml:space="preserve">LED Replacting Interior T8 Fluorescent (Type B, C, Kits, and Fixtures </t>
  </si>
  <si>
    <t xml:space="preserve">LED Replacing Interior T12 Fluorescent (Type A / Hybrid) </t>
  </si>
  <si>
    <t xml:space="preserve">LED Replacing Interior T12 Fluorescent (Type B, C, Kits, and Fixtures) </t>
  </si>
  <si>
    <t>800801_2020_12_</t>
  </si>
  <si>
    <t>800800_2020_12_</t>
  </si>
  <si>
    <t>800850_2020_12_</t>
  </si>
  <si>
    <t>800851_2020_12_</t>
  </si>
  <si>
    <t>800900_2020_12_</t>
  </si>
  <si>
    <r>
      <rPr>
        <b/>
        <sz val="11"/>
        <rFont val="Calibri"/>
        <family val="2"/>
      </rPr>
      <t>≥</t>
    </r>
    <r>
      <rPr>
        <b/>
        <sz val="11"/>
        <rFont val="Calibri"/>
        <family val="2"/>
        <scheme val="minor"/>
      </rPr>
      <t>65 kBtu/hr</t>
    </r>
  </si>
  <si>
    <t>LED - 10W (CFL baseline) (750-1049 lumens)</t>
  </si>
  <si>
    <t>LED - 10W (Halogen baseline) (750-1049 lumens)</t>
  </si>
  <si>
    <t>LED - 15W (Halogen baseline) (1050-1489 lumens)</t>
  </si>
  <si>
    <t>LED - 15W (CFL baseline) (1050-1489 lumens)</t>
  </si>
  <si>
    <t>200401_2020_11_</t>
  </si>
  <si>
    <t>LED - 11W Flood Light BR30 Bulb (CFL baseline)</t>
  </si>
  <si>
    <t>200402_2020_11_</t>
  </si>
  <si>
    <t xml:space="preserve">LED - 11W Flood Light BR30 Bulb (Halogen baseline) </t>
  </si>
  <si>
    <t>LED - 20W (CFL baseline) (1490-2600 lumens)</t>
  </si>
  <si>
    <t>LED - 20W (Halogen baseline) (1490-2600 lumens)</t>
  </si>
  <si>
    <t>LED - 10W (Halogen baseline) (750-1049 lumens) - Specialty Connected Light</t>
  </si>
  <si>
    <t>LED - 15W (Halogen baseline) (1050-1489 lumens) - Specialty Connected Light</t>
  </si>
  <si>
    <t>LED - 6W (Halogen baseline) (310-749 lumens)</t>
  </si>
  <si>
    <t>EISA Baseline for Lumen Range (reference IL TRM)</t>
  </si>
  <si>
    <t>Calculation: 850 lumen / 45 lumen per watt, where 850 lumen is the actual value from program delivery for BR30 LED.</t>
  </si>
  <si>
    <t>2019 IL TRM, section 5.5.6.</t>
  </si>
  <si>
    <t>Online Store - Standard</t>
  </si>
  <si>
    <t>Online Store - Reflector</t>
  </si>
  <si>
    <t>Online Store - Specialty</t>
  </si>
  <si>
    <t xml:space="preserve">Upstream - Standard </t>
  </si>
  <si>
    <t>Upstream - Reflector</t>
  </si>
  <si>
    <t>Upstream - Specialty</t>
  </si>
  <si>
    <t>Ameren Missouri Lighting Evaluation PY2019 (weighted average value for Upsteam and Online)</t>
  </si>
  <si>
    <t xml:space="preserve">Online Store </t>
  </si>
  <si>
    <t>Upstream</t>
  </si>
  <si>
    <t>Ameren Missouri Lighting Evaluation PY2019 Final Report, Appendices, Table 2 (weighted average value for Upsteam and Online)</t>
  </si>
  <si>
    <t xml:space="preserve">Based on 20,000 hour rated lamp lifetime, with 19-year measure life cap. </t>
  </si>
  <si>
    <t>Specialty connected lighting has an additional $20 cost per IL TRM 2019</t>
  </si>
  <si>
    <t>Ameren Missouri PY2019 Baseline Study (Non-Low Income Saturation of Central AC)</t>
  </si>
  <si>
    <t>Ameren Missouri Efficient Products Evaluation PY2019 (Table 6-9)</t>
  </si>
  <si>
    <t>All - HVAC Program</t>
  </si>
  <si>
    <t>Ameren Missouri HVAC Evaluation PY2019 (Table 4-13)</t>
  </si>
  <si>
    <t>IL TRM v8.0 pg 165</t>
  </si>
  <si>
    <t>The assumed incremental cost is based on the middle of the range ($175) minus a cost of $50 for the baseline equipment blend of manual
and programmable thermostats.</t>
  </si>
  <si>
    <t>Ameren Missouri EE Kits Evaluation PY2019 (Appendix Table 47)</t>
  </si>
  <si>
    <t>Dirty Filter Alarm_SF:LI Kits</t>
  </si>
  <si>
    <t>Ameren Missouri Appliance Recycling Evaluation PY2019 (Table 9-4)</t>
  </si>
  <si>
    <t>300051_2020_12_</t>
  </si>
  <si>
    <t>Dirty Filter Alarm_SF - LI Kits</t>
  </si>
  <si>
    <t>300060_2020_12_</t>
  </si>
  <si>
    <t>Matches IE Deemed Table value for DI in MF homes.</t>
  </si>
  <si>
    <t>Ameren Missouri EE Kits Evaluation PY2019 (Table 7-10)</t>
  </si>
  <si>
    <t>LED 8W Globe Light G25 Bulb (Halogen Baseline) - LI Kit</t>
  </si>
  <si>
    <t xml:space="preserve"> Ameren Missouri Lighting Evaluation PY2018 </t>
  </si>
  <si>
    <t>Matches value used in Lighting Deemed Table</t>
  </si>
  <si>
    <t>LED 20W (Halogen baseline) (1490-2600 lumens) - LI Kit</t>
  </si>
  <si>
    <t>LED 15W Flood Light PAR30 Bulb (Halogen Baseline) - LI Kit</t>
  </si>
  <si>
    <t>Multifamily</t>
  </si>
  <si>
    <t>LI Kits</t>
  </si>
  <si>
    <t>Ameren Missouri Appliance Recycling Evaluation PY2019 (Appendix Table 56)</t>
  </si>
  <si>
    <t>Ameren Missouri Appliance Recycling Evaluation PY2019 (Table 9-9; cumulative value)</t>
  </si>
  <si>
    <t>Ameren Missouri EE Kits Evaluation PY2019 (Table 7-9)</t>
  </si>
  <si>
    <t>300401_2020_12_</t>
  </si>
  <si>
    <t>300402_2020_12_</t>
  </si>
  <si>
    <t>300403_2020_12_</t>
  </si>
  <si>
    <t>300251_2020_12_</t>
  </si>
  <si>
    <t>LED - 10W (Halogen baseline) (750-1049 lumens) - LI Kit</t>
  </si>
  <si>
    <t>300260_2020_12_</t>
  </si>
  <si>
    <t>Channel</t>
  </si>
  <si>
    <t>School Kits</t>
  </si>
  <si>
    <t>SFLI Kits</t>
  </si>
  <si>
    <t>Non-SFLI Kits</t>
  </si>
  <si>
    <t>Non-School Kits</t>
  </si>
  <si>
    <t>Ameren Missouri EE Kits Evaluation PY2019 (Appendix Table 43)</t>
  </si>
  <si>
    <t>Ameren Missouri Appliance Recycling Evaluation PY2019 (Appendix Table 54)</t>
  </si>
  <si>
    <t xml:space="preserve">Matches EE Kits EM&amp;V.  Community Savers EM&amp;V (1.86) does not make sense for kitchen faucets. </t>
  </si>
  <si>
    <t>Ameren Missouri Single Family Low Income Evaluation PY2019 (Table 10-10)</t>
  </si>
  <si>
    <t>300460_2020_12_</t>
  </si>
  <si>
    <t>300501_2020_12_</t>
  </si>
  <si>
    <t>Kit Faucet Aerator (Kitchen) - SFLI Kits</t>
  </si>
  <si>
    <t>Assumed to be the same as Income Eligible Deemed Tables DI measure</t>
  </si>
  <si>
    <t>Non-Low-Income</t>
  </si>
  <si>
    <t>Ameren Missouri Community Savers Evaluation: PY2018</t>
  </si>
  <si>
    <t>Same as DI measure in Income Eligible Deemed Table.</t>
  </si>
  <si>
    <t>Non-Income Eligible</t>
  </si>
  <si>
    <t xml:space="preserve">Matches SF value for IE.  MF not represented in this assumption. </t>
  </si>
  <si>
    <t>Ameren Missouri Appliance Recycling Evaluation PY2019 (Appendix Table 55)</t>
  </si>
  <si>
    <t>Ameren Missouri EE Kits Evaluation PY2019 (Appendix Table 44)</t>
  </si>
  <si>
    <t>BaselineEnergyAV</t>
  </si>
  <si>
    <t>Baseline kWh usage</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</si>
  <si>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</si>
  <si>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</si>
  <si>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</si>
  <si>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</si>
  <si>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</si>
  <si>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</si>
  <si>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</si>
  <si>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</si>
  <si>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</si>
  <si>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</si>
  <si>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</si>
  <si>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 of product classes B and G</t>
  </si>
  <si>
    <t>In service rate</t>
  </si>
  <si>
    <t>TOS/NC/DI</t>
  </si>
  <si>
    <t>Kits</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</si>
  <si>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</si>
  <si>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</si>
  <si>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</si>
  <si>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Advanced Tier 1 Power Strips -DI - Home Office</t>
  </si>
  <si>
    <t>Advanced Tier 1 Power Strips -DI - Home Entertainment</t>
  </si>
  <si>
    <t>Advanced Tier 1 Power Strips -DI - Unknown Location</t>
  </si>
  <si>
    <t>Home Office</t>
  </si>
  <si>
    <t>Home Entertainment</t>
  </si>
  <si>
    <t>Unknown Location - TOS/NC/DI</t>
  </si>
  <si>
    <t>Unknown Location - Kits</t>
  </si>
  <si>
    <t>Direct Install (DI)</t>
  </si>
  <si>
    <t>Adopting APS Tier 2 value, from Ameren Missouri Single Family Low Income Evaluation PY2019 (Table 10-10)</t>
  </si>
  <si>
    <t>Adopting APS Tier 2 value, from Ameren Missouri Energy Efficient Products Evaluation PY2019 (Table 6-9)</t>
  </si>
  <si>
    <t>Advanced Tier 1 Power Strips -TOS/NC - Home Office</t>
  </si>
  <si>
    <t>Advanced Tier 1 Power Strips -TOS/NC - Home Entertainment</t>
  </si>
  <si>
    <t>Advanced Tier 1 Power Strips -TOS/NC - Unknown Location</t>
  </si>
  <si>
    <t>Advanced Tier 2 Power Strips - SFLI Kits - Unknown Location</t>
  </si>
  <si>
    <t>Calculated from Pipe Diameter (value below)</t>
  </si>
  <si>
    <t>Calculated from Pipe Diameter and Pipe Wrap Width (values below)</t>
  </si>
  <si>
    <t>Ameren Missouri EE Kits Evaluation PY2019 (Appendix Table 44) (adopting Faucet Aerator value)</t>
  </si>
  <si>
    <t>Pipe Insulation - SFLI Kits</t>
  </si>
  <si>
    <t>Low Flow Showerheads - SFLI Kits</t>
  </si>
  <si>
    <t>Kit Faucet Aerator (Bathroom) - SFLI Kits</t>
  </si>
  <si>
    <t>300560_2020_12_</t>
  </si>
  <si>
    <t>300601_2020_12_</t>
  </si>
  <si>
    <t>300660_2020_12_</t>
  </si>
  <si>
    <t>300701_2020_12_</t>
  </si>
  <si>
    <t>300760_2020_12_</t>
  </si>
  <si>
    <t>300801_2020_12_</t>
  </si>
  <si>
    <t>450050_2020_12_</t>
  </si>
  <si>
    <t>Source: Ameren MO PY19 Evaluation Report, Table 5-10 (PY2019 HER Program Adjusted Ex Post Net Annual Savings)</t>
  </si>
  <si>
    <t>600050_2020_12_</t>
  </si>
  <si>
    <t>Demand Impact, Per Device:  Table 4-13. Residential DR Program – Resource Capability Impacts</t>
  </si>
  <si>
    <t>Optimization Energy Savings Summary, Per Device: Table 4-19. Residential DR Program – Device Optimization Energy Savings Summary</t>
  </si>
  <si>
    <t>To account for units not used throughout the entire year</t>
  </si>
  <si>
    <t>Ameren Missouri Appliance Recycling Evaluation PY2019 survey results</t>
  </si>
  <si>
    <t>Refrigerator recycling (post-1990)</t>
  </si>
  <si>
    <t>EERNewBase</t>
  </si>
  <si>
    <t>In Service Rate</t>
  </si>
  <si>
    <t>Ameren Missouri HVAC PY2019 Evaluation (Table 4-13)</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</si>
  <si>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t>
  </si>
  <si>
    <t>Air Sealing (Infiltration reduction) - 30% SF LI DI Gas furnace base</t>
  </si>
  <si>
    <t>Average lumen-equivalent halogen wattage for program bulbs. (Value updated to align the measure with new lumen range and not overlap with the 6W measure.)</t>
  </si>
  <si>
    <t>LED - 6W (Halogen baseline) (310-749 lumens) LIDI</t>
  </si>
  <si>
    <t>LED - 11W Flood Light BR30 Bulb (CFL baseline) LIDI</t>
  </si>
  <si>
    <t>LED - 11W Flood Light BR30 Bulb (Halogen baseline) LI DI</t>
  </si>
  <si>
    <t>MF LI (this value should be used in the custom savings calculations for MF LI measures)</t>
  </si>
  <si>
    <t>SF LI</t>
  </si>
  <si>
    <t>PY19 Evaluation (Table 10-10)</t>
  </si>
  <si>
    <t>IL TRM V8.0, section 5.5.6.</t>
  </si>
  <si>
    <t>Actual wattage for bulb offered by programs, https://amerenmissouristore.com/led-11-watt-flood-br30-65w-eqv/</t>
  </si>
  <si>
    <t>Matched value for LED - 10W (Halogen Baseline)</t>
  </si>
  <si>
    <t>404651_2020_11_</t>
  </si>
  <si>
    <t>405251_2020_11_</t>
  </si>
  <si>
    <t>LED - 10W (Halogen baseline) (750-1049 lumens) LIDI</t>
  </si>
  <si>
    <t>LED - 15W (Halogen baseline) (1050-1489 lumens) LIDI</t>
  </si>
  <si>
    <t>LED - 20W (Halogen baseline) (1490-2600 lumens) LIDI</t>
  </si>
  <si>
    <t>LED - 10W (CFL baseline) (750-1049 lumens) LIDI</t>
  </si>
  <si>
    <t>LED - 15W (CFL baseline) (1050-1489 lumens) LIDI</t>
  </si>
  <si>
    <t>LED - 18W Flood Light PAR38 Bulb (CFL baseline) LIDI</t>
  </si>
  <si>
    <t>LED - 20W (CFL baseline) (1490-2600 lumens) LIDI</t>
  </si>
  <si>
    <t>Watt EE</t>
  </si>
  <si>
    <t>Watt Base</t>
  </si>
  <si>
    <t>LED - 11W Flood Light BR30 Bulb (Halogen baseline)</t>
  </si>
  <si>
    <t>501401_2019_12_</t>
  </si>
  <si>
    <t xml:space="preserve">LED - 6W (Halogen baseline) (310-749 lumens) </t>
  </si>
  <si>
    <t>501310_2020_12_</t>
  </si>
  <si>
    <t>501311_2020_12_</t>
  </si>
  <si>
    <t>Match to LED - 10W (Halogen baseline)</t>
  </si>
  <si>
    <t>Advanced Tier 2 Power Strips / DI / Average</t>
  </si>
  <si>
    <t>Advanced Tier 2 Power Strips / TOS/NC / Average</t>
  </si>
  <si>
    <t>Ameren Missouri Single Family Income Eligible Evaluation PY2019 (Table 10-10)</t>
  </si>
  <si>
    <r>
      <t xml:space="preserve">EFLH </t>
    </r>
    <r>
      <rPr>
        <vertAlign val="subscript"/>
        <sz val="11"/>
        <rFont val="Calibri Light"/>
        <family val="2"/>
        <scheme val="major"/>
      </rPr>
      <t>cool</t>
    </r>
  </si>
  <si>
    <t>Ameren Missouri HVAC Program Evaluation PY2019 (Table 4-13)</t>
  </si>
  <si>
    <t>PY19 Program Data</t>
  </si>
  <si>
    <t xml:space="preserve">Match similar unit. </t>
  </si>
  <si>
    <t>Match similar unit</t>
  </si>
  <si>
    <t>Ductless HP</t>
  </si>
  <si>
    <t>Example costs for Capacity:</t>
  </si>
  <si>
    <t>tons</t>
  </si>
  <si>
    <t>Baseline</t>
  </si>
  <si>
    <t>IL TRM 8.0, ROF HSPFee in 10-10.9 range</t>
  </si>
  <si>
    <t>ER - ASHP</t>
  </si>
  <si>
    <t>IL TRM 8.0, ER HSPFee in 11-12.9 range</t>
  </si>
  <si>
    <t>ER - CAC</t>
  </si>
  <si>
    <t>ER - Elec Resist</t>
  </si>
  <si>
    <t>Efficient Total Cost of Installation ($/ton)</t>
  </si>
  <si>
    <t>Efficiency</t>
  </si>
  <si>
    <t>ROF - ASHP</t>
  </si>
  <si>
    <t>HSPF 10-10.9</t>
  </si>
  <si>
    <t>IL TRM 8.0, p. 141</t>
  </si>
  <si>
    <t>HSPF 11-12.9</t>
  </si>
  <si>
    <t>Baseline Total Cost of Installation ($/ton)</t>
  </si>
  <si>
    <t>ER Deferred</t>
  </si>
  <si>
    <t>IL TRM 8.0, p. 142</t>
  </si>
  <si>
    <t>Elec Resist</t>
  </si>
  <si>
    <t>IL-TRM v8.0</t>
  </si>
  <si>
    <t>GSHP EER 23 ER1 - Heating</t>
  </si>
  <si>
    <t>PY2019 Program Data</t>
  </si>
  <si>
    <t>From Evaluation - Opinion Dynamics review PY2019</t>
  </si>
  <si>
    <t>Duct Repair (Sealing) - Electric Heating MF Adjusted</t>
  </si>
  <si>
    <t>Duct Repair (Sealing) - Gas Heating  MF Adjusted</t>
  </si>
  <si>
    <t>Duct Length (ft)</t>
  </si>
  <si>
    <t>Household Factor</t>
  </si>
  <si>
    <t>End of Useful Life</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</si>
  <si>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</si>
  <si>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</si>
  <si>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</si>
  <si>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</si>
  <si>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403351_2020_11_</t>
  </si>
  <si>
    <t>Low Flow Bathroom Faucet Aerator SFLI</t>
  </si>
  <si>
    <t>Rated flowrate of the baseline aerator</t>
  </si>
  <si>
    <t>Rated flowrate of the low flow aerator</t>
  </si>
  <si>
    <t>Low Flow Faucet Aerators (Bathroom)</t>
  </si>
  <si>
    <t>403470_2020_12_</t>
  </si>
  <si>
    <t>Low Flow Kitchen Faucet Aerator MFLI</t>
  </si>
  <si>
    <t>403471_2020_12_</t>
  </si>
  <si>
    <t>Low Flow Kitchen Faucet Aerator SFLI</t>
  </si>
  <si>
    <t>403480_2020_12_</t>
  </si>
  <si>
    <t>Low Flow Kitchen Faucet Aerator MFLI DI</t>
  </si>
  <si>
    <t>403481_2020_12_</t>
  </si>
  <si>
    <t>Low Flow Kitchen Faucet Aerator SFLI DI</t>
  </si>
  <si>
    <t>Low Flow Faucet Aerators (Kitchen)</t>
  </si>
  <si>
    <t>Estimated Useful Life</t>
  </si>
  <si>
    <t>Actual SFIE program cost (set rate established with installing contractor).</t>
  </si>
  <si>
    <t>Advanced Tier 1 Power Strips / TOS/NC - Home Office</t>
  </si>
  <si>
    <t>Advanced Tier 1 Power Strips / DI - Home Office</t>
  </si>
  <si>
    <t>Advanced Tier 1 Power Strips / TOS/NC - Home Entertainment</t>
  </si>
  <si>
    <t>Advanced Tier 1 Power Strips / DI - Home Entertainment</t>
  </si>
  <si>
    <t>Advanced Tier 1 Power Strips / TOS/NC - Unknown Location</t>
  </si>
  <si>
    <t>Advanced Tier 1 Power Strips / DI - Unknown Location</t>
  </si>
  <si>
    <t>Tier 1 - Non-DI</t>
  </si>
  <si>
    <t>Tier 1 - Direct Install (DI)</t>
  </si>
  <si>
    <t>Tier 2 - Non-DI</t>
  </si>
  <si>
    <t>Tier 2 - Direct Install (DI)</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</si>
  <si>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</si>
  <si>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</si>
  <si>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</si>
  <si>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</si>
  <si>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</si>
  <si>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</si>
  <si>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</si>
  <si>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</si>
  <si>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</si>
  <si>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</si>
  <si>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</si>
  <si>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</si>
  <si>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</si>
  <si>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</si>
  <si>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</si>
  <si>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</si>
  <si>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</si>
  <si>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</si>
  <si>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</si>
  <si>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</si>
  <si>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</si>
  <si>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</si>
  <si>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</si>
  <si>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</si>
  <si>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</si>
  <si>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</si>
  <si>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</si>
  <si>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</si>
  <si>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</si>
  <si>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</si>
  <si>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</si>
  <si>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</si>
  <si>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</si>
  <si>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</si>
  <si>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</si>
  <si>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</si>
  <si>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</si>
  <si>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</si>
  <si>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</si>
  <si>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</si>
  <si>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</si>
  <si>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</si>
  <si>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</si>
  <si>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</si>
  <si>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</si>
  <si>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</si>
  <si>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</si>
  <si>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</si>
  <si>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</si>
  <si>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</si>
  <si>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</si>
  <si>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Clear</t>
  </si>
  <si>
    <t>$30 cost per window for installation divided by average area (15 sq ft)</t>
  </si>
  <si>
    <t>Location</t>
  </si>
  <si>
    <t>Source: Ameren MO PY2019 Final Report</t>
  </si>
  <si>
    <t xml:space="preserve">LED Replacing Interior T8 Fluorescent (Type A / Hybrid) </t>
  </si>
  <si>
    <t>WHFe + -IFkWh</t>
  </si>
  <si>
    <t xml:space="preserve"> - </t>
  </si>
  <si>
    <t>PY19 Bulbs</t>
  </si>
  <si>
    <t>LI</t>
  </si>
  <si>
    <t>300851_2020_12_</t>
  </si>
  <si>
    <t>300951_2020_12_</t>
  </si>
  <si>
    <t>301051_2020_12_</t>
  </si>
  <si>
    <t>301150_2020_12_</t>
  </si>
  <si>
    <t>Unknown Baseline (Weighted Average)</t>
  </si>
  <si>
    <t>Baseline Manual Thermostat</t>
  </si>
  <si>
    <t>Baseline Programmable Thermostat</t>
  </si>
  <si>
    <t>Baseline Smart Thermostat</t>
  </si>
  <si>
    <t>Frequency of Baseline Thermostats</t>
  </si>
  <si>
    <t>Tracking Database</t>
  </si>
  <si>
    <t>251001_2020_12_</t>
  </si>
  <si>
    <t>405451_2020_12_</t>
  </si>
  <si>
    <t>405551_2020_12_</t>
  </si>
  <si>
    <t>405651_2020_12_</t>
  </si>
  <si>
    <t>405751_2020_12_</t>
  </si>
  <si>
    <t>Dirty Filter Alarm_SF - ARP Kits</t>
  </si>
  <si>
    <t>LED - 10W (Halogen baseline) (750-1049 lumens) - ARP Kit</t>
  </si>
  <si>
    <t>Kit Faucet Aerator (Kitchen) - ARP Kits</t>
  </si>
  <si>
    <t>Kit Faucet Aerator (Bathroom) - ARP Kits</t>
  </si>
  <si>
    <t>Low Flow Showerheads - ARP Kits</t>
  </si>
  <si>
    <t>Pipe Insulation - ARP Kits</t>
  </si>
  <si>
    <t>ARP Kits</t>
  </si>
  <si>
    <t>Ameren Missouri Efficient Kits Impact and Process Evaluation: PY2018PY2019 (Table 7-10)</t>
  </si>
  <si>
    <t>Ameren Missouri Appliance Recycling Evaluation PY2019 (Table 9-10)</t>
  </si>
  <si>
    <t>Ameren Missouri Single Family Low Income Impact and Process Evaluation: PY2019 (Table 10-10)</t>
  </si>
  <si>
    <t xml:space="preserve">Match value for Income Eligible (Non DI) showerhead. </t>
  </si>
  <si>
    <t>Assume same as Tier 1 APS</t>
  </si>
  <si>
    <t>Cooling</t>
  </si>
  <si>
    <t>Heating</t>
  </si>
  <si>
    <t>Online market research (matches Products)</t>
  </si>
  <si>
    <t>Updated “Deemed Tables” with PY19 Evaluation results and variations of existing measures such as "direct install" and other options.  Updated Appendix H &amp; I for consistency.</t>
  </si>
  <si>
    <t>LED Retrofit Kit with Network Controls Replacing Interior T5 Fluorescent</t>
  </si>
  <si>
    <t>LED Fixture with Network Controls Replacing Interior T5 Fluorescent</t>
  </si>
  <si>
    <t>LED Retrofit Kit with Network Controls Replacing Interior T8 Fluorescent</t>
  </si>
  <si>
    <t>LED Fixture with Network Controls Replacing Interior T8 Fluorescent</t>
  </si>
  <si>
    <t>LED Retrofit Kit with Network Controls Replacing Interior T12 Fluorescent</t>
  </si>
  <si>
    <t>LED Fixture with Network Controls Replacing Interior T12 Fluorescent</t>
  </si>
  <si>
    <t>LED Retrofit Kit with Network Controls Replacing Interior HID</t>
  </si>
  <si>
    <t>LED Fixture with Network Controls Replacing Interior HID</t>
  </si>
  <si>
    <t>801225_2020_12_</t>
  </si>
  <si>
    <t>801227_2020_12_</t>
  </si>
  <si>
    <t>801229_2020_12_</t>
  </si>
  <si>
    <t>801231_2020_12_</t>
  </si>
  <si>
    <t>801233_2020_12_</t>
  </si>
  <si>
    <t>801235_2020_12_</t>
  </si>
  <si>
    <t>801237_2020_12_</t>
  </si>
  <si>
    <t>801239_2020_12_</t>
  </si>
  <si>
    <t>402452_2020_12_</t>
  </si>
  <si>
    <t>402453_2020_12_</t>
  </si>
  <si>
    <t>405410_2019_12_</t>
  </si>
  <si>
    <t>800901_2020_12_</t>
  </si>
  <si>
    <t>(Conservative Deemed Approach)</t>
  </si>
  <si>
    <t>HeatSavingsPerUnit</t>
  </si>
  <si>
    <t>CoolSavingsPerUnit</t>
  </si>
  <si>
    <t>Lighting - LED with Network Controls</t>
  </si>
  <si>
    <t>Lighting - Occupancy Sensor Lighting Controls</t>
  </si>
  <si>
    <t xml:space="preserve">* Demand savings are calculated for demand response events, therefore no demand savings are calculated based on the energy savings for this measure. For planning estimates a value of 1.41 kW/thermostat is assumed based on the PY19 evaluation results. </t>
  </si>
  <si>
    <t>This parameter is sometimes described in terms of Utility Adjustment, where the Utility Adjusment = 1 - Leakage</t>
  </si>
  <si>
    <t xml:space="preserve">“Energy Savings of Tier 2 Advanced Power Strips in Residential AV Systems,” AESC, Inc., February 2016. Note this load represents the average controlled AV devices only and will likely be lower than total AV usage.  </t>
  </si>
  <si>
    <t>Advanced Tier 2 Power Strips - TOS/NC/DI - Unknown Location</t>
  </si>
  <si>
    <t>EUL estimated based on 20,000 lifetime hours: 20,000 lifetime hours / 3,612 annual hours = 5.5 years; rounded to 6.0.</t>
  </si>
  <si>
    <t>DI (Single Family)</t>
  </si>
  <si>
    <t>DI (Multifamily)</t>
  </si>
  <si>
    <t>Ameren Missouri Community Savers Evaluation PY2018 Tenant Surveys and Site Visits</t>
  </si>
  <si>
    <t xml:space="preserve">2017 Ameren MO Lighting study </t>
  </si>
  <si>
    <t xml:space="preserve">Matches  Ameren Missouri  Evaluation PY2018 </t>
  </si>
  <si>
    <t>** CFL baseline is Post 2021, EISA baseline is pre-2021 **</t>
  </si>
  <si>
    <t>2017 Ameren MO Lighting study  - Matches Ameren Missouri Lighting Evaluation PY2018</t>
  </si>
  <si>
    <t>301149_2020_12_</t>
  </si>
  <si>
    <r>
      <t>Capacity</t>
    </r>
    <r>
      <rPr>
        <vertAlign val="subscript"/>
        <sz val="11"/>
        <rFont val="Calibri"/>
        <family val="2"/>
        <scheme val="minor"/>
      </rPr>
      <t>Cooling</t>
    </r>
  </si>
  <si>
    <r>
      <t>Sbdegrees</t>
    </r>
    <r>
      <rPr>
        <vertAlign val="subscript"/>
        <sz val="11"/>
        <rFont val="Calibri"/>
        <family val="2"/>
        <scheme val="minor"/>
      </rPr>
      <t>cooling</t>
    </r>
  </si>
  <si>
    <r>
      <t>SF</t>
    </r>
    <r>
      <rPr>
        <vertAlign val="subscript"/>
        <sz val="11"/>
        <rFont val="Calibri"/>
        <family val="2"/>
        <scheme val="minor"/>
      </rPr>
      <t>cooling</t>
    </r>
  </si>
  <si>
    <r>
      <t>EF</t>
    </r>
    <r>
      <rPr>
        <vertAlign val="subscript"/>
        <sz val="11"/>
        <rFont val="Calibri"/>
        <family val="2"/>
        <scheme val="minor"/>
      </rPr>
      <t>cooling</t>
    </r>
  </si>
  <si>
    <r>
      <t>Capacity</t>
    </r>
    <r>
      <rPr>
        <vertAlign val="subscript"/>
        <sz val="11"/>
        <rFont val="Calibri"/>
        <family val="2"/>
        <scheme val="minor"/>
      </rPr>
      <t>Heating</t>
    </r>
  </si>
  <si>
    <r>
      <t>Sbdegrees</t>
    </r>
    <r>
      <rPr>
        <vertAlign val="subscript"/>
        <sz val="11"/>
        <rFont val="Calibri"/>
        <family val="2"/>
        <scheme val="minor"/>
      </rPr>
      <t>heating</t>
    </r>
  </si>
  <si>
    <r>
      <t>SF</t>
    </r>
    <r>
      <rPr>
        <vertAlign val="subscript"/>
        <sz val="11"/>
        <rFont val="Calibri"/>
        <family val="2"/>
        <scheme val="minor"/>
      </rPr>
      <t>heating</t>
    </r>
  </si>
  <si>
    <r>
      <t>EF</t>
    </r>
    <r>
      <rPr>
        <vertAlign val="subscript"/>
        <sz val="11"/>
        <rFont val="Calibri"/>
        <family val="2"/>
        <scheme val="minor"/>
      </rPr>
      <t>heating</t>
    </r>
  </si>
  <si>
    <r>
      <t xml:space="preserve">EFLH </t>
    </r>
    <r>
      <rPr>
        <vertAlign val="subscript"/>
        <sz val="11"/>
        <rFont val="Calibri Light"/>
        <family val="2"/>
        <scheme val="major"/>
      </rPr>
      <t>heating</t>
    </r>
  </si>
  <si>
    <r>
      <t xml:space="preserve">WI_EFLH </t>
    </r>
    <r>
      <rPr>
        <vertAlign val="subscript"/>
        <sz val="11"/>
        <rFont val="Calibri Light"/>
        <family val="2"/>
        <scheme val="major"/>
      </rPr>
      <t>heating</t>
    </r>
  </si>
  <si>
    <r>
      <t xml:space="preserve">EFLH </t>
    </r>
    <r>
      <rPr>
        <vertAlign val="subscript"/>
        <sz val="11"/>
        <rFont val="Calibri Light"/>
        <family val="2"/>
        <scheme val="major"/>
      </rPr>
      <t>cooling</t>
    </r>
  </si>
  <si>
    <r>
      <t xml:space="preserve">WI_EFLH </t>
    </r>
    <r>
      <rPr>
        <vertAlign val="subscript"/>
        <sz val="11"/>
        <rFont val="Calibri Light"/>
        <family val="2"/>
        <scheme val="major"/>
      </rPr>
      <t>cooling</t>
    </r>
  </si>
  <si>
    <t>Room AC Recycling</t>
  </si>
  <si>
    <t>ARP</t>
  </si>
  <si>
    <t>200401_2020_12_</t>
  </si>
  <si>
    <t>200402_2020_12_</t>
  </si>
  <si>
    <t>403351_2020_12_</t>
  </si>
  <si>
    <t>404651_2020_12_</t>
  </si>
  <si>
    <t>405251_2020_12_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</si>
</sst>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15"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sz val="11"/>
      <color theme="2" tint="-0.249977111117893"/>
      <name val="Calibri Light"/>
      <family val="2"/>
    </font>
    <font>
      <sz val="10"/>
      <color theme="2" tint="-0.249977111117893"/>
      <name val="Arial"/>
      <family val="2"/>
    </font>
    <font>
      <b/>
      <sz val="14"/>
      <name val="Calibri"/>
      <family val="2"/>
      <scheme val="minor"/>
    </font>
    <font>
      <b/>
      <sz val="9"/>
      <color indexed="81"/>
      <name val="Tahoma"/>
      <charset val="1"/>
    </font>
    <font>
      <sz val="10"/>
      <name val="Calibri Light"/>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146">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0" fontId="24" fillId="8" borderId="9" xfId="0" applyFont="1" applyFill="1" applyBorder="1"/>
    <xf numFmtId="0" fontId="0" fillId="8" borderId="9" xfId="0" applyFill="1" applyBorder="1" applyAlignment="1">
      <alignment horizontal="center" wrapText="1"/>
    </xf>
    <xf numFmtId="0" fontId="24" fillId="4" borderId="9" xfId="0" applyFont="1" applyFill="1" applyBorder="1" applyAlignment="1">
      <alignment horizontal="center" vertical="center" wrapText="1"/>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4" fillId="4" borderId="9" xfId="8" applyFont="1" applyFill="1" applyBorder="1" applyAlignment="1">
      <alignment horizontal="left"/>
    </xf>
    <xf numFmtId="44" fontId="0" fillId="0" borderId="21" xfId="2" applyFont="1" applyFill="1" applyBorder="1"/>
    <xf numFmtId="2" fontId="24" fillId="0" borderId="9" xfId="0" applyNumberFormat="1" applyFont="1" applyBorder="1"/>
    <xf numFmtId="2" fontId="0" fillId="0" borderId="22" xfId="1" applyNumberFormat="1" applyFont="1" applyBorder="1" applyAlignment="1">
      <alignment horizontal="center"/>
    </xf>
    <xf numFmtId="0" fontId="24" fillId="4" borderId="23" xfId="8"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4"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165" fontId="4" fillId="0" borderId="9" xfId="0" applyNumberFormat="1" applyFont="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2" fontId="0" fillId="8" borderId="9" xfId="1" applyNumberFormat="1" applyFont="1" applyFill="1" applyBorder="1"/>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2" fontId="0" fillId="0" borderId="22" xfId="0" applyNumberFormat="1" applyFont="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171" fontId="0" fillId="4" borderId="9" xfId="5" applyNumberFormat="1" applyFont="1" applyFill="1" applyBorder="1" applyAlignment="1">
      <alignment horizontal="center"/>
    </xf>
    <xf numFmtId="2" fontId="12" fillId="0" borderId="0" xfId="6" applyNumberFormat="1" applyFont="1" applyFill="1" applyBorder="1" applyAlignment="1">
      <alignment horizontal="center"/>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9" xfId="0" applyFont="1" applyBorder="1"/>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4" borderId="14" xfId="0" applyNumberFormat="1" applyFont="1" applyFill="1" applyBorder="1"/>
    <xf numFmtId="2" fontId="24" fillId="0" borderId="14" xfId="0" applyNumberFormat="1" applyFont="1" applyBorder="1"/>
    <xf numFmtId="2" fontId="4" fillId="0" borderId="14" xfId="0" applyNumberFormat="1" applyFont="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4" borderId="23" xfId="7" applyNumberFormat="1" applyFont="1" applyFill="1" applyBorder="1" applyAlignment="1">
      <alignment horizontal="center" vertical="center" wrapText="1"/>
    </xf>
    <xf numFmtId="10" fontId="41" fillId="0" borderId="23" xfId="7" applyNumberFormat="1" applyFont="1" applyFill="1" applyBorder="1" applyAlignment="1">
      <alignment horizontal="center" vertical="center" wrapText="1"/>
    </xf>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10" fontId="32" fillId="4" borderId="9" xfId="7" applyNumberFormat="1" applyFont="1" applyFill="1" applyBorder="1" applyAlignment="1">
      <alignment horizontal="center" vertical="center" wrapText="1"/>
    </xf>
    <xf numFmtId="10" fontId="41" fillId="0" borderId="9" xfId="7" applyNumberFormat="1" applyFont="1" applyFill="1" applyBorder="1" applyAlignment="1">
      <alignment horizontal="center" vertical="center" wrapText="1"/>
    </xf>
    <xf numFmtId="10" fontId="32" fillId="0" borderId="9" xfId="7" applyNumberFormat="1" applyFont="1" applyFill="1" applyBorder="1" applyAlignment="1">
      <alignment horizontal="center" vertical="center" wrapText="1"/>
    </xf>
    <xf numFmtId="39" fontId="0" fillId="4" borderId="9" xfId="5" applyNumberFormat="1" applyFont="1" applyFill="1" applyBorder="1" applyAlignment="1">
      <alignment horizontal="center"/>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39" fontId="24" fillId="0" borderId="9" xfId="5" applyNumberFormat="1" applyFont="1" applyFill="1" applyBorder="1" applyAlignment="1">
      <alignment horizontal="center"/>
    </xf>
    <xf numFmtId="9" fontId="32" fillId="4" borderId="9" xfId="7" applyFont="1" applyFill="1" applyBorder="1" applyAlignment="1">
      <alignment horizontal="center" vertical="center" wrapText="1"/>
    </xf>
    <xf numFmtId="9" fontId="32" fillId="0" borderId="9" xfId="7" applyFont="1" applyFill="1" applyBorder="1" applyAlignment="1">
      <alignment horizontal="center" vertical="center" wrapText="1"/>
    </xf>
    <xf numFmtId="9" fontId="41" fillId="0" borderId="9" xfId="7" applyFont="1" applyFill="1" applyBorder="1" applyAlignment="1">
      <alignment horizontal="center" vertical="center" wrapText="1"/>
    </xf>
    <xf numFmtId="165" fontId="24" fillId="4" borderId="9" xfId="0" applyNumberFormat="1" applyFont="1" applyFill="1" applyBorder="1" applyAlignment="1">
      <alignment horizontal="center" vertical="center" wrapText="1"/>
    </xf>
    <xf numFmtId="0" fontId="35" fillId="6" borderId="0" xfId="5" applyFont="1" applyFill="1" applyAlignment="1">
      <alignment vertical="center"/>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188" fontId="24" fillId="4" borderId="9" xfId="6"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0" fontId="24" fillId="4" borderId="9" xfId="13" applyFont="1" applyFill="1" applyBorder="1" applyAlignment="1">
      <alignment horizontal="center"/>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0" fontId="29" fillId="0" borderId="9" xfId="8" applyFont="1" applyFill="1" applyBorder="1" applyAlignment="1">
      <alignment horizontal="left"/>
    </xf>
    <xf numFmtId="9" fontId="29" fillId="4" borderId="9" xfId="3" applyFont="1" applyFill="1" applyBorder="1" applyAlignment="1">
      <alignment horizontal="center"/>
    </xf>
    <xf numFmtId="0" fontId="29" fillId="0" borderId="9" xfId="8" applyFont="1" applyFill="1" applyBorder="1" applyAlignment="1">
      <alignment wrapText="1"/>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0" fontId="24" fillId="0" borderId="9" xfId="0" applyFont="1" applyFill="1" applyBorder="1" applyAlignment="1">
      <alignment horizontal="left"/>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0" fontId="29" fillId="0" borderId="9" xfId="8" applyFont="1" applyFill="1" applyBorder="1" applyAlignment="1">
      <alignment horizontal="left" wrapText="1"/>
    </xf>
    <xf numFmtId="10" fontId="29" fillId="4" borderId="9" xfId="3" applyNumberFormat="1" applyFont="1" applyFill="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9" fillId="0" borderId="0" xfId="8" applyFont="1" applyAlignment="1">
      <alignment horizontal="left" wrapText="1"/>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165" fontId="24" fillId="0" borderId="9" xfId="6" applyNumberFormat="1" applyFont="1" applyFill="1" applyBorder="1" applyAlignment="1">
      <alignment horizontal="left" vertical="center" wrapText="1"/>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0" fontId="24" fillId="0" borderId="0" xfId="0" applyFont="1" applyFill="1" applyBorder="1" applyAlignment="1">
      <alignment horizontal="center" vertical="center" wrapText="1"/>
    </xf>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24" fillId="4" borderId="9" xfId="0" applyFont="1" applyFill="1" applyBorder="1" applyAlignment="1">
      <alignment horizontal="left"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left"/>
    </xf>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0" applyFont="1" applyFill="1" applyBorder="1" applyAlignment="1"/>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52" fillId="0" borderId="9" xfId="8" applyNumberFormat="1" applyFont="1" applyFill="1" applyBorder="1" applyAlignment="1">
      <alignment horizontal="left" vertical="center"/>
    </xf>
    <xf numFmtId="0" fontId="24" fillId="0" borderId="23" xfId="0" applyFont="1" applyFill="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left" vertical="center" wrapText="1"/>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4" fillId="0" borderId="0" xfId="8" applyFont="1" applyBorder="1" applyAlignment="1">
      <alignment horizontal="left" vertical="center" wrapText="1"/>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10" fontId="30" fillId="4" borderId="9" xfId="3" applyNumberFormat="1"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0" borderId="9" xfId="2"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4" fillId="4" borderId="0" xfId="0" applyFont="1" applyFill="1" applyBorder="1" applyAlignment="1">
      <alignment horizontal="center"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39" fontId="24" fillId="4"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0" fontId="24" fillId="0" borderId="9" xfId="0" applyFont="1" applyFill="1" applyBorder="1" applyAlignment="1">
      <alignment horizontal="center" vertical="center" wrapText="1"/>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39" fontId="24" fillId="4" borderId="0" xfId="1" applyNumberFormat="1" applyFont="1" applyFill="1" applyBorder="1" applyAlignment="1" applyProtection="1">
      <alignment horizontal="right"/>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0" fontId="24" fillId="4" borderId="0" xfId="0" applyFont="1" applyFill="1" applyBorder="1" applyAlignment="1">
      <alignment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0" fontId="24" fillId="0" borderId="9" xfId="0" applyFont="1" applyBorder="1" applyAlignment="1">
      <alignment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180" fontId="24"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0" fontId="4" fillId="4" borderId="9" xfId="0" applyFont="1" applyFill="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44" fontId="0" fillId="0" borderId="25" xfId="0" applyNumberFormat="1" applyFont="1" applyBorder="1" applyAlignment="1">
      <alignment horizontal="center"/>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0" fontId="24" fillId="0" borderId="9" xfId="0" applyFont="1" applyFill="1" applyBorder="1"/>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4" borderId="0" xfId="0" applyFont="1" applyFill="1"/>
    <xf numFmtId="44" fontId="0" fillId="8" borderId="9" xfId="1" applyNumberFormat="1" applyFont="1" applyFill="1" applyBorder="1" applyAlignment="1">
      <alignment horizontal="center" wrapText="1"/>
    </xf>
    <xf numFmtId="0" fontId="24" fillId="4" borderId="19" xfId="0" applyFont="1" applyFill="1" applyBorder="1" applyAlignment="1">
      <alignment horizontal="left" vertic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0" fontId="24" fillId="4" borderId="23" xfId="0" applyFont="1" applyFill="1" applyBorder="1" applyAlignment="1">
      <alignment horizontal="left" vertical="center" wrapText="1"/>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4" fillId="4" borderId="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4" fillId="4"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0" fontId="24" fillId="0" borderId="16" xfId="0" applyFont="1" applyBorder="1" applyAlignment="1">
      <alignment horizontal="left"/>
    </xf>
    <xf numFmtId="0" fontId="24" fillId="0" borderId="18" xfId="0" applyFont="1" applyBorder="1"/>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0" fontId="4"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0" fontId="24" fillId="4" borderId="14" xfId="0"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0" fontId="24" fillId="4" borderId="30" xfId="0" applyFont="1" applyFill="1" applyBorder="1" applyAlignment="1">
      <alignment horizontal="left" vertical="center" wrapText="1"/>
    </xf>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4" fillId="4" borderId="16" xfId="0" applyFont="1" applyFill="1" applyBorder="1" applyAlignment="1">
      <alignment horizontal="left" vertical="top" wrapText="1"/>
    </xf>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4"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0" fontId="24" fillId="16" borderId="14" xfId="0"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9" fontId="24" fillId="4" borderId="0" xfId="3"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0" fontId="24" fillId="0" borderId="9" xfId="0" applyFont="1" applyBorder="1"/>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1" fontId="24" fillId="4" borderId="53" xfId="0" applyNumberFormat="1" applyFont="1" applyFill="1" applyBorder="1" applyAlignment="1">
      <alignment horizontal="left"/>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1" fontId="24" fillId="4" borderId="54"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2" fontId="24" fillId="8" borderId="14" xfId="0" applyNumberFormat="1" applyFont="1" applyFill="1" applyBorder="1" applyAlignment="1">
      <alignment wrapText="1"/>
    </xf>
    <xf numFmtId="7" fontId="4" fillId="4" borderId="4" xfId="2" applyNumberFormat="1" applyFont="1" applyFill="1" applyBorder="1" applyAlignment="1">
      <alignment horizontal="center" vertical="center" wrapText="1"/>
    </xf>
    <xf numFmtId="7" fontId="24" fillId="4" borderId="4" xfId="2" applyNumberFormat="1" applyFont="1" applyFill="1" applyBorder="1" applyAlignment="1">
      <alignment horizontal="center" vertical="center" wrapText="1"/>
    </xf>
    <xf numFmtId="7" fontId="4" fillId="0" borderId="4" xfId="2" applyNumberFormat="1" applyFont="1" applyBorder="1" applyAlignment="1">
      <alignment horizontal="center" vertical="center"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0" fontId="4" fillId="4" borderId="0" xfId="0" applyFont="1" applyFill="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0" fontId="56" fillId="0" borderId="19" xfId="8" applyFont="1" applyBorder="1" applyAlignment="1">
      <alignment horizontal="left" vertical="center"/>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0" fontId="24" fillId="4" borderId="9" xfId="8" applyFont="1" applyFill="1" applyBorder="1" applyAlignment="1">
      <alignment wrapText="1"/>
    </xf>
    <xf numFmtId="9" fontId="24" fillId="0" borderId="9" xfId="3" applyFont="1" applyBorder="1" applyAlignment="1">
      <alignment horizontal="center"/>
    </xf>
    <xf numFmtId="0" fontId="56" fillId="0" borderId="19" xfId="8" applyFont="1" applyFill="1" applyBorder="1" applyAlignment="1">
      <alignment horizontal="left" vertic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165" fontId="1" fillId="0" borderId="19" xfId="13" applyNumberFormat="1" applyFont="1" applyFill="1" applyBorder="1" applyAlignment="1">
      <alignment horizontal="left" vertical="center" wrapText="1"/>
    </xf>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0" fillId="0" borderId="19" xfId="8" applyFont="1" applyBorder="1" applyAlignment="1">
      <alignment horizontal="left" vertic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9" fontId="24" fillId="0" borderId="19" xfId="3" applyFont="1" applyFill="1" applyBorder="1" applyAlignment="1">
      <alignment horizontal="left" vertical="center" wrapText="1"/>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43" fontId="4" fillId="0" borderId="9" xfId="1" applyFont="1" applyBorder="1"/>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0" fontId="24" fillId="0" borderId="9" xfId="8" applyFont="1" applyBorder="1" applyAlignment="1">
      <alignment wrapText="1"/>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4" fillId="0" borderId="9" xfId="6" applyNumberFormat="1" applyFont="1" applyFill="1" applyBorder="1" applyAlignment="1">
      <alignment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39" fontId="1" fillId="0" borderId="9" xfId="5" applyNumberFormat="1" applyFont="1" applyBorder="1" applyAlignment="1">
      <alignment horizontal="center"/>
    </xf>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0" fontId="0" fillId="0" borderId="16" xfId="0" applyBorder="1"/>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0" fillId="0" borderId="27" xfId="0" applyBorder="1" applyAlignment="1">
      <alignment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2" fillId="0" borderId="9" xfId="8" applyFont="1" applyBorder="1" applyAlignment="1">
      <alignment horizontal="left" vertic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0" fontId="42" fillId="0" borderId="19" xfId="8" applyFont="1" applyBorder="1" applyAlignment="1">
      <alignment horizontal="left" vertic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0" fontId="29" fillId="4" borderId="9" xfId="8" applyFont="1" applyFill="1" applyBorder="1" applyAlignment="1">
      <alignment wrapText="1"/>
    </xf>
    <xf numFmtId="0" fontId="24" fillId="0" borderId="9" xfId="0" applyFont="1" applyBorder="1" applyAlignment="1">
      <alignment horizontal="left"/>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165" fontId="0" fillId="0" borderId="9" xfId="0"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10" fontId="24" fillId="4" borderId="9" xfId="7" applyNumberFormat="1" applyFont="1" applyFill="1" applyBorder="1" applyAlignment="1">
      <alignment horizontal="center" vertical="center" wrapText="1"/>
    </xf>
    <xf numFmtId="10" fontId="47" fillId="4" borderId="9" xfId="7" applyNumberFormat="1" applyFont="1" applyFill="1" applyBorder="1" applyAlignment="1">
      <alignment horizontal="center" vertical="center" wrapText="1"/>
    </xf>
    <xf numFmtId="9" fontId="24" fillId="4" borderId="9" xfId="7" applyFont="1" applyFill="1" applyBorder="1" applyAlignment="1">
      <alignment horizontal="center" vertical="center" wrapText="1"/>
    </xf>
    <xf numFmtId="200" fontId="70" fillId="0" borderId="9" xfId="8" applyNumberFormat="1" applyFont="1" applyBorder="1" applyAlignment="1">
      <alignment horizontal="center"/>
    </xf>
    <xf numFmtId="0" fontId="24" fillId="0" borderId="0" xfId="0" applyFont="1" applyAlignment="1">
      <alignment horizontal="left" wrapText="1"/>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11" borderId="20" xfId="5"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24" fillId="0" borderId="9" xfId="6" applyFont="1" applyFill="1" applyBorder="1" applyAlignment="1">
      <alignment wrapText="1"/>
    </xf>
    <xf numFmtId="0" fontId="24" fillId="11" borderId="9" xfId="0" applyFont="1" applyFill="1" applyBorder="1" applyAlignment="1">
      <alignment horizontal="center"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7"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24" fillId="0" borderId="23" xfId="0" applyFont="1" applyFill="1" applyBorder="1" applyAlignment="1">
      <alignment horizontal="left"/>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0" borderId="9" xfId="0" applyFont="1" applyBorder="1" applyAlignment="1">
      <alignment horizontal="left"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15" borderId="9" xfId="0" applyFont="1" applyFill="1" applyBorder="1" applyAlignment="1">
      <alignment horizontal="center" vertical="center" wrapText="1"/>
    </xf>
    <xf numFmtId="0" fontId="24" fillId="11" borderId="19" xfId="5" applyFont="1" applyFill="1" applyBorder="1" applyAlignment="1">
      <alignment horizontal="left" vertical="center" wrapText="1"/>
    </xf>
    <xf numFmtId="0" fontId="24" fillId="11" borderId="9" xfId="5" applyFont="1" applyFill="1" applyBorder="1" applyAlignment="1">
      <alignment horizontal="center" vertical="center" wrapText="1"/>
    </xf>
    <xf numFmtId="0" fontId="24" fillId="0" borderId="9" xfId="8" applyFont="1" applyFill="1" applyBorder="1" applyAlignment="1">
      <alignment wrapText="1"/>
    </xf>
    <xf numFmtId="3" fontId="24" fillId="0" borderId="9" xfId="0" applyNumberFormat="1"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165" fontId="24" fillId="0" borderId="9" xfId="13" applyNumberFormat="1" applyFont="1" applyFill="1" applyBorder="1" applyAlignment="1">
      <alignment vertical="center" wrapText="1"/>
    </xf>
    <xf numFmtId="0" fontId="24" fillId="11" borderId="9" xfId="0" applyFont="1" applyFill="1" applyBorder="1" applyAlignment="1">
      <alignment vertical="center" wrapText="1"/>
    </xf>
    <xf numFmtId="0" fontId="24" fillId="0" borderId="18"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0" borderId="9" xfId="0" applyFont="1" applyFill="1" applyBorder="1" applyAlignment="1">
      <alignment vertical="center" wrapText="1"/>
    </xf>
    <xf numFmtId="0" fontId="52" fillId="4" borderId="19" xfId="8" applyFont="1" applyFill="1" applyBorder="1" applyAlignment="1">
      <alignment horizontal="left" vertical="center"/>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24" fillId="4" borderId="9" xfId="8" applyFont="1" applyFill="1" applyBorder="1" applyAlignment="1">
      <alignment horizontal="left" vertical="center"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52" fillId="0" borderId="19" xfId="8" applyFont="1" applyBorder="1" applyAlignment="1">
      <alignment horizontal="left" vertical="center"/>
    </xf>
    <xf numFmtId="165" fontId="52" fillId="0" borderId="19" xfId="8" applyNumberFormat="1" applyFont="1" applyFill="1" applyBorder="1" applyAlignment="1">
      <alignment horizontal="left" vertical="center"/>
    </xf>
    <xf numFmtId="0" fontId="24" fillId="0" borderId="23" xfId="0" applyFont="1" applyBorder="1" applyAlignment="1">
      <alignment horizontal="left" vertical="center"/>
    </xf>
    <xf numFmtId="0" fontId="24" fillId="0" borderId="19" xfId="8" applyFont="1" applyBorder="1" applyAlignment="1">
      <alignment horizontal="left" vertical="center" wrapText="1"/>
    </xf>
    <xf numFmtId="4" fontId="29" fillId="0" borderId="14" xfId="8" applyNumberFormat="1" applyFont="1" applyFill="1" applyBorder="1" applyAlignment="1">
      <alignment horizontal="center"/>
    </xf>
    <xf numFmtId="0" fontId="44" fillId="6" borderId="0" xfId="0" applyFont="1" applyFill="1" applyAlignment="1">
      <alignment horizontal="center"/>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center" vertical="center"/>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168" fontId="24" fillId="4"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2" fontId="24" fillId="7"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0" fontId="24" fillId="0" borderId="34" xfId="0" applyFont="1" applyBorder="1" applyAlignment="1">
      <alignment wrapText="1"/>
    </xf>
    <xf numFmtId="181" fontId="24" fillId="0" borderId="0" xfId="6" applyNumberFormat="1" applyFont="1" applyFill="1"/>
    <xf numFmtId="9" fontId="24" fillId="0" borderId="0" xfId="3" applyFont="1" applyFill="1"/>
    <xf numFmtId="0" fontId="71" fillId="6" borderId="0" xfId="5" applyFont="1" applyFill="1" applyAlignment="1">
      <alignment vertical="center"/>
    </xf>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0" fontId="24" fillId="0" borderId="9" xfId="8" applyFont="1" applyBorder="1" applyAlignment="1">
      <alignment horizontal="center"/>
    </xf>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4" borderId="0" xfId="0" applyFont="1" applyFill="1" applyAlignment="1">
      <alignment wrapText="1"/>
    </xf>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0" fontId="39" fillId="4" borderId="0" xfId="0" applyFont="1" applyFill="1" applyBorder="1" applyAlignment="1">
      <alignment horizontal="center" vertical="center"/>
    </xf>
    <xf numFmtId="165" fontId="24" fillId="4" borderId="0" xfId="0" applyNumberFormat="1" applyFont="1" applyFill="1" applyBorder="1" applyAlignment="1">
      <alignment horizontal="center" vertical="center"/>
    </xf>
    <xf numFmtId="178" fontId="24" fillId="4" borderId="0" xfId="0" applyNumberFormat="1" applyFont="1" applyFill="1" applyBorder="1" applyAlignment="1">
      <alignment horizontal="center" vertical="center"/>
    </xf>
    <xf numFmtId="181" fontId="24" fillId="4" borderId="0" xfId="0" applyNumberFormat="1" applyFont="1" applyFill="1" applyBorder="1" applyAlignment="1">
      <alignment horizontal="center" vertical="center" wrapText="1"/>
    </xf>
    <xf numFmtId="4" fontId="24" fillId="4" borderId="0" xfId="0" applyNumberFormat="1" applyFont="1" applyFill="1" applyBorder="1" applyAlignment="1">
      <alignment horizontal="center" vertical="center" wrapText="1"/>
    </xf>
    <xf numFmtId="190" fontId="24" fillId="4" borderId="0" xfId="0" applyNumberFormat="1" applyFont="1" applyFill="1" applyBorder="1" applyAlignment="1">
      <alignment horizontal="center" vertical="center" wrapText="1"/>
    </xf>
    <xf numFmtId="10" fontId="24" fillId="4" borderId="0"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3" fillId="0" borderId="0" xfId="0" applyFont="1" applyFill="1"/>
    <xf numFmtId="0" fontId="29" fillId="4" borderId="39" xfId="8" applyFont="1" applyFill="1" applyBorder="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4" fillId="4" borderId="0" xfId="0" applyFont="1" applyFill="1"/>
    <xf numFmtId="0" fontId="85" fillId="4" borderId="0" xfId="0" applyFont="1" applyFill="1"/>
    <xf numFmtId="0" fontId="86"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24" fillId="4" borderId="8" xfId="8" applyFont="1" applyFill="1" applyBorder="1" applyAlignment="1">
      <alignment horizontal="left" vertical="center" wrapText="1"/>
    </xf>
    <xf numFmtId="0" fontId="87"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8" fillId="0" borderId="0" xfId="17" applyFont="1"/>
    <xf numFmtId="171" fontId="24" fillId="0" borderId="23" xfId="3" applyNumberFormat="1" applyFont="1" applyBorder="1" applyAlignment="1">
      <alignment horizontal="center"/>
    </xf>
    <xf numFmtId="44" fontId="88"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8" xfId="0" applyFont="1" applyBorder="1" applyAlignment="1">
      <alignment horizontal="center"/>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0" fontId="24" fillId="0" borderId="19" xfId="0" applyFont="1" applyFill="1" applyBorder="1" applyAlignment="1">
      <alignment horizontal="center"/>
    </xf>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0" fontId="24" fillId="4" borderId="23" xfId="0"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9" fontId="24" fillId="0" borderId="23" xfId="3" applyFont="1" applyFill="1" applyBorder="1" applyAlignment="1">
      <alignment horizontal="center" vertical="center" wrapText="1"/>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0" fontId="24" fillId="16" borderId="0" xfId="0" applyFont="1" applyFill="1" applyBorder="1" applyAlignment="1">
      <alignment horizontal="left" vertical="center" wrapText="1"/>
    </xf>
    <xf numFmtId="2" fontId="24" fillId="4" borderId="0" xfId="0" applyNumberFormat="1" applyFont="1" applyFill="1" applyBorder="1" applyAlignment="1">
      <alignment wrapText="1"/>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0" fontId="24" fillId="0" borderId="19" xfId="0" applyFont="1" applyBorder="1" applyAlignment="1">
      <alignment horizontal="left" vertical="center" wrapText="1"/>
    </xf>
    <xf numFmtId="0" fontId="83" fillId="0" borderId="0" xfId="0" applyFont="1" applyAlignment="1">
      <alignment horizontal="center"/>
    </xf>
    <xf numFmtId="2" fontId="24" fillId="0" borderId="24" xfId="0" applyNumberFormat="1" applyFont="1" applyBorder="1"/>
    <xf numFmtId="0" fontId="24" fillId="0" borderId="19" xfId="0" applyFont="1" applyFill="1" applyBorder="1" applyAlignment="1">
      <alignment horizontal="left" vertical="top"/>
    </xf>
    <xf numFmtId="0" fontId="24" fillId="0" borderId="23" xfId="0" applyFont="1" applyFill="1" applyBorder="1" applyAlignment="1">
      <alignment horizontal="left" vertical="top"/>
    </xf>
    <xf numFmtId="169" fontId="24" fillId="4" borderId="9" xfId="0" applyNumberFormat="1" applyFont="1" applyFill="1" applyBorder="1" applyAlignment="1">
      <alignment horizontal="center" vertical="center" wrapText="1"/>
    </xf>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16" borderId="25" xfId="0" applyFont="1" applyFill="1" applyBorder="1" applyAlignment="1">
      <alignment vertical="top" wrapText="1"/>
    </xf>
    <xf numFmtId="0" fontId="24" fillId="0" borderId="10" xfId="0" applyFont="1" applyBorder="1" applyAlignment="1">
      <alignment horizontal="center" vertical="center"/>
    </xf>
    <xf numFmtId="0" fontId="24" fillId="4" borderId="54" xfId="0" applyFont="1" applyFill="1" applyBorder="1"/>
    <xf numFmtId="2" fontId="24" fillId="8" borderId="4" xfId="0" applyNumberFormat="1" applyFont="1" applyFill="1" applyBorder="1" applyAlignment="1">
      <alignment horizontal="right"/>
    </xf>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9" fontId="24" fillId="4" borderId="4" xfId="3" applyFont="1" applyFill="1" applyBorder="1"/>
    <xf numFmtId="9" fontId="24" fillId="4" borderId="9" xfId="3" applyFont="1" applyFill="1" applyBorder="1"/>
    <xf numFmtId="9" fontId="24" fillId="4" borderId="14" xfId="3" applyFont="1" applyFill="1" applyBorder="1"/>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0" fontId="24" fillId="0" borderId="25" xfId="8" applyFont="1" applyBorder="1" applyAlignment="1">
      <alignment horizontal="left"/>
    </xf>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0" fontId="24" fillId="0" borderId="19" xfId="8" applyFont="1" applyFill="1" applyBorder="1" applyAlignment="1">
      <alignment horizontal="left"/>
    </xf>
    <xf numFmtId="0" fontId="24" fillId="0" borderId="25" xfId="8" applyFont="1" applyFill="1" applyBorder="1" applyAlignment="1">
      <alignment horizontal="left"/>
    </xf>
    <xf numFmtId="172" fontId="24" fillId="0" borderId="0" xfId="3" applyNumberFormat="1" applyFont="1" applyBorder="1"/>
    <xf numFmtId="9" fontId="24" fillId="0" borderId="0" xfId="3" applyFont="1" applyBorder="1"/>
    <xf numFmtId="165" fontId="24" fillId="0" borderId="9" xfId="8" applyNumberFormat="1" applyFont="1" applyFill="1" applyBorder="1" applyAlignment="1">
      <alignment horizontal="left"/>
    </xf>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23" xfId="8" applyFont="1" applyBorder="1" applyAlignment="1">
      <alignment horizontal="left"/>
    </xf>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90"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0" applyNumberFormat="1" applyFont="1" applyFill="1" applyBorder="1" applyAlignment="1">
      <alignment horizontal="center"/>
    </xf>
    <xf numFmtId="0" fontId="24" fillId="4" borderId="9" xfId="6" applyFont="1" applyFill="1" applyBorder="1" applyAlignment="1">
      <alignment horizontal="center"/>
    </xf>
    <xf numFmtId="0" fontId="24" fillId="4" borderId="14" xfId="0" applyNumberFormat="1"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0" applyNumberFormat="1" applyFont="1" applyFill="1" applyBorder="1" applyAlignment="1">
      <alignment horizontal="center"/>
    </xf>
    <xf numFmtId="0" fontId="24" fillId="4" borderId="4" xfId="6" applyFont="1" applyFill="1" applyBorder="1" applyAlignment="1">
      <alignment horizontal="left"/>
    </xf>
    <xf numFmtId="4" fontId="29" fillId="0" borderId="4" xfId="8" applyNumberFormat="1" applyFont="1" applyFill="1" applyBorder="1" applyAlignment="1">
      <alignment horizontal="center"/>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1"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3" fontId="24" fillId="0" borderId="9" xfId="0" applyNumberFormat="1" applyFont="1" applyBorder="1" applyAlignment="1">
      <alignment horizontal="left" vertical="center" wrapText="1"/>
    </xf>
    <xf numFmtId="0" fontId="91"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9" fontId="24" fillId="0" borderId="9" xfId="0" applyNumberFormat="1" applyFont="1" applyFill="1" applyBorder="1" applyAlignment="1">
      <alignment horizontal="left" vertical="center" wrapText="1"/>
    </xf>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178" fontId="24" fillId="4" borderId="9" xfId="0" applyNumberFormat="1" applyFont="1" applyFill="1" applyBorder="1" applyAlignment="1">
      <alignment horizontal="center" vertical="center" wrapText="1"/>
    </xf>
    <xf numFmtId="0" fontId="92" fillId="0" borderId="0" xfId="0" applyFont="1"/>
    <xf numFmtId="0" fontId="70" fillId="0" borderId="0" xfId="0" applyFont="1"/>
    <xf numFmtId="0" fontId="93" fillId="0" borderId="0" xfId="0" applyFont="1"/>
    <xf numFmtId="0" fontId="94" fillId="0" borderId="0" xfId="0" applyFont="1"/>
    <xf numFmtId="0" fontId="95"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0" fontId="71" fillId="6" borderId="0" xfId="5" applyFont="1" applyFill="1" applyAlignment="1">
      <alignment vertical="center"/>
    </xf>
    <xf numFmtId="0" fontId="24" fillId="11" borderId="9" xfId="0" applyFont="1" applyFill="1" applyBorder="1" applyAlignment="1">
      <alignment horizontal="center" vertical="center" wrapText="1"/>
    </xf>
    <xf numFmtId="165" fontId="24" fillId="0" borderId="9" xfId="6"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0" fontId="24" fillId="11" borderId="18" xfId="0" applyFont="1" applyFill="1" applyBorder="1" applyAlignment="1">
      <alignment horizontal="center" vertical="center" wrapText="1"/>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0" borderId="9" xfId="0" applyFont="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vertical="center"/>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3" xfId="0" applyFont="1" applyBorder="1" applyAlignment="1">
      <alignment horizontal="center" vertical="center" wrapText="1"/>
    </xf>
    <xf numFmtId="0" fontId="24" fillId="11" borderId="9" xfId="0" applyFont="1" applyFill="1" applyBorder="1" applyAlignment="1">
      <alignment vertical="center" wrapText="1"/>
    </xf>
    <xf numFmtId="165" fontId="52" fillId="0" borderId="9" xfId="8" applyNumberFormat="1" applyFont="1" applyFill="1" applyBorder="1" applyAlignment="1">
      <alignment horizontal="left" vertical="center"/>
    </xf>
    <xf numFmtId="0" fontId="24" fillId="4" borderId="9"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205" fontId="0" fillId="0" borderId="0" xfId="0" applyNumberFormat="1"/>
    <xf numFmtId="0" fontId="0" fillId="0" borderId="0" xfId="0" applyAlignment="1">
      <alignment vertical="center"/>
    </xf>
    <xf numFmtId="205" fontId="0" fillId="26" borderId="0" xfId="0" applyNumberFormat="1" applyFill="1"/>
    <xf numFmtId="43" fontId="4" fillId="0" borderId="0" xfId="0" applyNumberFormat="1" applyFont="1"/>
    <xf numFmtId="0" fontId="5" fillId="0" borderId="0" xfId="0" applyFont="1" applyAlignment="1">
      <alignment horizontal="center"/>
    </xf>
    <xf numFmtId="205" fontId="0" fillId="28" borderId="0" xfId="0" applyNumberFormat="1" applyFill="1"/>
    <xf numFmtId="43" fontId="5" fillId="0" borderId="0" xfId="1" applyFont="1"/>
    <xf numFmtId="43" fontId="0" fillId="0" borderId="0" xfId="1" applyFont="1"/>
    <xf numFmtId="43" fontId="5" fillId="0" borderId="0" xfId="1" applyFont="1" applyAlignment="1">
      <alignment horizontal="center"/>
    </xf>
    <xf numFmtId="206" fontId="0" fillId="0" borderId="0" xfId="0" applyNumberForma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0" borderId="0" xfId="0" applyNumberFormat="1" applyFill="1" applyAlignment="1">
      <alignment horizontal="center"/>
    </xf>
    <xf numFmtId="171" fontId="0" fillId="30" borderId="0" xfId="2" applyNumberFormat="1" applyFont="1" applyFill="1" applyAlignment="1">
      <alignment horizontal="center"/>
    </xf>
    <xf numFmtId="44" fontId="12" fillId="0" borderId="0" xfId="5" applyNumberFormat="1"/>
    <xf numFmtId="192" fontId="0" fillId="0" borderId="0" xfId="0" applyNumberFormat="1" applyAlignment="1">
      <alignment horizontal="center"/>
    </xf>
    <xf numFmtId="0" fontId="0" fillId="28" borderId="0" xfId="0" applyFill="1"/>
    <xf numFmtId="0" fontId="6" fillId="28" borderId="0" xfId="0" applyFont="1" applyFill="1"/>
    <xf numFmtId="0" fontId="44" fillId="19" borderId="30" xfId="0" applyFont="1" applyFill="1" applyBorder="1" applyAlignment="1">
      <alignment horizontal="center" wrapText="1"/>
    </xf>
    <xf numFmtId="43" fontId="96" fillId="22" borderId="30" xfId="1" applyFont="1" applyFill="1" applyBorder="1" applyAlignment="1">
      <alignment horizontal="center" wrapText="1"/>
    </xf>
    <xf numFmtId="0" fontId="97" fillId="27" borderId="30" xfId="0" applyFont="1" applyFill="1" applyBorder="1" applyAlignment="1">
      <alignment horizontal="center" wrapText="1"/>
    </xf>
    <xf numFmtId="0" fontId="96" fillId="23" borderId="30" xfId="0" applyFont="1" applyFill="1" applyBorder="1" applyAlignment="1">
      <alignment horizontal="center" wrapText="1"/>
    </xf>
    <xf numFmtId="0" fontId="44" fillId="21" borderId="9" xfId="0" applyFont="1" applyFill="1" applyBorder="1" applyAlignment="1">
      <alignment horizontal="center" wrapText="1"/>
    </xf>
    <xf numFmtId="0" fontId="0" fillId="19" borderId="9" xfId="0" applyFill="1" applyBorder="1" applyAlignment="1">
      <alignment horizontal="center" wrapText="1"/>
    </xf>
    <xf numFmtId="43" fontId="96" fillId="22" borderId="9" xfId="1" applyFont="1" applyFill="1" applyBorder="1" applyAlignment="1">
      <alignment horizontal="center" wrapText="1"/>
    </xf>
    <xf numFmtId="0" fontId="97" fillId="27" borderId="9" xfId="0" applyFont="1" applyFill="1" applyBorder="1" applyAlignment="1">
      <alignment horizontal="center" wrapText="1"/>
    </xf>
    <xf numFmtId="0" fontId="96" fillId="23" borderId="9" xfId="0" applyFont="1" applyFill="1" applyBorder="1" applyAlignment="1">
      <alignment horizontal="center" wrapText="1"/>
    </xf>
    <xf numFmtId="0" fontId="96" fillId="24" borderId="9" xfId="0" applyFont="1" applyFill="1" applyBorder="1" applyAlignment="1">
      <alignment horizontal="center" wrapText="1"/>
    </xf>
    <xf numFmtId="0" fontId="96" fillId="13"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43" fontId="5" fillId="0" borderId="9" xfId="1" applyFont="1" applyBorder="1"/>
    <xf numFmtId="205" fontId="5" fillId="0" borderId="9" xfId="0" applyNumberFormat="1" applyFont="1" applyBorder="1"/>
    <xf numFmtId="205" fontId="0" fillId="0" borderId="9" xfId="0" applyNumberFormat="1" applyFont="1" applyBorder="1"/>
    <xf numFmtId="205" fontId="0" fillId="26" borderId="9" xfId="0" applyNumberFormat="1" applyFill="1" applyBorder="1"/>
    <xf numFmtId="43" fontId="0" fillId="0" borderId="9" xfId="0" applyNumberFormat="1" applyBorder="1" applyAlignment="1">
      <alignment horizontal="center"/>
    </xf>
    <xf numFmtId="171" fontId="0" fillId="29" borderId="9" xfId="2" applyNumberFormat="1" applyFont="1" applyFill="1" applyBorder="1" applyAlignment="1">
      <alignment horizontal="center"/>
    </xf>
    <xf numFmtId="171" fontId="0" fillId="27" borderId="9" xfId="2" applyNumberFormat="1" applyFont="1" applyFill="1" applyBorder="1" applyAlignment="1">
      <alignment horizontal="center"/>
    </xf>
    <xf numFmtId="43" fontId="98" fillId="0" borderId="9" xfId="1" applyFont="1" applyBorder="1"/>
    <xf numFmtId="205" fontId="98" fillId="0" borderId="9" xfId="0" applyNumberFormat="1" applyFont="1" applyBorder="1"/>
    <xf numFmtId="0" fontId="0" fillId="26" borderId="9" xfId="0" applyFill="1" applyBorder="1"/>
    <xf numFmtId="43" fontId="0" fillId="25" borderId="9" xfId="0" applyNumberFormat="1" applyFill="1" applyBorder="1" applyAlignment="1">
      <alignment horizontal="center"/>
    </xf>
    <xf numFmtId="205" fontId="55" fillId="26" borderId="9" xfId="0" applyNumberFormat="1" applyFont="1" applyFill="1" applyBorder="1"/>
    <xf numFmtId="9" fontId="0" fillId="0" borderId="9" xfId="0" applyNumberFormat="1" applyBorder="1"/>
    <xf numFmtId="205" fontId="0" fillId="5" borderId="9" xfId="0" applyNumberFormat="1" applyFont="1" applyFill="1" applyBorder="1"/>
    <xf numFmtId="2" fontId="0" fillId="5" borderId="9" xfId="0" applyNumberFormat="1" applyFill="1" applyBorder="1" applyAlignment="1">
      <alignment horizontal="center"/>
    </xf>
    <xf numFmtId="43" fontId="0" fillId="5" borderId="9" xfId="0" applyNumberFormat="1" applyFill="1" applyBorder="1" applyAlignment="1">
      <alignment horizontal="center"/>
    </xf>
    <xf numFmtId="205" fontId="70" fillId="26" borderId="9" xfId="0" applyNumberFormat="1" applyFont="1" applyFill="1" applyBorder="1"/>
    <xf numFmtId="171" fontId="0" fillId="17" borderId="9" xfId="2" applyNumberFormat="1" applyFont="1" applyFill="1" applyBorder="1" applyAlignment="1">
      <alignment horizontal="center"/>
    </xf>
    <xf numFmtId="2" fontId="0" fillId="8" borderId="9" xfId="0" applyNumberFormat="1" applyFill="1" applyBorder="1" applyAlignment="1">
      <alignment horizontal="center"/>
    </xf>
    <xf numFmtId="171" fontId="0" fillId="17" borderId="9" xfId="0" applyNumberFormat="1" applyFill="1" applyBorder="1" applyAlignment="1">
      <alignment horizontal="center"/>
    </xf>
    <xf numFmtId="0" fontId="0" fillId="0" borderId="0" xfId="0" applyAlignment="1">
      <alignment vertical="center" wrapText="1"/>
    </xf>
    <xf numFmtId="0" fontId="99" fillId="0" borderId="0" xfId="0" applyFont="1" applyAlignment="1">
      <alignment horizontal="center"/>
    </xf>
    <xf numFmtId="0" fontId="99" fillId="0" borderId="0" xfId="0" applyFont="1"/>
    <xf numFmtId="0" fontId="99" fillId="30" borderId="0" xfId="0" applyFont="1" applyFill="1" applyAlignment="1">
      <alignment horizontal="center"/>
    </xf>
    <xf numFmtId="0" fontId="99" fillId="30" borderId="0" xfId="0" applyFont="1" applyFill="1"/>
    <xf numFmtId="0" fontId="36" fillId="13" borderId="9" xfId="0" applyFont="1" applyFill="1" applyBorder="1" applyAlignment="1">
      <alignment horizontal="center" wrapText="1"/>
    </xf>
    <xf numFmtId="0" fontId="99" fillId="0" borderId="9" xfId="0" applyFont="1" applyBorder="1"/>
    <xf numFmtId="43" fontId="1" fillId="0" borderId="0" xfId="1" applyFont="1"/>
    <xf numFmtId="43" fontId="1" fillId="0" borderId="0" xfId="1" applyFont="1" applyAlignment="1">
      <alignment horizontal="center"/>
    </xf>
    <xf numFmtId="43" fontId="1" fillId="0" borderId="9" xfId="1" applyFont="1" applyBorder="1"/>
    <xf numFmtId="43" fontId="1" fillId="25" borderId="9" xfId="1" applyFont="1" applyFill="1" applyBorder="1"/>
    <xf numFmtId="43" fontId="1" fillId="5" borderId="9" xfId="1" applyFont="1" applyFill="1" applyBorder="1"/>
    <xf numFmtId="39" fontId="0" fillId="0" borderId="9" xfId="0" applyNumberFormat="1" applyFont="1" applyBorder="1"/>
    <xf numFmtId="43" fontId="71" fillId="27" borderId="20" xfId="1" applyFont="1" applyFill="1" applyBorder="1" applyAlignment="1">
      <alignment horizontal="center" wrapText="1"/>
    </xf>
    <xf numFmtId="165" fontId="0" fillId="0" borderId="0" xfId="0" applyNumberFormat="1" applyAlignment="1">
      <alignment horizontal="center"/>
    </xf>
    <xf numFmtId="165" fontId="96" fillId="13" borderId="30" xfId="0" applyNumberFormat="1" applyFont="1" applyFill="1" applyBorder="1" applyAlignment="1">
      <alignment horizontal="center" wrapText="1"/>
    </xf>
    <xf numFmtId="165" fontId="96" fillId="13" borderId="9" xfId="0" applyNumberFormat="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43" fontId="97" fillId="30" borderId="30" xfId="1" applyFont="1" applyFill="1" applyBorder="1" applyAlignment="1">
      <alignment horizontal="center" wrapText="1"/>
    </xf>
    <xf numFmtId="43" fontId="97" fillId="30" borderId="9" xfId="1" applyFont="1" applyFill="1" applyBorder="1" applyAlignment="1">
      <alignment horizontal="center" wrapText="1"/>
    </xf>
    <xf numFmtId="0" fontId="24" fillId="4" borderId="9"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4" fillId="0" borderId="9" xfId="0" applyFont="1" applyBorder="1" applyAlignment="1">
      <alignment horizontal="center"/>
    </xf>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205"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4" borderId="9" xfId="0" applyFont="1" applyFill="1" applyBorder="1" applyAlignment="1">
      <alignment vertical="center" wrapText="1"/>
    </xf>
    <xf numFmtId="0" fontId="24" fillId="4" borderId="9" xfId="0" applyFont="1" applyFill="1" applyBorder="1" applyAlignment="1">
      <alignment horizontal="left"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left" vertical="top" wrapText="1"/>
    </xf>
    <xf numFmtId="0" fontId="24" fillId="0" borderId="9" xfId="8" applyFont="1" applyBorder="1" applyAlignment="1">
      <alignment wrapText="1"/>
    </xf>
    <xf numFmtId="0" fontId="0" fillId="0" borderId="0" xfId="0" applyAlignment="1">
      <alignment vertical="center"/>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2" fontId="0" fillId="4" borderId="4" xfId="0" applyNumberFormat="1" applyFont="1" applyFill="1" applyBorder="1" applyAlignment="1">
      <alignment horizontal="center"/>
    </xf>
    <xf numFmtId="2" fontId="0" fillId="4" borderId="14" xfId="0" applyNumberFormat="1" applyFont="1" applyFill="1" applyBorder="1" applyAlignment="1">
      <alignment horizontal="center"/>
    </xf>
    <xf numFmtId="0" fontId="0" fillId="4" borderId="4" xfId="0" applyFont="1" applyFill="1" applyBorder="1" applyAlignment="1">
      <alignment horizontal="left" vertical="top"/>
    </xf>
    <xf numFmtId="0" fontId="0" fillId="4" borderId="4" xfId="0" applyFont="1" applyFill="1" applyBorder="1" applyAlignment="1"/>
    <xf numFmtId="0" fontId="0" fillId="4" borderId="5" xfId="0" applyFont="1" applyFill="1" applyBorder="1" applyAlignment="1"/>
    <xf numFmtId="0" fontId="0" fillId="4" borderId="9" xfId="0" applyFont="1" applyFill="1" applyBorder="1" applyAlignment="1">
      <alignment horizontal="left" vertical="top"/>
    </xf>
    <xf numFmtId="0" fontId="0" fillId="4" borderId="9" xfId="0" applyFont="1" applyFill="1" applyBorder="1" applyAlignment="1"/>
    <xf numFmtId="0" fontId="0" fillId="4" borderId="10" xfId="0" applyFont="1" applyFill="1" applyBorder="1" applyAlignment="1"/>
    <xf numFmtId="0" fontId="0" fillId="4" borderId="19" xfId="0" applyFont="1" applyFill="1" applyBorder="1" applyAlignment="1">
      <alignment horizontal="left" vertical="top"/>
    </xf>
    <xf numFmtId="0" fontId="0" fillId="4" borderId="19"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0" fontId="0" fillId="4" borderId="33" xfId="0"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33" xfId="0" applyFont="1" applyFill="1" applyBorder="1" applyAlignment="1"/>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0" fontId="0" fillId="4" borderId="14" xfId="0" applyFont="1" applyFill="1" applyBorder="1" applyAlignment="1">
      <alignment horizontal="left" vertical="top"/>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1" fillId="0" borderId="9"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0" fontId="0" fillId="4" borderId="9" xfId="0" applyFill="1" applyBorder="1"/>
    <xf numFmtId="168" fontId="24" fillId="0" borderId="23" xfId="0" applyNumberFormat="1" applyFont="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1" fontId="0" fillId="4" borderId="9" xfId="0" applyNumberFormat="1" applyFill="1" applyBorder="1"/>
    <xf numFmtId="0" fontId="102" fillId="4" borderId="9" xfId="0" applyFont="1" applyFill="1" applyBorder="1"/>
    <xf numFmtId="7" fontId="4" fillId="4" borderId="9" xfId="0" applyNumberFormat="1" applyFont="1" applyFill="1" applyBorder="1"/>
    <xf numFmtId="7" fontId="103" fillId="4" borderId="9" xfId="0" applyNumberFormat="1" applyFont="1" applyFill="1" applyBorder="1"/>
    <xf numFmtId="0" fontId="103" fillId="4" borderId="9" xfId="0" applyFont="1" applyFill="1" applyBorder="1"/>
    <xf numFmtId="0" fontId="0" fillId="20" borderId="9" xfId="0" applyFill="1" applyBorder="1"/>
    <xf numFmtId="0" fontId="0" fillId="21" borderId="9" xfId="0" applyFill="1" applyBorder="1"/>
    <xf numFmtId="0" fontId="0" fillId="22" borderId="9" xfId="0" applyFill="1" applyBorder="1"/>
    <xf numFmtId="0" fontId="0" fillId="24" borderId="9" xfId="0" applyFill="1" applyBorder="1"/>
    <xf numFmtId="0" fontId="0" fillId="31" borderId="9" xfId="0" applyFill="1" applyBorder="1"/>
    <xf numFmtId="0" fontId="0" fillId="27" borderId="9" xfId="0" applyFill="1" applyBorder="1"/>
    <xf numFmtId="0" fontId="0" fillId="32" borderId="9" xfId="0" applyFill="1" applyBorder="1"/>
    <xf numFmtId="0" fontId="24" fillId="32" borderId="9" xfId="0" applyFont="1" applyFill="1" applyBorder="1"/>
    <xf numFmtId="0" fontId="0" fillId="33" borderId="9" xfId="0" applyFill="1" applyBorder="1"/>
    <xf numFmtId="1" fontId="0" fillId="33" borderId="9" xfId="0" applyNumberFormat="1" applyFill="1" applyBorder="1"/>
    <xf numFmtId="1" fontId="0" fillId="22" borderId="9" xfId="0" applyNumberFormat="1" applyFill="1" applyBorder="1"/>
    <xf numFmtId="0" fontId="0" fillId="18" borderId="9" xfId="0" applyFill="1" applyBorder="1"/>
    <xf numFmtId="7" fontId="0" fillId="33" borderId="9" xfId="0" applyNumberFormat="1" applyFill="1" applyBorder="1"/>
    <xf numFmtId="44" fontId="0" fillId="33" borderId="9" xfId="0" applyNumberFormat="1" applyFill="1" applyBorder="1"/>
    <xf numFmtId="43" fontId="0" fillId="20" borderId="9" xfId="0" applyNumberFormat="1" applyFill="1" applyBorder="1"/>
    <xf numFmtId="7" fontId="0" fillId="18" borderId="9" xfId="0" applyNumberForma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8" fillId="0" borderId="9" xfId="1" applyFont="1" applyBorder="1"/>
    <xf numFmtId="205" fontId="98"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104"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0" fontId="24" fillId="11" borderId="19" xfId="5" applyFont="1" applyFill="1" applyBorder="1" applyAlignment="1">
      <alignment horizontal="center" vertical="center" wrapText="1"/>
    </xf>
    <xf numFmtId="0" fontId="24" fillId="11" borderId="9" xfId="5"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11" borderId="20" xfId="5" applyFont="1" applyFill="1" applyBorder="1" applyAlignment="1">
      <alignment horizontal="center" vertical="center" wrapText="1"/>
    </xf>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11" borderId="19" xfId="5" applyFont="1" applyFill="1" applyBorder="1" applyAlignment="1">
      <alignment horizontal="center" vertical="center" wrapText="1"/>
    </xf>
    <xf numFmtId="0" fontId="24" fillId="4" borderId="9" xfId="8" applyFont="1" applyFill="1" applyBorder="1" applyAlignment="1">
      <alignment horizontal="left"/>
    </xf>
    <xf numFmtId="0" fontId="24" fillId="11" borderId="9" xfId="5" applyFont="1" applyFill="1" applyBorder="1" applyAlignment="1">
      <alignment horizontal="center" vertical="center" wrapText="1"/>
    </xf>
    <xf numFmtId="0" fontId="24" fillId="0" borderId="9" xfId="5" applyNumberFormat="1" applyFont="1" applyFill="1" applyBorder="1"/>
    <xf numFmtId="171" fontId="0" fillId="0" borderId="9" xfId="0" applyNumberFormat="1" applyFont="1" applyBorder="1"/>
    <xf numFmtId="168" fontId="24" fillId="4" borderId="9" xfId="0" applyNumberFormat="1" applyFont="1" applyFill="1" applyBorder="1" applyAlignment="1">
      <alignment horizontal="left" vertical="center" wrapText="1"/>
    </xf>
    <xf numFmtId="0" fontId="24" fillId="0" borderId="33" xfId="0" applyFont="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0" borderId="9" xfId="0" applyFont="1" applyBorder="1" applyAlignment="1">
      <alignment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0" xfId="0" applyFont="1" applyFill="1" applyBorder="1" applyAlignment="1">
      <alignment wrapText="1"/>
    </xf>
    <xf numFmtId="0" fontId="24" fillId="0" borderId="0"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0" borderId="0" xfId="0" applyFont="1" applyAlignment="1">
      <alignment wrapText="1"/>
    </xf>
    <xf numFmtId="0" fontId="24" fillId="11" borderId="9" xfId="0" applyFont="1" applyFill="1" applyBorder="1" applyAlignment="1">
      <alignment horizontal="left"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39" fontId="24" fillId="4" borderId="14" xfId="5" applyNumberFormat="1" applyFont="1" applyFill="1" applyBorder="1" applyAlignment="1">
      <alignment horizontal="center"/>
    </xf>
    <xf numFmtId="39" fontId="24" fillId="0" borderId="14" xfId="5" applyNumberFormat="1" applyFont="1" applyFill="1" applyBorder="1" applyAlignment="1">
      <alignment horizontal="center"/>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4" borderId="33" xfId="5" applyNumberFormat="1" applyFont="1" applyFill="1" applyBorder="1" applyAlignment="1">
      <alignment horizontal="center"/>
    </xf>
    <xf numFmtId="39" fontId="24" fillId="0" borderId="33" xfId="5" applyNumberFormat="1" applyFont="1" applyFill="1" applyBorder="1" applyAlignment="1">
      <alignment horizontal="center"/>
    </xf>
    <xf numFmtId="0" fontId="42" fillId="4" borderId="23" xfId="8" applyFont="1" applyFill="1" applyBorder="1" applyAlignment="1">
      <alignment horizontal="left" vertical="center"/>
    </xf>
    <xf numFmtId="0" fontId="24" fillId="0" borderId="33" xfId="0" applyFont="1" applyBorder="1" applyAlignment="1">
      <alignment horizontal="left" vertical="center"/>
    </xf>
    <xf numFmtId="0" fontId="29" fillId="4" borderId="33" xfId="8" applyFont="1" applyFill="1" applyBorder="1" applyAlignment="1">
      <alignment horizontal="left"/>
    </xf>
    <xf numFmtId="168" fontId="24" fillId="4" borderId="62" xfId="5" applyNumberFormat="1" applyFont="1" applyFill="1" applyBorder="1" applyAlignment="1">
      <alignment horizontal="center" vertical="center" wrapText="1"/>
    </xf>
    <xf numFmtId="165" fontId="24" fillId="4" borderId="33" xfId="0" applyNumberFormat="1" applyFont="1" applyFill="1" applyBorder="1" applyAlignment="1">
      <alignment horizontal="center" vertical="center" wrapText="1"/>
    </xf>
    <xf numFmtId="9" fontId="32" fillId="4" borderId="33" xfId="7" applyFont="1" applyFill="1" applyBorder="1" applyAlignment="1">
      <alignment horizontal="center" vertical="center" wrapText="1"/>
    </xf>
    <xf numFmtId="168" fontId="24" fillId="0" borderId="85" xfId="5" applyNumberFormat="1" applyFont="1" applyBorder="1" applyAlignment="1">
      <alignment horizontal="center" vertical="center"/>
    </xf>
    <xf numFmtId="0" fontId="24" fillId="0" borderId="48" xfId="0" applyFont="1" applyBorder="1" applyAlignment="1">
      <alignment horizontal="left" vertical="center"/>
    </xf>
    <xf numFmtId="39" fontId="24" fillId="0" borderId="48" xfId="5" applyNumberFormat="1" applyFont="1" applyFill="1" applyBorder="1" applyAlignment="1">
      <alignment horizontal="center"/>
    </xf>
    <xf numFmtId="10" fontId="27" fillId="0" borderId="23" xfId="7" applyNumberFormat="1" applyFont="1" applyFill="1" applyBorder="1" applyAlignment="1">
      <alignment horizontal="center" vertical="center" wrapText="1"/>
    </xf>
    <xf numFmtId="9" fontId="41" fillId="0" borderId="23" xfId="7" applyFont="1" applyFill="1" applyBorder="1" applyAlignment="1">
      <alignment horizontal="center" vertical="center" wrapText="1"/>
    </xf>
    <xf numFmtId="185" fontId="29" fillId="4" borderId="23" xfId="2" applyNumberFormat="1" applyFont="1" applyFill="1" applyBorder="1"/>
    <xf numFmtId="10" fontId="32" fillId="4" borderId="33" xfId="7" applyNumberFormat="1" applyFont="1" applyFill="1" applyBorder="1" applyAlignment="1">
      <alignment horizontal="center" vertical="center" wrapText="1"/>
    </xf>
    <xf numFmtId="10" fontId="41" fillId="0" borderId="33" xfId="7" applyNumberFormat="1" applyFont="1" applyFill="1" applyBorder="1" applyAlignment="1">
      <alignment horizontal="center" vertical="center" wrapText="1"/>
    </xf>
    <xf numFmtId="10" fontId="32" fillId="0" borderId="33" xfId="7" applyNumberFormat="1" applyFont="1" applyFill="1" applyBorder="1" applyAlignment="1">
      <alignment horizontal="center" vertical="center" wrapText="1"/>
    </xf>
    <xf numFmtId="168" fontId="1" fillId="0" borderId="35" xfId="5" applyNumberFormat="1" applyFont="1" applyBorder="1" applyAlignment="1">
      <alignment horizontal="center" vertical="center"/>
    </xf>
    <xf numFmtId="39" fontId="4" fillId="0" borderId="14" xfId="5" applyNumberFormat="1" applyFont="1" applyFill="1" applyBorder="1" applyAlignment="1">
      <alignment horizontal="center"/>
    </xf>
    <xf numFmtId="39" fontId="0" fillId="0" borderId="14" xfId="5" applyNumberFormat="1" applyFont="1" applyFill="1" applyBorder="1" applyAlignment="1">
      <alignment horizontal="center"/>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39" fontId="4" fillId="0" borderId="33" xfId="5" applyNumberFormat="1" applyFont="1" applyFill="1" applyBorder="1" applyAlignment="1">
      <alignment horizontal="center"/>
    </xf>
    <xf numFmtId="9" fontId="32" fillId="4" borderId="14" xfId="7" applyFont="1" applyFill="1" applyBorder="1" applyAlignment="1">
      <alignment horizontal="center" vertical="center" wrapText="1"/>
    </xf>
    <xf numFmtId="9" fontId="41" fillId="0" borderId="14" xfId="7" applyFont="1" applyFill="1" applyBorder="1" applyAlignment="1">
      <alignment horizontal="center" vertical="center" wrapText="1"/>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0" xfId="0" applyFont="1" applyBorder="1" applyAlignment="1">
      <alignment wrapText="1"/>
    </xf>
    <xf numFmtId="165" fontId="24" fillId="0" borderId="9" xfId="6" applyNumberFormat="1"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0" borderId="0" xfId="0" applyFont="1" applyAlignment="1">
      <alignment vertical="center"/>
    </xf>
    <xf numFmtId="0" fontId="24" fillId="0" borderId="18" xfId="0" applyFont="1" applyFill="1" applyBorder="1" applyAlignment="1">
      <alignment wrapText="1"/>
    </xf>
    <xf numFmtId="0" fontId="24" fillId="0" borderId="19" xfId="0"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9" fontId="30"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center"/>
    </xf>
    <xf numFmtId="9" fontId="24" fillId="4" borderId="9" xfId="0"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178" fontId="24" fillId="4" borderId="9" xfId="0" applyNumberFormat="1" applyFont="1" applyFill="1" applyBorder="1" applyAlignment="1">
      <alignment horizontal="left" vertical="center"/>
    </xf>
    <xf numFmtId="190" fontId="24" fillId="4" borderId="9" xfId="0" applyNumberFormat="1" applyFont="1" applyFill="1" applyBorder="1" applyAlignment="1">
      <alignment horizontal="left" vertical="center" wrapText="1"/>
    </xf>
    <xf numFmtId="0" fontId="29" fillId="0" borderId="9" xfId="8" applyFont="1" applyFill="1" applyBorder="1" applyAlignment="1">
      <alignment horizontal="left" vertical="center"/>
    </xf>
    <xf numFmtId="10" fontId="24"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29" fillId="0" borderId="9" xfId="8" applyFont="1" applyFill="1" applyBorder="1" applyAlignment="1">
      <alignment horizontal="left"/>
    </xf>
    <xf numFmtId="0" fontId="104" fillId="0" borderId="0" xfId="0" applyFont="1"/>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9" fontId="4" fillId="0" borderId="30" xfId="3" applyFont="1" applyBorder="1" applyAlignment="1">
      <alignment horizontal="center"/>
    </xf>
    <xf numFmtId="0" fontId="30" fillId="0" borderId="0" xfId="8" applyFont="1" applyAlignment="1">
      <alignment horizontal="left"/>
    </xf>
    <xf numFmtId="0" fontId="0" fillId="0" borderId="48" xfId="3" applyNumberFormat="1" applyFont="1" applyFill="1" applyBorder="1" applyAlignment="1">
      <alignment horizontal="center"/>
    </xf>
    <xf numFmtId="0" fontId="28" fillId="0" borderId="23" xfId="8" applyBorder="1"/>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0" fontId="24" fillId="0" borderId="9" xfId="0" applyFont="1" applyFill="1" applyBorder="1" applyAlignment="1">
      <alignment horizontal="left"/>
    </xf>
    <xf numFmtId="0" fontId="4" fillId="0" borderId="14" xfId="0" applyFont="1" applyBorder="1" applyAlignment="1">
      <alignment horizontal="left"/>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2" fontId="24" fillId="4" borderId="9" xfId="0" applyNumberFormat="1" applyFont="1" applyFill="1" applyBorder="1" applyAlignment="1"/>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14" xfId="0" applyFont="1" applyBorder="1" applyAlignment="1">
      <alignment vertical="center" wrapText="1"/>
    </xf>
    <xf numFmtId="200" fontId="24" fillId="0" borderId="14" xfId="8" applyNumberFormat="1" applyFont="1" applyBorder="1" applyAlignment="1">
      <alignment horizontal="center"/>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8" fillId="12" borderId="0" xfId="0" applyNumberFormat="1" applyFont="1" applyFill="1"/>
    <xf numFmtId="0" fontId="4" fillId="0" borderId="9" xfId="6" applyFont="1" applyFill="1" applyBorder="1"/>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171" fontId="4" fillId="0" borderId="9" xfId="5" applyNumberFormat="1" applyFont="1" applyFill="1" applyBorder="1" applyAlignment="1">
      <alignment horizontal="center" vertical="center" wrapText="1"/>
    </xf>
    <xf numFmtId="0" fontId="24" fillId="15" borderId="9" xfId="5" applyFont="1" applyFill="1" applyBorder="1" applyAlignment="1">
      <alignment horizontal="center" vertical="center" wrapText="1"/>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37" fontId="0" fillId="0" borderId="9" xfId="1" applyNumberFormat="1" applyFont="1" applyFill="1" applyBorder="1" applyAlignment="1">
      <alignment horizontal="center"/>
    </xf>
    <xf numFmtId="37" fontId="4" fillId="0" borderId="9" xfId="1" applyNumberFormat="1" applyFont="1" applyFill="1" applyBorder="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37" fontId="24" fillId="0" borderId="9" xfId="1" applyNumberFormat="1" applyFont="1" applyFill="1" applyBorder="1" applyAlignment="1">
      <alignment horizontal="center"/>
    </xf>
    <xf numFmtId="165" fontId="24" fillId="0" borderId="9" xfId="0" applyNumberFormat="1" applyFont="1" applyFill="1" applyBorder="1" applyAlignment="1">
      <alignment horizontal="center"/>
    </xf>
    <xf numFmtId="37" fontId="30" fillId="0" borderId="9" xfId="1" applyNumberFormat="1" applyFont="1" applyFill="1" applyBorder="1" applyAlignment="1">
      <alignment horizontal="center" vertical="center" wrapText="1"/>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0" fontId="24" fillId="0" borderId="27" xfId="0" applyFont="1" applyFill="1" applyBorder="1" applyAlignment="1">
      <alignment horizontal="left" wrapText="1"/>
    </xf>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68" fontId="24" fillId="0" borderId="86"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165" fontId="24" fillId="0" borderId="33" xfId="0"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24" fillId="0" borderId="14" xfId="0" applyNumberFormat="1" applyFont="1" applyFill="1" applyBorder="1"/>
    <xf numFmtId="2" fontId="4" fillId="0" borderId="9" xfId="14" applyNumberFormat="1" applyFont="1" applyFill="1" applyBorder="1"/>
    <xf numFmtId="165" fontId="24" fillId="0" borderId="9" xfId="0" applyNumberFormat="1" applyFont="1" applyFill="1" applyBorder="1"/>
    <xf numFmtId="185" fontId="29" fillId="0" borderId="23" xfId="2"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0" fontId="4" fillId="0" borderId="9" xfId="6" applyFont="1" applyFill="1" applyBorder="1" applyAlignment="1">
      <alignment horizontal="center"/>
    </xf>
    <xf numFmtId="0" fontId="4" fillId="0" borderId="16" xfId="6" applyFont="1" applyFill="1" applyBorder="1" applyAlignment="1">
      <alignment horizontal="center"/>
    </xf>
    <xf numFmtId="9" fontId="4" fillId="0" borderId="18" xfId="3" applyFont="1" applyFill="1" applyBorder="1" applyAlignment="1">
      <alignment horizontal="center"/>
    </xf>
    <xf numFmtId="9" fontId="4" fillId="0" borderId="17" xfId="3" applyFont="1" applyFill="1" applyBorder="1" applyAlignment="1">
      <alignment horizontal="center"/>
    </xf>
    <xf numFmtId="172" fontId="4" fillId="0" borderId="21" xfId="3" applyNumberFormat="1" applyFont="1" applyFill="1" applyBorder="1" applyAlignment="1">
      <alignment horizontal="center"/>
    </xf>
    <xf numFmtId="172" fontId="4" fillId="0" borderId="27"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171" fontId="1" fillId="0" borderId="9" xfId="13" applyNumberFormat="1" applyFont="1" applyFill="1" applyBorder="1" applyAlignment="1">
      <alignment horizontal="center" vertical="center"/>
    </xf>
    <xf numFmtId="2" fontId="24" fillId="0" borderId="9" xfId="6" applyNumberFormat="1"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24" fillId="0" borderId="0" xfId="0" applyFont="1" applyFill="1" applyAlignment="1">
      <alignment horizontal="center"/>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0" fontId="29" fillId="0" borderId="23" xfId="8" applyFont="1" applyFill="1" applyBorder="1" applyAlignment="1">
      <alignment horizontal="left"/>
    </xf>
    <xf numFmtId="9" fontId="30" fillId="0" borderId="37" xfId="3" applyFont="1" applyFill="1" applyBorder="1" applyAlignment="1">
      <alignment horizontal="center"/>
    </xf>
    <xf numFmtId="9" fontId="30" fillId="0" borderId="35" xfId="3" applyFont="1" applyFill="1" applyBorder="1" applyAlignment="1">
      <alignment horizont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104" fillId="12" borderId="9" xfId="0" applyFont="1" applyFill="1" applyBorder="1" applyAlignment="1">
      <alignment horizontal="center" vertical="center" wrapText="1"/>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39" fontId="4" fillId="0" borderId="14" xfId="0" applyNumberFormat="1" applyFont="1" applyBorder="1" applyAlignment="1">
      <alignment horizontal="center" vertical="center"/>
    </xf>
    <xf numFmtId="178" fontId="24" fillId="0" borderId="23" xfId="0" applyNumberFormat="1" applyFont="1" applyBorder="1" applyAlignment="1">
      <alignment horizontal="center" vertical="center"/>
    </xf>
    <xf numFmtId="165" fontId="24" fillId="4" borderId="23" xfId="8" applyNumberFormat="1" applyFont="1" applyFill="1" applyBorder="1" applyAlignment="1">
      <alignment horizont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9" fontId="24" fillId="0" borderId="33" xfId="0" applyNumberFormat="1" applyFont="1" applyFill="1" applyBorder="1" applyAlignment="1">
      <alignment horizontal="center" vertical="center"/>
    </xf>
    <xf numFmtId="0" fontId="24" fillId="0" borderId="33" xfId="0" applyFont="1" applyFill="1" applyBorder="1" applyAlignment="1">
      <alignment horizontal="left" vertical="center" wrapText="1"/>
    </xf>
    <xf numFmtId="39" fontId="0" fillId="0" borderId="14" xfId="0" applyNumberFormat="1" applyFont="1" applyBorder="1" applyAlignment="1">
      <alignment horizontal="center" vertical="center"/>
    </xf>
    <xf numFmtId="178" fontId="0" fillId="0" borderId="23" xfId="0" applyNumberFormat="1" applyFont="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0" fontId="4" fillId="0" borderId="9" xfId="0" applyNumberFormat="1" applyFont="1" applyBorder="1"/>
    <xf numFmtId="0" fontId="107"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0" fontId="4" fillId="0" borderId="44" xfId="0" applyFont="1" applyFill="1" applyBorder="1" applyAlignment="1">
      <alignment horizontal="left" vertical="center" wrapText="1"/>
    </xf>
    <xf numFmtId="0" fontId="4" fillId="0" borderId="30" xfId="0" applyFont="1" applyFill="1" applyBorder="1" applyAlignment="1">
      <alignment horizontal="left" vertical="center"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0" fillId="4" borderId="4"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0" borderId="9"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Fill="1" applyBorder="1" applyAlignment="1">
      <alignment horizontal="left" vertical="top" wrapText="1"/>
    </xf>
    <xf numFmtId="2" fontId="0" fillId="0" borderId="4" xfId="0" applyNumberFormat="1" applyFill="1" applyBorder="1" applyAlignment="1">
      <alignment horizontal="left" vertical="top" wrapText="1"/>
    </xf>
    <xf numFmtId="2" fontId="0" fillId="0" borderId="9" xfId="0" applyNumberFormat="1"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0" fontId="4" fillId="0" borderId="9" xfId="0" applyFont="1" applyFill="1" applyBorder="1" applyAlignment="1">
      <alignment horizontal="left" vertical="top" wrapText="1"/>
    </xf>
    <xf numFmtId="2" fontId="0" fillId="0" borderId="30" xfId="0" applyNumberFormat="1" applyFill="1" applyBorder="1" applyAlignment="1">
      <alignment horizontal="left" vertical="top"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10" xfId="0" applyFont="1" applyFill="1" applyBorder="1" applyAlignment="1">
      <alignment horizontal="left" vertical="top"/>
    </xf>
    <xf numFmtId="2" fontId="24" fillId="8" borderId="37" xfId="0" applyNumberFormat="1" applyFont="1" applyFill="1" applyBorder="1"/>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0" fontId="4" fillId="0" borderId="16" xfId="0" applyFont="1" applyFill="1" applyBorder="1" applyAlignment="1">
      <alignment horizontal="left" vertical="top" wrapText="1"/>
    </xf>
    <xf numFmtId="0" fontId="24" fillId="0" borderId="5" xfId="0" applyFont="1" applyFill="1" applyBorder="1" applyAlignment="1">
      <alignment horizontal="left" vertical="top"/>
    </xf>
    <xf numFmtId="2" fontId="24" fillId="0" borderId="10" xfId="0" applyNumberFormat="1" applyFont="1" applyFill="1" applyBorder="1"/>
    <xf numFmtId="0" fontId="24" fillId="0" borderId="45" xfId="0" applyFont="1" applyFill="1" applyBorder="1" applyAlignment="1">
      <alignment wrapText="1"/>
    </xf>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2" fontId="4" fillId="0" borderId="0" xfId="0" applyNumberFormat="1" applyFont="1" applyFill="1" applyAlignment="1">
      <alignment horizontal="left"/>
    </xf>
    <xf numFmtId="2" fontId="4" fillId="0" borderId="0" xfId="0" applyNumberFormat="1" applyFont="1" applyFill="1" applyAlignment="1">
      <alignment horizontal="center"/>
    </xf>
    <xf numFmtId="0" fontId="4" fillId="0" borderId="0" xfId="0" applyFont="1" applyFill="1" applyAlignment="1">
      <alignment horizontal="center"/>
    </xf>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1" fontId="4" fillId="0" borderId="19" xfId="0" applyNumberFormat="1" applyFont="1" applyFill="1" applyBorder="1" applyAlignment="1">
      <alignment horizontal="left" vertical="top" wrapText="1"/>
    </xf>
    <xf numFmtId="2" fontId="24" fillId="0" borderId="37" xfId="0" applyNumberFormat="1" applyFont="1" applyFill="1" applyBorder="1"/>
    <xf numFmtId="2" fontId="24" fillId="0" borderId="16" xfId="0" applyNumberFormat="1" applyFont="1" applyFill="1" applyBorder="1"/>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0" fontId="24" fillId="0" borderId="9" xfId="0" applyFont="1" applyFill="1" applyBorder="1" applyAlignment="1">
      <alignment horizontal="left" vertical="top" wrapText="1"/>
    </xf>
    <xf numFmtId="165" fontId="4" fillId="0" borderId="4" xfId="0" applyNumberFormat="1" applyFont="1" applyFill="1" applyBorder="1" applyAlignment="1">
      <alignment horizontal="left" vertical="top" wrapText="1"/>
    </xf>
    <xf numFmtId="165" fontId="4" fillId="0" borderId="9" xfId="0" applyNumberFormat="1" applyFont="1" applyFill="1" applyBorder="1" applyAlignment="1">
      <alignment horizontal="left" vertical="top" wrapText="1"/>
    </xf>
    <xf numFmtId="165" fontId="4" fillId="0" borderId="19" xfId="0" applyNumberFormat="1" applyFont="1" applyFill="1" applyBorder="1" applyAlignment="1">
      <alignment horizontal="left" vertical="top"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24" fillId="0" borderId="52" xfId="0" applyNumberFormat="1" applyFont="1" applyFill="1" applyBorder="1" applyAlignment="1">
      <alignment vertical="center" wrapText="1"/>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1" fontId="24" fillId="0" borderId="53" xfId="0" applyNumberFormat="1" applyFont="1" applyFill="1" applyBorder="1" applyAlignment="1">
      <alignment vertical="center" wrapText="1"/>
    </xf>
    <xf numFmtId="2" fontId="4" fillId="0" borderId="4" xfId="0" applyNumberFormat="1" applyFont="1" applyFill="1" applyBorder="1" applyAlignment="1">
      <alignment horizontal="left" vertical="top" wrapText="1"/>
    </xf>
    <xf numFmtId="2" fontId="24" fillId="8" borderId="4" xfId="0" applyNumberFormat="1" applyFont="1" applyFill="1" applyBorder="1" applyAlignment="1">
      <alignment horizontal="center"/>
    </xf>
    <xf numFmtId="2" fontId="24" fillId="8" borderId="9" xfId="0" applyNumberFormat="1" applyFont="1" applyFill="1" applyBorder="1" applyAlignment="1">
      <alignment horizontal="center"/>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2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0" fontId="24" fillId="16" borderId="60" xfId="0" applyFont="1" applyFill="1" applyBorder="1" applyAlignment="1">
      <alignment vertical="top" wrapText="1"/>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9" xfId="5" applyNumberFormat="1" applyFont="1" applyBorder="1" applyAlignment="1">
      <alignment horizontal="left" vertical="center" wrapText="1"/>
    </xf>
    <xf numFmtId="0" fontId="24" fillId="0" borderId="0" xfId="0" applyFont="1" applyFill="1" applyBorder="1" applyAlignment="1">
      <alignment horizontal="center" vertical="center" wrapText="1"/>
    </xf>
    <xf numFmtId="0" fontId="24" fillId="4" borderId="9" xfId="8"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1" borderId="9" xfId="0" applyFont="1" applyFill="1" applyBorder="1" applyAlignment="1">
      <alignment horizontal="center" vertical="center" wrapText="1"/>
    </xf>
    <xf numFmtId="0" fontId="24" fillId="4" borderId="9" xfId="8" applyFont="1" applyFill="1" applyBorder="1" applyAlignment="1">
      <alignment horizontal="left" vertical="center" wrapText="1"/>
    </xf>
    <xf numFmtId="0" fontId="24" fillId="0" borderId="0" xfId="0" applyFont="1" applyAlignment="1">
      <alignment vertical="center"/>
    </xf>
    <xf numFmtId="0" fontId="24" fillId="0" borderId="27" xfId="0"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165" fontId="1" fillId="0" borderId="23"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0" fontId="4" fillId="0" borderId="9" xfId="0" applyFont="1" applyBorder="1" applyAlignment="1">
      <alignment horizontal="left"/>
    </xf>
    <xf numFmtId="170" fontId="24" fillId="13" borderId="9" xfId="5" applyNumberFormat="1" applyFont="1" applyFill="1" applyBorder="1" applyAlignment="1">
      <alignment horizontal="center"/>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11" borderId="9"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0" xfId="0" applyFont="1" applyAlignment="1">
      <alignment wrapText="1"/>
    </xf>
    <xf numFmtId="0" fontId="24" fillId="11" borderId="9" xfId="0" applyFont="1" applyFill="1" applyBorder="1" applyAlignment="1">
      <alignment vertical="center" wrapText="1"/>
    </xf>
    <xf numFmtId="165" fontId="24" fillId="0" borderId="9" xfId="0" applyNumberFormat="1"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0" xfId="0" applyFont="1" applyAlignment="1">
      <alignment horizontal="left" wrapText="1"/>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4" fillId="0" borderId="9" xfId="8" applyFont="1" applyFill="1" applyBorder="1" applyAlignment="1">
      <alignment horizontal="left" vertical="center"/>
    </xf>
    <xf numFmtId="0" fontId="30" fillId="0" borderId="9" xfId="8" applyFont="1" applyBorder="1" applyAlignment="1">
      <alignment horizontal="center"/>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0" xfId="8" applyFont="1"/>
    <xf numFmtId="170" fontId="4" fillId="0" borderId="9" xfId="1" applyNumberFormat="1" applyFont="1" applyBorder="1" applyAlignment="1">
      <alignment horizontal="center" wrapText="1"/>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0" fontId="1" fillId="0" borderId="23" xfId="0" applyFont="1" applyBorder="1" applyAlignment="1">
      <alignment horizontal="left"/>
    </xf>
    <xf numFmtId="2" fontId="24" fillId="4" borderId="23" xfId="0" applyNumberFormat="1" applyFont="1" applyFill="1" applyBorder="1" applyAlignment="1">
      <alignment horizontal="center"/>
    </xf>
    <xf numFmtId="0" fontId="1" fillId="4" borderId="33" xfId="0"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10" fontId="47" fillId="0" borderId="23" xfId="7" applyNumberFormat="1" applyFont="1" applyBorder="1" applyAlignment="1">
      <alignment horizontal="center" vertical="center" wrapText="1"/>
    </xf>
    <xf numFmtId="0" fontId="1" fillId="0" borderId="4" xfId="0" applyFont="1" applyBorder="1" applyAlignment="1">
      <alignment horizontal="left"/>
    </xf>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23" xfId="7" applyNumberFormat="1" applyFont="1" applyBorder="1" applyAlignment="1">
      <alignment horizontal="center" vertical="center" wrapText="1"/>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10" fontId="4" fillId="0" borderId="23" xfId="7" applyNumberFormat="1" applyFont="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07"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9" fontId="4" fillId="0" borderId="19" xfId="0" applyNumberFormat="1" applyFont="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89" fontId="4" fillId="4" borderId="9" xfId="1" applyNumberFormat="1" applyFont="1" applyFill="1" applyBorder="1" applyAlignment="1">
      <alignment horizontal="center"/>
    </xf>
    <xf numFmtId="0" fontId="4" fillId="0" borderId="16" xfId="0" applyFont="1" applyBorder="1"/>
    <xf numFmtId="165" fontId="4" fillId="0" borderId="0" xfId="0" applyNumberFormat="1" applyFont="1" applyBorder="1" applyAlignment="1">
      <alignment horizontal="left" vertical="center" wrapText="1"/>
    </xf>
    <xf numFmtId="7" fontId="4" fillId="0" borderId="27" xfId="2" applyNumberFormat="1"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165" fontId="4" fillId="0" borderId="27" xfId="0" applyNumberFormat="1" applyFont="1" applyBorder="1" applyAlignment="1">
      <alignment horizontal="left" vertic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0" fontId="24" fillId="0" borderId="14" xfId="0" applyFont="1" applyFill="1" applyBorder="1" applyAlignment="1">
      <alignment horizontal="center" vertical="center"/>
    </xf>
    <xf numFmtId="200" fontId="70" fillId="0" borderId="23" xfId="8" applyNumberFormat="1" applyFont="1" applyBorder="1" applyAlignment="1">
      <alignment horizontal="center"/>
    </xf>
    <xf numFmtId="0" fontId="70" fillId="0" borderId="14" xfId="0" applyFont="1" applyFill="1" applyBorder="1" applyAlignment="1">
      <alignment horizontal="center" vertical="center"/>
    </xf>
    <xf numFmtId="7" fontId="4" fillId="0" borderId="9" xfId="0" applyNumberFormat="1" applyFont="1" applyFill="1" applyBorder="1" applyAlignment="1">
      <alignment horizontal="center"/>
    </xf>
    <xf numFmtId="2" fontId="104" fillId="0" borderId="0" xfId="0" applyNumberFormat="1" applyFont="1" applyAlignment="1">
      <alignment horizontal="center"/>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0" fontId="24" fillId="0" borderId="87" xfId="6" applyFont="1" applyFill="1" applyBorder="1"/>
    <xf numFmtId="0" fontId="104" fillId="0" borderId="19" xfId="0" applyFont="1" applyFill="1" applyBorder="1" applyAlignment="1">
      <alignment horizontal="center" vertical="center" wrapText="1"/>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24" fillId="0" borderId="0" xfId="13" applyFont="1" applyFill="1" applyBorder="1" applyAlignment="1"/>
    <xf numFmtId="0" fontId="39" fillId="0" borderId="0" xfId="0" applyFont="1" applyFill="1" applyBorder="1" applyAlignment="1">
      <alignment horizontal="left"/>
    </xf>
    <xf numFmtId="0" fontId="24" fillId="0" borderId="0" xfId="0" applyFont="1" applyFill="1" applyBorder="1" applyAlignment="1">
      <alignment horizontal="left" wrapText="1"/>
    </xf>
    <xf numFmtId="2" fontId="24" fillId="8" borderId="23" xfId="0" applyNumberFormat="1" applyFont="1" applyFill="1" applyBorder="1" applyAlignment="1">
      <alignment horizontal="left" vertical="top" wrapText="1"/>
    </xf>
    <xf numFmtId="0" fontId="4" fillId="16" borderId="15" xfId="0" applyFont="1" applyFill="1" applyBorder="1" applyAlignment="1">
      <alignment horizontal="left" vertical="top"/>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0" fontId="24" fillId="0" borderId="32" xfId="8" applyFont="1" applyFill="1" applyBorder="1"/>
    <xf numFmtId="9" fontId="24" fillId="0" borderId="25" xfId="3" applyFont="1" applyFill="1" applyBorder="1" applyAlignment="1">
      <alignment horizontal="center"/>
    </xf>
    <xf numFmtId="0" fontId="24" fillId="0" borderId="26" xfId="8" applyFont="1" applyFill="1" applyBorder="1"/>
    <xf numFmtId="0" fontId="29" fillId="0" borderId="9" xfId="8" applyFont="1" applyFill="1" applyBorder="1" applyAlignment="1"/>
    <xf numFmtId="0" fontId="24" fillId="25" borderId="9" xfId="0" applyFont="1" applyFill="1" applyBorder="1" applyAlignment="1">
      <alignment horizontal="center" vertical="center" wrapText="1"/>
    </xf>
    <xf numFmtId="199" fontId="24" fillId="0" borderId="9" xfId="0" applyNumberFormat="1" applyFont="1" applyBorder="1" applyAlignment="1">
      <alignment horizontal="center" vertical="center" wrapText="1"/>
    </xf>
    <xf numFmtId="0" fontId="16" fillId="9" borderId="0" xfId="5" applyFont="1" applyFill="1" applyAlignment="1">
      <alignment horizontal="center"/>
    </xf>
    <xf numFmtId="167" fontId="44" fillId="12" borderId="0" xfId="0" applyNumberFormat="1" applyFont="1" applyFill="1" applyAlignment="1">
      <alignment horizontal="center"/>
    </xf>
    <xf numFmtId="0" fontId="43" fillId="0" borderId="0" xfId="5" applyFont="1" applyAlignment="1">
      <alignment horizontal="left"/>
    </xf>
    <xf numFmtId="0" fontId="44" fillId="0" borderId="0" xfId="0" applyFont="1" applyFill="1" applyAlignment="1"/>
    <xf numFmtId="0" fontId="29" fillId="0" borderId="40"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0" fontId="52" fillId="0" borderId="0" xfId="0" applyFont="1" applyFill="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96" fillId="13" borderId="9" xfId="0" applyNumberFormat="1" applyFont="1" applyFill="1" applyBorder="1" applyAlignment="1">
      <alignment horizontal="center" wrapText="1"/>
    </xf>
    <xf numFmtId="171" fontId="0" fillId="0" borderId="9" xfId="2" applyNumberFormat="1" applyFont="1" applyBorder="1" applyAlignment="1">
      <alignment horizontal="center"/>
    </xf>
    <xf numFmtId="171" fontId="0" fillId="0" borderId="9" xfId="0" applyNumberFormat="1" applyBorder="1" applyAlignment="1">
      <alignment horizontal="center"/>
    </xf>
    <xf numFmtId="171" fontId="0" fillId="20" borderId="9" xfId="0" applyNumberFormat="1" applyFill="1" applyBorder="1" applyAlignment="1">
      <alignment horizontal="center"/>
    </xf>
    <xf numFmtId="171" fontId="4" fillId="0" borderId="9" xfId="0" applyNumberFormat="1" applyFont="1" applyBorder="1" applyAlignment="1">
      <alignment horizontal="center"/>
    </xf>
    <xf numFmtId="172" fontId="24" fillId="0" borderId="9" xfId="0" applyNumberFormat="1" applyFont="1" applyFill="1" applyBorder="1" applyAlignment="1">
      <alignment horizontal="center" vertical="center" wrapText="1"/>
    </xf>
    <xf numFmtId="0" fontId="44" fillId="6" borderId="0" xfId="0" applyFont="1" applyFill="1" applyAlignment="1">
      <alignment horizontal="center"/>
    </xf>
    <xf numFmtId="0" fontId="24" fillId="4" borderId="9" xfId="8" applyFont="1" applyFill="1" applyBorder="1" applyAlignment="1">
      <alignment horizontal="left"/>
    </xf>
    <xf numFmtId="0" fontId="0" fillId="0" borderId="23" xfId="0" applyFont="1" applyBorder="1" applyAlignment="1">
      <alignment horizontal="left" vertical="center" wrapText="1"/>
    </xf>
    <xf numFmtId="0" fontId="24" fillId="4" borderId="9" xfId="0" applyFont="1" applyFill="1" applyBorder="1" applyAlignment="1">
      <alignment horizontal="center" vertical="center" wrapText="1"/>
    </xf>
    <xf numFmtId="7" fontId="0" fillId="0" borderId="9" xfId="0" applyNumberFormat="1" applyFont="1" applyBorder="1"/>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43" fontId="4" fillId="25" borderId="9" xfId="1" applyFont="1" applyFill="1" applyBorder="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18" borderId="9" xfId="0" applyFont="1" applyFill="1" applyBorder="1"/>
    <xf numFmtId="7" fontId="4" fillId="18" borderId="9" xfId="0" applyNumberFormat="1" applyFont="1" applyFill="1" applyBorder="1"/>
    <xf numFmtId="43" fontId="4" fillId="5" borderId="9" xfId="1" applyFont="1" applyFill="1" applyBorder="1"/>
    <xf numFmtId="205" fontId="4" fillId="5" borderId="9" xfId="0" applyNumberFormat="1" applyFont="1" applyFill="1" applyBorder="1"/>
    <xf numFmtId="0" fontId="4" fillId="32" borderId="9" xfId="0" applyFont="1" applyFill="1" applyBorder="1"/>
    <xf numFmtId="7" fontId="4" fillId="33" borderId="9" xfId="0" applyNumberFormat="1" applyFont="1" applyFill="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99" fillId="0" borderId="9" xfId="2" applyFont="1" applyBorder="1" applyAlignment="1">
      <alignment horizontal="center"/>
    </xf>
    <xf numFmtId="44" fontId="99" fillId="0" borderId="9" xfId="2" applyFont="1" applyBorder="1"/>
    <xf numFmtId="44" fontId="4" fillId="0" borderId="9" xfId="2" applyFont="1" applyBorder="1" applyAlignment="1">
      <alignment horizontal="center"/>
    </xf>
    <xf numFmtId="44" fontId="100" fillId="0" borderId="9" xfId="2" applyFont="1" applyBorder="1"/>
    <xf numFmtId="44" fontId="99" fillId="5" borderId="9" xfId="2" applyFont="1" applyFill="1" applyBorder="1" applyAlignment="1">
      <alignment horizontal="center"/>
    </xf>
    <xf numFmtId="44" fontId="24" fillId="0" borderId="9" xfId="2" applyFont="1" applyBorder="1"/>
    <xf numFmtId="179" fontId="108" fillId="0" borderId="9" xfId="8" applyNumberFormat="1" applyFont="1" applyBorder="1" applyAlignment="1">
      <alignment horizontal="center"/>
    </xf>
    <xf numFmtId="4" fontId="108" fillId="0" borderId="9" xfId="8" applyNumberFormat="1" applyFont="1" applyBorder="1" applyAlignment="1">
      <alignment horizontal="center"/>
    </xf>
    <xf numFmtId="4" fontId="108"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08" fillId="0" borderId="9" xfId="6" applyNumberFormat="1" applyFont="1" applyBorder="1" applyAlignment="1">
      <alignment horizontal="center"/>
    </xf>
    <xf numFmtId="4" fontId="108" fillId="0" borderId="9" xfId="6" applyNumberFormat="1" applyFont="1" applyBorder="1" applyAlignment="1">
      <alignment horizontal="center"/>
    </xf>
    <xf numFmtId="4" fontId="108" fillId="0" borderId="9" xfId="6" applyNumberFormat="1" applyFont="1" applyFill="1" applyBorder="1" applyAlignment="1">
      <alignment horizontal="center"/>
    </xf>
    <xf numFmtId="0" fontId="44" fillId="0" borderId="0" xfId="5" applyFont="1" applyAlignment="1">
      <alignment horizontal="center"/>
    </xf>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208" fontId="24" fillId="0" borderId="23" xfId="2" applyNumberFormat="1" applyFont="1" applyBorder="1" applyAlignment="1">
      <alignment horizontal="center" vertical="center" wrapText="1"/>
    </xf>
    <xf numFmtId="0" fontId="24" fillId="4" borderId="0" xfId="8" applyFont="1" applyFill="1" applyBorder="1" applyAlignment="1">
      <alignment vertical="center" wrapText="1"/>
    </xf>
    <xf numFmtId="0" fontId="24" fillId="0" borderId="9"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1" fillId="0" borderId="23" xfId="0" applyFont="1" applyFill="1" applyBorder="1" applyAlignment="1">
      <alignment horizontal="lef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178" fontId="4" fillId="0" borderId="30" xfId="0" applyNumberFormat="1" applyFont="1"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0" fontId="24" fillId="11" borderId="9" xfId="0" applyFont="1" applyFill="1" applyBorder="1" applyAlignment="1">
      <alignment horizontal="center" vertical="center" wrapText="1"/>
    </xf>
    <xf numFmtId="165" fontId="24" fillId="0" borderId="9" xfId="13" applyNumberFormat="1" applyFont="1" applyFill="1" applyBorder="1" applyAlignment="1">
      <alignment horizontal="left" vertical="center" wrapText="1"/>
    </xf>
    <xf numFmtId="0" fontId="24" fillId="0" borderId="23" xfId="0" applyFont="1" applyBorder="1" applyAlignment="1">
      <alignment horizontal="left" vertical="center"/>
    </xf>
    <xf numFmtId="165" fontId="24" fillId="0" borderId="23" xfId="13" applyNumberFormat="1"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4" borderId="9" xfId="0" applyFont="1" applyFill="1" applyBorder="1" applyAlignment="1">
      <alignment vertical="center" wrapText="1"/>
    </xf>
    <xf numFmtId="0" fontId="24" fillId="4" borderId="9" xfId="0" applyFont="1" applyFill="1" applyBorder="1" applyAlignment="1">
      <alignment horizontal="left" vertical="center"/>
    </xf>
    <xf numFmtId="0" fontId="24" fillId="0" borderId="19" xfId="0" applyFont="1" applyFill="1" applyBorder="1" applyAlignment="1">
      <alignmen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0" fontId="24" fillId="0" borderId="9" xfId="0" applyFont="1" applyBorder="1" applyAlignment="1">
      <alignment horizontal="lef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24" fillId="0" borderId="9" xfId="0" applyFont="1" applyBorder="1" applyAlignment="1">
      <alignment vertical="center" wrapText="1"/>
    </xf>
    <xf numFmtId="3" fontId="24" fillId="0" borderId="9" xfId="0" applyNumberFormat="1" applyFont="1" applyFill="1" applyBorder="1" applyAlignment="1">
      <alignment vertical="center" wrapText="1"/>
    </xf>
    <xf numFmtId="0" fontId="24" fillId="4" borderId="19" xfId="0" applyFont="1" applyFill="1" applyBorder="1" applyAlignment="1">
      <alignmen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16" xfId="0" applyFont="1" applyBorder="1" applyAlignment="1">
      <alignment horizontal="left"/>
    </xf>
    <xf numFmtId="0" fontId="24" fillId="0" borderId="18" xfId="0" applyFont="1" applyBorder="1" applyAlignment="1">
      <alignment horizontal="left"/>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9"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44" xfId="8" applyFont="1" applyFill="1" applyBorder="1" applyAlignment="1">
      <alignment horizontal="left" vertical="center" wrapText="1"/>
    </xf>
    <xf numFmtId="0" fontId="24" fillId="4" borderId="30" xfId="8" applyFont="1" applyFill="1" applyBorder="1" applyAlignment="1">
      <alignment horizontal="left" vertical="center" wrapText="1"/>
    </xf>
    <xf numFmtId="2" fontId="24" fillId="0" borderId="16" xfId="0" applyNumberFormat="1" applyFont="1" applyFill="1" applyBorder="1" applyAlignment="1">
      <alignment wrapText="1"/>
    </xf>
    <xf numFmtId="0" fontId="24" fillId="0" borderId="18" xfId="0" applyFont="1" applyBorder="1" applyAlignment="1">
      <alignment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0" borderId="0" xfId="0" applyFont="1" applyFill="1" applyBorder="1" applyAlignment="1">
      <alignment wrapText="1"/>
    </xf>
    <xf numFmtId="0" fontId="24" fillId="4" borderId="25"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0" borderId="9" xfId="0" applyFont="1" applyFill="1" applyBorder="1" applyAlignment="1"/>
    <xf numFmtId="0" fontId="24" fillId="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9" xfId="8" applyFont="1" applyBorder="1" applyAlignment="1"/>
    <xf numFmtId="0" fontId="24" fillId="0" borderId="9" xfId="8" applyFont="1" applyFill="1" applyBorder="1" applyAlignment="1">
      <alignment wrapText="1"/>
    </xf>
    <xf numFmtId="0" fontId="24" fillId="0" borderId="19" xfId="8" applyFont="1" applyBorder="1" applyAlignment="1">
      <alignment horizontal="left" vertical="center" wrapText="1"/>
    </xf>
    <xf numFmtId="0" fontId="24" fillId="0" borderId="18" xfId="8" applyFont="1" applyFill="1" applyBorder="1" applyAlignment="1">
      <alignment wrapText="1"/>
    </xf>
    <xf numFmtId="0" fontId="24" fillId="0" borderId="0" xfId="0" applyFont="1" applyAlignment="1">
      <alignment wrapText="1"/>
    </xf>
    <xf numFmtId="0" fontId="24" fillId="0" borderId="9" xfId="8" applyFont="1" applyFill="1" applyBorder="1" applyAlignment="1">
      <alignment horizontal="left" vertical="center"/>
    </xf>
    <xf numFmtId="165" fontId="24" fillId="0" borderId="9" xfId="8" applyNumberFormat="1" applyFont="1" applyFill="1" applyBorder="1" applyAlignment="1">
      <alignment horizontal="left" vertical="center"/>
    </xf>
    <xf numFmtId="0" fontId="29" fillId="0" borderId="9" xfId="8" applyFont="1" applyBorder="1" applyAlignment="1">
      <alignment horizontal="left" vertical="center" wrapText="1"/>
    </xf>
    <xf numFmtId="0" fontId="24" fillId="0" borderId="19" xfId="8"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24" fillId="11" borderId="9" xfId="0" applyFont="1" applyFill="1" applyBorder="1" applyAlignment="1">
      <alignment vertical="center" wrapText="1"/>
    </xf>
    <xf numFmtId="0" fontId="24" fillId="0" borderId="9" xfId="8" applyFont="1" applyFill="1" applyBorder="1" applyAlignment="1"/>
    <xf numFmtId="0" fontId="24" fillId="0" borderId="9" xfId="8" applyFont="1" applyBorder="1" applyAlignment="1"/>
    <xf numFmtId="0" fontId="24" fillId="11" borderId="9" xfId="5" applyFont="1" applyFill="1" applyBorder="1" applyAlignment="1">
      <alignment horizontal="center" vertical="center" wrapText="1"/>
    </xf>
    <xf numFmtId="165" fontId="24" fillId="0" borderId="9" xfId="0" applyNumberFormat="1" applyFont="1" applyFill="1" applyBorder="1" applyAlignment="1">
      <alignment horizontal="center" vertical="center" wrapText="1"/>
    </xf>
    <xf numFmtId="168" fontId="24" fillId="0" borderId="9" xfId="5" applyNumberFormat="1" applyFont="1" applyBorder="1" applyAlignment="1">
      <alignment vertical="top"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0" fontId="24" fillId="0" borderId="9" xfId="0" applyFont="1" applyBorder="1" applyAlignment="1">
      <alignment horizontal="left" wrapText="1"/>
    </xf>
    <xf numFmtId="0" fontId="29" fillId="4" borderId="9" xfId="8" applyFont="1" applyFill="1" applyBorder="1" applyAlignment="1">
      <alignment horizontal="left" vertical="center"/>
    </xf>
    <xf numFmtId="0" fontId="24" fillId="11" borderId="9" xfId="0" applyFont="1" applyFill="1" applyBorder="1" applyAlignment="1">
      <alignment horizontal="left" vertical="center" wrapText="1"/>
    </xf>
    <xf numFmtId="0" fontId="24" fillId="0" borderId="9" xfId="0" applyFont="1" applyBorder="1" applyAlignment="1">
      <alignment horizontal="left"/>
    </xf>
    <xf numFmtId="0" fontId="24" fillId="0" borderId="0" xfId="0" applyFont="1" applyAlignment="1">
      <alignment horizontal="left" wrapText="1"/>
    </xf>
    <xf numFmtId="0" fontId="24" fillId="0" borderId="0" xfId="0" applyFont="1" applyAlignment="1">
      <alignment horizontal="center" vertical="center"/>
    </xf>
    <xf numFmtId="168" fontId="24" fillId="0" borderId="26" xfId="5" applyNumberFormat="1" applyFont="1" applyFill="1" applyBorder="1" applyAlignment="1">
      <alignment horizontal="center" vertical="center" wrapText="1"/>
    </xf>
    <xf numFmtId="10" fontId="24" fillId="0" borderId="9" xfId="0" applyNumberFormat="1" applyFont="1" applyFill="1" applyBorder="1" applyAlignment="1">
      <alignment horizontal="center"/>
    </xf>
    <xf numFmtId="168" fontId="24" fillId="0" borderId="0" xfId="1" applyNumberFormat="1" applyFont="1" applyAlignment="1">
      <alignment horizontal="center" vertical="center"/>
    </xf>
    <xf numFmtId="10" fontId="24" fillId="0" borderId="14" xfId="0" applyNumberFormat="1" applyFont="1" applyFill="1" applyBorder="1" applyAlignment="1">
      <alignment horizontal="center"/>
    </xf>
    <xf numFmtId="4" fontId="24" fillId="4" borderId="9" xfId="6" applyNumberFormat="1" applyFont="1" applyFill="1" applyBorder="1" applyAlignment="1">
      <alignment horizontal="center"/>
    </xf>
    <xf numFmtId="165" fontId="74" fillId="0" borderId="19" xfId="8" applyNumberFormat="1" applyFont="1" applyFill="1" applyBorder="1" applyAlignment="1">
      <alignment horizontal="left" vertical="center"/>
    </xf>
    <xf numFmtId="10" fontId="24" fillId="0" borderId="19" xfId="6" applyNumberFormat="1" applyFont="1" applyFill="1" applyBorder="1" applyAlignment="1">
      <alignment horizontal="center"/>
    </xf>
    <xf numFmtId="171" fontId="24" fillId="0" borderId="87" xfId="13" applyNumberFormat="1" applyFont="1" applyFill="1" applyBorder="1" applyAlignment="1">
      <alignment horizontal="center"/>
    </xf>
    <xf numFmtId="0" fontId="88" fillId="0" borderId="87" xfId="17" applyFont="1" applyFill="1" applyBorder="1" applyAlignment="1"/>
    <xf numFmtId="171" fontId="24" fillId="0" borderId="87" xfId="13" applyNumberFormat="1" applyFont="1" applyFill="1" applyBorder="1" applyAlignment="1">
      <alignment horizontal="left"/>
    </xf>
    <xf numFmtId="0" fontId="109" fillId="0" borderId="9" xfId="0" applyFont="1" applyBorder="1" applyAlignment="1">
      <alignment horizontal="center" vertical="center" wrapText="1"/>
    </xf>
    <xf numFmtId="0" fontId="109" fillId="0" borderId="9" xfId="0" applyFont="1" applyFill="1" applyBorder="1" applyAlignment="1">
      <alignment horizontal="center" vertical="center" wrapText="1"/>
    </xf>
    <xf numFmtId="0" fontId="109" fillId="4" borderId="9" xfId="0" applyFont="1" applyFill="1" applyBorder="1" applyAlignment="1">
      <alignment horizontal="left" vertical="center" wrapText="1"/>
    </xf>
    <xf numFmtId="4" fontId="110" fillId="0" borderId="9" xfId="8" applyNumberFormat="1" applyFont="1" applyBorder="1" applyAlignment="1">
      <alignment horizontal="center"/>
    </xf>
    <xf numFmtId="0" fontId="111" fillId="0" borderId="9" xfId="12" applyFont="1" applyFill="1" applyBorder="1" applyAlignment="1">
      <alignment horizontal="center"/>
    </xf>
    <xf numFmtId="182" fontId="109" fillId="4" borderId="9" xfId="1" applyNumberFormat="1" applyFont="1" applyFill="1" applyBorder="1" applyAlignment="1">
      <alignment horizontal="center"/>
    </xf>
    <xf numFmtId="169" fontId="110" fillId="0" borderId="9" xfId="2" applyNumberFormat="1" applyFont="1" applyBorder="1" applyAlignment="1">
      <alignment horizontal="center"/>
    </xf>
    <xf numFmtId="165" fontId="109" fillId="0" borderId="9" xfId="0" applyNumberFormat="1" applyFont="1" applyBorder="1" applyAlignment="1">
      <alignment horizontal="center" vertical="center" wrapText="1"/>
    </xf>
    <xf numFmtId="171" fontId="109" fillId="4" borderId="9" xfId="13" applyNumberFormat="1" applyFont="1" applyFill="1" applyBorder="1" applyAlignment="1">
      <alignment horizontal="center"/>
    </xf>
    <xf numFmtId="0" fontId="109" fillId="4" borderId="9" xfId="0" applyFont="1" applyFill="1" applyBorder="1" applyAlignment="1">
      <alignment horizontal="center"/>
    </xf>
    <xf numFmtId="0" fontId="109" fillId="0" borderId="9" xfId="0" applyFont="1" applyFill="1" applyBorder="1" applyAlignment="1">
      <alignment horizontal="left" vertical="center" wrapText="1"/>
    </xf>
    <xf numFmtId="4" fontId="110" fillId="0" borderId="9" xfId="8" applyNumberFormat="1" applyFont="1" applyFill="1" applyBorder="1" applyAlignment="1">
      <alignment horizontal="center"/>
    </xf>
    <xf numFmtId="182" fontId="109" fillId="0" borderId="9" xfId="1" applyNumberFormat="1" applyFont="1" applyFill="1" applyBorder="1" applyAlignment="1">
      <alignment horizontal="center"/>
    </xf>
    <xf numFmtId="169" fontId="110" fillId="0" borderId="9" xfId="2" applyNumberFormat="1" applyFont="1" applyFill="1" applyBorder="1" applyAlignment="1">
      <alignment horizontal="center"/>
    </xf>
    <xf numFmtId="0" fontId="109" fillId="0" borderId="9" xfId="0" applyFont="1" applyFill="1" applyBorder="1" applyAlignment="1">
      <alignment horizontal="center"/>
    </xf>
    <xf numFmtId="0" fontId="24" fillId="0" borderId="4" xfId="8" applyFont="1" applyFill="1" applyBorder="1" applyAlignment="1"/>
    <xf numFmtId="9" fontId="24" fillId="0" borderId="37" xfId="3" applyFont="1" applyFill="1" applyBorder="1" applyAlignment="1">
      <alignment horizontal="center"/>
    </xf>
    <xf numFmtId="0" fontId="24" fillId="0" borderId="14" xfId="0" applyFont="1" applyFill="1" applyBorder="1" applyAlignment="1">
      <alignment horizontal="left" vertical="center"/>
    </xf>
    <xf numFmtId="39" fontId="24" fillId="0" borderId="14" xfId="0" applyNumberFormat="1" applyFont="1" applyBorder="1" applyAlignment="1">
      <alignment horizontal="center" vertical="center"/>
    </xf>
    <xf numFmtId="2" fontId="24" fillId="4" borderId="30" xfId="0" applyNumberFormat="1" applyFont="1" applyFill="1" applyBorder="1" applyAlignment="1">
      <alignment horizontal="center" vertical="center"/>
    </xf>
    <xf numFmtId="0" fontId="72" fillId="0" borderId="9" xfId="0" applyFont="1" applyFill="1" applyBorder="1" applyAlignment="1">
      <alignment horizontal="left" vertical="center"/>
    </xf>
    <xf numFmtId="0" fontId="72" fillId="0" borderId="9" xfId="0" applyFont="1" applyFill="1" applyBorder="1" applyAlignment="1">
      <alignment vertical="center"/>
    </xf>
    <xf numFmtId="0" fontId="72" fillId="0" borderId="9" xfId="0" applyFont="1" applyBorder="1" applyAlignment="1">
      <alignment horizontal="center" vertical="center"/>
    </xf>
    <xf numFmtId="0" fontId="72" fillId="0" borderId="9" xfId="0" applyFont="1" applyFill="1" applyBorder="1" applyAlignment="1">
      <alignment horizontal="left" vertical="center" wrapText="1"/>
    </xf>
    <xf numFmtId="9" fontId="24" fillId="0" borderId="9" xfId="0" applyNumberFormat="1" applyFont="1" applyFill="1" applyBorder="1" applyAlignment="1">
      <alignment horizontal="center" vertical="center"/>
    </xf>
    <xf numFmtId="9" fontId="24" fillId="0" borderId="35" xfId="0" applyNumberFormat="1" applyFont="1" applyFill="1" applyBorder="1" applyAlignment="1">
      <alignment horizontal="center" vertical="center"/>
    </xf>
    <xf numFmtId="9" fontId="24" fillId="0" borderId="14" xfId="3" applyFont="1" applyFill="1" applyBorder="1" applyAlignment="1">
      <alignment horizontal="center"/>
    </xf>
    <xf numFmtId="181" fontId="24" fillId="0" borderId="9" xfId="0" applyNumberFormat="1" applyFont="1" applyFill="1" applyBorder="1" applyAlignment="1">
      <alignment horizontal="center" vertical="center" wrapText="1"/>
    </xf>
    <xf numFmtId="9" fontId="24" fillId="0" borderId="9" xfId="3" applyFont="1" applyBorder="1" applyAlignment="1">
      <alignment horizontal="center" vertical="center" wrapText="1"/>
    </xf>
    <xf numFmtId="180" fontId="24" fillId="0" borderId="9" xfId="0" applyNumberFormat="1" applyFont="1" applyBorder="1" applyAlignment="1">
      <alignment horizontal="center" wrapText="1"/>
    </xf>
    <xf numFmtId="180" fontId="24" fillId="0" borderId="9" xfId="0" applyNumberFormat="1" applyFont="1" applyBorder="1" applyAlignment="1">
      <alignment horizontal="left" vertical="center" wrapText="1"/>
    </xf>
    <xf numFmtId="9" fontId="24" fillId="0" borderId="9" xfId="3" applyNumberFormat="1" applyFont="1" applyBorder="1" applyAlignment="1">
      <alignment horizontal="center" wrapText="1"/>
    </xf>
    <xf numFmtId="190" fontId="24" fillId="0" borderId="9" xfId="3" applyNumberFormat="1" applyFont="1" applyBorder="1" applyAlignment="1">
      <alignment horizontal="left" wrapText="1"/>
    </xf>
    <xf numFmtId="10" fontId="24" fillId="0" borderId="9" xfId="3" applyNumberFormat="1" applyFont="1" applyBorder="1" applyAlignment="1">
      <alignment horizontal="center" wrapText="1"/>
    </xf>
    <xf numFmtId="172" fontId="24" fillId="4" borderId="9" xfId="3" applyNumberFormat="1" applyFont="1" applyFill="1" applyBorder="1" applyAlignment="1">
      <alignment horizontal="center" vertical="center" wrapText="1"/>
    </xf>
    <xf numFmtId="4" fontId="24" fillId="4" borderId="9" xfId="8" applyNumberFormat="1" applyFont="1" applyFill="1" applyBorder="1" applyAlignment="1">
      <alignment horizontal="center"/>
    </xf>
    <xf numFmtId="0" fontId="24" fillId="4" borderId="9" xfId="12" applyFont="1" applyFill="1" applyBorder="1" applyAlignment="1">
      <alignment horizontal="center" vertical="center"/>
    </xf>
    <xf numFmtId="169" fontId="24" fillId="4" borderId="9" xfId="2" applyNumberFormat="1" applyFont="1" applyFill="1" applyBorder="1" applyAlignment="1">
      <alignment horizontal="center" vertical="center"/>
    </xf>
    <xf numFmtId="0" fontId="24" fillId="4" borderId="9" xfId="6" applyFont="1" applyFill="1" applyBorder="1"/>
    <xf numFmtId="9" fontId="24" fillId="4" borderId="18" xfId="3" applyFont="1" applyFill="1" applyBorder="1" applyAlignment="1">
      <alignment horizontal="center"/>
    </xf>
    <xf numFmtId="172" fontId="24" fillId="4" borderId="21" xfId="3" applyNumberFormat="1" applyFont="1" applyFill="1" applyBorder="1" applyAlignment="1">
      <alignment horizontal="center"/>
    </xf>
    <xf numFmtId="0" fontId="24" fillId="4" borderId="19" xfId="6" applyFont="1" applyFill="1" applyBorder="1"/>
    <xf numFmtId="165" fontId="74" fillId="4" borderId="19" xfId="8" applyNumberFormat="1" applyFont="1" applyFill="1" applyBorder="1" applyAlignment="1">
      <alignment vertical="center"/>
    </xf>
    <xf numFmtId="165" fontId="74" fillId="4" borderId="19" xfId="8" applyNumberFormat="1" applyFont="1" applyFill="1" applyBorder="1" applyAlignment="1">
      <alignment horizontal="left" vertical="center"/>
    </xf>
    <xf numFmtId="165" fontId="24" fillId="4" borderId="19" xfId="6" applyNumberFormat="1" applyFont="1" applyFill="1" applyBorder="1" applyAlignment="1">
      <alignment horizontal="center"/>
    </xf>
    <xf numFmtId="0" fontId="24" fillId="4" borderId="87" xfId="6" applyFont="1" applyFill="1" applyBorder="1"/>
    <xf numFmtId="7" fontId="24" fillId="4" borderId="87" xfId="2" applyNumberFormat="1" applyFont="1" applyFill="1" applyBorder="1" applyAlignment="1">
      <alignment horizontal="center" wrapText="1"/>
    </xf>
    <xf numFmtId="0" fontId="88" fillId="4" borderId="87" xfId="17" applyFont="1" applyFill="1" applyBorder="1" applyAlignment="1"/>
    <xf numFmtId="171" fontId="24" fillId="4" borderId="87" xfId="13" applyNumberFormat="1" applyFont="1" applyFill="1" applyBorder="1" applyAlignment="1">
      <alignment horizontal="left"/>
    </xf>
    <xf numFmtId="0" fontId="44" fillId="12" borderId="9" xfId="0" applyFont="1" applyFill="1" applyBorder="1"/>
    <xf numFmtId="165" fontId="74" fillId="4" borderId="9" xfId="8" applyNumberFormat="1" applyFont="1" applyFill="1" applyBorder="1" applyAlignment="1">
      <alignment vertical="center"/>
    </xf>
    <xf numFmtId="167" fontId="44" fillId="12" borderId="9" xfId="0" applyNumberFormat="1" applyFont="1" applyFill="1" applyBorder="1" applyAlignment="1">
      <alignment horizontal="center"/>
    </xf>
    <xf numFmtId="167" fontId="44" fillId="12" borderId="9" xfId="0" applyNumberFormat="1" applyFont="1" applyFill="1" applyBorder="1"/>
    <xf numFmtId="0" fontId="112" fillId="9" borderId="0" xfId="5" applyFont="1" applyFill="1"/>
    <xf numFmtId="0" fontId="24" fillId="12" borderId="0" xfId="0" applyFont="1" applyFill="1"/>
    <xf numFmtId="0" fontId="72" fillId="12" borderId="0" xfId="0" applyFont="1" applyFill="1"/>
    <xf numFmtId="3" fontId="24" fillId="4" borderId="9" xfId="0" applyNumberFormat="1" applyFont="1" applyFill="1" applyBorder="1" applyAlignment="1">
      <alignment horizontal="left" vertical="center"/>
    </xf>
    <xf numFmtId="43" fontId="24" fillId="4" borderId="9" xfId="1" applyFont="1" applyFill="1" applyBorder="1"/>
    <xf numFmtId="43" fontId="24" fillId="4" borderId="9" xfId="1" applyNumberFormat="1" applyFont="1" applyFill="1" applyBorder="1" applyAlignment="1">
      <alignment horizontal="center"/>
    </xf>
    <xf numFmtId="0" fontId="24" fillId="4" borderId="48" xfId="8" applyFont="1" applyFill="1" applyBorder="1"/>
    <xf numFmtId="0" fontId="24" fillId="4" borderId="74" xfId="8" applyFont="1" applyFill="1" applyBorder="1"/>
    <xf numFmtId="1" fontId="24" fillId="4" borderId="4" xfId="0" applyNumberFormat="1" applyFont="1" applyFill="1" applyBorder="1" applyAlignment="1">
      <alignment horizontal="left" vertical="top" wrapText="1"/>
    </xf>
    <xf numFmtId="1" fontId="24" fillId="4" borderId="5" xfId="0" applyNumberFormat="1" applyFont="1" applyFill="1" applyBorder="1" applyAlignment="1">
      <alignment horizontal="left" vertical="top" wrapText="1"/>
    </xf>
    <xf numFmtId="1" fontId="24" fillId="4" borderId="9" xfId="0" applyNumberFormat="1" applyFont="1" applyFill="1" applyBorder="1" applyAlignment="1">
      <alignment horizontal="left" vertical="top" wrapText="1"/>
    </xf>
    <xf numFmtId="1" fontId="24" fillId="4" borderId="45" xfId="0" applyNumberFormat="1" applyFont="1" applyFill="1" applyBorder="1" applyAlignment="1">
      <alignment horizontal="left" vertical="top" wrapText="1"/>
    </xf>
    <xf numFmtId="1" fontId="24" fillId="4" borderId="23" xfId="0" applyNumberFormat="1" applyFont="1" applyFill="1" applyBorder="1" applyAlignment="1">
      <alignment horizontal="left" vertical="top" wrapText="1"/>
    </xf>
    <xf numFmtId="1" fontId="24" fillId="4" borderId="10" xfId="0" applyNumberFormat="1" applyFont="1" applyFill="1" applyBorder="1" applyAlignment="1">
      <alignment horizontal="left" vertical="top" wrapText="1"/>
    </xf>
    <xf numFmtId="1" fontId="24" fillId="0" borderId="9" xfId="0" applyNumberFormat="1" applyFont="1" applyFill="1" applyBorder="1" applyAlignment="1">
      <alignment horizontal="left" vertical="top" wrapText="1"/>
    </xf>
    <xf numFmtId="1" fontId="24" fillId="0" borderId="10" xfId="0" applyNumberFormat="1" applyFont="1" applyFill="1" applyBorder="1" applyAlignment="1">
      <alignment horizontal="left" vertical="top" wrapText="1"/>
    </xf>
    <xf numFmtId="1" fontId="24" fillId="0" borderId="9" xfId="1" applyNumberFormat="1" applyFont="1" applyFill="1" applyBorder="1" applyAlignment="1">
      <alignment horizontal="left" vertical="top" wrapText="1"/>
    </xf>
    <xf numFmtId="1" fontId="24" fillId="4" borderId="10" xfId="0" applyNumberFormat="1" applyFont="1" applyFill="1" applyBorder="1"/>
    <xf numFmtId="1" fontId="24" fillId="4" borderId="46" xfId="0" applyNumberFormat="1" applyFont="1" applyFill="1" applyBorder="1"/>
    <xf numFmtId="1" fontId="24" fillId="4" borderId="53" xfId="0" applyNumberFormat="1" applyFont="1" applyFill="1" applyBorder="1"/>
    <xf numFmtId="0" fontId="24" fillId="0" borderId="5" xfId="0" applyFont="1" applyFill="1" applyBorder="1"/>
    <xf numFmtId="0" fontId="24" fillId="0" borderId="10" xfId="0" applyFont="1" applyFill="1" applyBorder="1"/>
    <xf numFmtId="0" fontId="24" fillId="4" borderId="19" xfId="0" applyFont="1" applyFill="1" applyBorder="1"/>
    <xf numFmtId="0" fontId="24" fillId="4" borderId="23" xfId="0" applyFont="1" applyFill="1" applyBorder="1"/>
    <xf numFmtId="0" fontId="24" fillId="0" borderId="25" xfId="0" applyFont="1" applyFill="1" applyBorder="1"/>
    <xf numFmtId="0" fontId="24" fillId="0" borderId="15" xfId="0" applyFont="1" applyFill="1" applyBorder="1"/>
    <xf numFmtId="2" fontId="24" fillId="0" borderId="4" xfId="0" applyNumberFormat="1" applyFont="1" applyFill="1" applyBorder="1" applyAlignment="1">
      <alignment horizontal="left" vertical="top" wrapText="1"/>
    </xf>
    <xf numFmtId="0" fontId="24" fillId="0" borderId="4" xfId="0" applyFont="1" applyFill="1" applyBorder="1"/>
    <xf numFmtId="0" fontId="24" fillId="0" borderId="5" xfId="0" applyFont="1" applyFill="1" applyBorder="1" applyAlignment="1">
      <alignment horizontal="left" vertical="top" wrapText="1"/>
    </xf>
    <xf numFmtId="0" fontId="24" fillId="0" borderId="10" xfId="0" applyFont="1" applyFill="1" applyBorder="1" applyAlignment="1">
      <alignment horizontal="left" vertical="top" wrapText="1"/>
    </xf>
    <xf numFmtId="2" fontId="24" fillId="0" borderId="19" xfId="0" applyNumberFormat="1" applyFont="1" applyFill="1" applyBorder="1" applyAlignment="1">
      <alignment horizontal="left" vertical="top" wrapText="1"/>
    </xf>
    <xf numFmtId="0" fontId="24" fillId="0" borderId="19" xfId="0" applyFont="1" applyFill="1" applyBorder="1"/>
    <xf numFmtId="0" fontId="24" fillId="0" borderId="46" xfId="0" applyFont="1" applyFill="1" applyBorder="1" applyAlignment="1">
      <alignment horizontal="left" vertical="top" wrapText="1"/>
    </xf>
    <xf numFmtId="0" fontId="24" fillId="0" borderId="30" xfId="0" applyFont="1" applyFill="1" applyBorder="1"/>
    <xf numFmtId="0" fontId="24" fillId="0" borderId="15" xfId="0" applyFont="1" applyFill="1" applyBorder="1" applyAlignment="1">
      <alignment horizontal="left" vertical="top" wrapText="1"/>
    </xf>
    <xf numFmtId="2" fontId="24" fillId="0" borderId="45" xfId="0" applyNumberFormat="1" applyFont="1" applyFill="1" applyBorder="1" applyAlignment="1">
      <alignment vertical="center" wrapText="1"/>
    </xf>
    <xf numFmtId="2" fontId="24" fillId="0" borderId="10" xfId="0" applyNumberFormat="1" applyFont="1" applyFill="1" applyBorder="1" applyAlignment="1">
      <alignment vertical="center" wrapText="1"/>
    </xf>
    <xf numFmtId="2" fontId="24" fillId="0" borderId="19" xfId="0" applyNumberFormat="1" applyFont="1" applyFill="1" applyBorder="1"/>
    <xf numFmtId="2" fontId="24" fillId="0" borderId="30" xfId="0" applyNumberFormat="1" applyFont="1" applyFill="1" applyBorder="1" applyAlignment="1">
      <alignment horizontal="left" vertical="top" wrapText="1"/>
    </xf>
    <xf numFmtId="2" fontId="24" fillId="0" borderId="30" xfId="0" applyNumberFormat="1" applyFont="1" applyFill="1" applyBorder="1"/>
    <xf numFmtId="2" fontId="24" fillId="0" borderId="15" xfId="0" applyNumberFormat="1" applyFont="1" applyFill="1" applyBorder="1" applyAlignment="1">
      <alignment vertical="center" wrapText="1"/>
    </xf>
    <xf numFmtId="0" fontId="24" fillId="4" borderId="4" xfId="0" applyFont="1" applyFill="1" applyBorder="1" applyAlignment="1">
      <alignment horizontal="left" vertical="top"/>
    </xf>
    <xf numFmtId="0" fontId="24" fillId="4" borderId="4" xfId="0" applyFont="1" applyFill="1" applyBorder="1" applyAlignment="1"/>
    <xf numFmtId="0" fontId="24" fillId="4" borderId="5" xfId="0" applyFont="1" applyFill="1" applyBorder="1" applyAlignment="1"/>
    <xf numFmtId="0" fontId="24" fillId="4" borderId="9" xfId="0" applyFont="1" applyFill="1" applyBorder="1" applyAlignment="1">
      <alignment horizontal="left" vertical="top"/>
    </xf>
    <xf numFmtId="0" fontId="24" fillId="4" borderId="9" xfId="0" applyFont="1" applyFill="1" applyBorder="1" applyAlignment="1"/>
    <xf numFmtId="0" fontId="24" fillId="4" borderId="10" xfId="0" applyFont="1" applyFill="1" applyBorder="1" applyAlignment="1"/>
    <xf numFmtId="0" fontId="24" fillId="4" borderId="19" xfId="0" applyFont="1" applyFill="1" applyBorder="1" applyAlignment="1"/>
    <xf numFmtId="0" fontId="24" fillId="4" borderId="46" xfId="0" applyFont="1" applyFill="1" applyBorder="1" applyAlignment="1"/>
    <xf numFmtId="0" fontId="24" fillId="4" borderId="14" xfId="0" applyFont="1" applyFill="1" applyBorder="1" applyAlignment="1">
      <alignment horizontal="left" vertical="top"/>
    </xf>
    <xf numFmtId="9" fontId="24" fillId="4" borderId="14" xfId="0" applyNumberFormat="1" applyFont="1" applyFill="1" applyBorder="1" applyAlignment="1">
      <alignment horizontal="left" vertical="top"/>
    </xf>
    <xf numFmtId="0" fontId="24" fillId="4" borderId="14" xfId="0" applyFont="1" applyFill="1" applyBorder="1" applyAlignment="1"/>
    <xf numFmtId="0" fontId="24" fillId="4" borderId="15" xfId="0" applyFont="1" applyFill="1" applyBorder="1" applyAlignment="1"/>
    <xf numFmtId="0" fontId="24" fillId="0" borderId="30" xfId="0" applyFont="1" applyFill="1" applyBorder="1" applyAlignment="1">
      <alignment horizontal="left" vertical="top"/>
    </xf>
    <xf numFmtId="9" fontId="24" fillId="0" borderId="23" xfId="0" applyNumberFormat="1" applyFont="1" applyFill="1" applyBorder="1" applyAlignment="1">
      <alignment horizontal="left" vertical="top"/>
    </xf>
    <xf numFmtId="0" fontId="24" fillId="0" borderId="53" xfId="0" applyFont="1" applyFill="1" applyBorder="1"/>
    <xf numFmtId="1" fontId="24" fillId="0" borderId="16" xfId="0" applyNumberFormat="1" applyFont="1" applyFill="1" applyBorder="1" applyAlignment="1">
      <alignment horizontal="left" vertical="top" wrapText="1"/>
    </xf>
    <xf numFmtId="0" fontId="24" fillId="0" borderId="45" xfId="0" applyFont="1" applyFill="1" applyBorder="1" applyAlignment="1">
      <alignment horizontal="left" vertical="top"/>
    </xf>
    <xf numFmtId="2" fontId="24" fillId="0" borderId="15" xfId="0" applyNumberFormat="1" applyFont="1" applyFill="1" applyBorder="1"/>
    <xf numFmtId="2" fontId="24" fillId="0" borderId="14" xfId="0" applyNumberFormat="1" applyFont="1" applyFill="1" applyBorder="1" applyAlignment="1">
      <alignment horizontal="left" vertical="top" wrapText="1"/>
    </xf>
    <xf numFmtId="0" fontId="24" fillId="0" borderId="94" xfId="0" applyFont="1" applyFill="1" applyBorder="1" applyAlignment="1">
      <alignment horizontal="left" vertical="center" wrapText="1"/>
    </xf>
    <xf numFmtId="0" fontId="24" fillId="0" borderId="86" xfId="0" applyFont="1" applyFill="1" applyBorder="1" applyAlignment="1">
      <alignment horizontal="left" vertical="center" wrapText="1"/>
    </xf>
    <xf numFmtId="0" fontId="24" fillId="0" borderId="48" xfId="0" applyFont="1" applyFill="1" applyBorder="1" applyAlignment="1">
      <alignment horizontal="left" vertical="center" wrapText="1"/>
    </xf>
    <xf numFmtId="9" fontId="24" fillId="0" borderId="48" xfId="0" applyNumberFormat="1" applyFont="1" applyFill="1" applyBorder="1" applyAlignment="1">
      <alignment horizontal="left" vertical="center" wrapText="1"/>
    </xf>
    <xf numFmtId="0" fontId="24" fillId="0" borderId="48" xfId="0" applyFont="1" applyFill="1" applyBorder="1" applyAlignment="1">
      <alignment horizontal="left" vertical="top" wrapText="1"/>
    </xf>
    <xf numFmtId="0" fontId="24" fillId="0" borderId="75" xfId="0" applyFont="1" applyFill="1" applyBorder="1" applyAlignment="1">
      <alignment horizontal="left" vertical="top" wrapText="1"/>
    </xf>
    <xf numFmtId="7" fontId="24" fillId="4" borderId="23" xfId="2" applyNumberFormat="1" applyFont="1" applyFill="1" applyBorder="1" applyAlignment="1">
      <alignment horizontal="left"/>
    </xf>
    <xf numFmtId="2" fontId="24" fillId="0" borderId="0" xfId="0" applyNumberFormat="1" applyFont="1" applyFill="1" applyAlignment="1">
      <alignment horizontal="left"/>
    </xf>
    <xf numFmtId="2" fontId="24" fillId="0" borderId="0" xfId="0" applyNumberFormat="1" applyFont="1" applyFill="1" applyAlignment="1">
      <alignment horizontal="center"/>
    </xf>
    <xf numFmtId="2" fontId="88" fillId="0" borderId="0" xfId="0" applyNumberFormat="1" applyFont="1" applyFill="1" applyAlignment="1">
      <alignment horizontal="right"/>
    </xf>
    <xf numFmtId="0" fontId="88" fillId="0" borderId="0" xfId="0" applyFont="1" applyFill="1" applyAlignment="1">
      <alignment horizontal="center"/>
    </xf>
    <xf numFmtId="2" fontId="24" fillId="0" borderId="9" xfId="0" applyNumberFormat="1" applyFont="1" applyFill="1" applyBorder="1" applyAlignment="1">
      <alignment wrapText="1"/>
    </xf>
    <xf numFmtId="171" fontId="24" fillId="0" borderId="9" xfId="0" applyNumberFormat="1" applyFont="1" applyFill="1" applyBorder="1"/>
    <xf numFmtId="171" fontId="24" fillId="0" borderId="9" xfId="2" applyNumberFormat="1" applyFont="1" applyFill="1" applyBorder="1" applyAlignment="1">
      <alignment horizontal="center"/>
    </xf>
    <xf numFmtId="171" fontId="24" fillId="0" borderId="9" xfId="0" applyNumberFormat="1" applyFont="1" applyFill="1" applyBorder="1" applyAlignment="1">
      <alignment horizontal="right"/>
    </xf>
    <xf numFmtId="171" fontId="24" fillId="0" borderId="9" xfId="0" applyNumberFormat="1" applyFont="1" applyFill="1" applyBorder="1" applyAlignment="1">
      <alignment wrapText="1"/>
    </xf>
    <xf numFmtId="8" fontId="24" fillId="0" borderId="9" xfId="0" applyNumberFormat="1" applyFont="1" applyFill="1" applyBorder="1" applyAlignment="1">
      <alignment horizontal="center"/>
    </xf>
    <xf numFmtId="37" fontId="24" fillId="0" borderId="9" xfId="0" applyNumberFormat="1" applyFont="1" applyFill="1" applyBorder="1"/>
    <xf numFmtId="39" fontId="24" fillId="0" borderId="9" xfId="1" quotePrefix="1" applyNumberFormat="1" applyFont="1" applyFill="1" applyBorder="1" applyAlignment="1">
      <alignment horizontal="center" vertical="center" wrapText="1"/>
    </xf>
    <xf numFmtId="1" fontId="24" fillId="0" borderId="4" xfId="0" applyNumberFormat="1" applyFont="1" applyFill="1" applyBorder="1" applyAlignment="1">
      <alignment horizontal="left" vertical="top" wrapText="1"/>
    </xf>
    <xf numFmtId="1" fontId="24" fillId="0" borderId="14" xfId="0" applyNumberFormat="1" applyFont="1" applyFill="1" applyBorder="1" applyAlignment="1">
      <alignment horizontal="left" vertical="top" wrapText="1"/>
    </xf>
    <xf numFmtId="1" fontId="24" fillId="0" borderId="19" xfId="0" applyNumberFormat="1" applyFont="1" applyFill="1" applyBorder="1" applyAlignment="1">
      <alignment horizontal="left" vertical="top" wrapText="1"/>
    </xf>
    <xf numFmtId="0" fontId="24" fillId="0" borderId="19" xfId="0" applyFont="1" applyFill="1" applyBorder="1" applyAlignment="1">
      <alignment horizontal="left" vertical="top" wrapText="1"/>
    </xf>
    <xf numFmtId="0" fontId="24" fillId="0" borderId="16" xfId="0" applyFont="1" applyFill="1" applyBorder="1"/>
    <xf numFmtId="165" fontId="24" fillId="0" borderId="4" xfId="0" applyNumberFormat="1" applyFont="1" applyFill="1" applyBorder="1" applyAlignment="1">
      <alignment horizontal="left" vertical="top" wrapText="1"/>
    </xf>
    <xf numFmtId="0" fontId="24" fillId="0" borderId="37" xfId="0" applyFont="1" applyFill="1" applyBorder="1"/>
    <xf numFmtId="165" fontId="24" fillId="0" borderId="9" xfId="0" applyNumberFormat="1" applyFont="1" applyFill="1" applyBorder="1" applyAlignment="1">
      <alignment horizontal="left" vertical="top" wrapText="1"/>
    </xf>
    <xf numFmtId="165" fontId="24" fillId="0" borderId="19" xfId="0" applyNumberFormat="1" applyFont="1" applyFill="1" applyBorder="1" applyAlignment="1">
      <alignment horizontal="left" vertical="top" wrapText="1"/>
    </xf>
    <xf numFmtId="2" fontId="24" fillId="0" borderId="20" xfId="0" applyNumberFormat="1" applyFont="1" applyFill="1" applyBorder="1" applyAlignment="1">
      <alignment wrapText="1"/>
    </xf>
    <xf numFmtId="165" fontId="24" fillId="0" borderId="14" xfId="0" applyNumberFormat="1" applyFont="1" applyFill="1" applyBorder="1" applyAlignment="1">
      <alignment horizontal="left" vertical="top" wrapText="1"/>
    </xf>
    <xf numFmtId="2" fontId="24" fillId="0" borderId="35" xfId="0" applyNumberFormat="1" applyFont="1" applyFill="1" applyBorder="1" applyAlignment="1">
      <alignment wrapText="1"/>
    </xf>
    <xf numFmtId="2" fontId="24" fillId="0" borderId="25" xfId="0" applyNumberFormat="1" applyFont="1" applyFill="1" applyBorder="1" applyAlignment="1">
      <alignment wrapText="1"/>
    </xf>
    <xf numFmtId="0" fontId="24" fillId="0" borderId="53" xfId="0" applyFont="1" applyFill="1" applyBorder="1" applyAlignment="1">
      <alignment vertical="center" wrapText="1"/>
    </xf>
    <xf numFmtId="0" fontId="24" fillId="0" borderId="44" xfId="0" applyFont="1" applyFill="1" applyBorder="1" applyAlignment="1">
      <alignment horizontal="left" vertical="center" wrapText="1"/>
    </xf>
    <xf numFmtId="1" fontId="24" fillId="0" borderId="23" xfId="0" applyNumberFormat="1" applyFont="1" applyFill="1" applyBorder="1" applyAlignment="1">
      <alignment horizontal="left" vertical="top" wrapText="1"/>
    </xf>
    <xf numFmtId="0" fontId="24" fillId="0" borderId="5" xfId="0" applyFont="1" applyFill="1" applyBorder="1" applyAlignment="1">
      <alignment vertical="center"/>
    </xf>
    <xf numFmtId="1" fontId="24" fillId="0" borderId="45" xfId="0" applyNumberFormat="1" applyFont="1" applyFill="1" applyBorder="1" applyAlignment="1">
      <alignment horizontal="left"/>
    </xf>
    <xf numFmtId="0" fontId="24" fillId="0" borderId="25" xfId="0" applyFont="1" applyFill="1" applyBorder="1" applyAlignment="1">
      <alignment vertical="top" wrapText="1"/>
    </xf>
    <xf numFmtId="0" fontId="24" fillId="0" borderId="28" xfId="0" applyFont="1" applyFill="1" applyBorder="1" applyAlignment="1">
      <alignment vertical="top" wrapText="1"/>
    </xf>
    <xf numFmtId="0" fontId="24" fillId="0" borderId="26" xfId="0" applyFont="1" applyFill="1" applyBorder="1" applyAlignment="1">
      <alignment vertical="top" wrapText="1"/>
    </xf>
    <xf numFmtId="9" fontId="24" fillId="0" borderId="23" xfId="3" applyFont="1" applyFill="1" applyBorder="1" applyAlignment="1">
      <alignment horizontal="left" vertical="top" wrapText="1"/>
    </xf>
    <xf numFmtId="0" fontId="24" fillId="0" borderId="45" xfId="0" applyFont="1" applyFill="1" applyBorder="1"/>
    <xf numFmtId="186" fontId="24" fillId="0" borderId="0" xfId="0" applyNumberFormat="1" applyFont="1"/>
    <xf numFmtId="2" fontId="24" fillId="0" borderId="9" xfId="8" applyNumberFormat="1" applyFont="1" applyFill="1" applyBorder="1" applyAlignment="1">
      <alignment horizontal="center"/>
    </xf>
    <xf numFmtId="169" fontId="24" fillId="0" borderId="9" xfId="2" applyNumberFormat="1" applyFont="1" applyFill="1" applyBorder="1" applyAlignment="1">
      <alignment horizontal="center"/>
    </xf>
    <xf numFmtId="0" fontId="24" fillId="0" borderId="19" xfId="8" applyFont="1" applyFill="1" applyBorder="1" applyAlignment="1">
      <alignment horizontal="left" vertical="center"/>
    </xf>
    <xf numFmtId="2" fontId="24" fillId="0" borderId="9" xfId="1" applyNumberFormat="1" applyFont="1" applyFill="1" applyBorder="1" applyAlignment="1">
      <alignment horizontal="center" wrapText="1"/>
    </xf>
    <xf numFmtId="178" fontId="24" fillId="0" borderId="9" xfId="0" applyNumberFormat="1" applyFont="1" applyFill="1" applyBorder="1" applyAlignment="1">
      <alignment horizontal="left" vertical="center" wrapText="1"/>
    </xf>
    <xf numFmtId="200" fontId="24" fillId="0" borderId="9" xfId="8" applyNumberFormat="1" applyFont="1" applyFill="1" applyBorder="1" applyAlignment="1">
      <alignment horizontal="center"/>
    </xf>
    <xf numFmtId="165" fontId="29" fillId="0" borderId="9" xfId="8" applyNumberFormat="1" applyFont="1" applyFill="1" applyBorder="1" applyAlignment="1">
      <alignment horizontal="center"/>
    </xf>
    <xf numFmtId="0" fontId="24" fillId="0" borderId="14" xfId="0" applyFont="1" applyFill="1" applyBorder="1" applyAlignment="1">
      <alignment horizontal="left"/>
    </xf>
    <xf numFmtId="2" fontId="24" fillId="0" borderId="14" xfId="0" applyNumberFormat="1" applyFont="1" applyFill="1" applyBorder="1" applyAlignment="1">
      <alignment horizontal="center"/>
    </xf>
    <xf numFmtId="10" fontId="24" fillId="0" borderId="14" xfId="7" applyNumberFormat="1" applyFont="1" applyFill="1" applyBorder="1" applyAlignment="1">
      <alignment horizontal="center" vertical="center" wrapText="1"/>
    </xf>
    <xf numFmtId="2" fontId="24" fillId="0" borderId="34" xfId="0" applyNumberFormat="1" applyFont="1" applyFill="1" applyBorder="1" applyAlignment="1">
      <alignment horizontal="center"/>
    </xf>
    <xf numFmtId="171" fontId="24" fillId="0" borderId="9" xfId="2" applyNumberFormat="1" applyFont="1" applyBorder="1" applyAlignment="1">
      <alignment horizontal="center"/>
    </xf>
    <xf numFmtId="9" fontId="24" fillId="0" borderId="0" xfId="3" applyFont="1" applyFill="1" applyAlignment="1">
      <alignment horizontal="center"/>
    </xf>
    <xf numFmtId="9" fontId="24" fillId="0" borderId="9" xfId="0" applyNumberFormat="1" applyFont="1" applyBorder="1" applyAlignment="1">
      <alignment horizontal="center" vertical="center" wrapText="1"/>
    </xf>
    <xf numFmtId="9" fontId="24" fillId="0" borderId="19" xfId="0" applyNumberFormat="1" applyFont="1" applyBorder="1" applyAlignment="1">
      <alignment horizontal="center" vertical="center" wrapText="1"/>
    </xf>
    <xf numFmtId="165" fontId="24" fillId="0" borderId="9" xfId="0" applyNumberFormat="1" applyFont="1" applyBorder="1" applyAlignment="1">
      <alignment horizontal="left" vertical="center" wrapText="1"/>
    </xf>
    <xf numFmtId="170" fontId="24" fillId="0" borderId="16" xfId="1" applyNumberFormat="1" applyFont="1" applyFill="1" applyBorder="1" applyAlignment="1">
      <alignment horizontal="left" vertical="center" wrapText="1"/>
    </xf>
    <xf numFmtId="170" fontId="24" fillId="0" borderId="87" xfId="1" applyNumberFormat="1" applyFont="1" applyFill="1" applyBorder="1" applyAlignment="1">
      <alignment horizontal="center" vertical="center" wrapText="1"/>
    </xf>
    <xf numFmtId="7" fontId="24" fillId="0" borderId="16" xfId="2" applyNumberFormat="1" applyFont="1" applyFill="1" applyBorder="1" applyAlignment="1">
      <alignment horizontal="left" wrapText="1"/>
    </xf>
    <xf numFmtId="7" fontId="24" fillId="0" borderId="20" xfId="2" applyNumberFormat="1" applyFont="1" applyFill="1" applyBorder="1" applyAlignment="1">
      <alignment horizontal="left" wrapText="1"/>
    </xf>
    <xf numFmtId="7" fontId="24" fillId="0" borderId="90" xfId="2" applyNumberFormat="1" applyFont="1" applyFill="1" applyBorder="1" applyAlignment="1">
      <alignment horizontal="center" wrapText="1"/>
    </xf>
    <xf numFmtId="0" fontId="24" fillId="0" borderId="9" xfId="6" applyFont="1" applyFill="1" applyBorder="1" applyAlignment="1">
      <alignment horizontal="left"/>
    </xf>
    <xf numFmtId="193" fontId="24" fillId="0" borderId="9" xfId="0" applyNumberFormat="1" applyFont="1" applyFill="1" applyBorder="1" applyAlignment="1">
      <alignment horizontal="center"/>
    </xf>
    <xf numFmtId="49" fontId="24" fillId="0" borderId="9" xfId="2" applyNumberFormat="1" applyFont="1" applyFill="1" applyBorder="1" applyAlignment="1">
      <alignment horizontal="center" vertical="center"/>
    </xf>
    <xf numFmtId="181" fontId="24" fillId="0" borderId="0" xfId="6" applyNumberFormat="1" applyFont="1"/>
    <xf numFmtId="0" fontId="24" fillId="0" borderId="16" xfId="8" applyFont="1" applyFill="1" applyBorder="1" applyAlignment="1">
      <alignment horizontal="center" vertical="center" wrapText="1"/>
    </xf>
    <xf numFmtId="2" fontId="24" fillId="0" borderId="16" xfId="8" applyNumberFormat="1" applyFont="1" applyFill="1" applyBorder="1" applyAlignment="1">
      <alignment horizontal="center" vertical="center" wrapText="1"/>
    </xf>
    <xf numFmtId="180" fontId="24" fillId="0" borderId="16" xfId="8" applyNumberFormat="1" applyFont="1" applyFill="1" applyBorder="1" applyAlignment="1">
      <alignment horizontal="center" vertical="center" wrapText="1"/>
    </xf>
    <xf numFmtId="171" fontId="24" fillId="0" borderId="16" xfId="8" applyNumberFormat="1" applyFont="1" applyFill="1" applyBorder="1" applyAlignment="1">
      <alignment horizontal="center" vertical="center" wrapText="1"/>
    </xf>
    <xf numFmtId="0" fontId="29" fillId="0" borderId="0" xfId="8" applyFont="1" applyFill="1" applyAlignment="1">
      <alignment horizontal="left"/>
    </xf>
    <xf numFmtId="9" fontId="24" fillId="4" borderId="9" xfId="3" applyNumberFormat="1" applyFont="1" applyFill="1" applyBorder="1" applyAlignment="1">
      <alignment horizontal="center" vertical="center" wrapText="1"/>
    </xf>
    <xf numFmtId="0" fontId="74" fillId="4" borderId="9" xfId="8" applyFont="1" applyFill="1" applyBorder="1" applyAlignment="1">
      <alignment horizontal="left" vertical="center"/>
    </xf>
    <xf numFmtId="0" fontId="24" fillId="0" borderId="18" xfId="0" applyFont="1" applyFill="1" applyBorder="1"/>
    <xf numFmtId="170" fontId="24" fillId="0" borderId="16" xfId="1" applyNumberFormat="1" applyFont="1" applyFill="1" applyBorder="1" applyAlignment="1">
      <alignment vertical="center" wrapText="1"/>
    </xf>
    <xf numFmtId="7" fontId="24" fillId="0" borderId="16" xfId="2" applyNumberFormat="1" applyFont="1" applyFill="1" applyBorder="1" applyAlignment="1">
      <alignment wrapText="1"/>
    </xf>
    <xf numFmtId="7" fontId="24" fillId="0" borderId="9" xfId="0" applyNumberFormat="1" applyFont="1" applyFill="1" applyBorder="1" applyAlignment="1">
      <alignment horizontal="center"/>
    </xf>
    <xf numFmtId="0" fontId="24" fillId="0" borderId="19" xfId="6" applyFont="1" applyFill="1" applyBorder="1" applyAlignment="1">
      <alignment vertical="center"/>
    </xf>
    <xf numFmtId="165" fontId="74" fillId="0" borderId="19" xfId="8" applyNumberFormat="1" applyFont="1" applyFill="1" applyBorder="1" applyAlignment="1">
      <alignment vertical="center"/>
    </xf>
    <xf numFmtId="0" fontId="42" fillId="0" borderId="87" xfId="8" applyFont="1" applyFill="1" applyBorder="1" applyAlignment="1">
      <alignment vertical="center"/>
    </xf>
    <xf numFmtId="0" fontId="29" fillId="0" borderId="87" xfId="8" applyFont="1" applyFill="1" applyBorder="1" applyAlignment="1">
      <alignment vertical="center"/>
    </xf>
    <xf numFmtId="0" fontId="44" fillId="0" borderId="0" xfId="0" applyFont="1" applyAlignment="1">
      <alignment horizontal="left"/>
    </xf>
    <xf numFmtId="37" fontId="24" fillId="7" borderId="9" xfId="1" applyNumberFormat="1" applyFont="1" applyFill="1" applyBorder="1" applyAlignment="1">
      <alignment horizontal="center"/>
    </xf>
    <xf numFmtId="37" fontId="29" fillId="7" borderId="9" xfId="1" applyNumberFormat="1" applyFont="1" applyFill="1" applyBorder="1" applyAlignment="1">
      <alignment horizontal="center" vertical="center" wrapText="1"/>
    </xf>
    <xf numFmtId="39" fontId="24" fillId="7" borderId="9" xfId="5" applyNumberFormat="1" applyFont="1" applyFill="1" applyBorder="1" applyAlignment="1">
      <alignment horizontal="center"/>
    </xf>
    <xf numFmtId="0" fontId="24" fillId="4" borderId="9" xfId="5" applyNumberFormat="1" applyFont="1" applyFill="1" applyBorder="1"/>
    <xf numFmtId="2" fontId="39" fillId="0" borderId="0" xfId="5" applyNumberFormat="1" applyFont="1" applyAlignment="1">
      <alignment horizontal="center"/>
    </xf>
    <xf numFmtId="2" fontId="24" fillId="33" borderId="9" xfId="1" applyNumberFormat="1" applyFont="1" applyFill="1" applyBorder="1" applyAlignment="1">
      <alignment horizontal="center"/>
    </xf>
    <xf numFmtId="2" fontId="24" fillId="8" borderId="9" xfId="1" applyNumberFormat="1" applyFont="1" applyFill="1" applyBorder="1"/>
    <xf numFmtId="44" fontId="24" fillId="4" borderId="9" xfId="2" applyFont="1" applyFill="1" applyBorder="1"/>
    <xf numFmtId="2" fontId="24" fillId="8" borderId="23" xfId="1" applyNumberFormat="1" applyFont="1" applyFill="1" applyBorder="1"/>
    <xf numFmtId="44" fontId="24" fillId="4" borderId="17" xfId="2" applyFont="1" applyFill="1" applyBorder="1"/>
    <xf numFmtId="2" fontId="0" fillId="0" borderId="25" xfId="1" applyNumberFormat="1" applyFont="1" applyFill="1" applyBorder="1" applyAlignment="1">
      <alignment horizontal="center"/>
    </xf>
    <xf numFmtId="2" fontId="0" fillId="0" borderId="20" xfId="1" applyNumberFormat="1" applyFont="1" applyFill="1" applyBorder="1" applyAlignment="1">
      <alignment horizontal="center"/>
    </xf>
    <xf numFmtId="2" fontId="0" fillId="0" borderId="22" xfId="1" applyNumberFormat="1" applyFont="1" applyFill="1" applyBorder="1" applyAlignment="1">
      <alignment horizontal="center"/>
    </xf>
    <xf numFmtId="2" fontId="0" fillId="0" borderId="16" xfId="1" applyNumberFormat="1" applyFont="1" applyFill="1" applyBorder="1" applyAlignment="1">
      <alignment horizontal="center"/>
    </xf>
    <xf numFmtId="2" fontId="24" fillId="0" borderId="22" xfId="1" applyNumberFormat="1" applyFont="1" applyBorder="1" applyAlignment="1">
      <alignment horizontal="center"/>
    </xf>
    <xf numFmtId="44" fontId="24" fillId="0" borderId="24" xfId="2" applyFont="1" applyFill="1" applyBorder="1"/>
    <xf numFmtId="2" fontId="24" fillId="0" borderId="25" xfId="1" applyNumberFormat="1" applyFont="1" applyBorder="1" applyAlignment="1">
      <alignment horizontal="center"/>
    </xf>
    <xf numFmtId="44" fontId="24" fillId="0" borderId="26" xfId="2" applyFont="1" applyFill="1" applyBorder="1"/>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0" xfId="0" applyFont="1" applyBorder="1" applyAlignment="1">
      <alignment wrapText="1"/>
    </xf>
    <xf numFmtId="0" fontId="35" fillId="6" borderId="0" xfId="5" applyFont="1" applyFill="1" applyAlignment="1">
      <alignment vertical="center"/>
    </xf>
    <xf numFmtId="0" fontId="82" fillId="0" borderId="0" xfId="0" applyFont="1" applyAlignment="1">
      <alignment vertical="center"/>
    </xf>
    <xf numFmtId="0" fontId="71" fillId="6" borderId="0" xfId="5" applyFont="1" applyFill="1" applyAlignment="1">
      <alignment vertical="center"/>
    </xf>
    <xf numFmtId="0" fontId="81" fillId="0" borderId="0" xfId="0" applyFont="1" applyAlignment="1">
      <alignment vertical="center"/>
    </xf>
    <xf numFmtId="0" fontId="71" fillId="0" borderId="0" xfId="5" applyFont="1" applyFill="1" applyBorder="1" applyAlignment="1">
      <alignment vertical="center" wrapText="1"/>
    </xf>
    <xf numFmtId="0" fontId="81" fillId="0" borderId="0" xfId="0" applyFont="1" applyFill="1" applyBorder="1" applyAlignment="1">
      <alignment vertical="center" wrapText="1"/>
    </xf>
    <xf numFmtId="0" fontId="24" fillId="0" borderId="0" xfId="0" applyFont="1" applyFill="1" applyBorder="1" applyAlignment="1">
      <alignmen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0" borderId="17" xfId="0" applyFont="1" applyBorder="1" applyAlignment="1"/>
    <xf numFmtId="0" fontId="24" fillId="0" borderId="18" xfId="0" applyFont="1" applyBorder="1" applyAlignment="1"/>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168" fontId="24" fillId="0" borderId="31" xfId="5" applyNumberFormat="1" applyFont="1" applyBorder="1" applyAlignment="1">
      <alignment horizontal="center" vertical="center"/>
    </xf>
    <xf numFmtId="168" fontId="24" fillId="0" borderId="30" xfId="5" applyNumberFormat="1" applyFont="1" applyBorder="1" applyAlignment="1">
      <alignment horizontal="center" vertical="center"/>
    </xf>
    <xf numFmtId="0" fontId="24" fillId="0" borderId="30" xfId="0" applyFont="1" applyBorder="1" applyAlignment="1">
      <alignment horizontal="center" vertical="center"/>
    </xf>
    <xf numFmtId="0" fontId="24" fillId="0" borderId="33" xfId="0"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4" xfId="5" applyNumberFormat="1" applyFont="1" applyFill="1" applyBorder="1" applyAlignment="1">
      <alignment horizontal="left" vertical="center"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168" fontId="2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2" fontId="24" fillId="0" borderId="16" xfId="0" applyNumberFormat="1" applyFont="1" applyBorder="1" applyAlignment="1"/>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24" fillId="0" borderId="23" xfId="5" applyNumberFormat="1" applyFont="1" applyFill="1" applyBorder="1" applyAlignment="1">
      <alignment horizontal="left" vertical="center" wrapText="1"/>
    </xf>
    <xf numFmtId="168" fontId="24" fillId="0" borderId="33" xfId="5" applyNumberFormat="1" applyFont="1" applyFill="1" applyBorder="1" applyAlignment="1">
      <alignment horizontal="left" vertical="center" wrapText="1"/>
    </xf>
    <xf numFmtId="168" fontId="24" fillId="0" borderId="14" xfId="5" applyNumberFormat="1" applyFont="1" applyBorder="1" applyAlignment="1">
      <alignment horizontal="left" vertical="center" wrapText="1"/>
    </xf>
    <xf numFmtId="168" fontId="24" fillId="0" borderId="35" xfId="5" applyNumberFormat="1" applyFont="1" applyBorder="1" applyAlignment="1">
      <alignment horizontal="left" vertical="top" wrapText="1"/>
    </xf>
    <xf numFmtId="168" fontId="24" fillId="0" borderId="36" xfId="5" applyNumberFormat="1" applyFont="1" applyBorder="1" applyAlignment="1">
      <alignment horizontal="left" vertical="top" wrapText="1"/>
    </xf>
    <xf numFmtId="168" fontId="24" fillId="0" borderId="34" xfId="5" applyNumberFormat="1" applyFont="1" applyBorder="1" applyAlignment="1">
      <alignment horizontal="left" vertical="top" wrapText="1"/>
    </xf>
    <xf numFmtId="168" fontId="24" fillId="0" borderId="33" xfId="5" applyNumberFormat="1" applyFont="1" applyBorder="1" applyAlignment="1">
      <alignment horizontal="center" vertical="center"/>
    </xf>
    <xf numFmtId="168" fontId="24" fillId="0" borderId="57" xfId="5" applyNumberFormat="1" applyFont="1" applyFill="1" applyBorder="1" applyAlignment="1">
      <alignment horizontal="left" vertical="center" wrapText="1"/>
    </xf>
    <xf numFmtId="168" fontId="24" fillId="0" borderId="58" xfId="5" applyNumberFormat="1" applyFont="1" applyFill="1" applyBorder="1" applyAlignment="1">
      <alignment horizontal="left" vertical="center" wrapText="1"/>
    </xf>
    <xf numFmtId="168" fontId="24" fillId="0" borderId="59" xfId="5" applyNumberFormat="1" applyFont="1" applyFill="1" applyBorder="1" applyAlignment="1">
      <alignment horizontal="left" vertical="center" wrapText="1"/>
    </xf>
    <xf numFmtId="168" fontId="24" fillId="0" borderId="22" xfId="5" applyNumberFormat="1" applyFont="1" applyFill="1" applyBorder="1" applyAlignment="1">
      <alignment horizontal="left" vertical="center" wrapText="1"/>
    </xf>
    <xf numFmtId="168" fontId="24" fillId="0" borderId="0" xfId="5" applyNumberFormat="1" applyFont="1" applyFill="1" applyBorder="1" applyAlignment="1">
      <alignment horizontal="left" vertical="center" wrapText="1"/>
    </xf>
    <xf numFmtId="168" fontId="24" fillId="0" borderId="24" xfId="5" applyNumberFormat="1" applyFont="1" applyFill="1" applyBorder="1" applyAlignment="1">
      <alignment horizontal="left" vertical="center" wrapText="1"/>
    </xf>
    <xf numFmtId="168" fontId="24" fillId="0" borderId="60" xfId="5" applyNumberFormat="1" applyFont="1" applyFill="1" applyBorder="1" applyAlignment="1">
      <alignment horizontal="left" vertical="center" wrapText="1"/>
    </xf>
    <xf numFmtId="168" fontId="24" fillId="0" borderId="61" xfId="5" applyNumberFormat="1" applyFont="1" applyFill="1" applyBorder="1" applyAlignment="1">
      <alignment horizontal="left" vertical="center" wrapText="1"/>
    </xf>
    <xf numFmtId="168" fontId="24" fillId="0" borderId="62" xfId="5" applyNumberFormat="1" applyFont="1" applyFill="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24" fillId="0" borderId="48" xfId="5" applyNumberFormat="1" applyFont="1" applyFill="1" applyBorder="1" applyAlignment="1">
      <alignment horizontal="left" vertical="top"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9" xfId="8" applyFont="1" applyFill="1" applyBorder="1" applyAlignment="1">
      <alignment horizontal="left" wrapText="1"/>
    </xf>
    <xf numFmtId="0" fontId="24" fillId="11" borderId="9" xfId="0" applyFont="1" applyFill="1" applyBorder="1" applyAlignment="1">
      <alignment horizontal="center" vertical="center" wrapText="1"/>
    </xf>
    <xf numFmtId="165" fontId="24" fillId="4" borderId="9" xfId="13" applyNumberFormat="1"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165" fontId="24" fillId="0" borderId="23" xfId="13" applyNumberFormat="1" applyFont="1" applyFill="1" applyBorder="1" applyAlignment="1">
      <alignment horizontal="left" vertical="center"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9" xfId="6" applyNumberFormat="1" applyFont="1" applyFill="1" applyBorder="1" applyAlignment="1">
      <alignment horizontal="left" vertical="center" wrapText="1"/>
    </xf>
    <xf numFmtId="165" fontId="24" fillId="4" borderId="9" xfId="6" applyNumberFormat="1" applyFont="1" applyFill="1" applyBorder="1" applyAlignment="1">
      <alignment horizontal="left" vertical="center" wrapText="1"/>
    </xf>
    <xf numFmtId="0" fontId="24" fillId="0" borderId="9" xfId="6" applyFont="1" applyFill="1" applyBorder="1" applyAlignment="1">
      <alignment horizontal="left" vertical="center"/>
    </xf>
    <xf numFmtId="0" fontId="24" fillId="0" borderId="20" xfId="6" applyFont="1" applyFill="1" applyBorder="1" applyAlignment="1">
      <alignment horizontal="left"/>
    </xf>
    <xf numFmtId="0" fontId="24" fillId="0" borderId="25" xfId="6" applyFont="1" applyFill="1" applyBorder="1" applyAlignment="1">
      <alignment horizontal="left"/>
    </xf>
    <xf numFmtId="165" fontId="42" fillId="0" borderId="87" xfId="8" applyNumberFormat="1" applyFont="1" applyFill="1" applyBorder="1" applyAlignment="1">
      <alignment horizontal="left" vertical="center"/>
    </xf>
    <xf numFmtId="0" fontId="24" fillId="0" borderId="9" xfId="0" applyFont="1" applyBorder="1" applyAlignment="1">
      <alignment wrapText="1"/>
    </xf>
    <xf numFmtId="165" fontId="24" fillId="0" borderId="16" xfId="6" applyNumberFormat="1" applyFont="1" applyFill="1" applyBorder="1" applyAlignment="1">
      <alignment horizontal="left" vertical="center" wrapText="1"/>
    </xf>
    <xf numFmtId="165" fontId="24" fillId="0" borderId="18" xfId="6" applyNumberFormat="1" applyFont="1" applyFill="1" applyBorder="1" applyAlignment="1">
      <alignment horizontal="left" vertical="center" wrapText="1"/>
    </xf>
    <xf numFmtId="0" fontId="24" fillId="0" borderId="9" xfId="0" applyFont="1" applyFill="1" applyBorder="1" applyAlignment="1">
      <alignment wrapText="1"/>
    </xf>
    <xf numFmtId="0" fontId="24" fillId="0" borderId="19" xfId="6" applyFont="1" applyFill="1" applyBorder="1" applyAlignment="1">
      <alignment horizontal="left" vertical="center"/>
    </xf>
    <xf numFmtId="0" fontId="24" fillId="0" borderId="23" xfId="6" applyFont="1" applyFill="1" applyBorder="1" applyAlignment="1">
      <alignment horizontal="left" vertical="center"/>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19" xfId="0" applyFont="1" applyFill="1" applyBorder="1" applyAlignment="1">
      <alignmen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78" fontId="24" fillId="0" borderId="16" xfId="0" applyNumberFormat="1" applyFont="1" applyFill="1" applyBorder="1" applyAlignment="1">
      <alignment horizontal="left" vertical="center"/>
    </xf>
    <xf numFmtId="178" fontId="24" fillId="0" borderId="18" xfId="0" applyNumberFormat="1" applyFont="1" applyFill="1" applyBorder="1" applyAlignment="1">
      <alignment horizontal="left" vertical="center"/>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24" fillId="0" borderId="31"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95" xfId="0" applyFont="1" applyBorder="1" applyAlignment="1">
      <alignment horizontal="left" vertical="center"/>
    </xf>
    <xf numFmtId="0" fontId="24" fillId="0" borderId="35" xfId="0" applyFont="1" applyFill="1" applyBorder="1" applyAlignment="1">
      <alignment horizontal="left" vertical="center"/>
    </xf>
    <xf numFmtId="0" fontId="24" fillId="0" borderId="34" xfId="0" applyFont="1" applyFill="1" applyBorder="1" applyAlignment="1">
      <alignment horizontal="left" vertical="center"/>
    </xf>
    <xf numFmtId="3" fontId="24" fillId="0" borderId="9" xfId="0" applyNumberFormat="1"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2" fontId="24" fillId="4" borderId="9" xfId="0" applyNumberFormat="1" applyFont="1" applyFill="1" applyBorder="1" applyAlignment="1">
      <alignment horizontal="left" vertical="center"/>
    </xf>
    <xf numFmtId="0" fontId="24" fillId="0" borderId="9" xfId="0" applyFont="1" applyFill="1" applyBorder="1" applyAlignment="1">
      <alignment vertical="center" wrapText="1"/>
    </xf>
    <xf numFmtId="180" fontId="24" fillId="4" borderId="9" xfId="0" applyNumberFormat="1" applyFont="1" applyFill="1" applyBorder="1" applyAlignment="1">
      <alignment horizontal="left"/>
    </xf>
    <xf numFmtId="0" fontId="24" fillId="0" borderId="9" xfId="0" applyFont="1" applyFill="1" applyBorder="1" applyAlignment="1">
      <alignment horizontal="left" vertical="center"/>
    </xf>
    <xf numFmtId="0" fontId="24" fillId="4" borderId="9" xfId="0" applyFont="1" applyFill="1" applyBorder="1" applyAlignment="1">
      <alignment horizontal="left" vertical="center"/>
    </xf>
    <xf numFmtId="165" fontId="24" fillId="4" borderId="9" xfId="0" applyNumberFormat="1" applyFont="1" applyFill="1" applyBorder="1" applyAlignment="1">
      <alignment horizontal="left" vertical="center" wrapText="1"/>
    </xf>
    <xf numFmtId="0" fontId="24" fillId="0" borderId="16" xfId="0" applyFont="1" applyBorder="1" applyAlignment="1">
      <alignment horizontal="center"/>
    </xf>
    <xf numFmtId="0" fontId="24" fillId="0" borderId="18" xfId="0" applyFont="1" applyBorder="1" applyAlignment="1">
      <alignment horizontal="center"/>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9" fontId="24" fillId="0" borderId="9" xfId="0" applyNumberFormat="1" applyFont="1" applyFill="1" applyBorder="1" applyAlignment="1">
      <alignment horizontal="left" vertical="center" wrapText="1"/>
    </xf>
    <xf numFmtId="0" fontId="24" fillId="0" borderId="9" xfId="0" applyFont="1" applyBorder="1" applyAlignment="1">
      <alignment horizontal="left" vertical="center" wrapText="1"/>
    </xf>
    <xf numFmtId="39" fontId="24" fillId="0" borderId="9" xfId="1"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24" fillId="0" borderId="30" xfId="0"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18" xfId="0" applyFont="1" applyBorder="1" applyAlignment="1">
      <alignment horizontal="center" vertical="center" wrapText="1"/>
    </xf>
    <xf numFmtId="9" fontId="24" fillId="4" borderId="9" xfId="0" applyNumberFormat="1" applyFont="1" applyFill="1" applyBorder="1" applyAlignment="1">
      <alignment horizontal="left" vertical="center" wrapText="1"/>
    </xf>
    <xf numFmtId="0" fontId="6" fillId="0" borderId="0" xfId="0" applyFont="1" applyAlignment="1">
      <alignment vertical="center"/>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9" fontId="24" fillId="4" borderId="16" xfId="0" applyNumberFormat="1" applyFont="1" applyFill="1" applyBorder="1" applyAlignment="1">
      <alignment horizontal="left" vertical="center" wrapText="1"/>
    </xf>
    <xf numFmtId="9" fontId="24" fillId="4" borderId="18" xfId="0" applyNumberFormat="1" applyFont="1" applyFill="1" applyBorder="1" applyAlignment="1">
      <alignment horizontal="left" vertical="center" wrapText="1"/>
    </xf>
    <xf numFmtId="180" fontId="24" fillId="4" borderId="16" xfId="0" applyNumberFormat="1" applyFont="1" applyFill="1" applyBorder="1" applyAlignment="1">
      <alignment horizontal="left" vertical="center"/>
    </xf>
    <xf numFmtId="180" fontId="24" fillId="4" borderId="18" xfId="0" applyNumberFormat="1" applyFont="1" applyFill="1" applyBorder="1" applyAlignment="1">
      <alignment horizontal="left" vertical="center"/>
    </xf>
    <xf numFmtId="0" fontId="24" fillId="4" borderId="16" xfId="0" applyFont="1" applyFill="1" applyBorder="1" applyAlignment="1">
      <alignment horizontal="left" vertical="center"/>
    </xf>
    <xf numFmtId="0" fontId="24" fillId="4" borderId="18" xfId="0" applyFont="1" applyFill="1" applyBorder="1" applyAlignment="1">
      <alignment horizontal="left" vertical="center"/>
    </xf>
    <xf numFmtId="0" fontId="52" fillId="0" borderId="19" xfId="8" applyFont="1" applyFill="1" applyBorder="1" applyAlignment="1">
      <alignment horizontal="left" vertical="center"/>
    </xf>
    <xf numFmtId="0" fontId="52" fillId="0" borderId="30" xfId="8" applyFont="1" applyFill="1" applyBorder="1" applyAlignment="1">
      <alignment horizontal="left" vertical="center"/>
    </xf>
    <xf numFmtId="0" fontId="24" fillId="0" borderId="31"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33" xfId="8" applyFont="1" applyFill="1" applyBorder="1" applyAlignment="1">
      <alignment horizontal="left" vertical="center"/>
    </xf>
    <xf numFmtId="0" fontId="74" fillId="0" borderId="33" xfId="8"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9" xfId="0" applyFont="1" applyFill="1" applyBorder="1" applyAlignment="1">
      <alignment vertical="center"/>
    </xf>
    <xf numFmtId="0" fontId="24" fillId="0" borderId="31"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24" fillId="0" borderId="19" xfId="0" applyFont="1" applyBorder="1" applyAlignment="1">
      <alignment horizontal="left" vertical="center"/>
    </xf>
    <xf numFmtId="3" fontId="24" fillId="0" borderId="9" xfId="0" applyNumberFormat="1" applyFont="1" applyFill="1" applyBorder="1" applyAlignment="1">
      <alignment vertical="center" wrapText="1"/>
    </xf>
    <xf numFmtId="178" fontId="24" fillId="4" borderId="9" xfId="0" applyNumberFormat="1"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0" fontId="24" fillId="0" borderId="31"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24" fillId="0" borderId="31" xfId="0" applyFont="1" applyFill="1" applyBorder="1" applyAlignment="1">
      <alignment horizontal="left" vertical="center"/>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0" fontId="24" fillId="4" borderId="19" xfId="0" applyFont="1" applyFill="1" applyBorder="1" applyAlignment="1">
      <alignment horizontal="left" vertical="center"/>
    </xf>
    <xf numFmtId="0" fontId="24" fillId="4" borderId="23" xfId="0" applyFont="1" applyFill="1" applyBorder="1" applyAlignment="1">
      <alignment horizontal="left" vertical="center"/>
    </xf>
    <xf numFmtId="0" fontId="24" fillId="0" borderId="19" xfId="0" applyFont="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24" fillId="0" borderId="16" xfId="0" applyFont="1" applyBorder="1" applyAlignment="1">
      <alignment horizontal="left"/>
    </xf>
    <xf numFmtId="0" fontId="24" fillId="0" borderId="18" xfId="0" applyFont="1" applyBorder="1" applyAlignment="1">
      <alignment horizontal="left"/>
    </xf>
    <xf numFmtId="0" fontId="42" fillId="4" borderId="87" xfId="8" applyFont="1" applyFill="1" applyBorder="1" applyAlignment="1">
      <alignment vertical="center"/>
    </xf>
    <xf numFmtId="0" fontId="29" fillId="4" borderId="87" xfId="8" applyFont="1" applyFill="1" applyBorder="1" applyAlignment="1">
      <alignment vertical="center"/>
    </xf>
    <xf numFmtId="0" fontId="29" fillId="0" borderId="9" xfId="8" applyFont="1" applyFill="1" applyBorder="1" applyAlignment="1"/>
    <xf numFmtId="0" fontId="24" fillId="0" borderId="17" xfId="0" applyFont="1" applyBorder="1"/>
    <xf numFmtId="0" fontId="24" fillId="0" borderId="18" xfId="0" applyFont="1" applyBorder="1"/>
    <xf numFmtId="0" fontId="24" fillId="4" borderId="9" xfId="6" applyFont="1" applyFill="1" applyBorder="1" applyAlignment="1">
      <alignment vertical="center"/>
    </xf>
    <xf numFmtId="0" fontId="42" fillId="4" borderId="9" xfId="8" applyFont="1" applyFill="1" applyBorder="1" applyAlignment="1">
      <alignment vertical="center"/>
    </xf>
    <xf numFmtId="0" fontId="24" fillId="4" borderId="19" xfId="6" applyFont="1" applyFill="1" applyBorder="1" applyAlignment="1">
      <alignment vertical="center"/>
    </xf>
    <xf numFmtId="0" fontId="24" fillId="4" borderId="30" xfId="6" applyFont="1" applyFill="1" applyBorder="1" applyAlignment="1">
      <alignment vertical="center"/>
    </xf>
    <xf numFmtId="0" fontId="24" fillId="4" borderId="23" xfId="6" applyFont="1" applyFill="1" applyBorder="1" applyAlignment="1">
      <alignment vertical="center"/>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0" borderId="47" xfId="0" applyFont="1" applyBorder="1" applyAlignment="1">
      <alignment horizontal="left" vertical="center" wrapText="1"/>
    </xf>
    <xf numFmtId="0" fontId="24" fillId="0" borderId="0" xfId="0" applyFont="1" applyAlignment="1">
      <alignment vertical="center"/>
    </xf>
    <xf numFmtId="0" fontId="24" fillId="10" borderId="18" xfId="0" applyFont="1" applyFill="1" applyBorder="1" applyAlignment="1">
      <alignment horizontal="left"/>
    </xf>
    <xf numFmtId="0" fontId="24" fillId="11" borderId="19" xfId="0" applyFont="1" applyFill="1" applyBorder="1" applyAlignment="1">
      <alignment horizontal="center" vertical="center" wrapText="1"/>
    </xf>
    <xf numFmtId="0" fontId="24" fillId="4" borderId="4" xfId="8" applyFont="1" applyFill="1" applyBorder="1" applyAlignment="1">
      <alignment horizontal="center"/>
    </xf>
    <xf numFmtId="0" fontId="24" fillId="4" borderId="14" xfId="8" applyFont="1" applyFill="1" applyBorder="1" applyAlignment="1">
      <alignment horizontal="center"/>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4" xfId="8" applyFont="1" applyFill="1" applyBorder="1" applyAlignment="1">
      <alignment horizontal="left"/>
    </xf>
    <xf numFmtId="0" fontId="24" fillId="4" borderId="9" xfId="8" applyFont="1" applyFill="1" applyBorder="1" applyAlignment="1">
      <alignment horizontal="left"/>
    </xf>
    <xf numFmtId="0" fontId="24" fillId="4" borderId="14"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24" fillId="4" borderId="31"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24" fillId="4" borderId="85" xfId="8" applyFont="1" applyFill="1" applyBorder="1" applyAlignment="1">
      <alignment horizontal="left"/>
    </xf>
    <xf numFmtId="0" fontId="24" fillId="4" borderId="88" xfId="8" applyFont="1" applyFill="1" applyBorder="1" applyAlignment="1">
      <alignment horizontal="left"/>
    </xf>
    <xf numFmtId="0" fontId="2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0" fontId="24" fillId="4" borderId="0" xfId="0" applyFont="1" applyFill="1" applyBorder="1" applyAlignment="1">
      <alignment wrapText="1"/>
    </xf>
    <xf numFmtId="168" fontId="0" fillId="4" borderId="37" xfId="0" applyNumberFormat="1" applyFont="1" applyFill="1" applyBorder="1" applyAlignment="1">
      <alignment horizontal="center" vertical="top"/>
    </xf>
    <xf numFmtId="168" fontId="0" fillId="4" borderId="38" xfId="0" applyNumberFormat="1" applyFont="1" applyFill="1" applyBorder="1" applyAlignment="1">
      <alignment horizontal="center" vertical="top"/>
    </xf>
    <xf numFmtId="168" fontId="0" fillId="4" borderId="32" xfId="0" applyNumberFormat="1" applyFont="1" applyFill="1" applyBorder="1" applyAlignment="1">
      <alignment horizontal="center" vertical="top"/>
    </xf>
    <xf numFmtId="168" fontId="0" fillId="4" borderId="16" xfId="0" applyNumberFormat="1" applyFont="1" applyFill="1" applyBorder="1" applyAlignment="1">
      <alignment horizontal="center" vertical="top"/>
    </xf>
    <xf numFmtId="168" fontId="0" fillId="4" borderId="17" xfId="0" applyNumberFormat="1" applyFont="1" applyFill="1" applyBorder="1" applyAlignment="1">
      <alignment horizontal="center" vertical="top"/>
    </xf>
    <xf numFmtId="168" fontId="0" fillId="4" borderId="18" xfId="0" applyNumberFormat="1" applyFont="1" applyFill="1" applyBorder="1" applyAlignment="1">
      <alignment horizontal="center" vertical="top"/>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6" borderId="2"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0" borderId="17" xfId="0" applyFont="1" applyBorder="1" applyAlignment="1">
      <alignment horizontal="center" vertical="center" wrapText="1"/>
    </xf>
    <xf numFmtId="168" fontId="24" fillId="4" borderId="16" xfId="0" applyNumberFormat="1" applyFont="1" applyFill="1" applyBorder="1" applyAlignment="1">
      <alignment horizontal="center" vertical="top"/>
    </xf>
    <xf numFmtId="168" fontId="24" fillId="4" borderId="17" xfId="0" applyNumberFormat="1" applyFont="1" applyFill="1" applyBorder="1" applyAlignment="1">
      <alignment horizontal="center" vertical="top"/>
    </xf>
    <xf numFmtId="168" fontId="24" fillId="4" borderId="18" xfId="0" applyNumberFormat="1" applyFont="1" applyFill="1" applyBorder="1" applyAlignment="1">
      <alignment horizontal="center" vertical="top"/>
    </xf>
    <xf numFmtId="168" fontId="0" fillId="4" borderId="9" xfId="0" applyNumberFormat="1" applyFont="1" applyFill="1" applyBorder="1" applyAlignment="1">
      <alignment horizontal="center" vertical="top"/>
    </xf>
    <xf numFmtId="168" fontId="0" fillId="4" borderId="25" xfId="0" applyNumberFormat="1" applyFont="1" applyFill="1" applyBorder="1" applyAlignment="1">
      <alignment horizontal="center" vertical="top"/>
    </xf>
    <xf numFmtId="168" fontId="0" fillId="4" borderId="28" xfId="0" applyNumberFormat="1" applyFont="1" applyFill="1" applyBorder="1" applyAlignment="1">
      <alignment horizontal="center" vertical="top"/>
    </xf>
    <xf numFmtId="168" fontId="0" fillId="4" borderId="26" xfId="0" applyNumberFormat="1" applyFont="1" applyFill="1" applyBorder="1" applyAlignment="1">
      <alignment horizontal="center" vertical="top"/>
    </xf>
    <xf numFmtId="168" fontId="24" fillId="16" borderId="37" xfId="0" applyNumberFormat="1" applyFont="1" applyFill="1" applyBorder="1" applyAlignment="1">
      <alignment horizontal="center" vertical="top"/>
    </xf>
    <xf numFmtId="168" fontId="24" fillId="16" borderId="38" xfId="0" applyNumberFormat="1" applyFont="1" applyFill="1" applyBorder="1" applyAlignment="1">
      <alignment horizontal="center" vertical="top"/>
    </xf>
    <xf numFmtId="168" fontId="24" fillId="16" borderId="32" xfId="0" applyNumberFormat="1" applyFont="1" applyFill="1" applyBorder="1" applyAlignment="1">
      <alignment horizontal="center" vertical="top"/>
    </xf>
    <xf numFmtId="0" fontId="24" fillId="0" borderId="0" xfId="0" applyFont="1" applyFill="1" applyBorder="1" applyAlignment="1">
      <alignment horizontal="center" vertical="center" wrapText="1"/>
    </xf>
    <xf numFmtId="0" fontId="24" fillId="0" borderId="0" xfId="0" applyFont="1" applyFill="1" applyBorder="1" applyAlignment="1"/>
    <xf numFmtId="168" fontId="24" fillId="16" borderId="16" xfId="0" applyNumberFormat="1" applyFont="1" applyFill="1" applyBorder="1" applyAlignment="1">
      <alignment horizontal="center" vertical="top"/>
    </xf>
    <xf numFmtId="168" fontId="24" fillId="16" borderId="17" xfId="0" applyNumberFormat="1" applyFont="1" applyFill="1" applyBorder="1" applyAlignment="1">
      <alignment horizontal="center" vertical="top"/>
    </xf>
    <xf numFmtId="168" fontId="24" fillId="16" borderId="18" xfId="0" applyNumberFormat="1" applyFont="1" applyFill="1" applyBorder="1" applyAlignment="1">
      <alignment horizontal="center"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168" fontId="0" fillId="16" borderId="37" xfId="0" applyNumberFormat="1" applyFont="1" applyFill="1" applyBorder="1" applyAlignment="1">
      <alignment horizontal="center" vertical="top"/>
    </xf>
    <xf numFmtId="168" fontId="0" fillId="16" borderId="38" xfId="0" applyNumberFormat="1" applyFont="1" applyFill="1" applyBorder="1" applyAlignment="1">
      <alignment horizontal="center" vertical="top"/>
    </xf>
    <xf numFmtId="168" fontId="0" fillId="16" borderId="32" xfId="0" applyNumberFormat="1" applyFont="1" applyFill="1" applyBorder="1" applyAlignment="1">
      <alignment horizontal="center" vertical="top"/>
    </xf>
    <xf numFmtId="168" fontId="0" fillId="16" borderId="16" xfId="0" applyNumberFormat="1" applyFont="1" applyFill="1" applyBorder="1" applyAlignment="1">
      <alignment horizontal="center" vertical="top"/>
    </xf>
    <xf numFmtId="168" fontId="0" fillId="16" borderId="17" xfId="0" applyNumberFormat="1" applyFont="1" applyFill="1" applyBorder="1" applyAlignment="1">
      <alignment horizontal="center" vertical="top"/>
    </xf>
    <xf numFmtId="168" fontId="0" fillId="16" borderId="18" xfId="0" applyNumberFormat="1" applyFont="1" applyFill="1" applyBorder="1" applyAlignment="1">
      <alignment horizontal="center" vertical="top"/>
    </xf>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168" fontId="0" fillId="4" borderId="35" xfId="0" applyNumberFormat="1" applyFont="1" applyFill="1" applyBorder="1" applyAlignment="1">
      <alignment horizontal="center" vertical="top"/>
    </xf>
    <xf numFmtId="168" fontId="0" fillId="4" borderId="36" xfId="0" applyNumberFormat="1" applyFont="1" applyFill="1" applyBorder="1" applyAlignment="1">
      <alignment horizontal="center" vertical="top"/>
    </xf>
    <xf numFmtId="168" fontId="0" fillId="4" borderId="34" xfId="0" applyNumberFormat="1" applyFont="1" applyFill="1" applyBorder="1" applyAlignment="1">
      <alignment horizontal="center" vertical="top"/>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12"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45" xfId="0" applyFont="1" applyBorder="1" applyAlignment="1">
      <alignment horizontal="left" vertical="top" wrapText="1"/>
    </xf>
    <xf numFmtId="0" fontId="24" fillId="16" borderId="37" xfId="0" applyFont="1" applyFill="1" applyBorder="1" applyAlignment="1">
      <alignment horizontal="left" vertical="top" wrapText="1"/>
    </xf>
    <xf numFmtId="0" fontId="24" fillId="16" borderId="38" xfId="0" applyFont="1" applyFill="1" applyBorder="1" applyAlignment="1">
      <alignment horizontal="left" vertical="top" wrapText="1"/>
    </xf>
    <xf numFmtId="0" fontId="24" fillId="16" borderId="32" xfId="0" applyFont="1" applyFill="1" applyBorder="1" applyAlignment="1">
      <alignment horizontal="left" vertical="top" wrapText="1"/>
    </xf>
    <xf numFmtId="0" fontId="24" fillId="16" borderId="12" xfId="0" applyFont="1" applyFill="1" applyBorder="1" applyAlignment="1">
      <alignment horizontal="left" vertical="center" wrapText="1"/>
    </xf>
    <xf numFmtId="0" fontId="24" fillId="16" borderId="47" xfId="0" applyFont="1" applyFill="1" applyBorder="1" applyAlignment="1">
      <alignment horizontal="left" vertical="center"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16" borderId="52" xfId="0" applyFont="1" applyFill="1" applyBorder="1" applyAlignment="1">
      <alignment horizontal="left" vertical="center"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14" xfId="0" applyFont="1" applyFill="1" applyBorder="1" applyAlignment="1">
      <alignment horizontal="left" vertical="top" wrapText="1"/>
    </xf>
    <xf numFmtId="0" fontId="24" fillId="16" borderId="22" xfId="0" applyFont="1" applyFill="1" applyBorder="1" applyAlignment="1">
      <alignment horizontal="center" vertical="top"/>
    </xf>
    <xf numFmtId="0" fontId="24" fillId="16" borderId="0" xfId="0" applyFont="1" applyFill="1" applyBorder="1" applyAlignment="1">
      <alignment horizontal="center" vertical="top"/>
    </xf>
    <xf numFmtId="0" fontId="24" fillId="16" borderId="24" xfId="0" applyFont="1" applyFill="1" applyBorder="1" applyAlignment="1">
      <alignment horizontal="center" vertical="top"/>
    </xf>
    <xf numFmtId="0" fontId="24" fillId="16" borderId="25" xfId="0" applyFont="1" applyFill="1" applyBorder="1" applyAlignment="1">
      <alignment horizontal="center" vertical="top"/>
    </xf>
    <xf numFmtId="0" fontId="24" fillId="16" borderId="28" xfId="0" applyFont="1" applyFill="1" applyBorder="1" applyAlignment="1">
      <alignment horizontal="center" vertical="top"/>
    </xf>
    <xf numFmtId="0" fontId="24" fillId="16" borderId="26" xfId="0" applyFont="1" applyFill="1" applyBorder="1" applyAlignment="1">
      <alignment horizontal="center" vertical="top"/>
    </xf>
    <xf numFmtId="0" fontId="24" fillId="16" borderId="20" xfId="0" applyFont="1" applyFill="1" applyBorder="1" applyAlignment="1">
      <alignment horizontal="center" vertical="top"/>
    </xf>
    <xf numFmtId="0" fontId="24" fillId="16" borderId="27" xfId="0" applyFont="1" applyFill="1" applyBorder="1" applyAlignment="1">
      <alignment horizontal="center" vertical="top"/>
    </xf>
    <xf numFmtId="0" fontId="24" fillId="16" borderId="21" xfId="0" applyFont="1" applyFill="1" applyBorder="1" applyAlignment="1">
      <alignment horizontal="center" vertical="top"/>
    </xf>
    <xf numFmtId="0" fontId="24" fillId="0" borderId="54" xfId="0" applyFont="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57" xfId="0" applyFont="1" applyFill="1" applyBorder="1" applyAlignment="1">
      <alignment horizontal="center" vertical="top"/>
    </xf>
    <xf numFmtId="0" fontId="24" fillId="16" borderId="58" xfId="0" applyFont="1" applyFill="1" applyBorder="1" applyAlignment="1">
      <alignment horizontal="center" vertical="top"/>
    </xf>
    <xf numFmtId="0" fontId="24" fillId="16" borderId="59" xfId="0" applyFont="1" applyFill="1" applyBorder="1" applyAlignment="1">
      <alignment horizontal="center" vertical="top"/>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60" xfId="0" applyFont="1" applyFill="1" applyBorder="1" applyAlignment="1">
      <alignment horizontal="center" vertical="top"/>
    </xf>
    <xf numFmtId="0" fontId="24" fillId="16" borderId="61" xfId="0" applyFont="1" applyFill="1" applyBorder="1" applyAlignment="1">
      <alignment horizontal="center" vertical="top"/>
    </xf>
    <xf numFmtId="0" fontId="24" fillId="16" borderId="62" xfId="0" applyFont="1" applyFill="1" applyBorder="1" applyAlignment="1">
      <alignment horizontal="center" vertical="top"/>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24" fillId="0" borderId="33" xfId="0" applyFont="1" applyBorder="1" applyAlignment="1">
      <alignment horizontal="left" vertical="center"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36" xfId="0" applyFont="1" applyFill="1" applyBorder="1" applyAlignment="1">
      <alignment horizontal="left" vertical="top" wrapText="1"/>
    </xf>
    <xf numFmtId="0" fontId="24" fillId="16" borderId="34" xfId="0" applyFont="1" applyFill="1" applyBorder="1" applyAlignment="1">
      <alignment horizontal="left" vertical="top" wrapText="1"/>
    </xf>
    <xf numFmtId="0" fontId="24" fillId="16" borderId="77" xfId="0" applyFont="1" applyFill="1" applyBorder="1" applyAlignment="1">
      <alignment horizontal="left" vertical="top" wrapText="1"/>
    </xf>
    <xf numFmtId="0" fontId="24" fillId="16" borderId="78" xfId="0" applyFont="1" applyFill="1" applyBorder="1" applyAlignment="1">
      <alignment horizontal="left" vertical="top" wrapText="1"/>
    </xf>
    <xf numFmtId="0" fontId="24" fillId="16" borderId="76" xfId="0" applyFont="1" applyFill="1" applyBorder="1" applyAlignment="1">
      <alignment horizontal="left" vertical="top" wrapText="1"/>
    </xf>
    <xf numFmtId="0" fontId="24" fillId="16" borderId="27"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79" xfId="0" applyFont="1" applyFill="1" applyBorder="1" applyAlignment="1">
      <alignment horizontal="left" vertical="top" wrapText="1"/>
    </xf>
    <xf numFmtId="0" fontId="24" fillId="16" borderId="28" xfId="0" applyFont="1" applyFill="1" applyBorder="1" applyAlignment="1">
      <alignment horizontal="left" vertical="top" wrapText="1"/>
    </xf>
    <xf numFmtId="0" fontId="24" fillId="16" borderId="26"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36" xfId="0" applyFont="1" applyFill="1" applyBorder="1" applyAlignment="1">
      <alignment horizontal="left" vertical="top" wrapText="1"/>
    </xf>
    <xf numFmtId="0" fontId="24" fillId="4" borderId="34" xfId="0" applyFont="1" applyFill="1" applyBorder="1" applyAlignment="1">
      <alignment horizontal="left" vertical="top" wrapText="1"/>
    </xf>
    <xf numFmtId="0" fontId="24" fillId="16" borderId="33" xfId="0" applyFont="1" applyFill="1" applyBorder="1" applyAlignment="1">
      <alignment horizontal="left" vertical="center" wrapText="1"/>
    </xf>
    <xf numFmtId="0" fontId="24" fillId="4" borderId="4" xfId="0" applyFont="1" applyFill="1" applyBorder="1" applyAlignment="1">
      <alignment horizontal="left" vertical="top" wrapText="1"/>
    </xf>
    <xf numFmtId="0" fontId="24" fillId="0" borderId="52" xfId="0" applyFont="1" applyFill="1" applyBorder="1" applyAlignment="1">
      <alignment horizontal="left" vertical="center" wrapText="1"/>
    </xf>
    <xf numFmtId="0" fontId="24" fillId="0" borderId="53" xfId="0" applyFont="1" applyFill="1" applyBorder="1" applyAlignment="1">
      <alignment horizontal="left" vertical="center" wrapText="1"/>
    </xf>
    <xf numFmtId="0" fontId="24" fillId="0" borderId="54" xfId="0" applyFont="1" applyFill="1" applyBorder="1" applyAlignment="1">
      <alignment horizontal="left" vertical="center" wrapText="1"/>
    </xf>
    <xf numFmtId="0" fontId="24" fillId="0" borderId="0" xfId="0" applyFont="1" applyFill="1" applyBorder="1" applyAlignment="1">
      <alignment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54" xfId="0" applyFont="1" applyBorder="1" applyAlignment="1">
      <alignment horizontal="left" vertical="center" wrapText="1"/>
    </xf>
    <xf numFmtId="0" fontId="24" fillId="4" borderId="25" xfId="0" applyFont="1" applyFill="1" applyBorder="1" applyAlignment="1">
      <alignment horizontal="left" vertical="top" wrapText="1"/>
    </xf>
    <xf numFmtId="0" fontId="24" fillId="4" borderId="28" xfId="0" applyFont="1" applyFill="1" applyBorder="1" applyAlignment="1">
      <alignment horizontal="left" vertical="top" wrapText="1"/>
    </xf>
    <xf numFmtId="0" fontId="24" fillId="4" borderId="26" xfId="0" applyFont="1" applyFill="1" applyBorder="1" applyAlignment="1">
      <alignment horizontal="left" vertical="top" wrapText="1"/>
    </xf>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4" borderId="37" xfId="0" applyFont="1" applyFill="1" applyBorder="1" applyAlignment="1">
      <alignment horizontal="left" vertical="top" wrapText="1"/>
    </xf>
    <xf numFmtId="0" fontId="24" fillId="4" borderId="38" xfId="0" applyFont="1" applyFill="1" applyBorder="1" applyAlignment="1">
      <alignment horizontal="left" vertical="top" wrapText="1"/>
    </xf>
    <xf numFmtId="0" fontId="24" fillId="4" borderId="32" xfId="0" applyFont="1" applyFill="1" applyBorder="1" applyAlignment="1">
      <alignment horizontal="left" vertical="top"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4" borderId="14"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16" borderId="9" xfId="0" applyFont="1" applyFill="1" applyBorder="1" applyAlignment="1">
      <alignment horizontal="left" vertical="center"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24" fillId="16" borderId="63" xfId="0" applyFont="1" applyFill="1" applyBorder="1" applyAlignment="1">
      <alignment horizontal="left" vertical="center" wrapText="1"/>
    </xf>
    <xf numFmtId="0" fontId="24" fillId="16" borderId="4" xfId="0" applyFont="1" applyFill="1" applyBorder="1" applyAlignment="1">
      <alignment vertical="top" wrapText="1"/>
    </xf>
    <xf numFmtId="0" fontId="24" fillId="11" borderId="17" xfId="0" applyFont="1" applyFill="1" applyBorder="1" applyAlignment="1">
      <alignment horizontal="center" vertical="center"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6"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168" fontId="24" fillId="4" borderId="9" xfId="0" applyNumberFormat="1" applyFont="1" applyFill="1" applyBorder="1" applyAlignment="1">
      <alignment horizontal="center" vertical="top"/>
    </xf>
    <xf numFmtId="168" fontId="24" fillId="4" borderId="35" xfId="0" applyNumberFormat="1" applyFont="1" applyFill="1" applyBorder="1" applyAlignment="1">
      <alignment horizontal="center" vertical="top"/>
    </xf>
    <xf numFmtId="168" fontId="24" fillId="4" borderId="36" xfId="0" applyNumberFormat="1" applyFont="1" applyFill="1" applyBorder="1" applyAlignment="1">
      <alignment horizontal="center" vertical="top"/>
    </xf>
    <xf numFmtId="168" fontId="24" fillId="4" borderId="34" xfId="0" applyNumberFormat="1" applyFont="1" applyFill="1" applyBorder="1" applyAlignment="1">
      <alignment horizontal="center" vertical="top"/>
    </xf>
    <xf numFmtId="0" fontId="0" fillId="0" borderId="30" xfId="0" applyBorder="1" applyAlignment="1">
      <alignment horizontal="left" vertical="center" wrapText="1"/>
    </xf>
    <xf numFmtId="0" fontId="0" fillId="0" borderId="33" xfId="0"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168" fontId="24" fillId="0" borderId="60" xfId="0" applyNumberFormat="1" applyFont="1" applyFill="1" applyBorder="1" applyAlignment="1">
      <alignment horizontal="center" vertical="top"/>
    </xf>
    <xf numFmtId="168" fontId="24" fillId="0" borderId="61" xfId="0" applyNumberFormat="1" applyFont="1" applyFill="1" applyBorder="1" applyAlignment="1">
      <alignment horizontal="center" vertical="top"/>
    </xf>
    <xf numFmtId="168" fontId="24" fillId="0" borderId="62" xfId="0" applyNumberFormat="1" applyFont="1" applyFill="1" applyBorder="1" applyAlignment="1">
      <alignment horizontal="center" vertical="top"/>
    </xf>
    <xf numFmtId="0" fontId="24" fillId="0" borderId="85" xfId="0" applyFont="1" applyFill="1" applyBorder="1" applyAlignment="1">
      <alignment horizontal="center" vertical="center"/>
    </xf>
    <xf numFmtId="0" fontId="24" fillId="0" borderId="88" xfId="0" applyFont="1" applyFill="1" applyBorder="1" applyAlignment="1">
      <alignment horizontal="center" vertical="center"/>
    </xf>
    <xf numFmtId="0" fontId="24" fillId="0" borderId="86" xfId="0" applyFont="1" applyFill="1" applyBorder="1" applyAlignment="1">
      <alignment horizontal="center" vertical="center"/>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24" fillId="0" borderId="60" xfId="0" applyFont="1" applyFill="1" applyBorder="1" applyAlignment="1">
      <alignment horizontal="center" vertical="top" wrapText="1"/>
    </xf>
    <xf numFmtId="0" fontId="24" fillId="0" borderId="61" xfId="0" applyFont="1" applyFill="1" applyBorder="1" applyAlignment="1">
      <alignment horizontal="center" vertical="top" wrapText="1"/>
    </xf>
    <xf numFmtId="0" fontId="24" fillId="0" borderId="62" xfId="0" applyFont="1" applyFill="1" applyBorder="1" applyAlignment="1">
      <alignment horizontal="center" vertical="top" wrapText="1"/>
    </xf>
    <xf numFmtId="0" fontId="24" fillId="0" borderId="9" xfId="0" applyFont="1" applyFill="1" applyBorder="1" applyAlignment="1">
      <alignment horizontal="left" vertical="top" wrapText="1"/>
    </xf>
    <xf numFmtId="0" fontId="24" fillId="0" borderId="14" xfId="0" applyFont="1" applyBorder="1" applyAlignment="1">
      <alignment horizontal="left" vertical="center" wrapText="1"/>
    </xf>
    <xf numFmtId="0" fontId="24" fillId="0" borderId="9" xfId="0" applyFont="1" applyFill="1" applyBorder="1" applyAlignment="1"/>
    <xf numFmtId="165" fontId="1" fillId="0" borderId="19" xfId="0" applyNumberFormat="1" applyFont="1" applyFill="1" applyBorder="1" applyAlignment="1">
      <alignment horizontal="left" vertical="center" wrapText="1"/>
    </xf>
    <xf numFmtId="165" fontId="1" fillId="0" borderId="30" xfId="0" applyNumberFormat="1" applyFont="1" applyFill="1" applyBorder="1" applyAlignment="1">
      <alignment horizontal="left" vertical="center" wrapText="1"/>
    </xf>
    <xf numFmtId="165" fontId="1" fillId="0" borderId="23" xfId="0" applyNumberFormat="1" applyFont="1" applyFill="1" applyBorder="1" applyAlignment="1">
      <alignment horizontal="left" vertical="center" wrapText="1"/>
    </xf>
    <xf numFmtId="168" fontId="24" fillId="0" borderId="31" xfId="5" applyNumberFormat="1" applyFont="1" applyFill="1" applyBorder="1" applyAlignment="1">
      <alignment horizontal="center" vertical="center"/>
    </xf>
    <xf numFmtId="168" fontId="24" fillId="0" borderId="30" xfId="5" applyNumberFormat="1" applyFont="1" applyFill="1" applyBorder="1" applyAlignment="1">
      <alignment horizontal="center" vertical="center"/>
    </xf>
    <xf numFmtId="168" fontId="24" fillId="0" borderId="33" xfId="5" applyNumberFormat="1" applyFont="1" applyFill="1" applyBorder="1" applyAlignment="1">
      <alignment horizontal="center" vertical="center"/>
    </xf>
    <xf numFmtId="168" fontId="24" fillId="0" borderId="19" xfId="5" applyNumberFormat="1" applyFont="1" applyFill="1" applyBorder="1" applyAlignment="1">
      <alignment horizontal="center" vertical="center"/>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8" fontId="24" fillId="0" borderId="35" xfId="5" applyNumberFormat="1" applyFont="1" applyFill="1" applyBorder="1" applyAlignment="1">
      <alignment horizontal="left" vertical="top" wrapText="1"/>
    </xf>
    <xf numFmtId="168" fontId="24" fillId="0" borderId="34" xfId="5" applyNumberFormat="1" applyFont="1" applyFill="1" applyBorder="1" applyAlignment="1">
      <alignment horizontal="left" vertical="top" wrapText="1"/>
    </xf>
    <xf numFmtId="168" fontId="24" fillId="0" borderId="14" xfId="5" applyNumberFormat="1" applyFont="1" applyFill="1" applyBorder="1" applyAlignment="1">
      <alignment horizontal="left" vertical="top" wrapText="1"/>
    </xf>
    <xf numFmtId="168" fontId="24" fillId="0" borderId="14" xfId="5" applyNumberFormat="1" applyFont="1" applyBorder="1" applyAlignment="1">
      <alignment horizontal="left" vertical="top" wrapText="1"/>
    </xf>
    <xf numFmtId="0" fontId="24" fillId="0" borderId="14" xfId="0" applyFont="1" applyBorder="1"/>
    <xf numFmtId="0" fontId="24" fillId="0" borderId="9" xfId="0" applyFont="1" applyFill="1" applyBorder="1" applyAlignment="1">
      <alignment horizontal="left"/>
    </xf>
    <xf numFmtId="0" fontId="24" fillId="1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165" fontId="24" fillId="0" borderId="20" xfId="13" applyNumberFormat="1"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6" xfId="0" applyFont="1" applyBorder="1" applyAlignment="1">
      <alignment horizontal="center" vertical="center" wrapText="1"/>
    </xf>
    <xf numFmtId="0" fontId="0" fillId="0" borderId="23" xfId="0" applyBorder="1" applyAlignment="1">
      <alignment horizontal="left" vertical="center" wrapText="1"/>
    </xf>
    <xf numFmtId="165" fontId="24" fillId="0" borderId="30"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56" fillId="0" borderId="23" xfId="8" applyFont="1" applyBorder="1" applyAlignment="1">
      <alignment horizontal="left" vertical="center"/>
    </xf>
    <xf numFmtId="0" fontId="24" fillId="0" borderId="19" xfId="8" applyFont="1" applyFill="1" applyBorder="1" applyAlignment="1">
      <alignment vertical="center" wrapText="1"/>
    </xf>
    <xf numFmtId="0" fontId="24" fillId="0" borderId="0" xfId="8" applyFont="1" applyBorder="1" applyAlignment="1">
      <alignment horizontal="center" vertical="center" wrapText="1"/>
    </xf>
    <xf numFmtId="0" fontId="52" fillId="0" borderId="22" xfId="8" applyFont="1" applyBorder="1" applyAlignment="1">
      <alignment horizontal="left" vertical="center"/>
    </xf>
    <xf numFmtId="0" fontId="52" fillId="0" borderId="23"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30" xfId="0" applyFont="1" applyBorder="1" applyAlignment="1"/>
    <xf numFmtId="0" fontId="24" fillId="0" borderId="23" xfId="0" applyFont="1" applyBorder="1" applyAlignment="1"/>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0" xfId="8" applyFont="1" applyBorder="1" applyAlignment="1">
      <alignment horizontal="left" vertical="center" wrapText="1"/>
    </xf>
    <xf numFmtId="0" fontId="24" fillId="0" borderId="9" xfId="8" applyFont="1" applyFill="1" applyBorder="1" applyAlignment="1">
      <alignment wrapText="1"/>
    </xf>
    <xf numFmtId="0" fontId="24" fillId="0" borderId="16" xfId="8" applyFont="1" applyFill="1" applyBorder="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24" fillId="4" borderId="9" xfId="8" applyFont="1" applyFill="1" applyBorder="1" applyAlignment="1">
      <alignment wrapText="1"/>
    </xf>
    <xf numFmtId="0" fontId="24" fillId="4" borderId="16" xfId="8" applyFont="1" applyFill="1" applyBorder="1" applyAlignment="1">
      <alignment wrapText="1"/>
    </xf>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18" xfId="8" applyFont="1" applyFill="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24" fillId="0" borderId="30" xfId="8" applyFont="1" applyBorder="1" applyAlignment="1">
      <alignment horizontal="left" vertical="center" wrapText="1"/>
    </xf>
    <xf numFmtId="0" fontId="24" fillId="0" borderId="9" xfId="8" applyFont="1" applyFill="1" applyBorder="1" applyAlignment="1">
      <alignment horizontal="left" vertical="center"/>
    </xf>
    <xf numFmtId="165" fontId="24" fillId="0" borderId="19" xfId="8" applyNumberFormat="1" applyFont="1" applyFill="1" applyBorder="1" applyAlignment="1">
      <alignment horizontal="left" vertical="center"/>
    </xf>
    <xf numFmtId="0" fontId="24" fillId="0" borderId="23" xfId="8" applyFont="1" applyFill="1" applyBorder="1" applyAlignment="1">
      <alignment horizontal="left" vertical="center"/>
    </xf>
    <xf numFmtId="165" fontId="24" fillId="0" borderId="9" xfId="8" applyNumberFormat="1" applyFont="1" applyFill="1" applyBorder="1" applyAlignment="1">
      <alignment horizontal="left" vertical="center"/>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65" fontId="24" fillId="0" borderId="17"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9" fontId="24" fillId="0" borderId="9" xfId="3" applyFont="1" applyFill="1" applyBorder="1" applyAlignment="1">
      <alignment horizontal="left" vertical="center" wrapText="1"/>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0" fontId="24" fillId="11" borderId="20"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9" fillId="0" borderId="9" xfId="8" applyFont="1" applyBorder="1" applyAlignment="1">
      <alignment horizontal="left" vertical="center" wrapText="1"/>
    </xf>
    <xf numFmtId="0" fontId="0" fillId="0" borderId="9" xfId="0" applyFont="1" applyFill="1" applyBorder="1" applyAlignment="1">
      <alignment horizontal="left" vertical="center" wrapText="1"/>
    </xf>
    <xf numFmtId="165" fontId="24" fillId="0" borderId="17" xfId="6"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0" fontId="24" fillId="0" borderId="19" xfId="8" applyFont="1" applyFill="1" applyBorder="1" applyAlignment="1">
      <alignment horizontal="left" vertical="center" wrapText="1"/>
    </xf>
    <xf numFmtId="0" fontId="24" fillId="0" borderId="23" xfId="8"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0" xfId="8" applyFont="1" applyFill="1" applyBorder="1" applyAlignment="1">
      <alignment horizontal="left" vertical="center" wrapText="1"/>
    </xf>
    <xf numFmtId="0" fontId="24" fillId="0" borderId="16" xfId="8" applyFont="1" applyFill="1" applyBorder="1" applyAlignment="1">
      <alignment horizontal="center" wrapText="1"/>
    </xf>
    <xf numFmtId="0" fontId="24" fillId="0" borderId="18" xfId="8" applyFont="1" applyFill="1" applyBorder="1" applyAlignment="1">
      <alignment horizontal="center" wrapText="1"/>
    </xf>
    <xf numFmtId="0" fontId="24" fillId="4" borderId="18" xfId="8" applyFont="1" applyFill="1" applyBorder="1" applyAlignment="1">
      <alignment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xf numFmtId="0" fontId="24" fillId="4" borderId="18" xfId="8" applyFont="1" applyFill="1" applyBorder="1" applyAlignment="1"/>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24" fillId="0" borderId="19" xfId="8" applyFont="1" applyFill="1" applyBorder="1" applyAlignment="1">
      <alignment horizontal="left" vertical="center"/>
    </xf>
    <xf numFmtId="0" fontId="24" fillId="11" borderId="9" xfId="0" applyFont="1" applyFill="1" applyBorder="1" applyAlignment="1">
      <alignment vertical="center" wrapText="1"/>
    </xf>
    <xf numFmtId="0" fontId="24" fillId="0" borderId="19" xfId="8" applyFont="1" applyBorder="1" applyAlignment="1">
      <alignment vertical="center" wrapText="1"/>
    </xf>
    <xf numFmtId="0" fontId="24" fillId="0" borderId="9" xfId="8" applyFont="1" applyBorder="1" applyAlignment="1">
      <alignment wrapText="1"/>
    </xf>
    <xf numFmtId="0" fontId="24" fillId="0" borderId="16" xfId="8" applyFont="1" applyBorder="1" applyAlignment="1">
      <alignment wrapText="1"/>
    </xf>
    <xf numFmtId="0" fontId="24" fillId="0" borderId="18" xfId="8" applyFont="1" applyBorder="1" applyAlignment="1">
      <alignment wrapText="1"/>
    </xf>
    <xf numFmtId="0" fontId="24" fillId="0" borderId="9" xfId="8" applyFont="1" applyFill="1" applyBorder="1" applyAlignment="1"/>
    <xf numFmtId="0" fontId="24" fillId="0" borderId="9" xfId="8" applyFont="1" applyBorder="1" applyAlignment="1"/>
    <xf numFmtId="0" fontId="1" fillId="0" borderId="17" xfId="0" applyFont="1" applyBorder="1" applyAlignment="1"/>
    <xf numFmtId="0" fontId="1" fillId="0" borderId="18" xfId="0" applyFont="1" applyBorder="1" applyAlignment="1"/>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0" fontId="24" fillId="0" borderId="23" xfId="0" applyFont="1" applyBorder="1" applyAlignment="1">
      <alignment horizontal="center" vertical="center" wrapText="1"/>
    </xf>
    <xf numFmtId="0" fontId="24" fillId="11" borderId="9" xfId="5" applyFont="1" applyFill="1" applyBorder="1" applyAlignment="1">
      <alignment horizontal="center" vertical="center" wrapText="1"/>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168" fontId="24" fillId="0" borderId="4" xfId="5" applyNumberFormat="1" applyFont="1" applyFill="1" applyBorder="1" applyAlignment="1">
      <alignment horizontal="left" vertical="top" wrapText="1"/>
    </xf>
    <xf numFmtId="0" fontId="24" fillId="0" borderId="4" xfId="0" applyFont="1" applyFill="1" applyBorder="1" applyAlignment="1"/>
    <xf numFmtId="0" fontId="24" fillId="0" borderId="20" xfId="0" applyFont="1" applyBorder="1" applyAlignment="1">
      <alignment horizontal="center" vertical="center" wrapText="1"/>
    </xf>
    <xf numFmtId="165" fontId="24" fillId="0" borderId="19" xfId="0" applyNumberFormat="1" applyFont="1" applyBorder="1" applyAlignment="1">
      <alignment horizontal="left" vertical="center" wrapText="1"/>
    </xf>
    <xf numFmtId="165" fontId="24" fillId="0" borderId="30" xfId="0" applyNumberFormat="1" applyFont="1" applyBorder="1" applyAlignment="1">
      <alignment horizontal="left" vertical="center" wrapText="1"/>
    </xf>
    <xf numFmtId="165" fontId="24" fillId="0" borderId="23" xfId="0" applyNumberFormat="1" applyFont="1" applyBorder="1" applyAlignment="1">
      <alignment horizontal="left" vertical="center" wrapText="1"/>
    </xf>
    <xf numFmtId="0" fontId="29" fillId="0" borderId="9" xfId="8" applyFont="1" applyFill="1" applyBorder="1" applyAlignment="1">
      <alignment wrapText="1"/>
    </xf>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11" borderId="21" xfId="5" applyFont="1" applyFill="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0" fontId="24" fillId="0" borderId="9" xfId="0" applyFont="1" applyFill="1" applyBorder="1"/>
    <xf numFmtId="168" fontId="24" fillId="0" borderId="19" xfId="5" applyNumberFormat="1" applyFont="1" applyBorder="1" applyAlignment="1">
      <alignment horizontal="left" vertical="center"/>
    </xf>
    <xf numFmtId="168" fontId="24" fillId="0" borderId="30"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31" xfId="5" applyNumberFormat="1" applyFont="1" applyBorder="1" applyAlignment="1">
      <alignment horizontal="left" vertical="center"/>
    </xf>
    <xf numFmtId="165" fontId="24" fillId="0" borderId="9" xfId="0" applyNumberFormat="1" applyFont="1" applyFill="1" applyBorder="1" applyAlignment="1">
      <alignment horizontal="center"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0" fontId="24" fillId="0" borderId="9" xfId="8" applyFont="1" applyFill="1" applyBorder="1" applyAlignment="1">
      <alignment horizontal="left" vertical="center" wrapText="1"/>
    </xf>
    <xf numFmtId="0" fontId="24" fillId="0" borderId="89" xfId="8" applyFont="1" applyFill="1" applyBorder="1" applyAlignment="1">
      <alignment wrapText="1"/>
    </xf>
    <xf numFmtId="0" fontId="24" fillId="0" borderId="91" xfId="8" applyFont="1" applyFill="1" applyBorder="1" applyAlignment="1">
      <alignment wrapText="1"/>
    </xf>
    <xf numFmtId="0" fontId="24" fillId="0" borderId="87" xfId="8" applyFont="1" applyFill="1" applyBorder="1" applyAlignment="1">
      <alignment wrapText="1"/>
    </xf>
    <xf numFmtId="0" fontId="24" fillId="0" borderId="92" xfId="8" applyFont="1" applyFill="1" applyBorder="1" applyAlignment="1">
      <alignment wrapText="1"/>
    </xf>
    <xf numFmtId="0" fontId="24" fillId="0" borderId="93" xfId="8" applyFont="1" applyFill="1" applyBorder="1" applyAlignment="1">
      <alignment wrapText="1"/>
    </xf>
    <xf numFmtId="165" fontId="2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0" fontId="0" fillId="0" borderId="0" xfId="0"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168" fontId="24" fillId="0" borderId="23" xfId="5" applyNumberFormat="1" applyFont="1" applyBorder="1" applyAlignment="1">
      <alignment vertical="center" wrapText="1"/>
    </xf>
    <xf numFmtId="168" fontId="24" fillId="0" borderId="9" xfId="5" applyNumberFormat="1" applyFont="1" applyBorder="1" applyAlignment="1">
      <alignment vertical="center" wrapText="1"/>
    </xf>
    <xf numFmtId="168" fontId="24" fillId="0" borderId="9" xfId="5" applyNumberFormat="1" applyFont="1" applyBorder="1" applyAlignment="1">
      <alignment vertical="top" wrapText="1"/>
    </xf>
    <xf numFmtId="168" fontId="24" fillId="0" borderId="4" xfId="5" applyNumberFormat="1" applyFont="1" applyBorder="1" applyAlignment="1">
      <alignment vertical="center" wrapText="1"/>
    </xf>
    <xf numFmtId="168" fontId="24" fillId="0" borderId="9" xfId="5" applyNumberFormat="1" applyFont="1" applyFill="1" applyBorder="1" applyAlignment="1">
      <alignment vertical="center" wrapText="1"/>
    </xf>
    <xf numFmtId="165" fontId="52" fillId="0" borderId="19" xfId="8" applyNumberFormat="1" applyFont="1" applyFill="1" applyBorder="1" applyAlignment="1">
      <alignment horizontal="left" vertical="center"/>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42" fillId="4" borderId="9" xfId="8" applyFont="1" applyFill="1" applyBorder="1" applyAlignment="1">
      <alignment horizontal="left" vertical="center" wrapText="1"/>
    </xf>
    <xf numFmtId="0" fontId="29" fillId="4" borderId="9" xfId="8" applyFont="1" applyFill="1" applyBorder="1" applyAlignment="1">
      <alignment horizontal="left"/>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29" fillId="4" borderId="16" xfId="8" quotePrefix="1" applyFont="1" applyFill="1" applyBorder="1" applyAlignment="1">
      <alignmen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0" fontId="74" fillId="4" borderId="9" xfId="8" applyFont="1" applyFill="1" applyBorder="1" applyAlignment="1">
      <alignment horizontal="left" vertical="center" wrapText="1"/>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165" fontId="24" fillId="4" borderId="9" xfId="8" applyNumberFormat="1" applyFont="1" applyFill="1" applyBorder="1" applyAlignment="1">
      <alignment horizontal="left" vertical="center" wrapText="1"/>
    </xf>
    <xf numFmtId="2" fontId="24" fillId="4" borderId="16" xfId="0" applyNumberFormat="1" applyFont="1" applyFill="1" applyBorder="1" applyAlignment="1"/>
    <xf numFmtId="2" fontId="24" fillId="4" borderId="18" xfId="0" applyNumberFormat="1" applyFont="1" applyFill="1" applyBorder="1" applyAlignment="1"/>
    <xf numFmtId="165" fontId="24" fillId="4" borderId="19" xfId="8" applyNumberFormat="1" applyFont="1" applyFill="1" applyBorder="1" applyAlignment="1">
      <alignment horizontal="left" vertical="center" wrapText="1"/>
    </xf>
    <xf numFmtId="168" fontId="24" fillId="0" borderId="19" xfId="5" applyNumberFormat="1" applyFont="1" applyBorder="1" applyAlignment="1">
      <alignment horizontal="center" vertical="center"/>
    </xf>
    <xf numFmtId="0" fontId="24" fillId="0" borderId="14" xfId="0" applyFont="1" applyBorder="1" applyAlignment="1">
      <alignment wrapText="1"/>
    </xf>
    <xf numFmtId="168" fontId="24" fillId="0" borderId="1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0" fontId="42" fillId="0" borderId="30" xfId="8" applyFont="1" applyFill="1" applyBorder="1" applyAlignment="1">
      <alignment horizontal="left" vertical="center" wrapText="1"/>
    </xf>
    <xf numFmtId="165" fontId="24" fillId="0" borderId="9" xfId="6" applyNumberFormat="1" applyFont="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0" fontId="24" fillId="0" borderId="16" xfId="0" applyFont="1" applyFill="1" applyBorder="1"/>
    <xf numFmtId="0" fontId="24" fillId="0" borderId="18" xfId="0" applyFont="1" applyFill="1" applyBorder="1"/>
    <xf numFmtId="0" fontId="29" fillId="0" borderId="19" xfId="8" applyFont="1" applyFill="1" applyBorder="1" applyAlignment="1">
      <alignment horizontal="left" vertical="center"/>
    </xf>
    <xf numFmtId="0" fontId="29" fillId="0" borderId="23" xfId="8" applyFont="1" applyFill="1" applyBorder="1" applyAlignment="1">
      <alignment horizontal="left" vertical="center"/>
    </xf>
    <xf numFmtId="0" fontId="74" fillId="4" borderId="19" xfId="8" applyFont="1" applyFill="1" applyBorder="1" applyAlignment="1">
      <alignment horizontal="left" vertical="center"/>
    </xf>
    <xf numFmtId="0" fontId="74" fillId="4" borderId="23" xfId="8" applyFont="1" applyFill="1" applyBorder="1" applyAlignment="1">
      <alignment horizontal="left" vertical="center"/>
    </xf>
    <xf numFmtId="0" fontId="24" fillId="0" borderId="9" xfId="6" applyFont="1" applyFill="1" applyBorder="1" applyAlignment="1">
      <alignment vertical="center"/>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24" fillId="0" borderId="9" xfId="0" applyFont="1" applyBorder="1" applyAlignment="1">
      <alignment horizontal="left"/>
    </xf>
    <xf numFmtId="0" fontId="24" fillId="0" borderId="27" xfId="0" applyFont="1" applyBorder="1" applyAlignment="1">
      <alignment horizontal="left" vertical="top" wrapText="1" indent="3"/>
    </xf>
    <xf numFmtId="0" fontId="24" fillId="0" borderId="0" xfId="0" applyFont="1" applyAlignment="1">
      <alignment horizontal="left" vertical="top" wrapText="1" indent="3"/>
    </xf>
    <xf numFmtId="0" fontId="24" fillId="0" borderId="0" xfId="0" applyFont="1" applyAlignment="1">
      <alignment horizontal="left" wrapText="1"/>
    </xf>
    <xf numFmtId="0" fontId="39" fillId="0" borderId="96" xfId="5" applyFont="1" applyBorder="1" applyAlignment="1">
      <alignment horizontal="center" wrapText="1"/>
    </xf>
    <xf numFmtId="0" fontId="0" fillId="0" borderId="97" xfId="0" applyBorder="1" applyAlignment="1">
      <alignment horizontal="center" wrapText="1"/>
    </xf>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39" fillId="0" borderId="0" xfId="5" applyFont="1" applyAlignment="1">
      <alignment horizontal="center" vertical="center" wrapText="1"/>
    </xf>
    <xf numFmtId="0" fontId="39" fillId="0" borderId="0" xfId="5" applyFont="1" applyBorder="1" applyAlignment="1">
      <alignment horizontal="center" vertical="center" wrapText="1"/>
    </xf>
    <xf numFmtId="0" fontId="77" fillId="0" borderId="0" xfId="5" applyFont="1" applyFill="1" applyAlignment="1">
      <alignment horizontal="center" wrapText="1"/>
    </xf>
    <xf numFmtId="0" fontId="39" fillId="0" borderId="0" xfId="5" applyFont="1" applyAlignment="1">
      <alignment horizontal="center"/>
    </xf>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0" fillId="4" borderId="0" xfId="0" applyFill="1" applyAlignment="1">
      <alignment horizontal="center"/>
    </xf>
    <xf numFmtId="165" fontId="71" fillId="13"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3" fillId="19" borderId="19" xfId="0" applyFont="1" applyFill="1" applyBorder="1" applyAlignment="1">
      <alignment horizontal="center" wrapText="1"/>
    </xf>
    <xf numFmtId="0" fontId="0" fillId="0" borderId="30" xfId="0" applyBorder="1" applyAlignment="1">
      <alignment horizontal="center" wrapText="1"/>
    </xf>
    <xf numFmtId="0" fontId="71" fillId="24" borderId="19" xfId="0" applyFont="1" applyFill="1" applyBorder="1" applyAlignment="1">
      <alignment horizontal="center" wrapText="1"/>
    </xf>
    <xf numFmtId="0" fontId="96" fillId="24" borderId="30" xfId="0" applyFont="1" applyFill="1" applyBorder="1" applyAlignment="1">
      <alignment horizontal="center" wrapText="1"/>
    </xf>
    <xf numFmtId="0" fontId="57" fillId="19"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1" fillId="22" borderId="20" xfId="1" applyFont="1" applyFill="1" applyBorder="1" applyAlignment="1">
      <alignment horizontal="center" wrapText="1"/>
    </xf>
    <xf numFmtId="0" fontId="0" fillId="22" borderId="27" xfId="0" applyFont="1" applyFill="1" applyBorder="1" applyAlignment="1">
      <alignment horizontal="center" wrapText="1"/>
    </xf>
    <xf numFmtId="0" fontId="0" fillId="22" borderId="21" xfId="0" applyFont="1" applyFill="1" applyBorder="1" applyAlignment="1">
      <alignment horizontal="center" wrapText="1"/>
    </xf>
    <xf numFmtId="43" fontId="81"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0" fontId="101" fillId="0" borderId="0" xfId="0" applyFont="1" applyAlignment="1"/>
    <xf numFmtId="0" fontId="17" fillId="7" borderId="19" xfId="0" applyFont="1" applyFill="1" applyBorder="1" applyAlignment="1">
      <alignment horizontal="center" wrapText="1"/>
    </xf>
    <xf numFmtId="0" fontId="36" fillId="7" borderId="30" xfId="0" applyFont="1" applyFill="1" applyBorder="1" applyAlignment="1">
      <alignment horizontal="center" wrapText="1"/>
    </xf>
    <xf numFmtId="0" fontId="17" fillId="22" borderId="19" xfId="0" applyFont="1" applyFill="1" applyBorder="1" applyAlignment="1">
      <alignment horizontal="center" wrapText="1"/>
    </xf>
    <xf numFmtId="0" fontId="36"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96"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96"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0" fillId="0" borderId="26" xfId="0" applyBorder="1" applyAlignment="1">
      <alignment horizontal="center" wrapText="1"/>
    </xf>
    <xf numFmtId="0" fontId="71" fillId="13" borderId="19" xfId="0" applyFont="1" applyFill="1" applyBorder="1" applyAlignment="1">
      <alignment horizontal="center" wrapText="1"/>
    </xf>
    <xf numFmtId="0" fontId="96" fillId="13" borderId="30" xfId="0" applyFont="1" applyFill="1" applyBorder="1" applyAlignment="1">
      <alignment horizontal="center" wrapText="1"/>
    </xf>
    <xf numFmtId="0" fontId="114" fillId="0" borderId="0" xfId="8" applyFont="1" applyAlignment="1">
      <alignment horizontal="left"/>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4" fillId="4" borderId="9" xfId="13" applyFont="1" applyFill="1" applyBorder="1" applyAlignment="1">
      <alignment horizontal="center"/>
    </xf>
    <xf numFmtId="0" fontId="24" fillId="0" borderId="9" xfId="8" applyFont="1" applyBorder="1" applyAlignment="1">
      <alignment horizontal="center"/>
    </xf>
    <xf numFmtId="14" fontId="11" fillId="0" borderId="9" xfId="0" applyNumberFormat="1" applyFont="1" applyBorder="1" applyAlignment="1">
      <alignment horizontal="center" vertical="center" wrapText="1"/>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735013</xdr:colOff>
      <xdr:row>148</xdr:row>
      <xdr:rowOff>142869</xdr:rowOff>
    </xdr:from>
    <xdr:to>
      <xdr:col>5</xdr:col>
      <xdr:colOff>137972</xdr:colOff>
      <xdr:row>150</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151</xdr:row>
      <xdr:rowOff>95247</xdr:rowOff>
    </xdr:from>
    <xdr:to>
      <xdr:col>6</xdr:col>
      <xdr:colOff>603715</xdr:colOff>
      <xdr:row>153</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498364</xdr:colOff>
      <xdr:row>36</xdr:row>
      <xdr:rowOff>102054</xdr:rowOff>
    </xdr:from>
    <xdr:to>
      <xdr:col>11</xdr:col>
      <xdr:colOff>524247</xdr:colOff>
      <xdr:row>38</xdr:row>
      <xdr:rowOff>159379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159435" y="8062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159435" y="8062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180</xdr:row>
      <xdr:rowOff>95247</xdr:rowOff>
    </xdr:from>
    <xdr:to>
      <xdr:col>6</xdr:col>
      <xdr:colOff>603715</xdr:colOff>
      <xdr:row>182</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178</xdr:row>
      <xdr:rowOff>69476</xdr:rowOff>
    </xdr:from>
    <xdr:to>
      <xdr:col>4</xdr:col>
      <xdr:colOff>4615571</xdr:colOff>
      <xdr:row>179</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945324</xdr:colOff>
      <xdr:row>204</xdr:row>
      <xdr:rowOff>68032</xdr:rowOff>
    </xdr:from>
    <xdr:to>
      <xdr:col>6</xdr:col>
      <xdr:colOff>794215</xdr:colOff>
      <xdr:row>206</xdr:row>
      <xdr:rowOff>125357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200</xdr:row>
      <xdr:rowOff>67236</xdr:rowOff>
    </xdr:from>
    <xdr:to>
      <xdr:col>4</xdr:col>
      <xdr:colOff>5304864</xdr:colOff>
      <xdr:row>203</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1265465</xdr:colOff>
      <xdr:row>200</xdr:row>
      <xdr:rowOff>27214</xdr:rowOff>
    </xdr:from>
    <xdr:to>
      <xdr:col>12</xdr:col>
      <xdr:colOff>449036</xdr:colOff>
      <xdr:row>205</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26536" y="41624250"/>
          <a:ext cx="7633607"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199</xdr:row>
      <xdr:rowOff>176894</xdr:rowOff>
    </xdr:from>
    <xdr:to>
      <xdr:col>19</xdr:col>
      <xdr:colOff>20410</xdr:colOff>
      <xdr:row>205</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224</xdr:row>
      <xdr:rowOff>95247</xdr:rowOff>
    </xdr:from>
    <xdr:to>
      <xdr:col>6</xdr:col>
      <xdr:colOff>603715</xdr:colOff>
      <xdr:row>226</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220</xdr:row>
      <xdr:rowOff>28655</xdr:rowOff>
    </xdr:from>
    <xdr:to>
      <xdr:col>4</xdr:col>
      <xdr:colOff>3196400</xdr:colOff>
      <xdr:row>224</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241</xdr:row>
      <xdr:rowOff>95247</xdr:rowOff>
    </xdr:from>
    <xdr:to>
      <xdr:col>6</xdr:col>
      <xdr:colOff>603715</xdr:colOff>
      <xdr:row>243</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238</xdr:row>
      <xdr:rowOff>155121</xdr:rowOff>
    </xdr:from>
    <xdr:to>
      <xdr:col>4</xdr:col>
      <xdr:colOff>923120</xdr:colOff>
      <xdr:row>240</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255</xdr:row>
      <xdr:rowOff>95247</xdr:rowOff>
    </xdr:from>
    <xdr:to>
      <xdr:col>6</xdr:col>
      <xdr:colOff>603715</xdr:colOff>
      <xdr:row>257</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274</xdr:row>
      <xdr:rowOff>95247</xdr:rowOff>
    </xdr:from>
    <xdr:to>
      <xdr:col>6</xdr:col>
      <xdr:colOff>603715</xdr:colOff>
      <xdr:row>276</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271</xdr:row>
      <xdr:rowOff>163287</xdr:rowOff>
    </xdr:from>
    <xdr:to>
      <xdr:col>4</xdr:col>
      <xdr:colOff>3637222</xdr:colOff>
      <xdr:row>273</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270</xdr:row>
      <xdr:rowOff>186417</xdr:rowOff>
    </xdr:from>
    <xdr:to>
      <xdr:col>15</xdr:col>
      <xdr:colOff>127918</xdr:colOff>
      <xdr:row>273</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274</xdr:row>
      <xdr:rowOff>6123</xdr:rowOff>
    </xdr:from>
    <xdr:to>
      <xdr:col>6</xdr:col>
      <xdr:colOff>743951</xdr:colOff>
      <xdr:row>276</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295</xdr:row>
      <xdr:rowOff>95247</xdr:rowOff>
    </xdr:from>
    <xdr:to>
      <xdr:col>6</xdr:col>
      <xdr:colOff>603715</xdr:colOff>
      <xdr:row>297</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293</xdr:row>
      <xdr:rowOff>13607</xdr:rowOff>
    </xdr:from>
    <xdr:to>
      <xdr:col>4</xdr:col>
      <xdr:colOff>4432149</xdr:colOff>
      <xdr:row>294</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313</xdr:row>
      <xdr:rowOff>122461</xdr:rowOff>
    </xdr:from>
    <xdr:to>
      <xdr:col>5</xdr:col>
      <xdr:colOff>1882787</xdr:colOff>
      <xdr:row>316</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330</xdr:row>
      <xdr:rowOff>95247</xdr:rowOff>
    </xdr:from>
    <xdr:to>
      <xdr:col>6</xdr:col>
      <xdr:colOff>603715</xdr:colOff>
      <xdr:row>332</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327</xdr:row>
      <xdr:rowOff>148317</xdr:rowOff>
    </xdr:from>
    <xdr:to>
      <xdr:col>6</xdr:col>
      <xdr:colOff>789214</xdr:colOff>
      <xdr:row>330</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347</xdr:row>
      <xdr:rowOff>95248</xdr:rowOff>
    </xdr:from>
    <xdr:to>
      <xdr:col>6</xdr:col>
      <xdr:colOff>603715</xdr:colOff>
      <xdr:row>348</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343</xdr:row>
      <xdr:rowOff>93890</xdr:rowOff>
    </xdr:from>
    <xdr:to>
      <xdr:col>11</xdr:col>
      <xdr:colOff>979714</xdr:colOff>
      <xdr:row>346</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382</xdr:row>
      <xdr:rowOff>13604</xdr:rowOff>
    </xdr:from>
    <xdr:to>
      <xdr:col>6</xdr:col>
      <xdr:colOff>603715</xdr:colOff>
      <xdr:row>383</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378</xdr:row>
      <xdr:rowOff>175532</xdr:rowOff>
    </xdr:from>
    <xdr:to>
      <xdr:col>4</xdr:col>
      <xdr:colOff>4112559</xdr:colOff>
      <xdr:row>381</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379</xdr:row>
      <xdr:rowOff>0</xdr:rowOff>
    </xdr:from>
    <xdr:to>
      <xdr:col>8</xdr:col>
      <xdr:colOff>683559</xdr:colOff>
      <xdr:row>381</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404</xdr:row>
      <xdr:rowOff>95247</xdr:rowOff>
    </xdr:from>
    <xdr:to>
      <xdr:col>6</xdr:col>
      <xdr:colOff>603715</xdr:colOff>
      <xdr:row>406</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424</xdr:row>
      <xdr:rowOff>95247</xdr:rowOff>
    </xdr:from>
    <xdr:to>
      <xdr:col>6</xdr:col>
      <xdr:colOff>603715</xdr:colOff>
      <xdr:row>426</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401</xdr:row>
      <xdr:rowOff>27214</xdr:rowOff>
    </xdr:from>
    <xdr:to>
      <xdr:col>8</xdr:col>
      <xdr:colOff>851647</xdr:colOff>
      <xdr:row>403</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403</xdr:row>
      <xdr:rowOff>176893</xdr:rowOff>
    </xdr:from>
    <xdr:to>
      <xdr:col>8</xdr:col>
      <xdr:colOff>862852</xdr:colOff>
      <xdr:row>406</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402</xdr:row>
      <xdr:rowOff>5443</xdr:rowOff>
    </xdr:from>
    <xdr:to>
      <xdr:col>4</xdr:col>
      <xdr:colOff>1847143</xdr:colOff>
      <xdr:row>403</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401</xdr:row>
      <xdr:rowOff>16328</xdr:rowOff>
    </xdr:from>
    <xdr:to>
      <xdr:col>13</xdr:col>
      <xdr:colOff>672353</xdr:colOff>
      <xdr:row>403</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403</xdr:row>
      <xdr:rowOff>149678</xdr:rowOff>
    </xdr:from>
    <xdr:to>
      <xdr:col>14</xdr:col>
      <xdr:colOff>56029</xdr:colOff>
      <xdr:row>406</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421</xdr:row>
      <xdr:rowOff>182336</xdr:rowOff>
    </xdr:from>
    <xdr:to>
      <xdr:col>4</xdr:col>
      <xdr:colOff>2888401</xdr:colOff>
      <xdr:row>423</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222</xdr:row>
      <xdr:rowOff>87086</xdr:rowOff>
    </xdr:from>
    <xdr:to>
      <xdr:col>6</xdr:col>
      <xdr:colOff>1307053</xdr:colOff>
      <xdr:row>223</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222</xdr:row>
      <xdr:rowOff>40822</xdr:rowOff>
    </xdr:from>
    <xdr:to>
      <xdr:col>9</xdr:col>
      <xdr:colOff>691956</xdr:colOff>
      <xdr:row>223</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253</xdr:row>
      <xdr:rowOff>46264</xdr:rowOff>
    </xdr:from>
    <xdr:to>
      <xdr:col>4</xdr:col>
      <xdr:colOff>1316035</xdr:colOff>
      <xdr:row>254</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351</xdr:row>
      <xdr:rowOff>0</xdr:rowOff>
    </xdr:from>
    <xdr:to>
      <xdr:col>5</xdr:col>
      <xdr:colOff>1476375</xdr:colOff>
      <xdr:row>352</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349</xdr:row>
      <xdr:rowOff>19050</xdr:rowOff>
    </xdr:from>
    <xdr:to>
      <xdr:col>9</xdr:col>
      <xdr:colOff>144173</xdr:colOff>
      <xdr:row>352</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353</xdr:row>
      <xdr:rowOff>89808</xdr:rowOff>
    </xdr:from>
    <xdr:to>
      <xdr:col>9</xdr:col>
      <xdr:colOff>341962</xdr:colOff>
      <xdr:row>356</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76</xdr:row>
      <xdr:rowOff>142876</xdr:rowOff>
    </xdr:from>
    <xdr:to>
      <xdr:col>4</xdr:col>
      <xdr:colOff>292554</xdr:colOff>
      <xdr:row>78</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72</xdr:row>
      <xdr:rowOff>159924</xdr:rowOff>
    </xdr:from>
    <xdr:to>
      <xdr:col>4</xdr:col>
      <xdr:colOff>2241059</xdr:colOff>
      <xdr:row>73</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443</xdr:row>
      <xdr:rowOff>149675</xdr:rowOff>
    </xdr:from>
    <xdr:to>
      <xdr:col>6</xdr:col>
      <xdr:colOff>86643</xdr:colOff>
      <xdr:row>446</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440</xdr:row>
      <xdr:rowOff>67431</xdr:rowOff>
    </xdr:from>
    <xdr:to>
      <xdr:col>10</xdr:col>
      <xdr:colOff>901096</xdr:colOff>
      <xdr:row>443</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464</xdr:row>
      <xdr:rowOff>190497</xdr:rowOff>
    </xdr:from>
    <xdr:to>
      <xdr:col>4</xdr:col>
      <xdr:colOff>2292804</xdr:colOff>
      <xdr:row>467</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461</xdr:row>
      <xdr:rowOff>108253</xdr:rowOff>
    </xdr:from>
    <xdr:to>
      <xdr:col>4</xdr:col>
      <xdr:colOff>4095750</xdr:colOff>
      <xdr:row>464</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490</xdr:row>
      <xdr:rowOff>108855</xdr:rowOff>
    </xdr:from>
    <xdr:to>
      <xdr:col>4</xdr:col>
      <xdr:colOff>2457449</xdr:colOff>
      <xdr:row>493</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487</xdr:row>
      <xdr:rowOff>85575</xdr:rowOff>
    </xdr:from>
    <xdr:to>
      <xdr:col>4</xdr:col>
      <xdr:colOff>4544784</xdr:colOff>
      <xdr:row>490</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516</xdr:row>
      <xdr:rowOff>122461</xdr:rowOff>
    </xdr:from>
    <xdr:to>
      <xdr:col>4</xdr:col>
      <xdr:colOff>2865664</xdr:colOff>
      <xdr:row>518</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513</xdr:row>
      <xdr:rowOff>96157</xdr:rowOff>
    </xdr:from>
    <xdr:to>
      <xdr:col>5</xdr:col>
      <xdr:colOff>979714</xdr:colOff>
      <xdr:row>516</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533</xdr:row>
      <xdr:rowOff>132443</xdr:rowOff>
    </xdr:from>
    <xdr:to>
      <xdr:col>6</xdr:col>
      <xdr:colOff>1224642</xdr:colOff>
      <xdr:row>536</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555</xdr:row>
      <xdr:rowOff>155864</xdr:rowOff>
    </xdr:from>
    <xdr:to>
      <xdr:col>2</xdr:col>
      <xdr:colOff>0</xdr:colOff>
      <xdr:row>557</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551</xdr:row>
      <xdr:rowOff>75458</xdr:rowOff>
    </xdr:from>
    <xdr:to>
      <xdr:col>23</xdr:col>
      <xdr:colOff>503464</xdr:colOff>
      <xdr:row>556</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576</xdr:row>
      <xdr:rowOff>95247</xdr:rowOff>
    </xdr:from>
    <xdr:to>
      <xdr:col>2</xdr:col>
      <xdr:colOff>0</xdr:colOff>
      <xdr:row>578</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574</xdr:row>
      <xdr:rowOff>9072</xdr:rowOff>
    </xdr:from>
    <xdr:to>
      <xdr:col>16</xdr:col>
      <xdr:colOff>476250</xdr:colOff>
      <xdr:row>578</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594</xdr:row>
      <xdr:rowOff>95247</xdr:rowOff>
    </xdr:from>
    <xdr:to>
      <xdr:col>2</xdr:col>
      <xdr:colOff>0</xdr:colOff>
      <xdr:row>596</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591</xdr:row>
      <xdr:rowOff>145143</xdr:rowOff>
    </xdr:from>
    <xdr:to>
      <xdr:col>17</xdr:col>
      <xdr:colOff>421821</xdr:colOff>
      <xdr:row>596</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611</xdr:row>
      <xdr:rowOff>95247</xdr:rowOff>
    </xdr:from>
    <xdr:to>
      <xdr:col>2</xdr:col>
      <xdr:colOff>0</xdr:colOff>
      <xdr:row>613</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608</xdr:row>
      <xdr:rowOff>135248</xdr:rowOff>
    </xdr:from>
    <xdr:to>
      <xdr:col>16</xdr:col>
      <xdr:colOff>64201</xdr:colOff>
      <xdr:row>613</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628</xdr:row>
      <xdr:rowOff>95247</xdr:rowOff>
    </xdr:from>
    <xdr:to>
      <xdr:col>2</xdr:col>
      <xdr:colOff>0</xdr:colOff>
      <xdr:row>630</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645</xdr:row>
      <xdr:rowOff>95247</xdr:rowOff>
    </xdr:from>
    <xdr:to>
      <xdr:col>2</xdr:col>
      <xdr:colOff>0</xdr:colOff>
      <xdr:row>647</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642</xdr:row>
      <xdr:rowOff>36286</xdr:rowOff>
    </xdr:from>
    <xdr:to>
      <xdr:col>5</xdr:col>
      <xdr:colOff>669470</xdr:colOff>
      <xdr:row>644</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645</xdr:row>
      <xdr:rowOff>92650</xdr:rowOff>
    </xdr:from>
    <xdr:to>
      <xdr:col>16</xdr:col>
      <xdr:colOff>872201</xdr:colOff>
      <xdr:row>646</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661</xdr:row>
      <xdr:rowOff>95247</xdr:rowOff>
    </xdr:from>
    <xdr:to>
      <xdr:col>2</xdr:col>
      <xdr:colOff>0</xdr:colOff>
      <xdr:row>663</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659</xdr:row>
      <xdr:rowOff>144729</xdr:rowOff>
    </xdr:from>
    <xdr:to>
      <xdr:col>5</xdr:col>
      <xdr:colOff>1056409</xdr:colOff>
      <xdr:row>662</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659</xdr:row>
      <xdr:rowOff>161924</xdr:rowOff>
    </xdr:from>
    <xdr:to>
      <xdr:col>11</xdr:col>
      <xdr:colOff>1251856</xdr:colOff>
      <xdr:row>661</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677</xdr:row>
      <xdr:rowOff>95247</xdr:rowOff>
    </xdr:from>
    <xdr:to>
      <xdr:col>2</xdr:col>
      <xdr:colOff>0</xdr:colOff>
      <xdr:row>679</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675</xdr:row>
      <xdr:rowOff>122464</xdr:rowOff>
    </xdr:from>
    <xdr:to>
      <xdr:col>4</xdr:col>
      <xdr:colOff>1428749</xdr:colOff>
      <xdr:row>677</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693</xdr:row>
      <xdr:rowOff>95247</xdr:rowOff>
    </xdr:from>
    <xdr:to>
      <xdr:col>2</xdr:col>
      <xdr:colOff>0</xdr:colOff>
      <xdr:row>695</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691</xdr:row>
      <xdr:rowOff>108856</xdr:rowOff>
    </xdr:from>
    <xdr:to>
      <xdr:col>5</xdr:col>
      <xdr:colOff>462643</xdr:colOff>
      <xdr:row>694</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711</xdr:row>
      <xdr:rowOff>95247</xdr:rowOff>
    </xdr:from>
    <xdr:to>
      <xdr:col>2</xdr:col>
      <xdr:colOff>0</xdr:colOff>
      <xdr:row>713</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709</xdr:row>
      <xdr:rowOff>13003</xdr:rowOff>
    </xdr:from>
    <xdr:to>
      <xdr:col>4</xdr:col>
      <xdr:colOff>4857749</xdr:colOff>
      <xdr:row>711</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729</xdr:row>
      <xdr:rowOff>95247</xdr:rowOff>
    </xdr:from>
    <xdr:to>
      <xdr:col>2</xdr:col>
      <xdr:colOff>0</xdr:colOff>
      <xdr:row>731</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727</xdr:row>
      <xdr:rowOff>40822</xdr:rowOff>
    </xdr:from>
    <xdr:to>
      <xdr:col>5</xdr:col>
      <xdr:colOff>190500</xdr:colOff>
      <xdr:row>729</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746</xdr:row>
      <xdr:rowOff>95247</xdr:rowOff>
    </xdr:from>
    <xdr:to>
      <xdr:col>2</xdr:col>
      <xdr:colOff>0</xdr:colOff>
      <xdr:row>748</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742</xdr:row>
      <xdr:rowOff>63500</xdr:rowOff>
    </xdr:from>
    <xdr:to>
      <xdr:col>2</xdr:col>
      <xdr:colOff>0</xdr:colOff>
      <xdr:row>746</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743</xdr:row>
      <xdr:rowOff>81643</xdr:rowOff>
    </xdr:from>
    <xdr:to>
      <xdr:col>14</xdr:col>
      <xdr:colOff>353787</xdr:colOff>
      <xdr:row>747</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762</xdr:row>
      <xdr:rowOff>136069</xdr:rowOff>
    </xdr:from>
    <xdr:to>
      <xdr:col>6</xdr:col>
      <xdr:colOff>1006929</xdr:colOff>
      <xdr:row>765</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761</xdr:row>
      <xdr:rowOff>145143</xdr:rowOff>
    </xdr:from>
    <xdr:to>
      <xdr:col>2</xdr:col>
      <xdr:colOff>0</xdr:colOff>
      <xdr:row>763</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781</xdr:row>
      <xdr:rowOff>95247</xdr:rowOff>
    </xdr:from>
    <xdr:to>
      <xdr:col>2</xdr:col>
      <xdr:colOff>0</xdr:colOff>
      <xdr:row>783</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779</xdr:row>
      <xdr:rowOff>122464</xdr:rowOff>
    </xdr:from>
    <xdr:to>
      <xdr:col>4</xdr:col>
      <xdr:colOff>4721678</xdr:colOff>
      <xdr:row>781</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310</xdr:row>
      <xdr:rowOff>27214</xdr:rowOff>
    </xdr:from>
    <xdr:to>
      <xdr:col>6</xdr:col>
      <xdr:colOff>1008290</xdr:colOff>
      <xdr:row>313</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625</xdr:row>
      <xdr:rowOff>72984</xdr:rowOff>
    </xdr:from>
    <xdr:to>
      <xdr:col>4</xdr:col>
      <xdr:colOff>2969735</xdr:colOff>
      <xdr:row>627</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625</xdr:row>
      <xdr:rowOff>98961</xdr:rowOff>
    </xdr:from>
    <xdr:to>
      <xdr:col>5</xdr:col>
      <xdr:colOff>273292</xdr:colOff>
      <xdr:row>627</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803</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795</xdr:row>
      <xdr:rowOff>0</xdr:rowOff>
    </xdr:from>
    <xdr:to>
      <xdr:col>4</xdr:col>
      <xdr:colOff>3110754</xdr:colOff>
      <xdr:row>797</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795</xdr:row>
      <xdr:rowOff>0</xdr:rowOff>
    </xdr:from>
    <xdr:to>
      <xdr:col>7</xdr:col>
      <xdr:colOff>125507</xdr:colOff>
      <xdr:row>797</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788</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788</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942894</xdr:colOff>
      <xdr:row>31</xdr:row>
      <xdr:rowOff>51227</xdr:rowOff>
    </xdr:from>
    <xdr:to>
      <xdr:col>6</xdr:col>
      <xdr:colOff>361790</xdr:colOff>
      <xdr:row>34</xdr:row>
      <xdr:rowOff>84937</xdr:rowOff>
    </xdr:to>
    <mc:AlternateContent xmlns:mc="http://schemas.openxmlformats.org/markup-compatibility/2006" xmlns:a14="http://schemas.microsoft.com/office/drawing/2010/main">
      <mc:Choice Requires="a14">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d>
                          <m:d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𝐵𝑎𝑠𝑒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𝐸𝐸</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oMath>
                </m:oMathPara>
              </a14:m>
              <a:endParaRPr lang="en-US" sz="1100">
                <a:solidFill>
                  <a:sysClr val="windowText" lastClr="000000"/>
                </a:solidFill>
              </a:endParaRPr>
            </a:p>
          </xdr:txBody>
        </xdr:sp>
      </mc:Choice>
      <mc:Fallback xmlns="">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〖𝑊𝑎𝑡𝑡𝑠〗_𝐵𝑎𝑠𝑒−〖𝑊𝑎𝑡𝑡𝑠〗_𝐸𝐸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1000×𝐼𝑆𝑅×𝐻𝑜𝑢𝑟𝑠×〖𝑊𝐻𝐹〗_𝑒</a:t>
              </a:r>
              <a:endParaRPr lang="en-US" sz="1100">
                <a:solidFill>
                  <a:sysClr val="windowText" lastClr="000000"/>
                </a:solidFill>
              </a:endParaRPr>
            </a:p>
          </xdr:txBody>
        </xdr:sp>
      </mc:Fallback>
    </mc:AlternateContent>
    <xdr:clientData/>
  </xdr:twoCellAnchor>
  <xdr:twoCellAnchor>
    <xdr:from>
      <xdr:col>4</xdr:col>
      <xdr:colOff>584751</xdr:colOff>
      <xdr:row>35</xdr:row>
      <xdr:rowOff>96946</xdr:rowOff>
    </xdr:from>
    <xdr:to>
      <xdr:col>6</xdr:col>
      <xdr:colOff>457841</xdr:colOff>
      <xdr:row>38</xdr:row>
      <xdr:rowOff>130656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 =</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d>
                          <m:d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𝐵𝑎𝑠𝑒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𝑊𝑎𝑡𝑡𝑠</m:t>
                                </m:r>
                              </m:e>
                              <m:sub>
                                <m:r>
                                  <a:rPr lang="en-US" sz="1100" b="0" i="1">
                                    <a:solidFill>
                                      <a:sysClr val="windowText" lastClr="000000"/>
                                    </a:solidFill>
                                    <a:effectLst/>
                                    <a:latin typeface="Cambria Math" panose="02040503050406030204" pitchFamily="18" charset="0"/>
                                    <a:ea typeface="+mn-ea"/>
                                    <a:cs typeface="+mn-cs"/>
                                  </a:rPr>
                                  <m:t>𝐸𝐸</m:t>
                                </m:r>
                              </m:sub>
                            </m:sSub>
                          </m:e>
                        </m:d>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〖𝑊𝑎𝑡𝑡𝑠〗_𝐵𝑎𝑠𝑒−〖𝑊𝑎𝑡𝑡𝑠〗_𝐸𝐸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1000×𝐼𝑆𝑅×𝐻𝑜𝑢𝑟𝑠×〖−𝐼𝐹〗_𝑘𝑊ℎ</a:t>
              </a:r>
              <a:endParaRPr lang="en-US" sz="1100">
                <a:solidFill>
                  <a:sysClr val="windowText" lastClr="000000"/>
                </a:solidFill>
              </a:endParaRPr>
            </a:p>
          </xdr:txBody>
        </xdr:sp>
      </mc:Fallback>
    </mc:AlternateContent>
    <xdr:clientData/>
  </xdr:twoCellAnchor>
  <xdr:twoCellAnchor>
    <xdr:from>
      <xdr:col>3</xdr:col>
      <xdr:colOff>123264</xdr:colOff>
      <xdr:row>74</xdr:row>
      <xdr:rowOff>134470</xdr:rowOff>
    </xdr:from>
    <xdr:to>
      <xdr:col>4</xdr:col>
      <xdr:colOff>4258277</xdr:colOff>
      <xdr:row>75</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0</xdr:colOff>
      <xdr:row>99</xdr:row>
      <xdr:rowOff>1</xdr:rowOff>
    </xdr:from>
    <xdr:to>
      <xdr:col>4</xdr:col>
      <xdr:colOff>3224893</xdr:colOff>
      <xdr:row>101</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2</xdr:col>
      <xdr:colOff>1129393</xdr:colOff>
      <xdr:row>102</xdr:row>
      <xdr:rowOff>163286</xdr:rowOff>
    </xdr:from>
    <xdr:to>
      <xdr:col>4</xdr:col>
      <xdr:colOff>179273</xdr:colOff>
      <xdr:row>104</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86</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86</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36</xdr:row>
      <xdr:rowOff>1362</xdr:rowOff>
    </xdr:from>
    <xdr:to>
      <xdr:col>5</xdr:col>
      <xdr:colOff>4792436</xdr:colOff>
      <xdr:row>37</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38</xdr:row>
      <xdr:rowOff>39461</xdr:rowOff>
    </xdr:from>
    <xdr:to>
      <xdr:col>4</xdr:col>
      <xdr:colOff>2281792</xdr:colOff>
      <xdr:row>39</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32</xdr:row>
      <xdr:rowOff>19050</xdr:rowOff>
    </xdr:from>
    <xdr:to>
      <xdr:col>4</xdr:col>
      <xdr:colOff>4413251</xdr:colOff>
      <xdr:row>33</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34</xdr:row>
      <xdr:rowOff>15876</xdr:rowOff>
    </xdr:from>
    <xdr:to>
      <xdr:col>5</xdr:col>
      <xdr:colOff>4082144</xdr:colOff>
      <xdr:row>35</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176</xdr:row>
      <xdr:rowOff>83419</xdr:rowOff>
    </xdr:from>
    <xdr:to>
      <xdr:col>4</xdr:col>
      <xdr:colOff>3571067</xdr:colOff>
      <xdr:row>178</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a:solidFill>
                  <a:sysClr val="windowText" lastClr="000000"/>
                </a:solidFill>
              </a:endParaRPr>
            </a:p>
          </xdr:txBody>
        </xdr:sp>
      </mc:Fallback>
    </mc:AlternateContent>
    <xdr:clientData/>
  </xdr:twoCellAnchor>
  <xdr:twoCellAnchor>
    <xdr:from>
      <xdr:col>7</xdr:col>
      <xdr:colOff>535079</xdr:colOff>
      <xdr:row>177</xdr:row>
      <xdr:rowOff>66608</xdr:rowOff>
    </xdr:from>
    <xdr:to>
      <xdr:col>10</xdr:col>
      <xdr:colOff>95249</xdr:colOff>
      <xdr:row>179</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177</xdr:row>
      <xdr:rowOff>21414</xdr:rowOff>
    </xdr:from>
    <xdr:to>
      <xdr:col>7</xdr:col>
      <xdr:colOff>571500</xdr:colOff>
      <xdr:row>179</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181</xdr:row>
      <xdr:rowOff>115409</xdr:rowOff>
    </xdr:from>
    <xdr:to>
      <xdr:col>9</xdr:col>
      <xdr:colOff>666750</xdr:colOff>
      <xdr:row>184</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181</xdr:row>
      <xdr:rowOff>115463</xdr:rowOff>
    </xdr:from>
    <xdr:to>
      <xdr:col>7</xdr:col>
      <xdr:colOff>136491</xdr:colOff>
      <xdr:row>184</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181</xdr:row>
      <xdr:rowOff>120464</xdr:rowOff>
    </xdr:from>
    <xdr:to>
      <xdr:col>4</xdr:col>
      <xdr:colOff>144162</xdr:colOff>
      <xdr:row>182</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1434353</xdr:colOff>
      <xdr:row>245</xdr:row>
      <xdr:rowOff>56029</xdr:rowOff>
    </xdr:from>
    <xdr:to>
      <xdr:col>7</xdr:col>
      <xdr:colOff>377521</xdr:colOff>
      <xdr:row>247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248</xdr:row>
      <xdr:rowOff>156882</xdr:rowOff>
    </xdr:from>
    <xdr:to>
      <xdr:col>4</xdr:col>
      <xdr:colOff>1361184</xdr:colOff>
      <xdr:row>249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269</xdr:row>
      <xdr:rowOff>119903</xdr:rowOff>
    </xdr:from>
    <xdr:to>
      <xdr:col>6</xdr:col>
      <xdr:colOff>34272</xdr:colOff>
      <xdr:row>270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297</xdr:row>
      <xdr:rowOff>17930</xdr:rowOff>
    </xdr:from>
    <xdr:to>
      <xdr:col>5</xdr:col>
      <xdr:colOff>571334</xdr:colOff>
      <xdr:row>300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302</xdr:row>
      <xdr:rowOff>26894</xdr:rowOff>
    </xdr:from>
    <xdr:to>
      <xdr:col>4</xdr:col>
      <xdr:colOff>1538611</xdr:colOff>
      <xdr:row>303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204</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204</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twoCellAnchor>
    <xdr:from>
      <xdr:col>3</xdr:col>
      <xdr:colOff>0</xdr:colOff>
      <xdr:row>219</xdr:row>
      <xdr:rowOff>0</xdr:rowOff>
    </xdr:from>
    <xdr:to>
      <xdr:col>4</xdr:col>
      <xdr:colOff>1615541</xdr:colOff>
      <xdr:row>220</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1389530</xdr:colOff>
      <xdr:row>207</xdr:row>
      <xdr:rowOff>186044</xdr:rowOff>
    </xdr:from>
    <xdr:to>
      <xdr:col>7</xdr:col>
      <xdr:colOff>1277470</xdr:colOff>
      <xdr:row>211</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211</xdr:row>
      <xdr:rowOff>107580</xdr:rowOff>
    </xdr:from>
    <xdr:to>
      <xdr:col>5</xdr:col>
      <xdr:colOff>1724772</xdr:colOff>
      <xdr:row>213</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103</xdr:row>
      <xdr:rowOff>92528</xdr:rowOff>
    </xdr:from>
    <xdr:to>
      <xdr:col>10</xdr:col>
      <xdr:colOff>63500</xdr:colOff>
      <xdr:row>106</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107</xdr:row>
      <xdr:rowOff>8274</xdr:rowOff>
    </xdr:from>
    <xdr:to>
      <xdr:col>8</xdr:col>
      <xdr:colOff>587375</xdr:colOff>
      <xdr:row>109</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3</xdr:col>
      <xdr:colOff>1196866</xdr:colOff>
      <xdr:row>156</xdr:row>
      <xdr:rowOff>54428</xdr:rowOff>
    </xdr:from>
    <xdr:to>
      <xdr:col>9</xdr:col>
      <xdr:colOff>460374</xdr:colOff>
      <xdr:row>159</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159</xdr:row>
      <xdr:rowOff>97174</xdr:rowOff>
    </xdr:from>
    <xdr:to>
      <xdr:col>6</xdr:col>
      <xdr:colOff>3871310</xdr:colOff>
      <xdr:row>163</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266</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266</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307</xdr:row>
      <xdr:rowOff>30207</xdr:rowOff>
    </xdr:from>
    <xdr:to>
      <xdr:col>5</xdr:col>
      <xdr:colOff>2400300</xdr:colOff>
      <xdr:row>308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258</xdr:row>
      <xdr:rowOff>102053</xdr:rowOff>
    </xdr:from>
    <xdr:to>
      <xdr:col>6</xdr:col>
      <xdr:colOff>2809875</xdr:colOff>
      <xdr:row>262</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277</xdr:row>
      <xdr:rowOff>0</xdr:rowOff>
    </xdr:from>
    <xdr:to>
      <xdr:col>13</xdr:col>
      <xdr:colOff>720379</xdr:colOff>
      <xdr:row>286</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276</xdr:row>
      <xdr:rowOff>81643</xdr:rowOff>
    </xdr:from>
    <xdr:to>
      <xdr:col>14</xdr:col>
      <xdr:colOff>22412</xdr:colOff>
      <xdr:row>288</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281</xdr:row>
      <xdr:rowOff>0</xdr:rowOff>
    </xdr:from>
    <xdr:to>
      <xdr:col>13</xdr:col>
      <xdr:colOff>720379</xdr:colOff>
      <xdr:row>281</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280</xdr:row>
      <xdr:rowOff>217713</xdr:rowOff>
    </xdr:from>
    <xdr:to>
      <xdr:col>13</xdr:col>
      <xdr:colOff>612322</xdr:colOff>
      <xdr:row>282</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280</xdr:row>
      <xdr:rowOff>190500</xdr:rowOff>
    </xdr:from>
    <xdr:to>
      <xdr:col>14</xdr:col>
      <xdr:colOff>27215</xdr:colOff>
      <xdr:row>280</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277</xdr:row>
      <xdr:rowOff>0</xdr:rowOff>
    </xdr:from>
    <xdr:to>
      <xdr:col>14</xdr:col>
      <xdr:colOff>381000</xdr:colOff>
      <xdr:row>280</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277</xdr:row>
      <xdr:rowOff>0</xdr:rowOff>
    </xdr:from>
    <xdr:to>
      <xdr:col>15</xdr:col>
      <xdr:colOff>95249</xdr:colOff>
      <xdr:row>280</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328</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328</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335</xdr:row>
      <xdr:rowOff>120277</xdr:rowOff>
    </xdr:from>
    <xdr:to>
      <xdr:col>5</xdr:col>
      <xdr:colOff>1069361</xdr:colOff>
      <xdr:row>337</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66798</xdr:colOff>
      <xdr:row>60</xdr:row>
      <xdr:rowOff>144316</xdr:rowOff>
    </xdr:from>
    <xdr:to>
      <xdr:col>7</xdr:col>
      <xdr:colOff>332029</xdr:colOff>
      <xdr:row>62</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85848</xdr:colOff>
      <xdr:row>62</xdr:row>
      <xdr:rowOff>170890</xdr:rowOff>
    </xdr:from>
    <xdr:to>
      <xdr:col>4</xdr:col>
      <xdr:colOff>1831519</xdr:colOff>
      <xdr:row>64</xdr:row>
      <xdr:rowOff>40023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348238</xdr:colOff>
      <xdr:row>57</xdr:row>
      <xdr:rowOff>0</xdr:rowOff>
    </xdr:from>
    <xdr:to>
      <xdr:col>5</xdr:col>
      <xdr:colOff>168812</xdr:colOff>
      <xdr:row>58</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3</xdr:col>
      <xdr:colOff>1402773</xdr:colOff>
      <xdr:row>58</xdr:row>
      <xdr:rowOff>170357</xdr:rowOff>
    </xdr:from>
    <xdr:to>
      <xdr:col>6</xdr:col>
      <xdr:colOff>2199178</xdr:colOff>
      <xdr:row>60</xdr:row>
      <xdr:rowOff>113340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3176</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1103847</xdr:colOff>
      <xdr:row>32</xdr:row>
      <xdr:rowOff>10368</xdr:rowOff>
    </xdr:from>
    <xdr:to>
      <xdr:col>7</xdr:col>
      <xdr:colOff>576943</xdr:colOff>
      <xdr:row>36</xdr:row>
      <xdr:rowOff>163286</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341539</xdr:colOff>
      <xdr:row>35</xdr:row>
      <xdr:rowOff>240454</xdr:rowOff>
    </xdr:from>
    <xdr:to>
      <xdr:col>4</xdr:col>
      <xdr:colOff>2475139</xdr:colOff>
      <xdr:row>36</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22</xdr:row>
      <xdr:rowOff>21772</xdr:rowOff>
    </xdr:from>
    <xdr:to>
      <xdr:col>7</xdr:col>
      <xdr:colOff>450273</xdr:colOff>
      <xdr:row>25</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m:t>
                        </m:r>
                        <m:r>
                          <a:rPr lang="en-US" sz="1600" i="1">
                            <a:solidFill>
                              <a:sysClr val="windowText" lastClr="000000"/>
                            </a:solidFill>
                            <a:latin typeface="Cambria Math" panose="02040503050406030204" pitchFamily="18" charset="0"/>
                          </a:rPr>
                          <m:t>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3</xdr:col>
      <xdr:colOff>1119276</xdr:colOff>
      <xdr:row>25</xdr:row>
      <xdr:rowOff>196093</xdr:rowOff>
    </xdr:from>
    <xdr:to>
      <xdr:col>8</xdr:col>
      <xdr:colOff>304120</xdr:colOff>
      <xdr:row>28</xdr:row>
      <xdr:rowOff>119742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1063361</xdr:colOff>
      <xdr:row>29</xdr:row>
      <xdr:rowOff>32657</xdr:rowOff>
    </xdr:from>
    <xdr:to>
      <xdr:col>7</xdr:col>
      <xdr:colOff>195943</xdr:colOff>
      <xdr:row>31</xdr:row>
      <xdr:rowOff>206828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190500</xdr:colOff>
      <xdr:row>190</xdr:row>
      <xdr:rowOff>47625</xdr:rowOff>
    </xdr:from>
    <xdr:to>
      <xdr:col>4</xdr:col>
      <xdr:colOff>5856514</xdr:colOff>
      <xdr:row>194</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𝑒𝑥𝑖𝑠𝑡</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𝑒𝑥𝑖𝑠𝑡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5</xdr:col>
      <xdr:colOff>36169</xdr:colOff>
      <xdr:row>190</xdr:row>
      <xdr:rowOff>4949</xdr:rowOff>
    </xdr:from>
    <xdr:to>
      <xdr:col>8</xdr:col>
      <xdr:colOff>794657</xdr:colOff>
      <xdr:row>194</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_𝑏𝑎𝑠𝑒 )</a:t>
              </a:r>
              <a:r>
                <a:rPr lang="en-US" sz="1600" i="0">
                  <a:solidFill>
                    <a:sysClr val="windowText" lastClr="000000"/>
                  </a:solidFill>
                  <a:latin typeface="Cambria Math" panose="02040503050406030204" pitchFamily="18" charset="0"/>
                </a:rPr>
                <a:t>−1/(𝑆𝐸𝐸𝑅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21906</xdr:colOff>
      <xdr:row>196</xdr:row>
      <xdr:rowOff>108857</xdr:rowOff>
    </xdr:from>
    <xdr:to>
      <xdr:col>4</xdr:col>
      <xdr:colOff>3304630</xdr:colOff>
      <xdr:row>198</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837</xdr:row>
      <xdr:rowOff>104775</xdr:rowOff>
    </xdr:from>
    <xdr:to>
      <xdr:col>6</xdr:col>
      <xdr:colOff>424543</xdr:colOff>
      <xdr:row>841</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14286</xdr:colOff>
      <xdr:row>849</xdr:row>
      <xdr:rowOff>173181</xdr:rowOff>
    </xdr:from>
    <xdr:to>
      <xdr:col>4</xdr:col>
      <xdr:colOff>1333500</xdr:colOff>
      <xdr:row>851</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843</xdr:row>
      <xdr:rowOff>85725</xdr:rowOff>
    </xdr:from>
    <xdr:to>
      <xdr:col>7</xdr:col>
      <xdr:colOff>990600</xdr:colOff>
      <xdr:row>847</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1</xdr:col>
      <xdr:colOff>77458</xdr:colOff>
      <xdr:row>1204</xdr:row>
      <xdr:rowOff>866</xdr:rowOff>
    </xdr:from>
    <xdr:to>
      <xdr:col>6</xdr:col>
      <xdr:colOff>283028</xdr:colOff>
      <xdr:row>1208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1217</xdr:row>
      <xdr:rowOff>28575</xdr:rowOff>
    </xdr:from>
    <xdr:to>
      <xdr:col>4</xdr:col>
      <xdr:colOff>3169228</xdr:colOff>
      <xdr:row>1218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1210</xdr:row>
      <xdr:rowOff>85725</xdr:rowOff>
    </xdr:from>
    <xdr:to>
      <xdr:col>6</xdr:col>
      <xdr:colOff>892628</xdr:colOff>
      <xdr:row>1214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2421526</xdr:colOff>
      <xdr:row>1308</xdr:row>
      <xdr:rowOff>114028</xdr:rowOff>
    </xdr:from>
    <xdr:to>
      <xdr:col>9</xdr:col>
      <xdr:colOff>1270907</xdr:colOff>
      <xdr:row>1313</xdr:row>
      <xdr:rowOff>144701</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𝑒𝑥𝑖𝑠𝑡</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𝑒𝑥𝑖𝑠𝑡 )−1/(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1321</xdr:row>
      <xdr:rowOff>54428</xdr:rowOff>
    </xdr:from>
    <xdr:to>
      <xdr:col>4</xdr:col>
      <xdr:colOff>1619250</xdr:colOff>
      <xdr:row>1324</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1315</xdr:row>
      <xdr:rowOff>85725</xdr:rowOff>
    </xdr:from>
    <xdr:to>
      <xdr:col>11</xdr:col>
      <xdr:colOff>1437409</xdr:colOff>
      <xdr:row>1319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b="0" i="1">
                                                <a:solidFill>
                                                  <a:sysClr val="windowText" lastClr="000000"/>
                                                </a:solidFill>
                                                <a:effectLst/>
                                                <a:latin typeface="Cambria Math" panose="02040503050406030204" pitchFamily="18" charset="0"/>
                                                <a:ea typeface="+mn-ea"/>
                                                <a:cs typeface="+mn-cs"/>
                                              </a:rPr>
                                              <m:t>𝑏𝑎𝑠𝑒</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𝐻𝑆𝑃𝐹_𝑏𝑎𝑠𝑒 )</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198684</xdr:colOff>
      <xdr:row>1664</xdr:row>
      <xdr:rowOff>104775</xdr:rowOff>
    </xdr:from>
    <xdr:to>
      <xdr:col>15</xdr:col>
      <xdr:colOff>173182</xdr:colOff>
      <xdr:row>1668</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3</xdr:col>
      <xdr:colOff>18095</xdr:colOff>
      <xdr:row>1677</xdr:row>
      <xdr:rowOff>88495</xdr:rowOff>
    </xdr:from>
    <xdr:to>
      <xdr:col>4</xdr:col>
      <xdr:colOff>2422071</xdr:colOff>
      <xdr:row>1679</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1670</xdr:row>
      <xdr:rowOff>85725</xdr:rowOff>
    </xdr:from>
    <xdr:to>
      <xdr:col>15</xdr:col>
      <xdr:colOff>277091</xdr:colOff>
      <xdr:row>1674</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447675</xdr:colOff>
      <xdr:row>1686</xdr:row>
      <xdr:rowOff>19050</xdr:rowOff>
    </xdr:from>
    <xdr:to>
      <xdr:col>18</xdr:col>
      <xdr:colOff>676275</xdr:colOff>
      <xdr:row>1690</xdr:row>
      <xdr:rowOff>47625</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205</xdr:row>
      <xdr:rowOff>9525</xdr:rowOff>
    </xdr:from>
    <xdr:to>
      <xdr:col>18</xdr:col>
      <xdr:colOff>619125</xdr:colOff>
      <xdr:row>209</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691516</xdr:colOff>
      <xdr:row>20</xdr:row>
      <xdr:rowOff>141515</xdr:rowOff>
    </xdr:from>
    <xdr:to>
      <xdr:col>6</xdr:col>
      <xdr:colOff>1005445</xdr:colOff>
      <xdr:row>21</xdr:row>
      <xdr:rowOff>217713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735</xdr:row>
      <xdr:rowOff>27215</xdr:rowOff>
    </xdr:from>
    <xdr:to>
      <xdr:col>7</xdr:col>
      <xdr:colOff>1205669</xdr:colOff>
      <xdr:row>738</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544286</xdr:colOff>
      <xdr:row>735</xdr:row>
      <xdr:rowOff>110783</xdr:rowOff>
    </xdr:from>
    <xdr:to>
      <xdr:col>11</xdr:col>
      <xdr:colOff>2347311</xdr:colOff>
      <xdr:row>739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811</xdr:row>
      <xdr:rowOff>176893</xdr:rowOff>
    </xdr:from>
    <xdr:to>
      <xdr:col>5</xdr:col>
      <xdr:colOff>2858941</xdr:colOff>
      <xdr:row>815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815</xdr:row>
      <xdr:rowOff>97175</xdr:rowOff>
    </xdr:from>
    <xdr:to>
      <xdr:col>4</xdr:col>
      <xdr:colOff>4218214</xdr:colOff>
      <xdr:row>818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971</xdr:row>
      <xdr:rowOff>19793</xdr:rowOff>
    </xdr:from>
    <xdr:to>
      <xdr:col>7</xdr:col>
      <xdr:colOff>947383</xdr:colOff>
      <xdr:row>974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971</xdr:row>
      <xdr:rowOff>82332</xdr:rowOff>
    </xdr:from>
    <xdr:to>
      <xdr:col>12</xdr:col>
      <xdr:colOff>0</xdr:colOff>
      <xdr:row>975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twoCellAnchor>
    <xdr:from>
      <xdr:col>3</xdr:col>
      <xdr:colOff>1405059</xdr:colOff>
      <xdr:row>1030</xdr:row>
      <xdr:rowOff>84367</xdr:rowOff>
    </xdr:from>
    <xdr:to>
      <xdr:col>6</xdr:col>
      <xdr:colOff>1213757</xdr:colOff>
      <xdr:row>1034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1030</xdr:row>
      <xdr:rowOff>176892</xdr:rowOff>
    </xdr:from>
    <xdr:to>
      <xdr:col>11</xdr:col>
      <xdr:colOff>1013811</xdr:colOff>
      <xdr:row>1034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1062</xdr:row>
      <xdr:rowOff>95251</xdr:rowOff>
    </xdr:from>
    <xdr:to>
      <xdr:col>7</xdr:col>
      <xdr:colOff>1106261</xdr:colOff>
      <xdr:row>1064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1061</xdr:row>
      <xdr:rowOff>151603</xdr:rowOff>
    </xdr:from>
    <xdr:to>
      <xdr:col>11</xdr:col>
      <xdr:colOff>1000205</xdr:colOff>
      <xdr:row>1065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559</xdr:row>
      <xdr:rowOff>78620</xdr:rowOff>
    </xdr:from>
    <xdr:to>
      <xdr:col>9</xdr:col>
      <xdr:colOff>11662</xdr:colOff>
      <xdr:row>560</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561</xdr:row>
      <xdr:rowOff>146958</xdr:rowOff>
    </xdr:from>
    <xdr:to>
      <xdr:col>9</xdr:col>
      <xdr:colOff>622727</xdr:colOff>
      <xdr:row>563</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560</xdr:row>
      <xdr:rowOff>186721</xdr:rowOff>
    </xdr:from>
    <xdr:to>
      <xdr:col>5</xdr:col>
      <xdr:colOff>1057740</xdr:colOff>
      <xdr:row>562</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558</xdr:row>
      <xdr:rowOff>44148</xdr:rowOff>
    </xdr:from>
    <xdr:to>
      <xdr:col>5</xdr:col>
      <xdr:colOff>365083</xdr:colOff>
      <xdr:row>559</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555</xdr:row>
      <xdr:rowOff>176893</xdr:rowOff>
    </xdr:from>
    <xdr:to>
      <xdr:col>4</xdr:col>
      <xdr:colOff>3214854</xdr:colOff>
      <xdr:row>557</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343748</xdr:colOff>
      <xdr:row>604</xdr:row>
      <xdr:rowOff>130629</xdr:rowOff>
    </xdr:from>
    <xdr:to>
      <xdr:col>5</xdr:col>
      <xdr:colOff>1676401</xdr:colOff>
      <xdr:row>607</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3</xdr:col>
      <xdr:colOff>1020536</xdr:colOff>
      <xdr:row>607</xdr:row>
      <xdr:rowOff>72208</xdr:rowOff>
    </xdr:from>
    <xdr:to>
      <xdr:col>5</xdr:col>
      <xdr:colOff>3309257</xdr:colOff>
      <xdr:row>610</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32657</xdr:colOff>
      <xdr:row>614</xdr:row>
      <xdr:rowOff>72569</xdr:rowOff>
    </xdr:from>
    <xdr:to>
      <xdr:col>5</xdr:col>
      <xdr:colOff>2318658</xdr:colOff>
      <xdr:row>616</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610</xdr:row>
      <xdr:rowOff>108858</xdr:rowOff>
    </xdr:from>
    <xdr:to>
      <xdr:col>5</xdr:col>
      <xdr:colOff>2408464</xdr:colOff>
      <xdr:row>613</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145747</xdr:colOff>
      <xdr:row>616</xdr:row>
      <xdr:rowOff>54065</xdr:rowOff>
    </xdr:from>
    <xdr:to>
      <xdr:col>4</xdr:col>
      <xdr:colOff>2171110</xdr:colOff>
      <xdr:row>617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1258658</xdr:colOff>
      <xdr:row>148</xdr:row>
      <xdr:rowOff>130627</xdr:rowOff>
    </xdr:from>
    <xdr:to>
      <xdr:col>6</xdr:col>
      <xdr:colOff>2460173</xdr:colOff>
      <xdr:row>151</xdr:row>
      <xdr:rowOff>190498</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𝐻𝑒𝑎𝑡𝑖𝑛𝑔</a:t>
              </a:r>
              <a:r>
                <a:rPr lang="en-US" sz="1400" b="0" i="0">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3</xdr:col>
      <xdr:colOff>1286755</xdr:colOff>
      <xdr:row>151</xdr:row>
      <xdr:rowOff>248583</xdr:rowOff>
    </xdr:from>
    <xdr:to>
      <xdr:col>5</xdr:col>
      <xdr:colOff>2449286</xdr:colOff>
      <xdr:row>154</xdr:row>
      <xdr:rowOff>164845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6</xdr:col>
      <xdr:colOff>174172</xdr:colOff>
      <xdr:row>151</xdr:row>
      <xdr:rowOff>155922</xdr:rowOff>
    </xdr:from>
    <xdr:to>
      <xdr:col>9</xdr:col>
      <xdr:colOff>498561</xdr:colOff>
      <xdr:row>154</xdr:row>
      <xdr:rowOff>144426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447</xdr:row>
      <xdr:rowOff>0</xdr:rowOff>
    </xdr:from>
    <xdr:to>
      <xdr:col>7</xdr:col>
      <xdr:colOff>616323</xdr:colOff>
      <xdr:row>451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919380</xdr:colOff>
      <xdr:row>444</xdr:row>
      <xdr:rowOff>146307</xdr:rowOff>
    </xdr:from>
    <xdr:to>
      <xdr:col>13</xdr:col>
      <xdr:colOff>762000</xdr:colOff>
      <xdr:row>451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451</xdr:row>
      <xdr:rowOff>51482</xdr:rowOff>
    </xdr:from>
    <xdr:to>
      <xdr:col>4</xdr:col>
      <xdr:colOff>2739839</xdr:colOff>
      <xdr:row>452</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485</xdr:row>
      <xdr:rowOff>174172</xdr:rowOff>
    </xdr:from>
    <xdr:to>
      <xdr:col>5</xdr:col>
      <xdr:colOff>1415143</xdr:colOff>
      <xdr:row>487</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483</xdr:row>
      <xdr:rowOff>169620</xdr:rowOff>
    </xdr:from>
    <xdr:to>
      <xdr:col>5</xdr:col>
      <xdr:colOff>1001486</xdr:colOff>
      <xdr:row>485</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487</xdr:row>
      <xdr:rowOff>165202</xdr:rowOff>
    </xdr:from>
    <xdr:to>
      <xdr:col>4</xdr:col>
      <xdr:colOff>3096345</xdr:colOff>
      <xdr:row>489</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516</xdr:row>
      <xdr:rowOff>134471</xdr:rowOff>
    </xdr:from>
    <xdr:to>
      <xdr:col>12</xdr:col>
      <xdr:colOff>0</xdr:colOff>
      <xdr:row>521</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513</xdr:row>
      <xdr:rowOff>100853</xdr:rowOff>
    </xdr:from>
    <xdr:to>
      <xdr:col>5</xdr:col>
      <xdr:colOff>1367118</xdr:colOff>
      <xdr:row>517</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512</xdr:row>
      <xdr:rowOff>0</xdr:rowOff>
    </xdr:from>
    <xdr:to>
      <xdr:col>5</xdr:col>
      <xdr:colOff>502227</xdr:colOff>
      <xdr:row>513</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313267</xdr:colOff>
      <xdr:row>517</xdr:row>
      <xdr:rowOff>33617</xdr:rowOff>
    </xdr:from>
    <xdr:to>
      <xdr:col>6</xdr:col>
      <xdr:colOff>235324</xdr:colOff>
      <xdr:row>521</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518</xdr:row>
      <xdr:rowOff>95500</xdr:rowOff>
    </xdr:from>
    <xdr:to>
      <xdr:col>8</xdr:col>
      <xdr:colOff>952500</xdr:colOff>
      <xdr:row>520</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665</xdr:row>
      <xdr:rowOff>0</xdr:rowOff>
    </xdr:from>
    <xdr:to>
      <xdr:col>8</xdr:col>
      <xdr:colOff>3567</xdr:colOff>
      <xdr:row>665</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665</xdr:row>
      <xdr:rowOff>0</xdr:rowOff>
    </xdr:from>
    <xdr:to>
      <xdr:col>8</xdr:col>
      <xdr:colOff>3567</xdr:colOff>
      <xdr:row>665</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21771</xdr:colOff>
      <xdr:row>688</xdr:row>
      <xdr:rowOff>108857</xdr:rowOff>
    </xdr:from>
    <xdr:to>
      <xdr:col>6</xdr:col>
      <xdr:colOff>1720933</xdr:colOff>
      <xdr:row>692</xdr:row>
      <xdr:rowOff>64820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906</xdr:row>
      <xdr:rowOff>12998</xdr:rowOff>
    </xdr:from>
    <xdr:to>
      <xdr:col>7</xdr:col>
      <xdr:colOff>1619250</xdr:colOff>
      <xdr:row>908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493788</xdr:colOff>
      <xdr:row>908</xdr:row>
      <xdr:rowOff>185357</xdr:rowOff>
    </xdr:from>
    <xdr:to>
      <xdr:col>7</xdr:col>
      <xdr:colOff>1238250</xdr:colOff>
      <xdr:row>911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911</xdr:row>
      <xdr:rowOff>165096</xdr:rowOff>
    </xdr:from>
    <xdr:to>
      <xdr:col>4</xdr:col>
      <xdr:colOff>1976587</xdr:colOff>
      <xdr:row>913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1002</xdr:row>
      <xdr:rowOff>34636</xdr:rowOff>
    </xdr:from>
    <xdr:to>
      <xdr:col>5</xdr:col>
      <xdr:colOff>623455</xdr:colOff>
      <xdr:row>1006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m:t>
                        </m:r>
                        <m:r>
                          <a:rPr lang="en-US" sz="1600" b="0" i="1">
                            <a:solidFill>
                              <a:srgbClr val="FF0000"/>
                            </a:solidFill>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a:t>
              </a:r>
              <a:r>
                <a:rPr lang="en-US" sz="1600" b="0" i="0">
                  <a:solidFill>
                    <a:srgbClr val="FF0000"/>
                  </a:solidFill>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4</xdr:col>
      <xdr:colOff>79600</xdr:colOff>
      <xdr:row>1116</xdr:row>
      <xdr:rowOff>127907</xdr:rowOff>
    </xdr:from>
    <xdr:to>
      <xdr:col>4</xdr:col>
      <xdr:colOff>3694340</xdr:colOff>
      <xdr:row>1117</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1118</xdr:row>
      <xdr:rowOff>129267</xdr:rowOff>
    </xdr:from>
    <xdr:to>
      <xdr:col>6</xdr:col>
      <xdr:colOff>1629495</xdr:colOff>
      <xdr:row>1119</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1120</xdr:row>
      <xdr:rowOff>137432</xdr:rowOff>
    </xdr:from>
    <xdr:to>
      <xdr:col>7</xdr:col>
      <xdr:colOff>304159</xdr:colOff>
      <xdr:row>1122</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1122</xdr:row>
      <xdr:rowOff>161925</xdr:rowOff>
    </xdr:from>
    <xdr:to>
      <xdr:col>4</xdr:col>
      <xdr:colOff>1696686</xdr:colOff>
      <xdr:row>1124</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1230</xdr:row>
      <xdr:rowOff>51955</xdr:rowOff>
    </xdr:from>
    <xdr:to>
      <xdr:col>5</xdr:col>
      <xdr:colOff>1323316</xdr:colOff>
      <xdr:row>1231</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854</xdr:row>
      <xdr:rowOff>190499</xdr:rowOff>
    </xdr:from>
    <xdr:to>
      <xdr:col>4</xdr:col>
      <xdr:colOff>3564872</xdr:colOff>
      <xdr:row>857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1263</xdr:row>
      <xdr:rowOff>164060</xdr:rowOff>
    </xdr:from>
    <xdr:to>
      <xdr:col>4</xdr:col>
      <xdr:colOff>4862540</xdr:colOff>
      <xdr:row>1265</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1318</xdr:row>
      <xdr:rowOff>17930</xdr:rowOff>
    </xdr:from>
    <xdr:to>
      <xdr:col>5</xdr:col>
      <xdr:colOff>571334</xdr:colOff>
      <xdr:row>1321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1323</xdr:row>
      <xdr:rowOff>26894</xdr:rowOff>
    </xdr:from>
    <xdr:to>
      <xdr:col>4</xdr:col>
      <xdr:colOff>1538611</xdr:colOff>
      <xdr:row>1324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1290</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1290</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771</xdr:row>
      <xdr:rowOff>163286</xdr:rowOff>
    </xdr:from>
    <xdr:to>
      <xdr:col>6</xdr:col>
      <xdr:colOff>217714</xdr:colOff>
      <xdr:row>774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3</xdr:col>
      <xdr:colOff>1292679</xdr:colOff>
      <xdr:row>775</xdr:row>
      <xdr:rowOff>83570</xdr:rowOff>
    </xdr:from>
    <xdr:to>
      <xdr:col>5</xdr:col>
      <xdr:colOff>362029</xdr:colOff>
      <xdr:row>778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Fallback>
    </mc:AlternateContent>
    <xdr:clientData/>
  </xdr:twoCellAnchor>
  <xdr:oneCellAnchor>
    <xdr:from>
      <xdr:col>26</xdr:col>
      <xdr:colOff>2269331</xdr:colOff>
      <xdr:row>764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1360</xdr:row>
      <xdr:rowOff>0</xdr:rowOff>
    </xdr:from>
    <xdr:to>
      <xdr:col>4</xdr:col>
      <xdr:colOff>3070412</xdr:colOff>
      <xdr:row>1361</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3</xdr:col>
      <xdr:colOff>1530721</xdr:colOff>
      <xdr:row>1361</xdr:row>
      <xdr:rowOff>152402</xdr:rowOff>
    </xdr:from>
    <xdr:to>
      <xdr:col>4</xdr:col>
      <xdr:colOff>2162734</xdr:colOff>
      <xdr:row>1364</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2891117</xdr:colOff>
      <xdr:row>1361</xdr:row>
      <xdr:rowOff>145676</xdr:rowOff>
    </xdr:from>
    <xdr:to>
      <xdr:col>4</xdr:col>
      <xdr:colOff>5390028</xdr:colOff>
      <xdr:row>1364</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26</xdr:col>
      <xdr:colOff>2269331</xdr:colOff>
      <xdr:row>1344</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1344</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146</xdr:row>
      <xdr:rowOff>1</xdr:rowOff>
    </xdr:from>
    <xdr:to>
      <xdr:col>4</xdr:col>
      <xdr:colOff>4212771</xdr:colOff>
      <xdr:row>148</xdr:row>
      <xdr:rowOff>21772</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0</xdr:colOff>
      <xdr:row>445</xdr:row>
      <xdr:rowOff>0</xdr:rowOff>
    </xdr:from>
    <xdr:to>
      <xdr:col>4</xdr:col>
      <xdr:colOff>4212771</xdr:colOff>
      <xdr:row>447</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0</xdr:colOff>
      <xdr:row>482</xdr:row>
      <xdr:rowOff>0</xdr:rowOff>
    </xdr:from>
    <xdr:to>
      <xdr:col>5</xdr:col>
      <xdr:colOff>471352</xdr:colOff>
      <xdr:row>483</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3</xdr:col>
      <xdr:colOff>1219200</xdr:colOff>
      <xdr:row>602</xdr:row>
      <xdr:rowOff>152400</xdr:rowOff>
    </xdr:from>
    <xdr:to>
      <xdr:col>5</xdr:col>
      <xdr:colOff>4025958</xdr:colOff>
      <xdr:row>604</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461</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364</xdr:row>
      <xdr:rowOff>138544</xdr:rowOff>
    </xdr:from>
    <xdr:to>
      <xdr:col>9</xdr:col>
      <xdr:colOff>0</xdr:colOff>
      <xdr:row>368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598342</xdr:colOff>
      <xdr:row>364</xdr:row>
      <xdr:rowOff>178693</xdr:rowOff>
    </xdr:from>
    <xdr:to>
      <xdr:col>16</xdr:col>
      <xdr:colOff>378852</xdr:colOff>
      <xdr:row>367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399</xdr:row>
      <xdr:rowOff>163286</xdr:rowOff>
    </xdr:from>
    <xdr:to>
      <xdr:col>7</xdr:col>
      <xdr:colOff>762003</xdr:colOff>
      <xdr:row>404</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399</xdr:row>
      <xdr:rowOff>95250</xdr:rowOff>
    </xdr:from>
    <xdr:to>
      <xdr:col>12</xdr:col>
      <xdr:colOff>204106</xdr:colOff>
      <xdr:row>403</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𝑘𝑊h𝐶𝑒𝑛𝑡𝑟𝑎𝑙</m:t>
                    </m:r>
                    <m:r>
                      <a:rPr lang="en-US" sz="1400" i="1" baseline="-25000">
                        <a:solidFill>
                          <a:sysClr val="windowText" lastClr="000000"/>
                        </a:solidFill>
                        <a:effectLst/>
                        <a:latin typeface="Cambria Math" panose="02040503050406030204" pitchFamily="18" charset="0"/>
                        <a:ea typeface="+mn-ea"/>
                        <a:cs typeface="+mn-cs"/>
                      </a:rPr>
                      <m:t> </m:t>
                    </m:r>
                    <m:r>
                      <a:rPr lang="en-US" sz="1400" i="1" baseline="-25000">
                        <a:solidFill>
                          <a:sysClr val="windowText" lastClr="000000"/>
                        </a:solidFill>
                        <a:effectLst/>
                        <a:latin typeface="Cambria Math" panose="02040503050406030204" pitchFamily="18" charset="0"/>
                        <a:ea typeface="+mn-ea"/>
                        <a:cs typeface="+mn-cs"/>
                      </a:rPr>
                      <m:t>𝐴𝐶</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m:t>
                        </m:r>
                        <m:d>
                          <m:dPr>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8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Δ𝑘𝑊ℎ𝐶𝑒𝑛𝑡𝑟𝑎𝑙</a:t>
              </a:r>
              <a:r>
                <a:rPr lang="en-US" sz="1400" i="0" baseline="-25000">
                  <a:solidFill>
                    <a:sysClr val="windowText" lastClr="000000"/>
                  </a:solidFill>
                  <a:effectLst/>
                  <a:latin typeface="Cambria Math" panose="02040503050406030204" pitchFamily="18" charset="0"/>
                  <a:ea typeface="+mn-ea"/>
                  <a:cs typeface="+mn-cs"/>
                </a:rPr>
                <a:t> 𝐴𝐶</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800">
                <a:solidFill>
                  <a:sysClr val="windowText" lastClr="000000"/>
                </a:solidFill>
                <a:effectLst/>
                <a:latin typeface="+mn-lt"/>
                <a:ea typeface="+mn-ea"/>
                <a:cs typeface="+mn-cs"/>
              </a:endParaRPr>
            </a:p>
          </xdr:txBody>
        </xdr:sp>
      </mc:Fallback>
    </mc:AlternateContent>
    <xdr:clientData/>
  </xdr:twoCellAnchor>
  <xdr:twoCellAnchor>
    <xdr:from>
      <xdr:col>4</xdr:col>
      <xdr:colOff>3457</xdr:colOff>
      <xdr:row>52</xdr:row>
      <xdr:rowOff>141515</xdr:rowOff>
    </xdr:from>
    <xdr:to>
      <xdr:col>8</xdr:col>
      <xdr:colOff>368957</xdr:colOff>
      <xdr:row>55</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52</xdr:row>
      <xdr:rowOff>10886</xdr:rowOff>
    </xdr:from>
    <xdr:to>
      <xdr:col>17</xdr:col>
      <xdr:colOff>363682</xdr:colOff>
      <xdr:row>54</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54</xdr:row>
      <xdr:rowOff>593912</xdr:rowOff>
    </xdr:from>
    <xdr:to>
      <xdr:col>4</xdr:col>
      <xdr:colOff>3003175</xdr:colOff>
      <xdr:row>56</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54</xdr:row>
      <xdr:rowOff>401141</xdr:rowOff>
    </xdr:from>
    <xdr:to>
      <xdr:col>11</xdr:col>
      <xdr:colOff>606077</xdr:colOff>
      <xdr:row>57</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166</xdr:row>
      <xdr:rowOff>138248</xdr:rowOff>
    </xdr:from>
    <xdr:to>
      <xdr:col>5</xdr:col>
      <xdr:colOff>2057400</xdr:colOff>
      <xdr:row>168</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168</xdr:row>
      <xdr:rowOff>181891</xdr:rowOff>
    </xdr:from>
    <xdr:to>
      <xdr:col>5</xdr:col>
      <xdr:colOff>2122714</xdr:colOff>
      <xdr:row>170</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171</xdr:row>
      <xdr:rowOff>10886</xdr:rowOff>
    </xdr:from>
    <xdr:to>
      <xdr:col>4</xdr:col>
      <xdr:colOff>2743201</xdr:colOff>
      <xdr:row>172</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199</xdr:row>
      <xdr:rowOff>39732</xdr:rowOff>
    </xdr:from>
    <xdr:to>
      <xdr:col>6</xdr:col>
      <xdr:colOff>1240971</xdr:colOff>
      <xdr:row>201</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82658</xdr:colOff>
      <xdr:row>202</xdr:row>
      <xdr:rowOff>3465</xdr:rowOff>
    </xdr:from>
    <xdr:to>
      <xdr:col>7</xdr:col>
      <xdr:colOff>289783</xdr:colOff>
      <xdr:row>204</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244310</xdr:colOff>
      <xdr:row>205</xdr:row>
      <xdr:rowOff>3439</xdr:rowOff>
    </xdr:from>
    <xdr:to>
      <xdr:col>6</xdr:col>
      <xdr:colOff>1077686</xdr:colOff>
      <xdr:row>207</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208</xdr:row>
      <xdr:rowOff>39780</xdr:rowOff>
    </xdr:from>
    <xdr:to>
      <xdr:col>7</xdr:col>
      <xdr:colOff>205095</xdr:colOff>
      <xdr:row>208</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208</xdr:row>
      <xdr:rowOff>686146</xdr:rowOff>
    </xdr:from>
    <xdr:to>
      <xdr:col>4</xdr:col>
      <xdr:colOff>2926773</xdr:colOff>
      <xdr:row>209</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255</xdr:row>
      <xdr:rowOff>14823</xdr:rowOff>
    </xdr:from>
    <xdr:to>
      <xdr:col>5</xdr:col>
      <xdr:colOff>3838959</xdr:colOff>
      <xdr:row>256</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257</xdr:row>
      <xdr:rowOff>103</xdr:rowOff>
    </xdr:from>
    <xdr:to>
      <xdr:col>9</xdr:col>
      <xdr:colOff>1039090</xdr:colOff>
      <xdr:row>259</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260</xdr:row>
      <xdr:rowOff>10594</xdr:rowOff>
    </xdr:from>
    <xdr:to>
      <xdr:col>9</xdr:col>
      <xdr:colOff>995962</xdr:colOff>
      <xdr:row>261</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262</xdr:row>
      <xdr:rowOff>165339</xdr:rowOff>
    </xdr:from>
    <xdr:to>
      <xdr:col>5</xdr:col>
      <xdr:colOff>634634</xdr:colOff>
      <xdr:row>264</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328</xdr:row>
      <xdr:rowOff>155864</xdr:rowOff>
    </xdr:from>
    <xdr:to>
      <xdr:col>9</xdr:col>
      <xdr:colOff>630079</xdr:colOff>
      <xdr:row>332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333</xdr:row>
      <xdr:rowOff>8110</xdr:rowOff>
    </xdr:from>
    <xdr:to>
      <xdr:col>7</xdr:col>
      <xdr:colOff>1777513</xdr:colOff>
      <xdr:row>336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474</xdr:row>
      <xdr:rowOff>163744</xdr:rowOff>
    </xdr:from>
    <xdr:to>
      <xdr:col>5</xdr:col>
      <xdr:colOff>549851</xdr:colOff>
      <xdr:row>476</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2</xdr:col>
      <xdr:colOff>396240</xdr:colOff>
      <xdr:row>500</xdr:row>
      <xdr:rowOff>68580</xdr:rowOff>
    </xdr:from>
    <xdr:to>
      <xdr:col>4</xdr:col>
      <xdr:colOff>3323077</xdr:colOff>
      <xdr:row>502</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508</xdr:row>
      <xdr:rowOff>144780</xdr:rowOff>
    </xdr:from>
    <xdr:to>
      <xdr:col>4</xdr:col>
      <xdr:colOff>981803</xdr:colOff>
      <xdr:row>511</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900-00002900000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504</xdr:row>
      <xdr:rowOff>76200</xdr:rowOff>
    </xdr:from>
    <xdr:to>
      <xdr:col>4</xdr:col>
      <xdr:colOff>1176926</xdr:colOff>
      <xdr:row>506</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900-00002A000000}"/>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504</xdr:row>
      <xdr:rowOff>129540</xdr:rowOff>
    </xdr:from>
    <xdr:to>
      <xdr:col>5</xdr:col>
      <xdr:colOff>407896</xdr:colOff>
      <xdr:row>507</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509</xdr:row>
      <xdr:rowOff>0</xdr:rowOff>
    </xdr:from>
    <xdr:to>
      <xdr:col>5</xdr:col>
      <xdr:colOff>160470</xdr:colOff>
      <xdr:row>511</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500</xdr:row>
      <xdr:rowOff>167640</xdr:rowOff>
    </xdr:from>
    <xdr:to>
      <xdr:col>7</xdr:col>
      <xdr:colOff>640773</xdr:colOff>
      <xdr:row>502</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190499</xdr:colOff>
      <xdr:row>438</xdr:row>
      <xdr:rowOff>18602</xdr:rowOff>
    </xdr:from>
    <xdr:to>
      <xdr:col>7</xdr:col>
      <xdr:colOff>27213</xdr:colOff>
      <xdr:row>442</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536</xdr:row>
      <xdr:rowOff>64769</xdr:rowOff>
    </xdr:from>
    <xdr:to>
      <xdr:col>5</xdr:col>
      <xdr:colOff>1714499</xdr:colOff>
      <xdr:row>538</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xdr:colOff>
      <xdr:row>50</xdr:row>
      <xdr:rowOff>0</xdr:rowOff>
    </xdr:from>
    <xdr:to>
      <xdr:col>4</xdr:col>
      <xdr:colOff>4245428</xdr:colOff>
      <xdr:row>52</xdr:row>
      <xdr:rowOff>21772</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1</xdr:colOff>
      <xdr:row>164</xdr:row>
      <xdr:rowOff>0</xdr:rowOff>
    </xdr:from>
    <xdr:to>
      <xdr:col>4</xdr:col>
      <xdr:colOff>4169229</xdr:colOff>
      <xdr:row>165</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337457</xdr:colOff>
      <xdr:row>197</xdr:row>
      <xdr:rowOff>10886</xdr:rowOff>
    </xdr:from>
    <xdr:to>
      <xdr:col>7</xdr:col>
      <xdr:colOff>1228329</xdr:colOff>
      <xdr:row>198</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80" zoomScaleNormal="80" workbookViewId="0"/>
  </sheetViews>
  <sheetFormatPr defaultRowHeight="15" x14ac:dyDescent="0.25"/>
  <cols>
    <col min="1" max="1" width="13.5703125" customWidth="1"/>
    <col min="6" max="6" width="7.7109375" customWidth="1"/>
  </cols>
  <sheetData>
    <row r="2" spans="2:21" ht="36" x14ac:dyDescent="0.55000000000000004">
      <c r="J2" s="2025" t="s">
        <v>3275</v>
      </c>
    </row>
    <row r="4" spans="2:21" ht="18.75" x14ac:dyDescent="0.3">
      <c r="J4" s="2024" t="s">
        <v>3274</v>
      </c>
      <c r="O4" s="2023" t="s">
        <v>3273</v>
      </c>
      <c r="U4" s="2023" t="s">
        <v>3272</v>
      </c>
    </row>
    <row r="7" spans="2:21" ht="18.75" x14ac:dyDescent="0.3">
      <c r="B7" s="2024" t="s">
        <v>3271</v>
      </c>
      <c r="C7" s="2024"/>
    </row>
    <row r="8" spans="2:21" ht="18.75" x14ac:dyDescent="0.3">
      <c r="B8" s="2024" t="s">
        <v>3270</v>
      </c>
    </row>
    <row r="9" spans="2:21" ht="18.75" x14ac:dyDescent="0.3">
      <c r="B9" s="2024" t="s">
        <v>3269</v>
      </c>
    </row>
    <row r="16" spans="2:21" ht="18.75" x14ac:dyDescent="0.3">
      <c r="E16" s="2024" t="s">
        <v>3268</v>
      </c>
    </row>
    <row r="17" spans="6:8" ht="18.75" x14ac:dyDescent="0.3">
      <c r="F17" s="2023" t="s">
        <v>3267</v>
      </c>
      <c r="G17" s="2022"/>
      <c r="H17" s="2022"/>
    </row>
    <row r="18" spans="6:8" ht="18.75" x14ac:dyDescent="0.3">
      <c r="F18" s="2023" t="s">
        <v>3266</v>
      </c>
      <c r="H18" s="2022"/>
    </row>
    <row r="46" spans="10:10" ht="18.75" x14ac:dyDescent="0.3">
      <c r="J46" s="2021" t="s">
        <v>3278</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4"/>
  <sheetViews>
    <sheetView zoomScale="80" zoomScaleNormal="80" workbookViewId="0">
      <selection sqref="A1:Q1"/>
    </sheetView>
  </sheetViews>
  <sheetFormatPr defaultRowHeight="15" outlineLevelRow="1" x14ac:dyDescent="0.25"/>
  <cols>
    <col min="1" max="2" width="9.140625" style="157"/>
    <col min="3" max="3" width="19.28515625" style="385" customWidth="1"/>
    <col min="4" max="4" width="23.140625" style="386" customWidth="1"/>
    <col min="5" max="5" width="37" style="386" customWidth="1"/>
    <col min="6" max="6" width="19.85546875" style="157" customWidth="1"/>
    <col min="7" max="7" width="18.7109375" style="157" bestFit="1" customWidth="1"/>
    <col min="8" max="8" width="17.140625" style="157" customWidth="1"/>
    <col min="9" max="11" width="12.5703125" style="157" customWidth="1"/>
    <col min="12" max="12" width="15.42578125" style="157" customWidth="1"/>
    <col min="13" max="13" width="3.28515625" style="157" customWidth="1"/>
    <col min="14" max="14" width="2.28515625" style="157" customWidth="1"/>
    <col min="15" max="15" width="2.7109375" style="157" customWidth="1"/>
    <col min="16" max="16" width="3.28515625" style="157" customWidth="1"/>
    <col min="17" max="17" width="2.42578125" style="157" customWidth="1"/>
    <col min="18" max="20" width="9.140625" style="157" customWidth="1"/>
    <col min="21" max="21" width="21.5703125" style="157" customWidth="1"/>
    <col min="22" max="22" width="31" customWidth="1"/>
    <col min="23" max="28" width="17" style="135" customWidth="1"/>
    <col min="29"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3343" t="s">
        <v>2301</v>
      </c>
      <c r="B1" s="3535"/>
      <c r="C1" s="3535"/>
      <c r="D1" s="3535"/>
      <c r="E1" s="3535"/>
      <c r="F1" s="3535"/>
      <c r="G1" s="3535"/>
      <c r="H1" s="3535"/>
      <c r="I1" s="3535"/>
      <c r="J1" s="3535"/>
      <c r="K1" s="3535"/>
      <c r="L1" s="3535"/>
      <c r="M1" s="3535"/>
      <c r="N1" s="3535"/>
      <c r="O1" s="3535"/>
      <c r="P1" s="3535"/>
      <c r="Q1" s="3535"/>
      <c r="R1" s="1470"/>
      <c r="S1" s="1470"/>
      <c r="T1" s="1470"/>
      <c r="U1" s="1470"/>
      <c r="V1" s="33"/>
      <c r="W1" s="2897"/>
      <c r="X1" s="2897"/>
      <c r="Y1" s="971"/>
      <c r="Z1" s="971"/>
      <c r="AA1" s="971"/>
      <c r="AB1" s="971"/>
      <c r="AC1" s="35"/>
      <c r="AD1" s="35"/>
      <c r="AE1" s="35"/>
      <c r="AF1" s="35"/>
      <c r="AG1" s="35"/>
      <c r="AH1" s="35"/>
    </row>
    <row r="2" spans="1:57" s="26" customFormat="1" ht="30" hidden="1" customHeight="1" outlineLevel="1" x14ac:dyDescent="0.35">
      <c r="A2" s="1470"/>
      <c r="B2" s="1472"/>
      <c r="C2" s="190"/>
      <c r="D2" s="3347" t="s">
        <v>3212</v>
      </c>
      <c r="E2" s="3348"/>
      <c r="F2" s="3349"/>
      <c r="G2" s="3349"/>
      <c r="H2" s="3349"/>
      <c r="I2" s="3349"/>
      <c r="J2" s="3349"/>
      <c r="K2" s="972"/>
      <c r="L2" s="972"/>
      <c r="M2" s="1470"/>
      <c r="N2" s="1470"/>
      <c r="O2" s="1470"/>
      <c r="P2" s="1470"/>
      <c r="Q2" s="1470"/>
      <c r="R2" s="1470"/>
      <c r="S2" s="1470"/>
      <c r="T2" s="1470"/>
      <c r="U2" s="1470"/>
      <c r="W2" s="91"/>
      <c r="X2" s="91"/>
      <c r="Y2" s="91"/>
      <c r="Z2" s="91"/>
      <c r="AA2" s="91"/>
      <c r="AB2" s="91"/>
    </row>
    <row r="3" spans="1:57" s="26" customFormat="1" ht="24" customHeight="1" collapsed="1" x14ac:dyDescent="0.35">
      <c r="A3" s="1470"/>
      <c r="B3" s="1472"/>
      <c r="C3" s="190"/>
      <c r="D3" s="1310"/>
      <c r="E3" s="1975"/>
      <c r="F3" s="1976"/>
      <c r="G3" s="1976"/>
      <c r="H3" s="1976"/>
      <c r="I3" s="1976"/>
      <c r="J3" s="1976"/>
      <c r="K3" s="972"/>
      <c r="L3" s="972"/>
      <c r="M3" s="1470"/>
      <c r="N3" s="1470"/>
      <c r="O3" s="1470"/>
      <c r="P3" s="1470"/>
      <c r="Q3" s="1470"/>
      <c r="R3" s="1470"/>
      <c r="S3" s="1470"/>
      <c r="T3" s="1470"/>
      <c r="U3" s="1470"/>
      <c r="V3" s="29"/>
      <c r="W3" s="974"/>
      <c r="X3" s="974"/>
      <c r="Y3" s="974"/>
      <c r="Z3" s="974"/>
      <c r="AA3" s="974"/>
      <c r="AB3" s="974"/>
      <c r="AC3" s="29"/>
      <c r="AD3" s="29"/>
      <c r="AE3" s="29"/>
      <c r="AF3" s="29"/>
      <c r="AG3" s="29"/>
      <c r="AH3" s="29"/>
      <c r="AI3" s="29"/>
    </row>
    <row r="4" spans="1:57" s="111" customFormat="1" x14ac:dyDescent="0.25">
      <c r="A4" s="157"/>
      <c r="B4" s="3350" t="s">
        <v>2302</v>
      </c>
      <c r="C4" s="3351"/>
      <c r="D4" s="3351"/>
      <c r="E4" s="3351"/>
      <c r="F4" s="3351"/>
      <c r="G4" s="3351"/>
      <c r="H4" s="3351"/>
      <c r="I4" s="3351"/>
      <c r="J4" s="3351"/>
      <c r="K4" s="3351"/>
      <c r="L4" s="3593"/>
      <c r="M4" s="198"/>
      <c r="N4" s="198"/>
      <c r="O4" s="198"/>
      <c r="P4" s="198"/>
      <c r="Q4" s="198"/>
      <c r="R4" s="198"/>
      <c r="S4" s="198"/>
      <c r="T4" s="198"/>
      <c r="U4" s="198"/>
      <c r="V4" s="3350" t="str">
        <f>B4</f>
        <v>Refrigerator Recycling</v>
      </c>
      <c r="W4" s="3351"/>
      <c r="X4" s="3351"/>
      <c r="Y4" s="3351"/>
      <c r="Z4" s="3351"/>
      <c r="AA4" s="3351"/>
      <c r="AB4" s="3351"/>
      <c r="AC4" s="3354"/>
      <c r="AD4" s="3354"/>
      <c r="AE4" s="3354"/>
      <c r="AF4" s="3354"/>
      <c r="AG4" s="3354"/>
      <c r="AH4" s="3354"/>
      <c r="AI4" s="3355"/>
    </row>
    <row r="5" spans="1:57" x14ac:dyDescent="0.25">
      <c r="V5" s="273"/>
      <c r="W5" s="692"/>
      <c r="X5" s="692"/>
      <c r="Y5" s="692"/>
      <c r="Z5" s="692"/>
      <c r="AA5" s="692"/>
      <c r="AB5" s="692"/>
      <c r="AC5" s="273"/>
      <c r="AD5" s="273"/>
      <c r="AE5" s="273"/>
      <c r="AF5" s="273"/>
      <c r="AG5" s="273"/>
      <c r="AH5" s="273"/>
      <c r="AI5" s="273"/>
    </row>
    <row r="6" spans="1:57" s="111" customFormat="1" ht="45" customHeight="1" x14ac:dyDescent="0.25">
      <c r="A6" s="157"/>
      <c r="B6" s="157"/>
      <c r="C6" s="3002" t="s">
        <v>17</v>
      </c>
      <c r="D6" s="3002" t="s">
        <v>616</v>
      </c>
      <c r="E6" s="3002" t="s">
        <v>19</v>
      </c>
      <c r="F6" s="3002" t="s">
        <v>20</v>
      </c>
      <c r="G6" s="3002" t="s">
        <v>21</v>
      </c>
      <c r="H6" s="3002" t="s">
        <v>22</v>
      </c>
      <c r="I6" s="3002" t="s">
        <v>23</v>
      </c>
      <c r="J6" s="3002" t="s">
        <v>24</v>
      </c>
      <c r="K6" s="3002" t="s">
        <v>25</v>
      </c>
      <c r="L6" s="3002" t="s">
        <v>26</v>
      </c>
      <c r="M6" s="198"/>
      <c r="N6" s="198"/>
      <c r="O6" s="198"/>
      <c r="P6" s="198"/>
      <c r="Q6" s="198"/>
      <c r="R6" s="198"/>
      <c r="S6" s="198"/>
      <c r="T6" s="198"/>
      <c r="U6" s="198"/>
      <c r="V6" s="55" t="s">
        <v>27</v>
      </c>
      <c r="W6" s="420">
        <v>43252</v>
      </c>
      <c r="X6" s="420">
        <v>43465</v>
      </c>
      <c r="Y6" s="420">
        <v>43800</v>
      </c>
      <c r="Z6" s="420">
        <v>43862</v>
      </c>
      <c r="AA6" s="420">
        <v>44013</v>
      </c>
      <c r="AB6" s="420">
        <v>44166</v>
      </c>
      <c r="AC6" s="56" t="s">
        <v>28</v>
      </c>
      <c r="AD6" s="56" t="s">
        <v>28</v>
      </c>
      <c r="AE6" s="56" t="s">
        <v>28</v>
      </c>
      <c r="AF6" s="56" t="s">
        <v>28</v>
      </c>
      <c r="AG6" s="56" t="s">
        <v>28</v>
      </c>
      <c r="AH6" s="273"/>
      <c r="AI6" s="273"/>
      <c r="BB6" s="57" t="s">
        <v>29</v>
      </c>
      <c r="BC6" s="93" t="s">
        <v>30</v>
      </c>
      <c r="BD6" s="741" t="s">
        <v>31</v>
      </c>
      <c r="BE6" s="279" t="s">
        <v>32</v>
      </c>
    </row>
    <row r="7" spans="1:57" s="111" customFormat="1" x14ac:dyDescent="0.25">
      <c r="A7" s="157"/>
      <c r="B7" s="157"/>
      <c r="C7" s="86" t="s">
        <v>2303</v>
      </c>
      <c r="D7" s="137" t="s">
        <v>2304</v>
      </c>
      <c r="E7" s="3022" t="s">
        <v>2305</v>
      </c>
      <c r="F7" s="1691">
        <f>ROUND(F15*F16,2)</f>
        <v>1020.32</v>
      </c>
      <c r="G7" s="1307" t="s">
        <v>2037</v>
      </c>
      <c r="H7" s="202">
        <f>VLOOKUP(G7,'CP FACTORS'!$A$3:$B$38, 2, FALSE)</f>
        <v>1.286107E-4</v>
      </c>
      <c r="I7" s="139">
        <f>ROUND(F7*H7,6)</f>
        <v>0.13122400000000001</v>
      </c>
      <c r="J7" s="141">
        <v>8</v>
      </c>
      <c r="K7" s="550">
        <v>140</v>
      </c>
      <c r="L7" s="86" t="s">
        <v>37</v>
      </c>
      <c r="M7" s="198"/>
      <c r="N7" s="198"/>
      <c r="O7" s="198"/>
      <c r="P7" s="198"/>
      <c r="Q7" s="198"/>
      <c r="R7" s="198"/>
      <c r="S7" s="198"/>
      <c r="T7" s="198"/>
      <c r="U7" s="198"/>
      <c r="V7" s="208" t="str">
        <f>F6</f>
        <v>kWh Annual Savings</v>
      </c>
      <c r="W7" s="1308">
        <f>W15*W16</f>
        <v>1027.47</v>
      </c>
      <c r="X7" s="1308">
        <f t="shared" ref="X7:AB7" si="0">X15*X16</f>
        <v>1027.47</v>
      </c>
      <c r="Y7" s="1308">
        <f t="shared" si="0"/>
        <v>1027.47</v>
      </c>
      <c r="Z7" s="1308">
        <f t="shared" si="0"/>
        <v>1027.47</v>
      </c>
      <c r="AA7" s="1308">
        <f t="shared" si="0"/>
        <v>1027.47</v>
      </c>
      <c r="AB7" s="150">
        <f t="shared" si="0"/>
        <v>1020.3197278911559</v>
      </c>
      <c r="AC7" s="1308"/>
      <c r="AD7" s="1308"/>
      <c r="AE7" s="1308"/>
      <c r="AF7" s="1308"/>
      <c r="AG7" s="1308"/>
      <c r="AH7"/>
      <c r="AI7"/>
      <c r="BB7" s="144">
        <f>(BD7)/(BE7)</f>
        <v>2.1507741668167357</v>
      </c>
      <c r="BC7" s="68" t="str">
        <f>CONCATENATE(G7," ",J7," Year EUL")</f>
        <v>Refrigeration RES 8 Year EUL</v>
      </c>
      <c r="BD7" s="145">
        <f>(INDEX('Avoided Cost Benefits'!$C$4:$C$857,MATCH(BC7,'Avoided Cost Benefits'!$A$4:$A$857,0)))*F7</f>
        <v>284.19856852698723</v>
      </c>
      <c r="BE7" s="69">
        <f>K7/(1.0595^(2020-2019))</f>
        <v>132.13780084945728</v>
      </c>
    </row>
    <row r="8" spans="1:57" s="111" customFormat="1" x14ac:dyDescent="0.25">
      <c r="A8" s="157"/>
      <c r="B8" s="157"/>
      <c r="C8" s="86" t="s">
        <v>2306</v>
      </c>
      <c r="D8" s="137" t="s">
        <v>2304</v>
      </c>
      <c r="E8" s="3022" t="s">
        <v>3612</v>
      </c>
      <c r="F8" s="1691">
        <f>ROUND(520,2)</f>
        <v>520</v>
      </c>
      <c r="G8" s="1307" t="s">
        <v>2037</v>
      </c>
      <c r="H8" s="202">
        <f>VLOOKUP(G8,'CP FACTORS'!$A$3:$B$38, 2, FALSE)</f>
        <v>1.286107E-4</v>
      </c>
      <c r="I8" s="139">
        <f>ROUND(F8*H8,6)</f>
        <v>6.6878000000000007E-2</v>
      </c>
      <c r="J8" s="141">
        <v>8</v>
      </c>
      <c r="K8" s="550">
        <v>140</v>
      </c>
      <c r="L8" s="86" t="s">
        <v>37</v>
      </c>
      <c r="M8" s="198"/>
      <c r="N8" s="198"/>
      <c r="O8" s="198"/>
      <c r="P8" s="198"/>
      <c r="Q8" s="198"/>
      <c r="R8" s="198"/>
      <c r="S8" s="198"/>
      <c r="T8" s="198"/>
      <c r="U8" s="198"/>
      <c r="V8" s="1373" t="str">
        <f>V7</f>
        <v>kWh Annual Savings</v>
      </c>
      <c r="W8" s="1308">
        <v>520</v>
      </c>
      <c r="X8" s="1308">
        <v>520</v>
      </c>
      <c r="Y8" s="1308">
        <v>520</v>
      </c>
      <c r="Z8" s="1308">
        <v>520</v>
      </c>
      <c r="AA8" s="1308">
        <v>520</v>
      </c>
      <c r="AB8" s="1308">
        <v>520</v>
      </c>
      <c r="AC8" s="1308"/>
      <c r="AD8" s="1308"/>
      <c r="AE8" s="1308"/>
      <c r="AF8" s="1308"/>
      <c r="AG8" s="1308"/>
      <c r="BB8" s="152">
        <f>(BD8)/(BE8)</f>
        <v>1.0961292209745006</v>
      </c>
      <c r="BC8" s="72" t="str">
        <f>CONCATENATE(G8," ",J8," Year EUL")</f>
        <v>Refrigeration RES 8 Year EUL</v>
      </c>
      <c r="BD8" s="153">
        <f>(INDEX('Avoided Cost Benefits'!$C$4:$C$857,MATCH(BC8,'Avoided Cost Benefits'!$A$4:$A$857,0)))*F8</f>
        <v>144.8401047063993</v>
      </c>
      <c r="BE8" s="75">
        <f>K8/(1.0595^(2020-2019))</f>
        <v>132.13780084945728</v>
      </c>
    </row>
    <row r="9" spans="1:57" outlineLevel="1" x14ac:dyDescent="0.25"/>
    <row r="10" spans="1:57" outlineLevel="1" x14ac:dyDescent="0.25">
      <c r="D10" s="222" t="s">
        <v>571</v>
      </c>
    </row>
    <row r="11" spans="1:57" outlineLevel="1" x14ac:dyDescent="0.25"/>
    <row r="12" spans="1:57" outlineLevel="1" x14ac:dyDescent="0.25"/>
    <row r="13" spans="1:57" outlineLevel="1" x14ac:dyDescent="0.25"/>
    <row r="14" spans="1:57" outlineLevel="1" x14ac:dyDescent="0.25">
      <c r="D14" s="3101" t="s">
        <v>572</v>
      </c>
      <c r="E14" s="3101" t="s">
        <v>573</v>
      </c>
      <c r="F14" s="3002" t="s">
        <v>574</v>
      </c>
      <c r="G14" s="3419" t="s">
        <v>624</v>
      </c>
      <c r="H14" s="3419"/>
      <c r="I14" s="3419"/>
      <c r="V14" s="55" t="s">
        <v>27</v>
      </c>
      <c r="W14" s="420">
        <f>W$6</f>
        <v>43252</v>
      </c>
      <c r="X14" s="420">
        <f t="shared" ref="X14:AG14" si="1">X$6</f>
        <v>43465</v>
      </c>
      <c r="Y14" s="420">
        <f t="shared" si="1"/>
        <v>43800</v>
      </c>
      <c r="Z14" s="420">
        <f t="shared" si="1"/>
        <v>43862</v>
      </c>
      <c r="AA14" s="420">
        <f t="shared" si="1"/>
        <v>44013</v>
      </c>
      <c r="AB14" s="420">
        <f t="shared" si="1"/>
        <v>44166</v>
      </c>
      <c r="AC14" s="56" t="str">
        <f t="shared" si="1"/>
        <v>-</v>
      </c>
      <c r="AD14" s="56" t="str">
        <f t="shared" si="1"/>
        <v>-</v>
      </c>
      <c r="AE14" s="56" t="str">
        <f t="shared" si="1"/>
        <v>-</v>
      </c>
      <c r="AF14" s="56" t="str">
        <f t="shared" si="1"/>
        <v>-</v>
      </c>
      <c r="AG14" s="56" t="str">
        <f t="shared" si="1"/>
        <v>-</v>
      </c>
    </row>
    <row r="15" spans="1:57" outlineLevel="1" x14ac:dyDescent="0.25">
      <c r="D15" s="3003" t="s">
        <v>2307</v>
      </c>
      <c r="E15" s="3003" t="s">
        <v>2308</v>
      </c>
      <c r="F15" s="1870">
        <v>1181</v>
      </c>
      <c r="G15" s="4078" t="s">
        <v>2309</v>
      </c>
      <c r="H15" s="4078"/>
      <c r="I15" s="4078"/>
      <c r="V15" s="1374" t="str">
        <f>D15</f>
        <v>UEC</v>
      </c>
      <c r="W15" s="1377">
        <v>1181</v>
      </c>
      <c r="X15" s="1377">
        <v>1181</v>
      </c>
      <c r="Y15" s="1377">
        <v>1181</v>
      </c>
      <c r="Z15" s="1377">
        <v>1181</v>
      </c>
      <c r="AA15" s="1377">
        <v>1181</v>
      </c>
      <c r="AB15" s="1377">
        <f>F15</f>
        <v>1181</v>
      </c>
      <c r="AC15" s="1375"/>
      <c r="AD15" s="1375"/>
      <c r="AE15" s="1375"/>
      <c r="AF15" s="1375"/>
      <c r="AG15" s="1375"/>
    </row>
    <row r="16" spans="1:57" ht="30" outlineLevel="1" x14ac:dyDescent="0.25">
      <c r="D16" s="3003" t="s">
        <v>2310</v>
      </c>
      <c r="E16" s="3003" t="s">
        <v>3610</v>
      </c>
      <c r="F16" s="236">
        <v>0.86394557823129203</v>
      </c>
      <c r="G16" s="4078" t="s">
        <v>3611</v>
      </c>
      <c r="H16" s="4078"/>
      <c r="I16" s="4078"/>
      <c r="V16" s="1374" t="str">
        <f>D16</f>
        <v>Part Use Factor</v>
      </c>
      <c r="W16" s="1377">
        <v>0.87</v>
      </c>
      <c r="X16" s="1377">
        <v>0.87</v>
      </c>
      <c r="Y16" s="1377">
        <v>0.87</v>
      </c>
      <c r="Z16" s="1377">
        <v>0.87</v>
      </c>
      <c r="AA16" s="1377">
        <v>0.87</v>
      </c>
      <c r="AB16" s="2911">
        <v>0.86394557823129203</v>
      </c>
      <c r="AC16" s="1375"/>
      <c r="AD16" s="1375"/>
      <c r="AE16" s="1375"/>
      <c r="AF16" s="1375"/>
      <c r="AG16" s="1375"/>
    </row>
    <row r="17" spans="1:57" outlineLevel="1" x14ac:dyDescent="0.25"/>
    <row r="19" spans="1:57" x14ac:dyDescent="0.25">
      <c r="B19" s="3350" t="s">
        <v>123</v>
      </c>
      <c r="C19" s="3351"/>
      <c r="D19" s="3351"/>
      <c r="E19" s="3351"/>
      <c r="F19" s="3351"/>
      <c r="G19" s="3351"/>
      <c r="H19" s="3351"/>
      <c r="I19" s="3351"/>
      <c r="J19" s="3351"/>
      <c r="K19" s="3351"/>
      <c r="L19" s="3593"/>
      <c r="V19" s="3350" t="str">
        <f>B19</f>
        <v>Freezer</v>
      </c>
      <c r="W19" s="3351"/>
      <c r="X19" s="3351"/>
      <c r="Y19" s="3351"/>
      <c r="Z19" s="3351"/>
      <c r="AA19" s="3351"/>
      <c r="AB19" s="3351"/>
      <c r="AC19" s="3354"/>
      <c r="AD19" s="3354"/>
      <c r="AE19" s="3354"/>
      <c r="AF19" s="3354"/>
      <c r="AG19" s="3354"/>
      <c r="AH19" s="3354"/>
      <c r="AI19" s="3355"/>
    </row>
    <row r="20" spans="1:57" x14ac:dyDescent="0.25">
      <c r="V20" s="273"/>
      <c r="W20" s="692"/>
      <c r="X20" s="692"/>
      <c r="Y20" s="692"/>
      <c r="Z20" s="692"/>
      <c r="AA20" s="692"/>
      <c r="AB20" s="692"/>
      <c r="AC20" s="273"/>
      <c r="AD20" s="273"/>
      <c r="AE20" s="273"/>
      <c r="AF20" s="273"/>
      <c r="AG20" s="273"/>
      <c r="AH20" s="273"/>
      <c r="AI20" s="273"/>
    </row>
    <row r="21" spans="1:57" s="111" customFormat="1" ht="45" customHeight="1" x14ac:dyDescent="0.25">
      <c r="A21" s="157"/>
      <c r="B21" s="157"/>
      <c r="C21" s="3002" t="s">
        <v>17</v>
      </c>
      <c r="D21" s="3002" t="s">
        <v>616</v>
      </c>
      <c r="E21" s="3002" t="s">
        <v>19</v>
      </c>
      <c r="F21" s="3002" t="s">
        <v>20</v>
      </c>
      <c r="G21" s="3002" t="s">
        <v>21</v>
      </c>
      <c r="H21" s="3002" t="s">
        <v>22</v>
      </c>
      <c r="I21" s="3002" t="s">
        <v>23</v>
      </c>
      <c r="J21" s="3002" t="s">
        <v>24</v>
      </c>
      <c r="K21" s="3002" t="s">
        <v>25</v>
      </c>
      <c r="L21" s="3002" t="s">
        <v>26</v>
      </c>
      <c r="M21" s="198"/>
      <c r="N21" s="198"/>
      <c r="O21" s="198"/>
      <c r="P21" s="198"/>
      <c r="Q21" s="198"/>
      <c r="R21" s="198"/>
      <c r="S21" s="198"/>
      <c r="T21" s="198"/>
      <c r="U21" s="198"/>
      <c r="V21" s="55" t="s">
        <v>27</v>
      </c>
      <c r="W21" s="420">
        <f>W$6</f>
        <v>43252</v>
      </c>
      <c r="X21" s="420">
        <f t="shared" ref="X21:AG21" si="2">X$6</f>
        <v>43465</v>
      </c>
      <c r="Y21" s="420">
        <f t="shared" si="2"/>
        <v>43800</v>
      </c>
      <c r="Z21" s="420">
        <f t="shared" si="2"/>
        <v>43862</v>
      </c>
      <c r="AA21" s="420">
        <f t="shared" si="2"/>
        <v>44013</v>
      </c>
      <c r="AB21" s="420">
        <f t="shared" si="2"/>
        <v>44166</v>
      </c>
      <c r="AC21" s="56" t="str">
        <f t="shared" si="2"/>
        <v>-</v>
      </c>
      <c r="AD21" s="56" t="str">
        <f t="shared" si="2"/>
        <v>-</v>
      </c>
      <c r="AE21" s="56" t="str">
        <f t="shared" si="2"/>
        <v>-</v>
      </c>
      <c r="AF21" s="56" t="str">
        <f t="shared" si="2"/>
        <v>-</v>
      </c>
      <c r="AG21" s="56" t="str">
        <f t="shared" si="2"/>
        <v>-</v>
      </c>
      <c r="AH21" s="273"/>
      <c r="AI21" s="273"/>
      <c r="BB21" s="57" t="str">
        <f>$BB$6</f>
        <v>TRC (2020)</v>
      </c>
      <c r="BC21" s="93" t="str">
        <f>$BC$6</f>
        <v>Benefit Lookup</v>
      </c>
      <c r="BD21" s="741" t="str">
        <f>$BD$6</f>
        <v>Benefits (2019 $)</v>
      </c>
      <c r="BE21" s="279" t="str">
        <f>$BE$6</f>
        <v>Incremental Cost (2019 $)</v>
      </c>
    </row>
    <row r="22" spans="1:57" s="111" customFormat="1" x14ac:dyDescent="0.25">
      <c r="A22" s="157"/>
      <c r="B22" s="157"/>
      <c r="C22" s="86" t="s">
        <v>2311</v>
      </c>
      <c r="D22" s="137" t="s">
        <v>2304</v>
      </c>
      <c r="E22" s="3022" t="s">
        <v>2312</v>
      </c>
      <c r="F22" s="1691">
        <f>ROUND(F29*F30,2)</f>
        <v>825.22</v>
      </c>
      <c r="G22" s="1307" t="s">
        <v>2313</v>
      </c>
      <c r="H22" s="202">
        <f>VLOOKUP(G22,'CP FACTORS'!$A$3:$B$38, 2, FALSE)</f>
        <v>1.6857220000000001E-4</v>
      </c>
      <c r="I22" s="139">
        <f>ROUND(F22*H22,6)</f>
        <v>0.13910900000000001</v>
      </c>
      <c r="J22" s="141">
        <v>8</v>
      </c>
      <c r="K22" s="550">
        <v>140</v>
      </c>
      <c r="L22" s="86" t="s">
        <v>37</v>
      </c>
      <c r="M22" s="198"/>
      <c r="N22" s="198"/>
      <c r="O22" s="198"/>
      <c r="P22" s="198"/>
      <c r="Q22" s="198"/>
      <c r="R22" s="198"/>
      <c r="S22" s="198"/>
      <c r="T22" s="198"/>
      <c r="U22" s="198"/>
      <c r="V22" s="208" t="str">
        <f>F21</f>
        <v>kWh Annual Savings</v>
      </c>
      <c r="W22" s="1308">
        <v>891.24</v>
      </c>
      <c r="X22" s="1308">
        <v>891.24</v>
      </c>
      <c r="Y22" s="1372">
        <v>891.24</v>
      </c>
      <c r="Z22" s="622">
        <v>891.24</v>
      </c>
      <c r="AA22" s="622">
        <v>891.24</v>
      </c>
      <c r="AB22" s="2298">
        <v>825.22</v>
      </c>
      <c r="AC22" s="622"/>
      <c r="AD22" s="622"/>
      <c r="AE22" s="622"/>
      <c r="AF22" s="622"/>
      <c r="AG22" s="622"/>
      <c r="AH22"/>
      <c r="AI22"/>
      <c r="BB22" s="1309">
        <f>(BD22)/(BE22)</f>
        <v>1.8949194933470492</v>
      </c>
      <c r="BC22" s="68" t="str">
        <f>CONCATENATE(G22," ",J22," Year EUL")</f>
        <v>Freezer RES 8 Year EUL</v>
      </c>
      <c r="BD22" s="214">
        <f>(INDEX('Avoided Cost Benefits'!$C$4:$C$857,MATCH(BC22,'Avoided Cost Benefits'!$A$4:$A$857,0)))*F22</f>
        <v>250.39049463764687</v>
      </c>
      <c r="BE22" s="109">
        <f>K22/(1.0595^(2020-2019))</f>
        <v>132.13780084945728</v>
      </c>
    </row>
    <row r="23" spans="1:57" outlineLevel="1" x14ac:dyDescent="0.25"/>
    <row r="24" spans="1:57" outlineLevel="1" x14ac:dyDescent="0.25">
      <c r="D24" s="222" t="s">
        <v>571</v>
      </c>
    </row>
    <row r="25" spans="1:57" outlineLevel="1" x14ac:dyDescent="0.25">
      <c r="D25" s="385"/>
      <c r="F25" s="386"/>
    </row>
    <row r="26" spans="1:57" outlineLevel="1" x14ac:dyDescent="0.25">
      <c r="D26" s="385"/>
      <c r="F26" s="386"/>
    </row>
    <row r="27" spans="1:57" outlineLevel="1" x14ac:dyDescent="0.25">
      <c r="D27" s="385"/>
      <c r="F27" s="386"/>
    </row>
    <row r="28" spans="1:57" outlineLevel="1" x14ac:dyDescent="0.25">
      <c r="D28" s="3101" t="s">
        <v>572</v>
      </c>
      <c r="E28" s="3101" t="s">
        <v>573</v>
      </c>
      <c r="F28" s="3002" t="s">
        <v>574</v>
      </c>
      <c r="G28" s="3419" t="s">
        <v>624</v>
      </c>
      <c r="H28" s="3419"/>
      <c r="I28" s="3419"/>
      <c r="V28" s="55" t="s">
        <v>27</v>
      </c>
      <c r="W28" s="420">
        <f>W$6</f>
        <v>43252</v>
      </c>
      <c r="X28" s="420">
        <f t="shared" ref="X28:AG28" si="3">X$6</f>
        <v>43465</v>
      </c>
      <c r="Y28" s="420">
        <f t="shared" si="3"/>
        <v>43800</v>
      </c>
      <c r="Z28" s="420">
        <f t="shared" si="3"/>
        <v>43862</v>
      </c>
      <c r="AA28" s="420">
        <f t="shared" si="3"/>
        <v>44013</v>
      </c>
      <c r="AB28" s="420">
        <f t="shared" si="3"/>
        <v>44166</v>
      </c>
      <c r="AC28" s="56" t="str">
        <f t="shared" si="3"/>
        <v>-</v>
      </c>
      <c r="AD28" s="56" t="str">
        <f t="shared" si="3"/>
        <v>-</v>
      </c>
      <c r="AE28" s="56" t="str">
        <f t="shared" si="3"/>
        <v>-</v>
      </c>
      <c r="AF28" s="56" t="str">
        <f t="shared" si="3"/>
        <v>-</v>
      </c>
      <c r="AG28" s="56" t="str">
        <f t="shared" si="3"/>
        <v>-</v>
      </c>
    </row>
    <row r="29" spans="1:57" outlineLevel="1" x14ac:dyDescent="0.25">
      <c r="D29" s="3003" t="s">
        <v>2307</v>
      </c>
      <c r="E29" s="3003" t="s">
        <v>2308</v>
      </c>
      <c r="F29" s="1870">
        <v>1061</v>
      </c>
      <c r="G29" s="4078" t="s">
        <v>2309</v>
      </c>
      <c r="H29" s="4078"/>
      <c r="I29" s="4078"/>
      <c r="V29" s="1374" t="str">
        <f>D29</f>
        <v>UEC</v>
      </c>
      <c r="W29" s="1377">
        <v>1061</v>
      </c>
      <c r="X29" s="1377">
        <v>1061</v>
      </c>
      <c r="Y29" s="1377">
        <v>1061</v>
      </c>
      <c r="Z29" s="1377">
        <v>1061</v>
      </c>
      <c r="AA29" s="1377">
        <v>1061</v>
      </c>
      <c r="AB29" s="1377">
        <v>1061</v>
      </c>
      <c r="AC29" s="1375"/>
      <c r="AD29" s="1375"/>
      <c r="AE29" s="1375"/>
      <c r="AF29" s="1375"/>
      <c r="AG29" s="1375"/>
    </row>
    <row r="30" spans="1:57" s="132" customFormat="1" ht="30" outlineLevel="1" x14ac:dyDescent="0.25">
      <c r="C30" s="385"/>
      <c r="D30" s="3003" t="s">
        <v>2310</v>
      </c>
      <c r="E30" s="3003" t="s">
        <v>3610</v>
      </c>
      <c r="F30" s="242">
        <v>0.77777777777777801</v>
      </c>
      <c r="G30" s="3567" t="s">
        <v>3611</v>
      </c>
      <c r="H30" s="3567"/>
      <c r="I30" s="3567"/>
      <c r="J30" s="157"/>
      <c r="K30" s="157"/>
      <c r="L30" s="157"/>
      <c r="V30" s="2740" t="str">
        <f>D30</f>
        <v>Part Use Factor</v>
      </c>
      <c r="W30" s="2912">
        <v>0.84</v>
      </c>
      <c r="X30" s="2912">
        <v>0.84</v>
      </c>
      <c r="Y30" s="2912">
        <v>0.84</v>
      </c>
      <c r="Z30" s="2912">
        <v>0.84</v>
      </c>
      <c r="AA30" s="2912">
        <v>0.84</v>
      </c>
      <c r="AB30" s="2911">
        <v>0.77777777777777801</v>
      </c>
      <c r="AC30" s="2456"/>
      <c r="AD30" s="2456"/>
      <c r="AE30" s="2456"/>
      <c r="AF30" s="2456"/>
      <c r="AG30" s="2456"/>
    </row>
    <row r="32" spans="1:57" x14ac:dyDescent="0.25">
      <c r="B32" s="3350" t="s">
        <v>3852</v>
      </c>
      <c r="C32" s="3351"/>
      <c r="D32" s="3351"/>
      <c r="E32" s="3351"/>
      <c r="F32" s="3351"/>
      <c r="G32" s="3351"/>
      <c r="H32" s="3351"/>
      <c r="I32" s="3351"/>
      <c r="J32" s="3351"/>
      <c r="K32" s="3351"/>
      <c r="L32" s="3593"/>
      <c r="V32" s="3350" t="str">
        <f>B32</f>
        <v>Room AC Recycling</v>
      </c>
      <c r="W32" s="3351"/>
      <c r="X32" s="3351"/>
      <c r="Y32" s="3351"/>
      <c r="Z32" s="3351"/>
      <c r="AA32" s="3351"/>
      <c r="AB32" s="3351"/>
      <c r="AC32" s="3354"/>
      <c r="AD32" s="3354"/>
      <c r="AE32" s="3354"/>
      <c r="AF32" s="3354"/>
      <c r="AG32" s="3354"/>
      <c r="AH32" s="3354"/>
      <c r="AI32" s="3355"/>
    </row>
    <row r="33" spans="1:57" x14ac:dyDescent="0.25">
      <c r="V33" s="273"/>
      <c r="W33" s="692"/>
      <c r="X33" s="692"/>
      <c r="Y33" s="692"/>
      <c r="Z33" s="692"/>
      <c r="AA33" s="692"/>
      <c r="AB33" s="692"/>
      <c r="AC33" s="273"/>
      <c r="AD33" s="273"/>
      <c r="AE33" s="273"/>
      <c r="AF33" s="273"/>
      <c r="AG33" s="273"/>
      <c r="AH33" s="273"/>
      <c r="AI33" s="273"/>
    </row>
    <row r="34" spans="1:57" s="111" customFormat="1" ht="45" customHeight="1" x14ac:dyDescent="0.25">
      <c r="A34" s="157"/>
      <c r="B34" s="157"/>
      <c r="C34" s="3002" t="s">
        <v>17</v>
      </c>
      <c r="D34" s="3002" t="s">
        <v>616</v>
      </c>
      <c r="E34" s="3002" t="s">
        <v>19</v>
      </c>
      <c r="F34" s="3002" t="s">
        <v>20</v>
      </c>
      <c r="G34" s="3002" t="s">
        <v>21</v>
      </c>
      <c r="H34" s="3002" t="s">
        <v>22</v>
      </c>
      <c r="I34" s="3002" t="s">
        <v>23</v>
      </c>
      <c r="J34" s="3002" t="s">
        <v>24</v>
      </c>
      <c r="K34" s="3002" t="s">
        <v>25</v>
      </c>
      <c r="L34" s="3002" t="s">
        <v>26</v>
      </c>
      <c r="M34" s="198"/>
      <c r="N34" s="198"/>
      <c r="O34" s="198"/>
      <c r="P34" s="198"/>
      <c r="Q34" s="198"/>
      <c r="R34" s="198"/>
      <c r="S34" s="198"/>
      <c r="T34" s="198"/>
      <c r="U34" s="198"/>
      <c r="V34" s="55" t="s">
        <v>27</v>
      </c>
      <c r="W34" s="420">
        <f>W$6</f>
        <v>43252</v>
      </c>
      <c r="X34" s="420">
        <f t="shared" ref="X34:AG34" si="4">X$6</f>
        <v>43465</v>
      </c>
      <c r="Y34" s="420">
        <f t="shared" si="4"/>
        <v>43800</v>
      </c>
      <c r="Z34" s="420">
        <f t="shared" si="4"/>
        <v>43862</v>
      </c>
      <c r="AA34" s="420">
        <f t="shared" si="4"/>
        <v>44013</v>
      </c>
      <c r="AB34" s="420">
        <f t="shared" si="4"/>
        <v>44166</v>
      </c>
      <c r="AC34" s="56" t="str">
        <f t="shared" si="4"/>
        <v>-</v>
      </c>
      <c r="AD34" s="56" t="str">
        <f t="shared" si="4"/>
        <v>-</v>
      </c>
      <c r="AE34" s="56" t="str">
        <f t="shared" si="4"/>
        <v>-</v>
      </c>
      <c r="AF34" s="56" t="str">
        <f t="shared" si="4"/>
        <v>-</v>
      </c>
      <c r="AG34" s="56" t="str">
        <f t="shared" si="4"/>
        <v>-</v>
      </c>
      <c r="AH34" s="273"/>
      <c r="AI34" s="273"/>
      <c r="BB34" s="57" t="str">
        <f>$BB$6</f>
        <v>TRC (2020)</v>
      </c>
      <c r="BC34" s="93" t="str">
        <f>$BC$6</f>
        <v>Benefit Lookup</v>
      </c>
      <c r="BD34" s="741" t="str">
        <f>$BD$6</f>
        <v>Benefits (2019 $)</v>
      </c>
      <c r="BE34" s="279" t="str">
        <f>$BE$6</f>
        <v>Incremental Cost (2019 $)</v>
      </c>
    </row>
    <row r="35" spans="1:57" x14ac:dyDescent="0.25">
      <c r="C35" s="86" t="s">
        <v>2314</v>
      </c>
      <c r="D35" s="137" t="s">
        <v>2304</v>
      </c>
      <c r="E35" s="3022" t="s">
        <v>2315</v>
      </c>
      <c r="F35" s="1691">
        <f>ROUND(((F48*$F$50)/($F$51*1000))-($F$52*((F48*$F$50)/($F$53*1000))),2)</f>
        <v>302.52999999999997</v>
      </c>
      <c r="G35" s="2457" t="s">
        <v>690</v>
      </c>
      <c r="H35" s="202">
        <f>VLOOKUP(G35,'CP FACTORS'!$A$3:$B$38, 2, FALSE)</f>
        <v>9.4741810000000004E-4</v>
      </c>
      <c r="I35" s="139">
        <f>ROUND(F35*H35,6)</f>
        <v>0.28662199999999999</v>
      </c>
      <c r="J35" s="141">
        <v>4</v>
      </c>
      <c r="K35" s="550">
        <f>349*(140/(742+11))</f>
        <v>64.887118193891098</v>
      </c>
      <c r="L35" s="86" t="s">
        <v>37</v>
      </c>
      <c r="V35" s="208" t="str">
        <f>F34</f>
        <v>kWh Annual Savings</v>
      </c>
      <c r="W35" s="1308">
        <f>((W48*$F$50)/($F$51*1000))-($F$52*((W48*$F$50)/($F$53*1000)))</f>
        <v>302.53414882772677</v>
      </c>
      <c r="X35" s="1308">
        <f>((X48*$F$50)/($F$51*1000))-($F$52*((X48*$F$50)/($F$53*1000)))</f>
        <v>302.53414882772677</v>
      </c>
      <c r="Y35" s="1372">
        <v>302.52999999999997</v>
      </c>
      <c r="Z35" s="1372">
        <v>302.52999999999997</v>
      </c>
      <c r="AA35" s="1372">
        <v>302.52999999999997</v>
      </c>
      <c r="AB35" s="1372">
        <v>302.52999999999997</v>
      </c>
      <c r="AC35" s="1376"/>
      <c r="AD35" s="1376"/>
      <c r="AE35" s="1376"/>
      <c r="AF35" s="1376"/>
      <c r="AG35" s="1376"/>
      <c r="BB35" s="144">
        <f>(BD35)/(BE35)</f>
        <v>1.8106496480376837</v>
      </c>
      <c r="BC35" s="68" t="str">
        <f>CONCATENATE(G35," ",J35," Year EUL")</f>
        <v>Cooling RES 4 Year EUL</v>
      </c>
      <c r="BD35" s="145">
        <f>(INDEX('Avoided Cost Benefits'!$C$4:$C$857,MATCH(BC35,'Avoided Cost Benefits'!$A$4:$A$857,0)))*F35</f>
        <v>110.88988930622793</v>
      </c>
      <c r="BE35" s="69">
        <f>K35/(1.0595^(2020-2019))</f>
        <v>61.243150725711274</v>
      </c>
    </row>
    <row r="36" spans="1:57" x14ac:dyDescent="0.25">
      <c r="C36" s="86" t="s">
        <v>2316</v>
      </c>
      <c r="D36" s="137" t="s">
        <v>2304</v>
      </c>
      <c r="E36" s="3022" t="s">
        <v>2317</v>
      </c>
      <c r="F36" s="1691">
        <f>ROUND(((F49*$F$50)/($F$51*1000))-($F$52*((F49*$F$50)/($F$53*1000))),2)</f>
        <v>195.59</v>
      </c>
      <c r="G36" s="2457" t="s">
        <v>690</v>
      </c>
      <c r="H36" s="202">
        <f>VLOOKUP(G36,'CP FACTORS'!$A$3:$B$38, 2, FALSE)</f>
        <v>9.4741810000000004E-4</v>
      </c>
      <c r="I36" s="139">
        <f>ROUND(F36*H36,6)</f>
        <v>0.185306</v>
      </c>
      <c r="J36" s="141">
        <v>4</v>
      </c>
      <c r="K36" s="550">
        <f>349*(140/(742+11))</f>
        <v>64.887118193891098</v>
      </c>
      <c r="L36" s="86" t="s">
        <v>37</v>
      </c>
      <c r="V36" s="208" t="str">
        <f>V35</f>
        <v>kWh Annual Savings</v>
      </c>
      <c r="W36" s="1308">
        <f>((W49*$F$50)/($F$51*1000))-($F$52*((W49*$F$50)/($F$53*1000)))</f>
        <v>195.59184505606521</v>
      </c>
      <c r="X36" s="1308">
        <f>((X49*$F$50)/($F$51*1000))-($F$52*((X49*$F$50)/($F$53*1000)))</f>
        <v>195.59184505606521</v>
      </c>
      <c r="Y36" s="1372">
        <v>195.59</v>
      </c>
      <c r="Z36" s="1372">
        <v>195.59</v>
      </c>
      <c r="AA36" s="1372">
        <v>195.59</v>
      </c>
      <c r="AB36" s="1372">
        <v>195.59</v>
      </c>
      <c r="AC36" s="1376"/>
      <c r="AD36" s="1376"/>
      <c r="AE36" s="1376"/>
      <c r="AF36" s="1376"/>
      <c r="AG36" s="1376"/>
      <c r="BB36" s="152">
        <f>(BD36)/(BE36)</f>
        <v>1.1706110622407384</v>
      </c>
      <c r="BC36" s="72" t="str">
        <f>CONCATENATE(G36," ",J36," Year EUL")</f>
        <v>Cooling RES 4 Year EUL</v>
      </c>
      <c r="BD36" s="153">
        <f>(INDEX('Avoided Cost Benefits'!$C$4:$C$857,MATCH(BC36,'Avoided Cost Benefits'!$A$4:$A$857,0)))*F36</f>
        <v>71.69190972599452</v>
      </c>
      <c r="BE36" s="75">
        <f>K36/(1.0595^(2020-2019))</f>
        <v>61.243150725711274</v>
      </c>
    </row>
    <row r="37" spans="1:57" outlineLevel="1" x14ac:dyDescent="0.25">
      <c r="C37" s="156" t="s">
        <v>2318</v>
      </c>
    </row>
    <row r="38" spans="1:57" outlineLevel="1" x14ac:dyDescent="0.25">
      <c r="D38" s="157"/>
    </row>
    <row r="39" spans="1:57" outlineLevel="1" x14ac:dyDescent="0.25">
      <c r="D39" s="222" t="s">
        <v>571</v>
      </c>
    </row>
    <row r="40" spans="1:57" outlineLevel="1" x14ac:dyDescent="0.25"/>
    <row r="41" spans="1:57" outlineLevel="1" x14ac:dyDescent="0.25">
      <c r="F41" s="2011"/>
    </row>
    <row r="42" spans="1:57" outlineLevel="1" x14ac:dyDescent="0.25"/>
    <row r="43" spans="1:57" outlineLevel="1" x14ac:dyDescent="0.25"/>
    <row r="44" spans="1:57" outlineLevel="1" x14ac:dyDescent="0.25"/>
    <row r="45" spans="1:57" outlineLevel="1" x14ac:dyDescent="0.25"/>
    <row r="46" spans="1:57" outlineLevel="1" x14ac:dyDescent="0.25"/>
    <row r="47" spans="1:57" outlineLevel="1" x14ac:dyDescent="0.25">
      <c r="D47" s="1234" t="s">
        <v>573</v>
      </c>
      <c r="E47" s="1234" t="s">
        <v>71</v>
      </c>
      <c r="F47" s="3094" t="s">
        <v>574</v>
      </c>
      <c r="G47" s="3094" t="s">
        <v>575</v>
      </c>
      <c r="V47" s="55" t="s">
        <v>27</v>
      </c>
      <c r="W47" s="420">
        <f>W$6</f>
        <v>43252</v>
      </c>
      <c r="X47" s="420">
        <f t="shared" ref="X47:AG47" si="5">X$6</f>
        <v>43465</v>
      </c>
      <c r="Y47" s="420">
        <f t="shared" si="5"/>
        <v>43800</v>
      </c>
      <c r="Z47" s="420">
        <f t="shared" si="5"/>
        <v>43862</v>
      </c>
      <c r="AA47" s="420">
        <f t="shared" si="5"/>
        <v>44013</v>
      </c>
      <c r="AB47" s="420">
        <f t="shared" si="5"/>
        <v>44166</v>
      </c>
      <c r="AC47" s="56" t="str">
        <f t="shared" si="5"/>
        <v>-</v>
      </c>
      <c r="AD47" s="56" t="str">
        <f t="shared" si="5"/>
        <v>-</v>
      </c>
      <c r="AE47" s="56" t="str">
        <f t="shared" si="5"/>
        <v>-</v>
      </c>
      <c r="AF47" s="56" t="str">
        <f t="shared" si="5"/>
        <v>-</v>
      </c>
      <c r="AG47" s="56" t="str">
        <f t="shared" si="5"/>
        <v>-</v>
      </c>
    </row>
    <row r="48" spans="1:57" ht="30" outlineLevel="1" x14ac:dyDescent="0.25">
      <c r="D48" s="3001" t="s">
        <v>2319</v>
      </c>
      <c r="E48" s="3099" t="s">
        <v>2320</v>
      </c>
      <c r="F48" s="926">
        <v>860</v>
      </c>
      <c r="G48" s="3001" t="s">
        <v>750</v>
      </c>
      <c r="V48" s="1374" t="str">
        <f t="shared" ref="V48:V53" si="6">D48</f>
        <v>Hours Primary</v>
      </c>
      <c r="W48" s="1377">
        <v>860</v>
      </c>
      <c r="X48" s="1377">
        <v>860</v>
      </c>
      <c r="Y48" s="1377">
        <v>860</v>
      </c>
      <c r="Z48" s="1377">
        <v>860</v>
      </c>
      <c r="AA48" s="1377">
        <v>860</v>
      </c>
      <c r="AB48" s="1377">
        <v>860</v>
      </c>
      <c r="AC48" s="1377"/>
      <c r="AD48" s="1377"/>
      <c r="AE48" s="1377"/>
      <c r="AF48" s="1377"/>
      <c r="AG48" s="1377"/>
    </row>
    <row r="49" spans="1:57" ht="30" outlineLevel="1" x14ac:dyDescent="0.25">
      <c r="D49" s="3001" t="s">
        <v>2321</v>
      </c>
      <c r="E49" s="3099" t="s">
        <v>2322</v>
      </c>
      <c r="F49" s="926">
        <v>556</v>
      </c>
      <c r="G49" s="3001" t="s">
        <v>750</v>
      </c>
      <c r="V49" s="1374" t="str">
        <f t="shared" si="6"/>
        <v>Hours Secondary</v>
      </c>
      <c r="W49" s="1377">
        <v>556</v>
      </c>
      <c r="X49" s="1377">
        <v>556</v>
      </c>
      <c r="Y49" s="1377">
        <v>556</v>
      </c>
      <c r="Z49" s="1377">
        <v>556</v>
      </c>
      <c r="AA49" s="1377">
        <v>556</v>
      </c>
      <c r="AB49" s="1377">
        <v>556</v>
      </c>
      <c r="AC49" s="1377"/>
      <c r="AD49" s="1377"/>
      <c r="AE49" s="1377"/>
      <c r="AF49" s="1377"/>
      <c r="AG49" s="1377"/>
    </row>
    <row r="50" spans="1:57" outlineLevel="1" x14ac:dyDescent="0.25">
      <c r="D50" s="3001" t="s">
        <v>2323</v>
      </c>
      <c r="E50" s="3099" t="s">
        <v>2324</v>
      </c>
      <c r="F50" s="926">
        <v>8500</v>
      </c>
      <c r="G50" s="3000"/>
      <c r="V50" s="1374" t="str">
        <f t="shared" si="6"/>
        <v>BtuH</v>
      </c>
      <c r="W50" s="1377">
        <v>8500</v>
      </c>
      <c r="X50" s="1377">
        <v>8500</v>
      </c>
      <c r="Y50" s="1377">
        <v>8500</v>
      </c>
      <c r="Z50" s="1377">
        <v>8500</v>
      </c>
      <c r="AA50" s="1377">
        <v>8500</v>
      </c>
      <c r="AB50" s="1377">
        <v>8500</v>
      </c>
      <c r="AC50" s="1377"/>
      <c r="AD50" s="1377"/>
      <c r="AE50" s="1377"/>
      <c r="AF50" s="1377"/>
      <c r="AG50" s="1377"/>
    </row>
    <row r="51" spans="1:57" outlineLevel="1" x14ac:dyDescent="0.25">
      <c r="D51" s="3001" t="s">
        <v>465</v>
      </c>
      <c r="E51" s="3099" t="s">
        <v>2325</v>
      </c>
      <c r="F51" s="926">
        <v>9</v>
      </c>
      <c r="G51" s="3000"/>
      <c r="V51" s="1374" t="str">
        <f t="shared" si="6"/>
        <v>EERexist</v>
      </c>
      <c r="W51" s="1377">
        <v>9</v>
      </c>
      <c r="X51" s="1377">
        <v>9</v>
      </c>
      <c r="Y51" s="1377">
        <v>9</v>
      </c>
      <c r="Z51" s="1377">
        <v>9</v>
      </c>
      <c r="AA51" s="1377">
        <v>9</v>
      </c>
      <c r="AB51" s="1377">
        <v>9</v>
      </c>
      <c r="AC51" s="1377"/>
      <c r="AD51" s="1377"/>
      <c r="AE51" s="1377"/>
      <c r="AF51" s="1377"/>
      <c r="AG51" s="1377"/>
    </row>
    <row r="52" spans="1:57" ht="30" outlineLevel="1" x14ac:dyDescent="0.25">
      <c r="D52" s="3001" t="s">
        <v>2326</v>
      </c>
      <c r="E52" s="3099" t="s">
        <v>2327</v>
      </c>
      <c r="F52" s="2012">
        <v>0.76</v>
      </c>
      <c r="G52" s="3000"/>
      <c r="V52" s="1374" t="str">
        <f t="shared" si="6"/>
        <v>% replaced</v>
      </c>
      <c r="W52" s="1378">
        <v>0.76</v>
      </c>
      <c r="X52" s="1378">
        <v>0.76</v>
      </c>
      <c r="Y52" s="1378">
        <v>0.76</v>
      </c>
      <c r="Z52" s="1378">
        <v>0.76</v>
      </c>
      <c r="AA52" s="1378">
        <v>0.76</v>
      </c>
      <c r="AB52" s="1378">
        <v>0.76</v>
      </c>
      <c r="AC52" s="1378"/>
      <c r="AD52" s="1378"/>
      <c r="AE52" s="1378"/>
      <c r="AF52" s="1378"/>
      <c r="AG52" s="1378"/>
    </row>
    <row r="53" spans="1:57" ht="15" customHeight="1" outlineLevel="1" x14ac:dyDescent="0.25">
      <c r="D53" s="3001" t="s">
        <v>3613</v>
      </c>
      <c r="E53" s="3099" t="s">
        <v>2328</v>
      </c>
      <c r="F53" s="2013">
        <v>10.9</v>
      </c>
      <c r="G53" s="3000"/>
      <c r="V53" s="1374" t="str">
        <f t="shared" si="6"/>
        <v>EERNewBase</v>
      </c>
      <c r="W53" s="1377">
        <v>10.9</v>
      </c>
      <c r="X53" s="1377">
        <v>10.9</v>
      </c>
      <c r="Y53" s="1377">
        <v>10.9</v>
      </c>
      <c r="Z53" s="1377">
        <v>10.9</v>
      </c>
      <c r="AA53" s="1377">
        <v>10.9</v>
      </c>
      <c r="AB53" s="1377">
        <v>10.9</v>
      </c>
      <c r="AC53" s="1379"/>
      <c r="AD53" s="1379"/>
      <c r="AE53" s="1379"/>
      <c r="AF53" s="1379"/>
      <c r="AG53" s="1379"/>
    </row>
    <row r="54" spans="1:57" ht="15" customHeight="1" x14ac:dyDescent="0.25">
      <c r="D54" s="2014"/>
      <c r="E54" s="2015"/>
      <c r="F54" s="2016"/>
      <c r="G54" s="2017"/>
    </row>
    <row r="55" spans="1:57" x14ac:dyDescent="0.25">
      <c r="B55" s="3350" t="s">
        <v>2329</v>
      </c>
      <c r="C55" s="3351"/>
      <c r="D55" s="3351"/>
      <c r="E55" s="3351"/>
      <c r="F55" s="3351"/>
      <c r="G55" s="3351"/>
      <c r="H55" s="3351"/>
      <c r="I55" s="3351"/>
      <c r="J55" s="3351"/>
      <c r="K55" s="3351"/>
      <c r="L55" s="3593"/>
      <c r="O55" s="298"/>
      <c r="P55" s="298"/>
      <c r="Q55" s="298"/>
      <c r="R55" s="298"/>
      <c r="V55" s="3350" t="str">
        <f>B55</f>
        <v>Dehumidifier Recycling</v>
      </c>
      <c r="W55" s="3351"/>
      <c r="X55" s="3351"/>
      <c r="Y55" s="3351"/>
      <c r="Z55" s="3351"/>
      <c r="AA55" s="3351"/>
      <c r="AB55" s="3351"/>
      <c r="AC55" s="3354"/>
      <c r="AD55" s="3354"/>
      <c r="AE55" s="3354"/>
      <c r="AF55" s="3354"/>
      <c r="AG55" s="3354"/>
      <c r="AH55" s="3354"/>
      <c r="AI55" s="3355"/>
    </row>
    <row r="56" spans="1:57" x14ac:dyDescent="0.25">
      <c r="V56" s="273"/>
      <c r="W56" s="692"/>
      <c r="X56" s="692"/>
      <c r="Y56" s="692"/>
      <c r="Z56" s="692"/>
      <c r="AA56" s="692"/>
      <c r="AB56" s="692"/>
      <c r="AC56" s="273"/>
      <c r="AD56" s="273"/>
      <c r="AE56" s="273"/>
      <c r="AF56" s="273"/>
      <c r="AG56" s="273"/>
      <c r="AH56" s="273"/>
      <c r="AI56" s="273"/>
    </row>
    <row r="57" spans="1:57" s="111" customFormat="1" ht="45" customHeight="1" x14ac:dyDescent="0.25">
      <c r="A57" s="157"/>
      <c r="B57" s="157"/>
      <c r="C57" s="3002" t="s">
        <v>17</v>
      </c>
      <c r="D57" s="3002" t="s">
        <v>616</v>
      </c>
      <c r="E57" s="3002" t="s">
        <v>19</v>
      </c>
      <c r="F57" s="3002" t="s">
        <v>20</v>
      </c>
      <c r="G57" s="3002" t="s">
        <v>21</v>
      </c>
      <c r="H57" s="3002" t="s">
        <v>22</v>
      </c>
      <c r="I57" s="3002" t="s">
        <v>23</v>
      </c>
      <c r="J57" s="3002" t="s">
        <v>24</v>
      </c>
      <c r="K57" s="3002" t="s">
        <v>25</v>
      </c>
      <c r="L57" s="3002" t="s">
        <v>26</v>
      </c>
      <c r="M57" s="198"/>
      <c r="N57" s="198"/>
      <c r="O57" s="198"/>
      <c r="P57" s="198"/>
      <c r="Q57" s="198"/>
      <c r="R57" s="198"/>
      <c r="S57" s="198"/>
      <c r="T57" s="198"/>
      <c r="U57" s="198"/>
      <c r="V57" s="55" t="s">
        <v>27</v>
      </c>
      <c r="W57" s="420">
        <v>43252</v>
      </c>
      <c r="X57" s="420">
        <f t="shared" ref="X57:AG57" si="7">X$6</f>
        <v>43465</v>
      </c>
      <c r="Y57" s="420">
        <f t="shared" si="7"/>
        <v>43800</v>
      </c>
      <c r="Z57" s="420">
        <f t="shared" si="7"/>
        <v>43862</v>
      </c>
      <c r="AA57" s="420">
        <f t="shared" si="7"/>
        <v>44013</v>
      </c>
      <c r="AB57" s="420">
        <f t="shared" si="7"/>
        <v>44166</v>
      </c>
      <c r="AC57" s="56" t="str">
        <f t="shared" si="7"/>
        <v>-</v>
      </c>
      <c r="AD57" s="56" t="str">
        <f t="shared" si="7"/>
        <v>-</v>
      </c>
      <c r="AE57" s="56" t="str">
        <f t="shared" si="7"/>
        <v>-</v>
      </c>
      <c r="AF57" s="56" t="str">
        <f t="shared" si="7"/>
        <v>-</v>
      </c>
      <c r="AG57" s="56" t="str">
        <f t="shared" si="7"/>
        <v>-</v>
      </c>
      <c r="AH57" s="273"/>
      <c r="AI57" s="273"/>
      <c r="BB57" s="57" t="str">
        <f>$BB$6</f>
        <v>TRC (2020)</v>
      </c>
      <c r="BC57" s="93" t="str">
        <f>$BC$6</f>
        <v>Benefit Lookup</v>
      </c>
      <c r="BD57" s="741" t="str">
        <f>$BD$6</f>
        <v>Benefits (2019 $)</v>
      </c>
      <c r="BE57" s="279" t="str">
        <f>$BE$6</f>
        <v>Incremental Cost (2019 $)</v>
      </c>
    </row>
    <row r="58" spans="1:57" x14ac:dyDescent="0.25">
      <c r="C58" s="86" t="s">
        <v>2330</v>
      </c>
      <c r="D58" s="137" t="s">
        <v>2304</v>
      </c>
      <c r="E58" s="3022" t="s">
        <v>2329</v>
      </c>
      <c r="F58" s="1238">
        <f>ROUND(139,2)</f>
        <v>139</v>
      </c>
      <c r="G58" s="141" t="s">
        <v>877</v>
      </c>
      <c r="H58" s="202">
        <f>VLOOKUP(G58,'CP FACTORS'!$A$3:$B$38, 2, FALSE)</f>
        <v>4.6608050000000002E-4</v>
      </c>
      <c r="I58" s="139">
        <f>ROUND(F58*H58,6)</f>
        <v>6.4784999999999995E-2</v>
      </c>
      <c r="J58" s="141">
        <f>ROUND(J35*12/9,0)</f>
        <v>5</v>
      </c>
      <c r="K58" s="550">
        <f>230*(140/(742+11))</f>
        <v>42.762284196547142</v>
      </c>
      <c r="L58" s="86" t="s">
        <v>37</v>
      </c>
      <c r="V58" s="208" t="str">
        <f>F57</f>
        <v>kWh Annual Savings</v>
      </c>
      <c r="W58" s="484">
        <v>139</v>
      </c>
      <c r="X58" s="1317">
        <v>139</v>
      </c>
      <c r="Y58" s="1317">
        <v>139</v>
      </c>
      <c r="Z58" s="1317">
        <v>139</v>
      </c>
      <c r="AA58" s="1317">
        <v>139</v>
      </c>
      <c r="AB58" s="1317">
        <v>139</v>
      </c>
      <c r="AC58" s="1376"/>
      <c r="AD58" s="1376"/>
      <c r="AE58" s="1376"/>
      <c r="AF58" s="1376"/>
      <c r="AG58" s="1376"/>
      <c r="BB58" s="1309">
        <f>(BD58)/(BE58)</f>
        <v>1.0378649458641431</v>
      </c>
      <c r="BC58" s="68" t="str">
        <f>CONCATENATE(G58," ",J58," Year EUL")</f>
        <v>HVAC RES 5 Year EUL</v>
      </c>
      <c r="BD58" s="214">
        <f>(INDEX('Avoided Cost Benefits'!$C$4:$C$857,MATCH(BC58,'Avoided Cost Benefits'!$A$4:$A$857,0)))*F58</f>
        <v>41.889075764678154</v>
      </c>
      <c r="BE58" s="109">
        <f>K58/(1.0595^(2020-2019))</f>
        <v>40.360815664508863</v>
      </c>
    </row>
    <row r="59" spans="1:57" x14ac:dyDescent="0.25">
      <c r="C59" s="1380" t="s">
        <v>2331</v>
      </c>
      <c r="E59" s="1227"/>
      <c r="G59" s="648"/>
      <c r="H59" s="648"/>
      <c r="I59" s="648"/>
      <c r="J59" s="1947"/>
      <c r="K59" s="2018"/>
      <c r="L59" s="768"/>
    </row>
    <row r="60" spans="1:57" x14ac:dyDescent="0.25">
      <c r="C60" s="1380" t="s">
        <v>2332</v>
      </c>
      <c r="E60" s="1227"/>
      <c r="G60" s="648"/>
      <c r="H60" s="648"/>
      <c r="I60" s="648"/>
      <c r="J60" s="1947"/>
      <c r="K60" s="2018"/>
      <c r="L60" s="768"/>
    </row>
    <row r="61" spans="1:57" outlineLevel="1" x14ac:dyDescent="0.25"/>
    <row r="62" spans="1:57" outlineLevel="1" x14ac:dyDescent="0.25">
      <c r="D62" s="222" t="s">
        <v>571</v>
      </c>
    </row>
    <row r="63" spans="1:57" outlineLevel="1" x14ac:dyDescent="0.25"/>
    <row r="64" spans="1:57" outlineLevel="1" x14ac:dyDescent="0.25"/>
    <row r="65" spans="4:33" outlineLevel="1" x14ac:dyDescent="0.25"/>
    <row r="66" spans="4:33" outlineLevel="1" x14ac:dyDescent="0.25">
      <c r="D66" s="3094" t="s">
        <v>573</v>
      </c>
      <c r="E66" s="3094" t="s">
        <v>71</v>
      </c>
      <c r="F66" s="3094" t="s">
        <v>574</v>
      </c>
      <c r="G66" s="3966" t="s">
        <v>575</v>
      </c>
      <c r="H66" s="3966"/>
      <c r="I66" s="3966"/>
      <c r="J66" s="3966"/>
      <c r="V66" s="55" t="s">
        <v>27</v>
      </c>
      <c r="W66" s="420">
        <f>W$6</f>
        <v>43252</v>
      </c>
      <c r="X66" s="420">
        <f t="shared" ref="X66:AG66" si="8">X$6</f>
        <v>43465</v>
      </c>
      <c r="Y66" s="420">
        <f t="shared" si="8"/>
        <v>43800</v>
      </c>
      <c r="Z66" s="420">
        <f t="shared" si="8"/>
        <v>43862</v>
      </c>
      <c r="AA66" s="420">
        <f t="shared" si="8"/>
        <v>44013</v>
      </c>
      <c r="AB66" s="420">
        <f t="shared" si="8"/>
        <v>44166</v>
      </c>
      <c r="AC66" s="56" t="str">
        <f t="shared" si="8"/>
        <v>-</v>
      </c>
      <c r="AD66" s="56" t="str">
        <f t="shared" si="8"/>
        <v>-</v>
      </c>
      <c r="AE66" s="56" t="str">
        <f t="shared" si="8"/>
        <v>-</v>
      </c>
      <c r="AF66" s="56" t="str">
        <f t="shared" si="8"/>
        <v>-</v>
      </c>
      <c r="AG66" s="56" t="str">
        <f t="shared" si="8"/>
        <v>-</v>
      </c>
    </row>
    <row r="67" spans="4:33" ht="47.25" customHeight="1" outlineLevel="1" x14ac:dyDescent="0.25">
      <c r="D67" s="3001" t="s">
        <v>20</v>
      </c>
      <c r="E67" s="3022" t="s">
        <v>2333</v>
      </c>
      <c r="F67" s="2019">
        <v>139</v>
      </c>
      <c r="G67" s="3369" t="s">
        <v>2334</v>
      </c>
      <c r="H67" s="3369"/>
      <c r="I67" s="3369"/>
      <c r="J67" s="3369"/>
      <c r="V67" s="1374" t="str">
        <f>D67</f>
        <v>kWh Annual Savings</v>
      </c>
      <c r="W67" s="1372">
        <v>139</v>
      </c>
      <c r="X67" s="1372">
        <v>139</v>
      </c>
      <c r="Y67" s="1372">
        <v>139</v>
      </c>
      <c r="Z67" s="1372">
        <v>139</v>
      </c>
      <c r="AA67" s="1372">
        <v>139</v>
      </c>
      <c r="AB67" s="1372">
        <v>139</v>
      </c>
      <c r="AC67" s="1372"/>
      <c r="AD67" s="1372"/>
      <c r="AE67" s="1372"/>
      <c r="AF67" s="1372"/>
      <c r="AG67" s="1372"/>
    </row>
    <row r="68" spans="4:33" outlineLevel="1" x14ac:dyDescent="0.25"/>
    <row r="69" spans="4:33" outlineLevel="1" x14ac:dyDescent="0.25"/>
    <row r="70" spans="4:33" outlineLevel="1" x14ac:dyDescent="0.25"/>
    <row r="71" spans="4:33" outlineLevel="1" x14ac:dyDescent="0.25"/>
    <row r="72" spans="4:33" outlineLevel="1" x14ac:dyDescent="0.25">
      <c r="G72" s="1727" t="s">
        <v>2335</v>
      </c>
    </row>
    <row r="73" spans="4:33" outlineLevel="1" x14ac:dyDescent="0.25"/>
    <row r="74" spans="4:33" outlineLevel="1" x14ac:dyDescent="0.2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8"/>
  <sheetViews>
    <sheetView zoomScale="80" zoomScaleNormal="80" workbookViewId="0">
      <selection sqref="A1:O1"/>
    </sheetView>
  </sheetViews>
  <sheetFormatPr defaultRowHeight="15" outlineLevelRow="1" x14ac:dyDescent="0.25"/>
  <cols>
    <col min="3" max="3" width="24" style="135" bestFit="1" customWidth="1"/>
    <col min="4" max="4" width="18.85546875" style="155" bestFit="1" customWidth="1"/>
    <col min="5" max="5" width="44.7109375" style="155"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8" width="19.42578125" style="135" customWidth="1"/>
    <col min="29" max="52" width="9.140625" customWidth="1"/>
    <col min="54" max="54" width="12" bestFit="1" customWidth="1"/>
    <col min="55" max="55" width="23.140625" bestFit="1" customWidth="1"/>
    <col min="56" max="56" width="12.5703125" customWidth="1"/>
    <col min="57" max="57" width="16.28515625" customWidth="1"/>
  </cols>
  <sheetData>
    <row r="1" spans="1:57" s="26" customFormat="1" ht="18.75" x14ac:dyDescent="0.3">
      <c r="A1" s="3343" t="s">
        <v>2336</v>
      </c>
      <c r="B1" s="4014"/>
      <c r="C1" s="4014"/>
      <c r="D1" s="4014"/>
      <c r="E1" s="4014"/>
      <c r="F1" s="4014"/>
      <c r="G1" s="4014"/>
      <c r="H1" s="4014"/>
      <c r="I1" s="4014"/>
      <c r="J1" s="4014"/>
      <c r="K1" s="4014"/>
      <c r="L1" s="4014"/>
      <c r="M1" s="4014"/>
      <c r="N1" s="4014"/>
      <c r="O1" s="4014"/>
      <c r="P1" s="3343"/>
      <c r="Q1" s="4014"/>
      <c r="R1" s="188"/>
      <c r="V1" s="33"/>
      <c r="W1" s="2897"/>
      <c r="X1" s="2897"/>
      <c r="Y1" s="971"/>
      <c r="Z1" s="971"/>
      <c r="AA1" s="971"/>
      <c r="AB1" s="971"/>
      <c r="AC1" s="35"/>
      <c r="AD1" s="35"/>
      <c r="AE1" s="35"/>
      <c r="AF1" s="35"/>
      <c r="AG1" s="35"/>
      <c r="AH1" s="35"/>
    </row>
    <row r="2" spans="1:57" s="26" customFormat="1" ht="30" hidden="1" customHeight="1" outlineLevel="1" x14ac:dyDescent="0.35">
      <c r="B2" s="31"/>
      <c r="C2" s="36"/>
      <c r="D2" s="4015" t="s">
        <v>14</v>
      </c>
      <c r="E2" s="4016"/>
      <c r="F2" s="4017"/>
      <c r="G2" s="4017"/>
      <c r="H2" s="4017"/>
      <c r="I2" s="4017"/>
      <c r="J2" s="4017"/>
      <c r="K2" s="32"/>
      <c r="L2" s="32"/>
      <c r="W2" s="91"/>
      <c r="X2" s="91"/>
      <c r="Y2" s="91"/>
      <c r="Z2" s="91"/>
      <c r="AA2" s="91"/>
      <c r="AB2" s="91"/>
    </row>
    <row r="3" spans="1:57" s="26" customFormat="1" ht="24" customHeight="1" collapsed="1" x14ac:dyDescent="0.35">
      <c r="B3" s="31"/>
      <c r="C3" s="36"/>
      <c r="D3" s="1304"/>
      <c r="E3" s="1305"/>
      <c r="F3" s="1306"/>
      <c r="G3" s="1306"/>
      <c r="H3" s="1306"/>
      <c r="I3" s="1306"/>
      <c r="J3" s="1306"/>
      <c r="K3" s="32"/>
      <c r="L3" s="32"/>
      <c r="V3" s="29"/>
      <c r="W3" s="974"/>
      <c r="X3" s="974"/>
      <c r="Y3" s="974"/>
      <c r="Z3" s="974"/>
      <c r="AA3" s="974"/>
      <c r="AB3" s="974"/>
      <c r="AC3" s="29"/>
      <c r="AD3" s="29"/>
      <c r="AE3" s="29"/>
      <c r="AF3" s="29"/>
      <c r="AG3" s="29"/>
      <c r="AH3" s="29"/>
      <c r="AI3" s="29"/>
    </row>
    <row r="4" spans="1:57" x14ac:dyDescent="0.25">
      <c r="B4" s="3350" t="s">
        <v>2337</v>
      </c>
      <c r="C4" s="3351"/>
      <c r="D4" s="3351"/>
      <c r="E4" s="3351"/>
      <c r="F4" s="3351"/>
      <c r="G4" s="3351"/>
      <c r="H4" s="3351"/>
      <c r="I4" s="3351"/>
      <c r="J4" s="3351"/>
      <c r="K4" s="3351"/>
      <c r="L4" s="3593"/>
      <c r="V4" s="3350" t="str">
        <f>B4</f>
        <v>Demand Response</v>
      </c>
      <c r="W4" s="3351"/>
      <c r="X4" s="3351"/>
      <c r="Y4" s="3351"/>
      <c r="Z4" s="3351"/>
      <c r="AA4" s="3351"/>
      <c r="AB4" s="3351"/>
      <c r="AC4" s="3354"/>
      <c r="AD4" s="3354"/>
      <c r="AE4" s="3354"/>
      <c r="AF4" s="3354"/>
      <c r="AG4" s="3354"/>
      <c r="AH4" s="3354"/>
      <c r="AI4" s="3355"/>
    </row>
    <row r="5" spans="1:57" x14ac:dyDescent="0.25">
      <c r="V5" s="273"/>
      <c r="W5" s="692"/>
      <c r="X5" s="692"/>
      <c r="Y5" s="692"/>
      <c r="Z5" s="692"/>
      <c r="AA5" s="692"/>
      <c r="AB5" s="692"/>
      <c r="AC5" s="273"/>
      <c r="AD5" s="273"/>
      <c r="AE5" s="273"/>
      <c r="AF5" s="273"/>
      <c r="AG5" s="273"/>
      <c r="AH5" s="273"/>
      <c r="AI5" s="273"/>
    </row>
    <row r="6" spans="1:57" ht="30" x14ac:dyDescent="0.25">
      <c r="C6" s="136" t="s">
        <v>17</v>
      </c>
      <c r="D6" s="136" t="s">
        <v>616</v>
      </c>
      <c r="E6" s="136" t="s">
        <v>19</v>
      </c>
      <c r="F6" s="136" t="s">
        <v>2338</v>
      </c>
      <c r="G6" s="136" t="s">
        <v>21</v>
      </c>
      <c r="H6" s="136" t="s">
        <v>22</v>
      </c>
      <c r="I6" s="136" t="s">
        <v>2339</v>
      </c>
      <c r="J6" s="136" t="s">
        <v>24</v>
      </c>
      <c r="K6" s="136" t="s">
        <v>25</v>
      </c>
      <c r="L6" s="136" t="s">
        <v>26</v>
      </c>
      <c r="V6" s="55" t="s">
        <v>27</v>
      </c>
      <c r="W6" s="420">
        <v>43252</v>
      </c>
      <c r="X6" s="420">
        <v>43465</v>
      </c>
      <c r="Y6" s="420">
        <v>43800</v>
      </c>
      <c r="Z6" s="420">
        <v>43862</v>
      </c>
      <c r="AA6" s="420">
        <v>44013</v>
      </c>
      <c r="AB6" s="420">
        <v>44166</v>
      </c>
      <c r="AC6" s="56" t="s">
        <v>28</v>
      </c>
      <c r="AD6" s="56" t="s">
        <v>28</v>
      </c>
      <c r="AE6" s="56" t="s">
        <v>28</v>
      </c>
      <c r="AF6" s="56" t="s">
        <v>28</v>
      </c>
      <c r="AG6" s="56" t="s">
        <v>28</v>
      </c>
      <c r="AH6" s="273"/>
      <c r="AI6" s="273"/>
      <c r="BB6" s="57" t="s">
        <v>29</v>
      </c>
      <c r="BC6" s="93" t="s">
        <v>30</v>
      </c>
      <c r="BD6" s="741" t="s">
        <v>31</v>
      </c>
      <c r="BE6" s="279" t="s">
        <v>32</v>
      </c>
    </row>
    <row r="7" spans="1:57" s="2277" customFormat="1" x14ac:dyDescent="0.25">
      <c r="C7" s="86" t="s">
        <v>3607</v>
      </c>
      <c r="D7" s="398" t="s">
        <v>2340</v>
      </c>
      <c r="E7" s="3022" t="s">
        <v>2341</v>
      </c>
      <c r="F7" s="1691">
        <v>55.97</v>
      </c>
      <c r="G7" s="1307" t="s">
        <v>877</v>
      </c>
      <c r="H7" s="202" t="s">
        <v>28</v>
      </c>
      <c r="I7" s="2020" t="s">
        <v>28</v>
      </c>
      <c r="J7" s="141">
        <v>11</v>
      </c>
      <c r="K7" s="550">
        <v>0</v>
      </c>
      <c r="L7" s="86" t="s">
        <v>2342</v>
      </c>
      <c r="V7" s="208" t="str">
        <f>$F$6</f>
        <v>Gross kWh Annual Savings</v>
      </c>
      <c r="W7" s="1308">
        <v>177</v>
      </c>
      <c r="X7" s="1308">
        <v>177</v>
      </c>
      <c r="Y7" s="1308">
        <v>177</v>
      </c>
      <c r="Z7" s="1308">
        <v>177</v>
      </c>
      <c r="AA7" s="1308">
        <v>177</v>
      </c>
      <c r="AB7" s="150">
        <v>55.97</v>
      </c>
      <c r="AC7" s="1308"/>
      <c r="AD7" s="1308"/>
      <c r="AE7" s="1308"/>
      <c r="AF7" s="1308"/>
      <c r="AG7" s="1308"/>
      <c r="BB7" s="1309" t="str">
        <f>IFERROR((BD7)/(BE7),"")</f>
        <v/>
      </c>
      <c r="BC7" s="2366"/>
      <c r="BD7" s="214"/>
      <c r="BE7" s="2303">
        <f>K7/(1.0595^(2020-2019))</f>
        <v>0</v>
      </c>
    </row>
    <row r="8" spans="1:57" x14ac:dyDescent="0.25">
      <c r="C8" s="385"/>
      <c r="D8" s="386"/>
      <c r="E8" s="4079" t="s">
        <v>3827</v>
      </c>
      <c r="F8" s="4079"/>
      <c r="G8" s="4079"/>
      <c r="H8" s="4079"/>
      <c r="I8" s="4079"/>
      <c r="J8" s="4079"/>
      <c r="K8" s="4079"/>
      <c r="L8" s="4079"/>
    </row>
    <row r="9" spans="1:57" x14ac:dyDescent="0.25">
      <c r="C9" s="385"/>
      <c r="D9" s="386"/>
      <c r="E9" s="4080"/>
      <c r="F9" s="4080"/>
      <c r="G9" s="4080"/>
      <c r="H9" s="4080"/>
      <c r="I9" s="4080"/>
      <c r="J9" s="4080"/>
      <c r="K9" s="4080"/>
      <c r="L9" s="4080"/>
    </row>
    <row r="10" spans="1:57" x14ac:dyDescent="0.25">
      <c r="C10" s="385"/>
      <c r="D10" s="386"/>
      <c r="E10" s="4080"/>
      <c r="F10" s="4080"/>
      <c r="G10" s="4080"/>
      <c r="H10" s="4080"/>
      <c r="I10" s="4080"/>
      <c r="J10" s="4080"/>
      <c r="K10" s="4080"/>
      <c r="L10" s="4080"/>
    </row>
    <row r="11" spans="1:57" ht="99" customHeight="1" x14ac:dyDescent="0.25">
      <c r="C11" s="385"/>
      <c r="D11" s="386"/>
      <c r="E11" s="4081" t="s">
        <v>3264</v>
      </c>
      <c r="F11" s="3886"/>
      <c r="G11" s="3886"/>
      <c r="H11" s="3886"/>
      <c r="I11" s="3886"/>
      <c r="J11" s="3886"/>
      <c r="K11" s="3886"/>
      <c r="L11" s="3886"/>
    </row>
    <row r="12" spans="1:57" x14ac:dyDescent="0.25">
      <c r="C12" s="385"/>
      <c r="D12" s="386"/>
      <c r="E12" s="386"/>
      <c r="F12" s="157"/>
      <c r="G12" s="157"/>
      <c r="H12" s="157"/>
      <c r="I12" s="157"/>
      <c r="J12" s="157"/>
      <c r="K12" s="157"/>
      <c r="L12" s="157"/>
    </row>
    <row r="13" spans="1:57" ht="87" customHeight="1" x14ac:dyDescent="0.25">
      <c r="C13" s="385"/>
      <c r="D13" s="386"/>
      <c r="E13" s="4081" t="s">
        <v>3265</v>
      </c>
      <c r="F13" s="3886"/>
      <c r="G13" s="3886"/>
      <c r="H13" s="3886"/>
      <c r="I13" s="3886"/>
      <c r="J13" s="3886"/>
      <c r="K13" s="3886"/>
      <c r="L13" s="3886"/>
    </row>
    <row r="14" spans="1:57" x14ac:dyDescent="0.25">
      <c r="C14" s="385"/>
      <c r="D14" s="386"/>
      <c r="E14" s="386"/>
      <c r="F14" s="157"/>
      <c r="G14" s="157"/>
      <c r="H14" s="157"/>
      <c r="I14" s="157"/>
      <c r="J14" s="157"/>
      <c r="K14" s="157"/>
      <c r="L14" s="157"/>
    </row>
    <row r="15" spans="1:57" x14ac:dyDescent="0.25">
      <c r="C15" s="385"/>
      <c r="D15" s="386"/>
      <c r="E15" s="3311" t="s">
        <v>2343</v>
      </c>
      <c r="F15" s="157"/>
      <c r="G15" s="157"/>
      <c r="H15" s="157"/>
      <c r="I15" s="157"/>
      <c r="J15" s="157"/>
      <c r="K15" s="157"/>
      <c r="L15" s="157"/>
    </row>
    <row r="16" spans="1:57" x14ac:dyDescent="0.25">
      <c r="C16" s="385"/>
      <c r="D16" s="386"/>
      <c r="E16" s="157" t="s">
        <v>3765</v>
      </c>
      <c r="F16" s="157" t="s">
        <v>3608</v>
      </c>
      <c r="G16" s="157"/>
      <c r="H16" s="157"/>
      <c r="I16" s="157"/>
      <c r="J16" s="157"/>
      <c r="K16" s="157"/>
      <c r="L16" s="157"/>
    </row>
    <row r="17" spans="3:12" x14ac:dyDescent="0.25">
      <c r="C17" s="385"/>
      <c r="D17" s="386"/>
      <c r="E17" s="157"/>
      <c r="F17" s="157" t="s">
        <v>3609</v>
      </c>
      <c r="G17" s="157"/>
      <c r="H17" s="157"/>
      <c r="I17" s="157"/>
      <c r="J17" s="157"/>
      <c r="K17" s="157"/>
      <c r="L17" s="157"/>
    </row>
    <row r="18" spans="3:12" x14ac:dyDescent="0.25">
      <c r="C18" s="385"/>
      <c r="D18" s="386"/>
      <c r="E18" s="386"/>
      <c r="F18" s="157"/>
      <c r="G18" s="157"/>
      <c r="H18" s="157"/>
      <c r="I18" s="157"/>
      <c r="J18" s="157"/>
      <c r="K18" s="157"/>
      <c r="L18" s="157"/>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11"/>
  <sheetViews>
    <sheetView zoomScale="60" zoomScaleNormal="60" workbookViewId="0">
      <selection activeCell="G32" sqref="G32"/>
    </sheetView>
  </sheetViews>
  <sheetFormatPr defaultColWidth="9.140625" defaultRowHeight="15" outlineLevelRow="1" x14ac:dyDescent="0.25"/>
  <cols>
    <col min="1" max="2" width="4.5703125" style="26" customWidth="1"/>
    <col min="3" max="3" width="20.5703125" style="2313" customWidth="1"/>
    <col min="4" max="4" width="24.5703125" style="1473" customWidth="1"/>
    <col min="5" max="5" width="71.140625" style="1470" customWidth="1"/>
    <col min="6" max="6" width="19.5703125" style="1470" customWidth="1"/>
    <col min="7" max="7" width="29.140625" style="1514" customWidth="1"/>
    <col min="8" max="8" width="21.28515625" style="1539" customWidth="1"/>
    <col min="9" max="9" width="18.42578125" style="1470" customWidth="1"/>
    <col min="10" max="10" width="15.5703125" style="1470" customWidth="1"/>
    <col min="11" max="11" width="23.7109375" style="1470" customWidth="1"/>
    <col min="12" max="12" width="18.85546875" style="1470" customWidth="1"/>
    <col min="13" max="13" width="12.42578125" style="1470" customWidth="1"/>
    <col min="14" max="14" width="13.7109375" style="1470" customWidth="1"/>
    <col min="15" max="15" width="17.140625" style="1470" customWidth="1"/>
    <col min="16" max="16" width="9.7109375" style="1470" customWidth="1"/>
    <col min="17" max="18" width="18.42578125" style="1470" customWidth="1"/>
    <col min="19" max="19" width="16.42578125" style="1470" customWidth="1"/>
    <col min="20" max="20" width="14.28515625" style="1470" customWidth="1"/>
    <col min="21" max="21" width="17.28515625" style="1470" customWidth="1"/>
    <col min="22" max="22" width="99.28515625" style="26" customWidth="1"/>
    <col min="23" max="23" width="13.7109375" style="26" customWidth="1"/>
    <col min="24" max="24" width="18.140625" style="26" customWidth="1"/>
    <col min="25" max="25" width="17.28515625" style="26" customWidth="1"/>
    <col min="26" max="26" width="15.85546875" style="26" customWidth="1"/>
    <col min="27" max="27" width="13.7109375" style="26" customWidth="1"/>
    <col min="28" max="28" width="17.42578125" style="26" customWidth="1"/>
    <col min="29" max="33" width="13.7109375" style="26" customWidth="1"/>
    <col min="34" max="34" width="9.140625" style="26" customWidth="1"/>
    <col min="35" max="35" width="41.42578125" style="26" customWidth="1"/>
    <col min="36" max="36" width="17.28515625" style="26" customWidth="1"/>
    <col min="37" max="37" width="16.5703125" style="26" customWidth="1"/>
    <col min="38" max="38" width="17.28515625" style="26" customWidth="1"/>
    <col min="39" max="39" width="16.7109375" style="26" customWidth="1"/>
    <col min="40" max="41" width="17.42578125" style="26" customWidth="1"/>
    <col min="42" max="42" width="14.7109375" style="26" customWidth="1"/>
    <col min="43" max="45" width="13.7109375" style="26" customWidth="1"/>
    <col min="46" max="46" width="9.140625" style="26" customWidth="1"/>
    <col min="47" max="47" width="30.5703125" style="26" customWidth="1"/>
    <col min="48" max="48" width="17.28515625" style="26" customWidth="1"/>
    <col min="49" max="50" width="16.5703125" style="26" customWidth="1"/>
    <col min="51" max="51" width="15.85546875" style="26" customWidth="1"/>
    <col min="52" max="53" width="17.42578125" style="26" customWidth="1"/>
    <col min="54"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3" width="16.28515625" style="26" customWidth="1"/>
    <col min="64" max="65" width="17.42578125" style="26" customWidth="1"/>
    <col min="66" max="69" width="13.7109375" style="26" customWidth="1"/>
    <col min="70" max="70" width="9.140625" style="26" customWidth="1"/>
    <col min="71" max="71" width="20" style="26" customWidth="1"/>
    <col min="72" max="72" width="11" style="26" customWidth="1"/>
    <col min="73" max="73" width="18.140625" style="26" customWidth="1"/>
    <col min="74" max="74" width="17.140625" style="26" customWidth="1"/>
    <col min="75" max="75" width="15.85546875" style="26" customWidth="1"/>
    <col min="76" max="77" width="17.42578125" style="26" customWidth="1"/>
    <col min="78" max="81" width="11.7109375" style="26" customWidth="1"/>
    <col min="82" max="82" width="9.140625" style="26" customWidth="1"/>
    <col min="83" max="83" width="11" customWidth="1"/>
    <col min="84" max="85" width="17.28515625" customWidth="1"/>
    <col min="86" max="86" width="16.28515625" customWidth="1"/>
    <col min="87" max="87" width="10.7109375" style="26" customWidth="1"/>
    <col min="88" max="88" width="17.42578125" style="26" customWidth="1"/>
    <col min="89" max="97" width="9.140625" style="26" customWidth="1"/>
    <col min="98" max="101" width="9.140625" customWidth="1"/>
    <col min="102" max="104" width="9.140625" style="26" customWidth="1"/>
    <col min="105"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10" width="18.85546875" style="26" customWidth="1"/>
    <col min="111" max="111" width="15.85546875" style="2278" bestFit="1" customWidth="1"/>
    <col min="112" max="112" width="9.140625" style="2278"/>
    <col min="113" max="113" width="16.140625" style="26" customWidth="1"/>
    <col min="114" max="16384" width="9.140625" style="26"/>
  </cols>
  <sheetData>
    <row r="1" spans="1:112" x14ac:dyDescent="0.25">
      <c r="A1" s="24" t="s">
        <v>11</v>
      </c>
      <c r="B1" s="25"/>
      <c r="C1" s="2921"/>
      <c r="D1" s="1469"/>
      <c r="E1" s="4092"/>
      <c r="F1" s="4093"/>
      <c r="G1" s="4093"/>
      <c r="H1" s="4093"/>
      <c r="I1" s="4093"/>
      <c r="J1" s="4093"/>
      <c r="K1" s="4093"/>
      <c r="L1" s="4093"/>
      <c r="M1" s="4093"/>
      <c r="N1" s="4093"/>
      <c r="O1" s="4093"/>
      <c r="P1" s="4093"/>
      <c r="Q1" s="4093"/>
    </row>
    <row r="2" spans="1:112" s="29" customFormat="1" ht="8.25" customHeight="1" x14ac:dyDescent="0.25">
      <c r="A2" s="28"/>
      <c r="C2" s="191"/>
      <c r="D2" s="191"/>
      <c r="E2" s="191"/>
      <c r="F2" s="1471"/>
      <c r="G2" s="1471"/>
      <c r="H2" s="1471"/>
      <c r="I2" s="1471"/>
      <c r="J2" s="1471"/>
      <c r="K2" s="1471"/>
      <c r="L2" s="1471"/>
      <c r="M2" s="1471"/>
      <c r="N2" s="1471"/>
      <c r="O2" s="1471"/>
      <c r="P2" s="1471"/>
      <c r="Q2" s="1471"/>
      <c r="R2" s="973"/>
      <c r="S2" s="973"/>
      <c r="T2" s="973"/>
      <c r="U2" s="973"/>
      <c r="DB2" s="30"/>
      <c r="DG2" s="2280"/>
      <c r="DH2" s="2280"/>
    </row>
    <row r="3" spans="1:112" ht="77.25" customHeight="1" x14ac:dyDescent="0.35">
      <c r="B3" s="31"/>
      <c r="C3" s="1492"/>
      <c r="E3" s="4094" t="s">
        <v>12</v>
      </c>
      <c r="F3" s="4095"/>
      <c r="G3" s="4095"/>
      <c r="H3" s="4096" t="s">
        <v>13</v>
      </c>
      <c r="I3" s="4096"/>
      <c r="J3" s="4096"/>
      <c r="K3" s="972"/>
      <c r="L3" s="972"/>
      <c r="V3" s="33"/>
      <c r="W3" s="34"/>
      <c r="X3" s="34"/>
      <c r="Y3" s="35"/>
      <c r="Z3" s="35"/>
      <c r="AA3" s="35"/>
      <c r="AB3" s="35"/>
      <c r="AC3" s="35"/>
      <c r="AD3" s="35"/>
      <c r="AE3" s="35"/>
      <c r="AF3" s="35"/>
      <c r="AG3" s="35"/>
      <c r="AH3" s="35"/>
      <c r="DD3" s="2067"/>
    </row>
    <row r="4" spans="1:112" ht="21" outlineLevel="1" x14ac:dyDescent="0.35">
      <c r="B4" s="31"/>
      <c r="C4" s="2968"/>
      <c r="D4" s="3347" t="s">
        <v>3212</v>
      </c>
      <c r="E4" s="3347"/>
      <c r="F4" s="3347"/>
      <c r="G4" s="3347"/>
      <c r="H4" s="3347"/>
      <c r="I4" s="3347"/>
      <c r="J4" s="3347"/>
      <c r="K4" s="972"/>
      <c r="L4" s="972"/>
      <c r="V4" s="37"/>
      <c r="W4" s="38"/>
      <c r="X4" s="39"/>
      <c r="Y4" s="40"/>
      <c r="AJ4" s="29"/>
      <c r="AK4" s="29"/>
      <c r="AL4" s="29"/>
      <c r="AM4" s="29"/>
      <c r="AN4" s="29"/>
      <c r="AO4" s="29"/>
      <c r="AP4" s="29"/>
      <c r="AQ4" s="29"/>
      <c r="AR4" s="29"/>
      <c r="AS4" s="29"/>
      <c r="AT4" s="29"/>
      <c r="AU4" s="29"/>
    </row>
    <row r="5" spans="1:112" s="44" customFormat="1" ht="23.25" customHeight="1" x14ac:dyDescent="0.35">
      <c r="A5" s="41"/>
      <c r="B5" s="31" t="s">
        <v>15</v>
      </c>
      <c r="C5" s="1492"/>
      <c r="D5" s="1474"/>
      <c r="E5" s="1475"/>
      <c r="F5" s="1475"/>
      <c r="G5" s="1475"/>
      <c r="H5" s="1476"/>
      <c r="I5" s="1477"/>
      <c r="J5" s="1477"/>
      <c r="K5" s="1477"/>
      <c r="L5" s="198"/>
      <c r="M5" s="198"/>
      <c r="N5" s="198"/>
      <c r="O5" s="198"/>
      <c r="P5" s="198"/>
      <c r="Q5" s="198"/>
      <c r="R5" s="198"/>
      <c r="S5" s="198"/>
      <c r="T5" s="198"/>
      <c r="U5" s="198"/>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c r="DG5" s="2281"/>
      <c r="DH5" s="2281"/>
    </row>
    <row r="6" spans="1:112" s="46" customFormat="1" x14ac:dyDescent="0.25">
      <c r="B6" s="4084" t="s">
        <v>16</v>
      </c>
      <c r="C6" s="4085"/>
      <c r="D6" s="4085"/>
      <c r="E6" s="4085"/>
      <c r="F6" s="4085"/>
      <c r="G6" s="4085"/>
      <c r="H6" s="4085"/>
      <c r="I6" s="4086"/>
      <c r="J6" s="4086"/>
      <c r="K6" s="4086"/>
      <c r="L6" s="4086"/>
      <c r="M6" s="4087"/>
      <c r="N6" s="4087"/>
      <c r="O6" s="4088"/>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c r="DG6" s="2282"/>
      <c r="DH6" s="2282"/>
    </row>
    <row r="7" spans="1:112" x14ac:dyDescent="0.25">
      <c r="D7" s="1478"/>
      <c r="E7" s="1473"/>
      <c r="F7" s="1473"/>
      <c r="G7" s="1473"/>
      <c r="H7" s="1479"/>
      <c r="I7" s="1473"/>
      <c r="J7" s="1473"/>
      <c r="K7" s="1473"/>
      <c r="L7" s="1473"/>
      <c r="P7" s="1473"/>
      <c r="Q7" s="1473"/>
      <c r="R7" s="1473"/>
      <c r="S7" s="1473"/>
      <c r="T7" s="1473"/>
      <c r="U7" s="1473"/>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12" s="50" customFormat="1" ht="30" x14ac:dyDescent="0.25">
      <c r="B8" s="51"/>
      <c r="C8" s="52" t="s">
        <v>17</v>
      </c>
      <c r="D8" s="1435" t="s">
        <v>18</v>
      </c>
      <c r="E8" s="1435" t="s">
        <v>19</v>
      </c>
      <c r="F8" s="1435" t="s">
        <v>20</v>
      </c>
      <c r="G8" s="1435" t="s">
        <v>21</v>
      </c>
      <c r="H8" s="53" t="s">
        <v>22</v>
      </c>
      <c r="I8" s="1435" t="s">
        <v>23</v>
      </c>
      <c r="J8" s="2497" t="s">
        <v>24</v>
      </c>
      <c r="K8" s="54" t="s">
        <v>25</v>
      </c>
      <c r="L8" s="52" t="s">
        <v>26</v>
      </c>
      <c r="M8" s="1470"/>
      <c r="N8" s="1470"/>
      <c r="O8" s="1470"/>
      <c r="P8" s="1480"/>
      <c r="Q8" s="1480"/>
      <c r="R8" s="1480"/>
      <c r="S8" s="1480"/>
      <c r="T8" s="1480"/>
      <c r="U8" s="1480"/>
      <c r="V8" s="55" t="s">
        <v>27</v>
      </c>
      <c r="W8" s="56">
        <v>43252</v>
      </c>
      <c r="X8" s="56">
        <v>43465</v>
      </c>
      <c r="Y8" s="56">
        <v>43800</v>
      </c>
      <c r="Z8" s="56">
        <v>43862</v>
      </c>
      <c r="AA8" s="56">
        <v>44013</v>
      </c>
      <c r="AB8" s="2284">
        <v>44166</v>
      </c>
      <c r="AC8" s="56" t="s">
        <v>28</v>
      </c>
      <c r="AD8" s="56" t="s">
        <v>28</v>
      </c>
      <c r="AE8" s="56" t="s">
        <v>28</v>
      </c>
      <c r="AF8" s="56" t="s">
        <v>28</v>
      </c>
      <c r="AG8" s="56" t="s">
        <v>28</v>
      </c>
      <c r="AH8"/>
      <c r="AI8" s="55" t="s">
        <v>27</v>
      </c>
      <c r="AJ8" s="56">
        <f>W8</f>
        <v>43252</v>
      </c>
      <c r="AK8" s="56">
        <f t="shared" ref="AK8:AS8" si="0">X8</f>
        <v>43465</v>
      </c>
      <c r="AL8" s="56">
        <f t="shared" si="0"/>
        <v>43800</v>
      </c>
      <c r="AM8" s="56">
        <f t="shared" si="0"/>
        <v>43862</v>
      </c>
      <c r="AN8" s="56">
        <f t="shared" si="0"/>
        <v>44013</v>
      </c>
      <c r="AO8" s="2284">
        <f t="shared" si="0"/>
        <v>44166</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f t="shared" si="1"/>
        <v>43862</v>
      </c>
      <c r="AZ8" s="56">
        <f t="shared" si="1"/>
        <v>44013</v>
      </c>
      <c r="BA8" s="2284">
        <f t="shared" si="1"/>
        <v>44166</v>
      </c>
      <c r="BB8" s="56" t="str">
        <f t="shared" si="1"/>
        <v>-</v>
      </c>
      <c r="BC8" s="56" t="str">
        <f t="shared" si="1"/>
        <v>-</v>
      </c>
      <c r="BD8" s="56" t="str">
        <f t="shared" si="1"/>
        <v>-</v>
      </c>
      <c r="BE8" s="56" t="str">
        <f t="shared" si="1"/>
        <v>-</v>
      </c>
      <c r="CI8" s="46"/>
      <c r="DB8" s="2285" t="s">
        <v>29</v>
      </c>
      <c r="DC8" s="58" t="s">
        <v>30</v>
      </c>
      <c r="DD8" s="59" t="s">
        <v>31</v>
      </c>
      <c r="DE8" s="59" t="s">
        <v>32</v>
      </c>
    </row>
    <row r="9" spans="1:112" x14ac:dyDescent="0.25">
      <c r="C9" s="2356" t="s">
        <v>33</v>
      </c>
      <c r="D9" s="1482" t="s">
        <v>34</v>
      </c>
      <c r="E9" s="1490" t="s">
        <v>35</v>
      </c>
      <c r="F9" s="2306">
        <f t="shared" ref="F9:F29" si="2">ROUND(((F42-G42)/1000)*H42*I42*J42,2)</f>
        <v>173.16</v>
      </c>
      <c r="G9" s="1482" t="s">
        <v>36</v>
      </c>
      <c r="H9" s="1483">
        <f>VLOOKUP(G9,'CP FACTORS'!$A$26:$B$38,2,FALSE)</f>
        <v>1.899635E-4</v>
      </c>
      <c r="I9" s="1565">
        <f>ROUND(H9*F9,6)</f>
        <v>3.2894E-2</v>
      </c>
      <c r="J9" s="87">
        <v>17</v>
      </c>
      <c r="K9" s="2494">
        <v>15.64</v>
      </c>
      <c r="L9" s="2495" t="s">
        <v>37</v>
      </c>
      <c r="M9" s="1485"/>
      <c r="P9" s="1486"/>
      <c r="Q9" s="1487"/>
      <c r="R9" s="1488"/>
      <c r="S9" s="1488"/>
      <c r="T9" s="1489"/>
      <c r="V9" s="2434" t="s">
        <v>20</v>
      </c>
      <c r="W9" s="2372">
        <v>87.483200000000011</v>
      </c>
      <c r="X9" s="2509">
        <v>88.562211839999989</v>
      </c>
      <c r="Y9" s="2372">
        <v>88.56</v>
      </c>
      <c r="Z9" s="163">
        <v>88.56</v>
      </c>
      <c r="AA9" s="163">
        <v>88.56</v>
      </c>
      <c r="AB9" s="2372">
        <v>173.16</v>
      </c>
      <c r="AC9" s="2510"/>
      <c r="AD9" s="2510"/>
      <c r="AE9" s="2510"/>
      <c r="AF9" s="2510"/>
      <c r="AG9" s="2510"/>
      <c r="AH9" s="2511"/>
      <c r="AI9" s="2434" t="s">
        <v>24</v>
      </c>
      <c r="AJ9" s="87">
        <v>21</v>
      </c>
      <c r="AK9" s="87">
        <v>21</v>
      </c>
      <c r="AL9" s="87">
        <v>21</v>
      </c>
      <c r="AM9" s="87">
        <v>21</v>
      </c>
      <c r="AN9" s="87">
        <v>21</v>
      </c>
      <c r="AO9" s="2512">
        <f>J9</f>
        <v>17</v>
      </c>
      <c r="AP9" s="2510"/>
      <c r="AQ9" s="2510"/>
      <c r="AR9" s="2510"/>
      <c r="AS9" s="2510"/>
      <c r="AT9" s="2280"/>
      <c r="AU9" s="2434" t="s">
        <v>25</v>
      </c>
      <c r="AV9" s="2513">
        <v>15.64</v>
      </c>
      <c r="AW9" s="2513">
        <v>15.64</v>
      </c>
      <c r="AX9" s="2513">
        <v>15.64</v>
      </c>
      <c r="AY9" s="2513">
        <v>15.64</v>
      </c>
      <c r="AZ9" s="2513">
        <v>15.64</v>
      </c>
      <c r="BA9" s="2514">
        <v>15.64</v>
      </c>
      <c r="BB9" s="2510"/>
      <c r="BC9" s="2510"/>
      <c r="BD9" s="2510"/>
      <c r="BE9" s="2510"/>
      <c r="BF9" s="2280"/>
      <c r="BG9" s="2280"/>
      <c r="BH9" s="2280"/>
      <c r="BI9" s="2280"/>
      <c r="BJ9" s="2280"/>
      <c r="DB9" s="2292">
        <f>(DD9)/(DE9)</f>
        <v>7.5546175411873469</v>
      </c>
      <c r="DC9" s="2354" t="str">
        <f t="shared" ref="DC9:DC30" si="3">CONCATENATE(G9," ",J9," Year EUL")</f>
        <v>Lighting BUS 17 Year EUL</v>
      </c>
      <c r="DD9" s="2293">
        <f>(INDEX('Avoided Cost Benefits'!$C$4:$C$857,MATCH(DC9,'Avoided Cost Benefits'!$A$4:$A$857,0)))*F9</f>
        <v>111.51884695060888</v>
      </c>
      <c r="DE9" s="2293">
        <f t="shared" ref="DE9:DE24" si="4">K9/(1.0595^(2020-2019))</f>
        <v>14.761680037753656</v>
      </c>
    </row>
    <row r="10" spans="1:112" x14ac:dyDescent="0.25">
      <c r="C10" s="2356" t="s">
        <v>38</v>
      </c>
      <c r="D10" s="1482" t="s">
        <v>34</v>
      </c>
      <c r="E10" s="1490" t="s">
        <v>39</v>
      </c>
      <c r="F10" s="2306">
        <f t="shared" si="2"/>
        <v>132.04</v>
      </c>
      <c r="G10" s="1482" t="s">
        <v>36</v>
      </c>
      <c r="H10" s="1483">
        <f>VLOOKUP(G10,'CP FACTORS'!$A$26:$B$38,2,FALSE)</f>
        <v>1.899635E-4</v>
      </c>
      <c r="I10" s="1565">
        <f t="shared" ref="I10:I29" si="5">ROUND(H10*F10,6)</f>
        <v>2.5083000000000001E-2</v>
      </c>
      <c r="J10" s="87">
        <v>17</v>
      </c>
      <c r="K10" s="2494">
        <v>19.64</v>
      </c>
      <c r="L10" s="2495" t="s">
        <v>37</v>
      </c>
      <c r="M10" s="1485"/>
      <c r="P10" s="1486"/>
      <c r="Q10" s="1487"/>
      <c r="R10" s="1488"/>
      <c r="S10" s="1488"/>
      <c r="T10" s="1489"/>
      <c r="V10" s="2434" t="s">
        <v>20</v>
      </c>
      <c r="W10" s="2372">
        <v>153.09560000000002</v>
      </c>
      <c r="X10" s="163">
        <v>153.09560000000002</v>
      </c>
      <c r="Y10" s="2372">
        <v>153.09560000000002</v>
      </c>
      <c r="Z10" s="163">
        <v>153.09560000000002</v>
      </c>
      <c r="AA10" s="163">
        <v>153.09560000000002</v>
      </c>
      <c r="AB10" s="2372">
        <v>132.04</v>
      </c>
      <c r="AC10" s="2510"/>
      <c r="AD10" s="2510"/>
      <c r="AE10" s="2510"/>
      <c r="AF10" s="2510"/>
      <c r="AG10" s="2510"/>
      <c r="AH10" s="2511"/>
      <c r="AI10" s="2434" t="s">
        <v>24</v>
      </c>
      <c r="AJ10" s="87">
        <v>17</v>
      </c>
      <c r="AK10" s="87">
        <v>17</v>
      </c>
      <c r="AL10" s="87">
        <v>17</v>
      </c>
      <c r="AM10" s="87">
        <v>17</v>
      </c>
      <c r="AN10" s="87">
        <v>17</v>
      </c>
      <c r="AO10" s="2512">
        <f t="shared" ref="AO10:AO30" si="6">J10</f>
        <v>17</v>
      </c>
      <c r="AP10" s="2510"/>
      <c r="AQ10" s="2510"/>
      <c r="AR10" s="2510"/>
      <c r="AS10" s="2510"/>
      <c r="AT10" s="2280"/>
      <c r="AU10" s="2434" t="s">
        <v>25</v>
      </c>
      <c r="AV10" s="2513">
        <v>19.64</v>
      </c>
      <c r="AW10" s="2513">
        <v>19.64</v>
      </c>
      <c r="AX10" s="2513">
        <v>19.64</v>
      </c>
      <c r="AY10" s="2513">
        <v>19.64</v>
      </c>
      <c r="AZ10" s="2513">
        <v>19.64</v>
      </c>
      <c r="BA10" s="2514">
        <v>19.64</v>
      </c>
      <c r="BB10" s="2510"/>
      <c r="BC10" s="2510"/>
      <c r="BD10" s="2510"/>
      <c r="BE10" s="2510"/>
      <c r="BF10" s="2280"/>
      <c r="BG10" s="2280"/>
      <c r="BH10" s="2280"/>
      <c r="BI10" s="2280"/>
      <c r="BJ10" s="2280"/>
      <c r="DB10" s="71">
        <f t="shared" ref="DB10:DB30" si="7">(DD10)/(DE10)</f>
        <v>4.587390242593826</v>
      </c>
      <c r="DC10" s="2295" t="str">
        <f t="shared" si="3"/>
        <v>Lighting BUS 17 Year EUL</v>
      </c>
      <c r="DD10" s="2296">
        <f>(INDEX('Avoided Cost Benefits'!$C$4:$C$857,MATCH(DC10,'Avoided Cost Benefits'!$A$4:$A$857,0)))*F10</f>
        <v>85.036662920757664</v>
      </c>
      <c r="DE10" s="2296">
        <f t="shared" si="4"/>
        <v>18.537045776309579</v>
      </c>
    </row>
    <row r="11" spans="1:112" ht="15.75" customHeight="1" x14ac:dyDescent="0.25">
      <c r="C11" s="2356" t="s">
        <v>40</v>
      </c>
      <c r="D11" s="1482" t="s">
        <v>34</v>
      </c>
      <c r="E11" s="1490" t="s">
        <v>41</v>
      </c>
      <c r="F11" s="2306">
        <f t="shared" si="2"/>
        <v>161.96</v>
      </c>
      <c r="G11" s="1482" t="s">
        <v>36</v>
      </c>
      <c r="H11" s="1483">
        <f>VLOOKUP(G11,'CP FACTORS'!$A$26:$B$38,2,FALSE)</f>
        <v>1.899635E-4</v>
      </c>
      <c r="I11" s="1565">
        <f t="shared" si="5"/>
        <v>3.0766000000000002E-2</v>
      </c>
      <c r="J11" s="87">
        <v>11</v>
      </c>
      <c r="K11" s="2494">
        <v>48.27</v>
      </c>
      <c r="L11" s="2495" t="s">
        <v>37</v>
      </c>
      <c r="M11" s="1485"/>
      <c r="P11" s="1486"/>
      <c r="Q11" s="1487"/>
      <c r="R11" s="1488"/>
      <c r="S11" s="1488"/>
      <c r="T11" s="1489"/>
      <c r="V11" s="2434" t="s">
        <v>20</v>
      </c>
      <c r="W11" s="2372">
        <v>201.52379999999999</v>
      </c>
      <c r="X11" s="2509">
        <v>203.76008631000005</v>
      </c>
      <c r="Y11" s="2372">
        <v>203.76008631000005</v>
      </c>
      <c r="Z11" s="163">
        <v>203.76008631000005</v>
      </c>
      <c r="AA11" s="163">
        <v>203.76008631000005</v>
      </c>
      <c r="AB11" s="2372">
        <v>161.96</v>
      </c>
      <c r="AC11" s="2510"/>
      <c r="AD11" s="2510"/>
      <c r="AE11" s="2510"/>
      <c r="AF11" s="2510"/>
      <c r="AG11" s="2510"/>
      <c r="AH11" s="2511"/>
      <c r="AI11" s="2434" t="s">
        <v>24</v>
      </c>
      <c r="AJ11" s="87">
        <v>14</v>
      </c>
      <c r="AK11" s="87">
        <v>14</v>
      </c>
      <c r="AL11" s="87">
        <v>14</v>
      </c>
      <c r="AM11" s="87">
        <v>14</v>
      </c>
      <c r="AN11" s="87">
        <v>14</v>
      </c>
      <c r="AO11" s="2512">
        <f t="shared" si="6"/>
        <v>11</v>
      </c>
      <c r="AP11" s="2510"/>
      <c r="AQ11" s="2510"/>
      <c r="AR11" s="2510"/>
      <c r="AS11" s="2510"/>
      <c r="AT11" s="2280"/>
      <c r="AU11" s="2434" t="s">
        <v>25</v>
      </c>
      <c r="AV11" s="2513">
        <v>48.27</v>
      </c>
      <c r="AW11" s="2513">
        <v>48.27</v>
      </c>
      <c r="AX11" s="2513">
        <v>48.27</v>
      </c>
      <c r="AY11" s="2513">
        <v>48.27</v>
      </c>
      <c r="AZ11" s="2513">
        <v>48.27</v>
      </c>
      <c r="BA11" s="2514">
        <v>48.27</v>
      </c>
      <c r="BB11" s="2510"/>
      <c r="BC11" s="2510"/>
      <c r="BD11" s="2510"/>
      <c r="BE11" s="2510"/>
      <c r="BF11" s="2280"/>
      <c r="BG11" s="2280"/>
      <c r="BH11" s="2280"/>
      <c r="BI11" s="2280"/>
      <c r="BJ11" s="2280"/>
      <c r="DB11" s="71">
        <f t="shared" si="7"/>
        <v>1.5414922622469123</v>
      </c>
      <c r="DC11" s="2295" t="str">
        <f t="shared" si="3"/>
        <v>Lighting BUS 11 Year EUL</v>
      </c>
      <c r="DD11" s="2296">
        <f>(INDEX('Avoided Cost Benefits'!$C$4:$C$857,MATCH(DC11,'Avoided Cost Benefits'!$A$4:$A$857,0)))*F11</f>
        <v>70.229194430069327</v>
      </c>
      <c r="DE11" s="2296">
        <f t="shared" si="4"/>
        <v>45.559226050023597</v>
      </c>
    </row>
    <row r="12" spans="1:112" x14ac:dyDescent="0.25">
      <c r="C12" s="2356" t="s">
        <v>42</v>
      </c>
      <c r="D12" s="1482" t="s">
        <v>34</v>
      </c>
      <c r="E12" s="1490" t="s">
        <v>43</v>
      </c>
      <c r="F12" s="2306">
        <f t="shared" si="2"/>
        <v>154.05000000000001</v>
      </c>
      <c r="G12" s="1482" t="s">
        <v>36</v>
      </c>
      <c r="H12" s="1483">
        <f>VLOOKUP(G12,'CP FACTORS'!$A$26:$B$38,2,FALSE)</f>
        <v>1.899635E-4</v>
      </c>
      <c r="I12" s="1565">
        <f t="shared" si="5"/>
        <v>2.9263999999999998E-2</v>
      </c>
      <c r="J12" s="87">
        <v>11</v>
      </c>
      <c r="K12" s="2494">
        <v>36.64</v>
      </c>
      <c r="L12" s="2495" t="s">
        <v>37</v>
      </c>
      <c r="M12" s="1485"/>
      <c r="P12" s="1486"/>
      <c r="Q12" s="1487"/>
      <c r="R12" s="1488"/>
      <c r="S12" s="1488"/>
      <c r="T12" s="1489"/>
      <c r="V12" s="2434" t="s">
        <v>20</v>
      </c>
      <c r="W12" s="2372">
        <v>178.0908</v>
      </c>
      <c r="X12" s="2509">
        <v>164.59091000000001</v>
      </c>
      <c r="Y12" s="2372">
        <v>164.59091000000001</v>
      </c>
      <c r="Z12" s="163">
        <v>164.59091000000001</v>
      </c>
      <c r="AA12" s="163">
        <v>164.59091000000001</v>
      </c>
      <c r="AB12" s="2372">
        <v>154.05000000000001</v>
      </c>
      <c r="AC12" s="2510"/>
      <c r="AD12" s="2510"/>
      <c r="AE12" s="2510"/>
      <c r="AF12" s="2510"/>
      <c r="AG12" s="2510"/>
      <c r="AH12" s="2511"/>
      <c r="AI12" s="2434" t="s">
        <v>24</v>
      </c>
      <c r="AJ12" s="87">
        <v>12</v>
      </c>
      <c r="AK12" s="87">
        <v>12</v>
      </c>
      <c r="AL12" s="87">
        <v>12</v>
      </c>
      <c r="AM12" s="87">
        <v>12</v>
      </c>
      <c r="AN12" s="87">
        <v>12</v>
      </c>
      <c r="AO12" s="2512">
        <f t="shared" si="6"/>
        <v>11</v>
      </c>
      <c r="AP12" s="2510"/>
      <c r="AQ12" s="2510"/>
      <c r="AR12" s="2510"/>
      <c r="AS12" s="2510"/>
      <c r="AT12" s="2280"/>
      <c r="AU12" s="2434" t="s">
        <v>25</v>
      </c>
      <c r="AV12" s="2513">
        <v>36.64</v>
      </c>
      <c r="AW12" s="2513">
        <v>36.64</v>
      </c>
      <c r="AX12" s="2513">
        <v>36.64</v>
      </c>
      <c r="AY12" s="2513">
        <v>36.64</v>
      </c>
      <c r="AZ12" s="2513">
        <v>36.64</v>
      </c>
      <c r="BA12" s="2514">
        <v>36.64</v>
      </c>
      <c r="BB12" s="2510"/>
      <c r="BC12" s="2510"/>
      <c r="BD12" s="2510"/>
      <c r="BE12" s="2510"/>
      <c r="BF12" s="2280"/>
      <c r="BG12" s="2280"/>
      <c r="BH12" s="2280"/>
      <c r="BI12" s="2280"/>
      <c r="BJ12" s="2280"/>
      <c r="DB12" s="71">
        <f t="shared" si="7"/>
        <v>1.931599647354894</v>
      </c>
      <c r="DC12" s="2295" t="str">
        <f t="shared" si="3"/>
        <v>Lighting BUS 11 Year EUL</v>
      </c>
      <c r="DD12" s="2296">
        <f>(INDEX('Avoided Cost Benefits'!$C$4:$C$857,MATCH(DC12,'Avoided Cost Benefits'!$A$4:$A$857,0)))*F12</f>
        <v>66.799255383750179</v>
      </c>
      <c r="DE12" s="2296">
        <f t="shared" si="4"/>
        <v>34.582350165172251</v>
      </c>
    </row>
    <row r="13" spans="1:112" x14ac:dyDescent="0.25">
      <c r="C13" s="2356" t="s">
        <v>44</v>
      </c>
      <c r="D13" s="1482" t="s">
        <v>34</v>
      </c>
      <c r="E13" s="1490" t="s">
        <v>45</v>
      </c>
      <c r="F13" s="2306">
        <f t="shared" si="2"/>
        <v>227.11</v>
      </c>
      <c r="G13" s="1482" t="s">
        <v>36</v>
      </c>
      <c r="H13" s="1483">
        <f>VLOOKUP(G13,'CP FACTORS'!$A$26:$B$38,2,FALSE)</f>
        <v>1.899635E-4</v>
      </c>
      <c r="I13" s="1565">
        <f t="shared" si="5"/>
        <v>4.3143000000000001E-2</v>
      </c>
      <c r="J13" s="87">
        <v>11</v>
      </c>
      <c r="K13" s="2494">
        <v>74.64</v>
      </c>
      <c r="L13" s="2495" t="s">
        <v>37</v>
      </c>
      <c r="M13" s="1485"/>
      <c r="P13" s="1486"/>
      <c r="Q13" s="1487"/>
      <c r="R13" s="1488"/>
      <c r="S13" s="1488"/>
      <c r="T13" s="1489"/>
      <c r="V13" s="2434" t="s">
        <v>20</v>
      </c>
      <c r="W13" s="2372">
        <v>257.76300000000003</v>
      </c>
      <c r="X13" s="2509">
        <v>255.72252816000005</v>
      </c>
      <c r="Y13" s="2372">
        <v>255.72252816000005</v>
      </c>
      <c r="Z13" s="163">
        <v>255.72252816000005</v>
      </c>
      <c r="AA13" s="163">
        <v>255.72252816000005</v>
      </c>
      <c r="AB13" s="2372">
        <v>227.11</v>
      </c>
      <c r="AC13" s="2372"/>
      <c r="AD13" s="2372"/>
      <c r="AE13" s="2372"/>
      <c r="AF13" s="2372"/>
      <c r="AG13" s="2372"/>
      <c r="AH13" s="2511"/>
      <c r="AI13" s="2434" t="s">
        <v>24</v>
      </c>
      <c r="AJ13" s="87">
        <v>12</v>
      </c>
      <c r="AK13" s="87">
        <v>12</v>
      </c>
      <c r="AL13" s="87">
        <v>12</v>
      </c>
      <c r="AM13" s="87">
        <v>12</v>
      </c>
      <c r="AN13" s="87">
        <v>12</v>
      </c>
      <c r="AO13" s="2512">
        <f t="shared" si="6"/>
        <v>11</v>
      </c>
      <c r="AP13" s="2372"/>
      <c r="AQ13" s="2372"/>
      <c r="AR13" s="2372"/>
      <c r="AS13" s="2372"/>
      <c r="AT13" s="2280"/>
      <c r="AU13" s="2434" t="s">
        <v>25</v>
      </c>
      <c r="AV13" s="2513">
        <v>74.64</v>
      </c>
      <c r="AW13" s="2513">
        <v>74.64</v>
      </c>
      <c r="AX13" s="2513">
        <v>74.64</v>
      </c>
      <c r="AY13" s="2513">
        <v>74.64</v>
      </c>
      <c r="AZ13" s="2513">
        <v>74.64</v>
      </c>
      <c r="BA13" s="2514">
        <v>74.64</v>
      </c>
      <c r="BB13" s="2372"/>
      <c r="BC13" s="2372"/>
      <c r="BD13" s="2372"/>
      <c r="BE13" s="2372"/>
      <c r="BF13" s="2280"/>
      <c r="BG13" s="2280"/>
      <c r="BH13" s="2280"/>
      <c r="BI13" s="2280"/>
      <c r="BJ13" s="2280"/>
      <c r="DB13" s="71">
        <f t="shared" si="7"/>
        <v>1.3978980733982589</v>
      </c>
      <c r="DC13" s="2295" t="str">
        <f t="shared" si="3"/>
        <v>Lighting BUS 11 Year EUL</v>
      </c>
      <c r="DD13" s="2296">
        <f>(INDEX('Avoided Cost Benefits'!$C$4:$C$857,MATCH(DC13,'Avoided Cost Benefits'!$A$4:$A$857,0)))*F13</f>
        <v>98.479577346338871</v>
      </c>
      <c r="DE13" s="2296">
        <f t="shared" si="4"/>
        <v>70.448324681453514</v>
      </c>
    </row>
    <row r="14" spans="1:112" x14ac:dyDescent="0.25">
      <c r="C14" s="2356" t="s">
        <v>46</v>
      </c>
      <c r="D14" s="1482" t="s">
        <v>34</v>
      </c>
      <c r="E14" s="1235" t="s">
        <v>47</v>
      </c>
      <c r="F14" s="2306">
        <f t="shared" si="2"/>
        <v>1198.19</v>
      </c>
      <c r="G14" s="1482" t="s">
        <v>36</v>
      </c>
      <c r="H14" s="1483">
        <f>VLOOKUP(G14,'CP FACTORS'!$A$26:$B$38,2,FALSE)</f>
        <v>1.899635E-4</v>
      </c>
      <c r="I14" s="1565">
        <f t="shared" si="5"/>
        <v>0.22761200000000001</v>
      </c>
      <c r="J14" s="87">
        <v>11</v>
      </c>
      <c r="K14" s="2494">
        <v>191.39</v>
      </c>
      <c r="L14" s="2495" t="s">
        <v>37</v>
      </c>
      <c r="M14" s="1485"/>
      <c r="V14" s="2434" t="s">
        <v>20</v>
      </c>
      <c r="W14" s="2372">
        <v>576.45180000000005</v>
      </c>
      <c r="X14" s="2509">
        <v>369.51600000000002</v>
      </c>
      <c r="Y14" s="2372">
        <v>369.51600000000002</v>
      </c>
      <c r="Z14" s="163">
        <v>369.51600000000002</v>
      </c>
      <c r="AA14" s="163">
        <v>369.51600000000002</v>
      </c>
      <c r="AB14" s="2372">
        <v>1198.19</v>
      </c>
      <c r="AC14" s="2372"/>
      <c r="AD14" s="2372"/>
      <c r="AE14" s="2372"/>
      <c r="AF14" s="2372"/>
      <c r="AG14" s="2372"/>
      <c r="AH14" s="2280"/>
      <c r="AI14" s="2434" t="s">
        <v>24</v>
      </c>
      <c r="AJ14" s="87">
        <v>11</v>
      </c>
      <c r="AK14" s="87">
        <v>11</v>
      </c>
      <c r="AL14" s="87">
        <v>11</v>
      </c>
      <c r="AM14" s="87">
        <v>11</v>
      </c>
      <c r="AN14" s="87">
        <v>11</v>
      </c>
      <c r="AO14" s="2512">
        <f t="shared" si="6"/>
        <v>11</v>
      </c>
      <c r="AP14" s="2372"/>
      <c r="AQ14" s="2372"/>
      <c r="AR14" s="2372"/>
      <c r="AS14" s="2372"/>
      <c r="AT14" s="2280"/>
      <c r="AU14" s="2434" t="s">
        <v>25</v>
      </c>
      <c r="AV14" s="2513">
        <v>191.39</v>
      </c>
      <c r="AW14" s="2513">
        <v>191.39</v>
      </c>
      <c r="AX14" s="2513">
        <v>191.39</v>
      </c>
      <c r="AY14" s="2513">
        <v>191.39</v>
      </c>
      <c r="AZ14" s="2513">
        <v>191.39</v>
      </c>
      <c r="BA14" s="2514">
        <v>191.39</v>
      </c>
      <c r="BB14" s="2372"/>
      <c r="BC14" s="2372"/>
      <c r="BD14" s="2372"/>
      <c r="BE14" s="2372"/>
      <c r="BF14" s="2280"/>
      <c r="BG14" s="2280"/>
      <c r="BH14" s="2280"/>
      <c r="BI14" s="2280"/>
      <c r="BJ14" s="2280"/>
      <c r="DB14" s="71">
        <f t="shared" si="7"/>
        <v>2.8761883843658684</v>
      </c>
      <c r="DC14" s="2295" t="str">
        <f t="shared" si="3"/>
        <v>Lighting BUS 11 Year EUL</v>
      </c>
      <c r="DD14" s="2296">
        <f>(INDEX('Avoided Cost Benefits'!$C$4:$C$857,MATCH(DC14,'Avoided Cost Benefits'!$A$4:$A$857,0)))*F14</f>
        <v>519.55988191013068</v>
      </c>
      <c r="DE14" s="2296">
        <f t="shared" si="4"/>
        <v>180.64181217555446</v>
      </c>
    </row>
    <row r="15" spans="1:112" x14ac:dyDescent="0.25">
      <c r="C15" s="2356" t="s">
        <v>48</v>
      </c>
      <c r="D15" s="1482" t="s">
        <v>34</v>
      </c>
      <c r="E15" s="1235" t="s">
        <v>49</v>
      </c>
      <c r="F15" s="2306">
        <f t="shared" si="2"/>
        <v>902.06</v>
      </c>
      <c r="G15" s="1482" t="s">
        <v>36</v>
      </c>
      <c r="H15" s="1483">
        <f>VLOOKUP(G15,'CP FACTORS'!$A$26:$B$38,2,FALSE)</f>
        <v>1.899635E-4</v>
      </c>
      <c r="I15" s="1565">
        <f>ROUND(H15*F15,6)</f>
        <v>0.17135800000000001</v>
      </c>
      <c r="J15" s="87">
        <v>11</v>
      </c>
      <c r="K15" s="2494">
        <v>233.64</v>
      </c>
      <c r="L15" s="2495" t="s">
        <v>37</v>
      </c>
      <c r="M15" s="1485"/>
      <c r="V15" s="2434" t="s">
        <v>20</v>
      </c>
      <c r="W15" s="2372">
        <v>702.99</v>
      </c>
      <c r="X15" s="2509">
        <v>884.37428794386449</v>
      </c>
      <c r="Y15" s="2372">
        <v>884.37428794386449</v>
      </c>
      <c r="Z15" s="163">
        <v>884.37428794386449</v>
      </c>
      <c r="AA15" s="163">
        <v>884.37428794386449</v>
      </c>
      <c r="AB15" s="2372">
        <v>902.06</v>
      </c>
      <c r="AC15" s="2372"/>
      <c r="AD15" s="2372"/>
      <c r="AE15" s="2372"/>
      <c r="AF15" s="2372"/>
      <c r="AG15" s="2372"/>
      <c r="AH15" s="2280"/>
      <c r="AI15" s="2434" t="s">
        <v>24</v>
      </c>
      <c r="AJ15" s="87">
        <v>10</v>
      </c>
      <c r="AK15" s="87">
        <v>10</v>
      </c>
      <c r="AL15" s="87">
        <v>10</v>
      </c>
      <c r="AM15" s="87">
        <v>10</v>
      </c>
      <c r="AN15" s="87">
        <v>10</v>
      </c>
      <c r="AO15" s="2512">
        <f t="shared" si="6"/>
        <v>11</v>
      </c>
      <c r="AP15" s="2372"/>
      <c r="AQ15" s="2372"/>
      <c r="AR15" s="2372"/>
      <c r="AS15" s="2372"/>
      <c r="AT15" s="2280"/>
      <c r="AU15" s="2434" t="s">
        <v>25</v>
      </c>
      <c r="AV15" s="2513">
        <v>233.64</v>
      </c>
      <c r="AW15" s="2513">
        <v>233.64</v>
      </c>
      <c r="AX15" s="2513">
        <v>233.64</v>
      </c>
      <c r="AY15" s="2513">
        <v>233.64</v>
      </c>
      <c r="AZ15" s="2513">
        <v>233.64</v>
      </c>
      <c r="BA15" s="2514">
        <v>233.64</v>
      </c>
      <c r="BB15" s="2372"/>
      <c r="BC15" s="2372"/>
      <c r="BD15" s="2372"/>
      <c r="BE15" s="2372"/>
      <c r="BF15" s="2280"/>
      <c r="BG15" s="2280"/>
      <c r="BH15" s="2280"/>
      <c r="BI15" s="2280"/>
      <c r="BJ15" s="2280"/>
      <c r="DB15" s="71">
        <f t="shared" si="7"/>
        <v>1.7737773607434042</v>
      </c>
      <c r="DC15" s="2295" t="str">
        <f t="shared" si="3"/>
        <v>Lighting BUS 11 Year EUL</v>
      </c>
      <c r="DD15" s="2296">
        <f>(INDEX('Avoided Cost Benefits'!$C$4:$C$857,MATCH(DC15,'Avoided Cost Benefits'!$A$4:$A$857,0)))*F15</f>
        <v>391.15180987644067</v>
      </c>
      <c r="DE15" s="2296">
        <f t="shared" si="4"/>
        <v>220.51911278905141</v>
      </c>
    </row>
    <row r="16" spans="1:112" x14ac:dyDescent="0.25">
      <c r="C16" s="2356" t="s">
        <v>50</v>
      </c>
      <c r="D16" s="1482" t="s">
        <v>34</v>
      </c>
      <c r="E16" s="1235" t="s">
        <v>51</v>
      </c>
      <c r="F16" s="2306">
        <f t="shared" si="2"/>
        <v>1459.71</v>
      </c>
      <c r="G16" s="1482" t="s">
        <v>36</v>
      </c>
      <c r="H16" s="1483">
        <f>VLOOKUP(G16,'CP FACTORS'!$A$26:$B$38,2,FALSE)</f>
        <v>1.899635E-4</v>
      </c>
      <c r="I16" s="1565">
        <f t="shared" si="5"/>
        <v>0.27729199999999998</v>
      </c>
      <c r="J16" s="87">
        <v>11</v>
      </c>
      <c r="K16" s="2494">
        <v>361.64</v>
      </c>
      <c r="L16" s="2495" t="s">
        <v>37</v>
      </c>
      <c r="M16" s="1485"/>
      <c r="V16" s="2434" t="s">
        <v>20</v>
      </c>
      <c r="W16" s="2372">
        <v>1209.1428000000001</v>
      </c>
      <c r="X16" s="2509">
        <v>1471.9795478952801</v>
      </c>
      <c r="Y16" s="2372">
        <v>1471.9795478952801</v>
      </c>
      <c r="Z16" s="163">
        <v>1471.9795478952801</v>
      </c>
      <c r="AA16" s="163">
        <v>1471.9795478952801</v>
      </c>
      <c r="AB16" s="2372">
        <v>1459.71</v>
      </c>
      <c r="AC16" s="2372"/>
      <c r="AD16" s="2372"/>
      <c r="AE16" s="2372"/>
      <c r="AF16" s="2372"/>
      <c r="AG16" s="2372"/>
      <c r="AH16" s="2280"/>
      <c r="AI16" s="2434" t="s">
        <v>24</v>
      </c>
      <c r="AJ16" s="87">
        <v>11</v>
      </c>
      <c r="AK16" s="87">
        <v>11</v>
      </c>
      <c r="AL16" s="87">
        <v>11</v>
      </c>
      <c r="AM16" s="87">
        <v>11</v>
      </c>
      <c r="AN16" s="87">
        <v>11</v>
      </c>
      <c r="AO16" s="2512">
        <f t="shared" si="6"/>
        <v>11</v>
      </c>
      <c r="AP16" s="2372"/>
      <c r="AQ16" s="2372"/>
      <c r="AR16" s="2372"/>
      <c r="AS16" s="2372"/>
      <c r="AT16" s="2280"/>
      <c r="AU16" s="2434" t="s">
        <v>25</v>
      </c>
      <c r="AV16" s="2513">
        <v>361.64</v>
      </c>
      <c r="AW16" s="2513">
        <v>361.64</v>
      </c>
      <c r="AX16" s="2513">
        <v>361.64</v>
      </c>
      <c r="AY16" s="2513">
        <v>361.64</v>
      </c>
      <c r="AZ16" s="2513">
        <v>361.64</v>
      </c>
      <c r="BA16" s="2514">
        <v>361.64</v>
      </c>
      <c r="BB16" s="2372"/>
      <c r="BC16" s="2372"/>
      <c r="BD16" s="2372"/>
      <c r="BE16" s="2372"/>
      <c r="BF16" s="2280"/>
      <c r="BG16" s="2280"/>
      <c r="BH16" s="2280"/>
      <c r="BI16" s="2280"/>
      <c r="BJ16" s="2280"/>
      <c r="DB16" s="71">
        <f t="shared" si="7"/>
        <v>1.8543896832179516</v>
      </c>
      <c r="DC16" s="2295" t="str">
        <f t="shared" si="3"/>
        <v>Lighting BUS 11 Year EUL</v>
      </c>
      <c r="DD16" s="2296">
        <f>(INDEX('Avoided Cost Benefits'!$C$4:$C$857,MATCH(DC16,'Avoided Cost Benefits'!$A$4:$A$857,0)))*F16</f>
        <v>632.96034453887683</v>
      </c>
      <c r="DE16" s="2296">
        <f t="shared" si="4"/>
        <v>341.33081642284094</v>
      </c>
    </row>
    <row r="17" spans="3:109" x14ac:dyDescent="0.25">
      <c r="C17" s="2356" t="s">
        <v>52</v>
      </c>
      <c r="D17" s="1482" t="s">
        <v>34</v>
      </c>
      <c r="E17" s="1235" t="s">
        <v>53</v>
      </c>
      <c r="F17" s="2306">
        <f t="shared" si="2"/>
        <v>446.2</v>
      </c>
      <c r="G17" s="1482" t="s">
        <v>54</v>
      </c>
      <c r="H17" s="1483">
        <f>VLOOKUP(G17,'CP FACTORS'!$A$26:$B$38,2,FALSE)</f>
        <v>5.6160000000000001E-6</v>
      </c>
      <c r="I17" s="1565">
        <f t="shared" si="5"/>
        <v>2.506E-3</v>
      </c>
      <c r="J17" s="87">
        <v>12</v>
      </c>
      <c r="K17" s="2494">
        <v>191.39</v>
      </c>
      <c r="L17" s="2495" t="s">
        <v>37</v>
      </c>
      <c r="M17" s="1485"/>
      <c r="V17" s="2434" t="s">
        <v>20</v>
      </c>
      <c r="W17" s="2372">
        <v>439.45</v>
      </c>
      <c r="X17" s="2509">
        <v>455.12400000000002</v>
      </c>
      <c r="Y17" s="2509">
        <v>446.2</v>
      </c>
      <c r="Z17" s="163">
        <v>446.2</v>
      </c>
      <c r="AA17" s="163">
        <v>446.2</v>
      </c>
      <c r="AB17" s="2372">
        <v>446.2</v>
      </c>
      <c r="AC17" s="2372"/>
      <c r="AD17" s="2372"/>
      <c r="AE17" s="2372"/>
      <c r="AF17" s="2372"/>
      <c r="AG17" s="2372"/>
      <c r="AH17" s="2280"/>
      <c r="AI17" s="2434" t="s">
        <v>24</v>
      </c>
      <c r="AJ17" s="87">
        <v>11</v>
      </c>
      <c r="AK17" s="87">
        <v>11</v>
      </c>
      <c r="AL17" s="87">
        <v>11</v>
      </c>
      <c r="AM17" s="87">
        <v>11</v>
      </c>
      <c r="AN17" s="87">
        <v>11</v>
      </c>
      <c r="AO17" s="2512">
        <f t="shared" si="6"/>
        <v>12</v>
      </c>
      <c r="AP17" s="2372"/>
      <c r="AQ17" s="2372"/>
      <c r="AR17" s="2372"/>
      <c r="AS17" s="2372"/>
      <c r="AT17" s="2280"/>
      <c r="AU17" s="2434" t="s">
        <v>25</v>
      </c>
      <c r="AV17" s="2513">
        <v>191.39</v>
      </c>
      <c r="AW17" s="2513">
        <v>191.39</v>
      </c>
      <c r="AX17" s="2513">
        <v>191.39</v>
      </c>
      <c r="AY17" s="2513">
        <v>191.39</v>
      </c>
      <c r="AZ17" s="2513">
        <v>191.39</v>
      </c>
      <c r="BA17" s="2514">
        <v>191.39</v>
      </c>
      <c r="BB17" s="2372"/>
      <c r="BC17" s="2372"/>
      <c r="BD17" s="2372"/>
      <c r="BE17" s="2372"/>
      <c r="BF17" s="2280"/>
      <c r="BG17" s="2280"/>
      <c r="BH17" s="2280"/>
      <c r="BI17" s="2280"/>
      <c r="BJ17" s="2280"/>
      <c r="DB17" s="71">
        <f t="shared" si="7"/>
        <v>0.66874930525786846</v>
      </c>
      <c r="DC17" s="2295" t="str">
        <f t="shared" si="3"/>
        <v>Ext Lighting BUS 12 Year EUL</v>
      </c>
      <c r="DD17" s="2296">
        <f>(INDEX('Avoided Cost Benefits'!$C$4:$C$857,MATCH(DC17,'Avoided Cost Benefits'!$A$4:$A$857,0)))*F17</f>
        <v>120.80408639292442</v>
      </c>
      <c r="DE17" s="2296">
        <f t="shared" si="4"/>
        <v>180.64181217555446</v>
      </c>
    </row>
    <row r="18" spans="3:109" x14ac:dyDescent="0.25">
      <c r="C18" s="2356" t="s">
        <v>55</v>
      </c>
      <c r="D18" s="1482" t="s">
        <v>34</v>
      </c>
      <c r="E18" s="1235" t="s">
        <v>56</v>
      </c>
      <c r="F18" s="2306">
        <f t="shared" si="2"/>
        <v>713.51</v>
      </c>
      <c r="G18" s="1482" t="s">
        <v>54</v>
      </c>
      <c r="H18" s="1483">
        <f>VLOOKUP(G18,'CP FACTORS'!$A$26:$B$38,2,FALSE)</f>
        <v>5.6160000000000001E-6</v>
      </c>
      <c r="I18" s="1565">
        <f t="shared" si="5"/>
        <v>4.0070000000000001E-3</v>
      </c>
      <c r="J18" s="87">
        <v>12</v>
      </c>
      <c r="K18" s="2494">
        <v>233.64</v>
      </c>
      <c r="L18" s="2495" t="s">
        <v>37</v>
      </c>
      <c r="M18" s="1485"/>
      <c r="V18" s="2434" t="s">
        <v>20</v>
      </c>
      <c r="W18" s="2372">
        <v>1047.5333333333335</v>
      </c>
      <c r="X18" s="2509">
        <v>763.45076985983769</v>
      </c>
      <c r="Y18" s="2509">
        <v>713.50539239237162</v>
      </c>
      <c r="Z18" s="163">
        <v>713.50539239237162</v>
      </c>
      <c r="AA18" s="163">
        <v>713.50539239237162</v>
      </c>
      <c r="AB18" s="2372">
        <v>713.51</v>
      </c>
      <c r="AC18" s="2372"/>
      <c r="AD18" s="2372"/>
      <c r="AE18" s="2372"/>
      <c r="AF18" s="2372"/>
      <c r="AG18" s="2372"/>
      <c r="AH18" s="2280"/>
      <c r="AI18" s="2434" t="s">
        <v>24</v>
      </c>
      <c r="AJ18" s="87">
        <v>12</v>
      </c>
      <c r="AK18" s="87">
        <v>12</v>
      </c>
      <c r="AL18" s="87">
        <v>12</v>
      </c>
      <c r="AM18" s="87">
        <v>12</v>
      </c>
      <c r="AN18" s="87">
        <v>12</v>
      </c>
      <c r="AO18" s="2512">
        <f t="shared" si="6"/>
        <v>12</v>
      </c>
      <c r="AP18" s="2372"/>
      <c r="AQ18" s="2372"/>
      <c r="AR18" s="2372"/>
      <c r="AS18" s="2372"/>
      <c r="AT18" s="2280"/>
      <c r="AU18" s="2434" t="s">
        <v>25</v>
      </c>
      <c r="AV18" s="2513">
        <v>233.64</v>
      </c>
      <c r="AW18" s="2513">
        <v>233.64</v>
      </c>
      <c r="AX18" s="2513">
        <v>233.64</v>
      </c>
      <c r="AY18" s="2513">
        <v>233.64</v>
      </c>
      <c r="AZ18" s="2513">
        <v>233.64</v>
      </c>
      <c r="BA18" s="2514">
        <v>233.64</v>
      </c>
      <c r="BB18" s="2372"/>
      <c r="BC18" s="2372"/>
      <c r="BD18" s="2372"/>
      <c r="BE18" s="2372"/>
      <c r="BF18" s="2280"/>
      <c r="BG18" s="2280"/>
      <c r="BH18" s="2280"/>
      <c r="BI18" s="2280"/>
      <c r="BJ18" s="2280"/>
      <c r="DB18" s="71">
        <f t="shared" si="7"/>
        <v>0.87600359206430567</v>
      </c>
      <c r="DC18" s="2295" t="str">
        <f t="shared" si="3"/>
        <v>Ext Lighting BUS 12 Year EUL</v>
      </c>
      <c r="DD18" s="2296">
        <f>(INDEX('Avoided Cost Benefits'!$C$4:$C$857,MATCH(DC18,'Avoided Cost Benefits'!$A$4:$A$857,0)))*F18</f>
        <v>193.1755349220428</v>
      </c>
      <c r="DE18" s="2296">
        <f t="shared" si="4"/>
        <v>220.51911278905141</v>
      </c>
    </row>
    <row r="19" spans="3:109" x14ac:dyDescent="0.25">
      <c r="C19" s="2356" t="s">
        <v>57</v>
      </c>
      <c r="D19" s="1482" t="s">
        <v>34</v>
      </c>
      <c r="E19" s="1235" t="s">
        <v>58</v>
      </c>
      <c r="F19" s="2306">
        <f t="shared" si="2"/>
        <v>1003.93</v>
      </c>
      <c r="G19" s="1482" t="s">
        <v>54</v>
      </c>
      <c r="H19" s="1483">
        <f>VLOOKUP(G19,'CP FACTORS'!$A$26:$B$38,2,FALSE)</f>
        <v>5.6160000000000001E-6</v>
      </c>
      <c r="I19" s="1565">
        <f t="shared" si="5"/>
        <v>5.6379999999999998E-3</v>
      </c>
      <c r="J19" s="87">
        <v>12</v>
      </c>
      <c r="K19" s="2494">
        <v>361.64</v>
      </c>
      <c r="L19" s="2495" t="s">
        <v>37</v>
      </c>
      <c r="M19" s="1485"/>
      <c r="V19" s="2434" t="s">
        <v>20</v>
      </c>
      <c r="W19" s="2372">
        <v>956.14999999999975</v>
      </c>
      <c r="X19" s="2509">
        <v>1074.2028039281829</v>
      </c>
      <c r="Y19" s="2509">
        <v>1003.9278541384887</v>
      </c>
      <c r="Z19" s="163">
        <v>1003.9278541384887</v>
      </c>
      <c r="AA19" s="163">
        <v>1003.9278541384887</v>
      </c>
      <c r="AB19" s="2372">
        <v>1003.93</v>
      </c>
      <c r="AC19" s="2372"/>
      <c r="AD19" s="2372"/>
      <c r="AE19" s="2372"/>
      <c r="AF19" s="2372"/>
      <c r="AG19" s="2372"/>
      <c r="AH19" s="2280"/>
      <c r="AI19" s="2434" t="s">
        <v>24</v>
      </c>
      <c r="AJ19" s="87">
        <v>12</v>
      </c>
      <c r="AK19" s="87">
        <v>12</v>
      </c>
      <c r="AL19" s="87">
        <v>12</v>
      </c>
      <c r="AM19" s="87">
        <v>12</v>
      </c>
      <c r="AN19" s="87">
        <v>12</v>
      </c>
      <c r="AO19" s="2512">
        <f t="shared" si="6"/>
        <v>12</v>
      </c>
      <c r="AP19" s="2372"/>
      <c r="AQ19" s="2372"/>
      <c r="AR19" s="2372"/>
      <c r="AS19" s="2372"/>
      <c r="AT19" s="2280"/>
      <c r="AU19" s="2434" t="s">
        <v>25</v>
      </c>
      <c r="AV19" s="2513">
        <v>361.64</v>
      </c>
      <c r="AW19" s="2513">
        <v>361.64</v>
      </c>
      <c r="AX19" s="2513">
        <v>361.64</v>
      </c>
      <c r="AY19" s="2513">
        <v>361.64</v>
      </c>
      <c r="AZ19" s="2513">
        <v>361.64</v>
      </c>
      <c r="BA19" s="2514">
        <v>361.64</v>
      </c>
      <c r="BB19" s="2372"/>
      <c r="BC19" s="2372"/>
      <c r="BD19" s="2372"/>
      <c r="BE19" s="2372"/>
      <c r="BF19" s="2280"/>
      <c r="BG19" s="2280"/>
      <c r="BH19" s="2280"/>
      <c r="BI19" s="2280"/>
      <c r="BJ19" s="2280"/>
      <c r="DB19" s="71">
        <f t="shared" si="7"/>
        <v>0.79630600728392331</v>
      </c>
      <c r="DC19" s="2295" t="str">
        <f t="shared" si="3"/>
        <v>Ext Lighting BUS 12 Year EUL</v>
      </c>
      <c r="DD19" s="2296">
        <f>(INDEX('Avoided Cost Benefits'!$C$4:$C$857,MATCH(DC19,'Avoided Cost Benefits'!$A$4:$A$857,0)))*F19</f>
        <v>271.80377958863426</v>
      </c>
      <c r="DE19" s="2296">
        <f t="shared" si="4"/>
        <v>341.33081642284094</v>
      </c>
    </row>
    <row r="20" spans="3:109" x14ac:dyDescent="0.25">
      <c r="C20" s="2356" t="s">
        <v>59</v>
      </c>
      <c r="D20" s="1482" t="s">
        <v>34</v>
      </c>
      <c r="E20" s="1235" t="s">
        <v>60</v>
      </c>
      <c r="F20" s="2306">
        <f t="shared" si="2"/>
        <v>700.72</v>
      </c>
      <c r="G20" s="1482" t="s">
        <v>61</v>
      </c>
      <c r="H20" s="1483">
        <f>VLOOKUP(G20,'CP FACTORS'!$A$26:$B$38,2,FALSE)</f>
        <v>1.379439E-4</v>
      </c>
      <c r="I20" s="1565">
        <f t="shared" si="5"/>
        <v>9.6659999999999996E-2</v>
      </c>
      <c r="J20" s="87">
        <v>6</v>
      </c>
      <c r="K20" s="2494">
        <v>191.39</v>
      </c>
      <c r="L20" s="2495" t="s">
        <v>37</v>
      </c>
      <c r="M20" s="1485"/>
      <c r="V20" s="2434" t="s">
        <v>20</v>
      </c>
      <c r="W20" s="2372">
        <v>1077.48</v>
      </c>
      <c r="X20" s="2509">
        <v>700.72</v>
      </c>
      <c r="Y20" s="2372">
        <v>700.72</v>
      </c>
      <c r="Z20" s="163">
        <v>700.72</v>
      </c>
      <c r="AA20" s="163">
        <v>700.72</v>
      </c>
      <c r="AB20" s="2372">
        <v>700.72</v>
      </c>
      <c r="AC20" s="2372"/>
      <c r="AD20" s="2372"/>
      <c r="AE20" s="2372"/>
      <c r="AF20" s="2372"/>
      <c r="AG20" s="2372"/>
      <c r="AH20" s="2280"/>
      <c r="AI20" s="2434" t="s">
        <v>24</v>
      </c>
      <c r="AJ20" s="87">
        <v>6</v>
      </c>
      <c r="AK20" s="87">
        <v>6</v>
      </c>
      <c r="AL20" s="87">
        <v>6</v>
      </c>
      <c r="AM20" s="87">
        <v>6</v>
      </c>
      <c r="AN20" s="87">
        <v>6</v>
      </c>
      <c r="AO20" s="2512">
        <f t="shared" si="6"/>
        <v>6</v>
      </c>
      <c r="AP20" s="2372"/>
      <c r="AQ20" s="2372"/>
      <c r="AR20" s="2372"/>
      <c r="AS20" s="2372"/>
      <c r="AT20" s="2280"/>
      <c r="AU20" s="2434" t="s">
        <v>25</v>
      </c>
      <c r="AV20" s="2513">
        <v>191.39</v>
      </c>
      <c r="AW20" s="2513">
        <v>191.39</v>
      </c>
      <c r="AX20" s="2513">
        <v>191.39</v>
      </c>
      <c r="AY20" s="2513">
        <v>191.39</v>
      </c>
      <c r="AZ20" s="2513">
        <v>191.39</v>
      </c>
      <c r="BA20" s="2514">
        <v>191.39</v>
      </c>
      <c r="BB20" s="2372"/>
      <c r="BC20" s="2372"/>
      <c r="BD20" s="2372"/>
      <c r="BE20" s="2372"/>
      <c r="BF20" s="2280"/>
      <c r="BG20" s="2280"/>
      <c r="BH20" s="2280"/>
      <c r="BI20" s="2280"/>
      <c r="BJ20" s="2280"/>
      <c r="DB20" s="71">
        <f t="shared" si="7"/>
        <v>0.84227737200682895</v>
      </c>
      <c r="DC20" s="2295" t="str">
        <f t="shared" si="3"/>
        <v>Miscellaneous BUS 6 Year EUL</v>
      </c>
      <c r="DD20" s="2296">
        <f>(INDEX('Avoided Cost Benefits'!$C$4:$C$857,MATCH(DC20,'Avoided Cost Benefits'!$A$4:$A$857,0)))*F20</f>
        <v>152.15051083377722</v>
      </c>
      <c r="DE20" s="2296">
        <f t="shared" si="4"/>
        <v>180.64181217555446</v>
      </c>
    </row>
    <row r="21" spans="3:109" x14ac:dyDescent="0.25">
      <c r="C21" s="2356" t="s">
        <v>62</v>
      </c>
      <c r="D21" s="1482" t="s">
        <v>34</v>
      </c>
      <c r="E21" s="1235" t="s">
        <v>63</v>
      </c>
      <c r="F21" s="2306">
        <f t="shared" si="2"/>
        <v>1482.27</v>
      </c>
      <c r="G21" s="1482" t="s">
        <v>61</v>
      </c>
      <c r="H21" s="1483">
        <f>VLOOKUP(G21,'CP FACTORS'!$A$26:$B$38,2,FALSE)</f>
        <v>1.379439E-4</v>
      </c>
      <c r="I21" s="1565">
        <f>ROUND(H21*F21,6)</f>
        <v>0.20447000000000001</v>
      </c>
      <c r="J21" s="87">
        <v>6</v>
      </c>
      <c r="K21" s="2494">
        <v>233.64</v>
      </c>
      <c r="L21" s="2495" t="s">
        <v>37</v>
      </c>
      <c r="M21" s="1485"/>
      <c r="V21" s="2434" t="s">
        <v>20</v>
      </c>
      <c r="W21" s="2372">
        <v>1314</v>
      </c>
      <c r="X21" s="2509">
        <v>1556.3830153584765</v>
      </c>
      <c r="Y21" s="2509">
        <v>1482.2695384366443</v>
      </c>
      <c r="Z21" s="163">
        <v>1482.2695384366443</v>
      </c>
      <c r="AA21" s="163">
        <v>1482.2695384366443</v>
      </c>
      <c r="AB21" s="2372">
        <v>1482.27</v>
      </c>
      <c r="AC21" s="2372"/>
      <c r="AD21" s="2372"/>
      <c r="AE21" s="2372"/>
      <c r="AF21" s="2372"/>
      <c r="AG21" s="2372"/>
      <c r="AH21" s="2280"/>
      <c r="AI21" s="2434" t="s">
        <v>24</v>
      </c>
      <c r="AJ21" s="87">
        <v>6</v>
      </c>
      <c r="AK21" s="87">
        <v>6</v>
      </c>
      <c r="AL21" s="87">
        <v>6</v>
      </c>
      <c r="AM21" s="87">
        <v>6</v>
      </c>
      <c r="AN21" s="87">
        <v>6</v>
      </c>
      <c r="AO21" s="2512">
        <f t="shared" si="6"/>
        <v>6</v>
      </c>
      <c r="AP21" s="2372"/>
      <c r="AQ21" s="2372"/>
      <c r="AR21" s="2372"/>
      <c r="AS21" s="2372"/>
      <c r="AT21" s="2280"/>
      <c r="AU21" s="2434" t="s">
        <v>25</v>
      </c>
      <c r="AV21" s="2513">
        <v>233.64</v>
      </c>
      <c r="AW21" s="2513">
        <v>233.64</v>
      </c>
      <c r="AX21" s="2513">
        <v>233.64</v>
      </c>
      <c r="AY21" s="2513">
        <v>233.64</v>
      </c>
      <c r="AZ21" s="2513">
        <v>233.64</v>
      </c>
      <c r="BA21" s="2514">
        <v>233.64</v>
      </c>
      <c r="BB21" s="2372"/>
      <c r="BC21" s="2372"/>
      <c r="BD21" s="2372"/>
      <c r="BE21" s="2372"/>
      <c r="BF21" s="2280"/>
      <c r="BG21" s="2280"/>
      <c r="BH21" s="2280"/>
      <c r="BI21" s="2280"/>
      <c r="BJ21" s="2280"/>
      <c r="DB21" s="71">
        <f t="shared" si="7"/>
        <v>1.4595197758580998</v>
      </c>
      <c r="DC21" s="2295" t="str">
        <f t="shared" si="3"/>
        <v>Miscellaneous BUS 6 Year EUL</v>
      </c>
      <c r="DD21" s="2296">
        <f>(INDEX('Avoided Cost Benefits'!$C$4:$C$857,MATCH(DC21,'Avoided Cost Benefits'!$A$4:$A$857,0)))*F21</f>
        <v>321.85200607030333</v>
      </c>
      <c r="DE21" s="2296">
        <f t="shared" si="4"/>
        <v>220.51911278905141</v>
      </c>
    </row>
    <row r="22" spans="3:109" x14ac:dyDescent="0.25">
      <c r="C22" s="2356" t="s">
        <v>64</v>
      </c>
      <c r="D22" s="1482" t="s">
        <v>34</v>
      </c>
      <c r="E22" s="1235" t="s">
        <v>65</v>
      </c>
      <c r="F22" s="2306">
        <f t="shared" si="2"/>
        <v>2657.55</v>
      </c>
      <c r="G22" s="1482" t="s">
        <v>61</v>
      </c>
      <c r="H22" s="1483">
        <f>VLOOKUP(G22,'CP FACTORS'!$A$26:$B$38,2,FALSE)</f>
        <v>1.379439E-4</v>
      </c>
      <c r="I22" s="1565">
        <f t="shared" si="5"/>
        <v>0.366593</v>
      </c>
      <c r="J22" s="87">
        <v>6</v>
      </c>
      <c r="K22" s="2494">
        <v>361.64</v>
      </c>
      <c r="L22" s="2495" t="s">
        <v>37</v>
      </c>
      <c r="M22" s="1485"/>
      <c r="V22" s="2434" t="s">
        <v>20</v>
      </c>
      <c r="W22" s="2372">
        <v>2452.8000000000002</v>
      </c>
      <c r="X22" s="2509">
        <v>2870.1497349058618</v>
      </c>
      <c r="Y22" s="2509">
        <v>2657.5460508387609</v>
      </c>
      <c r="Z22" s="163">
        <v>2657.5460508387609</v>
      </c>
      <c r="AA22" s="163">
        <v>2657.5460508387609</v>
      </c>
      <c r="AB22" s="2372">
        <v>2657.55</v>
      </c>
      <c r="AC22" s="2372"/>
      <c r="AD22" s="2372"/>
      <c r="AE22" s="2372"/>
      <c r="AF22" s="2372"/>
      <c r="AG22" s="2372"/>
      <c r="AH22" s="2280"/>
      <c r="AI22" s="2434" t="s">
        <v>24</v>
      </c>
      <c r="AJ22" s="87">
        <v>6</v>
      </c>
      <c r="AK22" s="87">
        <v>6</v>
      </c>
      <c r="AL22" s="87">
        <v>6</v>
      </c>
      <c r="AM22" s="87">
        <v>6</v>
      </c>
      <c r="AN22" s="87">
        <v>6</v>
      </c>
      <c r="AO22" s="2512">
        <f t="shared" si="6"/>
        <v>6</v>
      </c>
      <c r="AP22" s="2372"/>
      <c r="AQ22" s="2372"/>
      <c r="AR22" s="2372"/>
      <c r="AS22" s="2372"/>
      <c r="AT22" s="2280"/>
      <c r="AU22" s="2434" t="s">
        <v>25</v>
      </c>
      <c r="AV22" s="2513">
        <v>361.64</v>
      </c>
      <c r="AW22" s="2513">
        <v>361.64</v>
      </c>
      <c r="AX22" s="2513">
        <v>361.64</v>
      </c>
      <c r="AY22" s="2513">
        <v>361.64</v>
      </c>
      <c r="AZ22" s="2513">
        <v>361.64</v>
      </c>
      <c r="BA22" s="2514">
        <v>361.64</v>
      </c>
      <c r="BB22" s="2372"/>
      <c r="BC22" s="2372"/>
      <c r="BD22" s="2372"/>
      <c r="BE22" s="2372"/>
      <c r="BF22" s="2280"/>
      <c r="BG22" s="2280"/>
      <c r="BH22" s="2280"/>
      <c r="BI22" s="2280"/>
      <c r="BJ22" s="2280"/>
      <c r="DB22" s="3326">
        <f t="shared" si="7"/>
        <v>1.6905765717881491</v>
      </c>
      <c r="DC22" s="2295" t="str">
        <f t="shared" si="3"/>
        <v>Miscellaneous BUS 6 Year EUL</v>
      </c>
      <c r="DD22" s="3327">
        <f>(INDEX('Avoided Cost Benefits'!$C$4:$C$857,MATCH(DC22,'Avoided Cost Benefits'!$A$4:$A$857,0)))*F22</f>
        <v>577.04588147377649</v>
      </c>
      <c r="DE22" s="3327">
        <f t="shared" si="4"/>
        <v>341.33081642284094</v>
      </c>
    </row>
    <row r="23" spans="3:109" x14ac:dyDescent="0.25">
      <c r="C23" s="2356" t="s">
        <v>66</v>
      </c>
      <c r="D23" s="1482" t="s">
        <v>34</v>
      </c>
      <c r="E23" s="1235" t="s">
        <v>67</v>
      </c>
      <c r="F23" s="2306">
        <f t="shared" si="2"/>
        <v>248.43</v>
      </c>
      <c r="G23" s="1482" t="s">
        <v>36</v>
      </c>
      <c r="H23" s="1483">
        <f>VLOOKUP(G23,'CP FACTORS'!$A$26:$B$38,2,FALSE)</f>
        <v>1.899635E-4</v>
      </c>
      <c r="I23" s="1565">
        <f t="shared" si="5"/>
        <v>4.7192999999999999E-2</v>
      </c>
      <c r="J23" s="87">
        <v>16</v>
      </c>
      <c r="K23" s="2494">
        <v>45.25</v>
      </c>
      <c r="L23" s="2495" t="s">
        <v>37</v>
      </c>
      <c r="M23" s="1485"/>
      <c r="V23" s="2434" t="s">
        <v>20</v>
      </c>
      <c r="W23" s="2372">
        <v>253.07640000000004</v>
      </c>
      <c r="X23" s="163">
        <v>253.07640000000004</v>
      </c>
      <c r="Y23" s="2372">
        <v>253.07640000000004</v>
      </c>
      <c r="Z23" s="163">
        <v>253.07640000000004</v>
      </c>
      <c r="AA23" s="163">
        <v>253.07640000000004</v>
      </c>
      <c r="AB23" s="2372">
        <v>248.43</v>
      </c>
      <c r="AC23" s="2372"/>
      <c r="AD23" s="2372"/>
      <c r="AE23" s="2372"/>
      <c r="AF23" s="2372"/>
      <c r="AG23" s="2372"/>
      <c r="AH23" s="2280"/>
      <c r="AI23" s="2434" t="s">
        <v>24</v>
      </c>
      <c r="AJ23" s="87">
        <v>16</v>
      </c>
      <c r="AK23" s="87">
        <v>16</v>
      </c>
      <c r="AL23" s="87">
        <v>16</v>
      </c>
      <c r="AM23" s="87">
        <v>16</v>
      </c>
      <c r="AN23" s="87">
        <v>16</v>
      </c>
      <c r="AO23" s="2512">
        <f t="shared" si="6"/>
        <v>16</v>
      </c>
      <c r="AP23" s="2372"/>
      <c r="AQ23" s="2372"/>
      <c r="AR23" s="2372"/>
      <c r="AS23" s="2372"/>
      <c r="AT23" s="2280"/>
      <c r="AU23" s="2434" t="s">
        <v>25</v>
      </c>
      <c r="AV23" s="2513">
        <v>45.25</v>
      </c>
      <c r="AW23" s="2513">
        <v>45.25</v>
      </c>
      <c r="AX23" s="2513">
        <v>45.25</v>
      </c>
      <c r="AY23" s="2513">
        <v>45.25</v>
      </c>
      <c r="AZ23" s="2513">
        <v>45.25</v>
      </c>
      <c r="BA23" s="2514">
        <v>45.25</v>
      </c>
      <c r="BB23" s="2372"/>
      <c r="BC23" s="2372"/>
      <c r="BD23" s="2372"/>
      <c r="BE23" s="2372"/>
      <c r="BF23" s="2280"/>
      <c r="BG23" s="2280"/>
      <c r="BH23" s="2280"/>
      <c r="BI23" s="2280"/>
      <c r="BJ23" s="2280"/>
      <c r="DB23" s="3326">
        <f t="shared" si="7"/>
        <v>3.5618965598484307</v>
      </c>
      <c r="DC23" s="2295" t="str">
        <f t="shared" si="3"/>
        <v>Lighting BUS 16 Year EUL</v>
      </c>
      <c r="DD23" s="3327">
        <f>(INDEX('Avoided Cost Benefits'!$C$4:$C$857,MATCH(DC23,'Avoided Cost Benefits'!$A$4:$A$857,0)))*F23</f>
        <v>152.12441654850539</v>
      </c>
      <c r="DE23" s="3327">
        <f t="shared" si="4"/>
        <v>42.708824917413871</v>
      </c>
    </row>
    <row r="24" spans="3:109" x14ac:dyDescent="0.25">
      <c r="C24" s="2356" t="s">
        <v>3476</v>
      </c>
      <c r="D24" s="1482" t="s">
        <v>34</v>
      </c>
      <c r="E24" s="1235" t="s">
        <v>3469</v>
      </c>
      <c r="F24" s="2306">
        <f t="shared" si="2"/>
        <v>156.94</v>
      </c>
      <c r="G24" s="1482" t="s">
        <v>36</v>
      </c>
      <c r="H24" s="1483">
        <f>VLOOKUP(G24,'CP FACTORS'!$A$26:$B$38,2,FALSE)</f>
        <v>1.899635E-4</v>
      </c>
      <c r="I24" s="1565">
        <f t="shared" si="5"/>
        <v>2.9812999999999999E-2</v>
      </c>
      <c r="J24" s="87">
        <v>10</v>
      </c>
      <c r="K24" s="2494">
        <v>29.64</v>
      </c>
      <c r="L24" s="2495" t="s">
        <v>37</v>
      </c>
      <c r="M24" s="1485"/>
      <c r="V24" s="2434" t="s">
        <v>20</v>
      </c>
      <c r="W24" s="2372">
        <v>222.56</v>
      </c>
      <c r="X24" s="163">
        <v>222.56</v>
      </c>
      <c r="Y24" s="2372">
        <v>222.56</v>
      </c>
      <c r="Z24" s="163">
        <v>222.56</v>
      </c>
      <c r="AA24" s="163">
        <v>222.56</v>
      </c>
      <c r="AB24" s="2372">
        <v>156.94</v>
      </c>
      <c r="AC24" s="2372"/>
      <c r="AD24" s="2372"/>
      <c r="AE24" s="2372"/>
      <c r="AF24" s="2372"/>
      <c r="AG24" s="2372"/>
      <c r="AH24" s="2280"/>
      <c r="AI24" s="2434" t="s">
        <v>24</v>
      </c>
      <c r="AJ24" s="87">
        <v>8</v>
      </c>
      <c r="AK24" s="87">
        <v>8</v>
      </c>
      <c r="AL24" s="87">
        <v>8</v>
      </c>
      <c r="AM24" s="87">
        <v>8</v>
      </c>
      <c r="AN24" s="87">
        <v>8</v>
      </c>
      <c r="AO24" s="2512">
        <f t="shared" si="6"/>
        <v>10</v>
      </c>
      <c r="AP24" s="2372"/>
      <c r="AQ24" s="2372"/>
      <c r="AR24" s="2372"/>
      <c r="AS24" s="2372"/>
      <c r="AT24" s="2280"/>
      <c r="AU24" s="2434" t="s">
        <v>25</v>
      </c>
      <c r="AV24" s="2513">
        <v>29.64</v>
      </c>
      <c r="AW24" s="2513">
        <v>29.64</v>
      </c>
      <c r="AX24" s="2513">
        <v>29.64</v>
      </c>
      <c r="AY24" s="2513">
        <v>29.64</v>
      </c>
      <c r="AZ24" s="2513">
        <v>29.64</v>
      </c>
      <c r="BA24" s="2514">
        <v>29.64</v>
      </c>
      <c r="BB24" s="2372"/>
      <c r="BC24" s="2372"/>
      <c r="BD24" s="2372"/>
      <c r="BE24" s="2372"/>
      <c r="BF24" s="2280"/>
      <c r="BG24" s="2280"/>
      <c r="BH24" s="2280"/>
      <c r="BI24" s="2280"/>
      <c r="BJ24" s="2280"/>
      <c r="DB24" s="3326">
        <f t="shared" si="7"/>
        <v>2.2136875187213647</v>
      </c>
      <c r="DC24" s="2295" t="str">
        <f t="shared" si="3"/>
        <v>Lighting BUS 10 Year EUL</v>
      </c>
      <c r="DD24" s="3327">
        <f>(INDEX('Avoided Cost Benefits'!$C$4:$C$857,MATCH(DC24,'Avoided Cost Benefits'!$A$4:$A$857,0)))*F24</f>
        <v>61.928926904106888</v>
      </c>
      <c r="DE24" s="3327">
        <f t="shared" si="4"/>
        <v>27.975460122699385</v>
      </c>
    </row>
    <row r="25" spans="3:109" s="2278" customFormat="1" x14ac:dyDescent="0.25">
      <c r="C25" s="2356" t="s">
        <v>3475</v>
      </c>
      <c r="D25" s="1482" t="s">
        <v>34</v>
      </c>
      <c r="E25" s="1235" t="s">
        <v>3470</v>
      </c>
      <c r="F25" s="2306">
        <f t="shared" si="2"/>
        <v>365.22</v>
      </c>
      <c r="G25" s="1482" t="s">
        <v>36</v>
      </c>
      <c r="H25" s="1483">
        <f>VLOOKUP(G25,'CP FACTORS'!$A$26:$B$38,2,FALSE)</f>
        <v>1.899635E-4</v>
      </c>
      <c r="I25" s="1565">
        <f t="shared" ref="I25" si="8">ROUND(H25*F25,6)</f>
        <v>6.9377999999999995E-2</v>
      </c>
      <c r="J25" s="87">
        <v>15</v>
      </c>
      <c r="K25" s="2494">
        <v>29.64</v>
      </c>
      <c r="L25" s="2495" t="s">
        <v>37</v>
      </c>
      <c r="M25" s="1485"/>
      <c r="N25" s="2312"/>
      <c r="O25" s="2312"/>
      <c r="P25" s="2312"/>
      <c r="Q25" s="2312"/>
      <c r="R25" s="2312"/>
      <c r="S25" s="2312"/>
      <c r="T25" s="2312"/>
      <c r="U25" s="2312"/>
      <c r="V25" s="2434" t="s">
        <v>20</v>
      </c>
      <c r="W25" s="2372"/>
      <c r="X25" s="163"/>
      <c r="Y25" s="2372"/>
      <c r="Z25" s="163"/>
      <c r="AA25" s="163"/>
      <c r="AB25" s="2372">
        <v>365.22</v>
      </c>
      <c r="AC25" s="2372"/>
      <c r="AD25" s="2372"/>
      <c r="AE25" s="2372"/>
      <c r="AF25" s="2372"/>
      <c r="AG25" s="2372"/>
      <c r="AH25" s="2280"/>
      <c r="AI25" s="2434"/>
      <c r="AJ25" s="87"/>
      <c r="AK25" s="87"/>
      <c r="AL25" s="87"/>
      <c r="AM25" s="87"/>
      <c r="AN25" s="87"/>
      <c r="AO25" s="2512">
        <f t="shared" si="6"/>
        <v>15</v>
      </c>
      <c r="AP25" s="2372"/>
      <c r="AQ25" s="2372"/>
      <c r="AR25" s="2372"/>
      <c r="AS25" s="2372"/>
      <c r="AT25" s="2280"/>
      <c r="AU25" s="2434"/>
      <c r="AV25" s="2513"/>
      <c r="AW25" s="2513"/>
      <c r="AX25" s="2513"/>
      <c r="AY25" s="2513"/>
      <c r="AZ25" s="2513"/>
      <c r="BA25" s="2514">
        <v>29.64</v>
      </c>
      <c r="BB25" s="2372"/>
      <c r="BC25" s="2372"/>
      <c r="BD25" s="2372"/>
      <c r="BE25" s="2372"/>
      <c r="BF25" s="2280"/>
      <c r="BG25" s="2280"/>
      <c r="BH25" s="2280"/>
      <c r="BI25" s="2280"/>
      <c r="BJ25" s="2280"/>
      <c r="CE25" s="2277"/>
      <c r="CF25" s="2277"/>
      <c r="CG25" s="2277"/>
      <c r="CH25" s="2277"/>
      <c r="CT25" s="2277"/>
      <c r="CU25" s="2277"/>
      <c r="CV25" s="2277"/>
      <c r="CW25" s="2277"/>
      <c r="DB25" s="3326">
        <f t="shared" si="7"/>
        <v>7.5640833342090152</v>
      </c>
      <c r="DC25" s="2295" t="str">
        <f t="shared" si="3"/>
        <v>Lighting BUS 15 Year EUL</v>
      </c>
      <c r="DD25" s="3327">
        <f>(INDEX('Avoided Cost Benefits'!$C$4:$C$857,MATCH(DC25,'Avoided Cost Benefits'!$A$4:$A$857,0)))*F25</f>
        <v>211.60871168093931</v>
      </c>
      <c r="DE25" s="3327">
        <f t="shared" ref="DE25:DE30" si="9">K25/(1.0595^(2020-2019))</f>
        <v>27.975460122699385</v>
      </c>
    </row>
    <row r="26" spans="3:109" x14ac:dyDescent="0.25">
      <c r="C26" s="2356" t="s">
        <v>3477</v>
      </c>
      <c r="D26" s="1482" t="s">
        <v>34</v>
      </c>
      <c r="E26" s="1235" t="s">
        <v>3766</v>
      </c>
      <c r="F26" s="2306">
        <f t="shared" si="2"/>
        <v>86.01</v>
      </c>
      <c r="G26" s="1482" t="s">
        <v>36</v>
      </c>
      <c r="H26" s="1483">
        <f>VLOOKUP(G26,'CP FACTORS'!$A$26:$B$38,2,FALSE)</f>
        <v>1.899635E-4</v>
      </c>
      <c r="I26" s="1565">
        <f t="shared" si="5"/>
        <v>1.6338999999999999E-2</v>
      </c>
      <c r="J26" s="87">
        <v>10</v>
      </c>
      <c r="K26" s="2494">
        <v>29.64</v>
      </c>
      <c r="L26" s="2495" t="s">
        <v>37</v>
      </c>
      <c r="M26" s="1485"/>
      <c r="V26" s="2434" t="s">
        <v>20</v>
      </c>
      <c r="W26" s="2372">
        <v>82.39</v>
      </c>
      <c r="X26" s="2509">
        <v>84.819074273197472</v>
      </c>
      <c r="Y26" s="2372">
        <v>84.819074273197472</v>
      </c>
      <c r="Z26" s="163">
        <v>84.819074273197472</v>
      </c>
      <c r="AA26" s="163">
        <v>84.819074273197472</v>
      </c>
      <c r="AB26" s="2372">
        <v>86.01</v>
      </c>
      <c r="AC26" s="2372"/>
      <c r="AD26" s="2372"/>
      <c r="AE26" s="2372"/>
      <c r="AF26" s="2372"/>
      <c r="AG26" s="2372"/>
      <c r="AH26" s="2280"/>
      <c r="AI26" s="2434" t="s">
        <v>24</v>
      </c>
      <c r="AJ26" s="87">
        <v>9</v>
      </c>
      <c r="AK26" s="87">
        <v>9</v>
      </c>
      <c r="AL26" s="87">
        <v>9</v>
      </c>
      <c r="AM26" s="87">
        <v>9</v>
      </c>
      <c r="AN26" s="87">
        <v>9</v>
      </c>
      <c r="AO26" s="2512">
        <f t="shared" si="6"/>
        <v>10</v>
      </c>
      <c r="AP26" s="2372"/>
      <c r="AQ26" s="2372"/>
      <c r="AR26" s="2372"/>
      <c r="AS26" s="2372"/>
      <c r="AT26" s="2280"/>
      <c r="AU26" s="2434" t="s">
        <v>25</v>
      </c>
      <c r="AV26" s="2513">
        <v>29.64</v>
      </c>
      <c r="AW26" s="2513">
        <v>29.64</v>
      </c>
      <c r="AX26" s="2513">
        <v>29.64</v>
      </c>
      <c r="AY26" s="2513">
        <v>29.64</v>
      </c>
      <c r="AZ26" s="2513">
        <v>29.64</v>
      </c>
      <c r="BA26" s="2514">
        <v>29.64</v>
      </c>
      <c r="BB26" s="2372"/>
      <c r="BC26" s="2372"/>
      <c r="BD26" s="2372"/>
      <c r="BE26" s="2372"/>
      <c r="BF26" s="2280"/>
      <c r="BG26" s="2280"/>
      <c r="BH26" s="2280"/>
      <c r="BI26" s="2280"/>
      <c r="BJ26" s="2280"/>
      <c r="DB26" s="3326">
        <f t="shared" si="7"/>
        <v>1.2131978047994429</v>
      </c>
      <c r="DC26" s="2295" t="str">
        <f t="shared" si="3"/>
        <v>Lighting BUS 10 Year EUL</v>
      </c>
      <c r="DD26" s="3327">
        <f>(INDEX('Avoided Cost Benefits'!$C$4:$C$857,MATCH(DC26,'Avoided Cost Benefits'!$A$4:$A$857,0)))*F26</f>
        <v>33.939766809113252</v>
      </c>
      <c r="DE26" s="3327">
        <f t="shared" si="9"/>
        <v>27.975460122699385</v>
      </c>
    </row>
    <row r="27" spans="3:109" s="2278" customFormat="1" x14ac:dyDescent="0.25">
      <c r="C27" s="2356" t="s">
        <v>3478</v>
      </c>
      <c r="D27" s="1482" t="s">
        <v>34</v>
      </c>
      <c r="E27" s="1235" t="s">
        <v>3472</v>
      </c>
      <c r="F27" s="2306">
        <f t="shared" si="2"/>
        <v>161.24</v>
      </c>
      <c r="G27" s="1482" t="s">
        <v>36</v>
      </c>
      <c r="H27" s="1483">
        <f>VLOOKUP(G27,'CP FACTORS'!$A$26:$B$38,2,FALSE)</f>
        <v>1.899635E-4</v>
      </c>
      <c r="I27" s="1565">
        <f t="shared" si="5"/>
        <v>3.0630000000000001E-2</v>
      </c>
      <c r="J27" s="87">
        <v>15</v>
      </c>
      <c r="K27" s="2494">
        <v>29.64</v>
      </c>
      <c r="L27" s="2495" t="s">
        <v>37</v>
      </c>
      <c r="M27" s="1485"/>
      <c r="N27" s="2312"/>
      <c r="O27" s="2312"/>
      <c r="P27" s="2312"/>
      <c r="Q27" s="2312"/>
      <c r="R27" s="2312"/>
      <c r="S27" s="2312"/>
      <c r="T27" s="2312"/>
      <c r="U27" s="2312"/>
      <c r="V27" s="2434" t="s">
        <v>20</v>
      </c>
      <c r="W27" s="2372"/>
      <c r="X27" s="2509"/>
      <c r="Y27" s="2372"/>
      <c r="Z27" s="163"/>
      <c r="AA27" s="163"/>
      <c r="AB27" s="2372">
        <v>161.24</v>
      </c>
      <c r="AC27" s="2372"/>
      <c r="AD27" s="2372"/>
      <c r="AE27" s="2372"/>
      <c r="AF27" s="2372"/>
      <c r="AG27" s="2372"/>
      <c r="AH27" s="2280"/>
      <c r="AI27" s="2434"/>
      <c r="AJ27" s="87"/>
      <c r="AK27" s="87"/>
      <c r="AL27" s="87"/>
      <c r="AM27" s="87"/>
      <c r="AN27" s="87"/>
      <c r="AO27" s="2512">
        <f t="shared" si="6"/>
        <v>15</v>
      </c>
      <c r="AP27" s="2372"/>
      <c r="AQ27" s="2372"/>
      <c r="AR27" s="2372"/>
      <c r="AS27" s="2372"/>
      <c r="AT27" s="2280"/>
      <c r="AU27" s="2434"/>
      <c r="AV27" s="2513"/>
      <c r="AW27" s="2513"/>
      <c r="AX27" s="2513"/>
      <c r="AY27" s="2513"/>
      <c r="AZ27" s="2513"/>
      <c r="BA27" s="2514">
        <v>29.64</v>
      </c>
      <c r="BB27" s="2372"/>
      <c r="BC27" s="2372"/>
      <c r="BD27" s="2372"/>
      <c r="BE27" s="2372"/>
      <c r="BF27" s="2280"/>
      <c r="BG27" s="2280"/>
      <c r="BH27" s="2280"/>
      <c r="BI27" s="2280"/>
      <c r="BJ27" s="2280"/>
      <c r="CE27" s="2277"/>
      <c r="CF27" s="2277"/>
      <c r="CG27" s="2277"/>
      <c r="CH27" s="2277"/>
      <c r="CT27" s="2277"/>
      <c r="CU27" s="2277"/>
      <c r="CV27" s="2277"/>
      <c r="CW27" s="2277"/>
      <c r="DB27" s="3326">
        <f t="shared" si="7"/>
        <v>3.3394468999722404</v>
      </c>
      <c r="DC27" s="2295" t="str">
        <f t="shared" si="3"/>
        <v>Lighting BUS 15 Year EUL</v>
      </c>
      <c r="DD27" s="3327">
        <f>(INDEX('Avoided Cost Benefits'!$C$4:$C$857,MATCH(DC27,'Avoided Cost Benefits'!$A$4:$A$857,0)))*F27</f>
        <v>93.422563582045498</v>
      </c>
      <c r="DE27" s="3327">
        <f t="shared" si="9"/>
        <v>27.975460122699385</v>
      </c>
    </row>
    <row r="28" spans="3:109" x14ac:dyDescent="0.25">
      <c r="C28" s="2356" t="s">
        <v>3479</v>
      </c>
      <c r="D28" s="1482" t="s">
        <v>34</v>
      </c>
      <c r="E28" s="1490" t="s">
        <v>3473</v>
      </c>
      <c r="F28" s="2306">
        <f t="shared" si="2"/>
        <v>150</v>
      </c>
      <c r="G28" s="1482" t="s">
        <v>36</v>
      </c>
      <c r="H28" s="1483">
        <f>VLOOKUP(G28,'CP FACTORS'!$A$26:$B$38,2,FALSE)</f>
        <v>1.899635E-4</v>
      </c>
      <c r="I28" s="1565">
        <f t="shared" si="5"/>
        <v>2.8494999999999999E-2</v>
      </c>
      <c r="J28" s="87">
        <v>10</v>
      </c>
      <c r="K28" s="2494">
        <v>29.64</v>
      </c>
      <c r="L28" s="2495" t="s">
        <v>37</v>
      </c>
      <c r="M28" s="1485"/>
      <c r="V28" s="2434" t="s">
        <v>20</v>
      </c>
      <c r="W28" s="2372">
        <v>124.6336</v>
      </c>
      <c r="X28" s="2509">
        <v>92.556746382707516</v>
      </c>
      <c r="Y28" s="2372">
        <v>92.556746382707516</v>
      </c>
      <c r="Z28" s="163">
        <v>92.556746382707516</v>
      </c>
      <c r="AA28" s="163">
        <v>92.556746382707516</v>
      </c>
      <c r="AB28" s="2372">
        <v>150</v>
      </c>
      <c r="AC28" s="2372"/>
      <c r="AD28" s="2372"/>
      <c r="AE28" s="2372"/>
      <c r="AF28" s="2372"/>
      <c r="AG28" s="2372"/>
      <c r="AH28" s="2280"/>
      <c r="AI28" s="2434" t="s">
        <v>24</v>
      </c>
      <c r="AJ28" s="87">
        <v>14</v>
      </c>
      <c r="AK28" s="87">
        <v>14</v>
      </c>
      <c r="AL28" s="87">
        <v>14</v>
      </c>
      <c r="AM28" s="87">
        <v>14</v>
      </c>
      <c r="AN28" s="87">
        <v>14</v>
      </c>
      <c r="AO28" s="2512">
        <f t="shared" si="6"/>
        <v>10</v>
      </c>
      <c r="AP28" s="2372"/>
      <c r="AQ28" s="2372"/>
      <c r="AR28" s="2372"/>
      <c r="AS28" s="2372"/>
      <c r="AT28" s="2280"/>
      <c r="AU28" s="2434" t="s">
        <v>25</v>
      </c>
      <c r="AV28" s="2513">
        <v>29.64</v>
      </c>
      <c r="AW28" s="2513">
        <v>29.64</v>
      </c>
      <c r="AX28" s="2513">
        <v>29.64</v>
      </c>
      <c r="AY28" s="2513">
        <v>29.64</v>
      </c>
      <c r="AZ28" s="2513">
        <v>29.64</v>
      </c>
      <c r="BA28" s="2514">
        <v>29.64</v>
      </c>
      <c r="BB28" s="2372"/>
      <c r="BC28" s="2372"/>
      <c r="BD28" s="2372"/>
      <c r="BE28" s="2372"/>
      <c r="BF28" s="2280"/>
      <c r="BG28" s="2280"/>
      <c r="BH28" s="2280"/>
      <c r="BI28" s="2280"/>
      <c r="BJ28" s="2280"/>
      <c r="DB28" s="3326">
        <f t="shared" si="7"/>
        <v>2.1157966599222933</v>
      </c>
      <c r="DC28" s="2295" t="str">
        <f t="shared" si="3"/>
        <v>Lighting BUS 10 Year EUL</v>
      </c>
      <c r="DD28" s="3327">
        <f>(INDEX('Avoided Cost Benefits'!$C$4:$C$857,MATCH(DC28,'Avoided Cost Benefits'!$A$4:$A$857,0)))*F28</f>
        <v>59.19038508739667</v>
      </c>
      <c r="DE28" s="3327">
        <f t="shared" si="9"/>
        <v>27.975460122699385</v>
      </c>
    </row>
    <row r="29" spans="3:109" s="2278" customFormat="1" x14ac:dyDescent="0.25">
      <c r="C29" s="2356" t="s">
        <v>3821</v>
      </c>
      <c r="D29" s="1482" t="s">
        <v>34</v>
      </c>
      <c r="E29" s="1490" t="s">
        <v>3474</v>
      </c>
      <c r="F29" s="2306">
        <f t="shared" si="2"/>
        <v>181.13</v>
      </c>
      <c r="G29" s="1482" t="s">
        <v>36</v>
      </c>
      <c r="H29" s="1483">
        <f>VLOOKUP(G29,'CP FACTORS'!$A$26:$B$38,2,FALSE)</f>
        <v>1.899635E-4</v>
      </c>
      <c r="I29" s="1565">
        <f t="shared" si="5"/>
        <v>3.4408000000000001E-2</v>
      </c>
      <c r="J29" s="87">
        <v>15</v>
      </c>
      <c r="K29" s="2494">
        <v>29.64</v>
      </c>
      <c r="L29" s="2495" t="s">
        <v>37</v>
      </c>
      <c r="M29" s="1485"/>
      <c r="N29" s="2312"/>
      <c r="O29" s="2312"/>
      <c r="P29" s="2312"/>
      <c r="Q29" s="2312"/>
      <c r="R29" s="2312"/>
      <c r="S29" s="2312"/>
      <c r="T29" s="2312"/>
      <c r="U29" s="2312"/>
      <c r="V29" s="2434" t="s">
        <v>20</v>
      </c>
      <c r="W29" s="2372"/>
      <c r="X29" s="2509"/>
      <c r="Y29" s="2372"/>
      <c r="Z29" s="163"/>
      <c r="AA29" s="163"/>
      <c r="AB29" s="2372">
        <v>181.13</v>
      </c>
      <c r="AC29" s="2372"/>
      <c r="AD29" s="2372"/>
      <c r="AE29" s="2372"/>
      <c r="AF29" s="2372"/>
      <c r="AG29" s="2372"/>
      <c r="AH29" s="2280"/>
      <c r="AI29" s="2434"/>
      <c r="AJ29" s="87"/>
      <c r="AK29" s="87"/>
      <c r="AL29" s="87"/>
      <c r="AM29" s="87"/>
      <c r="AN29" s="87"/>
      <c r="AO29" s="2512">
        <f t="shared" si="6"/>
        <v>15</v>
      </c>
      <c r="AP29" s="2372"/>
      <c r="AQ29" s="2372"/>
      <c r="AR29" s="2372"/>
      <c r="AS29" s="2372"/>
      <c r="AT29" s="2280"/>
      <c r="AU29" s="2434"/>
      <c r="AV29" s="2513"/>
      <c r="AW29" s="2513"/>
      <c r="AX29" s="2513"/>
      <c r="AY29" s="2513"/>
      <c r="AZ29" s="2513"/>
      <c r="BA29" s="2514">
        <v>29.64</v>
      </c>
      <c r="BB29" s="2372"/>
      <c r="BC29" s="2372"/>
      <c r="BD29" s="2372"/>
      <c r="BE29" s="2372"/>
      <c r="BF29" s="2280"/>
      <c r="BG29" s="2280"/>
      <c r="BH29" s="2280"/>
      <c r="BI29" s="2280"/>
      <c r="BJ29" s="2280"/>
      <c r="CE29" s="2277"/>
      <c r="CF29" s="2277"/>
      <c r="CG29" s="2277"/>
      <c r="CH29" s="2277"/>
      <c r="CT29" s="2277"/>
      <c r="CU29" s="2277"/>
      <c r="CV29" s="2277"/>
      <c r="CW29" s="2277"/>
      <c r="DB29" s="3326">
        <f t="shared" si="7"/>
        <v>3.7513893388239388</v>
      </c>
      <c r="DC29" s="2295" t="str">
        <f t="shared" si="3"/>
        <v>Lighting BUS 15 Year EUL</v>
      </c>
      <c r="DD29" s="3327">
        <f>(INDEX('Avoided Cost Benefits'!$C$4:$C$857,MATCH(DC29,'Avoided Cost Benefits'!$A$4:$A$857,0)))*F29</f>
        <v>104.94684285298871</v>
      </c>
      <c r="DE29" s="3327">
        <f t="shared" si="9"/>
        <v>27.975460122699385</v>
      </c>
    </row>
    <row r="30" spans="3:109" x14ac:dyDescent="0.25">
      <c r="C30" s="2356" t="s">
        <v>68</v>
      </c>
      <c r="D30" s="1482" t="s">
        <v>34</v>
      </c>
      <c r="E30" s="1490" t="s">
        <v>69</v>
      </c>
      <c r="F30" s="2306">
        <f t="shared" ref="F30" si="10">ROUND(((F63-G63)/1000)*H63*I63*J63,2)</f>
        <v>102.26</v>
      </c>
      <c r="G30" s="1482" t="s">
        <v>36</v>
      </c>
      <c r="H30" s="1483">
        <f>VLOOKUP(G30,'CP FACTORS'!$A$26:$B$38,2,FALSE)</f>
        <v>1.899635E-4</v>
      </c>
      <c r="I30" s="1565">
        <f>ROUND(H30*F30,6)</f>
        <v>1.9425999999999999E-2</v>
      </c>
      <c r="J30" s="87">
        <v>11</v>
      </c>
      <c r="K30" s="2494">
        <v>11.94</v>
      </c>
      <c r="L30" s="2495" t="s">
        <v>37</v>
      </c>
      <c r="M30" s="1485"/>
      <c r="V30" s="2434" t="s">
        <v>20</v>
      </c>
      <c r="W30" s="2372">
        <v>102.16788</v>
      </c>
      <c r="X30" s="163">
        <v>102.16788</v>
      </c>
      <c r="Y30" s="2372">
        <v>102.16788</v>
      </c>
      <c r="Z30" s="163">
        <v>102.16788</v>
      </c>
      <c r="AA30" s="163">
        <v>102.16788</v>
      </c>
      <c r="AB30" s="2372">
        <v>102.26</v>
      </c>
      <c r="AC30" s="2372"/>
      <c r="AD30" s="2372"/>
      <c r="AE30" s="2372"/>
      <c r="AF30" s="2372"/>
      <c r="AG30" s="2372"/>
      <c r="AH30" s="2280"/>
      <c r="AI30" s="2434" t="s">
        <v>24</v>
      </c>
      <c r="AJ30" s="87">
        <v>11</v>
      </c>
      <c r="AK30" s="87">
        <v>11</v>
      </c>
      <c r="AL30" s="87">
        <v>11</v>
      </c>
      <c r="AM30" s="87">
        <v>11</v>
      </c>
      <c r="AN30" s="87">
        <v>11</v>
      </c>
      <c r="AO30" s="2512">
        <f t="shared" si="6"/>
        <v>11</v>
      </c>
      <c r="AP30" s="2372"/>
      <c r="AQ30" s="2372"/>
      <c r="AR30" s="2372"/>
      <c r="AS30" s="2372"/>
      <c r="AT30" s="2280"/>
      <c r="AU30" s="2434" t="s">
        <v>25</v>
      </c>
      <c r="AV30" s="2513">
        <v>11.94</v>
      </c>
      <c r="AW30" s="2513">
        <v>11.94</v>
      </c>
      <c r="AX30" s="2513">
        <v>11.94</v>
      </c>
      <c r="AY30" s="2513">
        <v>11.94</v>
      </c>
      <c r="AZ30" s="2513">
        <v>11.94</v>
      </c>
      <c r="BA30" s="2514">
        <v>11.94</v>
      </c>
      <c r="BB30" s="2372"/>
      <c r="BC30" s="2372"/>
      <c r="BD30" s="2372"/>
      <c r="BE30" s="2372"/>
      <c r="BF30" s="2280"/>
      <c r="BG30" s="2280"/>
      <c r="BH30" s="2280"/>
      <c r="BI30" s="2280"/>
      <c r="BJ30" s="2280"/>
      <c r="DB30" s="3328">
        <f t="shared" si="7"/>
        <v>3.9347064876188043</v>
      </c>
      <c r="DC30" s="2295" t="str">
        <f t="shared" si="3"/>
        <v>Lighting BUS 11 Year EUL</v>
      </c>
      <c r="DD30" s="3329">
        <f>(INDEX('Avoided Cost Benefits'!$C$4:$C$857,MATCH(DC30,'Avoided Cost Benefits'!$A$4:$A$857,0)))*F30</f>
        <v>44.342043852919787</v>
      </c>
      <c r="DE30" s="3329">
        <f t="shared" si="9"/>
        <v>11.269466729589427</v>
      </c>
    </row>
    <row r="31" spans="3:109" outlineLevel="1" x14ac:dyDescent="0.25">
      <c r="E31" s="1473"/>
      <c r="F31" s="1473"/>
      <c r="G31" s="1473"/>
      <c r="H31" s="1491"/>
      <c r="I31" s="1473"/>
      <c r="J31" s="1473"/>
      <c r="K31" s="1473"/>
      <c r="V31" s="2280"/>
      <c r="W31" s="2280"/>
      <c r="X31" s="2280"/>
      <c r="Y31" s="2280"/>
      <c r="Z31" s="2280"/>
      <c r="AA31" s="2280"/>
      <c r="AB31" s="2280"/>
      <c r="AC31" s="2280"/>
      <c r="AD31" s="2280"/>
      <c r="AE31" s="2280"/>
      <c r="AF31" s="2280"/>
      <c r="AG31" s="2280"/>
      <c r="AH31" s="2280"/>
      <c r="AI31" s="2280"/>
      <c r="AJ31" s="2280"/>
      <c r="AK31" s="2280"/>
      <c r="AL31" s="2280"/>
      <c r="AM31" s="2280"/>
      <c r="AN31" s="2280"/>
      <c r="AO31" s="2280"/>
      <c r="AP31" s="2280"/>
      <c r="AQ31" s="2280"/>
      <c r="AR31" s="2280"/>
      <c r="AS31" s="2280"/>
      <c r="AT31" s="2280"/>
      <c r="AU31" s="2280"/>
      <c r="AV31" s="2280"/>
      <c r="AW31" s="2280"/>
      <c r="AX31" s="2280"/>
      <c r="AY31" s="2280"/>
      <c r="AZ31" s="2280"/>
      <c r="BA31" s="2280"/>
      <c r="BB31" s="2280"/>
      <c r="BC31" s="2280"/>
      <c r="BD31" s="2280"/>
      <c r="BE31" s="2280"/>
      <c r="BF31" s="2280"/>
      <c r="BG31" s="2280"/>
      <c r="BH31" s="2280"/>
      <c r="BI31" s="2280"/>
      <c r="BJ31" s="2280"/>
    </row>
    <row r="32" spans="3:109" outlineLevel="1" x14ac:dyDescent="0.25">
      <c r="D32" s="1473" t="s">
        <v>70</v>
      </c>
      <c r="E32" s="1473"/>
      <c r="F32" s="1473"/>
      <c r="G32" s="1473"/>
      <c r="H32" s="1491"/>
      <c r="I32" s="1473"/>
      <c r="J32" s="1473"/>
      <c r="K32" s="1473"/>
      <c r="L32" s="2313"/>
      <c r="M32" s="2313"/>
      <c r="N32" s="2313"/>
      <c r="O32" s="2313"/>
      <c r="P32" s="2313"/>
      <c r="Q32" s="2313"/>
      <c r="V32" s="2280"/>
      <c r="W32" s="2280"/>
      <c r="X32" s="2280"/>
      <c r="Y32" s="2280"/>
      <c r="Z32" s="2280"/>
      <c r="AA32" s="2280"/>
      <c r="AB32" s="2280"/>
      <c r="AC32" s="2280"/>
      <c r="AD32" s="2280"/>
      <c r="AE32" s="2280"/>
      <c r="AF32" s="2280"/>
      <c r="AG32" s="2280"/>
      <c r="AH32" s="2280"/>
      <c r="AI32" s="2280"/>
      <c r="AJ32" s="2280"/>
      <c r="AK32" s="2280"/>
      <c r="AL32" s="2280"/>
      <c r="AM32" s="2280"/>
      <c r="AN32" s="2280"/>
      <c r="AO32" s="2280"/>
      <c r="AP32" s="2280"/>
      <c r="AQ32" s="2280"/>
      <c r="AR32" s="2280"/>
      <c r="AS32" s="2280"/>
      <c r="AT32" s="2280"/>
      <c r="AU32" s="2280"/>
      <c r="AV32" s="2280"/>
      <c r="AW32" s="2280"/>
      <c r="AX32" s="2280"/>
      <c r="AY32" s="2280"/>
      <c r="AZ32" s="2280"/>
      <c r="BA32" s="2280"/>
      <c r="BB32" s="2280"/>
      <c r="BC32" s="2280"/>
      <c r="BD32" s="2280"/>
      <c r="BE32" s="2280"/>
      <c r="BF32" s="2280"/>
      <c r="BG32" s="2280"/>
      <c r="BH32" s="2280"/>
      <c r="BI32" s="2280"/>
      <c r="BJ32" s="2280"/>
    </row>
    <row r="33" spans="3:113" outlineLevel="1" x14ac:dyDescent="0.25">
      <c r="D33" s="1492"/>
      <c r="G33" s="1470"/>
      <c r="H33" s="1493"/>
      <c r="L33" s="2312"/>
      <c r="M33" s="2312"/>
      <c r="N33" s="2312"/>
      <c r="O33" s="2312"/>
      <c r="P33" s="2312"/>
      <c r="Q33" s="2312"/>
      <c r="V33" s="2280"/>
      <c r="W33" s="2280"/>
      <c r="X33" s="2280"/>
      <c r="Y33" s="2280"/>
      <c r="Z33" s="2280"/>
      <c r="AA33" s="2280"/>
      <c r="AB33" s="2280"/>
      <c r="AC33" s="2280"/>
      <c r="AD33" s="2280"/>
      <c r="AE33" s="2280"/>
      <c r="AF33" s="2280"/>
      <c r="AG33" s="2280"/>
      <c r="AH33" s="2280"/>
      <c r="AI33" s="2280"/>
      <c r="AJ33" s="2280"/>
      <c r="AK33" s="2280"/>
      <c r="AL33" s="2280"/>
      <c r="AM33" s="2280"/>
      <c r="AN33" s="2280"/>
      <c r="AO33" s="2280"/>
      <c r="AP33" s="2280"/>
      <c r="AQ33" s="2280"/>
      <c r="AR33" s="2280"/>
      <c r="AS33" s="2280"/>
      <c r="AT33" s="2280"/>
      <c r="AU33" s="2280"/>
      <c r="AV33" s="2280"/>
      <c r="AW33" s="2280"/>
      <c r="AX33" s="2280"/>
      <c r="AY33" s="2280"/>
      <c r="AZ33" s="2280"/>
      <c r="BA33" s="2280"/>
      <c r="BB33" s="2280"/>
      <c r="BC33" s="2280"/>
      <c r="BD33" s="2280"/>
      <c r="BE33" s="2280"/>
      <c r="BF33" s="2280"/>
      <c r="BG33" s="2280"/>
      <c r="BH33" s="2280"/>
      <c r="BI33" s="2280"/>
      <c r="BJ33" s="2280"/>
    </row>
    <row r="34" spans="3:113" outlineLevel="1" x14ac:dyDescent="0.25">
      <c r="D34" s="1492"/>
      <c r="G34" s="1470"/>
      <c r="H34" s="1493"/>
      <c r="L34" s="2312"/>
      <c r="M34" s="2312"/>
      <c r="N34" s="2312"/>
      <c r="O34" s="2312"/>
      <c r="P34" s="2312"/>
      <c r="Q34" s="2312"/>
      <c r="V34" s="2280"/>
      <c r="W34" s="2280"/>
      <c r="X34" s="2280"/>
      <c r="Y34" s="2280"/>
      <c r="Z34" s="2280"/>
      <c r="AA34" s="2280"/>
      <c r="AB34" s="2280"/>
      <c r="AC34" s="2280"/>
      <c r="AD34" s="2280"/>
      <c r="AE34" s="2280"/>
      <c r="AF34" s="2280"/>
      <c r="AG34" s="2280"/>
      <c r="AH34" s="2280"/>
      <c r="AI34" s="2280"/>
      <c r="AJ34" s="2280"/>
      <c r="AK34" s="2280"/>
      <c r="AL34" s="2280"/>
      <c r="AM34" s="2280"/>
      <c r="AN34" s="2280"/>
      <c r="AO34" s="2280"/>
      <c r="AP34" s="2280"/>
      <c r="AQ34" s="2280"/>
      <c r="AR34" s="2280"/>
      <c r="AS34" s="2280"/>
      <c r="AT34" s="2280"/>
      <c r="AU34" s="2280"/>
      <c r="AV34" s="2280"/>
      <c r="AW34" s="2280"/>
      <c r="AX34" s="2280"/>
      <c r="AY34" s="2280"/>
      <c r="AZ34" s="2280"/>
      <c r="BA34" s="2280"/>
      <c r="BB34" s="2280"/>
      <c r="BC34" s="2280"/>
      <c r="BD34" s="2280"/>
      <c r="BE34" s="2280"/>
      <c r="BF34" s="2280"/>
      <c r="BG34" s="2280"/>
      <c r="BH34" s="2280"/>
      <c r="BI34" s="2280"/>
      <c r="BJ34" s="2280"/>
    </row>
    <row r="35" spans="3:113" outlineLevel="1" x14ac:dyDescent="0.25">
      <c r="D35" s="1492"/>
      <c r="G35" s="1470"/>
      <c r="H35" s="1493"/>
      <c r="L35" s="2312"/>
      <c r="M35" s="2312"/>
      <c r="N35" s="2312"/>
      <c r="O35" s="2312"/>
      <c r="P35" s="2312"/>
      <c r="Q35" s="2312"/>
      <c r="V35" s="2280"/>
      <c r="W35" s="2280"/>
      <c r="X35" s="2280"/>
      <c r="Y35" s="2280"/>
      <c r="Z35" s="2280"/>
      <c r="AA35" s="2280"/>
      <c r="AB35" s="2280"/>
      <c r="AC35" s="2280"/>
      <c r="AD35" s="2280"/>
      <c r="AE35" s="2280"/>
      <c r="AF35" s="2280"/>
      <c r="AG35" s="2280"/>
      <c r="AH35" s="2280"/>
      <c r="AI35" s="2280"/>
      <c r="AJ35" s="2280"/>
      <c r="AK35" s="2280"/>
      <c r="AL35" s="2280"/>
      <c r="AM35" s="2280"/>
      <c r="AN35" s="2280"/>
      <c r="AO35" s="2280"/>
      <c r="AP35" s="2280"/>
      <c r="AQ35" s="2280"/>
      <c r="AR35" s="2280"/>
      <c r="AS35" s="2280"/>
      <c r="AT35" s="2280"/>
      <c r="AU35" s="2280"/>
      <c r="AV35" s="2280"/>
      <c r="AW35" s="2280"/>
      <c r="AX35" s="2280"/>
      <c r="AY35" s="2280"/>
      <c r="AZ35" s="2280"/>
      <c r="BA35" s="2280"/>
      <c r="BB35" s="2280"/>
      <c r="BC35" s="2280"/>
      <c r="BD35" s="2280"/>
      <c r="BE35" s="2280"/>
      <c r="BF35" s="2280"/>
      <c r="BG35" s="2280"/>
      <c r="BH35" s="2280"/>
      <c r="BI35" s="2280"/>
      <c r="BJ35" s="2280"/>
    </row>
    <row r="36" spans="3:113" outlineLevel="1" x14ac:dyDescent="0.25">
      <c r="D36" s="1492"/>
      <c r="G36" s="1470"/>
      <c r="H36" s="1493"/>
      <c r="L36" s="2312"/>
      <c r="M36" s="2312"/>
      <c r="N36" s="2312"/>
      <c r="O36" s="2312"/>
      <c r="P36" s="2312"/>
      <c r="Q36" s="2312"/>
      <c r="V36" s="2280"/>
      <c r="W36" s="2280"/>
      <c r="X36" s="2280"/>
      <c r="Y36" s="2280"/>
      <c r="Z36" s="2280"/>
      <c r="AA36" s="2280"/>
      <c r="AB36" s="2280"/>
      <c r="AC36" s="2280"/>
      <c r="AD36" s="2280"/>
      <c r="AE36" s="2280"/>
      <c r="AF36" s="2280"/>
      <c r="AG36" s="2280"/>
      <c r="AH36" s="2280"/>
      <c r="AI36" s="2280"/>
      <c r="AJ36" s="2280"/>
      <c r="AK36" s="2280"/>
      <c r="AL36" s="2280"/>
      <c r="AM36" s="2280"/>
      <c r="AN36" s="2280"/>
      <c r="AO36" s="2280"/>
      <c r="AP36" s="2280"/>
      <c r="AQ36" s="2280"/>
      <c r="AR36" s="2280"/>
      <c r="AS36" s="2280"/>
      <c r="AT36" s="2280"/>
      <c r="AU36" s="2280"/>
      <c r="AV36" s="2280"/>
      <c r="AW36" s="2280"/>
      <c r="AX36" s="2280"/>
      <c r="AY36" s="2280"/>
      <c r="AZ36" s="2280"/>
      <c r="BA36" s="2280"/>
      <c r="BB36" s="2280"/>
      <c r="BC36" s="2280"/>
      <c r="BD36" s="2280"/>
      <c r="BE36" s="2280"/>
      <c r="BF36" s="2280"/>
      <c r="BG36" s="2280"/>
      <c r="BH36" s="2280"/>
      <c r="BI36" s="2280"/>
      <c r="BJ36" s="2280"/>
    </row>
    <row r="37" spans="3:113" outlineLevel="1" x14ac:dyDescent="0.25">
      <c r="D37" s="1492"/>
      <c r="G37" s="1470"/>
      <c r="H37" s="1493"/>
      <c r="L37" s="2312"/>
      <c r="M37" s="2312"/>
      <c r="N37" s="2312"/>
      <c r="O37" s="2312"/>
      <c r="P37" s="2312"/>
      <c r="Q37" s="2312"/>
      <c r="V37" s="2280"/>
      <c r="W37" s="2280"/>
      <c r="X37" s="2280"/>
      <c r="Y37" s="2280"/>
      <c r="Z37" s="2280"/>
      <c r="AA37" s="2280"/>
      <c r="AB37" s="2280"/>
      <c r="AC37" s="2280"/>
      <c r="AD37" s="2280"/>
      <c r="AE37" s="2280"/>
      <c r="AF37" s="2280"/>
      <c r="AG37" s="2280"/>
      <c r="AH37" s="2280"/>
      <c r="AI37" s="2280"/>
      <c r="AJ37" s="2280"/>
      <c r="AK37" s="2280"/>
      <c r="AL37" s="2280"/>
      <c r="AM37" s="2280"/>
      <c r="AN37" s="2280"/>
      <c r="AO37" s="2280"/>
      <c r="AP37" s="2280"/>
      <c r="AQ37" s="2280"/>
      <c r="AR37" s="2280"/>
      <c r="AS37" s="2280"/>
      <c r="AT37" s="2280"/>
      <c r="AU37" s="2280"/>
      <c r="AV37" s="2280"/>
      <c r="AW37" s="2280"/>
      <c r="AX37" s="2280"/>
      <c r="AY37" s="2280"/>
      <c r="AZ37" s="2280"/>
      <c r="BA37" s="2280"/>
      <c r="BB37" s="2280"/>
      <c r="BC37" s="2280"/>
      <c r="BD37" s="2280"/>
      <c r="BE37" s="2280"/>
      <c r="BF37" s="2280"/>
      <c r="BG37" s="2280"/>
      <c r="BH37" s="2280"/>
      <c r="BI37" s="2280"/>
      <c r="BJ37" s="2280"/>
    </row>
    <row r="38" spans="3:113" outlineLevel="1" x14ac:dyDescent="0.25">
      <c r="D38" s="1492"/>
      <c r="G38" s="1470"/>
      <c r="H38" s="1493"/>
      <c r="L38" s="2312"/>
      <c r="M38" s="2312"/>
      <c r="N38" s="2312"/>
      <c r="O38" s="2312"/>
      <c r="P38" s="2312"/>
      <c r="Q38" s="2312"/>
    </row>
    <row r="39" spans="3:113" outlineLevel="1" x14ac:dyDescent="0.25">
      <c r="D39" s="1492"/>
      <c r="G39" s="1470"/>
      <c r="H39" s="1493"/>
      <c r="L39" s="2312"/>
      <c r="M39" s="2312"/>
      <c r="N39" s="2312"/>
      <c r="O39" s="2312"/>
      <c r="P39" s="2312"/>
      <c r="Q39" s="2312"/>
    </row>
    <row r="40" spans="3:113" outlineLevel="1" x14ac:dyDescent="0.25">
      <c r="D40" s="1492"/>
      <c r="G40" s="1470"/>
      <c r="H40" s="1493"/>
      <c r="V40" s="55" t="s">
        <v>27</v>
      </c>
      <c r="W40" s="56">
        <f>$W$8</f>
        <v>43252</v>
      </c>
      <c r="X40" s="56">
        <f>$X$8</f>
        <v>43465</v>
      </c>
      <c r="Y40" s="56">
        <f>$Y$8</f>
        <v>43800</v>
      </c>
      <c r="Z40" s="56">
        <f>$Z$8</f>
        <v>43862</v>
      </c>
      <c r="AA40" s="56">
        <f>$AA$8</f>
        <v>44013</v>
      </c>
      <c r="AB40" s="56">
        <v>44166</v>
      </c>
      <c r="AC40" s="56" t="str">
        <f>$AC$8</f>
        <v>-</v>
      </c>
      <c r="AD40" s="56" t="str">
        <f>$AD$8</f>
        <v>-</v>
      </c>
      <c r="AE40" s="56" t="str">
        <f>$AE$8</f>
        <v>-</v>
      </c>
      <c r="AF40" s="56" t="str">
        <f>$AF$8</f>
        <v>-</v>
      </c>
      <c r="AG40" s="56" t="str">
        <f>$AG$8</f>
        <v>-</v>
      </c>
      <c r="AI40" s="2284" t="s">
        <v>3768</v>
      </c>
      <c r="AJ40" s="56">
        <f>$W$8</f>
        <v>43252</v>
      </c>
      <c r="AK40" s="56">
        <f>$X$8</f>
        <v>43465</v>
      </c>
      <c r="AL40" s="56">
        <f>$Y$8</f>
        <v>43800</v>
      </c>
      <c r="AM40" s="56">
        <f>$Z$8</f>
        <v>43862</v>
      </c>
      <c r="AN40" s="56">
        <f>$AA$8</f>
        <v>44013</v>
      </c>
      <c r="AO40" s="2284">
        <f>$AB$8</f>
        <v>44166</v>
      </c>
      <c r="AP40" s="56" t="str">
        <f>$AC$8</f>
        <v>-</v>
      </c>
      <c r="AQ40" s="56" t="str">
        <f>$AD$8</f>
        <v>-</v>
      </c>
      <c r="AR40" s="56" t="str">
        <f>$AE$8</f>
        <v>-</v>
      </c>
      <c r="AS40" s="56" t="str">
        <f>$AF$8</f>
        <v>-</v>
      </c>
      <c r="AT40" s="56" t="str">
        <f>$AG$8</f>
        <v>-</v>
      </c>
      <c r="AV40" s="56">
        <f>$W$8</f>
        <v>43252</v>
      </c>
      <c r="AW40" s="56">
        <f>$X$8</f>
        <v>43465</v>
      </c>
      <c r="AX40" s="56">
        <f>$Y$8</f>
        <v>43800</v>
      </c>
      <c r="AY40" s="56">
        <f>$Z$8</f>
        <v>43862</v>
      </c>
      <c r="AZ40" s="56">
        <f>$AA$8</f>
        <v>44013</v>
      </c>
      <c r="BA40" s="2284">
        <f>$AA$8</f>
        <v>44013</v>
      </c>
      <c r="BB40" s="56" t="str">
        <f>$AC$8</f>
        <v>-</v>
      </c>
      <c r="BC40" s="56" t="str">
        <f>$AD$8</f>
        <v>-</v>
      </c>
      <c r="BD40" s="56" t="str">
        <f>$AE$8</f>
        <v>-</v>
      </c>
      <c r="BE40" s="56" t="str">
        <f>$AF$8</f>
        <v>-</v>
      </c>
      <c r="BF40" s="56" t="str">
        <f>$AG$8</f>
        <v>-</v>
      </c>
      <c r="BH40" s="56">
        <f>$W$8</f>
        <v>43252</v>
      </c>
      <c r="BI40" s="56">
        <f>$X$8</f>
        <v>43465</v>
      </c>
      <c r="BJ40" s="56">
        <f>$Y$8</f>
        <v>43800</v>
      </c>
      <c r="BK40" s="56">
        <f>$Z$8</f>
        <v>43862</v>
      </c>
      <c r="BL40" s="56">
        <f>$AA$8</f>
        <v>44013</v>
      </c>
      <c r="BM40" s="2284">
        <v>44166</v>
      </c>
      <c r="BN40" s="56" t="str">
        <f>$AC$8</f>
        <v>-</v>
      </c>
      <c r="BO40" s="56" t="str">
        <f>$AD$8</f>
        <v>-</v>
      </c>
      <c r="BP40" s="56" t="str">
        <f>$AE$8</f>
        <v>-</v>
      </c>
      <c r="BQ40" s="56" t="str">
        <f>$AF$8</f>
        <v>-</v>
      </c>
      <c r="BR40" s="56" t="str">
        <f>$AG$8</f>
        <v>-</v>
      </c>
      <c r="BT40" s="56">
        <f>$W$8</f>
        <v>43252</v>
      </c>
      <c r="BU40" s="56">
        <f>$X$8</f>
        <v>43465</v>
      </c>
      <c r="BV40" s="56">
        <f>$Y$8</f>
        <v>43800</v>
      </c>
      <c r="BW40" s="56">
        <f>$Z$8</f>
        <v>43862</v>
      </c>
      <c r="BX40" s="56">
        <f>$AA$8</f>
        <v>44013</v>
      </c>
      <c r="BY40" s="2284">
        <f>$AB$8</f>
        <v>44166</v>
      </c>
      <c r="BZ40" s="56" t="str">
        <f>$AC$8</f>
        <v>-</v>
      </c>
      <c r="CA40" s="56" t="str">
        <f>$AD$8</f>
        <v>-</v>
      </c>
      <c r="CB40" s="56" t="str">
        <f>$AE$8</f>
        <v>-</v>
      </c>
      <c r="CC40" s="56" t="str">
        <f>$AF$8</f>
        <v>-</v>
      </c>
      <c r="CD40" s="56" t="str">
        <f>$AG$8</f>
        <v>-</v>
      </c>
      <c r="CE40" s="26"/>
      <c r="CF40" s="56">
        <f>$W$8</f>
        <v>43252</v>
      </c>
      <c r="CG40" s="56">
        <f>$X$8</f>
        <v>43465</v>
      </c>
      <c r="CH40" s="56">
        <f>$Y$8</f>
        <v>43800</v>
      </c>
      <c r="CI40" s="56">
        <f>$Z$8</f>
        <v>43862</v>
      </c>
      <c r="CJ40" s="56">
        <f>$AA$8</f>
        <v>44013</v>
      </c>
      <c r="CK40" s="56">
        <f>$AB$8</f>
        <v>44166</v>
      </c>
      <c r="CL40" s="56" t="str">
        <f>$AC$8</f>
        <v>-</v>
      </c>
      <c r="CM40" s="56" t="str">
        <f>$AD$8</f>
        <v>-</v>
      </c>
      <c r="CN40" s="56" t="str">
        <f>$AE$8</f>
        <v>-</v>
      </c>
      <c r="CO40" s="56" t="str">
        <f>$AF$8</f>
        <v>-</v>
      </c>
      <c r="CP40" s="56" t="str">
        <f>$AG$8</f>
        <v>-</v>
      </c>
      <c r="CT40" s="26"/>
      <c r="CX40"/>
      <c r="DB40" s="26"/>
      <c r="DC40" s="27"/>
      <c r="DG40" s="26"/>
      <c r="DI40" s="2278"/>
    </row>
    <row r="41" spans="3:113" s="77" customFormat="1" ht="30" outlineLevel="1" x14ac:dyDescent="0.25">
      <c r="C41" s="198"/>
      <c r="D41" s="52" t="s">
        <v>17</v>
      </c>
      <c r="E41" s="1435" t="s">
        <v>71</v>
      </c>
      <c r="F41" s="1435" t="s">
        <v>72</v>
      </c>
      <c r="G41" s="1435" t="s">
        <v>73</v>
      </c>
      <c r="H41" s="53" t="s">
        <v>74</v>
      </c>
      <c r="I41" s="2497" t="s">
        <v>3767</v>
      </c>
      <c r="J41" s="1435" t="s">
        <v>75</v>
      </c>
      <c r="K41" s="1435" t="s">
        <v>24</v>
      </c>
      <c r="L41" s="198"/>
      <c r="M41" s="463"/>
      <c r="N41" s="463"/>
      <c r="O41" s="463"/>
      <c r="P41" s="463"/>
      <c r="Q41" s="463"/>
      <c r="R41" s="463"/>
      <c r="S41" s="463"/>
      <c r="T41" s="463"/>
      <c r="U41" s="463"/>
      <c r="V41" s="78"/>
      <c r="W41" s="79" t="str">
        <f>$F$41</f>
        <v>Watts Base</v>
      </c>
      <c r="X41" s="79" t="str">
        <f t="shared" ref="X41:AG41" si="11">$F$41</f>
        <v>Watts Base</v>
      </c>
      <c r="Y41" s="79" t="str">
        <f t="shared" si="11"/>
        <v>Watts Base</v>
      </c>
      <c r="Z41" s="79" t="str">
        <f t="shared" si="11"/>
        <v>Watts Base</v>
      </c>
      <c r="AA41" s="79" t="str">
        <f t="shared" si="11"/>
        <v>Watts Base</v>
      </c>
      <c r="AB41" s="79" t="s">
        <v>72</v>
      </c>
      <c r="AC41" s="79" t="str">
        <f t="shared" si="11"/>
        <v>Watts Base</v>
      </c>
      <c r="AD41" s="79" t="str">
        <f t="shared" si="11"/>
        <v>Watts Base</v>
      </c>
      <c r="AE41" s="79" t="str">
        <f t="shared" si="11"/>
        <v>Watts Base</v>
      </c>
      <c r="AF41" s="79" t="str">
        <f t="shared" si="11"/>
        <v>Watts Base</v>
      </c>
      <c r="AG41" s="79" t="str">
        <f t="shared" si="11"/>
        <v>Watts Base</v>
      </c>
      <c r="AI41" s="79" t="str">
        <f>$G$41</f>
        <v>Watts EE</v>
      </c>
      <c r="AJ41" s="79"/>
      <c r="AK41" s="79" t="str">
        <f t="shared" ref="AK41:AT41" si="12">$G$41</f>
        <v>Watts EE</v>
      </c>
      <c r="AL41" s="79" t="str">
        <f t="shared" si="12"/>
        <v>Watts EE</v>
      </c>
      <c r="AM41" s="79" t="str">
        <f t="shared" si="12"/>
        <v>Watts EE</v>
      </c>
      <c r="AN41" s="79" t="str">
        <f t="shared" si="12"/>
        <v>Watts EE</v>
      </c>
      <c r="AO41" s="79" t="str">
        <f t="shared" si="12"/>
        <v>Watts EE</v>
      </c>
      <c r="AP41" s="79" t="str">
        <f t="shared" si="12"/>
        <v>Watts EE</v>
      </c>
      <c r="AQ41" s="79" t="str">
        <f t="shared" si="12"/>
        <v>Watts EE</v>
      </c>
      <c r="AR41" s="79" t="str">
        <f t="shared" si="12"/>
        <v>Watts EE</v>
      </c>
      <c r="AS41" s="79" t="str">
        <f t="shared" si="12"/>
        <v>Watts EE</v>
      </c>
      <c r="AT41" s="79" t="str">
        <f t="shared" si="12"/>
        <v>Watts EE</v>
      </c>
      <c r="AV41" s="80" t="str">
        <f>$H$41</f>
        <v>HOU</v>
      </c>
      <c r="AW41" s="80" t="str">
        <f t="shared" ref="AW41:BF41" si="13">$H$41</f>
        <v>HOU</v>
      </c>
      <c r="AX41" s="80" t="str">
        <f t="shared" si="13"/>
        <v>HOU</v>
      </c>
      <c r="AY41" s="80" t="str">
        <f t="shared" si="13"/>
        <v>HOU</v>
      </c>
      <c r="AZ41" s="80" t="str">
        <f t="shared" si="13"/>
        <v>HOU</v>
      </c>
      <c r="BA41" s="80" t="s">
        <v>74</v>
      </c>
      <c r="BB41" s="80" t="str">
        <f t="shared" si="13"/>
        <v>HOU</v>
      </c>
      <c r="BC41" s="80" t="str">
        <f t="shared" si="13"/>
        <v>HOU</v>
      </c>
      <c r="BD41" s="80" t="str">
        <f t="shared" si="13"/>
        <v>HOU</v>
      </c>
      <c r="BE41" s="80" t="str">
        <f t="shared" si="13"/>
        <v>HOU</v>
      </c>
      <c r="BF41" s="80" t="str">
        <f t="shared" si="13"/>
        <v>HOU</v>
      </c>
      <c r="BH41" s="80" t="str">
        <f>$I$41</f>
        <v>WHFe + -IFkWh</v>
      </c>
      <c r="BI41" s="80" t="str">
        <f t="shared" ref="BI41:BR41" si="14">$I$41</f>
        <v>WHFe + -IFkWh</v>
      </c>
      <c r="BJ41" s="80" t="str">
        <f t="shared" si="14"/>
        <v>WHFe + -IFkWh</v>
      </c>
      <c r="BK41" s="80" t="str">
        <f t="shared" si="14"/>
        <v>WHFe + -IFkWh</v>
      </c>
      <c r="BL41" s="80" t="str">
        <f t="shared" si="14"/>
        <v>WHFe + -IFkWh</v>
      </c>
      <c r="BM41" s="80" t="s">
        <v>3767</v>
      </c>
      <c r="BN41" s="80" t="str">
        <f t="shared" si="14"/>
        <v>WHFe + -IFkWh</v>
      </c>
      <c r="BO41" s="80" t="str">
        <f t="shared" si="14"/>
        <v>WHFe + -IFkWh</v>
      </c>
      <c r="BP41" s="80" t="str">
        <f t="shared" si="14"/>
        <v>WHFe + -IFkWh</v>
      </c>
      <c r="BQ41" s="80" t="str">
        <f t="shared" si="14"/>
        <v>WHFe + -IFkWh</v>
      </c>
      <c r="BR41" s="80" t="str">
        <f t="shared" si="14"/>
        <v>WHFe + -IFkWh</v>
      </c>
      <c r="BT41" s="80" t="str">
        <f>$J$41</f>
        <v>ISR</v>
      </c>
      <c r="BU41" s="80" t="str">
        <f t="shared" ref="BU41:CD41" si="15">$J$41</f>
        <v>ISR</v>
      </c>
      <c r="BV41" s="80" t="str">
        <f t="shared" si="15"/>
        <v>ISR</v>
      </c>
      <c r="BW41" s="80" t="str">
        <f t="shared" si="15"/>
        <v>ISR</v>
      </c>
      <c r="BX41" s="80" t="str">
        <f t="shared" si="15"/>
        <v>ISR</v>
      </c>
      <c r="BY41" s="80" t="str">
        <f t="shared" si="15"/>
        <v>ISR</v>
      </c>
      <c r="BZ41" s="80" t="str">
        <f t="shared" si="15"/>
        <v>ISR</v>
      </c>
      <c r="CA41" s="80" t="str">
        <f t="shared" si="15"/>
        <v>ISR</v>
      </c>
      <c r="CB41" s="80" t="str">
        <f t="shared" si="15"/>
        <v>ISR</v>
      </c>
      <c r="CC41" s="80" t="str">
        <f t="shared" si="15"/>
        <v>ISR</v>
      </c>
      <c r="CD41" s="80" t="str">
        <f t="shared" si="15"/>
        <v>ISR</v>
      </c>
      <c r="CF41" s="80" t="str">
        <f>$K$41</f>
        <v>EUL</v>
      </c>
      <c r="CG41" s="80" t="str">
        <f t="shared" ref="CG41:CP41" si="16">$K$41</f>
        <v>EUL</v>
      </c>
      <c r="CH41" s="80" t="str">
        <f t="shared" si="16"/>
        <v>EUL</v>
      </c>
      <c r="CI41" s="80" t="str">
        <f t="shared" si="16"/>
        <v>EUL</v>
      </c>
      <c r="CJ41" s="80" t="str">
        <f t="shared" si="16"/>
        <v>EUL</v>
      </c>
      <c r="CK41" s="80" t="str">
        <f t="shared" si="16"/>
        <v>EUL</v>
      </c>
      <c r="CL41" s="80" t="str">
        <f t="shared" si="16"/>
        <v>EUL</v>
      </c>
      <c r="CM41" s="80" t="str">
        <f t="shared" si="16"/>
        <v>EUL</v>
      </c>
      <c r="CN41" s="80" t="str">
        <f t="shared" si="16"/>
        <v>EUL</v>
      </c>
      <c r="CO41" s="80" t="str">
        <f t="shared" si="16"/>
        <v>EUL</v>
      </c>
      <c r="CP41" s="80" t="str">
        <f t="shared" si="16"/>
        <v>EUL</v>
      </c>
      <c r="DC41" s="27"/>
      <c r="DD41" s="26"/>
      <c r="DE41" s="26"/>
      <c r="DF41" s="26"/>
    </row>
    <row r="42" spans="3:113" s="77" customFormat="1" outlineLevel="1" x14ac:dyDescent="0.25">
      <c r="C42" s="198"/>
      <c r="D42" s="1495" t="str">
        <f t="shared" ref="D42:D59" si="17">C9</f>
        <v>800050_2019_12_</v>
      </c>
      <c r="E42" s="1495" t="str">
        <f t="shared" ref="E42:E56" si="18">E9</f>
        <v>LED &lt;=11 Watt Lamp Replacing Interior Halogen A 28-52 Watt Lamp</v>
      </c>
      <c r="F42" s="81">
        <v>60.524073707152766</v>
      </c>
      <c r="G42" s="81">
        <v>9.2734297602536166</v>
      </c>
      <c r="H42" s="3312">
        <v>3286.2179512581733</v>
      </c>
      <c r="I42" s="81">
        <v>1.071</v>
      </c>
      <c r="J42" s="81">
        <v>0.96</v>
      </c>
      <c r="K42" s="2761">
        <v>17</v>
      </c>
      <c r="L42" s="198"/>
      <c r="M42" s="463"/>
      <c r="N42" s="463"/>
      <c r="O42" s="463"/>
      <c r="P42" s="463"/>
      <c r="Q42" s="463"/>
      <c r="R42" s="463"/>
      <c r="S42" s="463"/>
      <c r="T42" s="463"/>
      <c r="U42" s="1496"/>
      <c r="V42" s="2358" t="str">
        <f>E42</f>
        <v>LED &lt;=11 Watt Lamp Replacing Interior Halogen A 28-52 Watt Lamp</v>
      </c>
      <c r="W42" s="83">
        <v>36</v>
      </c>
      <c r="X42" s="84">
        <v>45</v>
      </c>
      <c r="Y42" s="85">
        <v>45</v>
      </c>
      <c r="Z42" s="1248">
        <v>45</v>
      </c>
      <c r="AA42" s="1248">
        <v>45</v>
      </c>
      <c r="AB42" s="2498">
        <v>60.524073707152766</v>
      </c>
      <c r="AC42" s="2499"/>
      <c r="AD42" s="2499"/>
      <c r="AE42" s="2499"/>
      <c r="AF42" s="2499"/>
      <c r="AG42" s="2499"/>
      <c r="AH42" s="2500"/>
      <c r="AI42" s="2498">
        <v>8</v>
      </c>
      <c r="AJ42" s="2498"/>
      <c r="AK42" s="426">
        <v>9.1999999999999993</v>
      </c>
      <c r="AL42" s="1248">
        <v>9.1999999999999993</v>
      </c>
      <c r="AM42" s="2498">
        <v>9.1999999999999993</v>
      </c>
      <c r="AN42" s="2498">
        <v>9.1999999999999993</v>
      </c>
      <c r="AO42" s="2498">
        <f t="shared" ref="AO42:AO63" si="19">G42</f>
        <v>9.2734297602536166</v>
      </c>
      <c r="AP42" s="2875"/>
      <c r="AQ42" s="2499"/>
      <c r="AR42" s="2499"/>
      <c r="AS42" s="2499"/>
      <c r="AT42" s="2499"/>
      <c r="AU42" s="2500"/>
      <c r="AV42" s="2501">
        <v>2920</v>
      </c>
      <c r="AW42" s="2502">
        <v>2386</v>
      </c>
      <c r="AX42" s="2501">
        <v>2386</v>
      </c>
      <c r="AY42" s="2501">
        <v>2386</v>
      </c>
      <c r="AZ42" s="2501">
        <v>2386</v>
      </c>
      <c r="BA42" s="2498">
        <v>3286.2179512581733</v>
      </c>
      <c r="BB42" s="2499"/>
      <c r="BC42" s="2499"/>
      <c r="BD42" s="2499"/>
      <c r="BE42" s="2499"/>
      <c r="BF42" s="2499"/>
      <c r="BG42" s="2500"/>
      <c r="BH42" s="2498">
        <v>1.07</v>
      </c>
      <c r="BI42" s="426">
        <v>1.08</v>
      </c>
      <c r="BJ42" s="2499">
        <v>1.08</v>
      </c>
      <c r="BK42" s="1670">
        <v>1.08</v>
      </c>
      <c r="BL42" s="1248">
        <f>I42</f>
        <v>1.071</v>
      </c>
      <c r="BM42" s="1248">
        <v>1.071</v>
      </c>
      <c r="BN42" s="2499"/>
      <c r="BO42" s="2499"/>
      <c r="BP42" s="2499"/>
      <c r="BQ42" s="2499"/>
      <c r="BR42" s="2499"/>
      <c r="BS42" s="2500"/>
      <c r="BT42" s="2498">
        <v>1</v>
      </c>
      <c r="BU42" s="426">
        <v>0.96</v>
      </c>
      <c r="BV42" s="2498">
        <v>0.96</v>
      </c>
      <c r="BW42" s="2498">
        <v>0.96</v>
      </c>
      <c r="BX42" s="2498">
        <v>0.96</v>
      </c>
      <c r="BY42" s="2498">
        <v>0.96</v>
      </c>
      <c r="BZ42" s="2499"/>
      <c r="CA42" s="2499"/>
      <c r="CB42" s="2499"/>
      <c r="CC42" s="2499"/>
      <c r="CD42" s="2499"/>
      <c r="CE42" s="2500"/>
      <c r="CF42" s="87">
        <v>17</v>
      </c>
      <c r="CG42" s="2503">
        <v>21</v>
      </c>
      <c r="CH42" s="2504">
        <v>21</v>
      </c>
      <c r="CI42" s="2504">
        <v>21</v>
      </c>
      <c r="CJ42" s="2504">
        <v>21</v>
      </c>
      <c r="CK42" s="2504">
        <f t="shared" ref="CK42:CK63" si="20">K42</f>
        <v>17</v>
      </c>
      <c r="CL42" s="2499"/>
      <c r="CM42" s="2499"/>
      <c r="CN42" s="2499"/>
      <c r="CO42" s="2499"/>
      <c r="CP42" s="2499"/>
      <c r="CQ42" s="2505"/>
      <c r="CR42" s="2505"/>
      <c r="DC42" s="27"/>
      <c r="DD42" s="26"/>
      <c r="DE42" s="26"/>
      <c r="DF42" s="26"/>
    </row>
    <row r="43" spans="3:113" s="77" customFormat="1" outlineLevel="1" x14ac:dyDescent="0.25">
      <c r="C43" s="198"/>
      <c r="D43" s="1495" t="str">
        <f t="shared" si="17"/>
        <v>800100_2019_12_</v>
      </c>
      <c r="E43" s="1495" t="str">
        <f t="shared" si="18"/>
        <v>LED 7-20 Watt Lamp Replacing Interior Halogen 53-70 Watt Lamp</v>
      </c>
      <c r="F43" s="81">
        <v>65.553668950451794</v>
      </c>
      <c r="G43" s="81">
        <v>9.6557442160659317</v>
      </c>
      <c r="H43" s="3312">
        <v>2205.5545129579982</v>
      </c>
      <c r="I43" s="81">
        <v>1.071</v>
      </c>
      <c r="J43" s="81">
        <v>1</v>
      </c>
      <c r="K43" s="2761">
        <v>17</v>
      </c>
      <c r="L43" s="198"/>
      <c r="M43" s="463"/>
      <c r="N43" s="463"/>
      <c r="O43" s="463"/>
      <c r="P43" s="463"/>
      <c r="Q43" s="463"/>
      <c r="R43" s="463"/>
      <c r="S43" s="463"/>
      <c r="T43" s="463"/>
      <c r="U43" s="1496"/>
      <c r="V43" s="2358" t="str">
        <f t="shared" ref="V43:V63" si="21">E43</f>
        <v>LED 7-20 Watt Lamp Replacing Interior Halogen 53-70 Watt Lamp</v>
      </c>
      <c r="W43" s="83">
        <v>63</v>
      </c>
      <c r="X43" s="89">
        <v>63</v>
      </c>
      <c r="Y43" s="89">
        <v>63</v>
      </c>
      <c r="Z43" s="1248">
        <v>63</v>
      </c>
      <c r="AA43" s="1248">
        <v>63</v>
      </c>
      <c r="AB43" s="2498">
        <v>65.553668950451794</v>
      </c>
      <c r="AC43" s="2499"/>
      <c r="AD43" s="2499"/>
      <c r="AE43" s="2499"/>
      <c r="AF43" s="2499"/>
      <c r="AG43" s="2499"/>
      <c r="AH43" s="2500"/>
      <c r="AI43" s="2498">
        <v>14</v>
      </c>
      <c r="AJ43" s="2498"/>
      <c r="AK43" s="1248">
        <v>14</v>
      </c>
      <c r="AL43" s="1248">
        <v>14</v>
      </c>
      <c r="AM43" s="2498">
        <v>14</v>
      </c>
      <c r="AN43" s="2498">
        <v>14</v>
      </c>
      <c r="AO43" s="2498">
        <f t="shared" si="19"/>
        <v>9.6557442160659317</v>
      </c>
      <c r="AP43" s="2875"/>
      <c r="AQ43" s="2499"/>
      <c r="AR43" s="2499"/>
      <c r="AS43" s="2499"/>
      <c r="AT43" s="2499"/>
      <c r="AU43" s="2500"/>
      <c r="AV43" s="2501">
        <v>2920</v>
      </c>
      <c r="AW43" s="2506">
        <v>2920</v>
      </c>
      <c r="AX43" s="2501">
        <v>2920</v>
      </c>
      <c r="AY43" s="2501">
        <v>2920</v>
      </c>
      <c r="AZ43" s="2501">
        <v>2920</v>
      </c>
      <c r="BA43" s="2498">
        <v>2205.5545129579982</v>
      </c>
      <c r="BB43" s="2499"/>
      <c r="BC43" s="2499"/>
      <c r="BD43" s="2499"/>
      <c r="BE43" s="2499"/>
      <c r="BF43" s="2499"/>
      <c r="BG43" s="2500"/>
      <c r="BH43" s="2498">
        <v>1.07</v>
      </c>
      <c r="BI43" s="2498">
        <v>1.07</v>
      </c>
      <c r="BJ43" s="2499">
        <v>1.07</v>
      </c>
      <c r="BK43" s="1670">
        <v>1.07</v>
      </c>
      <c r="BL43" s="1670">
        <v>1.07</v>
      </c>
      <c r="BM43" s="1248">
        <v>1.071</v>
      </c>
      <c r="BN43" s="2499"/>
      <c r="BO43" s="2499"/>
      <c r="BP43" s="2499"/>
      <c r="BQ43" s="2499"/>
      <c r="BR43" s="2499"/>
      <c r="BS43" s="2500"/>
      <c r="BT43" s="2498">
        <v>1</v>
      </c>
      <c r="BU43" s="1248">
        <v>1</v>
      </c>
      <c r="BV43" s="2498">
        <v>1</v>
      </c>
      <c r="BW43" s="2498">
        <v>1</v>
      </c>
      <c r="BX43" s="2498">
        <v>1</v>
      </c>
      <c r="BY43" s="2498">
        <v>1</v>
      </c>
      <c r="BZ43" s="2499"/>
      <c r="CA43" s="2499"/>
      <c r="CB43" s="2499"/>
      <c r="CC43" s="2499"/>
      <c r="CD43" s="2499"/>
      <c r="CE43" s="2500"/>
      <c r="CF43" s="87">
        <v>17</v>
      </c>
      <c r="CG43" s="2507">
        <v>17</v>
      </c>
      <c r="CH43" s="2504">
        <v>17</v>
      </c>
      <c r="CI43" s="2504">
        <v>17</v>
      </c>
      <c r="CJ43" s="2504">
        <v>17</v>
      </c>
      <c r="CK43" s="2504">
        <f t="shared" si="20"/>
        <v>17</v>
      </c>
      <c r="CL43" s="2499"/>
      <c r="CM43" s="2499"/>
      <c r="CN43" s="2499"/>
      <c r="CO43" s="2499"/>
      <c r="CP43" s="2499"/>
      <c r="CQ43" s="2505"/>
      <c r="CR43" s="2505"/>
      <c r="DC43" s="27"/>
      <c r="DD43" s="26"/>
      <c r="DE43" s="26"/>
      <c r="DF43" s="26"/>
    </row>
    <row r="44" spans="3:113" s="77" customFormat="1" outlineLevel="1" x14ac:dyDescent="0.25">
      <c r="C44" s="198"/>
      <c r="D44" s="1495" t="str">
        <f t="shared" si="17"/>
        <v>800150_2019_12_</v>
      </c>
      <c r="E44" s="1495" t="str">
        <f t="shared" si="18"/>
        <v>LED &lt;=14 Watt Lamp Replacing Interior Halogen BR/R 45-65 Watt Lamp</v>
      </c>
      <c r="F44" s="81">
        <v>66.525768731052409</v>
      </c>
      <c r="G44" s="81">
        <v>10.191857947163275</v>
      </c>
      <c r="H44" s="3313">
        <v>2711.439800779558</v>
      </c>
      <c r="I44" s="81">
        <v>1.071</v>
      </c>
      <c r="J44" s="81">
        <v>0.99</v>
      </c>
      <c r="K44" s="2761">
        <v>11</v>
      </c>
      <c r="L44" s="198"/>
      <c r="M44" s="463"/>
      <c r="N44" s="463"/>
      <c r="O44" s="463"/>
      <c r="P44" s="463"/>
      <c r="Q44" s="463"/>
      <c r="R44" s="463"/>
      <c r="S44" s="463"/>
      <c r="T44" s="463"/>
      <c r="U44" s="1496"/>
      <c r="V44" s="2358" t="str">
        <f t="shared" si="21"/>
        <v>LED &lt;=14 Watt Lamp Replacing Interior Halogen BR/R 45-65 Watt Lamp</v>
      </c>
      <c r="W44" s="83">
        <v>55</v>
      </c>
      <c r="X44" s="84">
        <v>62</v>
      </c>
      <c r="Y44" s="85">
        <v>62</v>
      </c>
      <c r="Z44" s="1248">
        <v>62</v>
      </c>
      <c r="AA44" s="1248">
        <v>62</v>
      </c>
      <c r="AB44" s="2498">
        <v>66.525768731052409</v>
      </c>
      <c r="AC44" s="2499"/>
      <c r="AD44" s="2499"/>
      <c r="AE44" s="2499"/>
      <c r="AF44" s="2499"/>
      <c r="AG44" s="2499"/>
      <c r="AH44" s="2500"/>
      <c r="AI44" s="2498">
        <v>12</v>
      </c>
      <c r="AJ44" s="2498"/>
      <c r="AK44" s="426">
        <v>9.3000000000000007</v>
      </c>
      <c r="AL44" s="1248">
        <v>9.3000000000000007</v>
      </c>
      <c r="AM44" s="2498">
        <v>9.3000000000000007</v>
      </c>
      <c r="AN44" s="2498">
        <v>9.3000000000000007</v>
      </c>
      <c r="AO44" s="2498">
        <f t="shared" si="19"/>
        <v>10.191857947163275</v>
      </c>
      <c r="AP44" s="2875"/>
      <c r="AQ44" s="2499"/>
      <c r="AR44" s="2499"/>
      <c r="AS44" s="2499"/>
      <c r="AT44" s="2499"/>
      <c r="AU44" s="2500"/>
      <c r="AV44" s="2501">
        <v>4380</v>
      </c>
      <c r="AW44" s="2508">
        <v>3583</v>
      </c>
      <c r="AX44" s="2501">
        <v>3583</v>
      </c>
      <c r="AY44" s="2501">
        <v>3583</v>
      </c>
      <c r="AZ44" s="2501">
        <v>3583</v>
      </c>
      <c r="BA44" s="2498">
        <v>2711.439800779558</v>
      </c>
      <c r="BB44" s="2499"/>
      <c r="BC44" s="2499"/>
      <c r="BD44" s="2499"/>
      <c r="BE44" s="2499"/>
      <c r="BF44" s="2499"/>
      <c r="BG44" s="2500"/>
      <c r="BH44" s="2498">
        <v>1.07</v>
      </c>
      <c r="BI44" s="426">
        <v>1.0900000000000001</v>
      </c>
      <c r="BJ44" s="2499">
        <v>1.0900000000000001</v>
      </c>
      <c r="BK44" s="1670">
        <v>1.0900000000000001</v>
      </c>
      <c r="BL44" s="1670">
        <v>1.0900000000000001</v>
      </c>
      <c r="BM44" s="1248">
        <v>1.071</v>
      </c>
      <c r="BN44" s="2499"/>
      <c r="BO44" s="2499"/>
      <c r="BP44" s="2499"/>
      <c r="BQ44" s="2499"/>
      <c r="BR44" s="2499"/>
      <c r="BS44" s="2500"/>
      <c r="BT44" s="2498">
        <v>1</v>
      </c>
      <c r="BU44" s="426">
        <v>0.99</v>
      </c>
      <c r="BV44" s="2498">
        <v>0.99</v>
      </c>
      <c r="BW44" s="2498">
        <v>0.99</v>
      </c>
      <c r="BX44" s="2498">
        <v>0.99</v>
      </c>
      <c r="BY44" s="2498">
        <v>0.99</v>
      </c>
      <c r="BZ44" s="2499"/>
      <c r="CA44" s="2499"/>
      <c r="CB44" s="2499"/>
      <c r="CC44" s="2499"/>
      <c r="CD44" s="2499"/>
      <c r="CE44" s="2500"/>
      <c r="CF44" s="87">
        <v>11</v>
      </c>
      <c r="CG44" s="2503">
        <v>14</v>
      </c>
      <c r="CH44" s="2504">
        <v>14</v>
      </c>
      <c r="CI44" s="2504">
        <v>14</v>
      </c>
      <c r="CJ44" s="2504">
        <v>14</v>
      </c>
      <c r="CK44" s="2504">
        <f t="shared" si="20"/>
        <v>11</v>
      </c>
      <c r="CL44" s="2499"/>
      <c r="CM44" s="2499"/>
      <c r="CN44" s="2499"/>
      <c r="CO44" s="2499"/>
      <c r="CP44" s="2499"/>
      <c r="CQ44" s="2505"/>
      <c r="CR44" s="2505"/>
      <c r="DC44" s="27"/>
      <c r="DD44" s="26"/>
      <c r="DE44" s="26"/>
      <c r="DF44" s="26"/>
    </row>
    <row r="45" spans="3:113" s="77" customFormat="1" outlineLevel="1" x14ac:dyDescent="0.25">
      <c r="C45" s="198"/>
      <c r="D45" s="1495" t="str">
        <f t="shared" si="17"/>
        <v>800200_2019_12_</v>
      </c>
      <c r="E45" s="1495" t="str">
        <f t="shared" si="18"/>
        <v>LED &lt;=13 Watt Lamp Replacing Interior Halogen MR-16 35-50 Watt Lamp</v>
      </c>
      <c r="F45" s="81">
        <v>46.867785939139559</v>
      </c>
      <c r="G45" s="81">
        <v>6.5456453305351525</v>
      </c>
      <c r="H45" s="3312">
        <v>3585.087093389297</v>
      </c>
      <c r="I45" s="81">
        <v>1.071</v>
      </c>
      <c r="J45" s="81">
        <v>0.995</v>
      </c>
      <c r="K45" s="2761">
        <v>11</v>
      </c>
      <c r="L45" s="198"/>
      <c r="M45" s="463"/>
      <c r="N45" s="463"/>
      <c r="O45" s="463"/>
      <c r="P45" s="463"/>
      <c r="Q45" s="463"/>
      <c r="R45" s="463"/>
      <c r="S45" s="463"/>
      <c r="T45" s="463"/>
      <c r="U45" s="1497"/>
      <c r="V45" s="2358" t="str">
        <f t="shared" si="21"/>
        <v>LED &lt;=13 Watt Lamp Replacing Interior Halogen MR-16 35-50 Watt Lamp</v>
      </c>
      <c r="W45" s="83">
        <v>50</v>
      </c>
      <c r="X45" s="84">
        <v>45</v>
      </c>
      <c r="Y45" s="85">
        <v>45</v>
      </c>
      <c r="Z45" s="1248">
        <v>45</v>
      </c>
      <c r="AA45" s="1248">
        <v>45</v>
      </c>
      <c r="AB45" s="2498">
        <v>46.867785939139559</v>
      </c>
      <c r="AC45" s="2499"/>
      <c r="AD45" s="2499"/>
      <c r="AE45" s="2499"/>
      <c r="AF45" s="2499"/>
      <c r="AG45" s="2499"/>
      <c r="AH45" s="2500"/>
      <c r="AI45" s="2498">
        <v>12</v>
      </c>
      <c r="AJ45" s="2498"/>
      <c r="AK45" s="426">
        <v>8.5</v>
      </c>
      <c r="AL45" s="1248">
        <v>8.5</v>
      </c>
      <c r="AM45" s="2498">
        <v>8.5</v>
      </c>
      <c r="AN45" s="2498">
        <v>8.5</v>
      </c>
      <c r="AO45" s="2498">
        <f t="shared" si="19"/>
        <v>6.5456453305351525</v>
      </c>
      <c r="AP45" s="2875"/>
      <c r="AQ45" s="2499"/>
      <c r="AR45" s="2499"/>
      <c r="AS45" s="2499"/>
      <c r="AT45" s="2499"/>
      <c r="AU45" s="2500"/>
      <c r="AV45" s="2501">
        <v>4380</v>
      </c>
      <c r="AW45" s="2502">
        <v>4120</v>
      </c>
      <c r="AX45" s="2501">
        <v>4120</v>
      </c>
      <c r="AY45" s="2501">
        <v>4120</v>
      </c>
      <c r="AZ45" s="2501">
        <v>4120</v>
      </c>
      <c r="BA45" s="2498">
        <v>3585.087093389297</v>
      </c>
      <c r="BB45" s="2499"/>
      <c r="BC45" s="2499"/>
      <c r="BD45" s="2499"/>
      <c r="BE45" s="2499"/>
      <c r="BF45" s="2499"/>
      <c r="BG45" s="2500"/>
      <c r="BH45" s="2498">
        <v>1.07</v>
      </c>
      <c r="BI45" s="426">
        <v>1.1000000000000001</v>
      </c>
      <c r="BJ45" s="2499">
        <v>1.1000000000000001</v>
      </c>
      <c r="BK45" s="1670">
        <v>1.1000000000000001</v>
      </c>
      <c r="BL45" s="1670">
        <v>1.1000000000000001</v>
      </c>
      <c r="BM45" s="1248">
        <v>1.071</v>
      </c>
      <c r="BN45" s="2499"/>
      <c r="BO45" s="2499"/>
      <c r="BP45" s="2499"/>
      <c r="BQ45" s="2499"/>
      <c r="BR45" s="2499"/>
      <c r="BS45" s="2500"/>
      <c r="BT45" s="2498">
        <v>1</v>
      </c>
      <c r="BU45" s="426">
        <v>0.995</v>
      </c>
      <c r="BV45" s="2498">
        <v>0.995</v>
      </c>
      <c r="BW45" s="2498">
        <v>0.995</v>
      </c>
      <c r="BX45" s="2498">
        <v>0.995</v>
      </c>
      <c r="BY45" s="2498">
        <v>0.995</v>
      </c>
      <c r="BZ45" s="2499"/>
      <c r="CA45" s="2499"/>
      <c r="CB45" s="2499"/>
      <c r="CC45" s="2499"/>
      <c r="CD45" s="2499"/>
      <c r="CE45" s="2500"/>
      <c r="CF45" s="87">
        <v>11</v>
      </c>
      <c r="CG45" s="2503">
        <v>12</v>
      </c>
      <c r="CH45" s="2504">
        <v>12</v>
      </c>
      <c r="CI45" s="2504">
        <v>12</v>
      </c>
      <c r="CJ45" s="2504">
        <v>12</v>
      </c>
      <c r="CK45" s="2504">
        <f t="shared" si="20"/>
        <v>11</v>
      </c>
      <c r="CL45" s="2499"/>
      <c r="CM45" s="2499"/>
      <c r="CN45" s="2499"/>
      <c r="CO45" s="2499"/>
      <c r="CP45" s="2499"/>
      <c r="CQ45" s="2505"/>
      <c r="CR45" s="2505"/>
      <c r="DC45" s="27"/>
      <c r="DD45" s="26"/>
      <c r="DE45" s="26"/>
      <c r="DF45" s="26"/>
    </row>
    <row r="46" spans="3:113" outlineLevel="1" x14ac:dyDescent="0.25">
      <c r="D46" s="1495" t="str">
        <f t="shared" si="17"/>
        <v>800250_2019_12_</v>
      </c>
      <c r="E46" s="1495" t="str">
        <f t="shared" si="18"/>
        <v>LED &lt;=20 Watt Lamp Replacing Interior Halogen PAR 48-90 Watt Lamp</v>
      </c>
      <c r="F46" s="81">
        <v>75.836453954910198</v>
      </c>
      <c r="G46" s="81">
        <v>12.790026748184944</v>
      </c>
      <c r="H46" s="3312">
        <v>3397.4975162399696</v>
      </c>
      <c r="I46" s="81">
        <v>1.071</v>
      </c>
      <c r="J46" s="81">
        <v>0.99</v>
      </c>
      <c r="K46" s="2761">
        <v>11</v>
      </c>
      <c r="U46" s="1498"/>
      <c r="V46" s="2358" t="str">
        <f t="shared" si="21"/>
        <v>LED &lt;=20 Watt Lamp Replacing Interior Halogen PAR 48-90 Watt Lamp</v>
      </c>
      <c r="W46" s="83">
        <v>70</v>
      </c>
      <c r="X46" s="84">
        <v>72</v>
      </c>
      <c r="Y46" s="85">
        <v>72</v>
      </c>
      <c r="Z46" s="1248">
        <v>72</v>
      </c>
      <c r="AA46" s="1248">
        <v>72</v>
      </c>
      <c r="AB46" s="2498">
        <v>75.836453954910198</v>
      </c>
      <c r="AC46" s="2499"/>
      <c r="AD46" s="2499"/>
      <c r="AE46" s="2499"/>
      <c r="AF46" s="2499"/>
      <c r="AG46" s="2499"/>
      <c r="AH46" s="974"/>
      <c r="AI46" s="2498">
        <v>15</v>
      </c>
      <c r="AJ46" s="2498"/>
      <c r="AK46" s="426">
        <v>12.8</v>
      </c>
      <c r="AL46" s="1248">
        <v>12.8</v>
      </c>
      <c r="AM46" s="2498">
        <v>12.8</v>
      </c>
      <c r="AN46" s="2498">
        <v>12.8</v>
      </c>
      <c r="AO46" s="2498">
        <f t="shared" si="19"/>
        <v>12.790026748184944</v>
      </c>
      <c r="AP46" s="2875"/>
      <c r="AQ46" s="2499"/>
      <c r="AR46" s="2499"/>
      <c r="AS46" s="2499"/>
      <c r="AT46" s="2499"/>
      <c r="AU46" s="974"/>
      <c r="AV46" s="2501">
        <v>4380</v>
      </c>
      <c r="AW46" s="2502">
        <v>4003</v>
      </c>
      <c r="AX46" s="2501">
        <v>4003</v>
      </c>
      <c r="AY46" s="2501">
        <v>4003</v>
      </c>
      <c r="AZ46" s="2501">
        <v>4003</v>
      </c>
      <c r="BA46" s="2498">
        <v>3397.4975162399696</v>
      </c>
      <c r="BB46" s="2499"/>
      <c r="BC46" s="2499"/>
      <c r="BD46" s="2499"/>
      <c r="BE46" s="2499"/>
      <c r="BF46" s="2499"/>
      <c r="BG46" s="974"/>
      <c r="BH46" s="2498">
        <v>1.07</v>
      </c>
      <c r="BI46" s="426">
        <v>1.0900000000000001</v>
      </c>
      <c r="BJ46" s="2499">
        <v>1.0900000000000001</v>
      </c>
      <c r="BK46" s="1670">
        <v>1.0900000000000001</v>
      </c>
      <c r="BL46" s="1670">
        <v>1.0900000000000001</v>
      </c>
      <c r="BM46" s="1248">
        <v>1.071</v>
      </c>
      <c r="BN46" s="2499"/>
      <c r="BO46" s="2499"/>
      <c r="BP46" s="2499"/>
      <c r="BQ46" s="2499"/>
      <c r="BR46" s="2499"/>
      <c r="BS46" s="974"/>
      <c r="BT46" s="2498">
        <v>1</v>
      </c>
      <c r="BU46" s="426">
        <v>0.99</v>
      </c>
      <c r="BV46" s="2498">
        <v>0.99</v>
      </c>
      <c r="BW46" s="2498">
        <v>0.99</v>
      </c>
      <c r="BX46" s="2498">
        <v>0.99</v>
      </c>
      <c r="BY46" s="2498">
        <v>0.99</v>
      </c>
      <c r="BZ46" s="2499"/>
      <c r="CA46" s="2499"/>
      <c r="CB46" s="2499"/>
      <c r="CC46" s="2499"/>
      <c r="CD46" s="2499"/>
      <c r="CE46" s="974"/>
      <c r="CF46" s="87">
        <v>11</v>
      </c>
      <c r="CG46" s="2503">
        <v>12</v>
      </c>
      <c r="CH46" s="2504">
        <v>12</v>
      </c>
      <c r="CI46" s="2504">
        <v>12</v>
      </c>
      <c r="CJ46" s="2504">
        <v>12</v>
      </c>
      <c r="CK46" s="2504">
        <f t="shared" si="20"/>
        <v>11</v>
      </c>
      <c r="CL46" s="2499"/>
      <c r="CM46" s="2499"/>
      <c r="CN46" s="2499"/>
      <c r="CO46" s="2499"/>
      <c r="CP46" s="2499"/>
      <c r="CQ46" s="2280"/>
      <c r="CR46" s="2280"/>
      <c r="CT46" s="26"/>
      <c r="CX46"/>
      <c r="DB46" s="26"/>
      <c r="DC46" s="27"/>
      <c r="DG46" s="26"/>
      <c r="DI46" s="2278"/>
    </row>
    <row r="47" spans="3:113" outlineLevel="1" x14ac:dyDescent="0.25">
      <c r="D47" s="1495" t="str">
        <f t="shared" si="17"/>
        <v>800300_2019_12_</v>
      </c>
      <c r="E47" s="1235" t="str">
        <f t="shared" si="18"/>
        <v>LED &lt;=80 Watt Lamp or Fixture Replacing Interior HID 100-175 Watt Lamp or Fixture</v>
      </c>
      <c r="F47" s="81">
        <v>459.93313010766639</v>
      </c>
      <c r="G47" s="81">
        <v>141.88500454014789</v>
      </c>
      <c r="H47" s="3312">
        <v>3517.5659618627578</v>
      </c>
      <c r="I47" s="81">
        <v>1.071</v>
      </c>
      <c r="J47" s="81">
        <v>1</v>
      </c>
      <c r="K47" s="2761">
        <v>11</v>
      </c>
      <c r="U47" s="1498"/>
      <c r="V47" s="2358" t="str">
        <f t="shared" si="21"/>
        <v>LED &lt;=80 Watt Lamp or Fixture Replacing Interior HID 100-175 Watt Lamp or Fixture</v>
      </c>
      <c r="W47" s="83">
        <v>175</v>
      </c>
      <c r="X47" s="84">
        <v>132</v>
      </c>
      <c r="Y47" s="85">
        <v>132</v>
      </c>
      <c r="Z47" s="1248">
        <v>132</v>
      </c>
      <c r="AA47" s="1248">
        <v>132</v>
      </c>
      <c r="AB47" s="2498">
        <v>459.93313010766639</v>
      </c>
      <c r="AC47" s="2499"/>
      <c r="AD47" s="2499"/>
      <c r="AE47" s="2499"/>
      <c r="AF47" s="2499"/>
      <c r="AG47" s="2499"/>
      <c r="AH47" s="974"/>
      <c r="AI47" s="2498">
        <v>52</v>
      </c>
      <c r="AJ47" s="2498"/>
      <c r="AK47" s="426">
        <v>48</v>
      </c>
      <c r="AL47" s="1248">
        <v>48</v>
      </c>
      <c r="AM47" s="2498">
        <v>48</v>
      </c>
      <c r="AN47" s="2498">
        <v>48</v>
      </c>
      <c r="AO47" s="2498">
        <f t="shared" si="19"/>
        <v>141.88500454014789</v>
      </c>
      <c r="AP47" s="2875"/>
      <c r="AQ47" s="2499"/>
      <c r="AR47" s="2499"/>
      <c r="AS47" s="2499"/>
      <c r="AT47" s="2499"/>
      <c r="AU47" s="974"/>
      <c r="AV47" s="2501">
        <v>4380</v>
      </c>
      <c r="AW47" s="2502">
        <v>4399</v>
      </c>
      <c r="AX47" s="2501">
        <v>4399</v>
      </c>
      <c r="AY47" s="2501">
        <v>4399</v>
      </c>
      <c r="AZ47" s="2501">
        <v>4399</v>
      </c>
      <c r="BA47" s="2498">
        <v>3517.5659618627578</v>
      </c>
      <c r="BB47" s="2499"/>
      <c r="BC47" s="2499"/>
      <c r="BD47" s="2499"/>
      <c r="BE47" s="2499"/>
      <c r="BF47" s="2499"/>
      <c r="BG47" s="974"/>
      <c r="BH47" s="2498">
        <v>1.07</v>
      </c>
      <c r="BI47" s="426">
        <v>1</v>
      </c>
      <c r="BJ47" s="2499">
        <v>1</v>
      </c>
      <c r="BK47" s="1670">
        <v>1</v>
      </c>
      <c r="BL47" s="1670">
        <v>1</v>
      </c>
      <c r="BM47" s="1248">
        <v>1.071</v>
      </c>
      <c r="BN47" s="2499"/>
      <c r="BO47" s="2499"/>
      <c r="BP47" s="2499"/>
      <c r="BQ47" s="2499"/>
      <c r="BR47" s="2499"/>
      <c r="BS47" s="974"/>
      <c r="BT47" s="2498">
        <v>1</v>
      </c>
      <c r="BU47" s="1248">
        <v>1</v>
      </c>
      <c r="BV47" s="2498">
        <v>1</v>
      </c>
      <c r="BW47" s="2498">
        <v>1</v>
      </c>
      <c r="BX47" s="2498">
        <v>1</v>
      </c>
      <c r="BY47" s="2498">
        <v>1</v>
      </c>
      <c r="BZ47" s="2499"/>
      <c r="CA47" s="2499"/>
      <c r="CB47" s="2499"/>
      <c r="CC47" s="2499"/>
      <c r="CD47" s="2499"/>
      <c r="CE47" s="974"/>
      <c r="CF47" s="87">
        <v>11</v>
      </c>
      <c r="CG47" s="2507">
        <v>11</v>
      </c>
      <c r="CH47" s="2504">
        <v>11</v>
      </c>
      <c r="CI47" s="2504">
        <v>11</v>
      </c>
      <c r="CJ47" s="2504">
        <v>11</v>
      </c>
      <c r="CK47" s="2504">
        <f t="shared" si="20"/>
        <v>11</v>
      </c>
      <c r="CL47" s="2499"/>
      <c r="CM47" s="2499"/>
      <c r="CN47" s="2499"/>
      <c r="CO47" s="2499"/>
      <c r="CP47" s="2499"/>
      <c r="CQ47" s="2280"/>
      <c r="CR47" s="2280"/>
      <c r="CT47" s="26"/>
      <c r="CX47"/>
      <c r="DB47" s="26"/>
      <c r="DC47" s="27"/>
      <c r="DG47" s="26"/>
      <c r="DI47" s="2278"/>
    </row>
    <row r="48" spans="3:113" outlineLevel="1" x14ac:dyDescent="0.25">
      <c r="D48" s="1495" t="str">
        <f t="shared" si="17"/>
        <v>800350_2019_12_</v>
      </c>
      <c r="E48" s="1235" t="str">
        <f t="shared" si="18"/>
        <v>LED 62 - 130 Watt Lamp or Fixture Replacing Interior HID 176-300 Watt Lamp or Fixture</v>
      </c>
      <c r="F48" s="81">
        <v>262</v>
      </c>
      <c r="G48" s="81">
        <v>92</v>
      </c>
      <c r="H48" s="3312">
        <v>4954.4778036070838</v>
      </c>
      <c r="I48" s="81">
        <v>1.071</v>
      </c>
      <c r="J48" s="81">
        <v>1</v>
      </c>
      <c r="K48" s="2761">
        <v>11</v>
      </c>
      <c r="U48" s="1498"/>
      <c r="V48" s="2358" t="str">
        <f t="shared" si="21"/>
        <v>LED 62 - 130 Watt Lamp or Fixture Replacing Interior HID 176-300 Watt Lamp or Fixture</v>
      </c>
      <c r="W48" s="83">
        <v>250</v>
      </c>
      <c r="X48" s="84">
        <v>262</v>
      </c>
      <c r="Y48" s="85">
        <v>262</v>
      </c>
      <c r="Z48" s="1248">
        <v>262</v>
      </c>
      <c r="AA48" s="1248">
        <v>262</v>
      </c>
      <c r="AB48" s="2498">
        <v>262</v>
      </c>
      <c r="AC48" s="2499"/>
      <c r="AD48" s="2499"/>
      <c r="AE48" s="2499"/>
      <c r="AF48" s="2499"/>
      <c r="AG48" s="2499"/>
      <c r="AH48" s="974"/>
      <c r="AI48" s="2498">
        <v>100</v>
      </c>
      <c r="AJ48" s="2498"/>
      <c r="AK48" s="426">
        <v>92</v>
      </c>
      <c r="AL48" s="1248">
        <v>92</v>
      </c>
      <c r="AM48" s="2498">
        <v>92</v>
      </c>
      <c r="AN48" s="2498">
        <v>92</v>
      </c>
      <c r="AO48" s="2498">
        <f t="shared" si="19"/>
        <v>92</v>
      </c>
      <c r="AP48" s="2875"/>
      <c r="AQ48" s="2499"/>
      <c r="AR48" s="2499"/>
      <c r="AS48" s="2499"/>
      <c r="AT48" s="2499"/>
      <c r="AU48" s="974"/>
      <c r="AV48" s="2501">
        <v>4380</v>
      </c>
      <c r="AW48" s="2502">
        <v>4954.4778036070838</v>
      </c>
      <c r="AX48" s="2501">
        <v>4954.4778036070838</v>
      </c>
      <c r="AY48" s="2501">
        <v>4954.4778036070838</v>
      </c>
      <c r="AZ48" s="2501">
        <v>4954.4778036070838</v>
      </c>
      <c r="BA48" s="2498">
        <v>4954.4778036070838</v>
      </c>
      <c r="BB48" s="2499"/>
      <c r="BC48" s="2499"/>
      <c r="BD48" s="2499"/>
      <c r="BE48" s="2499"/>
      <c r="BF48" s="2499"/>
      <c r="BG48" s="974"/>
      <c r="BH48" s="2498">
        <v>1.07</v>
      </c>
      <c r="BI48" s="426">
        <v>1.05</v>
      </c>
      <c r="BJ48" s="2499">
        <v>1.05</v>
      </c>
      <c r="BK48" s="1670">
        <v>1.05</v>
      </c>
      <c r="BL48" s="1670">
        <v>1.05</v>
      </c>
      <c r="BM48" s="1248">
        <v>1.071</v>
      </c>
      <c r="BN48" s="2499"/>
      <c r="BO48" s="2499"/>
      <c r="BP48" s="2499"/>
      <c r="BQ48" s="2499"/>
      <c r="BR48" s="2499"/>
      <c r="BS48" s="974"/>
      <c r="BT48" s="2498">
        <v>1</v>
      </c>
      <c r="BU48" s="1248">
        <v>1</v>
      </c>
      <c r="BV48" s="2498">
        <v>1</v>
      </c>
      <c r="BW48" s="2498">
        <v>1</v>
      </c>
      <c r="BX48" s="2498">
        <v>1</v>
      </c>
      <c r="BY48" s="2498">
        <v>1</v>
      </c>
      <c r="BZ48" s="2499"/>
      <c r="CA48" s="2499"/>
      <c r="CB48" s="2499"/>
      <c r="CC48" s="2499"/>
      <c r="CD48" s="2499"/>
      <c r="CE48" s="974"/>
      <c r="CF48" s="87">
        <v>11</v>
      </c>
      <c r="CG48" s="2503">
        <v>10</v>
      </c>
      <c r="CH48" s="2504">
        <v>10</v>
      </c>
      <c r="CI48" s="2504">
        <v>10</v>
      </c>
      <c r="CJ48" s="2504">
        <v>10</v>
      </c>
      <c r="CK48" s="2504">
        <f t="shared" si="20"/>
        <v>11</v>
      </c>
      <c r="CL48" s="2499"/>
      <c r="CM48" s="2499"/>
      <c r="CN48" s="2499"/>
      <c r="CO48" s="2499"/>
      <c r="CP48" s="2499"/>
      <c r="CQ48" s="2280"/>
      <c r="CR48" s="2280"/>
      <c r="CT48" s="26"/>
      <c r="CX48"/>
      <c r="DB48" s="26"/>
      <c r="DC48" s="27"/>
      <c r="DG48" s="26"/>
      <c r="DI48" s="2278"/>
    </row>
    <row r="49" spans="3:113" outlineLevel="1" x14ac:dyDescent="0.25">
      <c r="D49" s="1495" t="str">
        <f t="shared" si="17"/>
        <v>800400_2019_12_</v>
      </c>
      <c r="E49" s="1495" t="str">
        <f t="shared" si="18"/>
        <v>LED 85 - 225 Watt Lamp or Fixture Replacing Interior HID 301-500 Watt Lamp or Fixture</v>
      </c>
      <c r="F49" s="81">
        <v>444</v>
      </c>
      <c r="G49" s="81">
        <v>136</v>
      </c>
      <c r="H49" s="3312">
        <v>4425.1429410031269</v>
      </c>
      <c r="I49" s="81">
        <v>1.071</v>
      </c>
      <c r="J49" s="81">
        <v>1</v>
      </c>
      <c r="K49" s="2761">
        <v>11</v>
      </c>
      <c r="U49" s="1498"/>
      <c r="V49" s="2358" t="str">
        <f t="shared" si="21"/>
        <v>LED 85 - 225 Watt Lamp or Fixture Replacing Interior HID 301-500 Watt Lamp or Fixture</v>
      </c>
      <c r="W49" s="83">
        <v>400</v>
      </c>
      <c r="X49" s="84">
        <v>444</v>
      </c>
      <c r="Y49" s="85">
        <v>444</v>
      </c>
      <c r="Z49" s="1248">
        <v>444</v>
      </c>
      <c r="AA49" s="1248">
        <v>444</v>
      </c>
      <c r="AB49" s="2498">
        <v>444</v>
      </c>
      <c r="AC49" s="2499"/>
      <c r="AD49" s="2499"/>
      <c r="AE49" s="2499"/>
      <c r="AF49" s="2499"/>
      <c r="AG49" s="2499"/>
      <c r="AH49" s="974"/>
      <c r="AI49" s="2498">
        <v>142</v>
      </c>
      <c r="AJ49" s="2498"/>
      <c r="AK49" s="426">
        <v>136</v>
      </c>
      <c r="AL49" s="1248">
        <v>136</v>
      </c>
      <c r="AM49" s="2498">
        <v>136</v>
      </c>
      <c r="AN49" s="2498">
        <v>136</v>
      </c>
      <c r="AO49" s="2498">
        <f t="shared" si="19"/>
        <v>136</v>
      </c>
      <c r="AP49" s="2875"/>
      <c r="AQ49" s="2499"/>
      <c r="AR49" s="2499"/>
      <c r="AS49" s="2499"/>
      <c r="AT49" s="2499"/>
      <c r="AU49" s="974"/>
      <c r="AV49" s="2501">
        <v>4380</v>
      </c>
      <c r="AW49" s="2502">
        <v>4425.1429410031269</v>
      </c>
      <c r="AX49" s="2501">
        <v>4425.1429410031269</v>
      </c>
      <c r="AY49" s="2501">
        <v>4425.1429410031269</v>
      </c>
      <c r="AZ49" s="2501">
        <v>4425.1429410031269</v>
      </c>
      <c r="BA49" s="2498">
        <v>4425.1429410031269</v>
      </c>
      <c r="BB49" s="2499"/>
      <c r="BC49" s="2499"/>
      <c r="BD49" s="2499"/>
      <c r="BE49" s="2499"/>
      <c r="BF49" s="2499"/>
      <c r="BG49" s="974"/>
      <c r="BH49" s="2498">
        <v>1.07</v>
      </c>
      <c r="BI49" s="426">
        <v>1.08</v>
      </c>
      <c r="BJ49" s="2499">
        <v>1.08</v>
      </c>
      <c r="BK49" s="1670">
        <v>1.08</v>
      </c>
      <c r="BL49" s="1670">
        <v>1.08</v>
      </c>
      <c r="BM49" s="1248">
        <v>1.071</v>
      </c>
      <c r="BN49" s="2499"/>
      <c r="BO49" s="2499"/>
      <c r="BP49" s="2499"/>
      <c r="BQ49" s="2499"/>
      <c r="BR49" s="2499"/>
      <c r="BS49" s="974"/>
      <c r="BT49" s="2498">
        <v>1</v>
      </c>
      <c r="BU49" s="1248">
        <v>1</v>
      </c>
      <c r="BV49" s="2498">
        <v>1</v>
      </c>
      <c r="BW49" s="2498">
        <v>1</v>
      </c>
      <c r="BX49" s="2498">
        <v>1</v>
      </c>
      <c r="BY49" s="2498">
        <v>1</v>
      </c>
      <c r="BZ49" s="2499"/>
      <c r="CA49" s="2499"/>
      <c r="CB49" s="2499"/>
      <c r="CC49" s="2499"/>
      <c r="CD49" s="2499"/>
      <c r="CE49" s="974"/>
      <c r="CF49" s="87">
        <v>11</v>
      </c>
      <c r="CG49" s="2507">
        <v>11</v>
      </c>
      <c r="CH49" s="2504">
        <v>11</v>
      </c>
      <c r="CI49" s="2504">
        <v>11</v>
      </c>
      <c r="CJ49" s="2504">
        <v>11</v>
      </c>
      <c r="CK49" s="2504">
        <f t="shared" si="20"/>
        <v>11</v>
      </c>
      <c r="CL49" s="2499"/>
      <c r="CM49" s="2499"/>
      <c r="CN49" s="2499"/>
      <c r="CO49" s="2499"/>
      <c r="CP49" s="2499"/>
      <c r="CQ49" s="2280"/>
      <c r="CR49" s="2280"/>
      <c r="CT49" s="26"/>
      <c r="CX49"/>
      <c r="DB49" s="26"/>
      <c r="DC49" s="27"/>
      <c r="DG49" s="26"/>
      <c r="DI49" s="2278"/>
    </row>
    <row r="50" spans="3:113" outlineLevel="1" x14ac:dyDescent="0.25">
      <c r="D50" s="1495" t="str">
        <f t="shared" si="17"/>
        <v>800450_2019_12_</v>
      </c>
      <c r="E50" s="1495" t="str">
        <f t="shared" si="18"/>
        <v>LED &lt;=80 Watt Lamp or Fixture Replacing Garage or Exterior &lt;24/7 HID 100-175 Watt Lamp or Fixture</v>
      </c>
      <c r="F50" s="81">
        <v>147</v>
      </c>
      <c r="G50" s="81">
        <v>50</v>
      </c>
      <c r="H50" s="3312">
        <v>4600</v>
      </c>
      <c r="I50" s="81">
        <v>1</v>
      </c>
      <c r="J50" s="81">
        <v>1</v>
      </c>
      <c r="K50" s="2761">
        <v>12</v>
      </c>
      <c r="U50" s="1498"/>
      <c r="V50" s="2358" t="str">
        <f t="shared" si="21"/>
        <v>LED &lt;=80 Watt Lamp or Fixture Replacing Garage or Exterior &lt;24/7 HID 100-175 Watt Lamp or Fixture</v>
      </c>
      <c r="W50" s="83">
        <v>175</v>
      </c>
      <c r="X50" s="84">
        <v>147</v>
      </c>
      <c r="Y50" s="85">
        <v>147</v>
      </c>
      <c r="Z50" s="1248">
        <v>147</v>
      </c>
      <c r="AA50" s="1248">
        <v>147</v>
      </c>
      <c r="AB50" s="2498">
        <v>147</v>
      </c>
      <c r="AC50" s="2499"/>
      <c r="AD50" s="2499"/>
      <c r="AE50" s="2499"/>
      <c r="AF50" s="2499"/>
      <c r="AG50" s="2499"/>
      <c r="AH50" s="974"/>
      <c r="AI50" s="2498">
        <v>52</v>
      </c>
      <c r="AJ50" s="2498"/>
      <c r="AK50" s="426">
        <v>50</v>
      </c>
      <c r="AL50" s="1248">
        <v>50</v>
      </c>
      <c r="AM50" s="2498">
        <v>50</v>
      </c>
      <c r="AN50" s="2498">
        <v>50</v>
      </c>
      <c r="AO50" s="2498">
        <f t="shared" si="19"/>
        <v>50</v>
      </c>
      <c r="AP50" s="2875"/>
      <c r="AQ50" s="2499"/>
      <c r="AR50" s="2499"/>
      <c r="AS50" s="2499"/>
      <c r="AT50" s="2499"/>
      <c r="AU50" s="974"/>
      <c r="AV50" s="2501">
        <v>3572.7642276422762</v>
      </c>
      <c r="AW50" s="2502">
        <v>4600</v>
      </c>
      <c r="AX50" s="2501">
        <v>4600</v>
      </c>
      <c r="AY50" s="2501">
        <v>4600</v>
      </c>
      <c r="AZ50" s="2501">
        <v>4600</v>
      </c>
      <c r="BA50" s="2498">
        <v>4600</v>
      </c>
      <c r="BB50" s="2499"/>
      <c r="BC50" s="2499"/>
      <c r="BD50" s="2499"/>
      <c r="BE50" s="2499"/>
      <c r="BF50" s="2499"/>
      <c r="BG50" s="974"/>
      <c r="BH50" s="2498">
        <v>1</v>
      </c>
      <c r="BI50" s="426">
        <v>1.02</v>
      </c>
      <c r="BJ50" s="2503">
        <v>1</v>
      </c>
      <c r="BK50" s="2507">
        <v>1</v>
      </c>
      <c r="BL50" s="2507">
        <v>1</v>
      </c>
      <c r="BM50" s="1248">
        <v>1</v>
      </c>
      <c r="BN50" s="2499"/>
      <c r="BO50" s="2499"/>
      <c r="BP50" s="2499"/>
      <c r="BQ50" s="2499"/>
      <c r="BR50" s="2499"/>
      <c r="BS50" s="974"/>
      <c r="BT50" s="2498">
        <v>1</v>
      </c>
      <c r="BU50" s="1248">
        <v>1</v>
      </c>
      <c r="BV50" s="2498">
        <v>1</v>
      </c>
      <c r="BW50" s="2498">
        <v>1</v>
      </c>
      <c r="BX50" s="2498">
        <v>1</v>
      </c>
      <c r="BY50" s="2498">
        <v>1</v>
      </c>
      <c r="BZ50" s="2499"/>
      <c r="CA50" s="2499"/>
      <c r="CB50" s="2499"/>
      <c r="CC50" s="2499"/>
      <c r="CD50" s="2499"/>
      <c r="CE50" s="974"/>
      <c r="CF50" s="87">
        <v>14</v>
      </c>
      <c r="CG50" s="2503">
        <v>11</v>
      </c>
      <c r="CH50" s="2504">
        <v>11</v>
      </c>
      <c r="CI50" s="2504">
        <v>11</v>
      </c>
      <c r="CJ50" s="2504">
        <v>11</v>
      </c>
      <c r="CK50" s="2504">
        <f t="shared" si="20"/>
        <v>12</v>
      </c>
      <c r="CL50" s="2499"/>
      <c r="CM50" s="2499"/>
      <c r="CN50" s="2499"/>
      <c r="CO50" s="2499"/>
      <c r="CP50" s="2499"/>
      <c r="CQ50" s="2280"/>
      <c r="CR50" s="2280"/>
      <c r="CT50" s="26"/>
      <c r="CX50"/>
      <c r="DB50" s="26"/>
      <c r="DC50" s="27"/>
      <c r="DG50" s="26"/>
      <c r="DI50" s="2278"/>
    </row>
    <row r="51" spans="3:113" outlineLevel="1" x14ac:dyDescent="0.25">
      <c r="D51" s="1495" t="str">
        <f t="shared" si="17"/>
        <v>800500_2019_12_</v>
      </c>
      <c r="E51" s="1495" t="str">
        <f t="shared" si="18"/>
        <v>LED 62 - 130 Watt Lamp or Fixture Replacing Garage or Exterior &lt;24/7 HID 176-300 Watt Lamp or Fixture</v>
      </c>
      <c r="F51" s="81">
        <v>262</v>
      </c>
      <c r="G51" s="81">
        <v>95</v>
      </c>
      <c r="H51" s="3312">
        <v>4315.6438177727669</v>
      </c>
      <c r="I51" s="81">
        <v>1</v>
      </c>
      <c r="J51" s="81">
        <v>0.99</v>
      </c>
      <c r="K51" s="2761">
        <v>12</v>
      </c>
      <c r="U51" s="1498"/>
      <c r="V51" s="2358" t="str">
        <f t="shared" si="21"/>
        <v>LED 62 - 130 Watt Lamp or Fixture Replacing Garage or Exterior &lt;24/7 HID 176-300 Watt Lamp or Fixture</v>
      </c>
      <c r="W51" s="83">
        <v>280</v>
      </c>
      <c r="X51" s="84">
        <v>262</v>
      </c>
      <c r="Y51" s="85">
        <v>262</v>
      </c>
      <c r="Z51" s="1248">
        <v>262</v>
      </c>
      <c r="AA51" s="1248">
        <v>262</v>
      </c>
      <c r="AB51" s="2498">
        <v>262</v>
      </c>
      <c r="AC51" s="2499"/>
      <c r="AD51" s="2499"/>
      <c r="AE51" s="2499"/>
      <c r="AF51" s="2499"/>
      <c r="AG51" s="2499"/>
      <c r="AH51" s="974"/>
      <c r="AI51" s="2498">
        <v>90</v>
      </c>
      <c r="AJ51" s="2498"/>
      <c r="AK51" s="426">
        <v>95</v>
      </c>
      <c r="AL51" s="1248">
        <v>95</v>
      </c>
      <c r="AM51" s="2498">
        <v>95</v>
      </c>
      <c r="AN51" s="2498">
        <v>95</v>
      </c>
      <c r="AO51" s="2498">
        <f t="shared" si="19"/>
        <v>95</v>
      </c>
      <c r="AP51" s="2875"/>
      <c r="AQ51" s="2499"/>
      <c r="AR51" s="2499"/>
      <c r="AS51" s="2499"/>
      <c r="AT51" s="2499"/>
      <c r="AU51" s="974"/>
      <c r="AV51" s="2501">
        <v>5513.3333333333339</v>
      </c>
      <c r="AW51" s="2502">
        <v>4315.6438177727669</v>
      </c>
      <c r="AX51" s="2501">
        <v>4315.6438177727669</v>
      </c>
      <c r="AY51" s="2501">
        <v>4315.6438177727669</v>
      </c>
      <c r="AZ51" s="2501">
        <v>4315.6438177727669</v>
      </c>
      <c r="BA51" s="2498">
        <v>4315.6438177727669</v>
      </c>
      <c r="BB51" s="2499"/>
      <c r="BC51" s="2499"/>
      <c r="BD51" s="2499"/>
      <c r="BE51" s="2499"/>
      <c r="BF51" s="2499"/>
      <c r="BG51" s="974"/>
      <c r="BH51" s="2498">
        <v>1</v>
      </c>
      <c r="BI51" s="426">
        <v>1.07</v>
      </c>
      <c r="BJ51" s="2503">
        <v>1</v>
      </c>
      <c r="BK51" s="2507">
        <v>1</v>
      </c>
      <c r="BL51" s="2507">
        <v>1</v>
      </c>
      <c r="BM51" s="1248">
        <v>1</v>
      </c>
      <c r="BN51" s="2499"/>
      <c r="BO51" s="2499"/>
      <c r="BP51" s="2499"/>
      <c r="BQ51" s="2499"/>
      <c r="BR51" s="2499"/>
      <c r="BS51" s="974"/>
      <c r="BT51" s="2498">
        <v>1</v>
      </c>
      <c r="BU51" s="426">
        <v>0.99</v>
      </c>
      <c r="BV51" s="2498">
        <v>0.99</v>
      </c>
      <c r="BW51" s="2498">
        <v>0.99</v>
      </c>
      <c r="BX51" s="2498">
        <v>0.99</v>
      </c>
      <c r="BY51" s="2498">
        <v>0.99</v>
      </c>
      <c r="BZ51" s="2499"/>
      <c r="CA51" s="2499"/>
      <c r="CB51" s="2499"/>
      <c r="CC51" s="2499"/>
      <c r="CD51" s="2499"/>
      <c r="CE51" s="974"/>
      <c r="CF51" s="87">
        <v>9</v>
      </c>
      <c r="CG51" s="2503">
        <v>12</v>
      </c>
      <c r="CH51" s="2504">
        <v>12</v>
      </c>
      <c r="CI51" s="2504">
        <v>12</v>
      </c>
      <c r="CJ51" s="2504">
        <v>12</v>
      </c>
      <c r="CK51" s="2504">
        <f t="shared" si="20"/>
        <v>12</v>
      </c>
      <c r="CL51" s="2499"/>
      <c r="CM51" s="2499"/>
      <c r="CN51" s="2499"/>
      <c r="CO51" s="2499"/>
      <c r="CP51" s="2499"/>
      <c r="CQ51" s="2280"/>
      <c r="CR51" s="2280"/>
      <c r="CT51" s="26"/>
      <c r="CX51"/>
      <c r="DB51" s="26"/>
      <c r="DC51" s="27"/>
      <c r="DG51" s="26"/>
      <c r="DI51" s="2278"/>
    </row>
    <row r="52" spans="3:113" outlineLevel="1" x14ac:dyDescent="0.25">
      <c r="D52" s="1495" t="str">
        <f t="shared" si="17"/>
        <v>800550_2019_12_</v>
      </c>
      <c r="E52" s="1495" t="str">
        <f t="shared" si="18"/>
        <v>LED 85 - 225 Watt Lamp or Fixture Replacing Garage or Exterior &lt;24/7 HID 301-500 Watt Lamp or Fixture</v>
      </c>
      <c r="F52" s="81">
        <v>410</v>
      </c>
      <c r="G52" s="81">
        <v>178</v>
      </c>
      <c r="H52" s="3312">
        <v>4327.2752333555545</v>
      </c>
      <c r="I52" s="81">
        <v>1</v>
      </c>
      <c r="J52" s="81">
        <v>1</v>
      </c>
      <c r="K52" s="2761">
        <v>12</v>
      </c>
      <c r="U52" s="1498"/>
      <c r="V52" s="2358" t="str">
        <f t="shared" si="21"/>
        <v>LED 85 - 225 Watt Lamp or Fixture Replacing Garage or Exterior &lt;24/7 HID 301-500 Watt Lamp or Fixture</v>
      </c>
      <c r="W52" s="83">
        <v>400</v>
      </c>
      <c r="X52" s="84">
        <v>410</v>
      </c>
      <c r="Y52" s="85">
        <v>410</v>
      </c>
      <c r="Z52" s="1248">
        <v>410</v>
      </c>
      <c r="AA52" s="1248">
        <v>410</v>
      </c>
      <c r="AB52" s="2498">
        <v>410</v>
      </c>
      <c r="AC52" s="2499"/>
      <c r="AD52" s="2499"/>
      <c r="AE52" s="2499"/>
      <c r="AF52" s="2499"/>
      <c r="AG52" s="2499"/>
      <c r="AH52" s="974"/>
      <c r="AI52" s="2498">
        <v>120</v>
      </c>
      <c r="AJ52" s="2498"/>
      <c r="AK52" s="426">
        <v>178</v>
      </c>
      <c r="AL52" s="1248">
        <v>178</v>
      </c>
      <c r="AM52" s="2498">
        <v>178</v>
      </c>
      <c r="AN52" s="2498">
        <v>178</v>
      </c>
      <c r="AO52" s="2498">
        <f t="shared" si="19"/>
        <v>178</v>
      </c>
      <c r="AP52" s="2875"/>
      <c r="AQ52" s="2499"/>
      <c r="AR52" s="2499"/>
      <c r="AS52" s="2499"/>
      <c r="AT52" s="2499"/>
      <c r="AU52" s="974"/>
      <c r="AV52" s="2501">
        <v>3414.8214285714275</v>
      </c>
      <c r="AW52" s="2502">
        <v>4327.2752333555545</v>
      </c>
      <c r="AX52" s="2501">
        <v>4327.2752333555545</v>
      </c>
      <c r="AY52" s="2501">
        <v>4327.2752333555545</v>
      </c>
      <c r="AZ52" s="2501">
        <v>4327.2752333555545</v>
      </c>
      <c r="BA52" s="2498">
        <v>4327.2752333555545</v>
      </c>
      <c r="BB52" s="2499"/>
      <c r="BC52" s="2499"/>
      <c r="BD52" s="2499"/>
      <c r="BE52" s="2499"/>
      <c r="BF52" s="2499"/>
      <c r="BG52" s="974"/>
      <c r="BH52" s="2498">
        <v>1</v>
      </c>
      <c r="BI52" s="426">
        <v>1.07</v>
      </c>
      <c r="BJ52" s="2503">
        <v>1</v>
      </c>
      <c r="BK52" s="2507">
        <v>1</v>
      </c>
      <c r="BL52" s="2507">
        <v>1</v>
      </c>
      <c r="BM52" s="1248">
        <v>1</v>
      </c>
      <c r="BN52" s="2499"/>
      <c r="BO52" s="2499"/>
      <c r="BP52" s="2499"/>
      <c r="BQ52" s="2499"/>
      <c r="BR52" s="2499"/>
      <c r="BS52" s="974"/>
      <c r="BT52" s="2498">
        <v>1</v>
      </c>
      <c r="BU52" s="1248">
        <v>1</v>
      </c>
      <c r="BV52" s="2498">
        <v>1</v>
      </c>
      <c r="BW52" s="2498">
        <v>1</v>
      </c>
      <c r="BX52" s="2498">
        <v>1</v>
      </c>
      <c r="BY52" s="2498">
        <v>1</v>
      </c>
      <c r="BZ52" s="2499"/>
      <c r="CA52" s="2499"/>
      <c r="CB52" s="2499"/>
      <c r="CC52" s="2499"/>
      <c r="CD52" s="2499"/>
      <c r="CE52" s="974"/>
      <c r="CF52" s="87">
        <v>15</v>
      </c>
      <c r="CG52" s="2503">
        <v>12</v>
      </c>
      <c r="CH52" s="2504">
        <v>12</v>
      </c>
      <c r="CI52" s="2504">
        <v>12</v>
      </c>
      <c r="CJ52" s="2504">
        <v>12</v>
      </c>
      <c r="CK52" s="2504">
        <f t="shared" si="20"/>
        <v>12</v>
      </c>
      <c r="CL52" s="2499"/>
      <c r="CM52" s="2499"/>
      <c r="CN52" s="2499"/>
      <c r="CO52" s="2499"/>
      <c r="CP52" s="2499"/>
      <c r="CQ52" s="2280"/>
      <c r="CR52" s="2280"/>
      <c r="CT52" s="26"/>
      <c r="CX52"/>
      <c r="DB52" s="26"/>
      <c r="DC52" s="27"/>
      <c r="DG52" s="26"/>
      <c r="DI52" s="2278"/>
    </row>
    <row r="53" spans="3:113" outlineLevel="1" x14ac:dyDescent="0.25">
      <c r="D53" s="1495" t="str">
        <f t="shared" si="17"/>
        <v>800600_2019_12_</v>
      </c>
      <c r="E53" s="1495" t="str">
        <f t="shared" si="18"/>
        <v>LED &lt;=80 Watt Lamp or Fixture Replacing Garage or Exterior 24/7 HID 100-175 Watt Lamp or Fixture Misc.</v>
      </c>
      <c r="F53" s="81">
        <v>125</v>
      </c>
      <c r="G53" s="81">
        <v>45</v>
      </c>
      <c r="H53" s="3312">
        <v>8759</v>
      </c>
      <c r="I53" s="81">
        <v>1</v>
      </c>
      <c r="J53" s="81">
        <v>1</v>
      </c>
      <c r="K53" s="2761">
        <v>6</v>
      </c>
      <c r="U53" s="1498"/>
      <c r="V53" s="2358" t="str">
        <f t="shared" si="21"/>
        <v>LED &lt;=80 Watt Lamp or Fixture Replacing Garage or Exterior 24/7 HID 100-175 Watt Lamp or Fixture Misc.</v>
      </c>
      <c r="W53" s="83">
        <v>175</v>
      </c>
      <c r="X53" s="84">
        <v>125</v>
      </c>
      <c r="Y53" s="85">
        <v>125</v>
      </c>
      <c r="Z53" s="1248">
        <v>125</v>
      </c>
      <c r="AA53" s="1248">
        <v>125</v>
      </c>
      <c r="AB53" s="2498">
        <v>125</v>
      </c>
      <c r="AC53" s="2499"/>
      <c r="AD53" s="2499"/>
      <c r="AE53" s="2499"/>
      <c r="AF53" s="2499"/>
      <c r="AG53" s="2499"/>
      <c r="AH53" s="974"/>
      <c r="AI53" s="2498">
        <v>52</v>
      </c>
      <c r="AJ53" s="2498"/>
      <c r="AK53" s="426">
        <v>45</v>
      </c>
      <c r="AL53" s="1248">
        <v>45</v>
      </c>
      <c r="AM53" s="2498">
        <v>45</v>
      </c>
      <c r="AN53" s="2498">
        <v>45</v>
      </c>
      <c r="AO53" s="2498">
        <f t="shared" si="19"/>
        <v>45</v>
      </c>
      <c r="AP53" s="2875"/>
      <c r="AQ53" s="2499"/>
      <c r="AR53" s="2499"/>
      <c r="AS53" s="2499"/>
      <c r="AT53" s="2499"/>
      <c r="AU53" s="974"/>
      <c r="AV53" s="2501">
        <v>8760</v>
      </c>
      <c r="AW53" s="2502">
        <v>8759</v>
      </c>
      <c r="AX53" s="2501">
        <v>8759</v>
      </c>
      <c r="AY53" s="2501">
        <v>8759</v>
      </c>
      <c r="AZ53" s="2501">
        <v>8759</v>
      </c>
      <c r="BA53" s="2498">
        <v>8759</v>
      </c>
      <c r="BB53" s="2499"/>
      <c r="BC53" s="2499"/>
      <c r="BD53" s="2499"/>
      <c r="BE53" s="2499"/>
      <c r="BF53" s="2499"/>
      <c r="BG53" s="974"/>
      <c r="BH53" s="2498">
        <v>1</v>
      </c>
      <c r="BI53" s="1248">
        <v>1</v>
      </c>
      <c r="BJ53" s="2503">
        <v>1</v>
      </c>
      <c r="BK53" s="2507">
        <v>1</v>
      </c>
      <c r="BL53" s="2507">
        <v>1</v>
      </c>
      <c r="BM53" s="1248">
        <v>1</v>
      </c>
      <c r="BN53" s="2499"/>
      <c r="BO53" s="2499"/>
      <c r="BP53" s="2499"/>
      <c r="BQ53" s="2499"/>
      <c r="BR53" s="2499"/>
      <c r="BS53" s="974"/>
      <c r="BT53" s="2498">
        <v>1</v>
      </c>
      <c r="BU53" s="1248">
        <v>1</v>
      </c>
      <c r="BV53" s="2498">
        <v>1</v>
      </c>
      <c r="BW53" s="2498">
        <v>1</v>
      </c>
      <c r="BX53" s="2498">
        <v>1</v>
      </c>
      <c r="BY53" s="2498">
        <v>1</v>
      </c>
      <c r="BZ53" s="2499"/>
      <c r="CA53" s="2499"/>
      <c r="CB53" s="2499"/>
      <c r="CC53" s="2499"/>
      <c r="CD53" s="2499"/>
      <c r="CE53" s="974"/>
      <c r="CF53" s="87">
        <v>6</v>
      </c>
      <c r="CG53" s="2507">
        <v>6</v>
      </c>
      <c r="CH53" s="2504">
        <v>6</v>
      </c>
      <c r="CI53" s="2504">
        <v>6</v>
      </c>
      <c r="CJ53" s="2504">
        <v>6</v>
      </c>
      <c r="CK53" s="2504">
        <f t="shared" si="20"/>
        <v>6</v>
      </c>
      <c r="CL53" s="2499"/>
      <c r="CM53" s="2499"/>
      <c r="CN53" s="2499"/>
      <c r="CO53" s="2499"/>
      <c r="CP53" s="2499"/>
      <c r="CQ53" s="2280"/>
      <c r="CR53" s="2280"/>
      <c r="CT53" s="26"/>
      <c r="CX53"/>
      <c r="DB53" s="26"/>
      <c r="DC53" s="27"/>
      <c r="DG53" s="26"/>
      <c r="DI53" s="2278"/>
    </row>
    <row r="54" spans="3:113" outlineLevel="1" x14ac:dyDescent="0.25">
      <c r="D54" s="1495" t="str">
        <f t="shared" si="17"/>
        <v>800650_2019_12_</v>
      </c>
      <c r="E54" s="1495" t="str">
        <f t="shared" si="18"/>
        <v>LED 62 - 130 Watt Lamp or Fixture Replacing Garage or Exterior 24/7 HID 176-300 Watt Lamp or Fixture Misc.</v>
      </c>
      <c r="F54" s="81">
        <v>262</v>
      </c>
      <c r="G54" s="81">
        <v>92</v>
      </c>
      <c r="H54" s="3312">
        <v>8719.2325790390842</v>
      </c>
      <c r="I54" s="81">
        <v>1</v>
      </c>
      <c r="J54" s="81">
        <v>1</v>
      </c>
      <c r="K54" s="2761">
        <v>6</v>
      </c>
      <c r="U54" s="1498"/>
      <c r="V54" s="2358" t="str">
        <f t="shared" si="21"/>
        <v>LED 62 - 130 Watt Lamp or Fixture Replacing Garage or Exterior 24/7 HID 176-300 Watt Lamp or Fixture Misc.</v>
      </c>
      <c r="W54" s="83">
        <v>250</v>
      </c>
      <c r="X54" s="84">
        <v>262</v>
      </c>
      <c r="Y54" s="85">
        <v>262</v>
      </c>
      <c r="Z54" s="1248">
        <v>262</v>
      </c>
      <c r="AA54" s="1248">
        <v>262</v>
      </c>
      <c r="AB54" s="2498">
        <v>262</v>
      </c>
      <c r="AC54" s="2499"/>
      <c r="AD54" s="2499"/>
      <c r="AE54" s="2499"/>
      <c r="AF54" s="2499"/>
      <c r="AG54" s="2499"/>
      <c r="AH54" s="974"/>
      <c r="AI54" s="2498">
        <v>100</v>
      </c>
      <c r="AJ54" s="2498"/>
      <c r="AK54" s="426">
        <v>92</v>
      </c>
      <c r="AL54" s="1248">
        <v>92</v>
      </c>
      <c r="AM54" s="2498">
        <v>92</v>
      </c>
      <c r="AN54" s="2498">
        <v>92</v>
      </c>
      <c r="AO54" s="2498">
        <f t="shared" si="19"/>
        <v>92</v>
      </c>
      <c r="AP54" s="2875"/>
      <c r="AQ54" s="2499"/>
      <c r="AR54" s="2499"/>
      <c r="AS54" s="2499"/>
      <c r="AT54" s="2499"/>
      <c r="AU54" s="974"/>
      <c r="AV54" s="2501">
        <v>8760</v>
      </c>
      <c r="AW54" s="2502">
        <v>8719.2325790390842</v>
      </c>
      <c r="AX54" s="2501">
        <v>8719.2325790390842</v>
      </c>
      <c r="AY54" s="2501">
        <v>8719.2325790390842</v>
      </c>
      <c r="AZ54" s="2501">
        <v>8719.2325790390842</v>
      </c>
      <c r="BA54" s="2498">
        <v>8719.2325790390842</v>
      </c>
      <c r="BB54" s="2499"/>
      <c r="BC54" s="2499"/>
      <c r="BD54" s="2499"/>
      <c r="BE54" s="2499"/>
      <c r="BF54" s="2499"/>
      <c r="BG54" s="974"/>
      <c r="BH54" s="2498">
        <v>1</v>
      </c>
      <c r="BI54" s="426">
        <v>1.05</v>
      </c>
      <c r="BJ54" s="2503">
        <v>1</v>
      </c>
      <c r="BK54" s="2507">
        <v>1</v>
      </c>
      <c r="BL54" s="2507">
        <v>1</v>
      </c>
      <c r="BM54" s="1248">
        <v>1</v>
      </c>
      <c r="BN54" s="2499"/>
      <c r="BO54" s="2499"/>
      <c r="BP54" s="2499"/>
      <c r="BQ54" s="2499"/>
      <c r="BR54" s="2499"/>
      <c r="BS54" s="974"/>
      <c r="BT54" s="2498">
        <v>1</v>
      </c>
      <c r="BU54" s="1248">
        <v>1</v>
      </c>
      <c r="BV54" s="2498">
        <v>1</v>
      </c>
      <c r="BW54" s="2498">
        <v>1</v>
      </c>
      <c r="BX54" s="2498">
        <v>1</v>
      </c>
      <c r="BY54" s="2498">
        <v>1</v>
      </c>
      <c r="BZ54" s="2499"/>
      <c r="CA54" s="2499"/>
      <c r="CB54" s="2499"/>
      <c r="CC54" s="2499"/>
      <c r="CD54" s="2499"/>
      <c r="CE54" s="974"/>
      <c r="CF54" s="87">
        <v>6</v>
      </c>
      <c r="CG54" s="2507">
        <v>6</v>
      </c>
      <c r="CH54" s="2504">
        <v>6</v>
      </c>
      <c r="CI54" s="2504">
        <v>6</v>
      </c>
      <c r="CJ54" s="2504">
        <v>6</v>
      </c>
      <c r="CK54" s="2504">
        <f t="shared" si="20"/>
        <v>6</v>
      </c>
      <c r="CL54" s="2499"/>
      <c r="CM54" s="2499"/>
      <c r="CN54" s="2499"/>
      <c r="CO54" s="2499"/>
      <c r="CP54" s="2499"/>
      <c r="CQ54" s="2280"/>
      <c r="CR54" s="2280"/>
      <c r="CT54" s="26"/>
      <c r="CX54"/>
      <c r="DB54" s="26"/>
      <c r="DC54" s="27"/>
      <c r="DG54" s="26"/>
      <c r="DI54" s="2278"/>
    </row>
    <row r="55" spans="3:113" outlineLevel="1" x14ac:dyDescent="0.25">
      <c r="D55" s="1495" t="str">
        <f t="shared" si="17"/>
        <v>800700_2019_12_</v>
      </c>
      <c r="E55" s="1495" t="str">
        <f t="shared" si="18"/>
        <v xml:space="preserve">LED 85 - 225 Watt Lamp or Fixture Replacing Garage or Exterior 24/7 HID 301-500 Watt Lamp or Fixture Misc. </v>
      </c>
      <c r="F55" s="81">
        <v>444</v>
      </c>
      <c r="G55" s="81">
        <v>136</v>
      </c>
      <c r="H55" s="3312">
        <v>8628.3962689570162</v>
      </c>
      <c r="I55" s="81">
        <v>1</v>
      </c>
      <c r="J55" s="81">
        <v>1</v>
      </c>
      <c r="K55" s="2761">
        <v>6</v>
      </c>
      <c r="U55" s="1498"/>
      <c r="V55" s="2358" t="str">
        <f t="shared" si="21"/>
        <v xml:space="preserve">LED 85 - 225 Watt Lamp or Fixture Replacing Garage or Exterior 24/7 HID 301-500 Watt Lamp or Fixture Misc. </v>
      </c>
      <c r="W55" s="83">
        <v>400</v>
      </c>
      <c r="X55" s="84">
        <v>444</v>
      </c>
      <c r="Y55" s="85">
        <v>444</v>
      </c>
      <c r="Z55" s="1248">
        <v>444</v>
      </c>
      <c r="AA55" s="1248">
        <v>444</v>
      </c>
      <c r="AB55" s="2498">
        <v>444</v>
      </c>
      <c r="AC55" s="2499"/>
      <c r="AD55" s="2499"/>
      <c r="AE55" s="2499"/>
      <c r="AF55" s="2499"/>
      <c r="AG55" s="2499"/>
      <c r="AH55" s="974"/>
      <c r="AI55" s="2498">
        <v>120</v>
      </c>
      <c r="AJ55" s="2498"/>
      <c r="AK55" s="426">
        <v>136</v>
      </c>
      <c r="AL55" s="1248">
        <v>136</v>
      </c>
      <c r="AM55" s="2498">
        <v>136</v>
      </c>
      <c r="AN55" s="2498">
        <v>136</v>
      </c>
      <c r="AO55" s="2498">
        <f t="shared" si="19"/>
        <v>136</v>
      </c>
      <c r="AP55" s="2875"/>
      <c r="AQ55" s="2499"/>
      <c r="AR55" s="2499"/>
      <c r="AS55" s="2499"/>
      <c r="AT55" s="2499"/>
      <c r="AU55" s="974"/>
      <c r="AV55" s="2501">
        <v>8760</v>
      </c>
      <c r="AW55" s="2502">
        <v>8628.3962689570162</v>
      </c>
      <c r="AX55" s="2501">
        <v>8628.3962689570162</v>
      </c>
      <c r="AY55" s="2501">
        <v>8628.3962689570162</v>
      </c>
      <c r="AZ55" s="2501">
        <v>8628.3962689570162</v>
      </c>
      <c r="BA55" s="2498">
        <v>8628.3962689570162</v>
      </c>
      <c r="BB55" s="2499"/>
      <c r="BC55" s="2499"/>
      <c r="BD55" s="2499"/>
      <c r="BE55" s="2499"/>
      <c r="BF55" s="2499"/>
      <c r="BG55" s="974"/>
      <c r="BH55" s="2498">
        <v>1</v>
      </c>
      <c r="BI55" s="426">
        <v>1.08</v>
      </c>
      <c r="BJ55" s="2503">
        <v>1</v>
      </c>
      <c r="BK55" s="2507">
        <v>1</v>
      </c>
      <c r="BL55" s="2507">
        <v>1</v>
      </c>
      <c r="BM55" s="1248">
        <v>1</v>
      </c>
      <c r="BN55" s="2499"/>
      <c r="BO55" s="2499"/>
      <c r="BP55" s="2499"/>
      <c r="BQ55" s="2499"/>
      <c r="BR55" s="2499"/>
      <c r="BS55" s="974"/>
      <c r="BT55" s="2498">
        <v>1</v>
      </c>
      <c r="BU55" s="1248">
        <v>1</v>
      </c>
      <c r="BV55" s="2498">
        <v>1</v>
      </c>
      <c r="BW55" s="2498">
        <v>1</v>
      </c>
      <c r="BX55" s="2498">
        <v>1</v>
      </c>
      <c r="BY55" s="2498">
        <v>1</v>
      </c>
      <c r="BZ55" s="2499"/>
      <c r="CA55" s="2499"/>
      <c r="CB55" s="2499"/>
      <c r="CC55" s="2499"/>
      <c r="CD55" s="2499"/>
      <c r="CE55" s="974"/>
      <c r="CF55" s="87">
        <v>6</v>
      </c>
      <c r="CG55" s="2507">
        <v>6</v>
      </c>
      <c r="CH55" s="2504">
        <v>6</v>
      </c>
      <c r="CI55" s="2504">
        <v>6</v>
      </c>
      <c r="CJ55" s="2504">
        <v>6</v>
      </c>
      <c r="CK55" s="2504">
        <f t="shared" si="20"/>
        <v>6</v>
      </c>
      <c r="CL55" s="2499"/>
      <c r="CM55" s="2499"/>
      <c r="CN55" s="2499"/>
      <c r="CO55" s="2499"/>
      <c r="CP55" s="2499"/>
      <c r="CQ55" s="2280"/>
      <c r="CR55" s="2280"/>
      <c r="CT55" s="26"/>
      <c r="CX55"/>
      <c r="DB55" s="26"/>
      <c r="DC55" s="27"/>
      <c r="DG55" s="26"/>
      <c r="DI55" s="2278"/>
    </row>
    <row r="56" spans="3:113" outlineLevel="1" x14ac:dyDescent="0.25">
      <c r="D56" s="1235" t="str">
        <f t="shared" si="17"/>
        <v>800750_2019_12_</v>
      </c>
      <c r="E56" s="1235" t="str">
        <f t="shared" si="18"/>
        <v>LED or Electroluminescent Replacing Interior Incandescent/CFL Exit Sign</v>
      </c>
      <c r="F56" s="81">
        <v>29.015364916773368</v>
      </c>
      <c r="G56" s="81">
        <v>2.5345710627400768</v>
      </c>
      <c r="H56" s="3312">
        <v>8759.6619718309867</v>
      </c>
      <c r="I56" s="81">
        <v>1.071</v>
      </c>
      <c r="J56" s="81">
        <v>1</v>
      </c>
      <c r="K56" s="2761">
        <v>16</v>
      </c>
      <c r="U56" s="1498"/>
      <c r="V56" s="2358" t="str">
        <f t="shared" si="21"/>
        <v>LED or Electroluminescent Replacing Interior Incandescent/CFL Exit Sign</v>
      </c>
      <c r="W56" s="83">
        <v>30</v>
      </c>
      <c r="X56" s="83">
        <v>30</v>
      </c>
      <c r="Y56" s="85">
        <v>30</v>
      </c>
      <c r="Z56" s="1248">
        <v>30</v>
      </c>
      <c r="AA56" s="1248">
        <v>30</v>
      </c>
      <c r="AB56" s="2498">
        <v>29.015364916773368</v>
      </c>
      <c r="AC56" s="2499"/>
      <c r="AD56" s="2499"/>
      <c r="AE56" s="2499"/>
      <c r="AF56" s="2499"/>
      <c r="AG56" s="2499"/>
      <c r="AH56" s="974"/>
      <c r="AI56" s="2498">
        <v>3</v>
      </c>
      <c r="AJ56" s="2498"/>
      <c r="AK56" s="1248">
        <v>3</v>
      </c>
      <c r="AL56" s="1248">
        <v>3</v>
      </c>
      <c r="AM56" s="2498">
        <v>3</v>
      </c>
      <c r="AN56" s="2498">
        <v>3</v>
      </c>
      <c r="AO56" s="2498">
        <f t="shared" si="19"/>
        <v>2.5345710627400768</v>
      </c>
      <c r="AP56" s="2875"/>
      <c r="AQ56" s="2499"/>
      <c r="AR56" s="2499"/>
      <c r="AS56" s="2499"/>
      <c r="AT56" s="2499"/>
      <c r="AU56" s="974"/>
      <c r="AV56" s="2501">
        <v>8760</v>
      </c>
      <c r="AW56" s="2506">
        <v>8760</v>
      </c>
      <c r="AX56" s="2501">
        <v>8760</v>
      </c>
      <c r="AY56" s="2501">
        <v>8760</v>
      </c>
      <c r="AZ56" s="2501">
        <v>8760</v>
      </c>
      <c r="BA56" s="2498">
        <v>8759.6619718309867</v>
      </c>
      <c r="BB56" s="2499"/>
      <c r="BC56" s="2499"/>
      <c r="BD56" s="2499"/>
      <c r="BE56" s="2499"/>
      <c r="BF56" s="2499"/>
      <c r="BG56" s="974"/>
      <c r="BH56" s="2498">
        <v>1.07</v>
      </c>
      <c r="BI56" s="2498">
        <v>1.07</v>
      </c>
      <c r="BJ56" s="2499">
        <v>1.07</v>
      </c>
      <c r="BK56" s="1670">
        <v>1.07</v>
      </c>
      <c r="BL56" s="1670">
        <v>1.07</v>
      </c>
      <c r="BM56" s="1248">
        <v>1.071</v>
      </c>
      <c r="BN56" s="2499"/>
      <c r="BO56" s="2499"/>
      <c r="BP56" s="2499"/>
      <c r="BQ56" s="2499"/>
      <c r="BR56" s="2499"/>
      <c r="BS56" s="974"/>
      <c r="BT56" s="2498">
        <v>1</v>
      </c>
      <c r="BU56" s="1248">
        <v>1</v>
      </c>
      <c r="BV56" s="2498">
        <v>1</v>
      </c>
      <c r="BW56" s="2498">
        <v>1</v>
      </c>
      <c r="BX56" s="2498">
        <v>1</v>
      </c>
      <c r="BY56" s="2498">
        <v>1</v>
      </c>
      <c r="BZ56" s="2499"/>
      <c r="CA56" s="2499"/>
      <c r="CB56" s="2499"/>
      <c r="CC56" s="2499"/>
      <c r="CD56" s="2499"/>
      <c r="CE56" s="974"/>
      <c r="CF56" s="87">
        <v>16</v>
      </c>
      <c r="CG56" s="2507">
        <v>16</v>
      </c>
      <c r="CH56" s="2504">
        <v>16</v>
      </c>
      <c r="CI56" s="2504">
        <v>16</v>
      </c>
      <c r="CJ56" s="2504">
        <v>16</v>
      </c>
      <c r="CK56" s="2504">
        <f t="shared" si="20"/>
        <v>16</v>
      </c>
      <c r="CL56" s="2499"/>
      <c r="CM56" s="2499"/>
      <c r="CN56" s="2499"/>
      <c r="CO56" s="2499"/>
      <c r="CP56" s="2499"/>
      <c r="CQ56" s="2280"/>
      <c r="CR56" s="2280"/>
      <c r="CT56" s="26"/>
      <c r="CX56"/>
      <c r="DB56" s="26"/>
      <c r="DC56" s="27"/>
      <c r="DG56" s="26"/>
      <c r="DI56" s="2278"/>
    </row>
    <row r="57" spans="3:113" outlineLevel="1" x14ac:dyDescent="0.25">
      <c r="D57" s="1235" t="str">
        <f t="shared" si="17"/>
        <v>800800_2020_12_</v>
      </c>
      <c r="E57" s="1235" t="s">
        <v>3469</v>
      </c>
      <c r="F57" s="81">
        <v>57.151731160896134</v>
      </c>
      <c r="G57" s="81">
        <v>26.891378139850644</v>
      </c>
      <c r="H57" s="3312">
        <v>4842.3896809232856</v>
      </c>
      <c r="I57" s="81">
        <v>1.071</v>
      </c>
      <c r="J57" s="81">
        <v>1</v>
      </c>
      <c r="K57" s="2761">
        <v>10</v>
      </c>
      <c r="U57" s="1498"/>
      <c r="V57" s="2358" t="str">
        <f t="shared" si="21"/>
        <v xml:space="preserve">LED Replacing Interior T5 Fluorescent (Type A / Hybrid) </v>
      </c>
      <c r="W57" s="83">
        <v>60</v>
      </c>
      <c r="X57" s="83">
        <v>60</v>
      </c>
      <c r="Y57" s="85">
        <v>60</v>
      </c>
      <c r="Z57" s="1248">
        <v>60</v>
      </c>
      <c r="AA57" s="1248">
        <v>60</v>
      </c>
      <c r="AB57" s="2498">
        <v>57.151731160896134</v>
      </c>
      <c r="AC57" s="2499"/>
      <c r="AD57" s="2499"/>
      <c r="AE57" s="2499"/>
      <c r="AF57" s="2499"/>
      <c r="AG57" s="2499"/>
      <c r="AH57" s="974"/>
      <c r="AI57" s="2498">
        <v>28</v>
      </c>
      <c r="AJ57" s="2498"/>
      <c r="AK57" s="1248">
        <v>28</v>
      </c>
      <c r="AL57" s="1248">
        <v>28</v>
      </c>
      <c r="AM57" s="2498">
        <v>28</v>
      </c>
      <c r="AN57" s="2498">
        <v>28</v>
      </c>
      <c r="AO57" s="2498">
        <f t="shared" si="19"/>
        <v>26.891378139850644</v>
      </c>
      <c r="AP57" s="2875"/>
      <c r="AQ57" s="2499"/>
      <c r="AR57" s="2499"/>
      <c r="AS57" s="2499"/>
      <c r="AT57" s="2499"/>
      <c r="AU57" s="974"/>
      <c r="AV57" s="2501">
        <v>6500</v>
      </c>
      <c r="AW57" s="2506">
        <v>6500</v>
      </c>
      <c r="AX57" s="2501">
        <v>6500</v>
      </c>
      <c r="AY57" s="2501">
        <v>6500</v>
      </c>
      <c r="AZ57" s="2501">
        <v>6500</v>
      </c>
      <c r="BA57" s="2498">
        <v>4842.3896809232856</v>
      </c>
      <c r="BB57" s="2499"/>
      <c r="BC57" s="2499"/>
      <c r="BD57" s="2499"/>
      <c r="BE57" s="2499"/>
      <c r="BF57" s="2499"/>
      <c r="BG57" s="974"/>
      <c r="BH57" s="2498">
        <v>1.07</v>
      </c>
      <c r="BI57" s="2498">
        <v>1.07</v>
      </c>
      <c r="BJ57" s="2499">
        <v>1.07</v>
      </c>
      <c r="BK57" s="1670">
        <v>1.07</v>
      </c>
      <c r="BL57" s="1670">
        <v>1.07</v>
      </c>
      <c r="BM57" s="1248">
        <v>1.071</v>
      </c>
      <c r="BN57" s="2499"/>
      <c r="BO57" s="2499"/>
      <c r="BP57" s="2499"/>
      <c r="BQ57" s="2499"/>
      <c r="BR57" s="2499"/>
      <c r="BS57" s="974"/>
      <c r="BT57" s="2498">
        <v>1</v>
      </c>
      <c r="BU57" s="1248">
        <v>1</v>
      </c>
      <c r="BV57" s="2498">
        <v>1</v>
      </c>
      <c r="BW57" s="2498">
        <v>1</v>
      </c>
      <c r="BX57" s="2498">
        <v>1</v>
      </c>
      <c r="BY57" s="2498">
        <v>1</v>
      </c>
      <c r="BZ57" s="2499"/>
      <c r="CA57" s="2499"/>
      <c r="CB57" s="2499"/>
      <c r="CC57" s="2499"/>
      <c r="CD57" s="2499"/>
      <c r="CE57" s="974"/>
      <c r="CF57" s="87">
        <v>8</v>
      </c>
      <c r="CG57" s="2507">
        <v>8</v>
      </c>
      <c r="CH57" s="2504">
        <v>8</v>
      </c>
      <c r="CI57" s="2504">
        <v>8</v>
      </c>
      <c r="CJ57" s="2504">
        <v>8</v>
      </c>
      <c r="CK57" s="2504">
        <f t="shared" si="20"/>
        <v>10</v>
      </c>
      <c r="CL57" s="2499"/>
      <c r="CM57" s="2499"/>
      <c r="CN57" s="2499"/>
      <c r="CO57" s="2499"/>
      <c r="CP57" s="2499"/>
      <c r="CQ57" s="2280"/>
      <c r="CR57" s="2280"/>
      <c r="CT57" s="26"/>
      <c r="CX57"/>
      <c r="DB57" s="26"/>
      <c r="DC57" s="27"/>
      <c r="DG57" s="26"/>
      <c r="DI57" s="2278"/>
    </row>
    <row r="58" spans="3:113" s="2278" customFormat="1" outlineLevel="1" x14ac:dyDescent="0.25">
      <c r="C58" s="2313"/>
      <c r="D58" s="1235" t="str">
        <f t="shared" si="17"/>
        <v>800801_2020_12_</v>
      </c>
      <c r="E58" s="1235" t="s">
        <v>3470</v>
      </c>
      <c r="F58" s="81">
        <v>129.47809753575737</v>
      </c>
      <c r="G58" s="81">
        <v>54.55328661420338</v>
      </c>
      <c r="H58" s="3312">
        <v>4551.3067953357458</v>
      </c>
      <c r="I58" s="81">
        <v>1.071</v>
      </c>
      <c r="J58" s="81">
        <v>1</v>
      </c>
      <c r="K58" s="2761">
        <v>15</v>
      </c>
      <c r="L58" s="2312"/>
      <c r="M58" s="2312"/>
      <c r="N58" s="2312"/>
      <c r="O58" s="2312"/>
      <c r="P58" s="2312"/>
      <c r="Q58" s="2312"/>
      <c r="R58" s="2312"/>
      <c r="S58" s="2312"/>
      <c r="T58" s="2312"/>
      <c r="U58" s="1498"/>
      <c r="V58" s="2358" t="str">
        <f t="shared" si="21"/>
        <v xml:space="preserve">LED Replacing Interior T5 Fluorescent (Type B, C, Kits, and Fixtures </v>
      </c>
      <c r="W58" s="83"/>
      <c r="X58" s="83"/>
      <c r="Y58" s="85"/>
      <c r="Z58" s="1248"/>
      <c r="AA58" s="1248"/>
      <c r="AB58" s="2498">
        <v>129.47809753575737</v>
      </c>
      <c r="AC58" s="2499"/>
      <c r="AD58" s="2499"/>
      <c r="AE58" s="2499"/>
      <c r="AF58" s="2499"/>
      <c r="AG58" s="2499"/>
      <c r="AH58" s="974"/>
      <c r="AI58" s="2498"/>
      <c r="AJ58" s="2498"/>
      <c r="AK58" s="1248"/>
      <c r="AL58" s="1248"/>
      <c r="AM58" s="2498"/>
      <c r="AN58" s="2498"/>
      <c r="AO58" s="2498">
        <f t="shared" si="19"/>
        <v>54.55328661420338</v>
      </c>
      <c r="AP58" s="2875"/>
      <c r="AQ58" s="2499"/>
      <c r="AR58" s="2499"/>
      <c r="AS58" s="2499"/>
      <c r="AT58" s="2499"/>
      <c r="AU58" s="974"/>
      <c r="AV58" s="2501"/>
      <c r="AW58" s="2506"/>
      <c r="AX58" s="2501"/>
      <c r="AY58" s="2501"/>
      <c r="AZ58" s="2501"/>
      <c r="BA58" s="2498">
        <v>4551.3067953357458</v>
      </c>
      <c r="BB58" s="2499"/>
      <c r="BC58" s="2499"/>
      <c r="BD58" s="2499"/>
      <c r="BE58" s="2499"/>
      <c r="BF58" s="2499"/>
      <c r="BG58" s="974"/>
      <c r="BH58" s="2498"/>
      <c r="BI58" s="2498"/>
      <c r="BJ58" s="2499"/>
      <c r="BK58" s="1670"/>
      <c r="BL58" s="1670"/>
      <c r="BM58" s="1248">
        <v>1.071</v>
      </c>
      <c r="BN58" s="2499"/>
      <c r="BO58" s="2499"/>
      <c r="BP58" s="2499"/>
      <c r="BQ58" s="2499"/>
      <c r="BR58" s="2499"/>
      <c r="BS58" s="974"/>
      <c r="BT58" s="2498"/>
      <c r="BU58" s="1248"/>
      <c r="BV58" s="2498"/>
      <c r="BW58" s="2498"/>
      <c r="BX58" s="2498"/>
      <c r="BY58" s="2498">
        <v>1</v>
      </c>
      <c r="BZ58" s="2499"/>
      <c r="CA58" s="2499"/>
      <c r="CB58" s="2499"/>
      <c r="CC58" s="2499"/>
      <c r="CD58" s="2499"/>
      <c r="CE58" s="974"/>
      <c r="CF58" s="87"/>
      <c r="CG58" s="2507"/>
      <c r="CH58" s="2504"/>
      <c r="CI58" s="2504"/>
      <c r="CJ58" s="2504"/>
      <c r="CK58" s="2504">
        <f t="shared" si="20"/>
        <v>15</v>
      </c>
      <c r="CL58" s="2499"/>
      <c r="CM58" s="2499"/>
      <c r="CN58" s="2499"/>
      <c r="CO58" s="2499"/>
      <c r="CP58" s="2499"/>
      <c r="CQ58" s="2280"/>
      <c r="CR58" s="2280"/>
      <c r="CU58" s="2277"/>
      <c r="CV58" s="2277"/>
      <c r="CW58" s="2277"/>
      <c r="CX58" s="2277"/>
      <c r="DC58" s="2279"/>
    </row>
    <row r="59" spans="3:113" outlineLevel="1" x14ac:dyDescent="0.25">
      <c r="D59" s="1235" t="str">
        <f t="shared" si="17"/>
        <v>800850_2020_12_</v>
      </c>
      <c r="E59" s="1235" t="s">
        <v>3471</v>
      </c>
      <c r="F59" s="81">
        <v>34.696581538376684</v>
      </c>
      <c r="G59" s="81">
        <v>15.651019976649476</v>
      </c>
      <c r="H59" s="3312">
        <v>4232.7285363633855</v>
      </c>
      <c r="I59" s="81">
        <v>1.071</v>
      </c>
      <c r="J59" s="81">
        <v>0.99614637091058145</v>
      </c>
      <c r="K59" s="2761">
        <v>10</v>
      </c>
      <c r="U59" s="1499"/>
      <c r="V59" s="2358" t="str">
        <f t="shared" si="21"/>
        <v xml:space="preserve">LED Replacting Interior T8 Fluorescent (Type A / Hybrid) </v>
      </c>
      <c r="W59" s="83">
        <v>28</v>
      </c>
      <c r="X59" s="84">
        <v>28.3</v>
      </c>
      <c r="Y59" s="85">
        <v>28.3</v>
      </c>
      <c r="Z59" s="1248">
        <v>28.3</v>
      </c>
      <c r="AA59" s="1248">
        <v>28.3</v>
      </c>
      <c r="AB59" s="2498">
        <v>34.696581538376684</v>
      </c>
      <c r="AC59" s="2499"/>
      <c r="AD59" s="2499"/>
      <c r="AE59" s="2499"/>
      <c r="AF59" s="2499"/>
      <c r="AG59" s="2499"/>
      <c r="AH59" s="974"/>
      <c r="AI59" s="2498">
        <v>14</v>
      </c>
      <c r="AJ59" s="2498"/>
      <c r="AK59" s="426">
        <v>13.7</v>
      </c>
      <c r="AL59" s="1248">
        <v>13.7</v>
      </c>
      <c r="AM59" s="2498">
        <v>13.7</v>
      </c>
      <c r="AN59" s="2498">
        <v>13.7</v>
      </c>
      <c r="AO59" s="2498">
        <f t="shared" si="19"/>
        <v>15.651019976649476</v>
      </c>
      <c r="AP59" s="2875"/>
      <c r="AQ59" s="2499"/>
      <c r="AR59" s="2499"/>
      <c r="AS59" s="2499"/>
      <c r="AT59" s="2499"/>
      <c r="AU59" s="974"/>
      <c r="AV59" s="2501">
        <v>5500</v>
      </c>
      <c r="AW59" s="2502">
        <v>5400</v>
      </c>
      <c r="AX59" s="2501">
        <v>5400</v>
      </c>
      <c r="AY59" s="2501">
        <v>5400</v>
      </c>
      <c r="AZ59" s="2501">
        <v>5400</v>
      </c>
      <c r="BA59" s="2498">
        <v>4232.7285363633855</v>
      </c>
      <c r="BB59" s="2499"/>
      <c r="BC59" s="2499"/>
      <c r="BD59" s="2499"/>
      <c r="BE59" s="2499"/>
      <c r="BF59" s="2499"/>
      <c r="BG59" s="974"/>
      <c r="BH59" s="2498">
        <v>1.07</v>
      </c>
      <c r="BI59" s="426">
        <v>1.08</v>
      </c>
      <c r="BJ59" s="2499">
        <v>1.08</v>
      </c>
      <c r="BK59" s="1670">
        <v>1.08</v>
      </c>
      <c r="BL59" s="1670">
        <v>1.08</v>
      </c>
      <c r="BM59" s="1248">
        <v>1.071</v>
      </c>
      <c r="BN59" s="2499"/>
      <c r="BO59" s="2499"/>
      <c r="BP59" s="2499"/>
      <c r="BQ59" s="2499"/>
      <c r="BR59" s="2499"/>
      <c r="BS59" s="974"/>
      <c r="BT59" s="2498">
        <v>1</v>
      </c>
      <c r="BU59" s="426">
        <v>0.99614637091058145</v>
      </c>
      <c r="BV59" s="2498">
        <v>0.99614637091058145</v>
      </c>
      <c r="BW59" s="2498">
        <v>0.99614637091058145</v>
      </c>
      <c r="BX59" s="2498">
        <v>0.99614637091058145</v>
      </c>
      <c r="BY59" s="2498">
        <v>0.99614637091058145</v>
      </c>
      <c r="BZ59" s="2499"/>
      <c r="CA59" s="2499"/>
      <c r="CB59" s="2499"/>
      <c r="CC59" s="2499"/>
      <c r="CD59" s="2499"/>
      <c r="CE59" s="974"/>
      <c r="CF59" s="87">
        <v>9</v>
      </c>
      <c r="CG59" s="2507">
        <v>9</v>
      </c>
      <c r="CH59" s="2504">
        <v>9</v>
      </c>
      <c r="CI59" s="2504">
        <v>9</v>
      </c>
      <c r="CJ59" s="2504">
        <v>9</v>
      </c>
      <c r="CK59" s="2504">
        <f t="shared" si="20"/>
        <v>10</v>
      </c>
      <c r="CL59" s="2499"/>
      <c r="CM59" s="2499"/>
      <c r="CN59" s="2499"/>
      <c r="CO59" s="2499"/>
      <c r="CP59" s="2499"/>
      <c r="CQ59" s="2280"/>
      <c r="CR59" s="2280"/>
      <c r="CT59" s="26"/>
      <c r="CX59"/>
      <c r="DB59" s="26"/>
      <c r="DC59" s="27"/>
      <c r="DG59" s="26"/>
      <c r="DI59" s="2278"/>
    </row>
    <row r="60" spans="3:113" s="2278" customFormat="1" outlineLevel="1" x14ac:dyDescent="0.25">
      <c r="C60" s="2313"/>
      <c r="D60" s="1235" t="str">
        <f t="shared" ref="D60:D62" si="22">C27</f>
        <v>800851_2020_12_</v>
      </c>
      <c r="E60" s="1235" t="s">
        <v>3472</v>
      </c>
      <c r="F60" s="81">
        <v>59.772720625328752</v>
      </c>
      <c r="G60" s="81">
        <v>24.753815057906763</v>
      </c>
      <c r="H60" s="3312">
        <v>4315.6299709124478</v>
      </c>
      <c r="I60" s="81">
        <v>1.071</v>
      </c>
      <c r="J60" s="81">
        <v>0.99614637091058145</v>
      </c>
      <c r="K60" s="2761">
        <v>15</v>
      </c>
      <c r="L60" s="2312"/>
      <c r="M60" s="2312"/>
      <c r="N60" s="2312"/>
      <c r="O60" s="2312"/>
      <c r="P60" s="2312"/>
      <c r="Q60" s="2312"/>
      <c r="R60" s="2312"/>
      <c r="S60" s="2312"/>
      <c r="T60" s="2312"/>
      <c r="U60" s="1499"/>
      <c r="V60" s="2358" t="str">
        <f t="shared" si="21"/>
        <v xml:space="preserve">LED Replacting Interior T8 Fluorescent (Type B, C, Kits, and Fixtures </v>
      </c>
      <c r="W60" s="83"/>
      <c r="X60" s="2298"/>
      <c r="Y60" s="85"/>
      <c r="Z60" s="1248"/>
      <c r="AA60" s="1248"/>
      <c r="AB60" s="2498">
        <v>59.772720625328752</v>
      </c>
      <c r="AC60" s="2499"/>
      <c r="AD60" s="2499"/>
      <c r="AE60" s="2499"/>
      <c r="AF60" s="2499"/>
      <c r="AG60" s="2499"/>
      <c r="AH60" s="974"/>
      <c r="AI60" s="2498"/>
      <c r="AJ60" s="2498"/>
      <c r="AK60" s="426"/>
      <c r="AL60" s="1248"/>
      <c r="AM60" s="2498"/>
      <c r="AN60" s="2498"/>
      <c r="AO60" s="2498">
        <f t="shared" si="19"/>
        <v>24.753815057906763</v>
      </c>
      <c r="AP60" s="2875"/>
      <c r="AQ60" s="2499"/>
      <c r="AR60" s="2499"/>
      <c r="AS60" s="2499"/>
      <c r="AT60" s="2499"/>
      <c r="AU60" s="974"/>
      <c r="AV60" s="2501"/>
      <c r="AW60" s="2502"/>
      <c r="AX60" s="2501"/>
      <c r="AY60" s="2501"/>
      <c r="AZ60" s="2501"/>
      <c r="BA60" s="2498">
        <v>4315.6299709124478</v>
      </c>
      <c r="BB60" s="2499"/>
      <c r="BC60" s="2499"/>
      <c r="BD60" s="2499"/>
      <c r="BE60" s="2499"/>
      <c r="BF60" s="2499"/>
      <c r="BG60" s="974"/>
      <c r="BH60" s="2498"/>
      <c r="BI60" s="426"/>
      <c r="BJ60" s="2499"/>
      <c r="BK60" s="1670"/>
      <c r="BL60" s="1670"/>
      <c r="BM60" s="1248">
        <v>1.071</v>
      </c>
      <c r="BN60" s="2499"/>
      <c r="BO60" s="2499"/>
      <c r="BP60" s="2499"/>
      <c r="BQ60" s="2499"/>
      <c r="BR60" s="2499"/>
      <c r="BS60" s="974"/>
      <c r="BT60" s="2498"/>
      <c r="BU60" s="426"/>
      <c r="BV60" s="2498"/>
      <c r="BW60" s="2498"/>
      <c r="BX60" s="2498"/>
      <c r="BY60" s="2498">
        <v>0.99614637091058145</v>
      </c>
      <c r="BZ60" s="2499"/>
      <c r="CA60" s="2499"/>
      <c r="CB60" s="2499"/>
      <c r="CC60" s="2499"/>
      <c r="CD60" s="2499"/>
      <c r="CE60" s="974"/>
      <c r="CF60" s="87"/>
      <c r="CG60" s="2507"/>
      <c r="CH60" s="2504"/>
      <c r="CI60" s="2504"/>
      <c r="CJ60" s="2504"/>
      <c r="CK60" s="2504">
        <f t="shared" si="20"/>
        <v>15</v>
      </c>
      <c r="CL60" s="2499"/>
      <c r="CM60" s="2499"/>
      <c r="CN60" s="2499"/>
      <c r="CO60" s="2499"/>
      <c r="CP60" s="2499"/>
      <c r="CQ60" s="2280"/>
      <c r="CR60" s="2280"/>
      <c r="CU60" s="2277"/>
      <c r="CV60" s="2277"/>
      <c r="CW60" s="2277"/>
      <c r="CX60" s="2277"/>
      <c r="DC60" s="2279"/>
    </row>
    <row r="61" spans="3:113" outlineLevel="1" x14ac:dyDescent="0.25">
      <c r="D61" s="1235" t="str">
        <f t="shared" si="22"/>
        <v>800900_2020_12_</v>
      </c>
      <c r="E61" s="1235" t="s">
        <v>3473</v>
      </c>
      <c r="F61" s="81">
        <v>51.948940020682521</v>
      </c>
      <c r="G61" s="81">
        <v>16.49767321613237</v>
      </c>
      <c r="H61" s="3312">
        <v>3950.5788521199588</v>
      </c>
      <c r="I61" s="81">
        <v>1.071</v>
      </c>
      <c r="J61" s="81">
        <v>1</v>
      </c>
      <c r="K61" s="2761">
        <v>10</v>
      </c>
      <c r="U61" s="1498"/>
      <c r="V61" s="2358" t="str">
        <f t="shared" si="21"/>
        <v xml:space="preserve">LED Replacing Interior T12 Fluorescent (Type A / Hybrid) </v>
      </c>
      <c r="W61" s="83">
        <v>40</v>
      </c>
      <c r="X61" s="84">
        <v>39.659124009019756</v>
      </c>
      <c r="Y61" s="85">
        <v>39.659124009019756</v>
      </c>
      <c r="Z61" s="1248">
        <v>39.659124009019756</v>
      </c>
      <c r="AA61" s="1248">
        <v>39.659124009019756</v>
      </c>
      <c r="AB61" s="2498">
        <v>51.948940020682521</v>
      </c>
      <c r="AC61" s="2499"/>
      <c r="AD61" s="2499"/>
      <c r="AE61" s="2499"/>
      <c r="AF61" s="2499"/>
      <c r="AG61" s="2499"/>
      <c r="AH61" s="974"/>
      <c r="AI61" s="2498">
        <v>14</v>
      </c>
      <c r="AJ61" s="2498"/>
      <c r="AK61" s="426">
        <v>16.024798289519346</v>
      </c>
      <c r="AL61" s="1248">
        <v>16.024798289519346</v>
      </c>
      <c r="AM61" s="2498">
        <v>16.024798289519346</v>
      </c>
      <c r="AN61" s="2498">
        <v>16.024798289519346</v>
      </c>
      <c r="AO61" s="2498">
        <f t="shared" si="19"/>
        <v>16.49767321613237</v>
      </c>
      <c r="AP61" s="2875"/>
      <c r="AQ61" s="2499"/>
      <c r="AR61" s="2499"/>
      <c r="AS61" s="2499"/>
      <c r="AT61" s="2499"/>
      <c r="AU61" s="974"/>
      <c r="AV61" s="2501">
        <v>4480</v>
      </c>
      <c r="AW61" s="2502">
        <v>3660</v>
      </c>
      <c r="AX61" s="2501">
        <v>3660</v>
      </c>
      <c r="AY61" s="2501">
        <v>3660</v>
      </c>
      <c r="AZ61" s="2501">
        <v>3660</v>
      </c>
      <c r="BA61" s="2498">
        <v>3950.5788521199588</v>
      </c>
      <c r="BB61" s="2499"/>
      <c r="BC61" s="2499"/>
      <c r="BD61" s="2499"/>
      <c r="BE61" s="2499"/>
      <c r="BF61" s="2499"/>
      <c r="BG61" s="974"/>
      <c r="BH61" s="2498">
        <v>1.07</v>
      </c>
      <c r="BI61" s="1248">
        <v>1.07</v>
      </c>
      <c r="BJ61" s="2499">
        <v>1.07</v>
      </c>
      <c r="BK61" s="1670">
        <v>1.07</v>
      </c>
      <c r="BL61" s="1670">
        <v>1.07</v>
      </c>
      <c r="BM61" s="1248">
        <v>1.071</v>
      </c>
      <c r="BN61" s="2499"/>
      <c r="BO61" s="2499"/>
      <c r="BP61" s="2499"/>
      <c r="BQ61" s="2499"/>
      <c r="BR61" s="2499"/>
      <c r="BS61" s="974"/>
      <c r="BT61" s="2498">
        <v>1</v>
      </c>
      <c r="BU61" s="1248">
        <v>1</v>
      </c>
      <c r="BV61" s="2498">
        <v>1</v>
      </c>
      <c r="BW61" s="2498">
        <v>1</v>
      </c>
      <c r="BX61" s="2498">
        <v>1</v>
      </c>
      <c r="BY61" s="2498">
        <v>1</v>
      </c>
      <c r="BZ61" s="2499"/>
      <c r="CA61" s="2499"/>
      <c r="CB61" s="2499"/>
      <c r="CC61" s="2499"/>
      <c r="CD61" s="2499"/>
      <c r="CE61" s="974"/>
      <c r="CF61" s="87">
        <v>11</v>
      </c>
      <c r="CG61" s="2503">
        <v>14</v>
      </c>
      <c r="CH61" s="2504">
        <v>14</v>
      </c>
      <c r="CI61" s="2504">
        <v>14</v>
      </c>
      <c r="CJ61" s="2504">
        <v>14</v>
      </c>
      <c r="CK61" s="2504">
        <f t="shared" si="20"/>
        <v>10</v>
      </c>
      <c r="CL61" s="2499"/>
      <c r="CM61" s="2499"/>
      <c r="CN61" s="2499"/>
      <c r="CO61" s="2499"/>
      <c r="CP61" s="2499"/>
      <c r="CQ61" s="2280"/>
      <c r="CR61" s="2280"/>
      <c r="CT61" s="26"/>
      <c r="CX61"/>
      <c r="DB61" s="26"/>
      <c r="DC61" s="27"/>
      <c r="DG61" s="26"/>
      <c r="DI61" s="2278"/>
    </row>
    <row r="62" spans="3:113" s="2278" customFormat="1" outlineLevel="1" x14ac:dyDescent="0.25">
      <c r="C62" s="2313"/>
      <c r="D62" s="1235" t="str">
        <f t="shared" si="22"/>
        <v>800901_2020_12_</v>
      </c>
      <c r="E62" s="1235" t="s">
        <v>3474</v>
      </c>
      <c r="F62" s="81">
        <v>84.520773254863471</v>
      </c>
      <c r="G62" s="81">
        <v>23.731453326794188</v>
      </c>
      <c r="H62" s="3312">
        <v>2782.143658656204</v>
      </c>
      <c r="I62" s="81">
        <v>1.071</v>
      </c>
      <c r="J62" s="81">
        <v>1</v>
      </c>
      <c r="K62" s="2761">
        <v>15</v>
      </c>
      <c r="L62" s="2312"/>
      <c r="M62" s="2312"/>
      <c r="N62" s="2312"/>
      <c r="O62" s="2312"/>
      <c r="P62" s="2312"/>
      <c r="Q62" s="2312"/>
      <c r="R62" s="2312"/>
      <c r="S62" s="2312"/>
      <c r="T62" s="2312"/>
      <c r="U62" s="1498"/>
      <c r="V62" s="2358" t="str">
        <f t="shared" si="21"/>
        <v xml:space="preserve">LED Replacing Interior T12 Fluorescent (Type B, C, Kits, and Fixtures) </v>
      </c>
      <c r="W62" s="83"/>
      <c r="X62" s="2298"/>
      <c r="Y62" s="85"/>
      <c r="Z62" s="1248"/>
      <c r="AA62" s="1248"/>
      <c r="AB62" s="2498">
        <v>84.520773254863471</v>
      </c>
      <c r="AC62" s="2499"/>
      <c r="AD62" s="2499"/>
      <c r="AE62" s="2499"/>
      <c r="AF62" s="2499"/>
      <c r="AG62" s="2499"/>
      <c r="AH62" s="974"/>
      <c r="AI62" s="2498"/>
      <c r="AJ62" s="2498"/>
      <c r="AK62" s="426"/>
      <c r="AL62" s="1248"/>
      <c r="AM62" s="2498"/>
      <c r="AN62" s="2498"/>
      <c r="AO62" s="2498">
        <f t="shared" si="19"/>
        <v>23.731453326794188</v>
      </c>
      <c r="AP62" s="2875"/>
      <c r="AQ62" s="2499"/>
      <c r="AR62" s="2499"/>
      <c r="AS62" s="2499"/>
      <c r="AT62" s="2499"/>
      <c r="AU62" s="974"/>
      <c r="AV62" s="2501"/>
      <c r="AW62" s="2502"/>
      <c r="AX62" s="2501"/>
      <c r="AY62" s="2501"/>
      <c r="AZ62" s="2501"/>
      <c r="BA62" s="2498">
        <v>2782.143658656204</v>
      </c>
      <c r="BB62" s="2499"/>
      <c r="BC62" s="2499"/>
      <c r="BD62" s="2499"/>
      <c r="BE62" s="2499"/>
      <c r="BF62" s="2499"/>
      <c r="BG62" s="974"/>
      <c r="BH62" s="2498"/>
      <c r="BI62" s="1248"/>
      <c r="BJ62" s="2499"/>
      <c r="BK62" s="1670"/>
      <c r="BL62" s="1670"/>
      <c r="BM62" s="1248">
        <v>1.071</v>
      </c>
      <c r="BN62" s="2499"/>
      <c r="BO62" s="2499"/>
      <c r="BP62" s="2499"/>
      <c r="BQ62" s="2499"/>
      <c r="BR62" s="2499"/>
      <c r="BS62" s="974"/>
      <c r="BT62" s="2498"/>
      <c r="BU62" s="1248"/>
      <c r="BV62" s="2498"/>
      <c r="BW62" s="2498"/>
      <c r="BX62" s="2498"/>
      <c r="BY62" s="2498">
        <v>1</v>
      </c>
      <c r="BZ62" s="2499"/>
      <c r="CA62" s="2499"/>
      <c r="CB62" s="2499"/>
      <c r="CC62" s="2499"/>
      <c r="CD62" s="2499"/>
      <c r="CE62" s="974"/>
      <c r="CF62" s="87"/>
      <c r="CG62" s="2503"/>
      <c r="CH62" s="2504"/>
      <c r="CI62" s="2504"/>
      <c r="CJ62" s="2504"/>
      <c r="CK62" s="2504">
        <f t="shared" si="20"/>
        <v>15</v>
      </c>
      <c r="CL62" s="2499"/>
      <c r="CM62" s="2499"/>
      <c r="CN62" s="2499"/>
      <c r="CO62" s="2499"/>
      <c r="CP62" s="2499"/>
      <c r="CQ62" s="2280"/>
      <c r="CR62" s="2280"/>
      <c r="CU62" s="2277"/>
      <c r="CV62" s="2277"/>
      <c r="CW62" s="2277"/>
      <c r="CX62" s="2277"/>
      <c r="DC62" s="2279"/>
    </row>
    <row r="63" spans="3:113" outlineLevel="1" x14ac:dyDescent="0.25">
      <c r="D63" s="1235" t="str">
        <f t="shared" ref="D63" si="23">C30</f>
        <v>800950_2019_12_</v>
      </c>
      <c r="E63" s="1235" t="str">
        <f t="shared" ref="E63" si="24">E30</f>
        <v>LED Specialty Lamp</v>
      </c>
      <c r="F63" s="81">
        <v>25</v>
      </c>
      <c r="G63" s="81">
        <v>3.2</v>
      </c>
      <c r="H63" s="3312">
        <v>4380</v>
      </c>
      <c r="I63" s="81">
        <v>1.071</v>
      </c>
      <c r="J63" s="81">
        <v>1</v>
      </c>
      <c r="K63" s="2761">
        <v>11</v>
      </c>
      <c r="U63" s="1498"/>
      <c r="V63" s="2358" t="str">
        <f t="shared" si="21"/>
        <v>LED Specialty Lamp</v>
      </c>
      <c r="W63" s="83">
        <v>25</v>
      </c>
      <c r="X63" s="83">
        <v>25</v>
      </c>
      <c r="Y63" s="85">
        <v>25</v>
      </c>
      <c r="Z63" s="1248">
        <v>25</v>
      </c>
      <c r="AA63" s="1248">
        <v>25</v>
      </c>
      <c r="AB63" s="2498">
        <v>25</v>
      </c>
      <c r="AC63" s="2499"/>
      <c r="AD63" s="2499"/>
      <c r="AE63" s="2499"/>
      <c r="AF63" s="2499"/>
      <c r="AG63" s="2499"/>
      <c r="AH63" s="974"/>
      <c r="AI63" s="2498">
        <v>3.2</v>
      </c>
      <c r="AJ63" s="2498"/>
      <c r="AK63" s="2498">
        <v>3.2</v>
      </c>
      <c r="AL63" s="1248">
        <v>3.2</v>
      </c>
      <c r="AM63" s="2498">
        <v>3.2</v>
      </c>
      <c r="AN63" s="2498">
        <v>3.2</v>
      </c>
      <c r="AO63" s="2498">
        <f t="shared" si="19"/>
        <v>3.2</v>
      </c>
      <c r="AP63" s="2875"/>
      <c r="AQ63" s="2499"/>
      <c r="AR63" s="2499"/>
      <c r="AS63" s="2499"/>
      <c r="AT63" s="2499"/>
      <c r="AU63" s="974"/>
      <c r="AV63" s="2501">
        <v>4380</v>
      </c>
      <c r="AW63" s="2506">
        <v>4380</v>
      </c>
      <c r="AX63" s="2501">
        <v>4380</v>
      </c>
      <c r="AY63" s="2501">
        <v>4380</v>
      </c>
      <c r="AZ63" s="2501">
        <v>4380</v>
      </c>
      <c r="BA63" s="2498">
        <v>4380</v>
      </c>
      <c r="BB63" s="2499"/>
      <c r="BC63" s="2499"/>
      <c r="BD63" s="2499"/>
      <c r="BE63" s="2499"/>
      <c r="BF63" s="2499"/>
      <c r="BG63" s="974"/>
      <c r="BH63" s="2498">
        <v>1.07</v>
      </c>
      <c r="BI63" s="2498">
        <v>1.07</v>
      </c>
      <c r="BJ63" s="2499">
        <v>1.07</v>
      </c>
      <c r="BK63" s="1670">
        <v>1.07</v>
      </c>
      <c r="BL63" s="1670">
        <v>1.07</v>
      </c>
      <c r="BM63" s="1248">
        <v>1.071</v>
      </c>
      <c r="BN63" s="2499"/>
      <c r="BO63" s="2499"/>
      <c r="BP63" s="2499"/>
      <c r="BQ63" s="2499"/>
      <c r="BR63" s="2499"/>
      <c r="BS63" s="974"/>
      <c r="BT63" s="2498">
        <v>1</v>
      </c>
      <c r="BU63" s="1248">
        <v>1</v>
      </c>
      <c r="BV63" s="2498">
        <v>1</v>
      </c>
      <c r="BW63" s="2498">
        <v>1</v>
      </c>
      <c r="BX63" s="2498">
        <v>1</v>
      </c>
      <c r="BY63" s="2498">
        <v>1</v>
      </c>
      <c r="BZ63" s="2499"/>
      <c r="CA63" s="2499"/>
      <c r="CB63" s="2499"/>
      <c r="CC63" s="2499"/>
      <c r="CD63" s="2499"/>
      <c r="CE63" s="974"/>
      <c r="CF63" s="87">
        <v>11</v>
      </c>
      <c r="CG63" s="2507">
        <v>11</v>
      </c>
      <c r="CH63" s="2504">
        <v>11</v>
      </c>
      <c r="CI63" s="2504">
        <v>11</v>
      </c>
      <c r="CJ63" s="2504">
        <v>11</v>
      </c>
      <c r="CK63" s="2504">
        <f t="shared" si="20"/>
        <v>11</v>
      </c>
      <c r="CL63" s="2499"/>
      <c r="CM63" s="2499"/>
      <c r="CN63" s="2499"/>
      <c r="CO63" s="2499"/>
      <c r="CP63" s="2499"/>
      <c r="CQ63" s="2280"/>
      <c r="CR63" s="2280"/>
      <c r="CT63" s="26"/>
      <c r="CX63"/>
      <c r="DB63" s="26"/>
      <c r="DC63" s="27"/>
      <c r="DG63" s="26"/>
      <c r="DI63" s="2278"/>
    </row>
    <row r="64" spans="3:113" ht="18.75" customHeight="1" x14ac:dyDescent="0.25">
      <c r="D64" s="1500"/>
      <c r="G64" s="1470"/>
      <c r="H64" s="1493"/>
      <c r="V64" s="50"/>
    </row>
    <row r="65" spans="2:113" s="2278" customFormat="1" ht="18.75" customHeight="1" x14ac:dyDescent="0.25">
      <c r="C65" s="2313"/>
      <c r="D65" s="1500"/>
      <c r="E65" s="2312"/>
      <c r="F65" s="2312"/>
      <c r="G65" s="2312"/>
      <c r="H65" s="1493"/>
      <c r="I65" s="2312"/>
      <c r="J65" s="2312"/>
      <c r="K65" s="2312"/>
      <c r="L65" s="2312"/>
      <c r="M65" s="2312"/>
      <c r="N65" s="2312"/>
      <c r="O65" s="2312"/>
      <c r="P65" s="2312"/>
      <c r="Q65" s="2312"/>
      <c r="R65" s="2312"/>
      <c r="S65" s="2312"/>
      <c r="T65" s="2312"/>
      <c r="U65" s="2312"/>
      <c r="V65" s="50"/>
      <c r="CE65" s="2277"/>
      <c r="CF65" s="2277"/>
      <c r="CG65" s="2277"/>
      <c r="CH65" s="2277"/>
      <c r="CT65" s="2277"/>
      <c r="CU65" s="2277"/>
      <c r="CV65" s="2277"/>
      <c r="CW65" s="2277"/>
      <c r="DB65" s="2279"/>
    </row>
    <row r="66" spans="2:113" s="2282" customFormat="1" x14ac:dyDescent="0.25">
      <c r="B66" s="4084" t="s">
        <v>3826</v>
      </c>
      <c r="C66" s="4085"/>
      <c r="D66" s="4085"/>
      <c r="E66" s="4085"/>
      <c r="F66" s="4085"/>
      <c r="G66" s="4085"/>
      <c r="H66" s="4085"/>
      <c r="I66" s="4086"/>
      <c r="J66" s="4086"/>
      <c r="K66" s="4086"/>
      <c r="L66" s="4086"/>
      <c r="M66" s="4087"/>
      <c r="N66" s="4087"/>
      <c r="O66" s="4088"/>
      <c r="V66" s="2988" t="str">
        <f>B66</f>
        <v>Lighting - Occupancy Sensor Lighting Controls</v>
      </c>
      <c r="W66" s="2989"/>
      <c r="X66" s="2989"/>
      <c r="Y66" s="2989"/>
      <c r="Z66" s="2989"/>
      <c r="AA66" s="2989"/>
      <c r="AB66" s="2989"/>
      <c r="AC66" s="2989"/>
      <c r="AD66" s="2989"/>
      <c r="AE66" s="2989"/>
      <c r="AF66" s="2989"/>
      <c r="AG66" s="2989"/>
      <c r="AH66" s="2989"/>
      <c r="AI66" s="2990"/>
      <c r="AJ66" s="2278"/>
      <c r="AK66" s="2278"/>
      <c r="AL66" s="2278"/>
      <c r="AM66" s="2278"/>
      <c r="AN66" s="2278"/>
      <c r="AO66" s="2278"/>
      <c r="AP66" s="2278"/>
      <c r="AQ66" s="2278"/>
      <c r="AR66" s="2278"/>
      <c r="AS66" s="2278"/>
      <c r="AT66" s="2278"/>
      <c r="AU66" s="2278"/>
      <c r="CI66" s="2281"/>
      <c r="DB66" s="45"/>
      <c r="DC66" s="2281"/>
      <c r="DD66" s="2281"/>
      <c r="DE66" s="2281"/>
    </row>
    <row r="67" spans="2:113" ht="18.75" customHeight="1" x14ac:dyDescent="0.25">
      <c r="D67" s="1500"/>
      <c r="G67" s="1470"/>
      <c r="H67" s="1493"/>
      <c r="V67" s="50"/>
    </row>
    <row r="68" spans="2:113" s="50" customFormat="1" ht="30" x14ac:dyDescent="0.25">
      <c r="B68" s="51"/>
      <c r="C68" s="52" t="s">
        <v>17</v>
      </c>
      <c r="D68" s="1435" t="s">
        <v>18</v>
      </c>
      <c r="E68" s="1435" t="s">
        <v>19</v>
      </c>
      <c r="F68" s="1435" t="s">
        <v>20</v>
      </c>
      <c r="G68" s="1435" t="s">
        <v>21</v>
      </c>
      <c r="H68" s="53" t="s">
        <v>22</v>
      </c>
      <c r="I68" s="1435" t="s">
        <v>23</v>
      </c>
      <c r="J68" s="1435" t="s">
        <v>24</v>
      </c>
      <c r="K68" s="52" t="s">
        <v>25</v>
      </c>
      <c r="L68" s="52" t="s">
        <v>26</v>
      </c>
      <c r="M68" s="1470"/>
      <c r="N68" s="1470"/>
      <c r="O68" s="1470"/>
      <c r="P68" s="1480"/>
      <c r="Q68" s="1480"/>
      <c r="R68" s="1480"/>
      <c r="S68" s="1480"/>
      <c r="T68" s="1480"/>
      <c r="U68" s="1480"/>
      <c r="V68" s="55" t="s">
        <v>27</v>
      </c>
      <c r="W68" s="56">
        <f>$W$8</f>
        <v>43252</v>
      </c>
      <c r="X68" s="56">
        <f>$X$8</f>
        <v>43465</v>
      </c>
      <c r="Y68" s="56">
        <f>$Y$8</f>
        <v>43800</v>
      </c>
      <c r="Z68" s="56">
        <f>$Z$8</f>
        <v>43862</v>
      </c>
      <c r="AA68" s="56">
        <f>$AA$8</f>
        <v>44013</v>
      </c>
      <c r="AB68" s="56">
        <v>44166</v>
      </c>
      <c r="AC68" s="56" t="str">
        <f>$AC$8</f>
        <v>-</v>
      </c>
      <c r="AD68" s="56" t="str">
        <f>$AD$8</f>
        <v>-</v>
      </c>
      <c r="AE68" s="56" t="str">
        <f>$AE$8</f>
        <v>-</v>
      </c>
      <c r="AF68" s="56" t="str">
        <f>$AF$8</f>
        <v>-</v>
      </c>
      <c r="AG68" s="56" t="str">
        <f>$AG$8</f>
        <v>-</v>
      </c>
      <c r="AI68" s="55" t="s">
        <v>27</v>
      </c>
      <c r="AJ68" s="56">
        <f>W68</f>
        <v>43252</v>
      </c>
      <c r="AK68" s="56">
        <f t="shared" ref="AK68" si="25">X68</f>
        <v>43465</v>
      </c>
      <c r="AL68" s="56">
        <f t="shared" ref="AL68" si="26">Y68</f>
        <v>43800</v>
      </c>
      <c r="AM68" s="56">
        <f t="shared" ref="AM68" si="27">Z68</f>
        <v>43862</v>
      </c>
      <c r="AN68" s="56">
        <f t="shared" ref="AN68" si="28">AA68</f>
        <v>44013</v>
      </c>
      <c r="AO68" s="56">
        <f t="shared" ref="AO68" si="29">AB68</f>
        <v>44166</v>
      </c>
      <c r="AP68" s="56" t="str">
        <f t="shared" ref="AP68" si="30">AC68</f>
        <v>-</v>
      </c>
      <c r="AQ68" s="56" t="str">
        <f t="shared" ref="AQ68" si="31">AD68</f>
        <v>-</v>
      </c>
      <c r="AR68" s="56" t="str">
        <f t="shared" ref="AR68" si="32">AE68</f>
        <v>-</v>
      </c>
      <c r="AS68" s="56" t="str">
        <f t="shared" ref="AS68" si="33">AF68</f>
        <v>-</v>
      </c>
      <c r="AT68" s="29"/>
      <c r="AU68" s="55" t="s">
        <v>27</v>
      </c>
      <c r="AV68" s="56">
        <f>W68</f>
        <v>43252</v>
      </c>
      <c r="AW68" s="56">
        <f t="shared" ref="AW68" si="34">X68</f>
        <v>43465</v>
      </c>
      <c r="AX68" s="56">
        <f t="shared" ref="AX68" si="35">Y68</f>
        <v>43800</v>
      </c>
      <c r="AY68" s="56">
        <f t="shared" ref="AY68" si="36">Z68</f>
        <v>43862</v>
      </c>
      <c r="AZ68" s="56">
        <f t="shared" ref="AZ68" si="37">AA68</f>
        <v>44013</v>
      </c>
      <c r="BA68" s="56">
        <v>44166</v>
      </c>
      <c r="BB68" s="56" t="str">
        <f t="shared" ref="BB68" si="38">AC68</f>
        <v>-</v>
      </c>
      <c r="BC68" s="56" t="str">
        <f t="shared" ref="BC68" si="39">AD68</f>
        <v>-</v>
      </c>
      <c r="BD68" s="56" t="str">
        <f t="shared" ref="BD68" si="40">AE68</f>
        <v>-</v>
      </c>
      <c r="BE68" s="56" t="str">
        <f t="shared" ref="BE68" si="41">AF68</f>
        <v>-</v>
      </c>
      <c r="DB68" s="57" t="str">
        <f>$DB$8</f>
        <v>TRC (2020)</v>
      </c>
      <c r="DC68" s="93" t="str">
        <f>$DC$8</f>
        <v>Benefit Lookup</v>
      </c>
      <c r="DD68" s="93" t="str">
        <f>$DD$8</f>
        <v>Benefits (2019 $)</v>
      </c>
      <c r="DE68" s="93" t="str">
        <f>$DE$8</f>
        <v>Incremental Cost (2019 $)</v>
      </c>
    </row>
    <row r="69" spans="2:113" x14ac:dyDescent="0.25">
      <c r="C69" s="2356" t="s">
        <v>3441</v>
      </c>
      <c r="D69" s="1481" t="s">
        <v>34</v>
      </c>
      <c r="E69" s="1501" t="s">
        <v>3421</v>
      </c>
      <c r="F69" s="2306">
        <f t="shared" ref="F69:F70" si="42">ROUND(F82*G82*H82*I82,2)</f>
        <v>118.87</v>
      </c>
      <c r="G69" s="1482" t="s">
        <v>36</v>
      </c>
      <c r="H69" s="1483">
        <f>VLOOKUP(G69,'CP FACTORS'!$A$26:$B$38,2,FALSE)</f>
        <v>1.899635E-4</v>
      </c>
      <c r="I69" s="1502">
        <f t="shared" ref="I69:I70" si="43">ROUND(H69*F69,6)</f>
        <v>2.2581E-2</v>
      </c>
      <c r="J69" s="87">
        <v>10</v>
      </c>
      <c r="K69" s="1503">
        <v>45</v>
      </c>
      <c r="L69" s="1484" t="s">
        <v>37</v>
      </c>
      <c r="P69" s="1486"/>
      <c r="Q69" s="1487"/>
      <c r="R69" s="1488"/>
      <c r="S69" s="1488"/>
      <c r="T69" s="1489"/>
      <c r="V69" s="2243" t="s">
        <v>20</v>
      </c>
      <c r="W69" s="61"/>
      <c r="X69" s="61"/>
      <c r="Y69" s="61"/>
      <c r="Z69" s="63"/>
      <c r="AA69" s="182">
        <v>111.87</v>
      </c>
      <c r="AB69" s="2372">
        <v>118.87</v>
      </c>
      <c r="AC69" s="63"/>
      <c r="AD69" s="63"/>
      <c r="AE69" s="63"/>
      <c r="AF69" s="63"/>
      <c r="AG69" s="63"/>
      <c r="AI69" s="2243" t="s">
        <v>24</v>
      </c>
      <c r="AJ69" s="65"/>
      <c r="AK69" s="65"/>
      <c r="AL69" s="65"/>
      <c r="AM69" s="63"/>
      <c r="AN69" s="2269">
        <v>15</v>
      </c>
      <c r="AO69" s="2875">
        <f>J69</f>
        <v>10</v>
      </c>
      <c r="AP69" s="63"/>
      <c r="AQ69" s="63"/>
      <c r="AR69" s="63"/>
      <c r="AS69" s="63"/>
      <c r="AT69" s="29"/>
      <c r="AU69" s="2243" t="s">
        <v>25</v>
      </c>
      <c r="AV69" s="66"/>
      <c r="AW69" s="66"/>
      <c r="AX69" s="66"/>
      <c r="AY69" s="2275"/>
      <c r="AZ69" s="2275">
        <v>45</v>
      </c>
      <c r="BA69" s="2357">
        <v>45</v>
      </c>
      <c r="BB69" s="63"/>
      <c r="BC69" s="63"/>
      <c r="BD69" s="63"/>
      <c r="BE69" s="63"/>
      <c r="DB69" s="2266">
        <f t="shared" ref="DB69:DB70" si="44">(DD69)/(DE69)</f>
        <v>1.1043852976772599</v>
      </c>
      <c r="DC69" s="2267" t="str">
        <f t="shared" ref="DC69:DC70" si="45">CONCATENATE(G69," ",J69," Year EUL")</f>
        <v>Lighting BUS 10 Year EUL</v>
      </c>
      <c r="DD69" s="95">
        <f>(INDEX('Avoided Cost Benefits'!$C$4:$C$857,MATCH(DC69,'Avoided Cost Benefits'!$A$4:$A$857,0)))*F69</f>
        <v>46.906407168925618</v>
      </c>
      <c r="DE69" s="2268">
        <f t="shared" ref="DE69:DE70" si="46">K69/(1.0595^(2020-2019))</f>
        <v>42.472864558754125</v>
      </c>
    </row>
    <row r="70" spans="2:113" ht="15.75" thickBot="1" x14ac:dyDescent="0.3">
      <c r="C70" s="2356" t="s">
        <v>3442</v>
      </c>
      <c r="D70" s="1481" t="s">
        <v>34</v>
      </c>
      <c r="E70" s="1501" t="s">
        <v>3422</v>
      </c>
      <c r="F70" s="2306">
        <f t="shared" si="42"/>
        <v>291.13</v>
      </c>
      <c r="G70" s="1482" t="s">
        <v>36</v>
      </c>
      <c r="H70" s="1483">
        <f>VLOOKUP(G70,'CP FACTORS'!$A$26:$B$38,2,FALSE)</f>
        <v>1.899635E-4</v>
      </c>
      <c r="I70" s="1502">
        <f t="shared" si="43"/>
        <v>5.5303999999999999E-2</v>
      </c>
      <c r="J70" s="87">
        <v>10</v>
      </c>
      <c r="K70" s="1503">
        <v>105</v>
      </c>
      <c r="L70" s="1484" t="s">
        <v>37</v>
      </c>
      <c r="P70" s="1486"/>
      <c r="Q70" s="1487"/>
      <c r="R70" s="1488"/>
      <c r="S70" s="1488"/>
      <c r="T70" s="1489"/>
      <c r="V70" s="2243" t="s">
        <v>20</v>
      </c>
      <c r="W70" s="61"/>
      <c r="X70" s="61"/>
      <c r="Y70" s="61"/>
      <c r="Z70" s="61"/>
      <c r="AA70" s="182">
        <v>290.86</v>
      </c>
      <c r="AB70" s="2372">
        <v>291.13</v>
      </c>
      <c r="AC70" s="61"/>
      <c r="AD70" s="61"/>
      <c r="AE70" s="61"/>
      <c r="AF70" s="61"/>
      <c r="AG70" s="61"/>
      <c r="AI70" s="2243" t="s">
        <v>24</v>
      </c>
      <c r="AJ70" s="65"/>
      <c r="AK70" s="65"/>
      <c r="AL70" s="65"/>
      <c r="AM70" s="61"/>
      <c r="AN70" s="2269">
        <v>15</v>
      </c>
      <c r="AO70" s="2875">
        <f>J70</f>
        <v>10</v>
      </c>
      <c r="AP70" s="61"/>
      <c r="AQ70" s="61"/>
      <c r="AR70" s="61"/>
      <c r="AS70" s="61"/>
      <c r="AT70" s="29"/>
      <c r="AU70" s="2243" t="s">
        <v>25</v>
      </c>
      <c r="AV70" s="66"/>
      <c r="AW70" s="66"/>
      <c r="AX70" s="66"/>
      <c r="AY70" s="2275"/>
      <c r="AZ70" s="2275">
        <v>105</v>
      </c>
      <c r="BA70" s="2357">
        <v>105</v>
      </c>
      <c r="BB70" s="61"/>
      <c r="BC70" s="61"/>
      <c r="BD70" s="61"/>
      <c r="BE70" s="61"/>
      <c r="DB70" s="2270">
        <f t="shared" si="44"/>
        <v>1.1592004171884556</v>
      </c>
      <c r="DC70" s="2271" t="str">
        <f t="shared" si="45"/>
        <v>Lighting BUS 10 Year EUL</v>
      </c>
      <c r="DD70" s="96">
        <f>(INDEX('Avoided Cost Benefits'!$C$4:$C$857,MATCH(DC70,'Avoided Cost Benefits'!$A$4:$A$857,0)))*F70</f>
        <v>114.88064540329195</v>
      </c>
      <c r="DE70" s="2272">
        <f t="shared" si="46"/>
        <v>99.103350637092959</v>
      </c>
    </row>
    <row r="71" spans="2:113" outlineLevel="1" x14ac:dyDescent="0.25">
      <c r="E71" s="1473"/>
      <c r="F71" s="1473"/>
      <c r="G71" s="1473"/>
      <c r="H71" s="1491"/>
      <c r="I71" s="1473"/>
      <c r="J71" s="1473"/>
      <c r="K71" s="1473"/>
    </row>
    <row r="72" spans="2:113" outlineLevel="1" x14ac:dyDescent="0.25">
      <c r="D72" s="1473" t="s">
        <v>70</v>
      </c>
      <c r="E72" s="1473"/>
      <c r="F72" s="1473"/>
      <c r="G72" s="1473"/>
      <c r="H72" s="1491"/>
      <c r="I72" s="1473"/>
      <c r="J72" s="1473"/>
      <c r="K72" s="1473"/>
    </row>
    <row r="73" spans="2:113" outlineLevel="1" x14ac:dyDescent="0.25">
      <c r="D73" s="1492"/>
      <c r="G73" s="1470"/>
      <c r="H73" s="1493"/>
      <c r="M73" s="1473"/>
    </row>
    <row r="74" spans="2:113" outlineLevel="1" x14ac:dyDescent="0.25">
      <c r="D74" s="1492"/>
      <c r="G74" s="1470"/>
      <c r="H74" s="1493"/>
      <c r="M74" s="1473"/>
    </row>
    <row r="75" spans="2:113" outlineLevel="1" x14ac:dyDescent="0.25">
      <c r="D75" s="1492"/>
      <c r="G75" s="1470"/>
      <c r="H75" s="1493"/>
      <c r="M75" s="1473"/>
    </row>
    <row r="76" spans="2:113" outlineLevel="1" x14ac:dyDescent="0.25">
      <c r="D76" s="1492"/>
      <c r="G76" s="1470"/>
      <c r="H76" s="1493"/>
      <c r="M76" s="1473"/>
    </row>
    <row r="77" spans="2:113" outlineLevel="1" x14ac:dyDescent="0.25">
      <c r="D77" s="1492"/>
      <c r="G77" s="1470"/>
      <c r="H77" s="1493"/>
      <c r="M77" s="1473"/>
    </row>
    <row r="78" spans="2:113" outlineLevel="1" x14ac:dyDescent="0.25">
      <c r="D78" s="1492"/>
      <c r="G78" s="1470"/>
      <c r="H78" s="1493"/>
      <c r="M78" s="1473"/>
    </row>
    <row r="79" spans="2:113" outlineLevel="1" x14ac:dyDescent="0.25">
      <c r="D79" s="1492"/>
      <c r="G79" s="1470"/>
      <c r="H79" s="1493"/>
      <c r="M79" s="1473"/>
    </row>
    <row r="80" spans="2:113" outlineLevel="1" x14ac:dyDescent="0.25">
      <c r="D80" s="1492"/>
      <c r="G80" s="1470"/>
      <c r="H80" s="1493"/>
      <c r="V80" s="55" t="s">
        <v>27</v>
      </c>
      <c r="W80" s="56">
        <f>$W$8</f>
        <v>43252</v>
      </c>
      <c r="X80" s="56">
        <f>$X$8</f>
        <v>43465</v>
      </c>
      <c r="Y80" s="56">
        <f>$Y$8</f>
        <v>43800</v>
      </c>
      <c r="Z80" s="56">
        <f>$Z$8</f>
        <v>43862</v>
      </c>
      <c r="AA80" s="56">
        <f>$AA$8</f>
        <v>44013</v>
      </c>
      <c r="AB80" s="56">
        <v>44166</v>
      </c>
      <c r="AC80" s="56" t="str">
        <f>$AC$8</f>
        <v>-</v>
      </c>
      <c r="AD80" s="56" t="str">
        <f>$AD$8</f>
        <v>-</v>
      </c>
      <c r="AE80" s="56" t="str">
        <f>$AE$8</f>
        <v>-</v>
      </c>
      <c r="AF80" s="56" t="str">
        <f>$AF$8</f>
        <v>-</v>
      </c>
      <c r="AG80" s="56" t="str">
        <f>$AG$8</f>
        <v>-</v>
      </c>
      <c r="AI80" s="55" t="s">
        <v>27</v>
      </c>
      <c r="AJ80" s="56">
        <f>W80</f>
        <v>43252</v>
      </c>
      <c r="AK80" s="56">
        <f t="shared" ref="AK80" si="47">X80</f>
        <v>43465</v>
      </c>
      <c r="AL80" s="56">
        <f t="shared" ref="AL80" si="48">Y80</f>
        <v>43800</v>
      </c>
      <c r="AM80" s="56">
        <f t="shared" ref="AM80" si="49">Z80</f>
        <v>43862</v>
      </c>
      <c r="AN80" s="56">
        <f t="shared" ref="AN80" si="50">AA80</f>
        <v>44013</v>
      </c>
      <c r="AO80" s="56">
        <f t="shared" ref="AO80" si="51">AB80</f>
        <v>44166</v>
      </c>
      <c r="AP80" s="56" t="str">
        <f t="shared" ref="AP80" si="52">AC80</f>
        <v>-</v>
      </c>
      <c r="AQ80" s="56" t="str">
        <f t="shared" ref="AQ80" si="53">AD80</f>
        <v>-</v>
      </c>
      <c r="AR80" s="56" t="str">
        <f t="shared" ref="AR80" si="54">AE80</f>
        <v>-</v>
      </c>
      <c r="AS80" s="56" t="str">
        <f t="shared" ref="AS80" si="55">AF80</f>
        <v>-</v>
      </c>
      <c r="AT80" s="29"/>
      <c r="AU80" s="55" t="s">
        <v>27</v>
      </c>
      <c r="AV80" s="56">
        <f>W80</f>
        <v>43252</v>
      </c>
      <c r="AW80" s="56">
        <f t="shared" ref="AW80" si="56">X80</f>
        <v>43465</v>
      </c>
      <c r="AX80" s="56">
        <f t="shared" ref="AX80" si="57">Y80</f>
        <v>43800</v>
      </c>
      <c r="AY80" s="56">
        <f t="shared" ref="AY80" si="58">Z80</f>
        <v>43862</v>
      </c>
      <c r="AZ80" s="56">
        <f t="shared" ref="AZ80" si="59">AA80</f>
        <v>44013</v>
      </c>
      <c r="BA80" s="56">
        <v>44166</v>
      </c>
      <c r="BB80" s="56" t="str">
        <f t="shared" ref="BB80" si="60">AC80</f>
        <v>-</v>
      </c>
      <c r="BC80" s="56" t="str">
        <f t="shared" ref="BC80" si="61">AD80</f>
        <v>-</v>
      </c>
      <c r="BD80" s="56" t="str">
        <f t="shared" ref="BD80" si="62">AE80</f>
        <v>-</v>
      </c>
      <c r="BE80" s="56" t="str">
        <f t="shared" ref="BE80" si="63">AF80</f>
        <v>-</v>
      </c>
      <c r="BG80" s="2278"/>
      <c r="BH80" s="56">
        <f>$W$8</f>
        <v>43252</v>
      </c>
      <c r="BI80" s="56">
        <f>$X$8</f>
        <v>43465</v>
      </c>
      <c r="BJ80" s="56">
        <f>$Y$8</f>
        <v>43800</v>
      </c>
      <c r="BK80" s="56">
        <f>$Z$8</f>
        <v>43862</v>
      </c>
      <c r="BL80" s="56">
        <f>$AA$8</f>
        <v>44013</v>
      </c>
      <c r="BM80" s="56">
        <v>44166</v>
      </c>
      <c r="BN80" s="56" t="str">
        <f>$AC$8</f>
        <v>-</v>
      </c>
      <c r="BO80" s="56" t="str">
        <f>$AD$8</f>
        <v>-</v>
      </c>
      <c r="BP80" s="56" t="str">
        <f>$AE$8</f>
        <v>-</v>
      </c>
      <c r="BQ80" s="56" t="str">
        <f>$AF$8</f>
        <v>-</v>
      </c>
      <c r="BR80" s="56" t="str">
        <f>$AG$8</f>
        <v>-</v>
      </c>
      <c r="CE80" s="26"/>
      <c r="CI80"/>
      <c r="CT80" s="26"/>
      <c r="CX80"/>
      <c r="DB80" s="26"/>
      <c r="DC80" s="27"/>
      <c r="DG80" s="26"/>
      <c r="DI80" s="2278"/>
    </row>
    <row r="81" spans="2:109" s="77" customFormat="1" ht="30" outlineLevel="1" x14ac:dyDescent="0.25">
      <c r="C81" s="198"/>
      <c r="D81" s="52" t="s">
        <v>17</v>
      </c>
      <c r="E81" s="1435" t="s">
        <v>71</v>
      </c>
      <c r="F81" s="1435" t="s">
        <v>76</v>
      </c>
      <c r="G81" s="1435" t="s">
        <v>77</v>
      </c>
      <c r="H81" s="53" t="s">
        <v>78</v>
      </c>
      <c r="I81" s="2497" t="str">
        <f>I41</f>
        <v>WHFe + -IFkWh</v>
      </c>
      <c r="J81" s="157"/>
      <c r="K81" s="157"/>
      <c r="L81" s="198"/>
      <c r="M81" s="463"/>
      <c r="N81" s="463"/>
      <c r="O81" s="463"/>
      <c r="P81" s="463"/>
      <c r="Q81" s="463"/>
      <c r="R81" s="463"/>
      <c r="S81" s="463"/>
      <c r="T81" s="463"/>
      <c r="U81" s="463"/>
      <c r="V81" s="78"/>
      <c r="W81" s="79" t="str">
        <f>$F$81</f>
        <v>kWControlled</v>
      </c>
      <c r="X81" s="79" t="str">
        <f t="shared" ref="X81:AG81" si="64">$F$81</f>
        <v>kWControlled</v>
      </c>
      <c r="Y81" s="79" t="str">
        <f t="shared" si="64"/>
        <v>kWControlled</v>
      </c>
      <c r="Z81" s="79" t="str">
        <f t="shared" si="64"/>
        <v>kWControlled</v>
      </c>
      <c r="AA81" s="79" t="str">
        <f t="shared" si="64"/>
        <v>kWControlled</v>
      </c>
      <c r="AB81" s="79" t="s">
        <v>76</v>
      </c>
      <c r="AC81" s="79" t="str">
        <f t="shared" si="64"/>
        <v>kWControlled</v>
      </c>
      <c r="AD81" s="79" t="str">
        <f t="shared" si="64"/>
        <v>kWControlled</v>
      </c>
      <c r="AE81" s="79" t="str">
        <f t="shared" si="64"/>
        <v>kWControlled</v>
      </c>
      <c r="AF81" s="79" t="str">
        <f t="shared" si="64"/>
        <v>kWControlled</v>
      </c>
      <c r="AG81" s="79" t="str">
        <f t="shared" si="64"/>
        <v>kWControlled</v>
      </c>
      <c r="AI81" s="79" t="str">
        <f>$G$81</f>
        <v>Hours</v>
      </c>
      <c r="AJ81" s="79" t="str">
        <f t="shared" ref="AJ81:AS81" si="65">$G$81</f>
        <v>Hours</v>
      </c>
      <c r="AK81" s="79" t="str">
        <f t="shared" si="65"/>
        <v>Hours</v>
      </c>
      <c r="AL81" s="79" t="str">
        <f t="shared" si="65"/>
        <v>Hours</v>
      </c>
      <c r="AM81" s="79" t="str">
        <f t="shared" si="65"/>
        <v>Hours</v>
      </c>
      <c r="AN81" s="79" t="str">
        <f t="shared" si="65"/>
        <v>Hours</v>
      </c>
      <c r="AO81" s="79" t="str">
        <f t="shared" si="65"/>
        <v>Hours</v>
      </c>
      <c r="AP81" s="79" t="str">
        <f t="shared" si="65"/>
        <v>Hours</v>
      </c>
      <c r="AQ81" s="79" t="str">
        <f t="shared" si="65"/>
        <v>Hours</v>
      </c>
      <c r="AR81" s="79" t="str">
        <f t="shared" si="65"/>
        <v>Hours</v>
      </c>
      <c r="AS81" s="79" t="str">
        <f t="shared" si="65"/>
        <v>Hours</v>
      </c>
      <c r="AU81" s="80" t="str">
        <f>$H$81</f>
        <v>ESF</v>
      </c>
      <c r="AV81" s="80" t="str">
        <f t="shared" ref="AV81:BE81" si="66">$H$81</f>
        <v>ESF</v>
      </c>
      <c r="AW81" s="80" t="str">
        <f t="shared" si="66"/>
        <v>ESF</v>
      </c>
      <c r="AX81" s="80" t="str">
        <f t="shared" si="66"/>
        <v>ESF</v>
      </c>
      <c r="AY81" s="80" t="str">
        <f t="shared" si="66"/>
        <v>ESF</v>
      </c>
      <c r="AZ81" s="80" t="str">
        <f t="shared" si="66"/>
        <v>ESF</v>
      </c>
      <c r="BA81" s="80" t="s">
        <v>78</v>
      </c>
      <c r="BB81" s="80" t="str">
        <f t="shared" si="66"/>
        <v>ESF</v>
      </c>
      <c r="BC81" s="80" t="str">
        <f t="shared" si="66"/>
        <v>ESF</v>
      </c>
      <c r="BD81" s="80" t="str">
        <f t="shared" si="66"/>
        <v>ESF</v>
      </c>
      <c r="BE81" s="80" t="str">
        <f t="shared" si="66"/>
        <v>ESF</v>
      </c>
      <c r="BH81" s="80" t="str">
        <f>$I$81</f>
        <v>WHFe + -IFkWh</v>
      </c>
      <c r="BI81" s="80" t="str">
        <f t="shared" ref="BI81:BR81" si="67">$I$81</f>
        <v>WHFe + -IFkWh</v>
      </c>
      <c r="BJ81" s="80" t="str">
        <f t="shared" si="67"/>
        <v>WHFe + -IFkWh</v>
      </c>
      <c r="BK81" s="80" t="str">
        <f t="shared" si="67"/>
        <v>WHFe + -IFkWh</v>
      </c>
      <c r="BL81" s="80" t="str">
        <f t="shared" si="67"/>
        <v>WHFe + -IFkWh</v>
      </c>
      <c r="BM81" s="80" t="s">
        <v>3767</v>
      </c>
      <c r="BN81" s="80" t="str">
        <f t="shared" si="67"/>
        <v>WHFe + -IFkWh</v>
      </c>
      <c r="BO81" s="80" t="str">
        <f t="shared" si="67"/>
        <v>WHFe + -IFkWh</v>
      </c>
      <c r="BP81" s="80" t="str">
        <f t="shared" si="67"/>
        <v>WHFe + -IFkWh</v>
      </c>
      <c r="BQ81" s="80" t="str">
        <f t="shared" si="67"/>
        <v>WHFe + -IFkWh</v>
      </c>
      <c r="BR81" s="80" t="str">
        <f t="shared" si="67"/>
        <v>WHFe + -IFkWh</v>
      </c>
      <c r="DC81" s="97"/>
    </row>
    <row r="82" spans="2:109" s="77" customFormat="1" outlineLevel="1" x14ac:dyDescent="0.25">
      <c r="C82" s="198"/>
      <c r="D82" s="2314" t="str">
        <f>C69</f>
        <v>801010_2020_07</v>
      </c>
      <c r="E82" s="1495" t="str">
        <f>E69</f>
        <v>Fixture Mounted Occupancy Sensor Controlling &gt; 60 Watts</v>
      </c>
      <c r="F82" s="2342">
        <v>0.13800000000000001</v>
      </c>
      <c r="G82" s="1504">
        <v>3351</v>
      </c>
      <c r="H82" s="1505">
        <v>0.24</v>
      </c>
      <c r="I82" s="3314">
        <v>1.071</v>
      </c>
      <c r="J82" s="157"/>
      <c r="K82" s="157"/>
      <c r="L82" s="198"/>
      <c r="M82" s="463"/>
      <c r="N82" s="463"/>
      <c r="O82" s="463"/>
      <c r="P82" s="463"/>
      <c r="Q82" s="463"/>
      <c r="R82" s="463"/>
      <c r="S82" s="463"/>
      <c r="T82" s="463"/>
      <c r="U82" s="463"/>
      <c r="V82" s="82" t="str">
        <f t="shared" ref="V82:V83" si="68">E82</f>
        <v>Fixture Mounted Occupancy Sensor Controlling &gt; 60 Watts</v>
      </c>
      <c r="W82" s="61"/>
      <c r="X82" s="61"/>
      <c r="Y82" s="61"/>
      <c r="Z82" s="63"/>
      <c r="AA82" s="2872">
        <v>0.13</v>
      </c>
      <c r="AB82" s="2871">
        <v>0.13800000000000001</v>
      </c>
      <c r="AC82" s="63"/>
      <c r="AD82" s="63"/>
      <c r="AE82" s="63"/>
      <c r="AF82" s="63"/>
      <c r="AG82" s="63"/>
      <c r="AH82" s="26"/>
      <c r="AI82" s="61"/>
      <c r="AJ82" s="61"/>
      <c r="AK82" s="61"/>
      <c r="AL82" s="63"/>
      <c r="AM82" s="63"/>
      <c r="AN82" s="1045">
        <v>3351</v>
      </c>
      <c r="AO82" s="2874">
        <f>G82</f>
        <v>3351</v>
      </c>
      <c r="AP82" s="63"/>
      <c r="AQ82" s="63"/>
      <c r="AR82" s="63"/>
      <c r="AS82" s="63"/>
      <c r="AT82" s="26"/>
      <c r="AU82" s="61"/>
      <c r="AV82" s="61"/>
      <c r="AW82" s="61"/>
      <c r="AX82" s="63"/>
      <c r="AY82" s="63"/>
      <c r="AZ82" s="131">
        <v>0.24</v>
      </c>
      <c r="BA82" s="2876">
        <v>0.24</v>
      </c>
      <c r="BB82" s="63"/>
      <c r="BC82" s="63"/>
      <c r="BD82" s="63"/>
      <c r="BE82" s="63"/>
      <c r="BF82" s="26"/>
      <c r="BG82" s="2278"/>
      <c r="BH82" s="61"/>
      <c r="BI82" s="61"/>
      <c r="BJ82" s="61"/>
      <c r="BK82" s="63"/>
      <c r="BL82" s="131">
        <v>1.07</v>
      </c>
      <c r="BM82" s="2116">
        <v>1.071</v>
      </c>
      <c r="BN82" s="63"/>
      <c r="BO82" s="63"/>
      <c r="BP82" s="63"/>
      <c r="BQ82" s="63"/>
      <c r="BR82" s="63"/>
      <c r="DC82" s="97"/>
    </row>
    <row r="83" spans="2:109" s="77" customFormat="1" outlineLevel="1" x14ac:dyDescent="0.25">
      <c r="C83" s="198"/>
      <c r="D83" s="2314" t="str">
        <f>C70</f>
        <v>801020_2020_07</v>
      </c>
      <c r="E83" s="1495" t="str">
        <f>E70</f>
        <v>Remote Mounted Occupancy Sensor Controlling &gt; 150 Watts</v>
      </c>
      <c r="F83" s="2342">
        <v>0.33800000000000002</v>
      </c>
      <c r="G83" s="1504">
        <v>3351</v>
      </c>
      <c r="H83" s="1505">
        <v>0.24</v>
      </c>
      <c r="I83" s="3314">
        <v>1.071</v>
      </c>
      <c r="J83" s="157"/>
      <c r="K83" s="157"/>
      <c r="L83" s="198"/>
      <c r="M83" s="463"/>
      <c r="N83" s="463"/>
      <c r="O83" s="463"/>
      <c r="P83" s="463"/>
      <c r="Q83" s="463"/>
      <c r="R83" s="463"/>
      <c r="S83" s="463"/>
      <c r="T83" s="463"/>
      <c r="U83" s="463"/>
      <c r="V83" s="82" t="str">
        <f t="shared" si="68"/>
        <v>Remote Mounted Occupancy Sensor Controlling &gt; 150 Watts</v>
      </c>
      <c r="W83" s="61"/>
      <c r="X83" s="61"/>
      <c r="Y83" s="61"/>
      <c r="Z83" s="63"/>
      <c r="AA83" s="2872">
        <v>0.33800000000000002</v>
      </c>
      <c r="AB83" s="2871">
        <v>0.33800000000000002</v>
      </c>
      <c r="AC83" s="63"/>
      <c r="AD83" s="63"/>
      <c r="AE83" s="63"/>
      <c r="AF83" s="63"/>
      <c r="AG83" s="63"/>
      <c r="AH83" s="26"/>
      <c r="AI83" s="61"/>
      <c r="AJ83" s="61"/>
      <c r="AK83" s="61"/>
      <c r="AL83" s="63"/>
      <c r="AM83" s="63"/>
      <c r="AN83" s="1045">
        <v>3351</v>
      </c>
      <c r="AO83" s="2874">
        <f>G83</f>
        <v>3351</v>
      </c>
      <c r="AP83" s="63"/>
      <c r="AQ83" s="63"/>
      <c r="AR83" s="63"/>
      <c r="AS83" s="63"/>
      <c r="AT83" s="26"/>
      <c r="AU83" s="61"/>
      <c r="AV83" s="61"/>
      <c r="AW83" s="61"/>
      <c r="AX83" s="63"/>
      <c r="AY83" s="63"/>
      <c r="AZ83" s="131">
        <v>0.24</v>
      </c>
      <c r="BA83" s="2876">
        <v>0.24</v>
      </c>
      <c r="BB83" s="63"/>
      <c r="BC83" s="63"/>
      <c r="BD83" s="63"/>
      <c r="BE83" s="63"/>
      <c r="BF83" s="26"/>
      <c r="BG83" s="2278"/>
      <c r="BH83" s="61"/>
      <c r="BI83" s="61"/>
      <c r="BJ83" s="61"/>
      <c r="BK83" s="63"/>
      <c r="BL83" s="131">
        <v>1.07</v>
      </c>
      <c r="BM83" s="2116">
        <v>1.071</v>
      </c>
      <c r="BN83" s="63"/>
      <c r="BO83" s="63"/>
      <c r="BP83" s="63"/>
      <c r="BQ83" s="63"/>
      <c r="BR83" s="63"/>
      <c r="DC83" s="97"/>
    </row>
    <row r="84" spans="2:109" s="77" customFormat="1" x14ac:dyDescent="0.25">
      <c r="C84" s="198"/>
      <c r="D84" s="1506" t="s">
        <v>79</v>
      </c>
      <c r="E84" s="1506"/>
      <c r="F84" s="1507"/>
      <c r="G84" s="1507"/>
      <c r="H84" s="1508"/>
      <c r="I84" s="1507"/>
      <c r="J84" s="1507"/>
      <c r="K84" s="463"/>
      <c r="L84" s="198"/>
      <c r="M84" s="463"/>
      <c r="N84" s="463"/>
      <c r="O84" s="463"/>
      <c r="P84" s="463"/>
      <c r="Q84" s="463"/>
      <c r="R84" s="463"/>
      <c r="S84" s="463"/>
      <c r="T84" s="463"/>
      <c r="U84" s="463"/>
      <c r="DB84" s="97"/>
    </row>
    <row r="85" spans="2:109" s="77" customFormat="1" x14ac:dyDescent="0.25">
      <c r="C85" s="198"/>
      <c r="D85" s="198"/>
      <c r="E85" s="198"/>
      <c r="F85" s="198"/>
      <c r="G85" s="1507"/>
      <c r="H85" s="1508"/>
      <c r="I85" s="1507"/>
      <c r="J85" s="1507"/>
      <c r="K85" s="463"/>
      <c r="L85" s="198"/>
      <c r="M85" s="463"/>
      <c r="N85" s="463"/>
      <c r="O85" s="463"/>
      <c r="P85" s="463"/>
      <c r="Q85" s="463"/>
      <c r="R85" s="463"/>
      <c r="S85" s="463"/>
      <c r="T85" s="463"/>
      <c r="U85" s="463"/>
      <c r="DB85" s="97"/>
    </row>
    <row r="86" spans="2:109" s="77" customFormat="1" x14ac:dyDescent="0.25">
      <c r="C86" s="198"/>
      <c r="D86" s="198"/>
      <c r="E86" s="198"/>
      <c r="F86" s="198"/>
      <c r="G86" s="1507"/>
      <c r="H86" s="1508"/>
      <c r="I86" s="1507"/>
      <c r="J86" s="1507"/>
      <c r="K86" s="463"/>
      <c r="L86" s="198"/>
      <c r="M86" s="463"/>
      <c r="N86" s="463"/>
      <c r="O86" s="463"/>
      <c r="P86" s="463"/>
      <c r="Q86" s="463"/>
      <c r="R86" s="463"/>
      <c r="S86" s="463"/>
      <c r="T86" s="463"/>
      <c r="U86" s="463"/>
      <c r="DB86" s="97"/>
    </row>
    <row r="87" spans="2:109" s="2282" customFormat="1" x14ac:dyDescent="0.25">
      <c r="B87" s="4084" t="s">
        <v>3825</v>
      </c>
      <c r="C87" s="4085"/>
      <c r="D87" s="4085"/>
      <c r="E87" s="4085"/>
      <c r="F87" s="4085"/>
      <c r="G87" s="4085"/>
      <c r="H87" s="4085"/>
      <c r="I87" s="4086"/>
      <c r="J87" s="4086"/>
      <c r="K87" s="4086"/>
      <c r="L87" s="4086"/>
      <c r="M87" s="4087"/>
      <c r="N87" s="4087"/>
      <c r="O87" s="4088"/>
      <c r="V87" s="2988" t="str">
        <f>B87</f>
        <v>Lighting - LED with Network Controls</v>
      </c>
      <c r="W87" s="2989"/>
      <c r="X87" s="2989"/>
      <c r="Y87" s="2989"/>
      <c r="Z87" s="2989"/>
      <c r="AA87" s="2989"/>
      <c r="AB87" s="2989"/>
      <c r="AC87" s="2989"/>
      <c r="AD87" s="2989"/>
      <c r="AE87" s="2989"/>
      <c r="AF87" s="2989"/>
      <c r="AG87" s="2989"/>
      <c r="AH87" s="2989"/>
      <c r="AI87" s="2990"/>
      <c r="AJ87" s="2278"/>
      <c r="AK87" s="2278"/>
      <c r="AL87" s="2278"/>
      <c r="AM87" s="2278"/>
      <c r="AN87" s="2278"/>
      <c r="AO87" s="2278"/>
      <c r="AP87" s="2278"/>
      <c r="AQ87" s="2278"/>
      <c r="AR87" s="2278"/>
      <c r="AS87" s="2278"/>
      <c r="AT87" s="2278"/>
      <c r="AU87" s="2278"/>
      <c r="CI87" s="2281"/>
      <c r="DB87" s="45"/>
      <c r="DC87" s="2281"/>
      <c r="DD87" s="2281"/>
      <c r="DE87" s="2281"/>
    </row>
    <row r="88" spans="2:109" s="77" customFormat="1" x14ac:dyDescent="0.25">
      <c r="C88" s="198"/>
      <c r="D88" s="198"/>
      <c r="E88" s="198"/>
      <c r="F88" s="198"/>
      <c r="G88" s="198"/>
      <c r="H88" s="198"/>
      <c r="I88" s="1507"/>
      <c r="J88" s="1507"/>
      <c r="K88" s="463"/>
      <c r="L88" s="198"/>
      <c r="M88" s="463"/>
      <c r="N88" s="463"/>
      <c r="O88" s="463"/>
      <c r="P88" s="463"/>
      <c r="Q88" s="463"/>
      <c r="R88" s="463"/>
      <c r="S88" s="463"/>
      <c r="T88" s="463"/>
      <c r="U88" s="463"/>
      <c r="DB88" s="97"/>
    </row>
    <row r="89" spans="2:109" s="77" customFormat="1" ht="30" x14ac:dyDescent="0.25">
      <c r="C89" s="52" t="s">
        <v>17</v>
      </c>
      <c r="D89" s="3094" t="s">
        <v>18</v>
      </c>
      <c r="E89" s="3094" t="s">
        <v>19</v>
      </c>
      <c r="F89" s="3094" t="s">
        <v>20</v>
      </c>
      <c r="G89" s="3094" t="s">
        <v>21</v>
      </c>
      <c r="H89" s="53" t="s">
        <v>22</v>
      </c>
      <c r="I89" s="3094" t="s">
        <v>23</v>
      </c>
      <c r="J89" s="3094" t="s">
        <v>24</v>
      </c>
      <c r="K89" s="52" t="s">
        <v>25</v>
      </c>
      <c r="L89" s="52" t="s">
        <v>26</v>
      </c>
      <c r="M89" s="463"/>
      <c r="N89" s="463"/>
      <c r="O89" s="463"/>
      <c r="P89" s="463"/>
      <c r="Q89" s="463"/>
      <c r="R89" s="463"/>
      <c r="S89" s="463"/>
      <c r="T89" s="463"/>
      <c r="U89" s="463"/>
      <c r="V89" s="2283" t="s">
        <v>27</v>
      </c>
      <c r="W89" s="2284">
        <f>$W$8</f>
        <v>43252</v>
      </c>
      <c r="X89" s="2284">
        <f>$X$8</f>
        <v>43465</v>
      </c>
      <c r="Y89" s="2284">
        <f>$Y$8</f>
        <v>43800</v>
      </c>
      <c r="Z89" s="2284">
        <f>$Z$8</f>
        <v>43862</v>
      </c>
      <c r="AA89" s="2284">
        <f>$AA$8</f>
        <v>44013</v>
      </c>
      <c r="AB89" s="2284">
        <v>44166</v>
      </c>
      <c r="AC89" s="2284" t="str">
        <f>$AC$8</f>
        <v>-</v>
      </c>
      <c r="AD89" s="2284" t="str">
        <f>$AD$8</f>
        <v>-</v>
      </c>
      <c r="AE89" s="2284" t="str">
        <f>$AE$8</f>
        <v>-</v>
      </c>
      <c r="AF89" s="2284" t="str">
        <f>$AF$8</f>
        <v>-</v>
      </c>
      <c r="AG89" s="2284" t="str">
        <f>$AG$8</f>
        <v>-</v>
      </c>
      <c r="AH89" s="50"/>
      <c r="AI89" s="2283" t="s">
        <v>27</v>
      </c>
      <c r="AJ89" s="2284">
        <f>W89</f>
        <v>43252</v>
      </c>
      <c r="AK89" s="2284">
        <f t="shared" ref="AK89" si="69">X89</f>
        <v>43465</v>
      </c>
      <c r="AL89" s="2284">
        <f t="shared" ref="AL89" si="70">Y89</f>
        <v>43800</v>
      </c>
      <c r="AM89" s="2284">
        <f t="shared" ref="AM89" si="71">Z89</f>
        <v>43862</v>
      </c>
      <c r="AN89" s="2284">
        <f t="shared" ref="AN89" si="72">AA89</f>
        <v>44013</v>
      </c>
      <c r="AO89" s="2284">
        <f t="shared" ref="AO89" si="73">AB89</f>
        <v>44166</v>
      </c>
      <c r="AP89" s="2284" t="str">
        <f t="shared" ref="AP89" si="74">AC89</f>
        <v>-</v>
      </c>
      <c r="AQ89" s="2284" t="str">
        <f t="shared" ref="AQ89" si="75">AD89</f>
        <v>-</v>
      </c>
      <c r="AR89" s="2284" t="str">
        <f t="shared" ref="AR89" si="76">AE89</f>
        <v>-</v>
      </c>
      <c r="AS89" s="2284" t="str">
        <f t="shared" ref="AS89" si="77">AF89</f>
        <v>-</v>
      </c>
      <c r="AT89" s="2280"/>
      <c r="AU89" s="2283" t="s">
        <v>27</v>
      </c>
      <c r="AV89" s="2284">
        <f>W89</f>
        <v>43252</v>
      </c>
      <c r="AW89" s="2284">
        <f t="shared" ref="AW89" si="78">X89</f>
        <v>43465</v>
      </c>
      <c r="AX89" s="2284">
        <f t="shared" ref="AX89" si="79">Y89</f>
        <v>43800</v>
      </c>
      <c r="AY89" s="2284">
        <f t="shared" ref="AY89" si="80">Z89</f>
        <v>43862</v>
      </c>
      <c r="AZ89" s="2284">
        <f t="shared" ref="AZ89" si="81">AA89</f>
        <v>44013</v>
      </c>
      <c r="BA89" s="2284">
        <v>44166</v>
      </c>
      <c r="BB89" s="2284" t="str">
        <f t="shared" ref="BB89" si="82">AC89</f>
        <v>-</v>
      </c>
      <c r="BC89" s="2284" t="str">
        <f t="shared" ref="BC89" si="83">AD89</f>
        <v>-</v>
      </c>
      <c r="BD89" s="2284" t="str">
        <f t="shared" ref="BD89" si="84">AE89</f>
        <v>-</v>
      </c>
      <c r="BE89" s="2284" t="str">
        <f t="shared" ref="BE89" si="85">AF89</f>
        <v>-</v>
      </c>
      <c r="DB89" s="2285" t="str">
        <f>$DB$8</f>
        <v>TRC (2020)</v>
      </c>
      <c r="DC89" s="2300" t="str">
        <f>$DC$8</f>
        <v>Benefit Lookup</v>
      </c>
      <c r="DD89" s="2300" t="str">
        <f>$DD$8</f>
        <v>Benefits (2019 $)</v>
      </c>
      <c r="DE89" s="2300" t="str">
        <f>$DE$8</f>
        <v>Incremental Cost (2019 $)</v>
      </c>
    </row>
    <row r="90" spans="2:109" s="77" customFormat="1" x14ac:dyDescent="0.25">
      <c r="C90" s="3315" t="s">
        <v>3810</v>
      </c>
      <c r="D90" s="1481" t="s">
        <v>34</v>
      </c>
      <c r="E90" s="1501" t="s">
        <v>3802</v>
      </c>
      <c r="F90" s="2306">
        <f>((F108-(G108*(1-I108)))/1000)*H108*J108*K108</f>
        <v>188.73868765259346</v>
      </c>
      <c r="G90" s="1482" t="s">
        <v>36</v>
      </c>
      <c r="H90" s="1483">
        <f>VLOOKUP(G90,'CP FACTORS'!$A$26:$B$38,2,FALSE)</f>
        <v>1.899635E-4</v>
      </c>
      <c r="I90" s="1502">
        <f>ROUND(F90*H90,6)</f>
        <v>3.5853000000000003E-2</v>
      </c>
      <c r="J90" s="87">
        <f>K58</f>
        <v>15</v>
      </c>
      <c r="K90" s="1503">
        <v>55.76</v>
      </c>
      <c r="L90" s="1484" t="s">
        <v>37</v>
      </c>
      <c r="M90" s="463"/>
      <c r="N90" s="463"/>
      <c r="O90" s="463"/>
      <c r="P90" s="463"/>
      <c r="Q90" s="463"/>
      <c r="R90" s="463"/>
      <c r="S90" s="463"/>
      <c r="T90" s="463"/>
      <c r="U90" s="463"/>
      <c r="V90" s="2924" t="s">
        <v>20</v>
      </c>
      <c r="W90" s="2286"/>
      <c r="X90" s="2286"/>
      <c r="Y90" s="2286"/>
      <c r="Z90" s="2288"/>
      <c r="AA90" s="182"/>
      <c r="AB90" s="2372">
        <v>200.80963876496943</v>
      </c>
      <c r="AC90" s="2288"/>
      <c r="AD90" s="2288"/>
      <c r="AE90" s="2288"/>
      <c r="AF90" s="2288"/>
      <c r="AG90" s="2288"/>
      <c r="AH90" s="2278"/>
      <c r="AI90" s="2924" t="s">
        <v>24</v>
      </c>
      <c r="AJ90" s="2290"/>
      <c r="AK90" s="2290"/>
      <c r="AL90" s="2290"/>
      <c r="AM90" s="2288"/>
      <c r="AN90" s="2269"/>
      <c r="AO90" s="2926">
        <f>J90</f>
        <v>15</v>
      </c>
      <c r="AP90" s="2288"/>
      <c r="AQ90" s="2288"/>
      <c r="AR90" s="2288"/>
      <c r="AS90" s="2288"/>
      <c r="AT90" s="2280"/>
      <c r="AU90" s="2924" t="s">
        <v>25</v>
      </c>
      <c r="AV90" s="2291"/>
      <c r="AW90" s="2291"/>
      <c r="AX90" s="2291"/>
      <c r="AY90" s="2275"/>
      <c r="AZ90" s="2275"/>
      <c r="BA90" s="2878">
        <v>55.76</v>
      </c>
      <c r="BB90" s="2288"/>
      <c r="BC90" s="2288"/>
      <c r="BD90" s="2288"/>
      <c r="BE90" s="2288"/>
      <c r="DB90" s="74">
        <f t="shared" ref="DB90:DB97" si="86">(DD90)/(DE90)</f>
        <v>2.0778687802744082</v>
      </c>
      <c r="DC90" s="2295" t="str">
        <f t="shared" ref="DC90:DC97" si="87">CONCATENATE(G90," ",J90," Year EUL")</f>
        <v>Lighting BUS 15 Year EUL</v>
      </c>
      <c r="DD90" s="2297">
        <f>(INDEX('Avoided Cost Benefits'!$C$4:$C$857,MATCH(DC90,'Avoided Cost Benefits'!$A$4:$A$857,0)))*F90</f>
        <v>109.355321555546</v>
      </c>
      <c r="DE90" s="2297">
        <f t="shared" ref="DE90:DE97" si="88">K90/(1.0595^(2020-2019))</f>
        <v>52.628598395469552</v>
      </c>
    </row>
    <row r="91" spans="2:109" s="77" customFormat="1" x14ac:dyDescent="0.25">
      <c r="C91" s="3315" t="s">
        <v>3811</v>
      </c>
      <c r="D91" s="1481" t="s">
        <v>34</v>
      </c>
      <c r="E91" s="1501" t="s">
        <v>3803</v>
      </c>
      <c r="F91" s="2306">
        <f t="shared" ref="F91:F97" si="89">((F109-(G109*(1-I109)))/1000)*H109*J109*K109</f>
        <v>188.73868765259346</v>
      </c>
      <c r="G91" s="1482" t="s">
        <v>36</v>
      </c>
      <c r="H91" s="1483">
        <f>VLOOKUP(G91,'CP FACTORS'!$A$26:$B$38,2,FALSE)</f>
        <v>1.899635E-4</v>
      </c>
      <c r="I91" s="1502">
        <f>ROUND(F91*H91,6)</f>
        <v>3.5853000000000003E-2</v>
      </c>
      <c r="J91" s="87">
        <f>K58</f>
        <v>15</v>
      </c>
      <c r="K91" s="1503">
        <v>55.76</v>
      </c>
      <c r="L91" s="1484" t="s">
        <v>37</v>
      </c>
      <c r="M91" s="463"/>
      <c r="N91" s="463"/>
      <c r="O91" s="463"/>
      <c r="P91" s="463"/>
      <c r="Q91" s="463"/>
      <c r="R91" s="463"/>
      <c r="S91" s="463"/>
      <c r="T91" s="463"/>
      <c r="U91" s="463"/>
      <c r="V91" s="2924" t="s">
        <v>20</v>
      </c>
      <c r="W91" s="2286"/>
      <c r="X91" s="2286"/>
      <c r="Y91" s="2286"/>
      <c r="Z91" s="2286"/>
      <c r="AA91" s="182"/>
      <c r="AB91" s="2372">
        <v>188.73868765259346</v>
      </c>
      <c r="AC91" s="2286"/>
      <c r="AD91" s="2286"/>
      <c r="AE91" s="2286"/>
      <c r="AF91" s="2286"/>
      <c r="AG91" s="2286"/>
      <c r="AH91" s="2278"/>
      <c r="AI91" s="2924" t="s">
        <v>24</v>
      </c>
      <c r="AJ91" s="2290"/>
      <c r="AK91" s="2290"/>
      <c r="AL91" s="2290"/>
      <c r="AM91" s="2286"/>
      <c r="AN91" s="2269"/>
      <c r="AO91" s="2926">
        <f>J91</f>
        <v>15</v>
      </c>
      <c r="AP91" s="2286"/>
      <c r="AQ91" s="2286"/>
      <c r="AR91" s="2286"/>
      <c r="AS91" s="2286"/>
      <c r="AT91" s="2280"/>
      <c r="AU91" s="2924" t="s">
        <v>25</v>
      </c>
      <c r="AV91" s="2291"/>
      <c r="AW91" s="2291"/>
      <c r="AX91" s="2291"/>
      <c r="AY91" s="2275"/>
      <c r="AZ91" s="2275"/>
      <c r="BA91" s="2878">
        <v>55.76</v>
      </c>
      <c r="BB91" s="2286"/>
      <c r="BC91" s="2286"/>
      <c r="BD91" s="2286"/>
      <c r="BE91" s="2286"/>
      <c r="DB91" s="74">
        <f t="shared" si="86"/>
        <v>2.0778687802744082</v>
      </c>
      <c r="DC91" s="2295" t="str">
        <f t="shared" si="87"/>
        <v>Lighting BUS 15 Year EUL</v>
      </c>
      <c r="DD91" s="2297">
        <f>(INDEX('Avoided Cost Benefits'!$C$4:$C$857,MATCH(DC91,'Avoided Cost Benefits'!$A$4:$A$857,0)))*F91</f>
        <v>109.355321555546</v>
      </c>
      <c r="DE91" s="2297">
        <f t="shared" si="88"/>
        <v>52.628598395469552</v>
      </c>
    </row>
    <row r="92" spans="2:109" s="77" customFormat="1" x14ac:dyDescent="0.25">
      <c r="C92" s="3315" t="s">
        <v>3812</v>
      </c>
      <c r="D92" s="1481" t="s">
        <v>34</v>
      </c>
      <c r="E92" s="1501" t="s">
        <v>3804</v>
      </c>
      <c r="F92" s="2306">
        <f t="shared" si="89"/>
        <v>82.679046132979281</v>
      </c>
      <c r="G92" s="1482" t="s">
        <v>36</v>
      </c>
      <c r="H92" s="1483">
        <f>VLOOKUP(G92,'CP FACTORS'!$A$26:$B$38,2,FALSE)</f>
        <v>1.899635E-4</v>
      </c>
      <c r="I92" s="1502">
        <f t="shared" ref="I92:I97" si="90">ROUND(F92*H92,6)</f>
        <v>1.5706000000000001E-2</v>
      </c>
      <c r="J92" s="87">
        <f>K60</f>
        <v>15</v>
      </c>
      <c r="K92" s="1503">
        <v>55.76</v>
      </c>
      <c r="L92" s="1484" t="s">
        <v>37</v>
      </c>
      <c r="M92" s="463"/>
      <c r="N92" s="463"/>
      <c r="O92" s="463"/>
      <c r="P92" s="463"/>
      <c r="Q92" s="463"/>
      <c r="R92" s="463"/>
      <c r="S92" s="463"/>
      <c r="T92" s="463"/>
      <c r="U92" s="463"/>
      <c r="V92" s="2924" t="s">
        <v>20</v>
      </c>
      <c r="W92" s="2286"/>
      <c r="X92" s="2286"/>
      <c r="Y92" s="2286"/>
      <c r="Z92" s="2286"/>
      <c r="AA92" s="182"/>
      <c r="AB92" s="2372">
        <v>81.090816470619487</v>
      </c>
      <c r="AC92" s="2286"/>
      <c r="AD92" s="2286"/>
      <c r="AE92" s="2286"/>
      <c r="AF92" s="2286"/>
      <c r="AG92" s="2286"/>
      <c r="AH92" s="2278"/>
      <c r="AI92" s="2924" t="s">
        <v>24</v>
      </c>
      <c r="AJ92" s="2290"/>
      <c r="AK92" s="2290"/>
      <c r="AL92" s="2290"/>
      <c r="AM92" s="2286"/>
      <c r="AN92" s="2269"/>
      <c r="AO92" s="2926">
        <f t="shared" ref="AO92:AO97" si="91">J92</f>
        <v>15</v>
      </c>
      <c r="AP92" s="2286"/>
      <c r="AQ92" s="2286"/>
      <c r="AR92" s="2286"/>
      <c r="AS92" s="2286"/>
      <c r="AT92" s="2280"/>
      <c r="AU92" s="2924" t="s">
        <v>25</v>
      </c>
      <c r="AV92" s="2291"/>
      <c r="AW92" s="2291"/>
      <c r="AX92" s="2291"/>
      <c r="AY92" s="2275"/>
      <c r="AZ92" s="2275"/>
      <c r="BA92" s="2878">
        <v>55.76</v>
      </c>
      <c r="BB92" s="2286"/>
      <c r="BC92" s="2286"/>
      <c r="BD92" s="2286"/>
      <c r="BE92" s="2286"/>
      <c r="DB92" s="74">
        <f t="shared" si="86"/>
        <v>0.91023314233701846</v>
      </c>
      <c r="DC92" s="2295" t="str">
        <f t="shared" si="87"/>
        <v>Lighting BUS 15 Year EUL</v>
      </c>
      <c r="DD92" s="2297">
        <f>(INDEX('Avoided Cost Benefits'!$C$4:$C$857,MATCH(DC92,'Avoided Cost Benefits'!$A$4:$A$857,0)))*F92</f>
        <v>47.904294494301219</v>
      </c>
      <c r="DE92" s="2297">
        <f t="shared" si="88"/>
        <v>52.628598395469552</v>
      </c>
    </row>
    <row r="93" spans="2:109" s="77" customFormat="1" x14ac:dyDescent="0.25">
      <c r="C93" s="3315" t="s">
        <v>3813</v>
      </c>
      <c r="D93" s="1481" t="s">
        <v>34</v>
      </c>
      <c r="E93" s="1501" t="s">
        <v>3805</v>
      </c>
      <c r="F93" s="2306">
        <f t="shared" si="89"/>
        <v>82.679046132979281</v>
      </c>
      <c r="G93" s="1482" t="s">
        <v>36</v>
      </c>
      <c r="H93" s="1483">
        <f>VLOOKUP(G93,'CP FACTORS'!$A$26:$B$38,2,FALSE)</f>
        <v>1.899635E-4</v>
      </c>
      <c r="I93" s="1502">
        <f t="shared" si="90"/>
        <v>1.5706000000000001E-2</v>
      </c>
      <c r="J93" s="87">
        <f>K60</f>
        <v>15</v>
      </c>
      <c r="K93" s="1503">
        <v>55.76</v>
      </c>
      <c r="L93" s="1484" t="s">
        <v>37</v>
      </c>
      <c r="M93" s="463"/>
      <c r="N93" s="463"/>
      <c r="O93" s="463"/>
      <c r="P93" s="463"/>
      <c r="Q93" s="463"/>
      <c r="R93" s="463"/>
      <c r="S93" s="463"/>
      <c r="T93" s="463"/>
      <c r="U93" s="463"/>
      <c r="V93" s="2924" t="s">
        <v>20</v>
      </c>
      <c r="W93" s="2286"/>
      <c r="X93" s="2286"/>
      <c r="Y93" s="2286"/>
      <c r="Z93" s="2286"/>
      <c r="AA93" s="182"/>
      <c r="AB93" s="2372">
        <v>82.679046132979281</v>
      </c>
      <c r="AC93" s="2286"/>
      <c r="AD93" s="2286"/>
      <c r="AE93" s="2286"/>
      <c r="AF93" s="2286"/>
      <c r="AG93" s="2286"/>
      <c r="AH93" s="2278"/>
      <c r="AI93" s="2924" t="s">
        <v>24</v>
      </c>
      <c r="AJ93" s="2290"/>
      <c r="AK93" s="2290"/>
      <c r="AL93" s="2290"/>
      <c r="AM93" s="2286"/>
      <c r="AN93" s="2269"/>
      <c r="AO93" s="2926">
        <f t="shared" si="91"/>
        <v>15</v>
      </c>
      <c r="AP93" s="2286"/>
      <c r="AQ93" s="2286"/>
      <c r="AR93" s="2286"/>
      <c r="AS93" s="2286"/>
      <c r="AT93" s="2280"/>
      <c r="AU93" s="2924" t="s">
        <v>25</v>
      </c>
      <c r="AV93" s="2291"/>
      <c r="AW93" s="2291"/>
      <c r="AX93" s="2291"/>
      <c r="AY93" s="2275"/>
      <c r="AZ93" s="2275"/>
      <c r="BA93" s="2878">
        <v>55.76</v>
      </c>
      <c r="BB93" s="2286"/>
      <c r="BC93" s="2286"/>
      <c r="BD93" s="2286"/>
      <c r="BE93" s="2286"/>
      <c r="DB93" s="74">
        <f t="shared" si="86"/>
        <v>0.91023314233701846</v>
      </c>
      <c r="DC93" s="2295" t="str">
        <f t="shared" si="87"/>
        <v>Lighting BUS 15 Year EUL</v>
      </c>
      <c r="DD93" s="2297">
        <f>(INDEX('Avoided Cost Benefits'!$C$4:$C$857,MATCH(DC93,'Avoided Cost Benefits'!$A$4:$A$857,0)))*F93</f>
        <v>47.904294494301219</v>
      </c>
      <c r="DE93" s="2297">
        <f t="shared" si="88"/>
        <v>52.628598395469552</v>
      </c>
    </row>
    <row r="94" spans="2:109" s="77" customFormat="1" x14ac:dyDescent="0.25">
      <c r="C94" s="3315" t="s">
        <v>3814</v>
      </c>
      <c r="D94" s="1481" t="s">
        <v>34</v>
      </c>
      <c r="E94" s="1501" t="s">
        <v>3806</v>
      </c>
      <c r="F94" s="2306">
        <f t="shared" si="89"/>
        <v>81.895795033523839</v>
      </c>
      <c r="G94" s="1482" t="s">
        <v>36</v>
      </c>
      <c r="H94" s="1483">
        <f>VLOOKUP(G94,'CP FACTORS'!$A$26:$B$38,2,FALSE)</f>
        <v>1.899635E-4</v>
      </c>
      <c r="I94" s="1502">
        <f t="shared" si="90"/>
        <v>1.5557E-2</v>
      </c>
      <c r="J94" s="87">
        <f>K62</f>
        <v>15</v>
      </c>
      <c r="K94" s="1503">
        <v>55.76</v>
      </c>
      <c r="L94" s="1484" t="s">
        <v>37</v>
      </c>
      <c r="M94" s="463"/>
      <c r="N94" s="463"/>
      <c r="O94" s="463"/>
      <c r="P94" s="463"/>
      <c r="Q94" s="463"/>
      <c r="R94" s="463"/>
      <c r="S94" s="463"/>
      <c r="T94" s="463"/>
      <c r="U94" s="463"/>
      <c r="V94" s="2924" t="s">
        <v>20</v>
      </c>
      <c r="W94" s="2286"/>
      <c r="X94" s="2286"/>
      <c r="Y94" s="2286"/>
      <c r="Z94" s="2286"/>
      <c r="AA94" s="182"/>
      <c r="AB94" s="2372">
        <v>116.29011137881363</v>
      </c>
      <c r="AC94" s="2286"/>
      <c r="AD94" s="2286"/>
      <c r="AE94" s="2286"/>
      <c r="AF94" s="2286"/>
      <c r="AG94" s="2286"/>
      <c r="AH94" s="2278"/>
      <c r="AI94" s="2924" t="s">
        <v>24</v>
      </c>
      <c r="AJ94" s="2290"/>
      <c r="AK94" s="2290"/>
      <c r="AL94" s="2290"/>
      <c r="AM94" s="2286"/>
      <c r="AN94" s="2269"/>
      <c r="AO94" s="2926">
        <f t="shared" si="91"/>
        <v>15</v>
      </c>
      <c r="AP94" s="2286"/>
      <c r="AQ94" s="2286"/>
      <c r="AR94" s="2286"/>
      <c r="AS94" s="2286"/>
      <c r="AT94" s="2280"/>
      <c r="AU94" s="2924" t="s">
        <v>25</v>
      </c>
      <c r="AV94" s="2291"/>
      <c r="AW94" s="2291"/>
      <c r="AX94" s="2291"/>
      <c r="AY94" s="2275"/>
      <c r="AZ94" s="2275"/>
      <c r="BA94" s="2878">
        <v>55.76</v>
      </c>
      <c r="BB94" s="2286"/>
      <c r="BC94" s="2286"/>
      <c r="BD94" s="2286"/>
      <c r="BE94" s="2286"/>
      <c r="DB94" s="74">
        <f t="shared" si="86"/>
        <v>0.90161014602971268</v>
      </c>
      <c r="DC94" s="2295" t="str">
        <f t="shared" si="87"/>
        <v>Lighting BUS 15 Year EUL</v>
      </c>
      <c r="DD94" s="2297">
        <f>(INDEX('Avoided Cost Benefits'!$C$4:$C$857,MATCH(DC94,'Avoided Cost Benefits'!$A$4:$A$857,0)))*F94</f>
        <v>47.450478284678404</v>
      </c>
      <c r="DE94" s="2297">
        <f t="shared" si="88"/>
        <v>52.628598395469552</v>
      </c>
    </row>
    <row r="95" spans="2:109" s="77" customFormat="1" x14ac:dyDescent="0.25">
      <c r="C95" s="3315" t="s">
        <v>3815</v>
      </c>
      <c r="D95" s="1481" t="s">
        <v>34</v>
      </c>
      <c r="E95" s="1501" t="s">
        <v>3807</v>
      </c>
      <c r="F95" s="2306">
        <f t="shared" si="89"/>
        <v>81.895795033523839</v>
      </c>
      <c r="G95" s="1482" t="s">
        <v>36</v>
      </c>
      <c r="H95" s="1483">
        <f>VLOOKUP(G95,'CP FACTORS'!$A$26:$B$38,2,FALSE)</f>
        <v>1.899635E-4</v>
      </c>
      <c r="I95" s="1502">
        <f t="shared" si="90"/>
        <v>1.5557E-2</v>
      </c>
      <c r="J95" s="87">
        <f>K62</f>
        <v>15</v>
      </c>
      <c r="K95" s="1503">
        <v>55.76</v>
      </c>
      <c r="L95" s="1484" t="s">
        <v>37</v>
      </c>
      <c r="M95" s="463"/>
      <c r="N95" s="463"/>
      <c r="O95" s="463"/>
      <c r="P95" s="463"/>
      <c r="Q95" s="463"/>
      <c r="R95" s="463"/>
      <c r="S95" s="463"/>
      <c r="T95" s="463"/>
      <c r="U95" s="463"/>
      <c r="V95" s="2924" t="s">
        <v>20</v>
      </c>
      <c r="W95" s="2286"/>
      <c r="X95" s="2286"/>
      <c r="Y95" s="2286"/>
      <c r="Z95" s="2286"/>
      <c r="AA95" s="182"/>
      <c r="AB95" s="2372">
        <v>81.895795033523839</v>
      </c>
      <c r="AC95" s="2286"/>
      <c r="AD95" s="2286"/>
      <c r="AE95" s="2286"/>
      <c r="AF95" s="2286"/>
      <c r="AG95" s="2286"/>
      <c r="AH95" s="2278"/>
      <c r="AI95" s="2924" t="s">
        <v>24</v>
      </c>
      <c r="AJ95" s="2290"/>
      <c r="AK95" s="2290"/>
      <c r="AL95" s="2290"/>
      <c r="AM95" s="2286"/>
      <c r="AN95" s="2269"/>
      <c r="AO95" s="2926">
        <f t="shared" si="91"/>
        <v>15</v>
      </c>
      <c r="AP95" s="2286"/>
      <c r="AQ95" s="2286"/>
      <c r="AR95" s="2286"/>
      <c r="AS95" s="2286"/>
      <c r="AT95" s="2280"/>
      <c r="AU95" s="2924" t="s">
        <v>25</v>
      </c>
      <c r="AV95" s="2291"/>
      <c r="AW95" s="2291"/>
      <c r="AX95" s="2291"/>
      <c r="AY95" s="2275"/>
      <c r="AZ95" s="2275"/>
      <c r="BA95" s="2878">
        <v>55.76</v>
      </c>
      <c r="BB95" s="2286"/>
      <c r="BC95" s="2286"/>
      <c r="BD95" s="2286"/>
      <c r="BE95" s="2286"/>
      <c r="DB95" s="74">
        <f t="shared" si="86"/>
        <v>0.90161014602971268</v>
      </c>
      <c r="DC95" s="2295" t="str">
        <f t="shared" si="87"/>
        <v>Lighting BUS 15 Year EUL</v>
      </c>
      <c r="DD95" s="2297">
        <f>(INDEX('Avoided Cost Benefits'!$C$4:$C$857,MATCH(DC95,'Avoided Cost Benefits'!$A$4:$A$857,0)))*F95</f>
        <v>47.450478284678404</v>
      </c>
      <c r="DE95" s="2297">
        <f t="shared" si="88"/>
        <v>52.628598395469552</v>
      </c>
    </row>
    <row r="96" spans="2:109" s="77" customFormat="1" x14ac:dyDescent="0.25">
      <c r="C96" s="3315" t="s">
        <v>3816</v>
      </c>
      <c r="D96" s="1481" t="s">
        <v>34</v>
      </c>
      <c r="E96" s="1501" t="s">
        <v>3808</v>
      </c>
      <c r="F96" s="2306">
        <f t="shared" si="89"/>
        <v>1111.1809178299475</v>
      </c>
      <c r="G96" s="1482" t="s">
        <v>36</v>
      </c>
      <c r="H96" s="1483">
        <f>VLOOKUP(G96,'CP FACTORS'!$A$26:$B$38,2,FALSE)</f>
        <v>1.899635E-4</v>
      </c>
      <c r="I96" s="1502">
        <f t="shared" si="90"/>
        <v>0.21108399999999999</v>
      </c>
      <c r="J96" s="87">
        <f>K63</f>
        <v>11</v>
      </c>
      <c r="K96" s="1503">
        <v>366.72</v>
      </c>
      <c r="L96" s="1484" t="s">
        <v>37</v>
      </c>
      <c r="M96" s="463"/>
      <c r="N96" s="463"/>
      <c r="O96" s="463"/>
      <c r="P96" s="463"/>
      <c r="Q96" s="463"/>
      <c r="R96" s="463"/>
      <c r="S96" s="463"/>
      <c r="T96" s="463"/>
      <c r="U96" s="463"/>
      <c r="V96" s="2924" t="s">
        <v>20</v>
      </c>
      <c r="W96" s="2286"/>
      <c r="X96" s="2286"/>
      <c r="Y96" s="2286"/>
      <c r="Z96" s="2286"/>
      <c r="AA96" s="182"/>
      <c r="AB96" s="2372">
        <v>1111.1809178299475</v>
      </c>
      <c r="AC96" s="2286"/>
      <c r="AD96" s="2286"/>
      <c r="AE96" s="2286"/>
      <c r="AF96" s="2286"/>
      <c r="AG96" s="2286"/>
      <c r="AH96" s="2278"/>
      <c r="AI96" s="2924" t="s">
        <v>24</v>
      </c>
      <c r="AJ96" s="2290"/>
      <c r="AK96" s="2290"/>
      <c r="AL96" s="2290"/>
      <c r="AM96" s="2286"/>
      <c r="AN96" s="2269"/>
      <c r="AO96" s="2926">
        <f t="shared" si="91"/>
        <v>11</v>
      </c>
      <c r="AP96" s="2286"/>
      <c r="AQ96" s="2286"/>
      <c r="AR96" s="2286"/>
      <c r="AS96" s="2286"/>
      <c r="AT96" s="2280"/>
      <c r="AU96" s="2924" t="s">
        <v>25</v>
      </c>
      <c r="AV96" s="2291"/>
      <c r="AW96" s="2291"/>
      <c r="AX96" s="2291"/>
      <c r="AY96" s="2275"/>
      <c r="AZ96" s="2275"/>
      <c r="BA96" s="2878">
        <v>366.72</v>
      </c>
      <c r="BB96" s="2286"/>
      <c r="BC96" s="2286"/>
      <c r="BD96" s="2286"/>
      <c r="BE96" s="2286"/>
      <c r="DB96" s="74">
        <f t="shared" si="86"/>
        <v>1.3920699496587186</v>
      </c>
      <c r="DC96" s="2295" t="str">
        <f t="shared" si="87"/>
        <v>Lighting BUS 11 Year EUL</v>
      </c>
      <c r="DD96" s="2297">
        <f>(INDEX('Avoided Cost Benefits'!$C$4:$C$857,MATCH(DC96,'Avoided Cost Benefits'!$A$4:$A$857,0)))*F96</f>
        <v>481.83095039060424</v>
      </c>
      <c r="DE96" s="2297">
        <f t="shared" si="88"/>
        <v>346.12553091080696</v>
      </c>
    </row>
    <row r="97" spans="3:109" s="77" customFormat="1" x14ac:dyDescent="0.25">
      <c r="C97" s="3315" t="s">
        <v>3817</v>
      </c>
      <c r="D97" s="1481" t="s">
        <v>34</v>
      </c>
      <c r="E97" s="1501" t="s">
        <v>3809</v>
      </c>
      <c r="F97" s="2306">
        <f t="shared" si="89"/>
        <v>1111.1809178299475</v>
      </c>
      <c r="G97" s="1482" t="s">
        <v>36</v>
      </c>
      <c r="H97" s="1483">
        <f>VLOOKUP(G97,'CP FACTORS'!$A$26:$B$38,2,FALSE)</f>
        <v>1.899635E-4</v>
      </c>
      <c r="I97" s="1502">
        <f t="shared" si="90"/>
        <v>0.21108399999999999</v>
      </c>
      <c r="J97" s="87">
        <f>K63</f>
        <v>11</v>
      </c>
      <c r="K97" s="1503">
        <v>366.72</v>
      </c>
      <c r="L97" s="1484" t="s">
        <v>37</v>
      </c>
      <c r="M97" s="463"/>
      <c r="N97" s="463"/>
      <c r="O97" s="463"/>
      <c r="P97" s="463"/>
      <c r="Q97" s="463"/>
      <c r="R97" s="463"/>
      <c r="S97" s="463"/>
      <c r="T97" s="463"/>
      <c r="U97" s="463"/>
      <c r="V97" s="2924" t="s">
        <v>20</v>
      </c>
      <c r="W97" s="2286"/>
      <c r="X97" s="2286"/>
      <c r="Y97" s="2286"/>
      <c r="Z97" s="2286"/>
      <c r="AA97" s="182"/>
      <c r="AB97" s="2372">
        <v>1111.1809178299475</v>
      </c>
      <c r="AC97" s="2286"/>
      <c r="AD97" s="2286"/>
      <c r="AE97" s="2286"/>
      <c r="AF97" s="2286"/>
      <c r="AG97" s="2286"/>
      <c r="AH97" s="2278"/>
      <c r="AI97" s="2924" t="s">
        <v>24</v>
      </c>
      <c r="AJ97" s="2290"/>
      <c r="AK97" s="2290"/>
      <c r="AL97" s="2290"/>
      <c r="AM97" s="2286"/>
      <c r="AN97" s="2269"/>
      <c r="AO97" s="2926">
        <f t="shared" si="91"/>
        <v>11</v>
      </c>
      <c r="AP97" s="2286"/>
      <c r="AQ97" s="2286"/>
      <c r="AR97" s="2286"/>
      <c r="AS97" s="2286"/>
      <c r="AT97" s="2280"/>
      <c r="AU97" s="2924" t="s">
        <v>25</v>
      </c>
      <c r="AV97" s="2291"/>
      <c r="AW97" s="2291"/>
      <c r="AX97" s="2291"/>
      <c r="AY97" s="2275"/>
      <c r="AZ97" s="2275"/>
      <c r="BA97" s="2878">
        <v>366.72</v>
      </c>
      <c r="BB97" s="2286"/>
      <c r="BC97" s="2286"/>
      <c r="BD97" s="2286"/>
      <c r="BE97" s="2286"/>
      <c r="DB97" s="74">
        <f t="shared" si="86"/>
        <v>1.3920699496587186</v>
      </c>
      <c r="DC97" s="2295" t="str">
        <f t="shared" si="87"/>
        <v>Lighting BUS 11 Year EUL</v>
      </c>
      <c r="DD97" s="2297">
        <f>(INDEX('Avoided Cost Benefits'!$C$4:$C$857,MATCH(DC97,'Avoided Cost Benefits'!$A$4:$A$857,0)))*F97</f>
        <v>481.83095039060424</v>
      </c>
      <c r="DE97" s="2297">
        <f t="shared" si="88"/>
        <v>346.12553091080696</v>
      </c>
    </row>
    <row r="98" spans="3:109" s="77" customFormat="1" outlineLevel="1" x14ac:dyDescent="0.25">
      <c r="C98" s="2289"/>
      <c r="D98" s="2277"/>
      <c r="E98" s="2277"/>
      <c r="F98" s="2277"/>
      <c r="G98" s="1507"/>
      <c r="H98" s="1508"/>
      <c r="I98" s="1507"/>
      <c r="J98" s="1507"/>
      <c r="K98" s="463"/>
      <c r="L98" s="198"/>
      <c r="M98" s="463"/>
      <c r="N98" s="463"/>
      <c r="O98" s="463"/>
      <c r="P98" s="463"/>
      <c r="Q98" s="463"/>
      <c r="R98" s="463"/>
      <c r="S98" s="463"/>
      <c r="T98" s="463"/>
      <c r="U98" s="463"/>
    </row>
    <row r="99" spans="3:109" s="77" customFormat="1" outlineLevel="1" x14ac:dyDescent="0.25">
      <c r="C99" s="2289"/>
      <c r="L99" s="198"/>
      <c r="M99" s="463"/>
      <c r="N99" s="463"/>
      <c r="O99" s="463"/>
      <c r="P99" s="463"/>
      <c r="Q99" s="463"/>
      <c r="R99" s="463"/>
      <c r="S99" s="463"/>
      <c r="T99" s="463"/>
      <c r="U99" s="463"/>
      <c r="DB99" s="97"/>
    </row>
    <row r="100" spans="3:109" s="77" customFormat="1" outlineLevel="1" x14ac:dyDescent="0.25">
      <c r="C100" s="2289"/>
      <c r="N100" s="463"/>
      <c r="O100" s="463"/>
      <c r="P100" s="463"/>
      <c r="Q100" s="463"/>
      <c r="R100" s="463"/>
      <c r="S100" s="463"/>
      <c r="T100" s="463"/>
      <c r="U100" s="463"/>
      <c r="DB100" s="97"/>
    </row>
    <row r="101" spans="3:109" s="77" customFormat="1" outlineLevel="1" x14ac:dyDescent="0.25">
      <c r="C101" s="2289"/>
      <c r="N101" s="463"/>
      <c r="O101" s="463"/>
      <c r="P101" s="463"/>
      <c r="Q101" s="463"/>
      <c r="R101" s="463"/>
      <c r="S101" s="463"/>
      <c r="T101" s="463"/>
      <c r="U101" s="463"/>
      <c r="DB101" s="97"/>
    </row>
    <row r="102" spans="3:109" s="77" customFormat="1" outlineLevel="1" x14ac:dyDescent="0.25">
      <c r="C102" s="2289"/>
      <c r="D102" s="2277"/>
      <c r="E102" s="2277"/>
      <c r="F102" s="2277"/>
      <c r="G102" s="1507"/>
      <c r="H102" s="1508"/>
      <c r="I102" s="1507"/>
      <c r="J102" s="1507"/>
      <c r="N102" s="463"/>
      <c r="O102" s="463"/>
      <c r="P102" s="463"/>
      <c r="Q102" s="463"/>
      <c r="R102" s="463"/>
      <c r="S102" s="463"/>
      <c r="T102" s="463"/>
      <c r="U102" s="463"/>
      <c r="DB102" s="97"/>
    </row>
    <row r="103" spans="3:109" s="77" customFormat="1" outlineLevel="1" x14ac:dyDescent="0.25">
      <c r="C103" s="2289"/>
      <c r="D103" s="2277"/>
      <c r="E103" s="2277"/>
      <c r="F103" s="2277"/>
      <c r="G103" s="1507"/>
      <c r="H103" s="1508"/>
      <c r="I103" s="1507"/>
      <c r="J103" s="1507"/>
      <c r="K103" s="463"/>
      <c r="L103" s="198"/>
      <c r="M103" s="463"/>
      <c r="N103" s="463"/>
      <c r="O103" s="463"/>
      <c r="P103" s="463"/>
      <c r="Q103" s="463"/>
      <c r="R103" s="463"/>
      <c r="S103" s="463"/>
      <c r="T103" s="463"/>
      <c r="U103" s="463"/>
      <c r="DB103" s="97"/>
    </row>
    <row r="104" spans="3:109" s="77" customFormat="1" outlineLevel="1" x14ac:dyDescent="0.25">
      <c r="C104" s="2289"/>
      <c r="D104" s="2277"/>
      <c r="E104" s="2277"/>
      <c r="F104" s="2277"/>
      <c r="G104" s="1507"/>
      <c r="H104" s="1508"/>
      <c r="I104" s="1507"/>
      <c r="J104" s="1507"/>
      <c r="K104" s="463"/>
      <c r="L104" s="198"/>
      <c r="M104" s="463"/>
      <c r="N104" s="463"/>
      <c r="O104" s="463"/>
      <c r="P104" s="463"/>
      <c r="Q104" s="463"/>
      <c r="R104" s="463"/>
      <c r="S104" s="463"/>
      <c r="T104" s="463"/>
      <c r="U104" s="463"/>
      <c r="DB104" s="97"/>
    </row>
    <row r="105" spans="3:109" s="77" customFormat="1" outlineLevel="1" x14ac:dyDescent="0.25">
      <c r="C105" s="198"/>
      <c r="L105" s="2277"/>
      <c r="O105" s="463"/>
      <c r="P105" s="463"/>
      <c r="Q105" s="463"/>
      <c r="R105" s="463"/>
      <c r="S105" s="463"/>
      <c r="T105" s="463"/>
      <c r="U105" s="463"/>
      <c r="DB105" s="97"/>
    </row>
    <row r="106" spans="3:109" s="77" customFormat="1" outlineLevel="1" x14ac:dyDescent="0.25">
      <c r="C106" s="198"/>
      <c r="L106" s="2277"/>
      <c r="O106" s="463"/>
      <c r="P106" s="463"/>
      <c r="Q106" s="463"/>
      <c r="R106" s="463"/>
      <c r="S106" s="463"/>
      <c r="T106" s="463"/>
      <c r="U106" s="463"/>
      <c r="DB106" s="97"/>
    </row>
    <row r="107" spans="3:109" s="77" customFormat="1" outlineLevel="1" x14ac:dyDescent="0.25">
      <c r="C107" s="198"/>
      <c r="D107" s="52" t="s">
        <v>17</v>
      </c>
      <c r="E107" s="3094" t="s">
        <v>71</v>
      </c>
      <c r="F107" s="3094" t="s">
        <v>72</v>
      </c>
      <c r="G107" s="3094" t="s">
        <v>73</v>
      </c>
      <c r="H107" s="53" t="s">
        <v>74</v>
      </c>
      <c r="I107" s="3094" t="s">
        <v>78</v>
      </c>
      <c r="J107" s="2497" t="s">
        <v>3767</v>
      </c>
      <c r="K107" s="3094" t="s">
        <v>75</v>
      </c>
      <c r="L107" s="2277"/>
      <c r="O107" s="463"/>
      <c r="P107" s="463"/>
      <c r="Q107" s="463"/>
      <c r="R107" s="463"/>
      <c r="S107" s="463"/>
      <c r="T107" s="463"/>
      <c r="U107" s="463"/>
      <c r="V107" s="2283" t="s">
        <v>27</v>
      </c>
      <c r="W107" s="2284">
        <f>$W$8</f>
        <v>43252</v>
      </c>
      <c r="X107" s="2284">
        <f>$X$8</f>
        <v>43465</v>
      </c>
      <c r="Y107" s="2284">
        <f>$Y$8</f>
        <v>43800</v>
      </c>
      <c r="Z107" s="2284">
        <f>$Z$8</f>
        <v>43862</v>
      </c>
      <c r="AA107" s="2284">
        <f>$AA$8</f>
        <v>44013</v>
      </c>
      <c r="AB107" s="2284">
        <v>44166</v>
      </c>
      <c r="AC107" s="2284" t="str">
        <f>$AC$8</f>
        <v>-</v>
      </c>
      <c r="AD107" s="2284" t="str">
        <f>$AD$8</f>
        <v>-</v>
      </c>
      <c r="AE107" s="2284" t="str">
        <f>$AE$8</f>
        <v>-</v>
      </c>
      <c r="AF107" s="2284" t="str">
        <f>$AF$8</f>
        <v>-</v>
      </c>
      <c r="AG107" s="2284" t="str">
        <f>$AG$8</f>
        <v>-</v>
      </c>
      <c r="AH107" s="2278"/>
      <c r="AI107" s="2283" t="s">
        <v>27</v>
      </c>
      <c r="AJ107" s="2284">
        <f>W107</f>
        <v>43252</v>
      </c>
      <c r="AK107" s="2284">
        <f t="shared" ref="AK107" si="92">X107</f>
        <v>43465</v>
      </c>
      <c r="AL107" s="2284">
        <f t="shared" ref="AL107" si="93">Y107</f>
        <v>43800</v>
      </c>
      <c r="AM107" s="2284">
        <f t="shared" ref="AM107" si="94">Z107</f>
        <v>43862</v>
      </c>
      <c r="AN107" s="2284">
        <f t="shared" ref="AN107" si="95">AA107</f>
        <v>44013</v>
      </c>
      <c r="AO107" s="2284">
        <f t="shared" ref="AO107" si="96">AB107</f>
        <v>44166</v>
      </c>
      <c r="AP107" s="2284" t="str">
        <f t="shared" ref="AP107" si="97">AC107</f>
        <v>-</v>
      </c>
      <c r="AQ107" s="2284" t="str">
        <f t="shared" ref="AQ107" si="98">AD107</f>
        <v>-</v>
      </c>
      <c r="AR107" s="2284" t="str">
        <f t="shared" ref="AR107" si="99">AE107</f>
        <v>-</v>
      </c>
      <c r="AS107" s="2284" t="str">
        <f t="shared" ref="AS107" si="100">AF107</f>
        <v>-</v>
      </c>
      <c r="AT107" s="2280"/>
      <c r="AU107" s="2283" t="s">
        <v>27</v>
      </c>
      <c r="AV107" s="2284">
        <f>W107</f>
        <v>43252</v>
      </c>
      <c r="AW107" s="2284">
        <f t="shared" ref="AW107" si="101">X107</f>
        <v>43465</v>
      </c>
      <c r="AX107" s="2284">
        <f t="shared" ref="AX107" si="102">Y107</f>
        <v>43800</v>
      </c>
      <c r="AY107" s="2284">
        <f t="shared" ref="AY107" si="103">Z107</f>
        <v>43862</v>
      </c>
      <c r="AZ107" s="2284">
        <f t="shared" ref="AZ107" si="104">AA107</f>
        <v>44013</v>
      </c>
      <c r="BA107" s="2284">
        <v>44166</v>
      </c>
      <c r="BB107" s="2284" t="str">
        <f t="shared" ref="BB107" si="105">AC107</f>
        <v>-</v>
      </c>
      <c r="BC107" s="2284" t="str">
        <f t="shared" ref="BC107" si="106">AD107</f>
        <v>-</v>
      </c>
      <c r="BD107" s="2284" t="str">
        <f t="shared" ref="BD107" si="107">AE107</f>
        <v>-</v>
      </c>
      <c r="BE107" s="2284" t="str">
        <f t="shared" ref="BE107" si="108">AF107</f>
        <v>-</v>
      </c>
      <c r="BF107" s="2278"/>
      <c r="BG107" s="2278"/>
      <c r="BH107" s="2284">
        <f>$W$8</f>
        <v>43252</v>
      </c>
      <c r="BI107" s="2284">
        <f>$X$8</f>
        <v>43465</v>
      </c>
      <c r="BJ107" s="2284">
        <f>$Y$8</f>
        <v>43800</v>
      </c>
      <c r="BK107" s="2284">
        <f>$Z$8</f>
        <v>43862</v>
      </c>
      <c r="BL107" s="2284">
        <f>$AA$8</f>
        <v>44013</v>
      </c>
      <c r="BM107" s="2284">
        <v>44166</v>
      </c>
      <c r="BN107" s="2284" t="str">
        <f>$AC$8</f>
        <v>-</v>
      </c>
      <c r="BO107" s="2284" t="str">
        <f>$AD$8</f>
        <v>-</v>
      </c>
      <c r="BP107" s="2284" t="str">
        <f>$AE$8</f>
        <v>-</v>
      </c>
      <c r="BQ107" s="2284" t="str">
        <f>$AF$8</f>
        <v>-</v>
      </c>
      <c r="BR107" s="2284" t="str">
        <f>$AG$8</f>
        <v>-</v>
      </c>
      <c r="DB107" s="97"/>
    </row>
    <row r="108" spans="3:109" s="77" customFormat="1" ht="30" outlineLevel="1" x14ac:dyDescent="0.25">
      <c r="C108" s="2289"/>
      <c r="D108" s="2314" t="str">
        <f>C90</f>
        <v>801225_2020_12_</v>
      </c>
      <c r="E108" s="1501" t="s">
        <v>3802</v>
      </c>
      <c r="F108" s="81">
        <v>60</v>
      </c>
      <c r="G108" s="81">
        <v>28</v>
      </c>
      <c r="H108" s="3312">
        <f>H58</f>
        <v>4551.3067953357458</v>
      </c>
      <c r="I108" s="1505">
        <v>0.24</v>
      </c>
      <c r="J108" s="81">
        <v>1.071</v>
      </c>
      <c r="K108" s="81">
        <v>1</v>
      </c>
      <c r="L108" s="198"/>
      <c r="M108" s="463"/>
      <c r="N108" s="463"/>
      <c r="O108" s="463"/>
      <c r="P108" s="463"/>
      <c r="Q108" s="463"/>
      <c r="R108" s="463"/>
      <c r="S108" s="463"/>
      <c r="T108" s="463"/>
      <c r="U108" s="463"/>
      <c r="V108" s="78"/>
      <c r="W108" s="79" t="str">
        <f>$F$81</f>
        <v>kWControlled</v>
      </c>
      <c r="X108" s="79" t="str">
        <f t="shared" ref="X108:AG108" si="109">$F$81</f>
        <v>kWControlled</v>
      </c>
      <c r="Y108" s="79" t="str">
        <f t="shared" si="109"/>
        <v>kWControlled</v>
      </c>
      <c r="Z108" s="79" t="str">
        <f t="shared" si="109"/>
        <v>kWControlled</v>
      </c>
      <c r="AA108" s="79" t="str">
        <f t="shared" si="109"/>
        <v>kWControlled</v>
      </c>
      <c r="AB108" s="79" t="s">
        <v>76</v>
      </c>
      <c r="AC108" s="79" t="str">
        <f t="shared" si="109"/>
        <v>kWControlled</v>
      </c>
      <c r="AD108" s="79" t="str">
        <f t="shared" si="109"/>
        <v>kWControlled</v>
      </c>
      <c r="AE108" s="79" t="str">
        <f t="shared" si="109"/>
        <v>kWControlled</v>
      </c>
      <c r="AF108" s="79" t="str">
        <f t="shared" si="109"/>
        <v>kWControlled</v>
      </c>
      <c r="AG108" s="79" t="str">
        <f t="shared" si="109"/>
        <v>kWControlled</v>
      </c>
      <c r="AI108" s="79" t="str">
        <f>$G$81</f>
        <v>Hours</v>
      </c>
      <c r="AJ108" s="79" t="str">
        <f t="shared" ref="AJ108:AS108" si="110">$G$81</f>
        <v>Hours</v>
      </c>
      <c r="AK108" s="79" t="str">
        <f t="shared" si="110"/>
        <v>Hours</v>
      </c>
      <c r="AL108" s="79" t="str">
        <f t="shared" si="110"/>
        <v>Hours</v>
      </c>
      <c r="AM108" s="79" t="str">
        <f t="shared" si="110"/>
        <v>Hours</v>
      </c>
      <c r="AN108" s="79" t="str">
        <f t="shared" si="110"/>
        <v>Hours</v>
      </c>
      <c r="AO108" s="79" t="str">
        <f t="shared" si="110"/>
        <v>Hours</v>
      </c>
      <c r="AP108" s="79" t="str">
        <f t="shared" si="110"/>
        <v>Hours</v>
      </c>
      <c r="AQ108" s="79" t="str">
        <f t="shared" si="110"/>
        <v>Hours</v>
      </c>
      <c r="AR108" s="79" t="str">
        <f t="shared" si="110"/>
        <v>Hours</v>
      </c>
      <c r="AS108" s="79" t="str">
        <f t="shared" si="110"/>
        <v>Hours</v>
      </c>
      <c r="AU108" s="80" t="str">
        <f>$H$81</f>
        <v>ESF</v>
      </c>
      <c r="AV108" s="80" t="str">
        <f t="shared" ref="AV108:BE108" si="111">$H$81</f>
        <v>ESF</v>
      </c>
      <c r="AW108" s="80" t="str">
        <f t="shared" si="111"/>
        <v>ESF</v>
      </c>
      <c r="AX108" s="80" t="str">
        <f t="shared" si="111"/>
        <v>ESF</v>
      </c>
      <c r="AY108" s="80" t="str">
        <f t="shared" si="111"/>
        <v>ESF</v>
      </c>
      <c r="AZ108" s="80" t="str">
        <f t="shared" si="111"/>
        <v>ESF</v>
      </c>
      <c r="BA108" s="80" t="s">
        <v>78</v>
      </c>
      <c r="BB108" s="80" t="str">
        <f t="shared" si="111"/>
        <v>ESF</v>
      </c>
      <c r="BC108" s="80" t="str">
        <f t="shared" si="111"/>
        <v>ESF</v>
      </c>
      <c r="BD108" s="80" t="str">
        <f t="shared" si="111"/>
        <v>ESF</v>
      </c>
      <c r="BE108" s="80" t="str">
        <f t="shared" si="111"/>
        <v>ESF</v>
      </c>
      <c r="BH108" s="80" t="str">
        <f>$I$81</f>
        <v>WHFe + -IFkWh</v>
      </c>
      <c r="BI108" s="80" t="str">
        <f t="shared" ref="BI108:BR108" si="112">$I$81</f>
        <v>WHFe + -IFkWh</v>
      </c>
      <c r="BJ108" s="80" t="str">
        <f t="shared" si="112"/>
        <v>WHFe + -IFkWh</v>
      </c>
      <c r="BK108" s="80" t="str">
        <f t="shared" si="112"/>
        <v>WHFe + -IFkWh</v>
      </c>
      <c r="BL108" s="80" t="str">
        <f t="shared" si="112"/>
        <v>WHFe + -IFkWh</v>
      </c>
      <c r="BM108" s="80" t="s">
        <v>3767</v>
      </c>
      <c r="BN108" s="80" t="str">
        <f t="shared" si="112"/>
        <v>WHFe + -IFkWh</v>
      </c>
      <c r="BO108" s="80" t="str">
        <f t="shared" si="112"/>
        <v>WHFe + -IFkWh</v>
      </c>
      <c r="BP108" s="80" t="str">
        <f t="shared" si="112"/>
        <v>WHFe + -IFkWh</v>
      </c>
      <c r="BQ108" s="80" t="str">
        <f t="shared" si="112"/>
        <v>WHFe + -IFkWh</v>
      </c>
      <c r="BR108" s="80" t="str">
        <f t="shared" si="112"/>
        <v>WHFe + -IFkWh</v>
      </c>
      <c r="DB108" s="97"/>
    </row>
    <row r="109" spans="3:109" s="77" customFormat="1" outlineLevel="1" x14ac:dyDescent="0.25">
      <c r="C109" s="2289"/>
      <c r="D109" s="2314" t="str">
        <f t="shared" ref="D109:D115" si="113">C91</f>
        <v>801227_2020_12_</v>
      </c>
      <c r="E109" s="1501" t="s">
        <v>3803</v>
      </c>
      <c r="F109" s="81">
        <v>60</v>
      </c>
      <c r="G109" s="81">
        <v>28</v>
      </c>
      <c r="H109" s="3312">
        <f>H58</f>
        <v>4551.3067953357458</v>
      </c>
      <c r="I109" s="1505">
        <v>0.24</v>
      </c>
      <c r="J109" s="81">
        <v>1.071</v>
      </c>
      <c r="K109" s="81">
        <v>1</v>
      </c>
      <c r="L109" s="198"/>
      <c r="M109" s="463"/>
      <c r="N109" s="463"/>
      <c r="O109" s="463"/>
      <c r="P109" s="463"/>
      <c r="Q109" s="463"/>
      <c r="R109" s="463"/>
      <c r="S109" s="463"/>
      <c r="T109" s="463"/>
      <c r="U109" s="463"/>
      <c r="V109" s="82" t="str">
        <f t="shared" ref="V109:V110" si="114">E109</f>
        <v>LED Fixture with Network Controls Replacing Interior T5 Fluorescent</v>
      </c>
      <c r="W109" s="2286"/>
      <c r="X109" s="2286"/>
      <c r="Y109" s="2286"/>
      <c r="Z109" s="2288"/>
      <c r="AA109" s="2872">
        <v>0.13</v>
      </c>
      <c r="AB109" s="2871">
        <v>60</v>
      </c>
      <c r="AC109" s="2288"/>
      <c r="AD109" s="2288"/>
      <c r="AE109" s="2288"/>
      <c r="AF109" s="2288"/>
      <c r="AG109" s="2288"/>
      <c r="AH109" s="2278"/>
      <c r="AI109" s="2286"/>
      <c r="AJ109" s="2286"/>
      <c r="AK109" s="2286"/>
      <c r="AL109" s="2288"/>
      <c r="AM109" s="2288"/>
      <c r="AN109" s="1045">
        <v>3351</v>
      </c>
      <c r="AO109" s="2874">
        <f>G109</f>
        <v>28</v>
      </c>
      <c r="AP109" s="2288"/>
      <c r="AQ109" s="2288"/>
      <c r="AR109" s="2288"/>
      <c r="AS109" s="2288"/>
      <c r="AT109" s="2278"/>
      <c r="AU109" s="2286"/>
      <c r="AV109" s="2286"/>
      <c r="AW109" s="2286"/>
      <c r="AX109" s="2288"/>
      <c r="AY109" s="2288"/>
      <c r="AZ109" s="2305">
        <v>0.24</v>
      </c>
      <c r="BA109" s="2876">
        <v>4551.3067953357458</v>
      </c>
      <c r="BB109" s="2288"/>
      <c r="BC109" s="2288"/>
      <c r="BD109" s="2288"/>
      <c r="BE109" s="2288"/>
      <c r="BF109" s="2278"/>
      <c r="BG109" s="2278"/>
      <c r="BH109" s="2286"/>
      <c r="BI109" s="2286"/>
      <c r="BJ109" s="2286"/>
      <c r="BK109" s="2288"/>
      <c r="BL109" s="2305">
        <v>1.07</v>
      </c>
      <c r="BM109" s="2116">
        <v>0.24</v>
      </c>
      <c r="BN109" s="2288"/>
      <c r="BO109" s="2288"/>
      <c r="BP109" s="2288"/>
      <c r="BQ109" s="2288"/>
      <c r="BR109" s="2288"/>
      <c r="DB109" s="97"/>
    </row>
    <row r="110" spans="3:109" s="77" customFormat="1" outlineLevel="1" x14ac:dyDescent="0.25">
      <c r="C110" s="2289"/>
      <c r="D110" s="2314" t="str">
        <f t="shared" si="113"/>
        <v>801229_2020_12_</v>
      </c>
      <c r="E110" s="1501" t="s">
        <v>3804</v>
      </c>
      <c r="F110" s="81">
        <v>28.3</v>
      </c>
      <c r="G110" s="81">
        <v>13.7</v>
      </c>
      <c r="H110" s="3312">
        <f>H60</f>
        <v>4315.6299709124478</v>
      </c>
      <c r="I110" s="1505">
        <v>0.24</v>
      </c>
      <c r="J110" s="81">
        <v>1.071</v>
      </c>
      <c r="K110" s="81">
        <v>1</v>
      </c>
      <c r="L110" s="2277"/>
      <c r="M110" s="463"/>
      <c r="N110" s="463"/>
      <c r="O110" s="463"/>
      <c r="P110" s="463"/>
      <c r="Q110" s="463"/>
      <c r="R110" s="463"/>
      <c r="S110" s="463"/>
      <c r="T110" s="463"/>
      <c r="U110" s="463"/>
      <c r="V110" s="82" t="str">
        <f t="shared" si="114"/>
        <v>LED Retrofit Kit with Network Controls Replacing Interior T8 Fluorescent</v>
      </c>
      <c r="W110" s="2286"/>
      <c r="X110" s="2286"/>
      <c r="Y110" s="2286"/>
      <c r="Z110" s="2288"/>
      <c r="AA110" s="2872">
        <v>0.33800000000000002</v>
      </c>
      <c r="AB110" s="2871">
        <v>28.3</v>
      </c>
      <c r="AC110" s="2288"/>
      <c r="AD110" s="2288"/>
      <c r="AE110" s="2288"/>
      <c r="AF110" s="2288"/>
      <c r="AG110" s="2288"/>
      <c r="AH110" s="2278"/>
      <c r="AI110" s="2286"/>
      <c r="AJ110" s="2286"/>
      <c r="AK110" s="2286"/>
      <c r="AL110" s="2288"/>
      <c r="AM110" s="2288"/>
      <c r="AN110" s="1045">
        <v>3351</v>
      </c>
      <c r="AO110" s="2874">
        <f>G110</f>
        <v>13.7</v>
      </c>
      <c r="AP110" s="2288"/>
      <c r="AQ110" s="2288"/>
      <c r="AR110" s="2288"/>
      <c r="AS110" s="2288"/>
      <c r="AT110" s="2278"/>
      <c r="AU110" s="2286"/>
      <c r="AV110" s="2286"/>
      <c r="AW110" s="2286"/>
      <c r="AX110" s="2288"/>
      <c r="AY110" s="2288"/>
      <c r="AZ110" s="2305">
        <v>0.24</v>
      </c>
      <c r="BA110" s="2876">
        <v>4232.7285363633855</v>
      </c>
      <c r="BB110" s="2288"/>
      <c r="BC110" s="2288"/>
      <c r="BD110" s="2288"/>
      <c r="BE110" s="2288"/>
      <c r="BF110" s="2278"/>
      <c r="BG110" s="2278"/>
      <c r="BH110" s="2286"/>
      <c r="BI110" s="2286"/>
      <c r="BJ110" s="2286"/>
      <c r="BK110" s="2288"/>
      <c r="BL110" s="2305">
        <v>1.07</v>
      </c>
      <c r="BM110" s="2116">
        <v>0.24</v>
      </c>
      <c r="BN110" s="2288"/>
      <c r="BO110" s="2288"/>
      <c r="BP110" s="2288"/>
      <c r="BQ110" s="2288"/>
      <c r="BR110" s="2288"/>
      <c r="DB110" s="97"/>
    </row>
    <row r="111" spans="3:109" s="77" customFormat="1" outlineLevel="1" x14ac:dyDescent="0.25">
      <c r="C111" s="2289"/>
      <c r="D111" s="2314" t="str">
        <f t="shared" si="113"/>
        <v>801231_2020_12_</v>
      </c>
      <c r="E111" s="1501" t="s">
        <v>3805</v>
      </c>
      <c r="F111" s="81">
        <v>28.3</v>
      </c>
      <c r="G111" s="81">
        <v>13.7</v>
      </c>
      <c r="H111" s="3312">
        <f>H60</f>
        <v>4315.6299709124478</v>
      </c>
      <c r="I111" s="1505">
        <v>0.24</v>
      </c>
      <c r="J111" s="81">
        <v>1.071</v>
      </c>
      <c r="K111" s="81">
        <v>1</v>
      </c>
      <c r="L111" s="2277"/>
      <c r="M111" s="463"/>
      <c r="N111" s="463"/>
      <c r="O111" s="463"/>
      <c r="P111" s="463"/>
      <c r="Q111" s="463"/>
      <c r="R111" s="463"/>
      <c r="S111" s="463"/>
      <c r="T111" s="463"/>
      <c r="U111" s="463"/>
      <c r="DB111" s="97"/>
    </row>
    <row r="112" spans="3:109" s="77" customFormat="1" outlineLevel="1" x14ac:dyDescent="0.25">
      <c r="C112" s="2289"/>
      <c r="D112" s="2314" t="str">
        <f t="shared" si="113"/>
        <v>801233_2020_12_</v>
      </c>
      <c r="E112" s="1501" t="s">
        <v>3806</v>
      </c>
      <c r="F112" s="81">
        <v>39.659999999999997</v>
      </c>
      <c r="G112" s="81">
        <v>16.02</v>
      </c>
      <c r="H112" s="3312">
        <f>H62</f>
        <v>2782.143658656204</v>
      </c>
      <c r="I112" s="1505">
        <v>0.24</v>
      </c>
      <c r="J112" s="81">
        <v>1.071</v>
      </c>
      <c r="K112" s="81">
        <v>1</v>
      </c>
      <c r="L112" s="2277"/>
      <c r="M112" s="463"/>
      <c r="N112" s="463"/>
      <c r="O112" s="463"/>
      <c r="P112" s="463"/>
      <c r="Q112" s="463"/>
      <c r="R112" s="463"/>
      <c r="S112" s="463"/>
      <c r="T112" s="463"/>
      <c r="U112" s="463"/>
      <c r="DB112" s="97"/>
    </row>
    <row r="113" spans="2:112" s="77" customFormat="1" outlineLevel="1" x14ac:dyDescent="0.25">
      <c r="C113" s="2289"/>
      <c r="D113" s="2314" t="str">
        <f t="shared" si="113"/>
        <v>801235_2020_12_</v>
      </c>
      <c r="E113" s="1501" t="s">
        <v>3807</v>
      </c>
      <c r="F113" s="81">
        <v>39.659999999999997</v>
      </c>
      <c r="G113" s="81">
        <v>16.02</v>
      </c>
      <c r="H113" s="3312">
        <f>H62</f>
        <v>2782.143658656204</v>
      </c>
      <c r="I113" s="1505">
        <v>0.24</v>
      </c>
      <c r="J113" s="81">
        <v>1.071</v>
      </c>
      <c r="K113" s="81">
        <v>1</v>
      </c>
      <c r="L113" s="2277"/>
      <c r="M113" s="463"/>
      <c r="N113" s="463"/>
      <c r="O113" s="463"/>
      <c r="P113" s="463"/>
      <c r="Q113" s="463"/>
      <c r="R113" s="463"/>
      <c r="S113" s="463"/>
      <c r="T113" s="463"/>
      <c r="U113" s="463"/>
      <c r="DB113" s="97"/>
    </row>
    <row r="114" spans="2:112" s="77" customFormat="1" outlineLevel="1" x14ac:dyDescent="0.25">
      <c r="C114" s="2289"/>
      <c r="D114" s="2314" t="str">
        <f t="shared" si="113"/>
        <v>801237_2020_12_</v>
      </c>
      <c r="E114" s="1501" t="s">
        <v>3808</v>
      </c>
      <c r="F114" s="81">
        <v>279.33</v>
      </c>
      <c r="G114" s="81">
        <v>92</v>
      </c>
      <c r="H114" s="3312">
        <f>H48</f>
        <v>4954.4778036070838</v>
      </c>
      <c r="I114" s="1505">
        <v>0.24</v>
      </c>
      <c r="J114" s="81">
        <v>1.071</v>
      </c>
      <c r="K114" s="81">
        <v>1</v>
      </c>
      <c r="L114" s="2277"/>
      <c r="M114" s="463"/>
      <c r="N114" s="463"/>
      <c r="O114" s="463"/>
      <c r="P114" s="463"/>
      <c r="Q114" s="463"/>
      <c r="R114" s="463"/>
      <c r="S114" s="463"/>
      <c r="T114" s="463"/>
      <c r="U114" s="463"/>
      <c r="DB114" s="97"/>
    </row>
    <row r="115" spans="2:112" s="77" customFormat="1" outlineLevel="1" x14ac:dyDescent="0.25">
      <c r="C115" s="2289"/>
      <c r="D115" s="2314" t="str">
        <f t="shared" si="113"/>
        <v>801239_2020_12_</v>
      </c>
      <c r="E115" s="1501" t="s">
        <v>3809</v>
      </c>
      <c r="F115" s="81">
        <v>279.33</v>
      </c>
      <c r="G115" s="81">
        <v>92</v>
      </c>
      <c r="H115" s="3312">
        <f>H48</f>
        <v>4954.4778036070838</v>
      </c>
      <c r="I115" s="1505">
        <v>0.24</v>
      </c>
      <c r="J115" s="81">
        <v>1.071</v>
      </c>
      <c r="K115" s="81">
        <v>1</v>
      </c>
      <c r="L115" s="2277"/>
      <c r="M115" s="463"/>
      <c r="N115" s="463"/>
      <c r="O115" s="463"/>
      <c r="P115" s="463"/>
      <c r="Q115" s="463"/>
      <c r="R115" s="463"/>
      <c r="S115" s="463"/>
      <c r="T115" s="463"/>
      <c r="U115" s="463"/>
      <c r="DB115" s="97"/>
    </row>
    <row r="116" spans="2:112" s="77" customFormat="1" outlineLevel="1" x14ac:dyDescent="0.25">
      <c r="C116" s="2289"/>
      <c r="D116" s="1506" t="s">
        <v>79</v>
      </c>
      <c r="E116" s="463"/>
      <c r="F116" s="463"/>
      <c r="G116" s="463"/>
      <c r="H116" s="463"/>
      <c r="I116" s="463"/>
      <c r="J116" s="463"/>
      <c r="K116" s="463"/>
      <c r="L116" s="198"/>
      <c r="M116" s="463"/>
      <c r="N116" s="463"/>
      <c r="O116" s="463"/>
      <c r="P116" s="463"/>
      <c r="Q116" s="463"/>
      <c r="R116" s="463"/>
      <c r="S116" s="463"/>
      <c r="T116" s="463"/>
      <c r="U116" s="463"/>
      <c r="DB116" s="97"/>
    </row>
    <row r="117" spans="2:112" s="77" customFormat="1" x14ac:dyDescent="0.25">
      <c r="C117" s="198"/>
      <c r="D117" s="198"/>
      <c r="E117" s="198"/>
      <c r="F117" s="198"/>
      <c r="G117" s="1507"/>
      <c r="H117" s="1508"/>
      <c r="I117" s="1507"/>
      <c r="J117" s="1507"/>
      <c r="K117" s="463"/>
      <c r="L117" s="198"/>
      <c r="M117" s="463"/>
      <c r="N117" s="463"/>
      <c r="O117" s="463"/>
      <c r="P117" s="463"/>
      <c r="Q117" s="463"/>
      <c r="R117" s="463"/>
      <c r="S117" s="463"/>
      <c r="T117" s="463"/>
      <c r="U117" s="463"/>
      <c r="DB117" s="97"/>
    </row>
    <row r="118" spans="2:112" s="77" customFormat="1" x14ac:dyDescent="0.25">
      <c r="C118" s="198"/>
      <c r="D118" s="198"/>
      <c r="E118" s="198"/>
      <c r="F118" s="198"/>
      <c r="G118" s="1507"/>
      <c r="H118" s="1508"/>
      <c r="I118" s="1507"/>
      <c r="J118" s="1507"/>
      <c r="K118" s="463"/>
      <c r="L118" s="198"/>
      <c r="M118" s="463"/>
      <c r="N118" s="463"/>
      <c r="O118" s="463"/>
      <c r="P118" s="463"/>
      <c r="Q118" s="463"/>
      <c r="R118" s="463"/>
      <c r="S118" s="463"/>
      <c r="T118" s="463"/>
      <c r="U118" s="463"/>
      <c r="DB118" s="97"/>
    </row>
    <row r="119" spans="2:112" ht="18.75" customHeight="1" x14ac:dyDescent="0.25">
      <c r="D119" s="2313"/>
      <c r="E119" s="2313"/>
      <c r="F119" s="2313"/>
      <c r="G119" s="1470"/>
      <c r="H119" s="1493"/>
    </row>
    <row r="120" spans="2:112" s="46" customFormat="1" x14ac:dyDescent="0.25">
      <c r="B120" s="4089" t="s">
        <v>80</v>
      </c>
      <c r="C120" s="4090"/>
      <c r="D120" s="4090"/>
      <c r="E120" s="4090"/>
      <c r="F120" s="4090"/>
      <c r="G120" s="4090"/>
      <c r="H120" s="4090"/>
      <c r="I120" s="4091"/>
      <c r="J120" s="4091"/>
      <c r="K120" s="4091"/>
      <c r="L120" s="4091"/>
      <c r="M120" s="3354"/>
      <c r="N120" s="3354"/>
      <c r="O120" s="3355"/>
      <c r="V120" s="47" t="str">
        <f>B120</f>
        <v>Commercial Solid and Glass Door Refrigerators &amp; Freezers</v>
      </c>
      <c r="W120" s="48"/>
      <c r="X120" s="48"/>
      <c r="Y120" s="48"/>
      <c r="Z120" s="48"/>
      <c r="AA120" s="48"/>
      <c r="AB120" s="48"/>
      <c r="AC120" s="48"/>
      <c r="AD120" s="48"/>
      <c r="AE120" s="48"/>
      <c r="AF120" s="48"/>
      <c r="AG120" s="48"/>
      <c r="AH120" s="48"/>
      <c r="AI120" s="49"/>
      <c r="AJ120" s="26"/>
      <c r="AK120" s="26"/>
      <c r="AL120" s="26"/>
      <c r="AM120" s="26"/>
      <c r="AN120" s="26"/>
      <c r="AO120" s="26"/>
      <c r="AP120" s="26"/>
      <c r="AQ120" s="26"/>
      <c r="AR120" s="26"/>
      <c r="AS120" s="26"/>
      <c r="AT120" s="26"/>
      <c r="AU120" s="26"/>
      <c r="DB120" s="98"/>
      <c r="DG120" s="2282"/>
      <c r="DH120" s="2282"/>
    </row>
    <row r="121" spans="2:112" x14ac:dyDescent="0.25">
      <c r="D121" s="1478"/>
      <c r="E121" s="1473"/>
      <c r="F121" s="1473"/>
      <c r="G121" s="1473"/>
      <c r="H121" s="1479"/>
      <c r="I121" s="1473"/>
      <c r="J121" s="1473"/>
      <c r="K121" s="1473"/>
      <c r="L121" s="1473"/>
      <c r="P121" s="1473"/>
      <c r="Q121" s="1473"/>
      <c r="R121" s="1473"/>
      <c r="S121" s="1473"/>
      <c r="T121" s="1473"/>
      <c r="U121" s="1473"/>
      <c r="V121"/>
      <c r="W121"/>
      <c r="X121"/>
      <c r="Y121"/>
      <c r="Z121"/>
      <c r="AA121"/>
      <c r="AB121"/>
      <c r="AC121"/>
      <c r="AD121"/>
      <c r="AE121"/>
      <c r="AF121"/>
      <c r="AG121"/>
      <c r="AH121"/>
      <c r="AI121"/>
      <c r="AJ121" s="44"/>
      <c r="AK121" s="44"/>
      <c r="AL121" s="44"/>
      <c r="AM121" s="44"/>
      <c r="AN121" s="44"/>
      <c r="AO121" s="44"/>
      <c r="AP121" s="44"/>
      <c r="AQ121" s="44"/>
      <c r="AR121" s="44"/>
      <c r="AS121" s="44"/>
      <c r="AU121" s="44"/>
    </row>
    <row r="122" spans="2:112" s="50" customFormat="1" ht="30" x14ac:dyDescent="0.25">
      <c r="B122" s="51"/>
      <c r="C122" s="52" t="s">
        <v>17</v>
      </c>
      <c r="D122" s="1435" t="s">
        <v>18</v>
      </c>
      <c r="E122" s="1435" t="s">
        <v>19</v>
      </c>
      <c r="F122" s="1435" t="s">
        <v>20</v>
      </c>
      <c r="G122" s="1435" t="s">
        <v>21</v>
      </c>
      <c r="H122" s="53" t="s">
        <v>22</v>
      </c>
      <c r="I122" s="1435" t="s">
        <v>23</v>
      </c>
      <c r="J122" s="1435" t="s">
        <v>24</v>
      </c>
      <c r="K122" s="52" t="s">
        <v>25</v>
      </c>
      <c r="L122" s="52" t="s">
        <v>26</v>
      </c>
      <c r="M122" s="1470"/>
      <c r="N122" s="1470"/>
      <c r="O122" s="1470"/>
      <c r="P122" s="1480"/>
      <c r="Q122" s="1480"/>
      <c r="R122" s="1480"/>
      <c r="S122" s="1480"/>
      <c r="T122" s="1480"/>
      <c r="U122" s="1480"/>
      <c r="V122" s="55" t="s">
        <v>27</v>
      </c>
      <c r="W122" s="56">
        <f>$W$8</f>
        <v>43252</v>
      </c>
      <c r="X122" s="56">
        <f>$X$8</f>
        <v>43465</v>
      </c>
      <c r="Y122" s="56">
        <f>$Y$8</f>
        <v>43800</v>
      </c>
      <c r="Z122" s="56">
        <f>$Z$8</f>
        <v>43862</v>
      </c>
      <c r="AA122" s="56">
        <f>$AA$8</f>
        <v>44013</v>
      </c>
      <c r="AB122" s="56">
        <v>44166</v>
      </c>
      <c r="AC122" s="56" t="str">
        <f>$AC$8</f>
        <v>-</v>
      </c>
      <c r="AD122" s="56" t="str">
        <f>$AD$8</f>
        <v>-</v>
      </c>
      <c r="AE122" s="56" t="str">
        <f>$AE$8</f>
        <v>-</v>
      </c>
      <c r="AF122" s="56" t="str">
        <f>$AF$8</f>
        <v>-</v>
      </c>
      <c r="AG122" s="56" t="str">
        <f>$AG$8</f>
        <v>-</v>
      </c>
      <c r="AH122"/>
      <c r="AI122" s="55" t="s">
        <v>27</v>
      </c>
      <c r="AJ122" s="56">
        <v>43252</v>
      </c>
      <c r="AK122" s="56">
        <f>$X$8</f>
        <v>43465</v>
      </c>
      <c r="AL122" s="56">
        <f>$Y$8</f>
        <v>43800</v>
      </c>
      <c r="AM122" s="56">
        <f>$Z$8</f>
        <v>43862</v>
      </c>
      <c r="AN122" s="56">
        <f>$AA$8</f>
        <v>44013</v>
      </c>
      <c r="AO122" s="56">
        <f>$AB$8</f>
        <v>44166</v>
      </c>
      <c r="AP122" s="56" t="str">
        <f>$AC$8</f>
        <v>-</v>
      </c>
      <c r="AQ122" s="56" t="str">
        <f>$AD$8</f>
        <v>-</v>
      </c>
      <c r="AR122" s="56" t="str">
        <f>$AE$8</f>
        <v>-</v>
      </c>
      <c r="AS122" s="56" t="str">
        <f>$AF$8</f>
        <v>-</v>
      </c>
      <c r="AT122" s="26"/>
      <c r="AU122" s="55" t="s">
        <v>27</v>
      </c>
      <c r="AV122" s="56">
        <v>43252</v>
      </c>
      <c r="AW122" s="56">
        <f>$X$8</f>
        <v>43465</v>
      </c>
      <c r="AX122" s="56">
        <f>$Y$8</f>
        <v>43800</v>
      </c>
      <c r="AY122" s="56">
        <f>$Z$8</f>
        <v>43862</v>
      </c>
      <c r="AZ122" s="56">
        <f>$AA$8</f>
        <v>44013</v>
      </c>
      <c r="BA122" s="56">
        <v>44166</v>
      </c>
      <c r="BB122" s="56" t="str">
        <f>$AC$8</f>
        <v>-</v>
      </c>
      <c r="BC122" s="56" t="str">
        <f>$AD$8</f>
        <v>-</v>
      </c>
      <c r="BD122" s="56" t="str">
        <f>$AE$8</f>
        <v>-</v>
      </c>
      <c r="BE122" s="56" t="str">
        <f>$AF$8</f>
        <v>-</v>
      </c>
      <c r="CD122" s="46"/>
      <c r="DB122" s="57" t="str">
        <f>$DB$8</f>
        <v>TRC (2020)</v>
      </c>
      <c r="DC122" s="93" t="str">
        <f>$DC$8</f>
        <v>Benefit Lookup</v>
      </c>
      <c r="DD122" s="93" t="str">
        <f>$DD$8</f>
        <v>Benefits (2019 $)</v>
      </c>
      <c r="DE122" s="93" t="str">
        <f>$DE$8</f>
        <v>Incremental Cost (2019 $)</v>
      </c>
    </row>
    <row r="123" spans="2:112" x14ac:dyDescent="0.25">
      <c r="C123" s="2969" t="s">
        <v>81</v>
      </c>
      <c r="D123" s="1481" t="s">
        <v>34</v>
      </c>
      <c r="E123" s="1501" t="s">
        <v>82</v>
      </c>
      <c r="F123" s="183">
        <f>ROUND(((G160*H$158+I$158)-(G160*H160+I160))*365.25,2)</f>
        <v>379.86</v>
      </c>
      <c r="G123" s="1482" t="s">
        <v>83</v>
      </c>
      <c r="H123" s="1483">
        <f>VLOOKUP(G123,'CP FACTORS'!$A$26:$B$38,2,FALSE)</f>
        <v>1.3573829999999999E-4</v>
      </c>
      <c r="I123" s="1502">
        <f t="shared" ref="I123:I146" si="115">ROUND(H123*F123,6)</f>
        <v>5.1561999999999997E-2</v>
      </c>
      <c r="J123" s="1509">
        <v>12</v>
      </c>
      <c r="K123" s="1503">
        <v>150</v>
      </c>
      <c r="L123" s="1484" t="s">
        <v>37</v>
      </c>
      <c r="V123" s="60" t="s">
        <v>20</v>
      </c>
      <c r="W123" s="70">
        <v>379.86</v>
      </c>
      <c r="X123" s="70">
        <v>379.86</v>
      </c>
      <c r="Y123" s="163">
        <v>379.86</v>
      </c>
      <c r="Z123" s="163">
        <v>379.86</v>
      </c>
      <c r="AA123" s="163">
        <v>379.86</v>
      </c>
      <c r="AB123" s="2372">
        <v>379.86</v>
      </c>
      <c r="AC123" s="2510"/>
      <c r="AD123" s="2510"/>
      <c r="AE123" s="2510"/>
      <c r="AF123" s="2510"/>
      <c r="AG123" s="2510"/>
      <c r="AH123" s="2511"/>
      <c r="AI123" s="2434" t="s">
        <v>24</v>
      </c>
      <c r="AJ123" s="87">
        <v>12</v>
      </c>
      <c r="AK123" s="87">
        <v>12</v>
      </c>
      <c r="AL123" s="87">
        <v>12</v>
      </c>
      <c r="AM123" s="87">
        <v>12</v>
      </c>
      <c r="AN123" s="87">
        <v>12</v>
      </c>
      <c r="AO123" s="2498">
        <f>J123</f>
        <v>12</v>
      </c>
      <c r="AP123" s="2510"/>
      <c r="AQ123" s="2510"/>
      <c r="AR123" s="2510"/>
      <c r="AS123" s="2510"/>
      <c r="AT123" s="2280"/>
      <c r="AU123" s="2434" t="s">
        <v>25</v>
      </c>
      <c r="AV123" s="2513">
        <v>150</v>
      </c>
      <c r="AW123" s="2513">
        <v>150</v>
      </c>
      <c r="AX123" s="2513">
        <v>150</v>
      </c>
      <c r="AY123" s="2513">
        <v>150</v>
      </c>
      <c r="AZ123" s="2513">
        <v>150</v>
      </c>
      <c r="BA123" s="2514">
        <v>150</v>
      </c>
      <c r="BB123" s="2510"/>
      <c r="BC123" s="2510"/>
      <c r="BD123" s="2510"/>
      <c r="BE123" s="2510"/>
      <c r="BF123" s="2280"/>
      <c r="BG123" s="2280"/>
      <c r="BH123" s="2280"/>
      <c r="BI123" s="2280"/>
      <c r="BJ123" s="2280"/>
      <c r="BK123" s="2280"/>
      <c r="BL123" s="2280"/>
      <c r="BM123" s="2280"/>
      <c r="DB123" s="67">
        <f>(DD123)/(DE123)</f>
        <v>1.1662829576096756</v>
      </c>
      <c r="DC123" s="68" t="str">
        <f>CONCATENATE(G123," ",J123," Year EUL")</f>
        <v>Refrigeration BUS 12 Year EUL</v>
      </c>
      <c r="DD123" s="94">
        <f>(INDEX('Avoided Cost Benefits'!$C$4:$C$857,MATCH(DC123,'Avoided Cost Benefits'!$A$4:$A$857,0)))*F123</f>
        <v>165.11792698579643</v>
      </c>
      <c r="DE123" s="69">
        <f>K123/(1.0595^(2020-2019))</f>
        <v>141.57621519584708</v>
      </c>
    </row>
    <row r="124" spans="2:112" x14ac:dyDescent="0.25">
      <c r="C124" s="2969" t="s">
        <v>84</v>
      </c>
      <c r="D124" s="1481" t="s">
        <v>34</v>
      </c>
      <c r="E124" s="1501" t="s">
        <v>85</v>
      </c>
      <c r="F124" s="183">
        <f>ROUND(((G161*H$158+I$158)-(G161*H161+I161))*365.25,2)</f>
        <v>626.4</v>
      </c>
      <c r="G124" s="1482" t="s">
        <v>83</v>
      </c>
      <c r="H124" s="1483">
        <f>VLOOKUP(G124,'CP FACTORS'!$A$26:$B$38,2,FALSE)</f>
        <v>1.3573829999999999E-4</v>
      </c>
      <c r="I124" s="1502">
        <f t="shared" si="115"/>
        <v>8.5026000000000004E-2</v>
      </c>
      <c r="J124" s="1510">
        <f>$J$123</f>
        <v>12</v>
      </c>
      <c r="K124" s="1503">
        <v>400</v>
      </c>
      <c r="L124" s="1484" t="s">
        <v>37</v>
      </c>
      <c r="V124" s="60" t="s">
        <v>20</v>
      </c>
      <c r="W124" s="70">
        <v>626.40374999999995</v>
      </c>
      <c r="X124" s="70">
        <v>626.40374999999995</v>
      </c>
      <c r="Y124" s="163">
        <v>626.40374999999995</v>
      </c>
      <c r="Z124" s="163">
        <v>626.40374999999995</v>
      </c>
      <c r="AA124" s="163">
        <v>626.40374999999995</v>
      </c>
      <c r="AB124" s="2372">
        <v>626.4</v>
      </c>
      <c r="AC124" s="2510"/>
      <c r="AD124" s="2510"/>
      <c r="AE124" s="2510"/>
      <c r="AF124" s="2510"/>
      <c r="AG124" s="2510"/>
      <c r="AH124" s="2511"/>
      <c r="AI124" s="2434" t="s">
        <v>24</v>
      </c>
      <c r="AJ124" s="87">
        <v>12</v>
      </c>
      <c r="AK124" s="87">
        <v>12</v>
      </c>
      <c r="AL124" s="87">
        <v>12</v>
      </c>
      <c r="AM124" s="87">
        <v>12</v>
      </c>
      <c r="AN124" s="87">
        <v>12</v>
      </c>
      <c r="AO124" s="2498">
        <f t="shared" ref="AO124:AO146" si="116">J124</f>
        <v>12</v>
      </c>
      <c r="AP124" s="2510"/>
      <c r="AQ124" s="2510"/>
      <c r="AR124" s="2510"/>
      <c r="AS124" s="2510"/>
      <c r="AT124" s="2280"/>
      <c r="AU124" s="2434" t="s">
        <v>25</v>
      </c>
      <c r="AV124" s="2513">
        <v>400</v>
      </c>
      <c r="AW124" s="2513">
        <v>400</v>
      </c>
      <c r="AX124" s="2513">
        <v>400</v>
      </c>
      <c r="AY124" s="2513">
        <v>400</v>
      </c>
      <c r="AZ124" s="2513">
        <v>400</v>
      </c>
      <c r="BA124" s="2514">
        <v>400</v>
      </c>
      <c r="BB124" s="2510"/>
      <c r="BC124" s="2510"/>
      <c r="BD124" s="2510"/>
      <c r="BE124" s="2510"/>
      <c r="BF124" s="2280"/>
      <c r="BG124" s="2280"/>
      <c r="BH124" s="2280"/>
      <c r="BI124" s="2280"/>
      <c r="BJ124" s="2280"/>
      <c r="BK124" s="2280"/>
      <c r="BL124" s="2280"/>
      <c r="BM124" s="2280"/>
      <c r="DB124" s="71">
        <f>(DD124)/(DE124)</f>
        <v>0.72121272769576361</v>
      </c>
      <c r="DC124" s="72" t="str">
        <f>CONCATENATE(G124," ",J124," Year EUL")</f>
        <v>Refrigeration BUS 12 Year EUL</v>
      </c>
      <c r="DD124" s="95">
        <f>(INDEX('Avoided Cost Benefits'!$C$4:$C$857,MATCH(DC124,'Avoided Cost Benefits'!$A$4:$A$857,0)))*F124</f>
        <v>272.2841822353048</v>
      </c>
      <c r="DE124" s="73">
        <f>K124/(1.0595^(2020-2019))</f>
        <v>377.53657385559222</v>
      </c>
    </row>
    <row r="125" spans="2:112" x14ac:dyDescent="0.25">
      <c r="C125" s="2969" t="s">
        <v>86</v>
      </c>
      <c r="D125" s="1481" t="s">
        <v>34</v>
      </c>
      <c r="E125" s="1501" t="s">
        <v>87</v>
      </c>
      <c r="F125" s="183">
        <f>ROUND(((G162*H$158+I$158)-(G162*H162+I162))*365.25,2)</f>
        <v>982.52</v>
      </c>
      <c r="G125" s="1482" t="s">
        <v>83</v>
      </c>
      <c r="H125" s="1483">
        <f>VLOOKUP(G125,'CP FACTORS'!$A$26:$B$38,2,FALSE)</f>
        <v>1.3573829999999999E-4</v>
      </c>
      <c r="I125" s="1502">
        <f t="shared" si="115"/>
        <v>0.13336600000000001</v>
      </c>
      <c r="J125" s="1510">
        <f>$J$123</f>
        <v>12</v>
      </c>
      <c r="K125" s="1503">
        <v>550</v>
      </c>
      <c r="L125" s="1484" t="s">
        <v>37</v>
      </c>
      <c r="V125" s="60" t="s">
        <v>20</v>
      </c>
      <c r="W125" s="70">
        <v>982.52250000000004</v>
      </c>
      <c r="X125" s="70">
        <v>982.52250000000004</v>
      </c>
      <c r="Y125" s="163">
        <v>982.52250000000004</v>
      </c>
      <c r="Z125" s="163">
        <v>982.52250000000004</v>
      </c>
      <c r="AA125" s="163">
        <v>982.52250000000004</v>
      </c>
      <c r="AB125" s="2372">
        <v>982.52</v>
      </c>
      <c r="AC125" s="2510"/>
      <c r="AD125" s="2510"/>
      <c r="AE125" s="2510"/>
      <c r="AF125" s="2510"/>
      <c r="AG125" s="2510"/>
      <c r="AH125" s="2511"/>
      <c r="AI125" s="2434" t="s">
        <v>24</v>
      </c>
      <c r="AJ125" s="87">
        <v>12</v>
      </c>
      <c r="AK125" s="87">
        <v>12</v>
      </c>
      <c r="AL125" s="87">
        <v>12</v>
      </c>
      <c r="AM125" s="87">
        <v>12</v>
      </c>
      <c r="AN125" s="87">
        <v>12</v>
      </c>
      <c r="AO125" s="2498">
        <f t="shared" si="116"/>
        <v>12</v>
      </c>
      <c r="AP125" s="2510"/>
      <c r="AQ125" s="2510"/>
      <c r="AR125" s="2510"/>
      <c r="AS125" s="2510"/>
      <c r="AT125" s="2280"/>
      <c r="AU125" s="2434" t="s">
        <v>25</v>
      </c>
      <c r="AV125" s="2513">
        <v>550</v>
      </c>
      <c r="AW125" s="2513">
        <v>550</v>
      </c>
      <c r="AX125" s="2513">
        <v>550</v>
      </c>
      <c r="AY125" s="2513">
        <v>550</v>
      </c>
      <c r="AZ125" s="2513">
        <v>550</v>
      </c>
      <c r="BA125" s="2514">
        <v>550</v>
      </c>
      <c r="BB125" s="2510"/>
      <c r="BC125" s="2510"/>
      <c r="BD125" s="2510"/>
      <c r="BE125" s="2510"/>
      <c r="BF125" s="2280"/>
      <c r="BG125" s="2280"/>
      <c r="BH125" s="2280"/>
      <c r="BI125" s="2280"/>
      <c r="BJ125" s="2280"/>
      <c r="BK125" s="2280"/>
      <c r="BL125" s="2280"/>
      <c r="BM125" s="2280"/>
      <c r="DB125" s="71">
        <f>(DD125)/(DE125)</f>
        <v>0.82271674122331551</v>
      </c>
      <c r="DC125" s="72" t="str">
        <f>CONCATENATE(G125," ",J125," Year EUL")</f>
        <v>Refrigeration BUS 12 Year EUL</v>
      </c>
      <c r="DD125" s="95">
        <f>(INDEX('Avoided Cost Benefits'!$C$4:$C$857,MATCH(DC125,'Avoided Cost Benefits'!$A$4:$A$857,0)))*F125</f>
        <v>427.08278213574658</v>
      </c>
      <c r="DE125" s="73">
        <f>K125/(1.0595^(2020-2019))</f>
        <v>519.11278905143934</v>
      </c>
    </row>
    <row r="126" spans="2:112" x14ac:dyDescent="0.25">
      <c r="C126" s="2969" t="s">
        <v>88</v>
      </c>
      <c r="D126" s="1481" t="s">
        <v>34</v>
      </c>
      <c r="E126" s="1501" t="s">
        <v>89</v>
      </c>
      <c r="F126" s="183">
        <f>ROUND(((G163*H$158+I$158)-(G163*H163+I163))*365.25,2)</f>
        <v>1311.25</v>
      </c>
      <c r="G126" s="1482" t="s">
        <v>83</v>
      </c>
      <c r="H126" s="1483">
        <f>VLOOKUP(G126,'CP FACTORS'!$A$26:$B$38,2,FALSE)</f>
        <v>1.3573829999999999E-4</v>
      </c>
      <c r="I126" s="1502">
        <f t="shared" si="115"/>
        <v>0.17798700000000001</v>
      </c>
      <c r="J126" s="1510">
        <f>$J$123</f>
        <v>12</v>
      </c>
      <c r="K126" s="1503">
        <v>700</v>
      </c>
      <c r="L126" s="1484" t="s">
        <v>37</v>
      </c>
      <c r="P126" s="1486"/>
      <c r="Q126" s="1487"/>
      <c r="R126" s="1488"/>
      <c r="S126" s="1488"/>
      <c r="T126" s="1489"/>
      <c r="V126" s="60" t="s">
        <v>20</v>
      </c>
      <c r="W126" s="70">
        <v>1311.2474999999999</v>
      </c>
      <c r="X126" s="70">
        <v>1311.2474999999999</v>
      </c>
      <c r="Y126" s="163">
        <v>1311.2474999999999</v>
      </c>
      <c r="Z126" s="163">
        <v>1311.2474999999999</v>
      </c>
      <c r="AA126" s="163">
        <v>1311.2474999999999</v>
      </c>
      <c r="AB126" s="2372">
        <v>1311.25</v>
      </c>
      <c r="AC126" s="2510"/>
      <c r="AD126" s="2510"/>
      <c r="AE126" s="2510"/>
      <c r="AF126" s="2510"/>
      <c r="AG126" s="2510"/>
      <c r="AH126" s="2511"/>
      <c r="AI126" s="2434" t="s">
        <v>24</v>
      </c>
      <c r="AJ126" s="87">
        <v>12</v>
      </c>
      <c r="AK126" s="87">
        <v>12</v>
      </c>
      <c r="AL126" s="87">
        <v>12</v>
      </c>
      <c r="AM126" s="87">
        <v>12</v>
      </c>
      <c r="AN126" s="87">
        <v>12</v>
      </c>
      <c r="AO126" s="2498">
        <f t="shared" si="116"/>
        <v>12</v>
      </c>
      <c r="AP126" s="2510"/>
      <c r="AQ126" s="2510"/>
      <c r="AR126" s="2510"/>
      <c r="AS126" s="2510"/>
      <c r="AT126" s="2280"/>
      <c r="AU126" s="2434" t="s">
        <v>25</v>
      </c>
      <c r="AV126" s="2513">
        <v>700</v>
      </c>
      <c r="AW126" s="2513">
        <v>700</v>
      </c>
      <c r="AX126" s="2513">
        <v>700</v>
      </c>
      <c r="AY126" s="2513">
        <v>700</v>
      </c>
      <c r="AZ126" s="2513">
        <v>700</v>
      </c>
      <c r="BA126" s="2514">
        <v>700</v>
      </c>
      <c r="BB126" s="2510"/>
      <c r="BC126" s="2510"/>
      <c r="BD126" s="2510"/>
      <c r="BE126" s="2510"/>
      <c r="BF126" s="2280"/>
      <c r="BG126" s="2280"/>
      <c r="BH126" s="2280"/>
      <c r="BI126" s="2280"/>
      <c r="BJ126" s="2280"/>
      <c r="BK126" s="2280"/>
      <c r="BL126" s="2280"/>
      <c r="BM126" s="2280"/>
      <c r="DB126" s="71">
        <f>(DD126)/(DE126)</f>
        <v>0.86269858528650811</v>
      </c>
      <c r="DC126" s="72" t="str">
        <f>CONCATENATE(G126," ",J126," Year EUL")</f>
        <v>Refrigeration BUS 12 Year EUL</v>
      </c>
      <c r="DD126" s="95">
        <f>(INDEX('Avoided Cost Benefits'!$C$4:$C$857,MATCH(DC126,'Avoided Cost Benefits'!$A$4:$A$857,0)))*F126</f>
        <v>569.97546927848566</v>
      </c>
      <c r="DE126" s="73">
        <f>K126/(1.0595^(2020-2019))</f>
        <v>660.68900424728633</v>
      </c>
    </row>
    <row r="127" spans="2:112" x14ac:dyDescent="0.25">
      <c r="C127" s="2969"/>
      <c r="D127" s="1494"/>
      <c r="E127" s="1501"/>
      <c r="F127" s="183"/>
      <c r="G127" s="1482"/>
      <c r="H127" s="1483"/>
      <c r="I127" s="1502"/>
      <c r="J127" s="1510"/>
      <c r="K127" s="1503"/>
      <c r="L127" s="1484" t="s">
        <v>37</v>
      </c>
      <c r="P127" s="1486"/>
      <c r="Q127" s="1487"/>
      <c r="R127" s="1488"/>
      <c r="S127" s="1488"/>
      <c r="T127" s="1489"/>
      <c r="V127" s="60" t="s">
        <v>20</v>
      </c>
      <c r="W127" s="70"/>
      <c r="X127" s="70"/>
      <c r="Y127" s="163"/>
      <c r="Z127" s="163"/>
      <c r="AA127" s="163"/>
      <c r="AB127" s="2372"/>
      <c r="AC127" s="2372"/>
      <c r="AD127" s="2372"/>
      <c r="AE127" s="2372"/>
      <c r="AF127" s="2372"/>
      <c r="AG127" s="2372"/>
      <c r="AH127" s="2511"/>
      <c r="AI127" s="2434" t="s">
        <v>24</v>
      </c>
      <c r="AJ127" s="87"/>
      <c r="AK127" s="87"/>
      <c r="AL127" s="87"/>
      <c r="AM127" s="87">
        <v>12</v>
      </c>
      <c r="AN127" s="87">
        <v>12</v>
      </c>
      <c r="AO127" s="2498">
        <f t="shared" si="116"/>
        <v>0</v>
      </c>
      <c r="AP127" s="2372"/>
      <c r="AQ127" s="2372"/>
      <c r="AR127" s="2372"/>
      <c r="AS127" s="2372"/>
      <c r="AT127" s="2280"/>
      <c r="AU127" s="2434" t="s">
        <v>25</v>
      </c>
      <c r="AV127" s="2513"/>
      <c r="AW127" s="2513"/>
      <c r="AX127" s="2513"/>
      <c r="AY127" s="2513"/>
      <c r="AZ127" s="2513"/>
      <c r="BA127" s="2514"/>
      <c r="BB127" s="2372"/>
      <c r="BC127" s="2372"/>
      <c r="BD127" s="2372"/>
      <c r="BE127" s="2372"/>
      <c r="BF127" s="2280"/>
      <c r="BG127" s="2280"/>
      <c r="BH127" s="2280"/>
      <c r="BI127" s="2280"/>
      <c r="BJ127" s="2280"/>
      <c r="BK127" s="2280"/>
      <c r="BL127" s="2280"/>
      <c r="BM127" s="2280"/>
      <c r="DB127" s="101"/>
      <c r="DC127" s="72"/>
      <c r="DD127" s="95"/>
      <c r="DE127" s="73"/>
    </row>
    <row r="128" spans="2:112" x14ac:dyDescent="0.25">
      <c r="C128" s="2969" t="s">
        <v>90</v>
      </c>
      <c r="D128" s="1481" t="s">
        <v>34</v>
      </c>
      <c r="E128" s="1501" t="s">
        <v>91</v>
      </c>
      <c r="F128" s="183">
        <f>ROUND(((G164*H$158+I$158)-(G164*H164+I164))*365.25,2)</f>
        <v>354.29</v>
      </c>
      <c r="G128" s="1482" t="s">
        <v>83</v>
      </c>
      <c r="H128" s="1483">
        <f>VLOOKUP(G128,'CP FACTORS'!$A$26:$B$38,2,FALSE)</f>
        <v>1.3573829999999999E-4</v>
      </c>
      <c r="I128" s="1502">
        <f t="shared" si="115"/>
        <v>4.8091000000000002E-2</v>
      </c>
      <c r="J128" s="1510">
        <f>$J$123</f>
        <v>12</v>
      </c>
      <c r="K128" s="1503">
        <v>250</v>
      </c>
      <c r="L128" s="1484" t="s">
        <v>37</v>
      </c>
      <c r="M128" s="1511"/>
      <c r="P128" s="1486"/>
      <c r="Q128" s="1487"/>
      <c r="R128" s="1488"/>
      <c r="S128" s="1488"/>
      <c r="T128" s="1489"/>
      <c r="V128" s="60" t="s">
        <v>20</v>
      </c>
      <c r="W128" s="70">
        <v>354.29250000000002</v>
      </c>
      <c r="X128" s="70">
        <v>354.29250000000002</v>
      </c>
      <c r="Y128" s="163">
        <v>354.29250000000002</v>
      </c>
      <c r="Z128" s="163">
        <v>354.29250000000002</v>
      </c>
      <c r="AA128" s="163">
        <v>354.29250000000002</v>
      </c>
      <c r="AB128" s="2372">
        <v>354.29</v>
      </c>
      <c r="AC128" s="2372"/>
      <c r="AD128" s="2372"/>
      <c r="AE128" s="2372"/>
      <c r="AF128" s="2372"/>
      <c r="AG128" s="2372"/>
      <c r="AH128" s="2280"/>
      <c r="AI128" s="2434" t="s">
        <v>24</v>
      </c>
      <c r="AJ128" s="87">
        <v>12</v>
      </c>
      <c r="AK128" s="87">
        <v>12</v>
      </c>
      <c r="AL128" s="87">
        <v>12</v>
      </c>
      <c r="AM128" s="87">
        <v>12</v>
      </c>
      <c r="AN128" s="87">
        <v>12</v>
      </c>
      <c r="AO128" s="2498">
        <f t="shared" si="116"/>
        <v>12</v>
      </c>
      <c r="AP128" s="2372"/>
      <c r="AQ128" s="2372"/>
      <c r="AR128" s="2372"/>
      <c r="AS128" s="2372"/>
      <c r="AT128" s="2280"/>
      <c r="AU128" s="2434" t="s">
        <v>25</v>
      </c>
      <c r="AV128" s="2513">
        <v>250</v>
      </c>
      <c r="AW128" s="2513">
        <v>250</v>
      </c>
      <c r="AX128" s="2513">
        <v>250</v>
      </c>
      <c r="AY128" s="2513">
        <v>250</v>
      </c>
      <c r="AZ128" s="2513">
        <v>250</v>
      </c>
      <c r="BA128" s="2514">
        <v>250</v>
      </c>
      <c r="BB128" s="2372"/>
      <c r="BC128" s="2372"/>
      <c r="BD128" s="2372"/>
      <c r="BE128" s="2372"/>
      <c r="BF128" s="2280"/>
      <c r="BG128" s="2280"/>
      <c r="BH128" s="2280"/>
      <c r="BI128" s="2280"/>
      <c r="BJ128" s="2280"/>
      <c r="BK128" s="2280"/>
      <c r="BL128" s="2280"/>
      <c r="BM128" s="2280"/>
      <c r="DB128" s="71">
        <f t="shared" ref="DB128:DB146" si="117">(DD128)/(DE128)</f>
        <v>0.652665280447847</v>
      </c>
      <c r="DC128" s="72" t="str">
        <f>CONCATENATE(G128," ",J128," Year EUL")</f>
        <v>Refrigeration BUS 12 Year EUL</v>
      </c>
      <c r="DD128" s="95">
        <f>(INDEX('Avoided Cost Benefits'!$C$4:$C$857,MATCH(DC128,'Avoided Cost Benefits'!$A$4:$A$857,0)))*F128</f>
        <v>154.00313365923714</v>
      </c>
      <c r="DE128" s="73">
        <f>K128/(1.0595^(2020-2019))</f>
        <v>235.96035865974514</v>
      </c>
    </row>
    <row r="129" spans="3:109" ht="15.75" customHeight="1" x14ac:dyDescent="0.25">
      <c r="C129" s="2969" t="s">
        <v>92</v>
      </c>
      <c r="D129" s="1481" t="s">
        <v>34</v>
      </c>
      <c r="E129" s="1501" t="s">
        <v>93</v>
      </c>
      <c r="F129" s="183">
        <f>ROUND(((G165*H$158+I$158)-(G165*H165+I165))*365.25,2)</f>
        <v>217.32</v>
      </c>
      <c r="G129" s="1482" t="s">
        <v>83</v>
      </c>
      <c r="H129" s="1483">
        <f>VLOOKUP(G129,'CP FACTORS'!$A$26:$B$38,2,FALSE)</f>
        <v>1.3573829999999999E-4</v>
      </c>
      <c r="I129" s="1502">
        <f t="shared" si="115"/>
        <v>2.9499000000000001E-2</v>
      </c>
      <c r="J129" s="1510">
        <f>$J$123</f>
        <v>12</v>
      </c>
      <c r="K129" s="1503">
        <v>500</v>
      </c>
      <c r="L129" s="1484" t="s">
        <v>37</v>
      </c>
      <c r="M129" s="1511"/>
      <c r="P129" s="1486"/>
      <c r="Q129" s="1487"/>
      <c r="R129" s="1488"/>
      <c r="S129" s="1488"/>
      <c r="T129" s="1489"/>
      <c r="V129" s="60" t="s">
        <v>20</v>
      </c>
      <c r="W129" s="70">
        <v>217.32375000000008</v>
      </c>
      <c r="X129" s="70">
        <v>217.32375000000008</v>
      </c>
      <c r="Y129" s="163">
        <v>217.32375000000008</v>
      </c>
      <c r="Z129" s="163">
        <v>217.32375000000008</v>
      </c>
      <c r="AA129" s="163">
        <v>217.32375000000008</v>
      </c>
      <c r="AB129" s="2372">
        <v>217.32</v>
      </c>
      <c r="AC129" s="2372"/>
      <c r="AD129" s="2372"/>
      <c r="AE129" s="2372"/>
      <c r="AF129" s="2372"/>
      <c r="AG129" s="2372"/>
      <c r="AH129" s="2280"/>
      <c r="AI129" s="2434" t="s">
        <v>24</v>
      </c>
      <c r="AJ129" s="87">
        <v>12</v>
      </c>
      <c r="AK129" s="87">
        <v>12</v>
      </c>
      <c r="AL129" s="87">
        <v>12</v>
      </c>
      <c r="AM129" s="87">
        <v>12</v>
      </c>
      <c r="AN129" s="87">
        <v>12</v>
      </c>
      <c r="AO129" s="2498">
        <f t="shared" si="116"/>
        <v>12</v>
      </c>
      <c r="AP129" s="2372"/>
      <c r="AQ129" s="2372"/>
      <c r="AR129" s="2372"/>
      <c r="AS129" s="2372"/>
      <c r="AT129" s="2280"/>
      <c r="AU129" s="2434" t="s">
        <v>25</v>
      </c>
      <c r="AV129" s="2513">
        <v>500</v>
      </c>
      <c r="AW129" s="2513">
        <v>500</v>
      </c>
      <c r="AX129" s="2513">
        <v>500</v>
      </c>
      <c r="AY129" s="2513">
        <v>500</v>
      </c>
      <c r="AZ129" s="2513">
        <v>500</v>
      </c>
      <c r="BA129" s="2514">
        <v>500</v>
      </c>
      <c r="BB129" s="2372"/>
      <c r="BC129" s="2372"/>
      <c r="BD129" s="2372"/>
      <c r="BE129" s="2372"/>
      <c r="BF129" s="2280"/>
      <c r="BG129" s="2280"/>
      <c r="BH129" s="2280"/>
      <c r="BI129" s="2280"/>
      <c r="BJ129" s="2280"/>
      <c r="BK129" s="2280"/>
      <c r="BL129" s="2280"/>
      <c r="BM129" s="2280"/>
      <c r="DB129" s="71">
        <f t="shared" si="117"/>
        <v>0.20017107277502344</v>
      </c>
      <c r="DC129" s="72" t="str">
        <f>CONCATENATE(G129," ",J129," Year EUL")</f>
        <v>Refrigeration BUS 12 Year EUL</v>
      </c>
      <c r="DD129" s="95">
        <f>(INDEX('Avoided Cost Benefits'!$C$4:$C$857,MATCH(DC129,'Avoided Cost Benefits'!$A$4:$A$857,0)))*F129</f>
        <v>94.464876250600952</v>
      </c>
      <c r="DE129" s="73">
        <f>K129/(1.0595^(2020-2019))</f>
        <v>471.92071731949028</v>
      </c>
    </row>
    <row r="130" spans="3:109" x14ac:dyDescent="0.25">
      <c r="C130" s="2969" t="s">
        <v>94</v>
      </c>
      <c r="D130" s="1481" t="s">
        <v>34</v>
      </c>
      <c r="E130" s="1501" t="s">
        <v>95</v>
      </c>
      <c r="F130" s="183">
        <f>ROUND(((G166*H$158+I$158)-(G166*H166+I166))*365.25,2)</f>
        <v>226.46</v>
      </c>
      <c r="G130" s="1482" t="s">
        <v>83</v>
      </c>
      <c r="H130" s="1483">
        <f>VLOOKUP(G130,'CP FACTORS'!$A$26:$B$38,2,FALSE)</f>
        <v>1.3573829999999999E-4</v>
      </c>
      <c r="I130" s="1502">
        <f t="shared" si="115"/>
        <v>3.0738999999999999E-2</v>
      </c>
      <c r="J130" s="1510">
        <f>$J$123</f>
        <v>12</v>
      </c>
      <c r="K130" s="1503">
        <v>1307</v>
      </c>
      <c r="L130" s="1484" t="s">
        <v>37</v>
      </c>
      <c r="M130" s="1511"/>
      <c r="P130" s="1486"/>
      <c r="Q130" s="1487"/>
      <c r="R130" s="1488"/>
      <c r="S130" s="1488"/>
      <c r="T130" s="1489"/>
      <c r="V130" s="60" t="s">
        <v>20</v>
      </c>
      <c r="W130" s="70">
        <v>226.45500000000004</v>
      </c>
      <c r="X130" s="70">
        <v>226.45500000000004</v>
      </c>
      <c r="Y130" s="163">
        <v>226.45500000000004</v>
      </c>
      <c r="Z130" s="163">
        <v>226.45500000000004</v>
      </c>
      <c r="AA130" s="163">
        <v>226.45500000000004</v>
      </c>
      <c r="AB130" s="2372">
        <v>226.46</v>
      </c>
      <c r="AC130" s="2372"/>
      <c r="AD130" s="2372"/>
      <c r="AE130" s="2372"/>
      <c r="AF130" s="2372"/>
      <c r="AG130" s="2372"/>
      <c r="AH130" s="2280"/>
      <c r="AI130" s="2434" t="s">
        <v>24</v>
      </c>
      <c r="AJ130" s="87">
        <v>12</v>
      </c>
      <c r="AK130" s="87">
        <v>12</v>
      </c>
      <c r="AL130" s="87">
        <v>12</v>
      </c>
      <c r="AM130" s="87">
        <v>12</v>
      </c>
      <c r="AN130" s="87">
        <v>12</v>
      </c>
      <c r="AO130" s="2498">
        <f t="shared" si="116"/>
        <v>12</v>
      </c>
      <c r="AP130" s="2372"/>
      <c r="AQ130" s="2372"/>
      <c r="AR130" s="2372"/>
      <c r="AS130" s="2372"/>
      <c r="AT130" s="2280"/>
      <c r="AU130" s="2434" t="s">
        <v>25</v>
      </c>
      <c r="AV130" s="2513">
        <v>1307</v>
      </c>
      <c r="AW130" s="2513">
        <v>1307</v>
      </c>
      <c r="AX130" s="2513">
        <v>1307</v>
      </c>
      <c r="AY130" s="2513">
        <v>1307</v>
      </c>
      <c r="AZ130" s="2513">
        <v>1307</v>
      </c>
      <c r="BA130" s="2514">
        <v>1307</v>
      </c>
      <c r="BB130" s="2372"/>
      <c r="BC130" s="2372"/>
      <c r="BD130" s="2372"/>
      <c r="BE130" s="2372"/>
      <c r="BF130" s="2280"/>
      <c r="BG130" s="2280"/>
      <c r="BH130" s="2280"/>
      <c r="BI130" s="2280"/>
      <c r="BJ130" s="2280"/>
      <c r="BK130" s="2280"/>
      <c r="BL130" s="2280"/>
      <c r="BM130" s="2280"/>
      <c r="DB130" s="71">
        <f t="shared" si="117"/>
        <v>7.9797179307600316E-2</v>
      </c>
      <c r="DC130" s="72" t="str">
        <f>CONCATENATE(G130," ",J130," Year EUL")</f>
        <v>Refrigeration BUS 12 Year EUL</v>
      </c>
      <c r="DD130" s="95">
        <f>(INDEX('Avoided Cost Benefits'!$C$4:$C$857,MATCH(DC130,'Avoided Cost Benefits'!$A$4:$A$857,0)))*F130</f>
        <v>98.437860646563095</v>
      </c>
      <c r="DE130" s="73">
        <f>K130/(1.0595^(2020-2019))</f>
        <v>1233.6007550731476</v>
      </c>
    </row>
    <row r="131" spans="3:109" x14ac:dyDescent="0.25">
      <c r="C131" s="2969" t="s">
        <v>96</v>
      </c>
      <c r="D131" s="1481" t="s">
        <v>34</v>
      </c>
      <c r="E131" s="1501" t="s">
        <v>97</v>
      </c>
      <c r="F131" s="183">
        <f>ROUND(((G167*H$158+I$158)-(G167*H167+I167))*365.25,2)</f>
        <v>372.56</v>
      </c>
      <c r="G131" s="1482" t="s">
        <v>83</v>
      </c>
      <c r="H131" s="1483">
        <f>VLOOKUP(G131,'CP FACTORS'!$A$26:$B$38,2,FALSE)</f>
        <v>1.3573829999999999E-4</v>
      </c>
      <c r="I131" s="1502">
        <f t="shared" si="115"/>
        <v>5.0570999999999998E-2</v>
      </c>
      <c r="J131" s="1510">
        <f>$J$123</f>
        <v>12</v>
      </c>
      <c r="K131" s="1503">
        <v>2300</v>
      </c>
      <c r="L131" s="1484" t="s">
        <v>37</v>
      </c>
      <c r="M131" s="1511"/>
      <c r="P131" s="1486"/>
      <c r="Q131" s="1487"/>
      <c r="R131" s="1488"/>
      <c r="S131" s="1488"/>
      <c r="T131" s="1489"/>
      <c r="V131" s="60" t="s">
        <v>20</v>
      </c>
      <c r="W131" s="70">
        <v>372.55500000000018</v>
      </c>
      <c r="X131" s="70">
        <v>372.55500000000018</v>
      </c>
      <c r="Y131" s="163">
        <v>372.55500000000018</v>
      </c>
      <c r="Z131" s="163">
        <v>372.55500000000018</v>
      </c>
      <c r="AA131" s="163">
        <v>372.55500000000018</v>
      </c>
      <c r="AB131" s="2372">
        <v>372.56</v>
      </c>
      <c r="AC131" s="2372"/>
      <c r="AD131" s="2372"/>
      <c r="AE131" s="2372"/>
      <c r="AF131" s="2372"/>
      <c r="AG131" s="2372"/>
      <c r="AH131" s="2280"/>
      <c r="AI131" s="2434" t="s">
        <v>24</v>
      </c>
      <c r="AJ131" s="87">
        <v>12</v>
      </c>
      <c r="AK131" s="87">
        <v>12</v>
      </c>
      <c r="AL131" s="87">
        <v>12</v>
      </c>
      <c r="AM131" s="87">
        <v>12</v>
      </c>
      <c r="AN131" s="87">
        <v>12</v>
      </c>
      <c r="AO131" s="2498">
        <f t="shared" si="116"/>
        <v>12</v>
      </c>
      <c r="AP131" s="2372"/>
      <c r="AQ131" s="2372"/>
      <c r="AR131" s="2372"/>
      <c r="AS131" s="2372"/>
      <c r="AT131" s="2280"/>
      <c r="AU131" s="2434" t="s">
        <v>25</v>
      </c>
      <c r="AV131" s="2513">
        <v>2300</v>
      </c>
      <c r="AW131" s="2513">
        <v>2300</v>
      </c>
      <c r="AX131" s="2513">
        <v>2300</v>
      </c>
      <c r="AY131" s="2513">
        <v>2300</v>
      </c>
      <c r="AZ131" s="2513">
        <v>2300</v>
      </c>
      <c r="BA131" s="2514">
        <v>2300</v>
      </c>
      <c r="BB131" s="2372"/>
      <c r="BC131" s="2372"/>
      <c r="BD131" s="2372"/>
      <c r="BE131" s="2372"/>
      <c r="BF131" s="2280"/>
      <c r="BG131" s="2280"/>
      <c r="BH131" s="2280"/>
      <c r="BI131" s="2280"/>
      <c r="BJ131" s="2280"/>
      <c r="BK131" s="2280"/>
      <c r="BL131" s="2280"/>
      <c r="BM131" s="2280"/>
      <c r="DB131" s="71">
        <f t="shared" si="117"/>
        <v>7.4600203739889417E-2</v>
      </c>
      <c r="DC131" s="72" t="str">
        <f>CONCATENATE(G131," ",J131," Year EUL")</f>
        <v>Refrigeration BUS 12 Year EUL</v>
      </c>
      <c r="DD131" s="95">
        <f>(INDEX('Avoided Cost Benefits'!$C$4:$C$857,MATCH(DC131,'Avoided Cost Benefits'!$A$4:$A$857,0)))*F131</f>
        <v>161.94475564110019</v>
      </c>
      <c r="DE131" s="73">
        <f>K131/(1.0595^(2020-2019))</f>
        <v>2170.8352996696553</v>
      </c>
    </row>
    <row r="132" spans="3:109" x14ac:dyDescent="0.25">
      <c r="C132" s="2969"/>
      <c r="D132" s="1494"/>
      <c r="E132" s="1501"/>
      <c r="F132" s="183"/>
      <c r="G132" s="1482"/>
      <c r="H132" s="1483"/>
      <c r="I132" s="1502"/>
      <c r="J132" s="1510"/>
      <c r="K132" s="1503"/>
      <c r="L132" s="1484" t="s">
        <v>37</v>
      </c>
      <c r="M132" s="1511"/>
      <c r="P132" s="1486"/>
      <c r="Q132" s="1487"/>
      <c r="R132" s="1488"/>
      <c r="S132" s="1488"/>
      <c r="T132" s="1489"/>
      <c r="V132" s="60" t="s">
        <v>20</v>
      </c>
      <c r="W132" s="70"/>
      <c r="X132" s="70"/>
      <c r="Y132" s="163"/>
      <c r="Z132" s="163"/>
      <c r="AA132" s="163"/>
      <c r="AB132" s="2372"/>
      <c r="AC132" s="2372"/>
      <c r="AD132" s="2372"/>
      <c r="AE132" s="2372"/>
      <c r="AF132" s="2372"/>
      <c r="AG132" s="2372"/>
      <c r="AH132" s="2280"/>
      <c r="AI132" s="2434" t="s">
        <v>24</v>
      </c>
      <c r="AJ132" s="87"/>
      <c r="AK132" s="87"/>
      <c r="AL132" s="87"/>
      <c r="AM132" s="87">
        <v>12</v>
      </c>
      <c r="AN132" s="87">
        <v>12</v>
      </c>
      <c r="AO132" s="2498">
        <f t="shared" si="116"/>
        <v>0</v>
      </c>
      <c r="AP132" s="2372"/>
      <c r="AQ132" s="2372"/>
      <c r="AR132" s="2372"/>
      <c r="AS132" s="2372"/>
      <c r="AT132" s="2280"/>
      <c r="AU132" s="2434" t="s">
        <v>25</v>
      </c>
      <c r="AV132" s="2513"/>
      <c r="AW132" s="2513"/>
      <c r="AX132" s="2513"/>
      <c r="AY132" s="2513"/>
      <c r="AZ132" s="2513"/>
      <c r="BA132" s="2514"/>
      <c r="BB132" s="2372"/>
      <c r="BC132" s="2372"/>
      <c r="BD132" s="2372"/>
      <c r="BE132" s="2372"/>
      <c r="BF132" s="2280"/>
      <c r="BG132" s="2280"/>
      <c r="BH132" s="2280"/>
      <c r="BI132" s="2280"/>
      <c r="BJ132" s="2280"/>
      <c r="BK132" s="2280"/>
      <c r="BL132" s="2280"/>
      <c r="BM132" s="2280"/>
      <c r="DB132" s="101"/>
      <c r="DC132" s="72"/>
      <c r="DD132" s="95"/>
      <c r="DE132" s="73"/>
    </row>
    <row r="133" spans="3:109" x14ac:dyDescent="0.25">
      <c r="C133" s="2969" t="s">
        <v>98</v>
      </c>
      <c r="D133" s="1481" t="s">
        <v>34</v>
      </c>
      <c r="E133" s="1512" t="s">
        <v>99</v>
      </c>
      <c r="F133" s="183">
        <f>ROUND(((G168*AVERAGE(H$158,H$159)+AVERAGE(I$158,I$159))-(G168*H168+I168))*365.25,2)</f>
        <v>1219.94</v>
      </c>
      <c r="G133" s="1482" t="s">
        <v>83</v>
      </c>
      <c r="H133" s="1483">
        <f>VLOOKUP(G133,'CP FACTORS'!$A$26:$B$38,2,FALSE)</f>
        <v>1.3573829999999999E-4</v>
      </c>
      <c r="I133" s="1502">
        <f t="shared" si="115"/>
        <v>0.16559299999999999</v>
      </c>
      <c r="J133" s="1510">
        <v>12</v>
      </c>
      <c r="K133" s="1503">
        <v>525</v>
      </c>
      <c r="L133" s="1484" t="s">
        <v>37</v>
      </c>
      <c r="M133" s="1511"/>
      <c r="P133" s="1486"/>
      <c r="Q133" s="1487"/>
      <c r="R133" s="1488"/>
      <c r="S133" s="1488"/>
      <c r="T133" s="1489"/>
      <c r="V133" s="60" t="s">
        <v>20</v>
      </c>
      <c r="W133" s="70">
        <v>1219.9349999999997</v>
      </c>
      <c r="X133" s="70">
        <v>1219.9349999999997</v>
      </c>
      <c r="Y133" s="163">
        <v>1219.9349999999997</v>
      </c>
      <c r="Z133" s="163">
        <v>1219.9349999999997</v>
      </c>
      <c r="AA133" s="163">
        <v>1219.9349999999997</v>
      </c>
      <c r="AB133" s="2372">
        <v>1219.94</v>
      </c>
      <c r="AC133" s="2372"/>
      <c r="AD133" s="2372"/>
      <c r="AE133" s="2372"/>
      <c r="AF133" s="2372"/>
      <c r="AG133" s="2372"/>
      <c r="AH133" s="2280"/>
      <c r="AI133" s="2434" t="s">
        <v>24</v>
      </c>
      <c r="AJ133" s="87">
        <v>12</v>
      </c>
      <c r="AK133" s="87">
        <v>12</v>
      </c>
      <c r="AL133" s="87">
        <v>12</v>
      </c>
      <c r="AM133" s="87">
        <v>12</v>
      </c>
      <c r="AN133" s="87">
        <v>12</v>
      </c>
      <c r="AO133" s="2498">
        <f t="shared" si="116"/>
        <v>12</v>
      </c>
      <c r="AP133" s="2372"/>
      <c r="AQ133" s="2372"/>
      <c r="AR133" s="2372"/>
      <c r="AS133" s="2372"/>
      <c r="AT133" s="2280"/>
      <c r="AU133" s="2434" t="s">
        <v>25</v>
      </c>
      <c r="AV133" s="2513">
        <v>525</v>
      </c>
      <c r="AW133" s="2513">
        <v>525</v>
      </c>
      <c r="AX133" s="2513">
        <v>525</v>
      </c>
      <c r="AY133" s="2513">
        <v>525</v>
      </c>
      <c r="AZ133" s="2513">
        <v>525</v>
      </c>
      <c r="BA133" s="2514">
        <v>525</v>
      </c>
      <c r="BB133" s="2372"/>
      <c r="BC133" s="2372"/>
      <c r="BD133" s="2372"/>
      <c r="BE133" s="2372"/>
      <c r="BF133" s="2280"/>
      <c r="BG133" s="2280"/>
      <c r="BH133" s="2280"/>
      <c r="BI133" s="2280"/>
      <c r="BJ133" s="2280"/>
      <c r="BK133" s="2280"/>
      <c r="BL133" s="2280"/>
      <c r="BM133" s="2280"/>
      <c r="DB133" s="71">
        <f t="shared" si="117"/>
        <v>1.070165121967001</v>
      </c>
      <c r="DC133" s="72" t="str">
        <f>CONCATENATE(G133," ",J133," Year EUL")</f>
        <v>Refrigeration BUS 12 Year EUL</v>
      </c>
      <c r="DD133" s="95">
        <f>(INDEX('Avoided Cost Benefits'!$C$4:$C$857,MATCH(DC133,'Avoided Cost Benefits'!$A$4:$A$857,0)))*F133</f>
        <v>530.28474660941527</v>
      </c>
      <c r="DE133" s="73">
        <f>K133/(1.0595^(2020-2019))</f>
        <v>495.51675318546478</v>
      </c>
    </row>
    <row r="134" spans="3:109" x14ac:dyDescent="0.25">
      <c r="C134" s="2969"/>
      <c r="D134" s="1494"/>
      <c r="E134" s="1501"/>
      <c r="F134" s="183"/>
      <c r="G134" s="1482"/>
      <c r="H134" s="1483"/>
      <c r="I134" s="1502"/>
      <c r="J134" s="1510"/>
      <c r="K134" s="1503"/>
      <c r="L134" s="1484" t="s">
        <v>37</v>
      </c>
      <c r="M134" s="1511"/>
      <c r="V134" s="60" t="s">
        <v>20</v>
      </c>
      <c r="W134" s="70"/>
      <c r="X134" s="70"/>
      <c r="Y134" s="163"/>
      <c r="Z134" s="163"/>
      <c r="AA134" s="163"/>
      <c r="AB134" s="2372"/>
      <c r="AC134" s="2372"/>
      <c r="AD134" s="2372"/>
      <c r="AE134" s="2372"/>
      <c r="AF134" s="2372"/>
      <c r="AG134" s="2372"/>
      <c r="AH134" s="2280"/>
      <c r="AI134" s="2434" t="s">
        <v>24</v>
      </c>
      <c r="AJ134" s="87"/>
      <c r="AK134" s="87"/>
      <c r="AL134" s="87"/>
      <c r="AM134" s="87">
        <v>12</v>
      </c>
      <c r="AN134" s="87">
        <v>12</v>
      </c>
      <c r="AO134" s="2498">
        <f t="shared" si="116"/>
        <v>0</v>
      </c>
      <c r="AP134" s="2372"/>
      <c r="AQ134" s="2372"/>
      <c r="AR134" s="2372"/>
      <c r="AS134" s="2372"/>
      <c r="AT134" s="2280"/>
      <c r="AU134" s="2434" t="s">
        <v>25</v>
      </c>
      <c r="AV134" s="2513"/>
      <c r="AW134" s="2513"/>
      <c r="AX134" s="2513"/>
      <c r="AY134" s="2513"/>
      <c r="AZ134" s="2513"/>
      <c r="BA134" s="2514"/>
      <c r="BB134" s="2372"/>
      <c r="BC134" s="2372"/>
      <c r="BD134" s="2372"/>
      <c r="BE134" s="2372"/>
      <c r="BF134" s="2280"/>
      <c r="BG134" s="2280"/>
      <c r="BH134" s="2280"/>
      <c r="BI134" s="2280"/>
      <c r="BJ134" s="2280"/>
      <c r="BK134" s="2280"/>
      <c r="BL134" s="2280"/>
      <c r="BM134" s="2280"/>
      <c r="DB134" s="101"/>
      <c r="DC134" s="72"/>
      <c r="DD134" s="95"/>
      <c r="DE134" s="73"/>
    </row>
    <row r="135" spans="3:109" x14ac:dyDescent="0.25">
      <c r="C135" s="2969"/>
      <c r="D135" s="1513"/>
      <c r="E135" s="1501"/>
      <c r="F135" s="183"/>
      <c r="G135" s="1482"/>
      <c r="H135" s="1483"/>
      <c r="I135" s="1502"/>
      <c r="J135" s="1510"/>
      <c r="K135" s="1503"/>
      <c r="L135" s="1484" t="s">
        <v>37</v>
      </c>
      <c r="M135" s="1511"/>
      <c r="V135" s="60" t="s">
        <v>20</v>
      </c>
      <c r="W135" s="70"/>
      <c r="X135" s="70"/>
      <c r="Y135" s="163"/>
      <c r="Z135" s="163"/>
      <c r="AA135" s="163"/>
      <c r="AB135" s="2372"/>
      <c r="AC135" s="2372"/>
      <c r="AD135" s="2372"/>
      <c r="AE135" s="2372"/>
      <c r="AF135" s="2372"/>
      <c r="AG135" s="2372"/>
      <c r="AH135" s="2280"/>
      <c r="AI135" s="2434" t="s">
        <v>24</v>
      </c>
      <c r="AJ135" s="87"/>
      <c r="AK135" s="87"/>
      <c r="AL135" s="87"/>
      <c r="AM135" s="87">
        <v>12</v>
      </c>
      <c r="AN135" s="87">
        <v>12</v>
      </c>
      <c r="AO135" s="2498">
        <f t="shared" si="116"/>
        <v>0</v>
      </c>
      <c r="AP135" s="2372"/>
      <c r="AQ135" s="2372"/>
      <c r="AR135" s="2372"/>
      <c r="AS135" s="2372"/>
      <c r="AT135" s="2280"/>
      <c r="AU135" s="2434" t="s">
        <v>25</v>
      </c>
      <c r="AV135" s="2513"/>
      <c r="AW135" s="2513"/>
      <c r="AX135" s="2513"/>
      <c r="AY135" s="2513"/>
      <c r="AZ135" s="2513"/>
      <c r="BA135" s="2514"/>
      <c r="BB135" s="2372"/>
      <c r="BC135" s="2372"/>
      <c r="BD135" s="2372"/>
      <c r="BE135" s="2372"/>
      <c r="BF135" s="2280"/>
      <c r="BG135" s="2280"/>
      <c r="BH135" s="2280"/>
      <c r="BI135" s="2280"/>
      <c r="BJ135" s="2280"/>
      <c r="BK135" s="2280"/>
      <c r="BL135" s="2280"/>
      <c r="BM135" s="2280"/>
      <c r="DB135" s="101"/>
      <c r="DC135" s="72"/>
      <c r="DD135" s="95"/>
      <c r="DE135" s="73"/>
    </row>
    <row r="136" spans="3:109" x14ac:dyDescent="0.25">
      <c r="C136" s="2969" t="s">
        <v>100</v>
      </c>
      <c r="D136" s="1481" t="s">
        <v>34</v>
      </c>
      <c r="E136" s="1501" t="s">
        <v>101</v>
      </c>
      <c r="F136" s="183">
        <f>ROUND(((G160*J$158+K$158)-(G160*J160+K160))*365.25,2)</f>
        <v>348.81</v>
      </c>
      <c r="G136" s="1482" t="s">
        <v>83</v>
      </c>
      <c r="H136" s="1483">
        <f>VLOOKUP(G136,'CP FACTORS'!$A$26:$B$38,2,FALSE)</f>
        <v>1.3573829999999999E-4</v>
      </c>
      <c r="I136" s="1502">
        <f t="shared" si="115"/>
        <v>4.7347E-2</v>
      </c>
      <c r="J136" s="1510">
        <v>12</v>
      </c>
      <c r="K136" s="1503">
        <v>150</v>
      </c>
      <c r="L136" s="1484" t="s">
        <v>37</v>
      </c>
      <c r="M136" s="1511"/>
      <c r="N136" s="1514"/>
      <c r="O136" s="1514"/>
      <c r="P136" s="1486"/>
      <c r="Q136" s="1487"/>
      <c r="R136" s="1488"/>
      <c r="S136" s="1488"/>
      <c r="T136" s="1489"/>
      <c r="V136" s="60" t="s">
        <v>20</v>
      </c>
      <c r="W136" s="70">
        <v>348.81375000000003</v>
      </c>
      <c r="X136" s="70">
        <v>348.81375000000003</v>
      </c>
      <c r="Y136" s="163">
        <v>348.81375000000003</v>
      </c>
      <c r="Z136" s="163">
        <v>348.81375000000003</v>
      </c>
      <c r="AA136" s="163">
        <v>348.81375000000003</v>
      </c>
      <c r="AB136" s="2372">
        <v>348.81</v>
      </c>
      <c r="AC136" s="2372"/>
      <c r="AD136" s="2372"/>
      <c r="AE136" s="2372"/>
      <c r="AF136" s="2372"/>
      <c r="AG136" s="2372"/>
      <c r="AH136" s="2280"/>
      <c r="AI136" s="2434" t="s">
        <v>24</v>
      </c>
      <c r="AJ136" s="87">
        <v>12</v>
      </c>
      <c r="AK136" s="87">
        <v>12</v>
      </c>
      <c r="AL136" s="87">
        <v>12</v>
      </c>
      <c r="AM136" s="87">
        <v>12</v>
      </c>
      <c r="AN136" s="87">
        <v>12</v>
      </c>
      <c r="AO136" s="2498">
        <f t="shared" si="116"/>
        <v>12</v>
      </c>
      <c r="AP136" s="2372"/>
      <c r="AQ136" s="2372"/>
      <c r="AR136" s="2372"/>
      <c r="AS136" s="2372"/>
      <c r="AT136" s="2280"/>
      <c r="AU136" s="2434" t="s">
        <v>25</v>
      </c>
      <c r="AV136" s="2513">
        <v>150</v>
      </c>
      <c r="AW136" s="2513">
        <v>150</v>
      </c>
      <c r="AX136" s="2513">
        <v>150</v>
      </c>
      <c r="AY136" s="2513">
        <v>150</v>
      </c>
      <c r="AZ136" s="2513">
        <v>150</v>
      </c>
      <c r="BA136" s="2514">
        <v>150</v>
      </c>
      <c r="BB136" s="2372"/>
      <c r="BC136" s="2372"/>
      <c r="BD136" s="2372"/>
      <c r="BE136" s="2372"/>
      <c r="BF136" s="2280"/>
      <c r="BG136" s="2280"/>
      <c r="BH136" s="2280"/>
      <c r="BI136" s="2280"/>
      <c r="BJ136" s="2280"/>
      <c r="BK136" s="2280"/>
      <c r="BL136" s="2280"/>
      <c r="BM136" s="2280"/>
      <c r="DB136" s="71">
        <f t="shared" si="117"/>
        <v>1.0709502407303504</v>
      </c>
      <c r="DC136" s="72" t="str">
        <f>CONCATENATE(G136," ",J136," Year EUL")</f>
        <v>Refrigeration BUS 12 Year EUL</v>
      </c>
      <c r="DD136" s="95">
        <f>(INDEX('Avoided Cost Benefits'!$C$4:$C$857,MATCH(DC136,'Avoided Cost Benefits'!$A$4:$A$857,0)))*F136</f>
        <v>151.62108174568434</v>
      </c>
      <c r="DE136" s="73">
        <f>K136/(1.0595^(2020-2019))</f>
        <v>141.57621519584708</v>
      </c>
    </row>
    <row r="137" spans="3:109" x14ac:dyDescent="0.25">
      <c r="C137" s="2969" t="s">
        <v>102</v>
      </c>
      <c r="D137" s="1481" t="s">
        <v>34</v>
      </c>
      <c r="E137" s="1501" t="s">
        <v>103</v>
      </c>
      <c r="F137" s="183">
        <f>ROUND(((G161*J$158+K$158)-(G161*J161+K161))*365.25,2)</f>
        <v>1307.5999999999999</v>
      </c>
      <c r="G137" s="1482" t="s">
        <v>83</v>
      </c>
      <c r="H137" s="1483">
        <f>VLOOKUP(G137,'CP FACTORS'!$A$26:$B$38,2,FALSE)</f>
        <v>1.3573829999999999E-4</v>
      </c>
      <c r="I137" s="1502">
        <f t="shared" si="115"/>
        <v>0.17749100000000001</v>
      </c>
      <c r="J137" s="1510">
        <v>12</v>
      </c>
      <c r="K137" s="1503">
        <v>400</v>
      </c>
      <c r="L137" s="1484" t="s">
        <v>37</v>
      </c>
      <c r="M137" s="1511"/>
      <c r="N137" s="1514"/>
      <c r="O137" s="1514"/>
      <c r="P137" s="1486"/>
      <c r="Q137" s="1487"/>
      <c r="R137" s="1488"/>
      <c r="S137" s="1488"/>
      <c r="T137" s="1489"/>
      <c r="V137" s="60" t="s">
        <v>20</v>
      </c>
      <c r="W137" s="70">
        <v>1307.5949999999998</v>
      </c>
      <c r="X137" s="70">
        <v>1307.5949999999998</v>
      </c>
      <c r="Y137" s="163">
        <v>1307.5949999999998</v>
      </c>
      <c r="Z137" s="163">
        <v>1307.5949999999998</v>
      </c>
      <c r="AA137" s="163">
        <v>1307.5949999999998</v>
      </c>
      <c r="AB137" s="2372">
        <v>1307.5999999999999</v>
      </c>
      <c r="AC137" s="2372"/>
      <c r="AD137" s="2372"/>
      <c r="AE137" s="2372"/>
      <c r="AF137" s="2372"/>
      <c r="AG137" s="2372"/>
      <c r="AH137" s="2280"/>
      <c r="AI137" s="2434" t="s">
        <v>24</v>
      </c>
      <c r="AJ137" s="87">
        <v>12</v>
      </c>
      <c r="AK137" s="87">
        <v>12</v>
      </c>
      <c r="AL137" s="87">
        <v>12</v>
      </c>
      <c r="AM137" s="87">
        <v>12</v>
      </c>
      <c r="AN137" s="87">
        <v>12</v>
      </c>
      <c r="AO137" s="2498">
        <f t="shared" si="116"/>
        <v>12</v>
      </c>
      <c r="AP137" s="2372"/>
      <c r="AQ137" s="2372"/>
      <c r="AR137" s="2372"/>
      <c r="AS137" s="2372"/>
      <c r="AT137" s="2280"/>
      <c r="AU137" s="2434" t="s">
        <v>25</v>
      </c>
      <c r="AV137" s="2513">
        <v>400</v>
      </c>
      <c r="AW137" s="2513">
        <v>400</v>
      </c>
      <c r="AX137" s="2513">
        <v>400</v>
      </c>
      <c r="AY137" s="2513">
        <v>400</v>
      </c>
      <c r="AZ137" s="2513">
        <v>400</v>
      </c>
      <c r="BA137" s="2514">
        <v>400</v>
      </c>
      <c r="BB137" s="2372"/>
      <c r="BC137" s="2372"/>
      <c r="BD137" s="2372"/>
      <c r="BE137" s="2372"/>
      <c r="BF137" s="2280"/>
      <c r="BG137" s="2280"/>
      <c r="BH137" s="2280"/>
      <c r="BI137" s="2280"/>
      <c r="BJ137" s="2280"/>
      <c r="BK137" s="2280"/>
      <c r="BL137" s="2280"/>
      <c r="BM137" s="2280"/>
      <c r="DB137" s="71">
        <f t="shared" si="117"/>
        <v>1.5055200554517567</v>
      </c>
      <c r="DC137" s="72" t="str">
        <f>CONCATENATE(G137," ",J137," Year EUL")</f>
        <v>Refrigeration BUS 12 Year EUL</v>
      </c>
      <c r="DD137" s="95">
        <f>(INDEX('Avoided Cost Benefits'!$C$4:$C$857,MATCH(DC137,'Avoided Cost Benefits'!$A$4:$A$857,0)))*F137</f>
        <v>568.38888360613748</v>
      </c>
      <c r="DE137" s="73">
        <f>K137/(1.0595^(2020-2019))</f>
        <v>377.53657385559222</v>
      </c>
    </row>
    <row r="138" spans="3:109" x14ac:dyDescent="0.25">
      <c r="C138" s="2969" t="s">
        <v>104</v>
      </c>
      <c r="D138" s="1481" t="s">
        <v>34</v>
      </c>
      <c r="E138" s="1501" t="s">
        <v>105</v>
      </c>
      <c r="F138" s="183">
        <f>ROUND(((G162*J$158+K$158)-(G162*J162+K162))*365.25,2)</f>
        <v>2403.35</v>
      </c>
      <c r="G138" s="1482" t="s">
        <v>83</v>
      </c>
      <c r="H138" s="1483">
        <f>VLOOKUP(G138,'CP FACTORS'!$A$26:$B$38,2,FALSE)</f>
        <v>1.3573829999999999E-4</v>
      </c>
      <c r="I138" s="1502">
        <f t="shared" si="115"/>
        <v>0.32622699999999999</v>
      </c>
      <c r="J138" s="1510">
        <v>12</v>
      </c>
      <c r="K138" s="1503">
        <v>550</v>
      </c>
      <c r="L138" s="1484" t="s">
        <v>37</v>
      </c>
      <c r="M138" s="1511"/>
      <c r="N138" s="1514"/>
      <c r="O138" s="1514"/>
      <c r="P138" s="1486"/>
      <c r="Q138" s="1487"/>
      <c r="R138" s="1488"/>
      <c r="S138" s="1488"/>
      <c r="T138" s="1489"/>
      <c r="V138" s="60" t="s">
        <v>20</v>
      </c>
      <c r="W138" s="70">
        <v>2403.3449999999993</v>
      </c>
      <c r="X138" s="70">
        <v>2403.3449999999993</v>
      </c>
      <c r="Y138" s="163">
        <v>2403.3449999999993</v>
      </c>
      <c r="Z138" s="163">
        <v>2403.3449999999993</v>
      </c>
      <c r="AA138" s="163">
        <v>2403.3449999999993</v>
      </c>
      <c r="AB138" s="2372">
        <v>2403.35</v>
      </c>
      <c r="AC138" s="2372"/>
      <c r="AD138" s="2372"/>
      <c r="AE138" s="2372"/>
      <c r="AF138" s="2372"/>
      <c r="AG138" s="2372"/>
      <c r="AH138" s="2280"/>
      <c r="AI138" s="2434" t="s">
        <v>24</v>
      </c>
      <c r="AJ138" s="87">
        <v>12</v>
      </c>
      <c r="AK138" s="87">
        <v>12</v>
      </c>
      <c r="AL138" s="87">
        <v>12</v>
      </c>
      <c r="AM138" s="87">
        <v>12</v>
      </c>
      <c r="AN138" s="87">
        <v>12</v>
      </c>
      <c r="AO138" s="2498">
        <f t="shared" si="116"/>
        <v>12</v>
      </c>
      <c r="AP138" s="2372"/>
      <c r="AQ138" s="2372"/>
      <c r="AR138" s="2372"/>
      <c r="AS138" s="2372"/>
      <c r="AT138" s="2280"/>
      <c r="AU138" s="2434" t="s">
        <v>25</v>
      </c>
      <c r="AV138" s="2513">
        <v>550</v>
      </c>
      <c r="AW138" s="2513">
        <v>550</v>
      </c>
      <c r="AX138" s="2513">
        <v>550</v>
      </c>
      <c r="AY138" s="2513">
        <v>550</v>
      </c>
      <c r="AZ138" s="2513">
        <v>550</v>
      </c>
      <c r="BA138" s="2514">
        <v>550</v>
      </c>
      <c r="BB138" s="2372"/>
      <c r="BC138" s="2372"/>
      <c r="BD138" s="2372"/>
      <c r="BE138" s="2372"/>
      <c r="BF138" s="2280"/>
      <c r="BG138" s="2280"/>
      <c r="BH138" s="2280"/>
      <c r="BI138" s="2280"/>
      <c r="BJ138" s="2280"/>
      <c r="BK138" s="2280"/>
      <c r="BL138" s="2280"/>
      <c r="BM138" s="2280"/>
      <c r="DB138" s="71">
        <f t="shared" si="117"/>
        <v>2.0124539755109874</v>
      </c>
      <c r="DC138" s="72" t="str">
        <f>CONCATENATE(G138," ",J138," Year EUL")</f>
        <v>Refrigeration BUS 12 Year EUL</v>
      </c>
      <c r="DD138" s="95">
        <f>(INDEX('Avoided Cost Benefits'!$C$4:$C$857,MATCH(DC138,'Avoided Cost Benefits'!$A$4:$A$857,0)))*F138</f>
        <v>1044.6905960651657</v>
      </c>
      <c r="DE138" s="73">
        <f>K138/(1.0595^(2020-2019))</f>
        <v>519.11278905143934</v>
      </c>
    </row>
    <row r="139" spans="3:109" ht="15.75" customHeight="1" x14ac:dyDescent="0.25">
      <c r="C139" s="2969" t="s">
        <v>106</v>
      </c>
      <c r="D139" s="1481" t="s">
        <v>34</v>
      </c>
      <c r="E139" s="1501" t="s">
        <v>107</v>
      </c>
      <c r="F139" s="183">
        <f>ROUND(((G163*J$158+K$158)-(G163*J163+K163))*365.25,2)</f>
        <v>2951.22</v>
      </c>
      <c r="G139" s="1482" t="s">
        <v>83</v>
      </c>
      <c r="H139" s="1483">
        <f>VLOOKUP(G139,'CP FACTORS'!$A$26:$B$38,2,FALSE)</f>
        <v>1.3573829999999999E-4</v>
      </c>
      <c r="I139" s="1502">
        <f t="shared" si="115"/>
        <v>0.40059400000000001</v>
      </c>
      <c r="J139" s="1510">
        <v>12</v>
      </c>
      <c r="K139" s="1503">
        <v>700</v>
      </c>
      <c r="L139" s="1484" t="s">
        <v>37</v>
      </c>
      <c r="M139" s="1511"/>
      <c r="P139" s="1486"/>
      <c r="Q139" s="1487"/>
      <c r="R139" s="1488"/>
      <c r="S139" s="1488"/>
      <c r="T139" s="1489"/>
      <c r="V139" s="60" t="s">
        <v>20</v>
      </c>
      <c r="W139" s="70">
        <v>2951.2199999999993</v>
      </c>
      <c r="X139" s="70">
        <v>2951.2199999999993</v>
      </c>
      <c r="Y139" s="163">
        <v>2951.2199999999993</v>
      </c>
      <c r="Z139" s="163">
        <v>2951.2199999999993</v>
      </c>
      <c r="AA139" s="163">
        <v>2951.2199999999993</v>
      </c>
      <c r="AB139" s="2372">
        <v>2951.22</v>
      </c>
      <c r="AC139" s="2372"/>
      <c r="AD139" s="2372"/>
      <c r="AE139" s="2372"/>
      <c r="AF139" s="2372"/>
      <c r="AG139" s="2372"/>
      <c r="AH139" s="2280"/>
      <c r="AI139" s="2434" t="s">
        <v>24</v>
      </c>
      <c r="AJ139" s="87">
        <v>12</v>
      </c>
      <c r="AK139" s="87">
        <v>12</v>
      </c>
      <c r="AL139" s="87">
        <v>12</v>
      </c>
      <c r="AM139" s="87">
        <v>12</v>
      </c>
      <c r="AN139" s="87">
        <v>12</v>
      </c>
      <c r="AO139" s="2498">
        <f t="shared" si="116"/>
        <v>12</v>
      </c>
      <c r="AP139" s="2372"/>
      <c r="AQ139" s="2372"/>
      <c r="AR139" s="2372"/>
      <c r="AS139" s="2372"/>
      <c r="AT139" s="2280"/>
      <c r="AU139" s="2434" t="s">
        <v>25</v>
      </c>
      <c r="AV139" s="2513">
        <v>700</v>
      </c>
      <c r="AW139" s="2513">
        <v>700</v>
      </c>
      <c r="AX139" s="2513">
        <v>700</v>
      </c>
      <c r="AY139" s="2513">
        <v>700</v>
      </c>
      <c r="AZ139" s="2513">
        <v>700</v>
      </c>
      <c r="BA139" s="2514">
        <v>700</v>
      </c>
      <c r="BB139" s="2372"/>
      <c r="BC139" s="2372"/>
      <c r="BD139" s="2372"/>
      <c r="BE139" s="2372"/>
      <c r="BF139" s="2280"/>
      <c r="BG139" s="2280"/>
      <c r="BH139" s="2280"/>
      <c r="BI139" s="2280"/>
      <c r="BJ139" s="2280"/>
      <c r="BK139" s="2280"/>
      <c r="BL139" s="2280"/>
      <c r="BM139" s="2280"/>
      <c r="DB139" s="71">
        <f t="shared" si="117"/>
        <v>1.9416688799765476</v>
      </c>
      <c r="DC139" s="72" t="str">
        <f>CONCATENATE(G139," ",J139," Year EUL")</f>
        <v>Refrigeration BUS 12 Year EUL</v>
      </c>
      <c r="DD139" s="95">
        <f>(INDEX('Avoided Cost Benefits'!$C$4:$C$857,MATCH(DC139,'Avoided Cost Benefits'!$A$4:$A$857,0)))*F139</f>
        <v>1282.839278889649</v>
      </c>
      <c r="DE139" s="73">
        <f>K139/(1.0595^(2020-2019))</f>
        <v>660.68900424728633</v>
      </c>
    </row>
    <row r="140" spans="3:109" ht="15.75" customHeight="1" x14ac:dyDescent="0.25">
      <c r="C140" s="2969"/>
      <c r="D140" s="1494"/>
      <c r="E140" s="1501"/>
      <c r="F140" s="183"/>
      <c r="G140" s="1482"/>
      <c r="H140" s="1483"/>
      <c r="I140" s="1502"/>
      <c r="J140" s="1510"/>
      <c r="K140" s="1503"/>
      <c r="L140" s="1484" t="s">
        <v>37</v>
      </c>
      <c r="M140" s="1511"/>
      <c r="P140" s="1486"/>
      <c r="Q140" s="1487"/>
      <c r="R140" s="1488"/>
      <c r="S140" s="1488"/>
      <c r="T140" s="1489"/>
      <c r="V140" s="60" t="s">
        <v>20</v>
      </c>
      <c r="W140" s="70"/>
      <c r="X140" s="70"/>
      <c r="Y140" s="163"/>
      <c r="Z140" s="163"/>
      <c r="AA140" s="163"/>
      <c r="AB140" s="2372"/>
      <c r="AC140" s="2372"/>
      <c r="AD140" s="2372"/>
      <c r="AE140" s="2372"/>
      <c r="AF140" s="2372"/>
      <c r="AG140" s="2372"/>
      <c r="AH140" s="2280"/>
      <c r="AI140" s="2434" t="s">
        <v>24</v>
      </c>
      <c r="AJ140" s="87"/>
      <c r="AK140" s="87"/>
      <c r="AL140" s="87"/>
      <c r="AM140" s="87">
        <v>12</v>
      </c>
      <c r="AN140" s="87">
        <v>12</v>
      </c>
      <c r="AO140" s="2498">
        <f t="shared" si="116"/>
        <v>0</v>
      </c>
      <c r="AP140" s="2372"/>
      <c r="AQ140" s="2372"/>
      <c r="AR140" s="2372"/>
      <c r="AS140" s="2372"/>
      <c r="AT140" s="2280"/>
      <c r="AU140" s="2434" t="s">
        <v>25</v>
      </c>
      <c r="AV140" s="2513"/>
      <c r="AW140" s="2513"/>
      <c r="AX140" s="2513"/>
      <c r="AY140" s="2513"/>
      <c r="AZ140" s="2513"/>
      <c r="BA140" s="2514"/>
      <c r="BB140" s="2372"/>
      <c r="BC140" s="2372"/>
      <c r="BD140" s="2372"/>
      <c r="BE140" s="2372"/>
      <c r="BF140" s="2280"/>
      <c r="BG140" s="2280"/>
      <c r="BH140" s="2280"/>
      <c r="BI140" s="2280"/>
      <c r="BJ140" s="2280"/>
      <c r="BK140" s="2280"/>
      <c r="BL140" s="2280"/>
      <c r="BM140" s="2280"/>
      <c r="DB140" s="101"/>
      <c r="DC140" s="72"/>
      <c r="DD140" s="95"/>
      <c r="DE140" s="73"/>
    </row>
    <row r="141" spans="3:109" x14ac:dyDescent="0.25">
      <c r="C141" s="2969" t="s">
        <v>108</v>
      </c>
      <c r="D141" s="1481" t="s">
        <v>34</v>
      </c>
      <c r="E141" s="1501" t="s">
        <v>109</v>
      </c>
      <c r="F141" s="183">
        <f>ROUND(((G164*J$159+K$159)-(G164*J164+K164))*365.25,2)</f>
        <v>1429.95</v>
      </c>
      <c r="G141" s="1482" t="s">
        <v>83</v>
      </c>
      <c r="H141" s="1483">
        <f>VLOOKUP(G141,'CP FACTORS'!$A$26:$B$38,2,FALSE)</f>
        <v>1.3573829999999999E-4</v>
      </c>
      <c r="I141" s="1502">
        <f t="shared" si="115"/>
        <v>0.19409899999999999</v>
      </c>
      <c r="J141" s="1510">
        <v>12</v>
      </c>
      <c r="K141" s="1503">
        <v>220</v>
      </c>
      <c r="L141" s="1484" t="s">
        <v>37</v>
      </c>
      <c r="M141" s="1511"/>
      <c r="P141" s="1486"/>
      <c r="Q141" s="1487"/>
      <c r="R141" s="1488"/>
      <c r="S141" s="1488"/>
      <c r="T141" s="1489"/>
      <c r="V141" s="60" t="s">
        <v>20</v>
      </c>
      <c r="W141" s="70">
        <v>1429.9537499999997</v>
      </c>
      <c r="X141" s="70">
        <v>1429.9537499999997</v>
      </c>
      <c r="Y141" s="163">
        <v>1429.9537499999997</v>
      </c>
      <c r="Z141" s="163">
        <v>1429.9537499999997</v>
      </c>
      <c r="AA141" s="163">
        <v>1429.9537499999997</v>
      </c>
      <c r="AB141" s="2372">
        <v>1429.95</v>
      </c>
      <c r="AC141" s="2372"/>
      <c r="AD141" s="2372"/>
      <c r="AE141" s="2372"/>
      <c r="AF141" s="2372"/>
      <c r="AG141" s="2372"/>
      <c r="AH141" s="2280"/>
      <c r="AI141" s="2434" t="s">
        <v>24</v>
      </c>
      <c r="AJ141" s="87">
        <v>12</v>
      </c>
      <c r="AK141" s="87">
        <v>12</v>
      </c>
      <c r="AL141" s="87">
        <v>12</v>
      </c>
      <c r="AM141" s="87">
        <v>12</v>
      </c>
      <c r="AN141" s="87">
        <v>12</v>
      </c>
      <c r="AO141" s="2498">
        <f t="shared" si="116"/>
        <v>12</v>
      </c>
      <c r="AP141" s="2372"/>
      <c r="AQ141" s="2372"/>
      <c r="AR141" s="2372"/>
      <c r="AS141" s="2372"/>
      <c r="AT141" s="2280"/>
      <c r="AU141" s="2434" t="s">
        <v>25</v>
      </c>
      <c r="AV141" s="2513">
        <v>220</v>
      </c>
      <c r="AW141" s="2513">
        <v>220</v>
      </c>
      <c r="AX141" s="2513">
        <v>220</v>
      </c>
      <c r="AY141" s="2513">
        <v>220</v>
      </c>
      <c r="AZ141" s="2513">
        <v>220</v>
      </c>
      <c r="BA141" s="2514">
        <v>220</v>
      </c>
      <c r="BB141" s="2372"/>
      <c r="BC141" s="2372"/>
      <c r="BD141" s="2372"/>
      <c r="BE141" s="2372"/>
      <c r="BF141" s="2280"/>
      <c r="BG141" s="2280"/>
      <c r="BH141" s="2280"/>
      <c r="BI141" s="2280"/>
      <c r="BJ141" s="2280"/>
      <c r="BK141" s="2280"/>
      <c r="BL141" s="2280"/>
      <c r="BM141" s="2280"/>
      <c r="DB141" s="71">
        <f t="shared" si="117"/>
        <v>2.9934347497055533</v>
      </c>
      <c r="DC141" s="72" t="str">
        <f>CONCATENATE(G141," ",J141," Year EUL")</f>
        <v>Refrigeration BUS 12 Year EUL</v>
      </c>
      <c r="DD141" s="95">
        <f>(INDEX('Avoided Cost Benefits'!$C$4:$C$857,MATCH(DC141,'Avoided Cost Benefits'!$A$4:$A$857,0)))*F141</f>
        <v>621.57210470525877</v>
      </c>
      <c r="DE141" s="73">
        <f>K141/(1.0595^(2020-2019))</f>
        <v>207.64511562057572</v>
      </c>
    </row>
    <row r="142" spans="3:109" x14ac:dyDescent="0.25">
      <c r="C142" s="2969" t="s">
        <v>110</v>
      </c>
      <c r="D142" s="1481" t="s">
        <v>34</v>
      </c>
      <c r="E142" s="1501" t="s">
        <v>111</v>
      </c>
      <c r="F142" s="183">
        <f>ROUND(((G165*J$159+K$159)-(G165*J165+K165))*365.25,2)</f>
        <v>3186.81</v>
      </c>
      <c r="G142" s="1482" t="s">
        <v>83</v>
      </c>
      <c r="H142" s="1483">
        <f>VLOOKUP(G142,'CP FACTORS'!$A$26:$B$38,2,FALSE)</f>
        <v>1.3573829999999999E-4</v>
      </c>
      <c r="I142" s="1502">
        <f t="shared" si="115"/>
        <v>0.43257200000000001</v>
      </c>
      <c r="J142" s="1510">
        <v>12</v>
      </c>
      <c r="K142" s="1503">
        <v>950</v>
      </c>
      <c r="L142" s="1484" t="s">
        <v>37</v>
      </c>
      <c r="M142" s="1511"/>
      <c r="P142" s="1486"/>
      <c r="Q142" s="1487"/>
      <c r="R142" s="1488"/>
      <c r="S142" s="1488"/>
      <c r="T142" s="1489"/>
      <c r="V142" s="60" t="s">
        <v>20</v>
      </c>
      <c r="W142" s="70">
        <v>3186.8062500000005</v>
      </c>
      <c r="X142" s="70">
        <v>3186.8062500000005</v>
      </c>
      <c r="Y142" s="163">
        <v>3186.8062500000005</v>
      </c>
      <c r="Z142" s="163">
        <v>3186.8062500000005</v>
      </c>
      <c r="AA142" s="163">
        <v>3186.8062500000005</v>
      </c>
      <c r="AB142" s="2372">
        <v>3186.81</v>
      </c>
      <c r="AC142" s="2372"/>
      <c r="AD142" s="2372"/>
      <c r="AE142" s="2372"/>
      <c r="AF142" s="2372"/>
      <c r="AG142" s="2372"/>
      <c r="AH142" s="2280"/>
      <c r="AI142" s="2434" t="s">
        <v>24</v>
      </c>
      <c r="AJ142" s="87">
        <v>12</v>
      </c>
      <c r="AK142" s="87">
        <v>12</v>
      </c>
      <c r="AL142" s="87">
        <v>12</v>
      </c>
      <c r="AM142" s="87">
        <v>12</v>
      </c>
      <c r="AN142" s="87">
        <v>12</v>
      </c>
      <c r="AO142" s="2498">
        <f t="shared" si="116"/>
        <v>12</v>
      </c>
      <c r="AP142" s="2372"/>
      <c r="AQ142" s="2372"/>
      <c r="AR142" s="2372"/>
      <c r="AS142" s="2372"/>
      <c r="AT142" s="2280"/>
      <c r="AU142" s="2434" t="s">
        <v>25</v>
      </c>
      <c r="AV142" s="2513">
        <v>950</v>
      </c>
      <c r="AW142" s="2513">
        <v>950</v>
      </c>
      <c r="AX142" s="2513">
        <v>950</v>
      </c>
      <c r="AY142" s="2513">
        <v>950</v>
      </c>
      <c r="AZ142" s="2513">
        <v>950</v>
      </c>
      <c r="BA142" s="2514">
        <v>950</v>
      </c>
      <c r="BB142" s="2372"/>
      <c r="BC142" s="2372"/>
      <c r="BD142" s="2372"/>
      <c r="BE142" s="2372"/>
      <c r="BF142" s="2280"/>
      <c r="BG142" s="2280"/>
      <c r="BH142" s="2280"/>
      <c r="BI142" s="2280"/>
      <c r="BJ142" s="2280"/>
      <c r="BK142" s="2280"/>
      <c r="BL142" s="2280"/>
      <c r="BM142" s="2280"/>
      <c r="DB142" s="71">
        <f t="shared" si="117"/>
        <v>1.5449135798535569</v>
      </c>
      <c r="DC142" s="72" t="str">
        <f>CONCATENATE(G142," ",J142," Year EUL")</f>
        <v>Refrigeration BUS 12 Year EUL</v>
      </c>
      <c r="DD142" s="95">
        <f>(INDEX('Avoided Cost Benefits'!$C$4:$C$857,MATCH(DC142,'Avoided Cost Benefits'!$A$4:$A$857,0)))*F142</f>
        <v>1385.2457771221132</v>
      </c>
      <c r="DE142" s="73">
        <f>K142/(1.0595^(2020-2019))</f>
        <v>896.64936290703156</v>
      </c>
    </row>
    <row r="143" spans="3:109" x14ac:dyDescent="0.25">
      <c r="C143" s="2969" t="s">
        <v>112</v>
      </c>
      <c r="D143" s="1481" t="s">
        <v>34</v>
      </c>
      <c r="E143" s="1501" t="s">
        <v>113</v>
      </c>
      <c r="F143" s="183">
        <f>ROUND(((G166*J$159+K$159)-(G166*J166+K166))*365.25,2)</f>
        <v>5150.03</v>
      </c>
      <c r="G143" s="1482" t="s">
        <v>83</v>
      </c>
      <c r="H143" s="1483">
        <f>VLOOKUP(G143,'CP FACTORS'!$A$26:$B$38,2,FALSE)</f>
        <v>1.3573829999999999E-4</v>
      </c>
      <c r="I143" s="1502">
        <f t="shared" si="115"/>
        <v>0.69905600000000001</v>
      </c>
      <c r="J143" s="1510">
        <v>12</v>
      </c>
      <c r="K143" s="1503">
        <v>1307</v>
      </c>
      <c r="L143" s="1484" t="s">
        <v>37</v>
      </c>
      <c r="M143" s="1511"/>
      <c r="P143" s="1486"/>
      <c r="Q143" s="1487"/>
      <c r="R143" s="1488"/>
      <c r="S143" s="1488"/>
      <c r="T143" s="1489"/>
      <c r="V143" s="60" t="s">
        <v>20</v>
      </c>
      <c r="W143" s="70">
        <v>5150.0250000000005</v>
      </c>
      <c r="X143" s="70">
        <v>5150.0250000000005</v>
      </c>
      <c r="Y143" s="163">
        <v>5150.0250000000005</v>
      </c>
      <c r="Z143" s="163">
        <v>5150.0250000000005</v>
      </c>
      <c r="AA143" s="163">
        <v>5150.0250000000005</v>
      </c>
      <c r="AB143" s="2372">
        <v>5150.03</v>
      </c>
      <c r="AC143" s="2372"/>
      <c r="AD143" s="2372"/>
      <c r="AE143" s="2372"/>
      <c r="AF143" s="2372"/>
      <c r="AG143" s="2372"/>
      <c r="AH143" s="2280"/>
      <c r="AI143" s="2434" t="s">
        <v>24</v>
      </c>
      <c r="AJ143" s="87">
        <v>12</v>
      </c>
      <c r="AK143" s="87">
        <v>12</v>
      </c>
      <c r="AL143" s="87">
        <v>12</v>
      </c>
      <c r="AM143" s="87">
        <v>12</v>
      </c>
      <c r="AN143" s="87">
        <v>12</v>
      </c>
      <c r="AO143" s="2498">
        <f t="shared" si="116"/>
        <v>12</v>
      </c>
      <c r="AP143" s="2372"/>
      <c r="AQ143" s="2372"/>
      <c r="AR143" s="2372"/>
      <c r="AS143" s="2372"/>
      <c r="AT143" s="2280"/>
      <c r="AU143" s="2434" t="s">
        <v>25</v>
      </c>
      <c r="AV143" s="2513">
        <v>1307</v>
      </c>
      <c r="AW143" s="2513">
        <v>1307</v>
      </c>
      <c r="AX143" s="2513">
        <v>1307</v>
      </c>
      <c r="AY143" s="2513">
        <v>1307</v>
      </c>
      <c r="AZ143" s="2513">
        <v>1307</v>
      </c>
      <c r="BA143" s="2514">
        <v>1307</v>
      </c>
      <c r="BB143" s="2372"/>
      <c r="BC143" s="2372"/>
      <c r="BD143" s="2372"/>
      <c r="BE143" s="2372"/>
      <c r="BF143" s="2280"/>
      <c r="BG143" s="2280"/>
      <c r="BH143" s="2280"/>
      <c r="BI143" s="2280"/>
      <c r="BJ143" s="2280"/>
      <c r="BK143" s="2280"/>
      <c r="BL143" s="2280"/>
      <c r="BM143" s="2280"/>
      <c r="DB143" s="71">
        <f t="shared" si="117"/>
        <v>1.8147039978341466</v>
      </c>
      <c r="DC143" s="72" t="str">
        <f>CONCATENATE(G143," ",J143," Year EUL")</f>
        <v>Refrigeration BUS 12 Year EUL</v>
      </c>
      <c r="DD143" s="95">
        <f>(INDEX('Avoided Cost Benefits'!$C$4:$C$857,MATCH(DC143,'Avoided Cost Benefits'!$A$4:$A$857,0)))*F143</f>
        <v>2238.6202219624629</v>
      </c>
      <c r="DE143" s="73">
        <f>K143/(1.0595^(2020-2019))</f>
        <v>1233.6007550731476</v>
      </c>
    </row>
    <row r="144" spans="3:109" x14ac:dyDescent="0.25">
      <c r="C144" s="2969" t="s">
        <v>114</v>
      </c>
      <c r="D144" s="1481" t="s">
        <v>34</v>
      </c>
      <c r="E144" s="1501" t="s">
        <v>115</v>
      </c>
      <c r="F144" s="183">
        <f>ROUND(((G167*J$159+K$159)-(G167*J167+K167))*365.25,2)</f>
        <v>5884.18</v>
      </c>
      <c r="G144" s="1482" t="s">
        <v>83</v>
      </c>
      <c r="H144" s="1483">
        <f>VLOOKUP(G144,'CP FACTORS'!$A$26:$B$38,2,FALSE)</f>
        <v>1.3573829999999999E-4</v>
      </c>
      <c r="I144" s="1502">
        <f t="shared" si="115"/>
        <v>0.798709</v>
      </c>
      <c r="J144" s="1510">
        <v>12</v>
      </c>
      <c r="K144" s="1503">
        <v>2300</v>
      </c>
      <c r="L144" s="1484" t="s">
        <v>37</v>
      </c>
      <c r="M144" s="1511"/>
      <c r="V144" s="60" t="s">
        <v>20</v>
      </c>
      <c r="W144" s="70">
        <v>5884.1774999999998</v>
      </c>
      <c r="X144" s="70">
        <v>5884.1774999999998</v>
      </c>
      <c r="Y144" s="163">
        <v>5884.1774999999998</v>
      </c>
      <c r="Z144" s="163">
        <v>5884.1774999999998</v>
      </c>
      <c r="AA144" s="163">
        <v>5884.1774999999998</v>
      </c>
      <c r="AB144" s="2372">
        <v>5884.18</v>
      </c>
      <c r="AC144" s="2372"/>
      <c r="AD144" s="2372"/>
      <c r="AE144" s="2372"/>
      <c r="AF144" s="2372"/>
      <c r="AG144" s="2372"/>
      <c r="AH144" s="2280"/>
      <c r="AI144" s="2434" t="s">
        <v>24</v>
      </c>
      <c r="AJ144" s="87">
        <v>12</v>
      </c>
      <c r="AK144" s="87">
        <v>12</v>
      </c>
      <c r="AL144" s="87">
        <v>12</v>
      </c>
      <c r="AM144" s="87">
        <v>12</v>
      </c>
      <c r="AN144" s="87">
        <v>12</v>
      </c>
      <c r="AO144" s="2498">
        <f t="shared" si="116"/>
        <v>12</v>
      </c>
      <c r="AP144" s="2372"/>
      <c r="AQ144" s="2372"/>
      <c r="AR144" s="2372"/>
      <c r="AS144" s="2372"/>
      <c r="AT144" s="2280"/>
      <c r="AU144" s="2434" t="s">
        <v>25</v>
      </c>
      <c r="AV144" s="2513">
        <v>2300</v>
      </c>
      <c r="AW144" s="2513">
        <v>2300</v>
      </c>
      <c r="AX144" s="2513">
        <v>2300</v>
      </c>
      <c r="AY144" s="2513">
        <v>2300</v>
      </c>
      <c r="AZ144" s="2513">
        <v>2300</v>
      </c>
      <c r="BA144" s="2514">
        <v>2300</v>
      </c>
      <c r="BB144" s="2372"/>
      <c r="BC144" s="2372"/>
      <c r="BD144" s="2372"/>
      <c r="BE144" s="2372"/>
      <c r="BF144" s="2280"/>
      <c r="BG144" s="2280"/>
      <c r="BH144" s="2280"/>
      <c r="BI144" s="2280"/>
      <c r="BJ144" s="2280"/>
      <c r="BK144" s="2280"/>
      <c r="BL144" s="2280"/>
      <c r="BM144" s="2280"/>
      <c r="DB144" s="71">
        <f t="shared" si="117"/>
        <v>1.1782290821402794</v>
      </c>
      <c r="DC144" s="72" t="str">
        <f>CONCATENATE(G144," ",J144," Year EUL")</f>
        <v>Refrigeration BUS 12 Year EUL</v>
      </c>
      <c r="DD144" s="95">
        <f>(INDEX('Avoided Cost Benefits'!$C$4:$C$857,MATCH(DC144,'Avoided Cost Benefits'!$A$4:$A$857,0)))*F144</f>
        <v>2557.7412826074965</v>
      </c>
      <c r="DE144" s="73">
        <f>K144/(1.0595^(2020-2019))</f>
        <v>2170.8352996696553</v>
      </c>
    </row>
    <row r="145" spans="3:109" x14ac:dyDescent="0.25">
      <c r="C145" s="2970"/>
      <c r="D145" s="1494"/>
      <c r="E145" s="1501"/>
      <c r="F145" s="183"/>
      <c r="G145" s="1482"/>
      <c r="H145" s="1483"/>
      <c r="I145" s="1502"/>
      <c r="J145" s="1510"/>
      <c r="K145" s="1503"/>
      <c r="L145" s="1484" t="s">
        <v>37</v>
      </c>
      <c r="V145" s="60" t="s">
        <v>20</v>
      </c>
      <c r="W145" s="70"/>
      <c r="X145" s="70"/>
      <c r="Y145" s="163"/>
      <c r="Z145" s="163"/>
      <c r="AA145" s="163"/>
      <c r="AB145" s="2372"/>
      <c r="AC145" s="2372"/>
      <c r="AD145" s="2372"/>
      <c r="AE145" s="2372"/>
      <c r="AF145" s="2372"/>
      <c r="AG145" s="2372"/>
      <c r="AH145" s="2280"/>
      <c r="AI145" s="2434" t="s">
        <v>24</v>
      </c>
      <c r="AJ145" s="87"/>
      <c r="AK145" s="87"/>
      <c r="AL145" s="87"/>
      <c r="AM145" s="87">
        <v>12</v>
      </c>
      <c r="AN145" s="87">
        <v>12</v>
      </c>
      <c r="AO145" s="2498">
        <f t="shared" si="116"/>
        <v>0</v>
      </c>
      <c r="AP145" s="2372"/>
      <c r="AQ145" s="2372"/>
      <c r="AR145" s="2372"/>
      <c r="AS145" s="2372"/>
      <c r="AT145" s="2280"/>
      <c r="AU145" s="2434" t="s">
        <v>25</v>
      </c>
      <c r="AV145" s="2513"/>
      <c r="AW145" s="2513"/>
      <c r="AX145" s="2513"/>
      <c r="AY145" s="2513"/>
      <c r="AZ145" s="2513"/>
      <c r="BA145" s="2514"/>
      <c r="BB145" s="2372"/>
      <c r="BC145" s="2372"/>
      <c r="BD145" s="2372"/>
      <c r="BE145" s="2372"/>
      <c r="BF145" s="2280"/>
      <c r="BG145" s="2280"/>
      <c r="BH145" s="2280"/>
      <c r="BI145" s="2280"/>
      <c r="BJ145" s="2280"/>
      <c r="BK145" s="2280"/>
      <c r="BL145" s="2280"/>
      <c r="BM145" s="2280"/>
      <c r="DB145" s="101"/>
      <c r="DC145" s="72"/>
      <c r="DD145" s="95"/>
      <c r="DE145" s="73"/>
    </row>
    <row r="146" spans="3:109" x14ac:dyDescent="0.25">
      <c r="C146" s="2970" t="s">
        <v>116</v>
      </c>
      <c r="D146" s="1481" t="s">
        <v>34</v>
      </c>
      <c r="E146" s="1501" t="s">
        <v>117</v>
      </c>
      <c r="F146" s="183">
        <f>ROUND(((G168*AVERAGE(J$158,J$159)+AVERAGE(K$158,K$159))-(G168*J168+K168))*365.25,2)</f>
        <v>5265.08</v>
      </c>
      <c r="G146" s="1482" t="s">
        <v>83</v>
      </c>
      <c r="H146" s="1483">
        <f>VLOOKUP(G146,'CP FACTORS'!$A$26:$B$38,2,FALSE)</f>
        <v>1.3573829999999999E-4</v>
      </c>
      <c r="I146" s="1502">
        <f t="shared" si="115"/>
        <v>0.714673</v>
      </c>
      <c r="J146" s="1510">
        <v>12</v>
      </c>
      <c r="K146" s="1503">
        <v>595</v>
      </c>
      <c r="L146" s="1484" t="s">
        <v>37</v>
      </c>
      <c r="V146" s="60" t="s">
        <v>20</v>
      </c>
      <c r="W146" s="70">
        <v>5265.0787499999997</v>
      </c>
      <c r="X146" s="70">
        <v>5265.0787499999997</v>
      </c>
      <c r="Y146" s="163">
        <v>5265.0787499999997</v>
      </c>
      <c r="Z146" s="163">
        <v>5265.0787499999997</v>
      </c>
      <c r="AA146" s="163">
        <v>5265.0787499999997</v>
      </c>
      <c r="AB146" s="2372">
        <v>5265.08</v>
      </c>
      <c r="AC146" s="2372"/>
      <c r="AD146" s="2372"/>
      <c r="AE146" s="2372"/>
      <c r="AF146" s="2372"/>
      <c r="AG146" s="2372"/>
      <c r="AH146" s="2280"/>
      <c r="AI146" s="2434" t="s">
        <v>24</v>
      </c>
      <c r="AJ146" s="87">
        <v>12</v>
      </c>
      <c r="AK146" s="87">
        <v>12</v>
      </c>
      <c r="AL146" s="87">
        <v>12</v>
      </c>
      <c r="AM146" s="87">
        <v>12</v>
      </c>
      <c r="AN146" s="87">
        <v>12</v>
      </c>
      <c r="AO146" s="2498">
        <f t="shared" si="116"/>
        <v>12</v>
      </c>
      <c r="AP146" s="2372"/>
      <c r="AQ146" s="2372"/>
      <c r="AR146" s="2372"/>
      <c r="AS146" s="2372"/>
      <c r="AT146" s="2280"/>
      <c r="AU146" s="2434" t="s">
        <v>25</v>
      </c>
      <c r="AV146" s="2513">
        <v>595</v>
      </c>
      <c r="AW146" s="2513">
        <v>595</v>
      </c>
      <c r="AX146" s="2513">
        <v>595</v>
      </c>
      <c r="AY146" s="2513">
        <v>595</v>
      </c>
      <c r="AZ146" s="2513">
        <v>595</v>
      </c>
      <c r="BA146" s="2514">
        <v>595</v>
      </c>
      <c r="BB146" s="2372"/>
      <c r="BC146" s="2372"/>
      <c r="BD146" s="2372"/>
      <c r="BE146" s="2372"/>
      <c r="BF146" s="2280"/>
      <c r="BG146" s="2280"/>
      <c r="BH146" s="2280"/>
      <c r="BI146" s="2280"/>
      <c r="BJ146" s="2280"/>
      <c r="BK146" s="2280"/>
      <c r="BL146" s="2280"/>
      <c r="BM146" s="2280"/>
      <c r="DB146" s="74">
        <f t="shared" si="117"/>
        <v>4.0753004586286439</v>
      </c>
      <c r="DC146" s="72" t="str">
        <f>CONCATENATE(G146," ",J146," Year EUL")</f>
        <v>Refrigeration BUS 12 Year EUL</v>
      </c>
      <c r="DD146" s="96">
        <f>(INDEX('Avoided Cost Benefits'!$C$4:$C$857,MATCH(DC146,'Avoided Cost Benefits'!$A$4:$A$857,0)))*F146</f>
        <v>2288.6302717168878</v>
      </c>
      <c r="DE146" s="75">
        <f>K146/(1.0595^(2020-2019))</f>
        <v>561.58565361019339</v>
      </c>
    </row>
    <row r="147" spans="3:109" outlineLevel="1" x14ac:dyDescent="0.25">
      <c r="E147" s="1473"/>
      <c r="F147" s="1473"/>
      <c r="G147" s="1473"/>
      <c r="H147" s="1491"/>
      <c r="I147" s="1473"/>
      <c r="J147" s="1473"/>
      <c r="K147" s="1473"/>
      <c r="Y147" s="2280"/>
      <c r="Z147" s="2280"/>
      <c r="AA147" s="2280"/>
      <c r="AB147" s="2280"/>
      <c r="AC147" s="2280"/>
      <c r="AD147" s="2280"/>
      <c r="AE147" s="2280"/>
      <c r="AF147" s="2280"/>
      <c r="AG147" s="2280"/>
      <c r="AH147" s="2280"/>
      <c r="AI147" s="2280"/>
      <c r="AJ147" s="2280"/>
      <c r="AK147" s="2280"/>
      <c r="AL147" s="2280"/>
      <c r="AM147" s="2280"/>
      <c r="AN147" s="2280"/>
      <c r="AO147" s="2280"/>
      <c r="AP147" s="2280"/>
      <c r="AQ147" s="2280"/>
      <c r="AR147" s="2280"/>
      <c r="AS147" s="2280"/>
      <c r="AT147" s="2280"/>
      <c r="AU147" s="2280"/>
      <c r="AV147" s="2280"/>
      <c r="AW147" s="2280"/>
      <c r="AX147" s="2280"/>
      <c r="AY147" s="2280"/>
      <c r="AZ147" s="2280"/>
      <c r="BA147" s="2280"/>
      <c r="BB147" s="2280"/>
      <c r="BC147" s="2280"/>
      <c r="BD147" s="2280"/>
      <c r="BE147" s="2280"/>
      <c r="BF147" s="2280"/>
      <c r="BG147" s="2280"/>
      <c r="BH147" s="2280"/>
      <c r="BI147" s="2280"/>
      <c r="BJ147" s="2280"/>
      <c r="BK147" s="2280"/>
      <c r="BL147" s="2280"/>
      <c r="BM147" s="2280"/>
    </row>
    <row r="148" spans="3:109" outlineLevel="1" x14ac:dyDescent="0.25">
      <c r="D148" s="1473" t="s">
        <v>70</v>
      </c>
      <c r="E148" s="1473"/>
      <c r="F148" s="1473"/>
      <c r="G148" s="1473"/>
      <c r="H148" s="1491"/>
      <c r="I148" s="1473"/>
      <c r="J148" s="1473"/>
      <c r="K148" s="1473"/>
    </row>
    <row r="149" spans="3:109" outlineLevel="1" x14ac:dyDescent="0.25">
      <c r="D149" s="1492"/>
      <c r="G149" s="1515"/>
      <c r="H149" s="1516"/>
    </row>
    <row r="150" spans="3:109" outlineLevel="1" x14ac:dyDescent="0.25">
      <c r="D150" s="1492"/>
      <c r="G150" s="1515"/>
      <c r="H150" s="1516"/>
    </row>
    <row r="151" spans="3:109" outlineLevel="1" x14ac:dyDescent="0.25">
      <c r="D151" s="1492"/>
      <c r="G151" s="1470"/>
      <c r="H151" s="1493"/>
      <c r="M151" s="1473"/>
    </row>
    <row r="152" spans="3:109" outlineLevel="1" x14ac:dyDescent="0.25">
      <c r="D152" s="1492"/>
      <c r="G152" s="1470"/>
      <c r="H152" s="1493"/>
      <c r="M152" s="1473"/>
    </row>
    <row r="153" spans="3:109" outlineLevel="1" x14ac:dyDescent="0.25">
      <c r="D153" s="1492"/>
      <c r="G153" s="1470"/>
      <c r="H153" s="1493"/>
      <c r="M153" s="1473"/>
    </row>
    <row r="154" spans="3:109" outlineLevel="1" x14ac:dyDescent="0.25">
      <c r="D154" s="1492"/>
      <c r="G154" s="1470"/>
      <c r="H154" s="1493"/>
    </row>
    <row r="155" spans="3:109" s="77" customFormat="1" ht="17.25" outlineLevel="1" x14ac:dyDescent="0.25">
      <c r="C155" s="198"/>
      <c r="D155" s="1406" t="s">
        <v>118</v>
      </c>
      <c r="E155" s="1406" t="s">
        <v>119</v>
      </c>
      <c r="F155" s="1406" t="s">
        <v>120</v>
      </c>
      <c r="G155" s="1406" t="s">
        <v>121</v>
      </c>
      <c r="H155" s="4097" t="s">
        <v>122</v>
      </c>
      <c r="I155" s="4098"/>
      <c r="J155" s="4097" t="s">
        <v>123</v>
      </c>
      <c r="K155" s="4098"/>
      <c r="L155" s="463"/>
      <c r="M155" s="463"/>
      <c r="N155" s="463"/>
      <c r="O155" s="198"/>
      <c r="P155" s="463"/>
      <c r="Q155" s="463"/>
      <c r="R155" s="463"/>
      <c r="S155" s="463"/>
      <c r="T155" s="463"/>
      <c r="U155" s="463"/>
      <c r="DB155" s="97"/>
    </row>
    <row r="156" spans="3:109" s="77" customFormat="1" outlineLevel="1" x14ac:dyDescent="0.25">
      <c r="C156" s="198"/>
      <c r="D156" s="102"/>
      <c r="E156" s="102"/>
      <c r="F156" s="102"/>
      <c r="G156" s="102"/>
      <c r="H156" s="4099" t="s">
        <v>124</v>
      </c>
      <c r="I156" s="4100"/>
      <c r="J156" s="4099" t="s">
        <v>125</v>
      </c>
      <c r="K156" s="4100"/>
      <c r="L156" s="463"/>
      <c r="M156" s="463"/>
      <c r="N156" s="463"/>
      <c r="O156" s="198"/>
      <c r="P156" s="463"/>
      <c r="Q156" s="463"/>
      <c r="R156" s="463"/>
      <c r="S156" s="463"/>
      <c r="T156" s="463"/>
      <c r="U156" s="463"/>
      <c r="DB156" s="97"/>
    </row>
    <row r="157" spans="3:109" s="77" customFormat="1" outlineLevel="1" x14ac:dyDescent="0.25">
      <c r="C157" s="198"/>
      <c r="D157" s="103"/>
      <c r="E157" s="103"/>
      <c r="F157" s="103"/>
      <c r="G157" s="1435" t="s">
        <v>126</v>
      </c>
      <c r="H157" s="1435" t="s">
        <v>127</v>
      </c>
      <c r="I157" s="1435" t="s">
        <v>128</v>
      </c>
      <c r="J157" s="1435" t="s">
        <v>129</v>
      </c>
      <c r="K157" s="1435" t="s">
        <v>130</v>
      </c>
      <c r="L157" s="463"/>
      <c r="M157" s="463"/>
      <c r="N157" s="463"/>
      <c r="O157" s="198"/>
      <c r="P157" s="463"/>
      <c r="Q157" s="463"/>
      <c r="R157" s="463"/>
      <c r="S157" s="463"/>
      <c r="T157" s="463"/>
      <c r="U157" s="463"/>
      <c r="DB157" s="97"/>
    </row>
    <row r="158" spans="3:109" outlineLevel="1" x14ac:dyDescent="0.25">
      <c r="D158" s="1494" t="s">
        <v>131</v>
      </c>
      <c r="E158" s="1494" t="s">
        <v>132</v>
      </c>
      <c r="F158" s="1494" t="s">
        <v>133</v>
      </c>
      <c r="G158" s="1517" t="s">
        <v>134</v>
      </c>
      <c r="H158" s="1518">
        <v>0.1</v>
      </c>
      <c r="I158" s="1518">
        <v>2.04</v>
      </c>
      <c r="J158" s="1519">
        <v>0.4</v>
      </c>
      <c r="K158" s="1520">
        <v>1.38</v>
      </c>
      <c r="L158" s="1514"/>
      <c r="M158" s="1514"/>
    </row>
    <row r="159" spans="3:109" outlineLevel="1" x14ac:dyDescent="0.25">
      <c r="D159" s="1494" t="s">
        <v>131</v>
      </c>
      <c r="E159" s="1494" t="s">
        <v>135</v>
      </c>
      <c r="F159" s="1494" t="s">
        <v>133</v>
      </c>
      <c r="G159" s="1517" t="s">
        <v>134</v>
      </c>
      <c r="H159" s="1518">
        <v>0.12</v>
      </c>
      <c r="I159" s="1518">
        <v>3.34</v>
      </c>
      <c r="J159" s="1519">
        <v>0.75</v>
      </c>
      <c r="K159" s="1520">
        <v>4.0999999999999996</v>
      </c>
      <c r="L159" s="1514"/>
      <c r="M159" s="1514"/>
    </row>
    <row r="160" spans="3:109" outlineLevel="1" x14ac:dyDescent="0.25">
      <c r="D160" s="1494" t="s">
        <v>136</v>
      </c>
      <c r="E160" s="1494" t="s">
        <v>137</v>
      </c>
      <c r="F160" s="1494" t="s">
        <v>138</v>
      </c>
      <c r="G160" s="1517">
        <v>7.5</v>
      </c>
      <c r="H160" s="1518">
        <v>0.02</v>
      </c>
      <c r="I160" s="1519">
        <v>1.6</v>
      </c>
      <c r="J160" s="1519">
        <v>0.25</v>
      </c>
      <c r="K160" s="1522">
        <v>1.55</v>
      </c>
      <c r="L160" s="1514"/>
      <c r="M160" s="1514"/>
    </row>
    <row r="161" spans="2:112" outlineLevel="1" x14ac:dyDescent="0.25">
      <c r="D161" s="1494" t="s">
        <v>136</v>
      </c>
      <c r="E161" s="1494" t="s">
        <v>137</v>
      </c>
      <c r="F161" s="1494" t="s">
        <v>139</v>
      </c>
      <c r="G161" s="1517">
        <v>22.5</v>
      </c>
      <c r="H161" s="1518">
        <v>0.09</v>
      </c>
      <c r="I161" s="1519">
        <v>0.55000000000000004</v>
      </c>
      <c r="J161" s="1519">
        <v>0.2</v>
      </c>
      <c r="K161" s="1522">
        <v>2.2999999999999998</v>
      </c>
      <c r="L161" s="1514"/>
      <c r="M161" s="1514"/>
    </row>
    <row r="162" spans="2:112" outlineLevel="1" x14ac:dyDescent="0.25">
      <c r="D162" s="1494" t="s">
        <v>136</v>
      </c>
      <c r="E162" s="1494" t="s">
        <v>137</v>
      </c>
      <c r="F162" s="1494" t="s">
        <v>140</v>
      </c>
      <c r="G162" s="1517">
        <v>40</v>
      </c>
      <c r="H162" s="1518">
        <v>0.01</v>
      </c>
      <c r="I162" s="1519">
        <v>2.95</v>
      </c>
      <c r="J162" s="1519">
        <v>0.25</v>
      </c>
      <c r="K162" s="1522">
        <v>0.8</v>
      </c>
      <c r="L162" s="1514"/>
      <c r="M162" s="1514"/>
    </row>
    <row r="163" spans="2:112" outlineLevel="1" x14ac:dyDescent="0.25">
      <c r="D163" s="1494" t="s">
        <v>136</v>
      </c>
      <c r="E163" s="1494" t="s">
        <v>137</v>
      </c>
      <c r="F163" s="1494" t="s">
        <v>141</v>
      </c>
      <c r="G163" s="1517">
        <v>50</v>
      </c>
      <c r="H163" s="1518">
        <v>0.06</v>
      </c>
      <c r="I163" s="1519">
        <v>0.45</v>
      </c>
      <c r="J163" s="1519">
        <v>0.14000000000000001</v>
      </c>
      <c r="K163" s="1522">
        <v>6.3</v>
      </c>
      <c r="L163" s="1514"/>
      <c r="M163" s="1514"/>
    </row>
    <row r="164" spans="2:112" outlineLevel="1" x14ac:dyDescent="0.25">
      <c r="D164" s="1494" t="s">
        <v>136</v>
      </c>
      <c r="E164" s="1494" t="s">
        <v>142</v>
      </c>
      <c r="F164" s="1494" t="s">
        <v>138</v>
      </c>
      <c r="G164" s="1517">
        <v>7.5</v>
      </c>
      <c r="H164" s="1518">
        <v>0.1</v>
      </c>
      <c r="I164" s="1519">
        <v>1.07</v>
      </c>
      <c r="J164" s="1519">
        <v>0.56000000000000005</v>
      </c>
      <c r="K164" s="1522">
        <v>1.61</v>
      </c>
      <c r="L164" s="1514"/>
      <c r="M164" s="1514"/>
    </row>
    <row r="165" spans="2:112" outlineLevel="1" x14ac:dyDescent="0.25">
      <c r="D165" s="1494" t="s">
        <v>136</v>
      </c>
      <c r="E165" s="1494" t="s">
        <v>142</v>
      </c>
      <c r="F165" s="1494" t="s">
        <v>139</v>
      </c>
      <c r="G165" s="1517">
        <v>22.5</v>
      </c>
      <c r="H165" s="1518">
        <v>0.15</v>
      </c>
      <c r="I165" s="1519">
        <v>0.32</v>
      </c>
      <c r="J165" s="1519">
        <v>0.3</v>
      </c>
      <c r="K165" s="1520">
        <v>5.5</v>
      </c>
      <c r="L165" s="4101"/>
      <c r="M165" s="4101"/>
      <c r="N165" s="4101"/>
    </row>
    <row r="166" spans="2:112" outlineLevel="1" x14ac:dyDescent="0.25">
      <c r="D166" s="1494" t="s">
        <v>136</v>
      </c>
      <c r="E166" s="1494" t="s">
        <v>142</v>
      </c>
      <c r="F166" s="1494" t="s">
        <v>140</v>
      </c>
      <c r="G166" s="1517">
        <v>40</v>
      </c>
      <c r="H166" s="1518">
        <v>0.06</v>
      </c>
      <c r="I166" s="1519">
        <v>3.02</v>
      </c>
      <c r="J166" s="1519">
        <v>0.55000000000000004</v>
      </c>
      <c r="K166" s="1520">
        <v>-2</v>
      </c>
      <c r="L166" s="4101"/>
      <c r="M166" s="4101"/>
      <c r="N166" s="4101"/>
    </row>
    <row r="167" spans="2:112" outlineLevel="1" x14ac:dyDescent="0.25">
      <c r="D167" s="1494" t="s">
        <v>136</v>
      </c>
      <c r="E167" s="1494" t="s">
        <v>142</v>
      </c>
      <c r="F167" s="1494" t="s">
        <v>141</v>
      </c>
      <c r="G167" s="1517">
        <v>50</v>
      </c>
      <c r="H167" s="1518">
        <v>0.08</v>
      </c>
      <c r="I167" s="1519">
        <v>2.02</v>
      </c>
      <c r="J167" s="1519">
        <v>0.32</v>
      </c>
      <c r="K167" s="1520">
        <v>9.49</v>
      </c>
      <c r="L167" s="4101"/>
      <c r="M167" s="4101"/>
      <c r="N167" s="4101"/>
    </row>
    <row r="168" spans="2:112" outlineLevel="1" x14ac:dyDescent="0.25">
      <c r="D168" s="1494" t="s">
        <v>136</v>
      </c>
      <c r="E168" s="1494" t="s">
        <v>143</v>
      </c>
      <c r="F168" s="1494" t="s">
        <v>144</v>
      </c>
      <c r="G168" s="1517">
        <v>25</v>
      </c>
      <c r="H168" s="1518">
        <v>0.06</v>
      </c>
      <c r="I168" s="1519">
        <v>0.6</v>
      </c>
      <c r="J168" s="1519">
        <v>0.1</v>
      </c>
      <c r="K168" s="1520">
        <v>0.2</v>
      </c>
      <c r="L168" s="4101"/>
      <c r="M168" s="4101"/>
      <c r="N168" s="4101"/>
    </row>
    <row r="171" spans="2:112" s="46" customFormat="1" x14ac:dyDescent="0.25">
      <c r="B171" s="4089" t="s">
        <v>145</v>
      </c>
      <c r="C171" s="4090"/>
      <c r="D171" s="4090"/>
      <c r="E171" s="4090"/>
      <c r="F171" s="4090"/>
      <c r="G171" s="4090"/>
      <c r="H171" s="4090"/>
      <c r="I171" s="4091"/>
      <c r="J171" s="4091"/>
      <c r="K171" s="4091"/>
      <c r="L171" s="4091"/>
      <c r="M171" s="3354"/>
      <c r="N171" s="3354"/>
      <c r="O171" s="3355"/>
      <c r="V171" s="47" t="str">
        <f>B171</f>
        <v>Refrigerators &amp; Freezers Controls</v>
      </c>
      <c r="W171" s="48"/>
      <c r="X171" s="48"/>
      <c r="Y171" s="48"/>
      <c r="Z171" s="48"/>
      <c r="AA171" s="48"/>
      <c r="AB171" s="48"/>
      <c r="AC171" s="48"/>
      <c r="AD171" s="48"/>
      <c r="AE171" s="48"/>
      <c r="AF171" s="48"/>
      <c r="AG171" s="48"/>
      <c r="AH171" s="48"/>
      <c r="AI171" s="49"/>
      <c r="AJ171" s="26"/>
      <c r="AK171" s="26"/>
      <c r="AL171" s="26"/>
      <c r="AM171" s="26"/>
      <c r="AN171" s="26"/>
      <c r="AO171" s="26"/>
      <c r="AP171" s="26"/>
      <c r="AQ171" s="26"/>
      <c r="AR171" s="26"/>
      <c r="AS171" s="26"/>
      <c r="AT171" s="26"/>
      <c r="AU171" s="26"/>
      <c r="DB171" s="98"/>
      <c r="DG171" s="2282"/>
      <c r="DH171" s="2282"/>
    </row>
    <row r="172" spans="2:112" x14ac:dyDescent="0.25">
      <c r="D172" s="1478"/>
      <c r="E172" s="1473"/>
      <c r="F172" s="1473"/>
      <c r="G172" s="1473"/>
      <c r="H172" s="1479"/>
      <c r="I172" s="1473"/>
      <c r="J172" s="1473"/>
      <c r="K172" s="1473"/>
      <c r="L172" s="1473"/>
      <c r="P172" s="1473"/>
      <c r="Q172" s="1473"/>
      <c r="R172" s="1473"/>
      <c r="S172" s="1473"/>
      <c r="T172" s="1473"/>
      <c r="U172" s="1473"/>
      <c r="V172"/>
      <c r="W172"/>
      <c r="X172"/>
      <c r="Y172"/>
      <c r="Z172"/>
      <c r="AA172"/>
      <c r="AB172"/>
      <c r="AC172"/>
      <c r="AD172"/>
      <c r="AE172"/>
      <c r="AF172"/>
      <c r="AG172"/>
      <c r="AH172"/>
      <c r="AI172"/>
      <c r="AJ172" s="44"/>
      <c r="AK172" s="44"/>
      <c r="AL172" s="44"/>
      <c r="AM172" s="44"/>
      <c r="AN172" s="44"/>
      <c r="AO172" s="44"/>
      <c r="AP172" s="44"/>
      <c r="AQ172" s="44"/>
      <c r="AR172" s="44"/>
      <c r="AS172" s="44"/>
      <c r="AT172" s="44"/>
      <c r="AU172" s="44"/>
    </row>
    <row r="173" spans="2:112" s="50" customFormat="1" ht="30" x14ac:dyDescent="0.25">
      <c r="B173" s="51"/>
      <c r="C173" s="52" t="s">
        <v>17</v>
      </c>
      <c r="D173" s="1435" t="s">
        <v>18</v>
      </c>
      <c r="E173" s="1435" t="s">
        <v>19</v>
      </c>
      <c r="F173" s="1435" t="s">
        <v>146</v>
      </c>
      <c r="G173" s="1435" t="s">
        <v>21</v>
      </c>
      <c r="H173" s="1435" t="s">
        <v>22</v>
      </c>
      <c r="I173" s="1435" t="s">
        <v>23</v>
      </c>
      <c r="J173" s="1435" t="s">
        <v>24</v>
      </c>
      <c r="K173" s="1435" t="s">
        <v>147</v>
      </c>
      <c r="L173" s="52" t="s">
        <v>26</v>
      </c>
      <c r="M173" s="1470"/>
      <c r="N173" s="1470"/>
      <c r="O173" s="1470"/>
      <c r="P173" s="1480"/>
      <c r="Q173" s="1480"/>
      <c r="R173" s="1480"/>
      <c r="S173" s="1480"/>
      <c r="T173" s="1480"/>
      <c r="U173" s="1480"/>
      <c r="V173" s="55" t="s">
        <v>27</v>
      </c>
      <c r="W173" s="56">
        <f>$W$8</f>
        <v>43252</v>
      </c>
      <c r="X173" s="56">
        <f>$X$8</f>
        <v>43465</v>
      </c>
      <c r="Y173" s="56">
        <f>$Y$8</f>
        <v>43800</v>
      </c>
      <c r="Z173" s="56">
        <f>$Z$8</f>
        <v>43862</v>
      </c>
      <c r="AA173" s="56">
        <f>$AA$8</f>
        <v>44013</v>
      </c>
      <c r="AB173" s="56">
        <v>44166</v>
      </c>
      <c r="AC173" s="56" t="str">
        <f>$AC$8</f>
        <v>-</v>
      </c>
      <c r="AD173" s="56" t="str">
        <f>$AD$8</f>
        <v>-</v>
      </c>
      <c r="AE173" s="56" t="str">
        <f>$AE$8</f>
        <v>-</v>
      </c>
      <c r="AF173" s="56" t="str">
        <f>$AF$8</f>
        <v>-</v>
      </c>
      <c r="AG173" s="56" t="str">
        <f>$AG$8</f>
        <v>-</v>
      </c>
      <c r="AH173"/>
      <c r="AI173" s="55" t="s">
        <v>27</v>
      </c>
      <c r="AJ173" s="56">
        <v>43252</v>
      </c>
      <c r="AK173" s="56">
        <f>$X$8</f>
        <v>43465</v>
      </c>
      <c r="AL173" s="56">
        <f>$Y$8</f>
        <v>43800</v>
      </c>
      <c r="AM173" s="56">
        <f>$Z$8</f>
        <v>43862</v>
      </c>
      <c r="AN173" s="56">
        <f>$AA$8</f>
        <v>44013</v>
      </c>
      <c r="AO173" s="56">
        <f>$AB$8</f>
        <v>44166</v>
      </c>
      <c r="AP173" s="56" t="str">
        <f>$AC$8</f>
        <v>-</v>
      </c>
      <c r="AQ173" s="56" t="str">
        <f>$AD$8</f>
        <v>-</v>
      </c>
      <c r="AR173" s="56" t="str">
        <f>$AE$8</f>
        <v>-</v>
      </c>
      <c r="AS173" s="56" t="str">
        <f>$AF$8</f>
        <v>-</v>
      </c>
      <c r="AT173" s="29"/>
      <c r="AU173" s="55" t="s">
        <v>27</v>
      </c>
      <c r="AV173" s="56">
        <v>43252</v>
      </c>
      <c r="AW173" s="56">
        <f>$X$8</f>
        <v>43465</v>
      </c>
      <c r="AX173" s="56">
        <f>$Y$8</f>
        <v>43800</v>
      </c>
      <c r="AY173" s="56">
        <f>$Z$8</f>
        <v>43862</v>
      </c>
      <c r="AZ173" s="56">
        <f>$AA$8</f>
        <v>44013</v>
      </c>
      <c r="BA173" s="56">
        <v>44166</v>
      </c>
      <c r="BB173" s="56" t="str">
        <f>$AC$8</f>
        <v>-</v>
      </c>
      <c r="BC173" s="56" t="str">
        <f>$AD$8</f>
        <v>-</v>
      </c>
      <c r="BD173" s="56" t="str">
        <f>$AE$8</f>
        <v>-</v>
      </c>
      <c r="BE173" s="56" t="str">
        <f>$AF$8</f>
        <v>-</v>
      </c>
      <c r="DB173" s="57" t="str">
        <f>$DB$8</f>
        <v>TRC (2020)</v>
      </c>
      <c r="DC173" s="93" t="str">
        <f>$DC$8</f>
        <v>Benefit Lookup</v>
      </c>
      <c r="DD173" s="93" t="str">
        <f>$DD$8</f>
        <v>Benefits (2019 $)</v>
      </c>
      <c r="DE173" s="93" t="str">
        <f>$DE$8</f>
        <v>Incremental Cost (2019 $)</v>
      </c>
    </row>
    <row r="174" spans="2:112" ht="15" customHeight="1" x14ac:dyDescent="0.25">
      <c r="C174" s="2969" t="s">
        <v>148</v>
      </c>
      <c r="D174" s="1481" t="s">
        <v>34</v>
      </c>
      <c r="E174" s="1501" t="s">
        <v>149</v>
      </c>
      <c r="F174" s="183">
        <f>ROUND(F$185*G$185*(H$185-H187)*I$185*J187,2)</f>
        <v>668.14</v>
      </c>
      <c r="G174" s="1482" t="s">
        <v>83</v>
      </c>
      <c r="H174" s="1483">
        <f>VLOOKUP(G174,'CP FACTORS'!$A$26:$B$38,2,FALSE)</f>
        <v>1.3573829999999999E-4</v>
      </c>
      <c r="I174" s="1502">
        <f>ROUND(H174*F174,6)</f>
        <v>9.0691999999999995E-2</v>
      </c>
      <c r="J174" s="1509">
        <v>12</v>
      </c>
      <c r="K174" s="1523">
        <v>151</v>
      </c>
      <c r="L174" s="1297" t="s">
        <v>150</v>
      </c>
      <c r="M174" s="4103"/>
      <c r="N174" s="4103"/>
      <c r="O174" s="4103"/>
      <c r="V174" s="60" t="str">
        <f>F173</f>
        <v>kWh Annual Savings (per door)</v>
      </c>
      <c r="W174" s="163">
        <v>668.13575400000013</v>
      </c>
      <c r="X174" s="163">
        <v>668.13575400000013</v>
      </c>
      <c r="Y174" s="163">
        <v>668.13575400000013</v>
      </c>
      <c r="Z174" s="163">
        <v>668.13575400000013</v>
      </c>
      <c r="AA174" s="163">
        <v>668.13575400000013</v>
      </c>
      <c r="AB174" s="2372">
        <v>668.14</v>
      </c>
      <c r="AC174" s="2510"/>
      <c r="AD174" s="2510"/>
      <c r="AE174" s="2510"/>
      <c r="AF174" s="2510"/>
      <c r="AG174" s="2510"/>
      <c r="AH174" s="2511"/>
      <c r="AI174" s="2434" t="s">
        <v>24</v>
      </c>
      <c r="AJ174" s="87">
        <v>12</v>
      </c>
      <c r="AK174" s="87">
        <v>12</v>
      </c>
      <c r="AL174" s="87">
        <v>12</v>
      </c>
      <c r="AM174" s="87">
        <v>12</v>
      </c>
      <c r="AN174" s="87">
        <v>12</v>
      </c>
      <c r="AO174" s="2498">
        <f>J174</f>
        <v>12</v>
      </c>
      <c r="AP174" s="2510"/>
      <c r="AQ174" s="2510"/>
      <c r="AR174" s="2510"/>
      <c r="AS174" s="2510"/>
      <c r="AT174" s="2280"/>
      <c r="AU174" s="2434" t="str">
        <f>K173</f>
        <v>Inc. Cost (per door)</v>
      </c>
      <c r="AV174" s="2513">
        <v>151</v>
      </c>
      <c r="AW174" s="2513">
        <v>151</v>
      </c>
      <c r="AX174" s="2513">
        <v>151</v>
      </c>
      <c r="AY174" s="2513">
        <v>151</v>
      </c>
      <c r="AZ174" s="2513">
        <v>151</v>
      </c>
      <c r="BA174" s="2877">
        <v>151</v>
      </c>
      <c r="BB174" s="2510"/>
      <c r="BC174" s="2510"/>
      <c r="BD174" s="2510"/>
      <c r="BE174" s="2510"/>
      <c r="BF174" s="2280"/>
      <c r="BG174" s="2280"/>
      <c r="BH174" s="2280"/>
      <c r="BI174" s="2280"/>
      <c r="BJ174" s="2280"/>
      <c r="BK174" s="2280"/>
      <c r="BL174" s="2280"/>
      <c r="BM174" s="2280"/>
      <c r="BN174" s="2280"/>
      <c r="BO174" s="2280"/>
      <c r="BP174" s="2280"/>
      <c r="BQ174" s="2280"/>
      <c r="BR174" s="2280"/>
      <c r="BS174" s="2280"/>
      <c r="BT174" s="2280"/>
      <c r="BU174" s="2280"/>
      <c r="DB174" s="67">
        <f>(DD174)/(DE174)</f>
        <v>2.0378027787616295</v>
      </c>
      <c r="DC174" s="68" t="str">
        <f>CONCATENATE(G174," ",J174," Year EUL")</f>
        <v>Refrigeration BUS 12 Year EUL</v>
      </c>
      <c r="DD174" s="94">
        <f>(INDEX('Avoided Cost Benefits'!$C$4:$C$857,MATCH(DC174,'Avoided Cost Benefits'!$A$4:$A$857,0)))*F174</f>
        <v>290.42776743086932</v>
      </c>
      <c r="DE174" s="69">
        <f>K174/(1.0595^(2020-2019))</f>
        <v>142.52005663048607</v>
      </c>
    </row>
    <row r="175" spans="2:112" x14ac:dyDescent="0.25">
      <c r="C175" s="2969" t="s">
        <v>151</v>
      </c>
      <c r="D175" s="1481" t="s">
        <v>34</v>
      </c>
      <c r="E175" s="1512" t="s">
        <v>152</v>
      </c>
      <c r="F175" s="183">
        <f>ROUND(F$185*G$185*(H$185-H188)*I$185*J188,2)</f>
        <v>770.93</v>
      </c>
      <c r="G175" s="1482" t="s">
        <v>83</v>
      </c>
      <c r="H175" s="1483">
        <f>VLOOKUP(G175,'CP FACTORS'!$A$26:$B$38,2,FALSE)</f>
        <v>1.3573829999999999E-4</v>
      </c>
      <c r="I175" s="1502">
        <f>ROUND(H175*F175,6)</f>
        <v>0.104645</v>
      </c>
      <c r="J175" s="1510">
        <v>12</v>
      </c>
      <c r="K175" s="1523">
        <v>151</v>
      </c>
      <c r="L175" s="1297" t="s">
        <v>150</v>
      </c>
      <c r="M175" s="4103"/>
      <c r="N175" s="4103"/>
      <c r="O175" s="4103"/>
      <c r="V175" s="60" t="str">
        <f>V174</f>
        <v>kWh Annual Savings (per door)</v>
      </c>
      <c r="W175" s="163">
        <v>770.92587000000003</v>
      </c>
      <c r="X175" s="163">
        <v>770.92587000000003</v>
      </c>
      <c r="Y175" s="163">
        <v>770.92587000000003</v>
      </c>
      <c r="Z175" s="163">
        <v>770.92587000000003</v>
      </c>
      <c r="AA175" s="163">
        <v>770.92587000000003</v>
      </c>
      <c r="AB175" s="2372">
        <v>770.93</v>
      </c>
      <c r="AC175" s="2510"/>
      <c r="AD175" s="2510"/>
      <c r="AE175" s="2510"/>
      <c r="AF175" s="2510"/>
      <c r="AG175" s="2510"/>
      <c r="AH175" s="2511"/>
      <c r="AI175" s="2434" t="s">
        <v>24</v>
      </c>
      <c r="AJ175" s="87">
        <v>12</v>
      </c>
      <c r="AK175" s="87">
        <v>12</v>
      </c>
      <c r="AL175" s="87">
        <v>12</v>
      </c>
      <c r="AM175" s="87">
        <v>12</v>
      </c>
      <c r="AN175" s="87">
        <v>12</v>
      </c>
      <c r="AO175" s="2498">
        <f t="shared" ref="AO175" si="118">J175</f>
        <v>12</v>
      </c>
      <c r="AP175" s="2510"/>
      <c r="AQ175" s="2510"/>
      <c r="AR175" s="2510"/>
      <c r="AS175" s="2510"/>
      <c r="AT175" s="2280"/>
      <c r="AU175" s="2434" t="str">
        <f>AU174</f>
        <v>Inc. Cost (per door)</v>
      </c>
      <c r="AV175" s="2513">
        <v>151</v>
      </c>
      <c r="AW175" s="2513">
        <v>151</v>
      </c>
      <c r="AX175" s="2513">
        <v>151</v>
      </c>
      <c r="AY175" s="2513">
        <v>151</v>
      </c>
      <c r="AZ175" s="2513">
        <v>151</v>
      </c>
      <c r="BA175" s="2877">
        <v>151</v>
      </c>
      <c r="BB175" s="2510"/>
      <c r="BC175" s="2510"/>
      <c r="BD175" s="2510"/>
      <c r="BE175" s="2510"/>
      <c r="BF175" s="2280"/>
      <c r="BG175" s="2280"/>
      <c r="BH175" s="2280"/>
      <c r="BI175" s="2280"/>
      <c r="BJ175" s="2280"/>
      <c r="BK175" s="2280"/>
      <c r="BL175" s="2280"/>
      <c r="BM175" s="2280"/>
      <c r="BN175" s="2280"/>
      <c r="BO175" s="2280"/>
      <c r="BP175" s="2280"/>
      <c r="BQ175" s="2280"/>
      <c r="BR175" s="2280"/>
      <c r="BS175" s="2280"/>
      <c r="BT175" s="2280"/>
      <c r="BU175" s="2280"/>
      <c r="DB175" s="74">
        <f>(DD175)/(DE175)</f>
        <v>2.3513085524451509</v>
      </c>
      <c r="DC175" s="72" t="str">
        <f>CONCATENATE(G175," ",J175," Year EUL")</f>
        <v>Refrigeration BUS 12 Year EUL</v>
      </c>
      <c r="DD175" s="96">
        <f>(INDEX('Avoided Cost Benefits'!$C$4:$C$857,MATCH(DC175,'Avoided Cost Benefits'!$A$4:$A$857,0)))*F175</f>
        <v>335.10862805022913</v>
      </c>
      <c r="DE175" s="75">
        <f>K175/(1.0595^(2020-2019))</f>
        <v>142.52005663048607</v>
      </c>
    </row>
    <row r="176" spans="2:112" outlineLevel="1" x14ac:dyDescent="0.25">
      <c r="E176" s="1473"/>
      <c r="F176" s="1473"/>
      <c r="G176" s="1473"/>
      <c r="H176" s="1491"/>
      <c r="I176" s="1473"/>
      <c r="J176" s="1473"/>
      <c r="K176" s="1473"/>
      <c r="M176" s="4103"/>
      <c r="N176" s="4103"/>
      <c r="O176" s="4103"/>
      <c r="W176" s="2280"/>
      <c r="X176" s="2280"/>
      <c r="Y176" s="2280"/>
      <c r="Z176" s="2280"/>
      <c r="AA176" s="2280"/>
      <c r="AB176" s="2280"/>
      <c r="AC176" s="2280"/>
      <c r="AD176" s="2280"/>
      <c r="AE176" s="2280"/>
      <c r="AF176" s="2280"/>
      <c r="AG176" s="2280"/>
      <c r="AH176" s="2280"/>
      <c r="AI176" s="2280"/>
      <c r="AJ176" s="2280"/>
      <c r="AK176" s="2280"/>
      <c r="AL176" s="2280"/>
      <c r="AM176" s="2280"/>
      <c r="AN176" s="2280"/>
      <c r="AO176" s="2280"/>
      <c r="AP176" s="2280"/>
      <c r="AQ176" s="2280"/>
      <c r="AR176" s="2280"/>
      <c r="AS176" s="2280"/>
      <c r="AT176" s="2280"/>
      <c r="AU176" s="2280"/>
      <c r="AV176" s="2280"/>
      <c r="AW176" s="2280"/>
      <c r="AX176" s="2280"/>
      <c r="AY176" s="2280"/>
      <c r="AZ176" s="2280"/>
      <c r="BA176" s="2280"/>
      <c r="BB176" s="2280"/>
      <c r="BC176" s="2280"/>
      <c r="BD176" s="2280"/>
      <c r="BE176" s="2280"/>
      <c r="BF176" s="2280"/>
      <c r="BG176" s="2280"/>
      <c r="BH176" s="2280"/>
      <c r="BI176" s="2280"/>
      <c r="BJ176" s="2280"/>
      <c r="BK176" s="2280"/>
      <c r="BL176" s="2280"/>
      <c r="BM176" s="2280"/>
      <c r="BN176" s="2280"/>
      <c r="BO176" s="2280"/>
      <c r="BP176" s="2280"/>
      <c r="BQ176" s="2280"/>
      <c r="BR176" s="2280"/>
      <c r="BS176" s="2280"/>
      <c r="BT176" s="2280"/>
      <c r="BU176" s="2280"/>
    </row>
    <row r="177" spans="2:112" outlineLevel="1" x14ac:dyDescent="0.25">
      <c r="D177" s="1473" t="s">
        <v>70</v>
      </c>
      <c r="E177" s="1473"/>
      <c r="F177" s="1473"/>
      <c r="G177" s="1473"/>
      <c r="H177" s="1491"/>
      <c r="I177" s="1473"/>
      <c r="J177" s="1473"/>
      <c r="K177" s="1473"/>
      <c r="M177" s="4103"/>
      <c r="N177" s="4103"/>
      <c r="O177" s="4103"/>
      <c r="W177" s="2280"/>
      <c r="X177" s="2280"/>
      <c r="Y177" s="2280"/>
      <c r="Z177" s="2280"/>
      <c r="AA177" s="2280"/>
      <c r="AB177" s="2280"/>
      <c r="AC177" s="2280"/>
      <c r="AD177" s="2280"/>
      <c r="AE177" s="2280"/>
      <c r="AF177" s="2280"/>
      <c r="AG177" s="2280"/>
      <c r="AH177" s="2280"/>
      <c r="AI177" s="2280"/>
      <c r="AJ177" s="2280"/>
      <c r="AK177" s="2280"/>
      <c r="AL177" s="2280"/>
      <c r="AM177" s="2280"/>
      <c r="AN177" s="2280"/>
      <c r="AO177" s="2280"/>
      <c r="AP177" s="2280"/>
      <c r="AQ177" s="2280"/>
      <c r="AR177" s="2280"/>
      <c r="AS177" s="2280"/>
      <c r="AT177" s="2280"/>
      <c r="AU177" s="2280"/>
      <c r="AV177" s="2280"/>
      <c r="AW177" s="2280"/>
      <c r="AX177" s="2280"/>
      <c r="AY177" s="2280"/>
      <c r="AZ177" s="2280"/>
      <c r="BA177" s="2280"/>
      <c r="BB177" s="2280"/>
      <c r="BC177" s="2280"/>
      <c r="BD177" s="2280"/>
      <c r="BE177" s="2280"/>
      <c r="BF177" s="2280"/>
      <c r="BG177" s="2280"/>
      <c r="BH177" s="2280"/>
      <c r="BI177" s="2280"/>
      <c r="BJ177" s="2280"/>
      <c r="BK177" s="2280"/>
      <c r="BL177" s="2280"/>
      <c r="BM177" s="2280"/>
      <c r="BN177" s="2280"/>
      <c r="BO177" s="2280"/>
      <c r="BP177" s="2280"/>
      <c r="BQ177" s="2280"/>
      <c r="BR177" s="2280"/>
      <c r="BS177" s="2280"/>
      <c r="BT177" s="2280"/>
      <c r="BU177" s="2280"/>
    </row>
    <row r="178" spans="2:112" outlineLevel="1" x14ac:dyDescent="0.25">
      <c r="D178" s="1492"/>
      <c r="G178" s="1515"/>
      <c r="H178" s="1516"/>
      <c r="M178" s="4103"/>
      <c r="N178" s="4103"/>
      <c r="O178" s="4103"/>
      <c r="W178" s="2280"/>
      <c r="X178" s="2280"/>
      <c r="Y178" s="2280"/>
      <c r="Z178" s="2280"/>
      <c r="AA178" s="2280"/>
      <c r="AB178" s="2280"/>
      <c r="AC178" s="2280"/>
      <c r="AD178" s="2280"/>
      <c r="AE178" s="2280"/>
      <c r="AF178" s="2280"/>
      <c r="AG178" s="2280"/>
      <c r="AH178" s="2280"/>
      <c r="AI178" s="2280"/>
      <c r="AJ178" s="2280"/>
      <c r="AK178" s="2280"/>
      <c r="AL178" s="2280"/>
      <c r="AM178" s="2280"/>
      <c r="AN178" s="2280"/>
      <c r="AO178" s="2280"/>
      <c r="AP178" s="2280"/>
      <c r="AQ178" s="2280"/>
      <c r="AR178" s="2280"/>
      <c r="AS178" s="2280"/>
      <c r="AT178" s="2280"/>
      <c r="AU178" s="2280"/>
      <c r="AV178" s="2280"/>
      <c r="AW178" s="2280"/>
      <c r="AX178" s="2280"/>
      <c r="AY178" s="2280"/>
      <c r="AZ178" s="2280"/>
      <c r="BA178" s="2280"/>
      <c r="BB178" s="2280"/>
      <c r="BC178" s="2280"/>
      <c r="BD178" s="2280"/>
      <c r="BE178" s="2280"/>
      <c r="BF178" s="2280"/>
      <c r="BG178" s="2280"/>
      <c r="BH178" s="2280"/>
      <c r="BI178" s="2280"/>
      <c r="BJ178" s="2280"/>
      <c r="BK178" s="2280"/>
      <c r="BL178" s="2280"/>
      <c r="BM178" s="2280"/>
      <c r="BN178" s="2280"/>
      <c r="BO178" s="2280"/>
      <c r="BP178" s="2280"/>
      <c r="BQ178" s="2280"/>
      <c r="BR178" s="2280"/>
      <c r="BS178" s="2280"/>
      <c r="BT178" s="2280"/>
      <c r="BU178" s="2280"/>
    </row>
    <row r="179" spans="2:112" outlineLevel="1" x14ac:dyDescent="0.25">
      <c r="D179" s="1492"/>
      <c r="G179" s="1515"/>
      <c r="H179" s="1516"/>
    </row>
    <row r="180" spans="2:112" outlineLevel="1" x14ac:dyDescent="0.25">
      <c r="D180" s="1492"/>
      <c r="G180" s="1470"/>
      <c r="H180" s="1493"/>
      <c r="M180" s="1473"/>
    </row>
    <row r="181" spans="2:112" outlineLevel="1" x14ac:dyDescent="0.25">
      <c r="D181" s="1492"/>
      <c r="G181" s="1470"/>
      <c r="H181" s="1493"/>
      <c r="M181" s="1473"/>
    </row>
    <row r="182" spans="2:112" outlineLevel="1" x14ac:dyDescent="0.25">
      <c r="D182" s="1492"/>
      <c r="G182" s="1470"/>
      <c r="H182" s="1493"/>
      <c r="M182" s="1473"/>
    </row>
    <row r="183" spans="2:112" outlineLevel="1" x14ac:dyDescent="0.25">
      <c r="D183" s="1492"/>
      <c r="G183" s="1470"/>
      <c r="H183" s="1493"/>
    </row>
    <row r="184" spans="2:112" s="77" customFormat="1" ht="60" outlineLevel="1" x14ac:dyDescent="0.25">
      <c r="C184" s="198"/>
      <c r="D184" s="1406"/>
      <c r="E184" s="1406" t="s">
        <v>119</v>
      </c>
      <c r="F184" s="1406" t="s">
        <v>153</v>
      </c>
      <c r="G184" s="1406" t="s">
        <v>154</v>
      </c>
      <c r="H184" s="104" t="s">
        <v>155</v>
      </c>
      <c r="I184" s="104" t="s">
        <v>77</v>
      </c>
      <c r="J184" s="1403" t="s">
        <v>156</v>
      </c>
      <c r="K184" s="463"/>
      <c r="L184" s="463"/>
      <c r="M184" s="198"/>
      <c r="N184" s="463"/>
      <c r="O184" s="463"/>
      <c r="P184" s="463"/>
      <c r="Q184" s="463"/>
      <c r="R184" s="463"/>
      <c r="S184" s="463"/>
      <c r="T184" s="463"/>
      <c r="U184" s="463"/>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DB184" s="27"/>
      <c r="DC184" s="26"/>
      <c r="DD184" s="26"/>
      <c r="DE184" s="26"/>
      <c r="DF184" s="26"/>
      <c r="DG184" s="2278"/>
      <c r="DH184" s="2278"/>
    </row>
    <row r="185" spans="2:112" outlineLevel="1" x14ac:dyDescent="0.25">
      <c r="D185" s="1494"/>
      <c r="E185" s="1494" t="s">
        <v>157</v>
      </c>
      <c r="F185" s="1524">
        <v>0.13</v>
      </c>
      <c r="G185" s="1525">
        <v>1</v>
      </c>
      <c r="H185" s="1526">
        <v>0.90700000000000003</v>
      </c>
      <c r="I185" s="1527">
        <v>8766</v>
      </c>
      <c r="J185" s="1528"/>
      <c r="K185" s="1514"/>
    </row>
    <row r="186" spans="2:112" outlineLevel="1" x14ac:dyDescent="0.25">
      <c r="D186" s="1521"/>
      <c r="E186" s="1521"/>
      <c r="F186" s="1529"/>
      <c r="G186" s="1530"/>
      <c r="H186" s="1531"/>
      <c r="I186" s="1527"/>
      <c r="J186" s="1528"/>
      <c r="K186" s="1514"/>
    </row>
    <row r="187" spans="2:112" outlineLevel="1" x14ac:dyDescent="0.25">
      <c r="D187" s="1494"/>
      <c r="E187" s="1494" t="str">
        <f>E174</f>
        <v>Anti-Sweat Heater Controls Refrigerator</v>
      </c>
      <c r="F187" s="1524">
        <v>0.13</v>
      </c>
      <c r="G187" s="1525">
        <v>1</v>
      </c>
      <c r="H187" s="1526">
        <v>0.45600000000000002</v>
      </c>
      <c r="I187" s="1527">
        <v>8766</v>
      </c>
      <c r="J187" s="1528">
        <v>1.3</v>
      </c>
      <c r="K187" s="1514"/>
    </row>
    <row r="188" spans="2:112" outlineLevel="1" x14ac:dyDescent="0.25">
      <c r="D188" s="1494"/>
      <c r="E188" s="1494" t="str">
        <f>E175</f>
        <v>Anti-Sweat Heater Controls Freezer</v>
      </c>
      <c r="F188" s="1524">
        <v>0.13</v>
      </c>
      <c r="G188" s="1525">
        <v>1</v>
      </c>
      <c r="H188" s="1526">
        <v>0.45600000000000002</v>
      </c>
      <c r="I188" s="1527">
        <v>8766</v>
      </c>
      <c r="J188" s="1528">
        <v>1.5</v>
      </c>
      <c r="K188" s="1514"/>
    </row>
    <row r="191" spans="2:112" s="46" customFormat="1" x14ac:dyDescent="0.25">
      <c r="B191" s="4089" t="s">
        <v>158</v>
      </c>
      <c r="C191" s="4090"/>
      <c r="D191" s="4090"/>
      <c r="E191" s="4090"/>
      <c r="F191" s="4090"/>
      <c r="G191" s="4090"/>
      <c r="H191" s="4090"/>
      <c r="I191" s="4091"/>
      <c r="J191" s="4091"/>
      <c r="K191" s="4091"/>
      <c r="L191" s="4091"/>
      <c r="M191" s="3354"/>
      <c r="N191" s="3354"/>
      <c r="O191" s="3355"/>
      <c r="V191" s="47" t="str">
        <f>B191</f>
        <v>Heat Pump Water Heaters</v>
      </c>
      <c r="W191" s="48"/>
      <c r="X191" s="48"/>
      <c r="Y191" s="48"/>
      <c r="Z191" s="48"/>
      <c r="AA191" s="48"/>
      <c r="AB191" s="48"/>
      <c r="AC191" s="48"/>
      <c r="AD191" s="48"/>
      <c r="AE191" s="48"/>
      <c r="AF191" s="48"/>
      <c r="AG191" s="48"/>
      <c r="AH191" s="48"/>
      <c r="AI191" s="49"/>
      <c r="AJ191" s="26"/>
      <c r="AK191" s="26"/>
      <c r="AL191" s="26"/>
      <c r="AM191" s="26"/>
      <c r="AN191" s="26"/>
      <c r="AO191" s="26"/>
      <c r="AP191" s="26"/>
      <c r="AQ191" s="26"/>
      <c r="AR191" s="26"/>
      <c r="AS191" s="26"/>
      <c r="AT191" s="26"/>
      <c r="AU191" s="26"/>
      <c r="DB191" s="98"/>
      <c r="DG191" s="2282"/>
      <c r="DH191" s="2282"/>
    </row>
    <row r="192" spans="2:112" x14ac:dyDescent="0.25">
      <c r="D192" s="1478"/>
      <c r="E192" s="1473"/>
      <c r="F192" s="1473"/>
      <c r="G192" s="1473"/>
      <c r="H192" s="1479"/>
      <c r="I192" s="1473"/>
      <c r="J192" s="1473"/>
      <c r="K192" s="1473"/>
      <c r="L192" s="1473"/>
      <c r="P192" s="1473"/>
      <c r="Q192" s="1473"/>
      <c r="R192" s="1473"/>
      <c r="S192" s="1473"/>
      <c r="T192" s="1473"/>
      <c r="U192" s="1473"/>
      <c r="V192"/>
      <c r="W192"/>
      <c r="X192"/>
      <c r="Y192"/>
      <c r="Z192"/>
      <c r="AA192"/>
      <c r="AB192"/>
      <c r="AC192"/>
      <c r="AD192"/>
      <c r="AE192"/>
      <c r="AF192"/>
      <c r="AG192"/>
      <c r="AH192"/>
      <c r="AI192"/>
      <c r="AJ192" s="44"/>
      <c r="AK192" s="44"/>
      <c r="AL192" s="44"/>
      <c r="AM192" s="44"/>
      <c r="AN192" s="44"/>
      <c r="AO192" s="44"/>
      <c r="AP192" s="44"/>
      <c r="AQ192" s="44"/>
      <c r="AR192" s="44"/>
      <c r="AS192" s="44"/>
      <c r="AT192" s="44"/>
      <c r="AU192" s="44"/>
    </row>
    <row r="193" spans="2:109" s="50" customFormat="1" ht="30" x14ac:dyDescent="0.25">
      <c r="B193" s="51"/>
      <c r="C193" s="52" t="s">
        <v>17</v>
      </c>
      <c r="D193" s="1435" t="s">
        <v>18</v>
      </c>
      <c r="E193" s="1435" t="s">
        <v>19</v>
      </c>
      <c r="F193" s="1435" t="s">
        <v>20</v>
      </c>
      <c r="G193" s="1435" t="s">
        <v>21</v>
      </c>
      <c r="H193" s="53" t="s">
        <v>22</v>
      </c>
      <c r="I193" s="1435" t="s">
        <v>23</v>
      </c>
      <c r="J193" s="1435" t="s">
        <v>24</v>
      </c>
      <c r="K193" s="52" t="s">
        <v>25</v>
      </c>
      <c r="L193" s="52" t="s">
        <v>26</v>
      </c>
      <c r="M193" s="1470"/>
      <c r="N193" s="1470"/>
      <c r="O193" s="1470"/>
      <c r="P193" s="1480"/>
      <c r="Q193" s="1480"/>
      <c r="R193" s="1480"/>
      <c r="S193" s="1480"/>
      <c r="T193" s="1480"/>
      <c r="U193" s="1480"/>
      <c r="V193" s="55" t="s">
        <v>27</v>
      </c>
      <c r="W193" s="56">
        <f>$W$8</f>
        <v>43252</v>
      </c>
      <c r="X193" s="56">
        <f>$X$8</f>
        <v>43465</v>
      </c>
      <c r="Y193" s="56">
        <f>$Y$8</f>
        <v>43800</v>
      </c>
      <c r="Z193" s="56">
        <f>$Z$8</f>
        <v>43862</v>
      </c>
      <c r="AA193" s="56">
        <f>$AA$8</f>
        <v>44013</v>
      </c>
      <c r="AB193" s="56">
        <v>44166</v>
      </c>
      <c r="AC193" s="56" t="str">
        <f>$AC$8</f>
        <v>-</v>
      </c>
      <c r="AD193" s="56" t="str">
        <f>$AD$8</f>
        <v>-</v>
      </c>
      <c r="AE193" s="56" t="str">
        <f>$AE$8</f>
        <v>-</v>
      </c>
      <c r="AF193" s="56" t="str">
        <f>$AF$8</f>
        <v>-</v>
      </c>
      <c r="AG193" s="56" t="str">
        <f>$AG$8</f>
        <v>-</v>
      </c>
      <c r="AH193"/>
      <c r="AI193" s="55" t="s">
        <v>27</v>
      </c>
      <c r="AJ193" s="56">
        <v>43252</v>
      </c>
      <c r="AK193" s="56">
        <f>$X$8</f>
        <v>43465</v>
      </c>
      <c r="AL193" s="56">
        <f>$Y$8</f>
        <v>43800</v>
      </c>
      <c r="AM193" s="56">
        <f>$Z$8</f>
        <v>43862</v>
      </c>
      <c r="AN193" s="56">
        <f>$AA$8</f>
        <v>44013</v>
      </c>
      <c r="AO193" s="56">
        <f>$AB$8</f>
        <v>44166</v>
      </c>
      <c r="AP193" s="56" t="str">
        <f>$AC$8</f>
        <v>-</v>
      </c>
      <c r="AQ193" s="56" t="str">
        <f>$AD$8</f>
        <v>-</v>
      </c>
      <c r="AR193" s="56" t="str">
        <f>$AE$8</f>
        <v>-</v>
      </c>
      <c r="AS193" s="56" t="str">
        <f>$AF$8</f>
        <v>-</v>
      </c>
      <c r="AT193" s="29"/>
      <c r="AU193" s="55" t="s">
        <v>27</v>
      </c>
      <c r="AV193" s="56">
        <v>43252</v>
      </c>
      <c r="AW193" s="56">
        <f>$X$8</f>
        <v>43465</v>
      </c>
      <c r="AX193" s="56">
        <f>$Y$8</f>
        <v>43800</v>
      </c>
      <c r="AY193" s="56">
        <f>$Z$8</f>
        <v>43862</v>
      </c>
      <c r="AZ193" s="56">
        <f>$AA$8</f>
        <v>44013</v>
      </c>
      <c r="BA193" s="56">
        <v>44166</v>
      </c>
      <c r="BB193" s="56" t="str">
        <f>$AC$8</f>
        <v>-</v>
      </c>
      <c r="BC193" s="56" t="str">
        <f>$AD$8</f>
        <v>-</v>
      </c>
      <c r="BD193" s="56" t="str">
        <f>$AE$8</f>
        <v>-</v>
      </c>
      <c r="BE193" s="56" t="str">
        <f>$AF$8</f>
        <v>-</v>
      </c>
      <c r="DB193" s="57" t="str">
        <f>$DB$8</f>
        <v>TRC (2020)</v>
      </c>
      <c r="DC193" s="93" t="str">
        <f>$DC$8</f>
        <v>Benefit Lookup</v>
      </c>
      <c r="DD193" s="93" t="str">
        <f>$DD$8</f>
        <v>Benefits (2019 $)</v>
      </c>
      <c r="DE193" s="93" t="str">
        <f>$DE$8</f>
        <v>Incremental Cost (2019 $)</v>
      </c>
    </row>
    <row r="194" spans="2:109" x14ac:dyDescent="0.25">
      <c r="C194" s="2356" t="s">
        <v>159</v>
      </c>
      <c r="D194" s="1481" t="s">
        <v>34</v>
      </c>
      <c r="E194" s="1501" t="s">
        <v>160</v>
      </c>
      <c r="F194" s="183">
        <f>ROUND((((1/F208-1/G208)*H208*J208*(K208-L208)*1)/3412)+M208-N208,2)</f>
        <v>21156</v>
      </c>
      <c r="G194" s="1482" t="s">
        <v>161</v>
      </c>
      <c r="H194" s="1483">
        <f>VLOOKUP(G194,'CP FACTORS'!$A$26:$B$38,2,FALSE)</f>
        <v>1.811545E-4</v>
      </c>
      <c r="I194" s="1502">
        <f>ROUND(H194*F194,6)</f>
        <v>3.8325049999999998</v>
      </c>
      <c r="J194" s="1509">
        <v>15</v>
      </c>
      <c r="K194" s="1523">
        <v>4000</v>
      </c>
      <c r="L194" s="1484" t="s">
        <v>37</v>
      </c>
      <c r="V194" s="60" t="s">
        <v>20</v>
      </c>
      <c r="W194" s="163">
        <v>21156</v>
      </c>
      <c r="X194" s="163">
        <v>21156</v>
      </c>
      <c r="Y194" s="163">
        <v>21156</v>
      </c>
      <c r="Z194" s="163">
        <v>21156</v>
      </c>
      <c r="AA194" s="163">
        <v>21156</v>
      </c>
      <c r="AB194" s="2372">
        <v>21156</v>
      </c>
      <c r="AC194" s="2510"/>
      <c r="AD194" s="2510"/>
      <c r="AE194" s="2510"/>
      <c r="AF194" s="2510"/>
      <c r="AG194" s="2510"/>
      <c r="AH194" s="2511"/>
      <c r="AI194" s="2434" t="s">
        <v>24</v>
      </c>
      <c r="AJ194" s="99">
        <v>15</v>
      </c>
      <c r="AK194" s="99">
        <v>15</v>
      </c>
      <c r="AL194" s="99">
        <v>15</v>
      </c>
      <c r="AM194" s="2504">
        <v>15</v>
      </c>
      <c r="AN194" s="2504">
        <v>15</v>
      </c>
      <c r="AO194" s="2498">
        <f>J194</f>
        <v>15</v>
      </c>
      <c r="AP194" s="2510"/>
      <c r="AQ194" s="2510"/>
      <c r="AR194" s="2510"/>
      <c r="AS194" s="2510"/>
      <c r="AT194" s="2280"/>
      <c r="AU194" s="2434" t="s">
        <v>25</v>
      </c>
      <c r="AV194" s="2515">
        <v>4000</v>
      </c>
      <c r="AW194" s="2515">
        <v>4000</v>
      </c>
      <c r="AX194" s="2515">
        <v>4000</v>
      </c>
      <c r="AY194" s="2515">
        <v>4000</v>
      </c>
      <c r="AZ194" s="2515">
        <v>4000</v>
      </c>
      <c r="BA194" s="2877">
        <v>4000</v>
      </c>
      <c r="BB194" s="2510"/>
      <c r="BC194" s="2510"/>
      <c r="BD194" s="2510"/>
      <c r="BE194" s="2510"/>
      <c r="BF194" s="2280"/>
      <c r="BG194" s="2280"/>
      <c r="BH194" s="2280"/>
      <c r="DB194" s="67">
        <f>(DD194)/(DE194)</f>
        <v>3.5430180315223572</v>
      </c>
      <c r="DC194" s="68" t="str">
        <f>CONCATENATE(G194," ",J194," Year EUL")</f>
        <v>Water Heating BUS 15 Year EUL</v>
      </c>
      <c r="DD194" s="94">
        <f>(INDEX('Avoided Cost Benefits'!$C$4:$C$857,MATCH(DC194,'Avoided Cost Benefits'!$A$4:$A$857,0)))*F194</f>
        <v>13376.188887295353</v>
      </c>
      <c r="DE194" s="69">
        <f>K194/(1.0595^(2020-2019))</f>
        <v>3775.3657385559222</v>
      </c>
    </row>
    <row r="195" spans="2:109" x14ac:dyDescent="0.25">
      <c r="C195" s="2356" t="s">
        <v>162</v>
      </c>
      <c r="D195" s="1481" t="s">
        <v>34</v>
      </c>
      <c r="E195" s="1512" t="s">
        <v>163</v>
      </c>
      <c r="F195" s="183">
        <f>ROUND((((1/F209-1/G209)*H209*J209*(K209-L209)*1)/3412)+M209-N209,2)</f>
        <v>52890</v>
      </c>
      <c r="G195" s="1482" t="s">
        <v>161</v>
      </c>
      <c r="H195" s="1483">
        <f>VLOOKUP(G195,'CP FACTORS'!$A$26:$B$38,2,FALSE)</f>
        <v>1.811545E-4</v>
      </c>
      <c r="I195" s="1502">
        <f>ROUND(H195*F195,6)</f>
        <v>9.5812620000000006</v>
      </c>
      <c r="J195" s="1510">
        <v>15</v>
      </c>
      <c r="K195" s="1523">
        <v>7000</v>
      </c>
      <c r="L195" s="1484" t="s">
        <v>37</v>
      </c>
      <c r="V195" s="60" t="s">
        <v>20</v>
      </c>
      <c r="W195" s="163">
        <v>52890.000000000015</v>
      </c>
      <c r="X195" s="163">
        <v>52890.000000000015</v>
      </c>
      <c r="Y195" s="163">
        <v>52890.000000000015</v>
      </c>
      <c r="Z195" s="163">
        <v>52890.000000000015</v>
      </c>
      <c r="AA195" s="163">
        <v>52890.000000000015</v>
      </c>
      <c r="AB195" s="2372">
        <v>52890</v>
      </c>
      <c r="AC195" s="2510"/>
      <c r="AD195" s="2510"/>
      <c r="AE195" s="2510"/>
      <c r="AF195" s="2510"/>
      <c r="AG195" s="2510"/>
      <c r="AH195" s="2511"/>
      <c r="AI195" s="2434" t="s">
        <v>24</v>
      </c>
      <c r="AJ195" s="100">
        <v>15</v>
      </c>
      <c r="AK195" s="100">
        <v>15</v>
      </c>
      <c r="AL195" s="100">
        <v>15</v>
      </c>
      <c r="AM195" s="2504">
        <v>15</v>
      </c>
      <c r="AN195" s="2504">
        <v>15</v>
      </c>
      <c r="AO195" s="2498">
        <f t="shared" ref="AO195:AO198" si="119">J195</f>
        <v>15</v>
      </c>
      <c r="AP195" s="2510"/>
      <c r="AQ195" s="2510"/>
      <c r="AR195" s="2510"/>
      <c r="AS195" s="2510"/>
      <c r="AT195" s="2280"/>
      <c r="AU195" s="2434" t="s">
        <v>25</v>
      </c>
      <c r="AV195" s="2515">
        <v>7000</v>
      </c>
      <c r="AW195" s="2515">
        <v>7000</v>
      </c>
      <c r="AX195" s="2515">
        <v>7000</v>
      </c>
      <c r="AY195" s="2515">
        <v>7000</v>
      </c>
      <c r="AZ195" s="2515">
        <v>7000</v>
      </c>
      <c r="BA195" s="2877">
        <v>7000</v>
      </c>
      <c r="BB195" s="2510"/>
      <c r="BC195" s="2510"/>
      <c r="BD195" s="2510"/>
      <c r="BE195" s="2510"/>
      <c r="BF195" s="2280"/>
      <c r="BG195" s="2280"/>
      <c r="BH195" s="2280"/>
      <c r="DB195" s="71">
        <f>(DD195)/(DE195)</f>
        <v>5.0614543307462245</v>
      </c>
      <c r="DC195" s="72" t="str">
        <f>CONCATENATE(G195," ",J195," Year EUL")</f>
        <v>Water Heating BUS 15 Year EUL</v>
      </c>
      <c r="DD195" s="95">
        <f>(INDEX('Avoided Cost Benefits'!$C$4:$C$857,MATCH(DC195,'Avoided Cost Benefits'!$A$4:$A$857,0)))*F195</f>
        <v>33440.472218238385</v>
      </c>
      <c r="DE195" s="73">
        <f>K195/(1.0595^(2020-2019))</f>
        <v>6606.8900424728636</v>
      </c>
    </row>
    <row r="196" spans="2:109" x14ac:dyDescent="0.25">
      <c r="C196" s="2356" t="s">
        <v>164</v>
      </c>
      <c r="D196" s="1481" t="s">
        <v>34</v>
      </c>
      <c r="E196" s="1512" t="s">
        <v>165</v>
      </c>
      <c r="F196" s="183">
        <f>ROUND((((1/F210-1/G210)*H210*J210*(K210-L210)*1)/3412)+M210-N210,2)</f>
        <v>141041</v>
      </c>
      <c r="G196" s="1482" t="s">
        <v>161</v>
      </c>
      <c r="H196" s="1483">
        <f>VLOOKUP(G196,'CP FACTORS'!$A$26:$B$38,2,FALSE)</f>
        <v>1.811545E-4</v>
      </c>
      <c r="I196" s="1502">
        <f>ROUND(H196*F196,6)</f>
        <v>25.550211999999998</v>
      </c>
      <c r="J196" s="1510">
        <v>15</v>
      </c>
      <c r="K196" s="1523">
        <v>10000</v>
      </c>
      <c r="L196" s="1484" t="s">
        <v>37</v>
      </c>
      <c r="V196" s="60" t="s">
        <v>20</v>
      </c>
      <c r="W196" s="163">
        <v>141040.99999999997</v>
      </c>
      <c r="X196" s="163">
        <v>141040.99999999997</v>
      </c>
      <c r="Y196" s="163">
        <v>141040.99999999997</v>
      </c>
      <c r="Z196" s="163">
        <v>141040.99999999997</v>
      </c>
      <c r="AA196" s="163">
        <v>141040.99999999997</v>
      </c>
      <c r="AB196" s="2372">
        <v>141041</v>
      </c>
      <c r="AC196" s="2510"/>
      <c r="AD196" s="2510"/>
      <c r="AE196" s="2510"/>
      <c r="AF196" s="2510"/>
      <c r="AG196" s="2510"/>
      <c r="AH196" s="2511"/>
      <c r="AI196" s="2434" t="s">
        <v>24</v>
      </c>
      <c r="AJ196" s="100">
        <v>15</v>
      </c>
      <c r="AK196" s="100">
        <v>15</v>
      </c>
      <c r="AL196" s="100">
        <v>15</v>
      </c>
      <c r="AM196" s="2504">
        <v>15</v>
      </c>
      <c r="AN196" s="2504">
        <v>15</v>
      </c>
      <c r="AO196" s="2498">
        <f t="shared" si="119"/>
        <v>15</v>
      </c>
      <c r="AP196" s="2510"/>
      <c r="AQ196" s="2510"/>
      <c r="AR196" s="2510"/>
      <c r="AS196" s="2510"/>
      <c r="AT196" s="2280"/>
      <c r="AU196" s="2434" t="s">
        <v>25</v>
      </c>
      <c r="AV196" s="2515">
        <v>10000</v>
      </c>
      <c r="AW196" s="2515">
        <v>10000</v>
      </c>
      <c r="AX196" s="2515">
        <v>10000</v>
      </c>
      <c r="AY196" s="2515">
        <v>10000</v>
      </c>
      <c r="AZ196" s="2515">
        <v>10000</v>
      </c>
      <c r="BA196" s="2877">
        <v>10000</v>
      </c>
      <c r="BB196" s="2510"/>
      <c r="BC196" s="2510"/>
      <c r="BD196" s="2510"/>
      <c r="BE196" s="2510"/>
      <c r="BF196" s="2280"/>
      <c r="BG196" s="2280"/>
      <c r="BH196" s="2280"/>
      <c r="DB196" s="71">
        <f>(DD196)/(DE196)</f>
        <v>9.4481150724890295</v>
      </c>
      <c r="DC196" s="72" t="str">
        <f>CONCATENATE(G196," ",J196," Year EUL")</f>
        <v>Water Heating BUS 15 Year EUL</v>
      </c>
      <c r="DD196" s="95">
        <f>(INDEX('Avoided Cost Benefits'!$C$4:$C$857,MATCH(DC196,'Avoided Cost Benefits'!$A$4:$A$857,0)))*F196</f>
        <v>89175.224846522207</v>
      </c>
      <c r="DE196" s="73">
        <f>K196/(1.0595^(2020-2019))</f>
        <v>9438.4143463898054</v>
      </c>
    </row>
    <row r="197" spans="2:109" x14ac:dyDescent="0.25">
      <c r="C197" s="2356" t="s">
        <v>166</v>
      </c>
      <c r="D197" s="1481" t="s">
        <v>34</v>
      </c>
      <c r="E197" s="1512" t="s">
        <v>167</v>
      </c>
      <c r="F197" s="183">
        <f>ROUND((((1/F211-1/G211)*H211*J211*(K211-L211)*1)/3412)+M211-N211,2)</f>
        <v>282081</v>
      </c>
      <c r="G197" s="1482" t="s">
        <v>161</v>
      </c>
      <c r="H197" s="1483">
        <f>VLOOKUP(G197,'CP FACTORS'!$A$26:$B$38,2,FALSE)</f>
        <v>1.811545E-4</v>
      </c>
      <c r="I197" s="1502">
        <f>ROUND(H197*F197,6)</f>
        <v>51.100242999999999</v>
      </c>
      <c r="J197" s="1510">
        <v>15</v>
      </c>
      <c r="K197" s="1523">
        <v>14000</v>
      </c>
      <c r="L197" s="1484" t="s">
        <v>37</v>
      </c>
      <c r="V197" s="60" t="s">
        <v>20</v>
      </c>
      <c r="W197" s="163">
        <v>282081.00000000006</v>
      </c>
      <c r="X197" s="163">
        <v>282081.00000000006</v>
      </c>
      <c r="Y197" s="163">
        <v>282081.00000000006</v>
      </c>
      <c r="Z197" s="163">
        <v>282081.00000000006</v>
      </c>
      <c r="AA197" s="163">
        <v>282081.00000000006</v>
      </c>
      <c r="AB197" s="2372">
        <v>282081</v>
      </c>
      <c r="AC197" s="2510"/>
      <c r="AD197" s="2510"/>
      <c r="AE197" s="2510"/>
      <c r="AF197" s="2510"/>
      <c r="AG197" s="2510"/>
      <c r="AH197" s="2511"/>
      <c r="AI197" s="2434" t="s">
        <v>24</v>
      </c>
      <c r="AJ197" s="100">
        <v>15</v>
      </c>
      <c r="AK197" s="100">
        <v>15</v>
      </c>
      <c r="AL197" s="100">
        <v>15</v>
      </c>
      <c r="AM197" s="2504">
        <v>15</v>
      </c>
      <c r="AN197" s="2504">
        <v>15</v>
      </c>
      <c r="AO197" s="2498">
        <f t="shared" si="119"/>
        <v>15</v>
      </c>
      <c r="AP197" s="2510"/>
      <c r="AQ197" s="2510"/>
      <c r="AR197" s="2510"/>
      <c r="AS197" s="2510"/>
      <c r="AT197" s="2280"/>
      <c r="AU197" s="2434" t="s">
        <v>25</v>
      </c>
      <c r="AV197" s="2515">
        <v>14000</v>
      </c>
      <c r="AW197" s="2515">
        <v>14000</v>
      </c>
      <c r="AX197" s="2515">
        <v>14000</v>
      </c>
      <c r="AY197" s="2515">
        <v>14000</v>
      </c>
      <c r="AZ197" s="2515">
        <v>14000</v>
      </c>
      <c r="BA197" s="2877">
        <v>14000</v>
      </c>
      <c r="BB197" s="2510"/>
      <c r="BC197" s="2510"/>
      <c r="BD197" s="2510"/>
      <c r="BE197" s="2510"/>
      <c r="BF197" s="2280"/>
      <c r="BG197" s="2280"/>
      <c r="BH197" s="2280"/>
      <c r="DB197" s="71">
        <f>(DD197)/(DE197)</f>
        <v>13.497259397534748</v>
      </c>
      <c r="DC197" s="72" t="str">
        <f>CONCATENATE(G197," ",J197," Year EUL")</f>
        <v>Water Heating BUS 15 Year EUL</v>
      </c>
      <c r="DD197" s="95">
        <f>(INDEX('Avoided Cost Benefits'!$C$4:$C$857,MATCH(DC197,'Avoided Cost Benefits'!$A$4:$A$857,0)))*F197</f>
        <v>178349.81742849122</v>
      </c>
      <c r="DE197" s="73">
        <f>K197/(1.0595^(2020-2019))</f>
        <v>13213.780084945727</v>
      </c>
    </row>
    <row r="198" spans="2:109" x14ac:dyDescent="0.25">
      <c r="C198" s="2356" t="s">
        <v>168</v>
      </c>
      <c r="D198" s="1481" t="s">
        <v>34</v>
      </c>
      <c r="E198" s="1512" t="s">
        <v>169</v>
      </c>
      <c r="F198" s="183">
        <f>ROUND((((1/F212-1/G212)*H212*J212*(K212-L212)*1)/3412)+M212-N212,2)</f>
        <v>423122</v>
      </c>
      <c r="G198" s="1482" t="s">
        <v>161</v>
      </c>
      <c r="H198" s="1483">
        <f>VLOOKUP(G198,'CP FACTORS'!$A$26:$B$38,2,FALSE)</f>
        <v>1.811545E-4</v>
      </c>
      <c r="I198" s="1502">
        <f>ROUND(H198*F198,6)</f>
        <v>76.650453999999996</v>
      </c>
      <c r="J198" s="1510">
        <v>15</v>
      </c>
      <c r="K198" s="1523">
        <v>18000</v>
      </c>
      <c r="L198" s="1484" t="s">
        <v>37</v>
      </c>
      <c r="N198" s="1515"/>
      <c r="O198" s="1515"/>
      <c r="P198" s="1515"/>
      <c r="Q198" s="1515"/>
      <c r="R198" s="1515"/>
      <c r="V198" s="60" t="s">
        <v>20</v>
      </c>
      <c r="W198" s="163">
        <v>423122.00000000012</v>
      </c>
      <c r="X198" s="163">
        <v>423122.00000000012</v>
      </c>
      <c r="Y198" s="163">
        <v>423122.00000000012</v>
      </c>
      <c r="Z198" s="163">
        <v>423122.00000000012</v>
      </c>
      <c r="AA198" s="163">
        <v>423122.00000000012</v>
      </c>
      <c r="AB198" s="2372">
        <v>423122</v>
      </c>
      <c r="AC198" s="2510"/>
      <c r="AD198" s="2510"/>
      <c r="AE198" s="2510"/>
      <c r="AF198" s="2510"/>
      <c r="AG198" s="2510"/>
      <c r="AH198" s="2511"/>
      <c r="AI198" s="2434" t="s">
        <v>24</v>
      </c>
      <c r="AJ198" s="100">
        <v>15</v>
      </c>
      <c r="AK198" s="100">
        <v>15</v>
      </c>
      <c r="AL198" s="100">
        <v>15</v>
      </c>
      <c r="AM198" s="2504">
        <v>15</v>
      </c>
      <c r="AN198" s="2504">
        <v>15</v>
      </c>
      <c r="AO198" s="2498">
        <f t="shared" si="119"/>
        <v>15</v>
      </c>
      <c r="AP198" s="2510"/>
      <c r="AQ198" s="2510"/>
      <c r="AR198" s="2510"/>
      <c r="AS198" s="2510"/>
      <c r="AT198" s="2280"/>
      <c r="AU198" s="2434" t="s">
        <v>25</v>
      </c>
      <c r="AV198" s="2515">
        <v>18000</v>
      </c>
      <c r="AW198" s="2515">
        <v>18000</v>
      </c>
      <c r="AX198" s="2515">
        <v>18000</v>
      </c>
      <c r="AY198" s="2515">
        <v>18000</v>
      </c>
      <c r="AZ198" s="2515">
        <v>18000</v>
      </c>
      <c r="BA198" s="2877">
        <v>18000</v>
      </c>
      <c r="BB198" s="2510"/>
      <c r="BC198" s="2510"/>
      <c r="BD198" s="2510"/>
      <c r="BE198" s="2510"/>
      <c r="BF198" s="2280"/>
      <c r="BG198" s="2280"/>
      <c r="BH198" s="2280"/>
      <c r="DB198" s="74">
        <f>(DD198)/(DE198)</f>
        <v>15.746821238354265</v>
      </c>
      <c r="DC198" s="72" t="str">
        <f>CONCATENATE(G198," ",J198," Year EUL")</f>
        <v>Water Heating BUS 15 Year EUL</v>
      </c>
      <c r="DD198" s="96">
        <f>(INDEX('Avoided Cost Benefits'!$C$4:$C$857,MATCH(DC198,'Avoided Cost Benefits'!$A$4:$A$857,0)))*F198</f>
        <v>267525.04227501346</v>
      </c>
      <c r="DE198" s="75">
        <f>K198/(1.0595^(2020-2019))</f>
        <v>16989.145823501651</v>
      </c>
    </row>
    <row r="199" spans="2:109" outlineLevel="1" x14ac:dyDescent="0.25">
      <c r="E199" s="1473"/>
      <c r="F199" s="1473"/>
      <c r="G199" s="1473"/>
      <c r="H199" s="1491"/>
      <c r="I199" s="1473"/>
      <c r="J199" s="1473"/>
      <c r="K199" s="1473"/>
      <c r="N199" s="1515"/>
      <c r="O199" s="1515"/>
      <c r="P199" s="1515"/>
      <c r="Q199" s="1515"/>
      <c r="R199" s="1515"/>
      <c r="W199" s="2280"/>
      <c r="X199" s="2280"/>
      <c r="Y199" s="2280"/>
      <c r="Z199" s="2280"/>
      <c r="AA199" s="2280"/>
      <c r="AB199" s="2280"/>
      <c r="AC199" s="2280"/>
      <c r="AD199" s="2280"/>
      <c r="AE199" s="2280"/>
      <c r="AF199" s="2280"/>
      <c r="AG199" s="2280"/>
      <c r="AH199" s="2280"/>
      <c r="AI199" s="2280"/>
      <c r="AJ199" s="2280"/>
      <c r="AK199" s="2280"/>
      <c r="AL199" s="2280"/>
      <c r="AM199" s="2280"/>
      <c r="AN199" s="2280"/>
      <c r="AO199" s="2280"/>
      <c r="AP199" s="2280"/>
      <c r="AQ199" s="2280"/>
      <c r="AR199" s="2280"/>
      <c r="AS199" s="2280"/>
      <c r="AT199" s="2280"/>
      <c r="AU199" s="2280"/>
      <c r="AV199" s="2280"/>
      <c r="AW199" s="2280"/>
      <c r="AX199" s="2280"/>
      <c r="AY199" s="2280"/>
      <c r="AZ199" s="2280"/>
      <c r="BA199" s="2280"/>
      <c r="BB199" s="2280"/>
      <c r="BC199" s="2280"/>
      <c r="BD199" s="2280"/>
      <c r="BE199" s="2280"/>
      <c r="BF199" s="2280"/>
      <c r="BG199" s="2280"/>
      <c r="BH199" s="2280"/>
    </row>
    <row r="200" spans="2:109" outlineLevel="1" x14ac:dyDescent="0.25">
      <c r="D200" s="1473" t="s">
        <v>70</v>
      </c>
      <c r="E200" s="198"/>
      <c r="F200" s="1473"/>
      <c r="G200" s="1473"/>
      <c r="H200" s="1491"/>
      <c r="I200" s="1473"/>
      <c r="J200" s="1473"/>
      <c r="K200" s="198"/>
      <c r="N200" s="1515"/>
      <c r="O200" s="1515"/>
      <c r="P200" s="1515"/>
      <c r="Q200" s="1515"/>
      <c r="R200" s="1515"/>
      <c r="W200" s="2280"/>
      <c r="X200" s="2280"/>
      <c r="Y200" s="2280"/>
      <c r="Z200" s="2280"/>
      <c r="AA200" s="2280"/>
      <c r="AB200" s="2280"/>
      <c r="AC200" s="2280"/>
      <c r="AD200" s="2280"/>
      <c r="AE200" s="2280"/>
      <c r="AF200" s="2280"/>
      <c r="AG200" s="2280"/>
      <c r="AH200" s="2280"/>
      <c r="AI200" s="2280"/>
      <c r="AJ200" s="2280"/>
      <c r="AK200" s="2280"/>
      <c r="AL200" s="2280"/>
      <c r="AM200" s="2280"/>
      <c r="AN200" s="2280"/>
      <c r="AO200" s="2280"/>
      <c r="AP200" s="2280"/>
      <c r="AQ200" s="2280"/>
      <c r="AR200" s="2280"/>
      <c r="AS200" s="2280"/>
      <c r="AT200" s="2280"/>
      <c r="AU200" s="2280"/>
      <c r="AV200" s="2280"/>
      <c r="AW200" s="2280"/>
      <c r="AX200" s="2280"/>
      <c r="AY200" s="2280"/>
      <c r="AZ200" s="2280"/>
      <c r="BA200" s="2280"/>
      <c r="BB200" s="2280"/>
      <c r="BC200" s="2280"/>
      <c r="BD200" s="2280"/>
      <c r="BE200" s="2280"/>
      <c r="BF200" s="2280"/>
      <c r="BG200" s="2280"/>
      <c r="BH200" s="2280"/>
    </row>
    <row r="201" spans="2:109" outlineLevel="1" x14ac:dyDescent="0.25">
      <c r="D201" s="1492"/>
      <c r="F201" s="198"/>
      <c r="G201" s="1515"/>
      <c r="H201" s="1516"/>
      <c r="N201" s="1515"/>
      <c r="O201" s="1515"/>
      <c r="P201" s="1515"/>
      <c r="Q201" s="1515"/>
      <c r="R201" s="1515"/>
      <c r="W201" s="2280"/>
      <c r="X201" s="2280"/>
      <c r="Y201" s="2280"/>
      <c r="Z201" s="2280"/>
      <c r="AA201" s="2280"/>
      <c r="AB201" s="2280"/>
      <c r="AC201" s="2280"/>
      <c r="AD201" s="2280"/>
      <c r="AE201" s="2280"/>
      <c r="AF201" s="2280"/>
      <c r="AG201" s="2280"/>
      <c r="AH201" s="2280"/>
      <c r="AI201" s="2280"/>
      <c r="AJ201" s="2280"/>
      <c r="AK201" s="2280"/>
      <c r="AL201" s="2280"/>
      <c r="AM201" s="2280"/>
      <c r="AN201" s="2280"/>
      <c r="AO201" s="2280"/>
      <c r="AP201" s="2280"/>
      <c r="AQ201" s="2280"/>
      <c r="AR201" s="2280"/>
      <c r="AS201" s="2280"/>
      <c r="AT201" s="2280"/>
      <c r="AU201" s="2280"/>
      <c r="AV201" s="2280"/>
      <c r="AW201" s="2280"/>
      <c r="AX201" s="2280"/>
      <c r="AY201" s="2280"/>
      <c r="AZ201" s="2280"/>
      <c r="BA201" s="2280"/>
      <c r="BB201" s="2280"/>
      <c r="BC201" s="2280"/>
      <c r="BD201" s="2280"/>
      <c r="BE201" s="2280"/>
      <c r="BF201" s="2280"/>
      <c r="BG201" s="2280"/>
      <c r="BH201" s="2280"/>
    </row>
    <row r="202" spans="2:109" outlineLevel="1" x14ac:dyDescent="0.25">
      <c r="D202" s="1492"/>
      <c r="G202" s="1515"/>
      <c r="H202" s="1516"/>
      <c r="N202" s="1515"/>
      <c r="O202" s="1515"/>
      <c r="P202" s="1515"/>
      <c r="Q202" s="1515"/>
      <c r="R202" s="1515"/>
      <c r="W202" s="2280"/>
      <c r="X202" s="2280"/>
      <c r="Y202" s="2280"/>
      <c r="Z202" s="2280"/>
      <c r="AA202" s="2280"/>
      <c r="AB202" s="2280"/>
      <c r="AC202" s="2280"/>
      <c r="AD202" s="2280"/>
      <c r="AE202" s="2280"/>
      <c r="AF202" s="2280"/>
      <c r="AG202" s="2280"/>
      <c r="AH202" s="2280"/>
      <c r="AI202" s="2280"/>
      <c r="AJ202" s="2280"/>
      <c r="AK202" s="2280"/>
      <c r="AL202" s="2280"/>
      <c r="AM202" s="2280"/>
      <c r="AN202" s="2280"/>
      <c r="AO202" s="2280"/>
      <c r="AP202" s="2280"/>
      <c r="AQ202" s="2280"/>
      <c r="AR202" s="2280"/>
      <c r="AS202" s="2280"/>
      <c r="AT202" s="2280"/>
      <c r="AU202" s="2280"/>
      <c r="AV202" s="2280"/>
      <c r="AW202" s="2280"/>
      <c r="AX202" s="2280"/>
      <c r="AY202" s="2280"/>
      <c r="AZ202" s="2280"/>
      <c r="BA202" s="2280"/>
      <c r="BB202" s="2280"/>
      <c r="BC202" s="2280"/>
      <c r="BD202" s="2280"/>
      <c r="BE202" s="2280"/>
      <c r="BF202" s="2280"/>
      <c r="BG202" s="2280"/>
      <c r="BH202" s="2280"/>
    </row>
    <row r="203" spans="2:109" outlineLevel="1" x14ac:dyDescent="0.25">
      <c r="D203" s="1492"/>
      <c r="G203" s="1470"/>
      <c r="H203" s="1493"/>
      <c r="M203" s="1473"/>
      <c r="N203" s="1515"/>
      <c r="O203" s="1515"/>
      <c r="P203" s="1515"/>
      <c r="Q203" s="1515"/>
      <c r="R203" s="1515"/>
    </row>
    <row r="204" spans="2:109" outlineLevel="1" x14ac:dyDescent="0.25">
      <c r="D204" s="1492"/>
      <c r="G204" s="1470"/>
      <c r="H204" s="1493"/>
      <c r="M204" s="1473"/>
      <c r="N204" s="1515"/>
      <c r="O204" s="1515"/>
      <c r="P204" s="1515"/>
      <c r="Q204" s="1515"/>
      <c r="R204" s="1515"/>
    </row>
    <row r="205" spans="2:109" outlineLevel="1" x14ac:dyDescent="0.25">
      <c r="D205" s="1492"/>
      <c r="G205" s="1470"/>
      <c r="H205" s="1493"/>
      <c r="M205" s="1473"/>
      <c r="N205" s="1515"/>
      <c r="O205" s="1515"/>
      <c r="P205" s="1515"/>
      <c r="Q205" s="1515"/>
      <c r="R205" s="1515"/>
    </row>
    <row r="206" spans="2:109" outlineLevel="1" x14ac:dyDescent="0.25">
      <c r="D206" s="1492"/>
      <c r="G206" s="1470"/>
      <c r="H206" s="1493"/>
      <c r="N206" s="1515"/>
      <c r="O206" s="1515"/>
      <c r="P206" s="1515"/>
      <c r="Q206" s="1515"/>
      <c r="R206" s="1515"/>
    </row>
    <row r="207" spans="2:109" s="77" customFormat="1" outlineLevel="1" x14ac:dyDescent="0.25">
      <c r="C207" s="198"/>
      <c r="D207" s="52" t="s">
        <v>17</v>
      </c>
      <c r="E207" s="1406" t="s">
        <v>119</v>
      </c>
      <c r="F207" s="1406" t="s">
        <v>170</v>
      </c>
      <c r="G207" s="1406" t="s">
        <v>171</v>
      </c>
      <c r="H207" s="1403" t="s">
        <v>172</v>
      </c>
      <c r="I207" s="1403" t="s">
        <v>173</v>
      </c>
      <c r="J207" s="1403" t="s">
        <v>174</v>
      </c>
      <c r="K207" s="1403" t="s">
        <v>175</v>
      </c>
      <c r="L207" s="1403" t="s">
        <v>176</v>
      </c>
      <c r="M207" s="1435" t="s">
        <v>177</v>
      </c>
      <c r="N207" s="1435" t="s">
        <v>178</v>
      </c>
      <c r="O207" s="1435" t="s">
        <v>179</v>
      </c>
      <c r="P207" s="1435" t="s">
        <v>180</v>
      </c>
      <c r="Q207" s="1435" t="s">
        <v>181</v>
      </c>
      <c r="R207" s="1435" t="s">
        <v>182</v>
      </c>
      <c r="S207" s="1435" t="s">
        <v>183</v>
      </c>
      <c r="T207" s="463"/>
      <c r="U207" s="463"/>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DB207" s="97"/>
    </row>
    <row r="208" spans="2:109" outlineLevel="1" x14ac:dyDescent="0.25">
      <c r="D208" s="1494" t="str">
        <f>C194</f>
        <v>802250_2019_12_</v>
      </c>
      <c r="E208" s="1494" t="str">
        <f>E194</f>
        <v>Heat Pump Water Heater w/ 98% Efficiency 2.9-14.6 kW (10 to 50 MBH)</v>
      </c>
      <c r="F208" s="1532">
        <f>0.96-(0.0003*40)</f>
        <v>0.94799999999999995</v>
      </c>
      <c r="G208" s="1532">
        <v>4</v>
      </c>
      <c r="H208" s="1533">
        <f>558*I208</f>
        <v>149421.71926647448</v>
      </c>
      <c r="I208" s="1534">
        <v>267.78085890049192</v>
      </c>
      <c r="J208" s="1519">
        <v>8.33</v>
      </c>
      <c r="K208" s="1535">
        <v>125</v>
      </c>
      <c r="L208" s="1536">
        <v>57.898000000000003</v>
      </c>
      <c r="M208" s="1537">
        <f>((((1-1/G208)*H208*J208*(K208-L208)*1)*Q208*0.53*3)/(O208*3412))*R208</f>
        <v>10425.227215592167</v>
      </c>
      <c r="N208" s="1537">
        <f>((((1-1/G208)*H208*J208*(K208-L208)*1)*Q208*0.43)/(P208*3412))*S208</f>
        <v>8970.821589174504</v>
      </c>
      <c r="O208" s="1525">
        <v>2.8</v>
      </c>
      <c r="P208" s="1517">
        <v>0.88</v>
      </c>
      <c r="Q208" s="1525">
        <v>1</v>
      </c>
      <c r="R208" s="1532">
        <v>1</v>
      </c>
      <c r="S208" s="1532">
        <v>1</v>
      </c>
    </row>
    <row r="209" spans="2:112" outlineLevel="1" x14ac:dyDescent="0.25">
      <c r="D209" s="1494" t="str">
        <f>C195</f>
        <v>802300_2019_12_</v>
      </c>
      <c r="E209" s="1494" t="str">
        <f>E195</f>
        <v>Heat Pump Water Heater w/ 98% Efficiency 14.7-29.3 kW (50 to 100 MBH)</v>
      </c>
      <c r="F209" s="1538">
        <v>0.98</v>
      </c>
      <c r="G209" s="1532">
        <v>4</v>
      </c>
      <c r="H209" s="1533">
        <f>558*I209</f>
        <v>389059.7149286035</v>
      </c>
      <c r="I209" s="1534">
        <v>697.2396324885367</v>
      </c>
      <c r="J209" s="1519">
        <v>8.33</v>
      </c>
      <c r="K209" s="1535">
        <v>125</v>
      </c>
      <c r="L209" s="1536">
        <v>57.898000000000003</v>
      </c>
      <c r="M209" s="1537">
        <f>((((1-1/G209)*H209*J209*(K209-L209)*1)*1*0.53*3)/(O209*3412))*1</f>
        <v>27144.88863115534</v>
      </c>
      <c r="N209" s="1537">
        <f>((((1-1/G209)*H209*J209*(K209-L209)*1)*Q209*0.43)/(P209*3412))*S209</f>
        <v>23357.95162372143</v>
      </c>
      <c r="O209" s="1525">
        <v>2.8</v>
      </c>
      <c r="P209" s="1517">
        <v>0.88</v>
      </c>
      <c r="Q209" s="1525">
        <v>1</v>
      </c>
      <c r="R209" s="1532">
        <v>1</v>
      </c>
      <c r="S209" s="1532">
        <v>1</v>
      </c>
    </row>
    <row r="210" spans="2:112" outlineLevel="1" x14ac:dyDescent="0.25">
      <c r="D210" s="1494" t="str">
        <f>C196</f>
        <v>802350_2019_12_</v>
      </c>
      <c r="E210" s="1494" t="str">
        <f>E196</f>
        <v>Heat Pump Water Heater w/ 98% Efficiency 29.4-87.9 kW (100 to 300 MBH)</v>
      </c>
      <c r="F210" s="1538">
        <v>0.98</v>
      </c>
      <c r="G210" s="1532">
        <v>4</v>
      </c>
      <c r="H210" s="1533">
        <f>558*I210</f>
        <v>1037499.9291594848</v>
      </c>
      <c r="I210" s="1534">
        <v>1859.3188694614423</v>
      </c>
      <c r="J210" s="1519">
        <v>8.33</v>
      </c>
      <c r="K210" s="1535">
        <v>125</v>
      </c>
      <c r="L210" s="1536">
        <v>57.898000000000003</v>
      </c>
      <c r="M210" s="1537">
        <f>((((1-1/G210)*H210*J210*(K210-L210)*1)*1*0.53*3)/(O210*3412))*1</f>
        <v>72386.882915991271</v>
      </c>
      <c r="N210" s="1537">
        <f>((((1-1/G210)*H210*J210*(K210-L210)*1)*Q210*0.43)/(P210*3412))*S210</f>
        <v>62288.312629254913</v>
      </c>
      <c r="O210" s="1525">
        <v>2.8</v>
      </c>
      <c r="P210" s="1517">
        <v>0.88</v>
      </c>
      <c r="Q210" s="1525">
        <v>1</v>
      </c>
      <c r="R210" s="1532">
        <v>1</v>
      </c>
      <c r="S210" s="1532">
        <v>1</v>
      </c>
    </row>
    <row r="211" spans="2:112" outlineLevel="1" x14ac:dyDescent="0.25">
      <c r="D211" s="1494" t="str">
        <f>C197</f>
        <v>802400_2019_12_</v>
      </c>
      <c r="E211" s="1494" t="str">
        <f>E197</f>
        <v>Heat Pump Water Heater w/ 98% Efficiency 88-146.5 kW (300 to 500 MBH)</v>
      </c>
      <c r="F211" s="1538">
        <v>0.98</v>
      </c>
      <c r="G211" s="1532">
        <v>4</v>
      </c>
      <c r="H211" s="1533">
        <f>558*I211</f>
        <v>2074992.5023024278</v>
      </c>
      <c r="I211" s="1534">
        <v>3718.6245560975408</v>
      </c>
      <c r="J211" s="1519">
        <v>8.33</v>
      </c>
      <c r="K211" s="1535">
        <v>125</v>
      </c>
      <c r="L211" s="1536">
        <v>57.898000000000003</v>
      </c>
      <c r="M211" s="1537">
        <f>((((1-1/G211)*H211*J211*(K211-L211)*1)*1*0.53*3)/(O211*3412))*1</f>
        <v>144773.25259907221</v>
      </c>
      <c r="N211" s="1537">
        <f>((((1-1/G211)*H211*J211*(K211-L211)*1)*Q211*0.43)/(P211*3412))*S211</f>
        <v>124576.1836258454</v>
      </c>
      <c r="O211" s="1525">
        <v>2.8</v>
      </c>
      <c r="P211" s="1517">
        <v>0.88</v>
      </c>
      <c r="Q211" s="1525">
        <v>1</v>
      </c>
      <c r="R211" s="1532">
        <v>1</v>
      </c>
      <c r="S211" s="1532">
        <v>1</v>
      </c>
    </row>
    <row r="212" spans="2:112" outlineLevel="1" x14ac:dyDescent="0.25">
      <c r="D212" s="1494" t="str">
        <f>C198</f>
        <v>802450_2019_12_</v>
      </c>
      <c r="E212" s="1494" t="str">
        <f>E198</f>
        <v>Heat Pump Water Heater w/ 98% Efficiency &gt;146.6 kW (above 500 MBH)</v>
      </c>
      <c r="F212" s="1538">
        <v>0.98</v>
      </c>
      <c r="G212" s="1532">
        <v>4</v>
      </c>
      <c r="H212" s="1533">
        <f>558*I212</f>
        <v>3112492.431461913</v>
      </c>
      <c r="I212" s="1534">
        <v>5577.943425558984</v>
      </c>
      <c r="J212" s="1519">
        <v>8.33</v>
      </c>
      <c r="K212" s="1535">
        <v>125</v>
      </c>
      <c r="L212" s="1536">
        <v>57.898000000000003</v>
      </c>
      <c r="M212" s="1537">
        <f>((((1-1/G212)*H212*J212*(K212-L212)*1)*1*0.53*3)/(O212*3412))*1</f>
        <v>217160.13551506354</v>
      </c>
      <c r="N212" s="1537">
        <f>((((1-1/G212)*H212*J212*(K212-L212)*1)*Q212*0.43)/(P212*3412))*S212</f>
        <v>186864.49625510038</v>
      </c>
      <c r="O212" s="1525">
        <v>2.8</v>
      </c>
      <c r="P212" s="1517">
        <v>0.88</v>
      </c>
      <c r="Q212" s="1525">
        <v>1</v>
      </c>
      <c r="R212" s="1532">
        <v>1</v>
      </c>
      <c r="S212" s="1532">
        <v>1</v>
      </c>
    </row>
    <row r="213" spans="2:112" x14ac:dyDescent="0.25">
      <c r="N213" s="1540"/>
      <c r="O213" s="1540"/>
      <c r="P213" s="1540"/>
      <c r="Q213" s="1540"/>
      <c r="R213" s="1540"/>
    </row>
    <row r="214" spans="2:112" x14ac:dyDescent="0.25">
      <c r="N214" s="1515"/>
      <c r="O214" s="1515"/>
      <c r="P214" s="1515"/>
      <c r="Q214" s="1515"/>
      <c r="R214" s="1515"/>
    </row>
    <row r="215" spans="2:112" s="46" customFormat="1" x14ac:dyDescent="0.25">
      <c r="B215" s="4089" t="s">
        <v>184</v>
      </c>
      <c r="C215" s="4090"/>
      <c r="D215" s="4090"/>
      <c r="E215" s="4090"/>
      <c r="F215" s="4090"/>
      <c r="G215" s="4090"/>
      <c r="H215" s="4090"/>
      <c r="I215" s="4091"/>
      <c r="J215" s="4091"/>
      <c r="K215" s="4091"/>
      <c r="L215" s="4091"/>
      <c r="M215" s="3354"/>
      <c r="N215" s="3354"/>
      <c r="O215" s="3355"/>
      <c r="V215" s="47" t="str">
        <f>B215</f>
        <v>Heat Pump Pool Heater</v>
      </c>
      <c r="W215" s="48"/>
      <c r="X215" s="48"/>
      <c r="Y215" s="48"/>
      <c r="Z215" s="48"/>
      <c r="AA215" s="48"/>
      <c r="AB215" s="48"/>
      <c r="AC215" s="48"/>
      <c r="AD215" s="48"/>
      <c r="AE215" s="48"/>
      <c r="AF215" s="48"/>
      <c r="AG215" s="48"/>
      <c r="AH215" s="48"/>
      <c r="AI215" s="49"/>
      <c r="AJ215" s="26"/>
      <c r="AK215" s="26"/>
      <c r="AL215" s="26"/>
      <c r="AM215" s="26"/>
      <c r="AN215" s="26"/>
      <c r="AO215" s="26"/>
      <c r="AP215" s="26"/>
      <c r="AQ215" s="26"/>
      <c r="AR215" s="26"/>
      <c r="AS215" s="26"/>
      <c r="AT215" s="26"/>
      <c r="AU215" s="26"/>
      <c r="DB215" s="98"/>
      <c r="DG215" s="2282"/>
      <c r="DH215" s="2282"/>
    </row>
    <row r="216" spans="2:112" x14ac:dyDescent="0.25">
      <c r="D216" s="1478"/>
      <c r="E216" s="1473"/>
      <c r="F216" s="1473"/>
      <c r="G216" s="1473"/>
      <c r="H216" s="1479"/>
      <c r="I216" s="1473"/>
      <c r="J216" s="1473"/>
      <c r="K216" s="1473"/>
      <c r="L216" s="1473"/>
      <c r="N216" s="1515"/>
      <c r="O216" s="1515"/>
      <c r="P216" s="1541"/>
      <c r="Q216" s="1541"/>
      <c r="R216" s="1541"/>
      <c r="S216" s="1473"/>
      <c r="T216" s="1473"/>
      <c r="U216" s="1473"/>
      <c r="V216"/>
      <c r="W216"/>
      <c r="X216"/>
      <c r="Y216"/>
      <c r="Z216"/>
      <c r="AA216"/>
      <c r="AB216"/>
      <c r="AC216"/>
      <c r="AD216"/>
      <c r="AE216"/>
      <c r="AF216"/>
      <c r="AG216"/>
      <c r="AH216"/>
      <c r="AI216"/>
      <c r="AJ216" s="44"/>
      <c r="AK216" s="44"/>
      <c r="AL216" s="44"/>
      <c r="AM216" s="44"/>
      <c r="AN216" s="44"/>
      <c r="AO216" s="44"/>
      <c r="AP216" s="44"/>
      <c r="AQ216" s="44"/>
      <c r="AR216" s="44"/>
      <c r="AS216" s="44"/>
      <c r="AT216" s="44"/>
      <c r="AU216" s="44"/>
    </row>
    <row r="217" spans="2:112" s="50" customFormat="1" ht="30" x14ac:dyDescent="0.25">
      <c r="B217" s="51"/>
      <c r="C217" s="52" t="s">
        <v>17</v>
      </c>
      <c r="D217" s="1435" t="s">
        <v>18</v>
      </c>
      <c r="E217" s="1435" t="s">
        <v>19</v>
      </c>
      <c r="F217" s="1435" t="s">
        <v>20</v>
      </c>
      <c r="G217" s="1435" t="s">
        <v>21</v>
      </c>
      <c r="H217" s="1435" t="s">
        <v>22</v>
      </c>
      <c r="I217" s="1435" t="s">
        <v>23</v>
      </c>
      <c r="J217" s="1435" t="s">
        <v>24</v>
      </c>
      <c r="K217" s="1435" t="s">
        <v>185</v>
      </c>
      <c r="L217" s="52" t="s">
        <v>26</v>
      </c>
      <c r="M217" s="1470"/>
      <c r="N217" s="1470"/>
      <c r="O217" s="1470"/>
      <c r="P217" s="1480"/>
      <c r="Q217" s="1480"/>
      <c r="R217" s="1480"/>
      <c r="S217" s="1480"/>
      <c r="T217" s="1480"/>
      <c r="U217" s="1480"/>
      <c r="V217" s="55" t="s">
        <v>27</v>
      </c>
      <c r="W217" s="56">
        <f>$W$8</f>
        <v>43252</v>
      </c>
      <c r="X217" s="56">
        <f>$X$8</f>
        <v>43465</v>
      </c>
      <c r="Y217" s="56">
        <f>$Y$8</f>
        <v>43800</v>
      </c>
      <c r="Z217" s="56">
        <f>$Z$8</f>
        <v>43862</v>
      </c>
      <c r="AA217" s="56">
        <f>$AA$8</f>
        <v>44013</v>
      </c>
      <c r="AB217" s="56">
        <v>44166</v>
      </c>
      <c r="AC217" s="56" t="str">
        <f>$AC$8</f>
        <v>-</v>
      </c>
      <c r="AD217" s="56" t="str">
        <f>$AD$8</f>
        <v>-</v>
      </c>
      <c r="AE217" s="56" t="str">
        <f>$AE$8</f>
        <v>-</v>
      </c>
      <c r="AF217" s="56" t="str">
        <f>$AF$8</f>
        <v>-</v>
      </c>
      <c r="AG217" s="56" t="str">
        <f>$AG$8</f>
        <v>-</v>
      </c>
      <c r="AH217"/>
      <c r="AI217" s="55" t="s">
        <v>27</v>
      </c>
      <c r="AJ217" s="56">
        <v>43252</v>
      </c>
      <c r="AK217" s="56">
        <f>$X$8</f>
        <v>43465</v>
      </c>
      <c r="AL217" s="56">
        <f>$Y$8</f>
        <v>43800</v>
      </c>
      <c r="AM217" s="56">
        <f>$Z$8</f>
        <v>43862</v>
      </c>
      <c r="AN217" s="56">
        <f>$AA$8</f>
        <v>44013</v>
      </c>
      <c r="AO217" s="56">
        <f>$AB$8</f>
        <v>44166</v>
      </c>
      <c r="AP217" s="56" t="str">
        <f>$AC$8</f>
        <v>-</v>
      </c>
      <c r="AQ217" s="56" t="str">
        <f>$AD$8</f>
        <v>-</v>
      </c>
      <c r="AR217" s="56" t="str">
        <f>$AE$8</f>
        <v>-</v>
      </c>
      <c r="AS217" s="56" t="str">
        <f>$AF$8</f>
        <v>-</v>
      </c>
      <c r="AT217" s="29"/>
      <c r="AU217" s="55" t="s">
        <v>27</v>
      </c>
      <c r="AV217" s="56">
        <v>43252</v>
      </c>
      <c r="AW217" s="56">
        <f>$X$8</f>
        <v>43465</v>
      </c>
      <c r="AX217" s="56">
        <f>$Y$8</f>
        <v>43800</v>
      </c>
      <c r="AY217" s="56">
        <f>$Z$8</f>
        <v>43862</v>
      </c>
      <c r="AZ217" s="56">
        <f>$AA$8</f>
        <v>44013</v>
      </c>
      <c r="BA217" s="56">
        <v>44166</v>
      </c>
      <c r="BB217" s="56" t="str">
        <f>$AC$8</f>
        <v>-</v>
      </c>
      <c r="BC217" s="56" t="str">
        <f>$AD$8</f>
        <v>-</v>
      </c>
      <c r="BD217" s="56" t="str">
        <f>$AE$8</f>
        <v>-</v>
      </c>
      <c r="BE217" s="56" t="str">
        <f>$AF$8</f>
        <v>-</v>
      </c>
      <c r="DB217" s="57" t="str">
        <f>$DB$8</f>
        <v>TRC (2020)</v>
      </c>
      <c r="DC217" s="93" t="str">
        <f>$DC$8</f>
        <v>Benefit Lookup</v>
      </c>
      <c r="DD217" s="93" t="str">
        <f>$DD$8</f>
        <v>Benefits (2019 $)</v>
      </c>
      <c r="DE217" s="93" t="str">
        <f>$DE$8</f>
        <v>Incremental Cost (2019 $)</v>
      </c>
    </row>
    <row r="218" spans="2:112" x14ac:dyDescent="0.25">
      <c r="C218" s="2969" t="s">
        <v>186</v>
      </c>
      <c r="D218" s="1481" t="s">
        <v>34</v>
      </c>
      <c r="E218" s="1501" t="s">
        <v>187</v>
      </c>
      <c r="F218" s="183">
        <f>ROUND(F229*(1/H229-1/I229),2)</f>
        <v>35272.879999999997</v>
      </c>
      <c r="G218" s="1482" t="s">
        <v>161</v>
      </c>
      <c r="H218" s="1483">
        <f>VLOOKUP(G218,'CP FACTORS'!$A$26:$B$38,2,FALSE)</f>
        <v>1.811545E-4</v>
      </c>
      <c r="I218" s="1502">
        <f>ROUND(H218*F218,6)</f>
        <v>6.3898409999999997</v>
      </c>
      <c r="J218" s="1542">
        <v>15</v>
      </c>
      <c r="K218" s="1503">
        <v>1000</v>
      </c>
      <c r="L218" s="1484" t="s">
        <v>37</v>
      </c>
      <c r="M218" s="4103"/>
      <c r="N218" s="4103"/>
      <c r="O218" s="4103"/>
      <c r="V218" s="2434" t="s">
        <v>20</v>
      </c>
      <c r="W218" s="105">
        <v>35272.879999999997</v>
      </c>
      <c r="X218" s="163">
        <v>35272.879999999997</v>
      </c>
      <c r="Y218" s="163">
        <v>35272.879999999997</v>
      </c>
      <c r="Z218" s="163">
        <v>35272.879999999997</v>
      </c>
      <c r="AA218" s="163">
        <v>35272.879999999997</v>
      </c>
      <c r="AB218" s="2372">
        <v>35272.879999999997</v>
      </c>
      <c r="AC218" s="2510"/>
      <c r="AD218" s="2510"/>
      <c r="AE218" s="2510"/>
      <c r="AF218" s="2510"/>
      <c r="AG218" s="2510"/>
      <c r="AH218" s="2511"/>
      <c r="AI218" s="2434" t="s">
        <v>24</v>
      </c>
      <c r="AJ218" s="87">
        <v>15</v>
      </c>
      <c r="AK218" s="87">
        <v>15</v>
      </c>
      <c r="AL218" s="87">
        <v>15</v>
      </c>
      <c r="AM218" s="87">
        <v>15</v>
      </c>
      <c r="AN218" s="87">
        <v>15</v>
      </c>
      <c r="AO218" s="2498">
        <f>J218</f>
        <v>15</v>
      </c>
      <c r="AP218" s="2510"/>
      <c r="AQ218" s="2510"/>
      <c r="AR218" s="2510"/>
      <c r="AS218" s="2510"/>
      <c r="AT218" s="2280"/>
      <c r="AU218" s="2434" t="str">
        <f>K217</f>
        <v>Inc. Cost (per unit)</v>
      </c>
      <c r="AV218" s="2513">
        <v>1000</v>
      </c>
      <c r="AW218" s="2513">
        <v>1000</v>
      </c>
      <c r="AX218" s="2513">
        <v>1000</v>
      </c>
      <c r="AY218" s="2513">
        <v>1000</v>
      </c>
      <c r="AZ218" s="2513">
        <v>1000</v>
      </c>
      <c r="BA218" s="2514">
        <v>1000</v>
      </c>
      <c r="BB218" s="2510"/>
      <c r="BC218" s="2510"/>
      <c r="BD218" s="2510"/>
      <c r="BE218" s="2510"/>
      <c r="BF218" s="2280"/>
      <c r="BG218" s="2280"/>
      <c r="BH218" s="2280"/>
      <c r="BI218" s="2280"/>
      <c r="DB218" s="67">
        <f>(DD218)/(DE218)</f>
        <v>23.62874831985712</v>
      </c>
      <c r="DC218" s="68" t="str">
        <f>CONCATENATE(G218," ",J218," Year EUL")</f>
        <v>Water Heating BUS 15 Year EUL</v>
      </c>
      <c r="DD218" s="94">
        <f>(INDEX('Avoided Cost Benefits'!$C$4:$C$857,MATCH(DC218,'Avoided Cost Benefits'!$A$4:$A$857,0)))*F218</f>
        <v>22301.791712937345</v>
      </c>
      <c r="DE218" s="69">
        <f>K218/(1.0595^(2020-2019))</f>
        <v>943.84143463898056</v>
      </c>
    </row>
    <row r="219" spans="2:112" x14ac:dyDescent="0.25">
      <c r="C219" s="2969" t="s">
        <v>188</v>
      </c>
      <c r="D219" s="1481" t="s">
        <v>34</v>
      </c>
      <c r="E219" s="1501" t="s">
        <v>189</v>
      </c>
      <c r="F219" s="183">
        <f>ROUND(F230*(1/H230-1/I230),2)</f>
        <v>6206.88</v>
      </c>
      <c r="G219" s="1482" t="s">
        <v>161</v>
      </c>
      <c r="H219" s="1483">
        <f>VLOOKUP(G219,'CP FACTORS'!$A$26:$B$38,2,FALSE)</f>
        <v>1.811545E-4</v>
      </c>
      <c r="I219" s="1502">
        <f>ROUND(H219*F219,6)</f>
        <v>1.124404</v>
      </c>
      <c r="J219" s="1542">
        <v>15</v>
      </c>
      <c r="K219" s="1503">
        <v>1000</v>
      </c>
      <c r="L219" s="1484" t="s">
        <v>37</v>
      </c>
      <c r="M219" s="4103"/>
      <c r="N219" s="4103"/>
      <c r="O219" s="4103"/>
      <c r="V219" s="2434" t="s">
        <v>20</v>
      </c>
      <c r="W219" s="105">
        <v>6206.880000000001</v>
      </c>
      <c r="X219" s="163">
        <v>6206.880000000001</v>
      </c>
      <c r="Y219" s="163">
        <v>6206.880000000001</v>
      </c>
      <c r="Z219" s="163">
        <v>6206.880000000001</v>
      </c>
      <c r="AA219" s="163">
        <v>6206.880000000001</v>
      </c>
      <c r="AB219" s="2372">
        <v>6206.88</v>
      </c>
      <c r="AC219" s="2510"/>
      <c r="AD219" s="2510"/>
      <c r="AE219" s="2510"/>
      <c r="AF219" s="2510"/>
      <c r="AG219" s="2510"/>
      <c r="AH219" s="2511"/>
      <c r="AI219" s="2434" t="s">
        <v>24</v>
      </c>
      <c r="AJ219" s="87">
        <v>15</v>
      </c>
      <c r="AK219" s="87">
        <v>15</v>
      </c>
      <c r="AL219" s="87">
        <v>15</v>
      </c>
      <c r="AM219" s="87">
        <v>15</v>
      </c>
      <c r="AN219" s="87">
        <v>15</v>
      </c>
      <c r="AO219" s="2498">
        <f>J219</f>
        <v>15</v>
      </c>
      <c r="AP219" s="2510"/>
      <c r="AQ219" s="2510"/>
      <c r="AR219" s="2510"/>
      <c r="AS219" s="2510"/>
      <c r="AT219" s="2280"/>
      <c r="AU219" s="2434" t="str">
        <f>AU218</f>
        <v>Inc. Cost (per unit)</v>
      </c>
      <c r="AV219" s="2513">
        <v>1000</v>
      </c>
      <c r="AW219" s="2513">
        <v>1000</v>
      </c>
      <c r="AX219" s="2513">
        <v>1000</v>
      </c>
      <c r="AY219" s="2513">
        <v>1000</v>
      </c>
      <c r="AZ219" s="2513">
        <v>1000</v>
      </c>
      <c r="BA219" s="2514">
        <v>1000</v>
      </c>
      <c r="BB219" s="2510"/>
      <c r="BC219" s="2510"/>
      <c r="BD219" s="2510"/>
      <c r="BE219" s="2510"/>
      <c r="BF219" s="2280"/>
      <c r="BG219" s="2280"/>
      <c r="BH219" s="2280"/>
      <c r="BI219" s="2280"/>
      <c r="DB219" s="74">
        <f>(DD219)/(DE219)</f>
        <v>4.1578914273956302</v>
      </c>
      <c r="DC219" s="72" t="str">
        <f>CONCATENATE(G219," ",J219," Year EUL")</f>
        <v>Water Heating BUS 15 Year EUL</v>
      </c>
      <c r="DD219" s="96">
        <f>(INDEX('Avoided Cost Benefits'!$C$4:$C$857,MATCH(DC219,'Avoided Cost Benefits'!$A$4:$A$857,0)))*F219</f>
        <v>3924.3902099062102</v>
      </c>
      <c r="DE219" s="75">
        <f>K219/(1.0595^(2020-2019))</f>
        <v>943.84143463898056</v>
      </c>
    </row>
    <row r="220" spans="2:112" outlineLevel="1" x14ac:dyDescent="0.25">
      <c r="E220" s="1473"/>
      <c r="F220" s="1473"/>
      <c r="G220" s="1473"/>
      <c r="H220" s="1491"/>
      <c r="I220" s="1473"/>
      <c r="J220" s="1473"/>
      <c r="K220" s="1473"/>
      <c r="M220" s="4103"/>
      <c r="N220" s="4103"/>
      <c r="O220" s="4103"/>
      <c r="V220" s="2280"/>
      <c r="W220" s="2280"/>
      <c r="X220" s="2280"/>
      <c r="Y220" s="2280"/>
      <c r="Z220" s="2280"/>
      <c r="AA220" s="2280"/>
      <c r="AB220" s="2280"/>
      <c r="AC220" s="2280"/>
      <c r="AD220" s="2280"/>
      <c r="AE220" s="2280"/>
      <c r="AF220" s="2280"/>
      <c r="AG220" s="2280"/>
      <c r="AH220" s="2280"/>
      <c r="AI220" s="2280"/>
      <c r="AJ220" s="2280"/>
      <c r="AK220" s="2280"/>
      <c r="AL220" s="2280"/>
      <c r="AM220" s="2280"/>
      <c r="AN220" s="2280"/>
      <c r="AO220" s="2280"/>
      <c r="AP220" s="2280"/>
      <c r="AQ220" s="2280"/>
      <c r="AR220" s="2280"/>
      <c r="AS220" s="2280"/>
      <c r="AT220" s="2280"/>
      <c r="AU220" s="2280"/>
      <c r="AV220" s="2280"/>
      <c r="AW220" s="2280"/>
      <c r="AX220" s="2280"/>
      <c r="AY220" s="2280"/>
      <c r="AZ220" s="2280"/>
      <c r="BA220" s="2280"/>
      <c r="BB220" s="2280"/>
      <c r="BC220" s="2280"/>
      <c r="BD220" s="2280"/>
      <c r="BE220" s="2280"/>
      <c r="BF220" s="2280"/>
      <c r="BG220" s="2280"/>
      <c r="BH220" s="2280"/>
      <c r="BI220" s="2280"/>
    </row>
    <row r="221" spans="2:112" outlineLevel="1" x14ac:dyDescent="0.25">
      <c r="D221" s="1473" t="s">
        <v>70</v>
      </c>
      <c r="E221" s="1473"/>
      <c r="F221" s="1473"/>
      <c r="G221" s="1473"/>
      <c r="H221" s="1491"/>
      <c r="I221" s="1473"/>
      <c r="J221" s="1473"/>
      <c r="K221" s="1473"/>
      <c r="M221" s="4103"/>
      <c r="N221" s="4103"/>
      <c r="O221" s="4103"/>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0"/>
      <c r="BE221" s="2280"/>
      <c r="BF221" s="2280"/>
      <c r="BG221" s="2280"/>
      <c r="BH221" s="2280"/>
      <c r="BI221" s="2280"/>
    </row>
    <row r="222" spans="2:112" outlineLevel="1" x14ac:dyDescent="0.25">
      <c r="D222" s="1492"/>
      <c r="F222" s="1543" t="s">
        <v>190</v>
      </c>
      <c r="G222" s="1515"/>
      <c r="H222" s="1543" t="s">
        <v>191</v>
      </c>
      <c r="M222" s="4103"/>
      <c r="N222" s="4103"/>
      <c r="O222" s="4103"/>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0"/>
      <c r="BE222" s="2280"/>
      <c r="BF222" s="2280"/>
      <c r="BG222" s="2280"/>
      <c r="BH222" s="2280"/>
      <c r="BI222" s="2280"/>
    </row>
    <row r="223" spans="2:112" outlineLevel="1" x14ac:dyDescent="0.25">
      <c r="D223" s="1492"/>
      <c r="G223" s="1515"/>
      <c r="H223" s="1516"/>
      <c r="V223" s="2280"/>
      <c r="W223" s="2280"/>
      <c r="X223" s="2280"/>
      <c r="Y223" s="2280"/>
      <c r="Z223" s="2280"/>
      <c r="AA223" s="2280"/>
      <c r="AB223" s="2280"/>
      <c r="AC223" s="2280"/>
      <c r="AD223" s="2280"/>
      <c r="AE223" s="2280"/>
      <c r="AF223" s="2280"/>
      <c r="AG223" s="2280"/>
      <c r="AH223" s="2280"/>
      <c r="AI223" s="2280"/>
      <c r="AJ223" s="2280"/>
      <c r="AK223" s="2280"/>
      <c r="AL223" s="2280"/>
      <c r="AM223" s="2280"/>
      <c r="AN223" s="2280"/>
      <c r="AO223" s="2280"/>
      <c r="AP223" s="2280"/>
      <c r="AQ223" s="2280"/>
      <c r="AR223" s="2280"/>
      <c r="AS223" s="2280"/>
      <c r="AT223" s="2280"/>
      <c r="AU223" s="2280"/>
      <c r="AV223" s="2280"/>
      <c r="AW223" s="2280"/>
      <c r="AX223" s="2280"/>
      <c r="AY223" s="2280"/>
      <c r="AZ223" s="2280"/>
      <c r="BA223" s="2280"/>
      <c r="BB223" s="2280"/>
      <c r="BC223" s="2280"/>
      <c r="BD223" s="2280"/>
      <c r="BE223" s="2280"/>
      <c r="BF223" s="2280"/>
      <c r="BG223" s="2280"/>
      <c r="BH223" s="2280"/>
      <c r="BI223" s="2280"/>
    </row>
    <row r="224" spans="2:112" outlineLevel="1" x14ac:dyDescent="0.25">
      <c r="D224" s="1492"/>
      <c r="G224" s="1470"/>
      <c r="H224" s="1493"/>
      <c r="M224" s="1473"/>
    </row>
    <row r="225" spans="2:112" outlineLevel="1" x14ac:dyDescent="0.25">
      <c r="D225" s="1492"/>
      <c r="G225" s="1470"/>
      <c r="H225" s="1493"/>
      <c r="M225" s="1473"/>
    </row>
    <row r="226" spans="2:112" outlineLevel="1" x14ac:dyDescent="0.25">
      <c r="D226" s="1492"/>
      <c r="G226" s="1470"/>
      <c r="H226" s="1493"/>
      <c r="M226" s="1473"/>
    </row>
    <row r="227" spans="2:112" outlineLevel="1" x14ac:dyDescent="0.25">
      <c r="D227" s="1492"/>
      <c r="G227" s="1470"/>
      <c r="H227" s="1493"/>
    </row>
    <row r="228" spans="2:112" s="77" customFormat="1" outlineLevel="1" x14ac:dyDescent="0.25">
      <c r="C228" s="198"/>
      <c r="D228" s="52" t="s">
        <v>17</v>
      </c>
      <c r="E228" s="1406" t="s">
        <v>119</v>
      </c>
      <c r="F228" s="1406" t="s">
        <v>192</v>
      </c>
      <c r="G228" s="1406" t="s">
        <v>193</v>
      </c>
      <c r="H228" s="104" t="s">
        <v>194</v>
      </c>
      <c r="I228" s="106" t="s">
        <v>195</v>
      </c>
      <c r="J228" s="463"/>
      <c r="K228" s="463"/>
      <c r="L228" s="198"/>
      <c r="M228" s="463"/>
      <c r="N228" s="463"/>
      <c r="O228" s="463"/>
      <c r="P228" s="463"/>
      <c r="Q228" s="463"/>
      <c r="R228" s="463"/>
      <c r="S228" s="463"/>
      <c r="T228" s="463"/>
      <c r="U228" s="463"/>
      <c r="DB228" s="97"/>
    </row>
    <row r="229" spans="2:112" outlineLevel="1" x14ac:dyDescent="0.25">
      <c r="D229" s="1494" t="str">
        <f>C218</f>
        <v>802500_2019_12_</v>
      </c>
      <c r="E229" s="1494" t="str">
        <f>E218</f>
        <v>Pool Heater Heat Pump (Uncovered)</v>
      </c>
      <c r="F229" s="1544">
        <f>(53.075*G229)+1631.1</f>
        <v>44091.1</v>
      </c>
      <c r="G229" s="1525">
        <v>800</v>
      </c>
      <c r="H229" s="1545">
        <v>1</v>
      </c>
      <c r="I229" s="1546">
        <v>5</v>
      </c>
      <c r="J229" s="1514"/>
    </row>
    <row r="230" spans="2:112" outlineLevel="1" x14ac:dyDescent="0.25">
      <c r="D230" s="1494" t="str">
        <f>C219</f>
        <v>802550_2019_12_</v>
      </c>
      <c r="E230" s="1494" t="str">
        <f>E219</f>
        <v>Pool Heater Heat Pump (Covered)</v>
      </c>
      <c r="F230" s="1544">
        <f>(8.079*G230)+1295.4</f>
        <v>7758.6</v>
      </c>
      <c r="G230" s="1525">
        <v>800</v>
      </c>
      <c r="H230" s="1545">
        <v>1</v>
      </c>
      <c r="I230" s="1546">
        <v>5</v>
      </c>
      <c r="J230" s="1514"/>
    </row>
    <row r="233" spans="2:112" s="46" customFormat="1" x14ac:dyDescent="0.25">
      <c r="B233" s="4089" t="s">
        <v>196</v>
      </c>
      <c r="C233" s="4090"/>
      <c r="D233" s="4090"/>
      <c r="E233" s="4090"/>
      <c r="F233" s="4090"/>
      <c r="G233" s="4090"/>
      <c r="H233" s="4090"/>
      <c r="I233" s="4091"/>
      <c r="J233" s="4091"/>
      <c r="K233" s="4091"/>
      <c r="L233" s="4091"/>
      <c r="M233" s="3354"/>
      <c r="N233" s="3354"/>
      <c r="O233" s="3355"/>
      <c r="V233" s="47" t="str">
        <f>B233</f>
        <v>Pool Pump</v>
      </c>
      <c r="W233" s="48"/>
      <c r="X233" s="48"/>
      <c r="Y233" s="48"/>
      <c r="Z233" s="48"/>
      <c r="AA233" s="48"/>
      <c r="AB233" s="48"/>
      <c r="AC233" s="48"/>
      <c r="AD233" s="48"/>
      <c r="AE233" s="48"/>
      <c r="AF233" s="48"/>
      <c r="AG233" s="48"/>
      <c r="AH233" s="48"/>
      <c r="AI233" s="49"/>
      <c r="AJ233" s="26"/>
      <c r="AK233" s="26"/>
      <c r="AL233" s="26"/>
      <c r="AM233" s="26"/>
      <c r="AN233" s="26"/>
      <c r="AO233" s="26"/>
      <c r="AP233" s="26"/>
      <c r="AQ233" s="26"/>
      <c r="AR233" s="26"/>
      <c r="AS233" s="26"/>
      <c r="AT233" s="26"/>
      <c r="AU233" s="26"/>
      <c r="DB233" s="98"/>
      <c r="DG233" s="2282"/>
      <c r="DH233" s="2282"/>
    </row>
    <row r="234" spans="2:112" x14ac:dyDescent="0.25">
      <c r="D234" s="1478"/>
      <c r="E234" s="1473"/>
      <c r="F234" s="1473"/>
      <c r="G234" s="1473"/>
      <c r="H234" s="1479"/>
      <c r="I234" s="1473"/>
      <c r="J234" s="1473"/>
      <c r="K234" s="1473"/>
      <c r="L234" s="1473"/>
      <c r="P234" s="1473"/>
      <c r="Q234" s="1473"/>
      <c r="R234" s="1473"/>
      <c r="S234" s="1473"/>
      <c r="T234" s="1473"/>
      <c r="U234" s="1473"/>
      <c r="V234"/>
      <c r="W234"/>
      <c r="X234"/>
      <c r="Y234"/>
      <c r="Z234"/>
      <c r="AA234"/>
      <c r="AB234"/>
      <c r="AC234"/>
      <c r="AD234"/>
      <c r="AE234"/>
      <c r="AF234"/>
      <c r="AG234"/>
      <c r="AH234"/>
      <c r="AI234"/>
      <c r="AJ234" s="44"/>
      <c r="AK234" s="44"/>
      <c r="AL234" s="44"/>
      <c r="AM234" s="44"/>
      <c r="AN234" s="44"/>
      <c r="AO234" s="44"/>
      <c r="AP234" s="44"/>
      <c r="AQ234" s="44"/>
      <c r="AR234" s="44"/>
      <c r="AS234" s="44"/>
      <c r="AT234" s="44"/>
      <c r="AU234" s="44"/>
    </row>
    <row r="235" spans="2:112" s="50" customFormat="1" ht="30" x14ac:dyDescent="0.25">
      <c r="B235" s="51"/>
      <c r="C235" s="52" t="s">
        <v>17</v>
      </c>
      <c r="D235" s="1435" t="s">
        <v>18</v>
      </c>
      <c r="E235" s="1435" t="s">
        <v>19</v>
      </c>
      <c r="F235" s="1435" t="s">
        <v>197</v>
      </c>
      <c r="G235" s="1435" t="s">
        <v>21</v>
      </c>
      <c r="H235" s="53" t="s">
        <v>22</v>
      </c>
      <c r="I235" s="1435" t="s">
        <v>23</v>
      </c>
      <c r="J235" s="1435" t="s">
        <v>24</v>
      </c>
      <c r="K235" s="52" t="s">
        <v>25</v>
      </c>
      <c r="L235" s="52" t="s">
        <v>26</v>
      </c>
      <c r="M235" s="1470"/>
      <c r="N235" s="1470"/>
      <c r="O235" s="1470"/>
      <c r="P235" s="1480"/>
      <c r="Q235" s="1480"/>
      <c r="R235" s="1480"/>
      <c r="S235" s="1480"/>
      <c r="T235" s="1480"/>
      <c r="U235" s="1480"/>
      <c r="V235" s="55" t="s">
        <v>27</v>
      </c>
      <c r="W235" s="56">
        <f>$W$8</f>
        <v>43252</v>
      </c>
      <c r="X235" s="56">
        <f>$X$8</f>
        <v>43465</v>
      </c>
      <c r="Y235" s="56">
        <f>$Y$8</f>
        <v>43800</v>
      </c>
      <c r="Z235" s="56">
        <f>$Z$8</f>
        <v>43862</v>
      </c>
      <c r="AA235" s="56">
        <f>$AA$8</f>
        <v>44013</v>
      </c>
      <c r="AB235" s="56">
        <v>44166</v>
      </c>
      <c r="AC235" s="56" t="str">
        <f>$AC$8</f>
        <v>-</v>
      </c>
      <c r="AD235" s="56" t="str">
        <f>$AD$8</f>
        <v>-</v>
      </c>
      <c r="AE235" s="56" t="str">
        <f>$AE$8</f>
        <v>-</v>
      </c>
      <c r="AF235" s="56" t="str">
        <f>$AF$8</f>
        <v>-</v>
      </c>
      <c r="AG235" s="56" t="str">
        <f>$AG$8</f>
        <v>-</v>
      </c>
      <c r="AH235"/>
      <c r="AI235" s="55" t="s">
        <v>27</v>
      </c>
      <c r="AJ235" s="56">
        <v>43252</v>
      </c>
      <c r="AK235" s="56">
        <f>$X$8</f>
        <v>43465</v>
      </c>
      <c r="AL235" s="56">
        <f>$Y$8</f>
        <v>43800</v>
      </c>
      <c r="AM235" s="56">
        <f>$Z$8</f>
        <v>43862</v>
      </c>
      <c r="AN235" s="56">
        <f>$AA$8</f>
        <v>44013</v>
      </c>
      <c r="AO235" s="56">
        <f>$AB$8</f>
        <v>44166</v>
      </c>
      <c r="AP235" s="56" t="str">
        <f>$AC$8</f>
        <v>-</v>
      </c>
      <c r="AQ235" s="56" t="str">
        <f>$AD$8</f>
        <v>-</v>
      </c>
      <c r="AR235" s="56" t="str">
        <f>$AE$8</f>
        <v>-</v>
      </c>
      <c r="AS235" s="56" t="str">
        <f>$AF$8</f>
        <v>-</v>
      </c>
      <c r="AT235" s="29"/>
      <c r="AU235" s="55" t="s">
        <v>27</v>
      </c>
      <c r="AV235" s="56">
        <v>43252</v>
      </c>
      <c r="AW235" s="56">
        <f>$X$8</f>
        <v>43465</v>
      </c>
      <c r="AX235" s="56">
        <f>$Y$8</f>
        <v>43800</v>
      </c>
      <c r="AY235" s="56">
        <f>$Z$8</f>
        <v>43862</v>
      </c>
      <c r="AZ235" s="56">
        <f>$AA$8</f>
        <v>44013</v>
      </c>
      <c r="BA235" s="56">
        <v>44166</v>
      </c>
      <c r="BB235" s="56" t="str">
        <f>$AC$8</f>
        <v>-</v>
      </c>
      <c r="BC235" s="56" t="str">
        <f>$AD$8</f>
        <v>-</v>
      </c>
      <c r="BD235" s="56" t="str">
        <f>$AE$8</f>
        <v>-</v>
      </c>
      <c r="BE235" s="56" t="str">
        <f>$AF$8</f>
        <v>-</v>
      </c>
      <c r="DB235" s="57" t="str">
        <f>$DB$8</f>
        <v>TRC (2020)</v>
      </c>
      <c r="DC235" s="93" t="str">
        <f>$DC$8</f>
        <v>Benefit Lookup</v>
      </c>
      <c r="DD235" s="93" t="str">
        <f>$DD$8</f>
        <v>Benefits (2019 $)</v>
      </c>
      <c r="DE235" s="93" t="str">
        <f>$DE$8</f>
        <v>Incremental Cost (2019 $)</v>
      </c>
    </row>
    <row r="236" spans="2:112" x14ac:dyDescent="0.25">
      <c r="C236" s="2969" t="s">
        <v>198</v>
      </c>
      <c r="D236" s="1481" t="s">
        <v>34</v>
      </c>
      <c r="E236" s="1501" t="s">
        <v>199</v>
      </c>
      <c r="F236" s="183">
        <f>ROUND(1747*F246,2)</f>
        <v>1747</v>
      </c>
      <c r="G236" s="1482" t="s">
        <v>200</v>
      </c>
      <c r="H236" s="1483">
        <f>VLOOKUP(G236,'CP FACTORS'!$A$26:$B$38,2,FALSE)</f>
        <v>1.379439E-4</v>
      </c>
      <c r="I236" s="1502">
        <f>ROUND(H236*F236,6)</f>
        <v>0.24098800000000001</v>
      </c>
      <c r="J236" s="1542">
        <v>15</v>
      </c>
      <c r="K236" s="1523">
        <f>200*F246+46</f>
        <v>246</v>
      </c>
      <c r="L236" s="1484" t="s">
        <v>37</v>
      </c>
      <c r="M236" s="4103"/>
      <c r="N236" s="4103"/>
      <c r="O236" s="4103"/>
      <c r="V236" s="60" t="s">
        <v>20</v>
      </c>
      <c r="W236" s="70">
        <v>1747</v>
      </c>
      <c r="X236" s="70">
        <v>1747</v>
      </c>
      <c r="Y236" s="163">
        <v>1747</v>
      </c>
      <c r="Z236" s="163">
        <v>1747</v>
      </c>
      <c r="AA236" s="163">
        <v>1747</v>
      </c>
      <c r="AB236" s="2372">
        <v>1747</v>
      </c>
      <c r="AC236" s="2510"/>
      <c r="AD236" s="2510"/>
      <c r="AE236" s="2510"/>
      <c r="AF236" s="2510"/>
      <c r="AG236" s="2510"/>
      <c r="AH236" s="2511"/>
      <c r="AI236" s="2434" t="s">
        <v>24</v>
      </c>
      <c r="AJ236" s="2516">
        <v>15</v>
      </c>
      <c r="AK236" s="2516">
        <v>15</v>
      </c>
      <c r="AL236" s="2516">
        <v>15</v>
      </c>
      <c r="AM236" s="2516">
        <v>15</v>
      </c>
      <c r="AN236" s="2516">
        <v>15</v>
      </c>
      <c r="AO236" s="2498">
        <f>J236</f>
        <v>15</v>
      </c>
      <c r="AP236" s="2510"/>
      <c r="AQ236" s="2510"/>
      <c r="AR236" s="2510"/>
      <c r="AS236" s="2510"/>
      <c r="AT236" s="2280"/>
      <c r="AU236" s="2434" t="s">
        <v>25</v>
      </c>
      <c r="AV236" s="2513">
        <v>246</v>
      </c>
      <c r="AW236" s="2513">
        <v>246</v>
      </c>
      <c r="AX236" s="2513">
        <v>246</v>
      </c>
      <c r="AY236" s="2513">
        <v>246</v>
      </c>
      <c r="AZ236" s="2513">
        <v>246</v>
      </c>
      <c r="BA236" s="2877">
        <v>246</v>
      </c>
      <c r="BB236" s="2510"/>
      <c r="BC236" s="2510"/>
      <c r="BD236" s="2510"/>
      <c r="BE236" s="2510"/>
      <c r="BF236" s="2280"/>
      <c r="BG236" s="2280"/>
      <c r="BH236" s="2280"/>
      <c r="BI236" s="2280"/>
      <c r="BJ236" s="2280"/>
      <c r="BK236" s="2280"/>
      <c r="BL236" s="2280"/>
      <c r="BM236" s="2280"/>
      <c r="BN236" s="2280"/>
      <c r="BO236" s="2280"/>
      <c r="BP236" s="2280"/>
      <c r="BQ236" s="2280"/>
      <c r="BR236" s="2280"/>
      <c r="BS236" s="2280"/>
      <c r="DB236" s="107">
        <f>(DD236)/(DE236)</f>
        <v>4.0338615402565363</v>
      </c>
      <c r="DC236" s="68" t="str">
        <f>CONCATENATE(G236," ",J236," Year EUL")</f>
        <v>Motors BUS 15 Year EUL</v>
      </c>
      <c r="DD236" s="108">
        <f>(INDEX('Avoided Cost Benefits'!$C$4:$C$857,MATCH(DC236,'Avoided Cost Benefits'!$A$4:$A$857,0)))*F236</f>
        <v>936.6021131695212</v>
      </c>
      <c r="DE236" s="109">
        <f>K236/(1.0595^(2020-2019))</f>
        <v>232.18499292118921</v>
      </c>
    </row>
    <row r="237" spans="2:112" outlineLevel="1" x14ac:dyDescent="0.25">
      <c r="E237" s="1473"/>
      <c r="F237" s="1473"/>
      <c r="G237" s="1473"/>
      <c r="H237" s="1491"/>
      <c r="I237" s="1473"/>
      <c r="J237" s="1473"/>
      <c r="K237" s="1473"/>
      <c r="M237" s="4103"/>
      <c r="N237" s="4103"/>
      <c r="O237" s="4103"/>
      <c r="Y237" s="2280"/>
      <c r="Z237" s="2280"/>
      <c r="AA237" s="2280"/>
      <c r="AB237" s="2280"/>
      <c r="AC237" s="2280"/>
      <c r="AD237" s="2280"/>
      <c r="AE237" s="2280"/>
      <c r="AF237" s="2280"/>
      <c r="AG237" s="2280"/>
      <c r="AH237" s="2280"/>
      <c r="AI237" s="2280"/>
      <c r="AJ237" s="2280"/>
      <c r="AK237" s="2280"/>
      <c r="AL237" s="2280"/>
      <c r="AM237" s="2280"/>
      <c r="AN237" s="2280"/>
      <c r="AO237" s="2280"/>
      <c r="AP237" s="2280"/>
      <c r="AQ237" s="2280"/>
      <c r="AR237" s="2280"/>
      <c r="AS237" s="2280"/>
      <c r="AT237" s="2280"/>
      <c r="AU237" s="2280"/>
      <c r="AV237" s="2280"/>
      <c r="AW237" s="2280"/>
      <c r="AX237" s="2280"/>
      <c r="AY237" s="2280"/>
      <c r="AZ237" s="2280"/>
      <c r="BA237" s="2280"/>
      <c r="BB237" s="2280"/>
      <c r="BC237" s="2280"/>
      <c r="BD237" s="2280"/>
      <c r="BE237" s="2280"/>
      <c r="BF237" s="2280"/>
      <c r="BG237" s="2280"/>
      <c r="BH237" s="2280"/>
      <c r="BI237" s="2280"/>
      <c r="BJ237" s="2280"/>
      <c r="BK237" s="2280"/>
      <c r="BL237" s="2280"/>
      <c r="BM237" s="2280"/>
      <c r="BN237" s="2280"/>
      <c r="BO237" s="2280"/>
      <c r="BP237" s="2280"/>
      <c r="BQ237" s="2280"/>
      <c r="BR237" s="2280"/>
      <c r="BS237" s="2280"/>
    </row>
    <row r="238" spans="2:112" outlineLevel="1" x14ac:dyDescent="0.25">
      <c r="D238" s="1473" t="s">
        <v>70</v>
      </c>
      <c r="E238" s="1473"/>
      <c r="F238" s="1473"/>
      <c r="G238" s="1473"/>
      <c r="H238" s="1491"/>
      <c r="I238" s="1473"/>
      <c r="J238" s="1473"/>
      <c r="K238" s="1473"/>
      <c r="M238" s="4103"/>
      <c r="N238" s="4103"/>
      <c r="O238" s="4103"/>
      <c r="Y238" s="2280"/>
      <c r="Z238" s="2280"/>
      <c r="AA238" s="2280"/>
      <c r="AB238" s="2280"/>
      <c r="AC238" s="2280"/>
      <c r="AD238" s="2280"/>
      <c r="AE238" s="2280"/>
      <c r="AF238" s="2280"/>
      <c r="AG238" s="2280"/>
      <c r="AH238" s="2280"/>
      <c r="AI238" s="2280"/>
      <c r="AJ238" s="2280"/>
      <c r="AK238" s="2280"/>
      <c r="AL238" s="2280"/>
      <c r="AM238" s="2280"/>
      <c r="AN238" s="2280"/>
      <c r="AO238" s="2280"/>
      <c r="AP238" s="2280"/>
      <c r="AQ238" s="2280"/>
      <c r="AR238" s="2280"/>
      <c r="AS238" s="2280"/>
      <c r="AT238" s="2280"/>
      <c r="AU238" s="2280"/>
      <c r="AV238" s="2280"/>
      <c r="AW238" s="2280"/>
      <c r="AX238" s="2280"/>
      <c r="AY238" s="2280"/>
      <c r="AZ238" s="2280"/>
      <c r="BA238" s="2280"/>
      <c r="BB238" s="2280"/>
      <c r="BC238" s="2280"/>
      <c r="BD238" s="2280"/>
      <c r="BE238" s="2280"/>
      <c r="BF238" s="2280"/>
      <c r="BG238" s="2280"/>
      <c r="BH238" s="2280"/>
      <c r="BI238" s="2280"/>
      <c r="BJ238" s="2280"/>
      <c r="BK238" s="2280"/>
      <c r="BL238" s="2280"/>
      <c r="BM238" s="2280"/>
      <c r="BN238" s="2280"/>
      <c r="BO238" s="2280"/>
      <c r="BP238" s="2280"/>
      <c r="BQ238" s="2280"/>
      <c r="BR238" s="2280"/>
      <c r="BS238" s="2280"/>
    </row>
    <row r="239" spans="2:112" outlineLevel="1" x14ac:dyDescent="0.25">
      <c r="D239" s="1492"/>
      <c r="G239" s="1515"/>
      <c r="H239" s="1516"/>
      <c r="M239" s="4103"/>
      <c r="N239" s="4103"/>
      <c r="O239" s="4103"/>
    </row>
    <row r="240" spans="2:112" outlineLevel="1" x14ac:dyDescent="0.25">
      <c r="D240" s="1492"/>
      <c r="G240" s="1515"/>
      <c r="H240" s="1516"/>
      <c r="M240" s="4103"/>
      <c r="N240" s="4103"/>
      <c r="O240" s="4103"/>
    </row>
    <row r="241" spans="2:109" outlineLevel="1" x14ac:dyDescent="0.25">
      <c r="D241" s="1492"/>
      <c r="G241" s="1470"/>
      <c r="H241" s="1493"/>
      <c r="M241" s="1473"/>
    </row>
    <row r="242" spans="2:109" outlineLevel="1" x14ac:dyDescent="0.25">
      <c r="D242" s="1492"/>
      <c r="G242" s="1470"/>
      <c r="H242" s="1493"/>
      <c r="M242" s="1473"/>
    </row>
    <row r="243" spans="2:109" outlineLevel="1" x14ac:dyDescent="0.25">
      <c r="D243" s="1492"/>
      <c r="G243" s="1470"/>
      <c r="H243" s="1493"/>
      <c r="M243" s="1473"/>
    </row>
    <row r="244" spans="2:109" outlineLevel="1" x14ac:dyDescent="0.25">
      <c r="D244" s="1492"/>
      <c r="G244" s="1470"/>
      <c r="H244" s="1493"/>
    </row>
    <row r="245" spans="2:109" s="77" customFormat="1" outlineLevel="1" x14ac:dyDescent="0.25">
      <c r="C245" s="198"/>
      <c r="D245" s="52" t="s">
        <v>17</v>
      </c>
      <c r="E245" s="1406" t="s">
        <v>119</v>
      </c>
      <c r="F245" s="1406" t="s">
        <v>201</v>
      </c>
      <c r="G245" s="463"/>
      <c r="H245" s="463"/>
      <c r="I245" s="198"/>
      <c r="J245" s="463"/>
      <c r="K245" s="463"/>
      <c r="L245" s="463"/>
      <c r="M245" s="463"/>
      <c r="N245" s="463"/>
      <c r="O245" s="463"/>
      <c r="P245" s="463"/>
      <c r="Q245" s="463"/>
      <c r="R245" s="463"/>
      <c r="S245" s="463"/>
      <c r="T245" s="463"/>
      <c r="U245" s="463"/>
      <c r="DB245" s="97"/>
    </row>
    <row r="246" spans="2:109" outlineLevel="1" x14ac:dyDescent="0.25">
      <c r="D246" s="1494" t="str">
        <f>C236</f>
        <v>802600_2019_12_</v>
      </c>
      <c r="E246" s="1494" t="str">
        <f>E236</f>
        <v>Pool Pump w/ Variable Frequency Drive</v>
      </c>
      <c r="F246" s="1547">
        <v>1</v>
      </c>
      <c r="H246" s="1470"/>
    </row>
    <row r="249" spans="2:109" s="50" customFormat="1" ht="30" x14ac:dyDescent="0.25">
      <c r="B249" s="51"/>
      <c r="C249" s="52" t="s">
        <v>17</v>
      </c>
      <c r="D249" s="1435" t="s">
        <v>18</v>
      </c>
      <c r="E249" s="1435" t="s">
        <v>19</v>
      </c>
      <c r="F249" s="1435" t="s">
        <v>20</v>
      </c>
      <c r="G249" s="1435" t="s">
        <v>21</v>
      </c>
      <c r="H249" s="53" t="s">
        <v>22</v>
      </c>
      <c r="I249" s="1435" t="s">
        <v>23</v>
      </c>
      <c r="J249" s="1435" t="s">
        <v>24</v>
      </c>
      <c r="K249" s="52" t="s">
        <v>25</v>
      </c>
      <c r="L249" s="52" t="s">
        <v>26</v>
      </c>
      <c r="M249" s="1470"/>
      <c r="N249" s="1470"/>
      <c r="O249" s="1470"/>
      <c r="P249" s="1480"/>
      <c r="Q249" s="1480"/>
      <c r="R249" s="1480"/>
      <c r="S249" s="1480"/>
      <c r="T249" s="1480"/>
      <c r="U249" s="1480"/>
      <c r="V249" s="55" t="s">
        <v>27</v>
      </c>
      <c r="W249" s="56">
        <f>$W$8</f>
        <v>43252</v>
      </c>
      <c r="X249" s="56">
        <f>$X$8</f>
        <v>43465</v>
      </c>
      <c r="Y249" s="56">
        <f>$Y$8</f>
        <v>43800</v>
      </c>
      <c r="Z249" s="56">
        <f>$Z$8</f>
        <v>43862</v>
      </c>
      <c r="AA249" s="56">
        <f>$AA$8</f>
        <v>44013</v>
      </c>
      <c r="AB249" s="56">
        <v>44166</v>
      </c>
      <c r="AC249" s="56" t="str">
        <f>$AC$8</f>
        <v>-</v>
      </c>
      <c r="AD249" s="56" t="str">
        <f>$AD$8</f>
        <v>-</v>
      </c>
      <c r="AE249" s="56" t="str">
        <f>$AE$8</f>
        <v>-</v>
      </c>
      <c r="AF249" s="56" t="str">
        <f>$AF$8</f>
        <v>-</v>
      </c>
      <c r="AG249" s="56" t="str">
        <f>$AG$8</f>
        <v>-</v>
      </c>
      <c r="AH249"/>
      <c r="AI249" s="55" t="s">
        <v>27</v>
      </c>
      <c r="AJ249" s="56">
        <v>43252</v>
      </c>
      <c r="AK249" s="56">
        <f>$X$8</f>
        <v>43465</v>
      </c>
      <c r="AL249" s="56">
        <f>$Y$8</f>
        <v>43800</v>
      </c>
      <c r="AM249" s="56">
        <f>$Z$8</f>
        <v>43862</v>
      </c>
      <c r="AN249" s="56">
        <f>$AA$8</f>
        <v>44013</v>
      </c>
      <c r="AO249" s="56">
        <f>$AB$8</f>
        <v>44166</v>
      </c>
      <c r="AP249" s="56" t="str">
        <f>$AC$8</f>
        <v>-</v>
      </c>
      <c r="AQ249" s="56" t="str">
        <f>$AD$8</f>
        <v>-</v>
      </c>
      <c r="AR249" s="56" t="str">
        <f>$AE$8</f>
        <v>-</v>
      </c>
      <c r="AS249" s="56" t="str">
        <f>$AF$8</f>
        <v>-</v>
      </c>
      <c r="AT249" s="29"/>
      <c r="AU249" s="55" t="s">
        <v>27</v>
      </c>
      <c r="AV249" s="56">
        <v>43252</v>
      </c>
      <c r="AW249" s="56">
        <f>$X$8</f>
        <v>43465</v>
      </c>
      <c r="AX249" s="56">
        <f>$Y$8</f>
        <v>43800</v>
      </c>
      <c r="AY249" s="56">
        <f>$Z$8</f>
        <v>43862</v>
      </c>
      <c r="AZ249" s="56">
        <f>$AA$8</f>
        <v>44013</v>
      </c>
      <c r="BA249" s="56">
        <v>44166</v>
      </c>
      <c r="BB249" s="56" t="str">
        <f>$AC$8</f>
        <v>-</v>
      </c>
      <c r="BC249" s="56" t="str">
        <f>$AD$8</f>
        <v>-</v>
      </c>
      <c r="BD249" s="56" t="str">
        <f>$AE$8</f>
        <v>-</v>
      </c>
      <c r="BE249" s="56" t="str">
        <f>$AF$8</f>
        <v>-</v>
      </c>
      <c r="DB249" s="57" t="str">
        <f>$DB$8</f>
        <v>TRC (2020)</v>
      </c>
      <c r="DC249" s="93" t="str">
        <f>$DC$8</f>
        <v>Benefit Lookup</v>
      </c>
      <c r="DD249" s="93" t="str">
        <f>$DD$8</f>
        <v>Benefits (2019 $)</v>
      </c>
      <c r="DE249" s="93" t="str">
        <f>$DE$8</f>
        <v>Incremental Cost (2019 $)</v>
      </c>
    </row>
    <row r="250" spans="2:109" x14ac:dyDescent="0.25">
      <c r="C250" s="2969" t="s">
        <v>202</v>
      </c>
      <c r="D250" s="1481" t="s">
        <v>34</v>
      </c>
      <c r="E250" s="1501" t="s">
        <v>203</v>
      </c>
      <c r="F250" s="183">
        <f>ROUND(0.746*F260*G260,2)</f>
        <v>601.28</v>
      </c>
      <c r="G250" s="1482" t="s">
        <v>200</v>
      </c>
      <c r="H250" s="1483">
        <f>VLOOKUP(G250,'CP FACTORS'!$A$26:$B$38,2,FALSE)</f>
        <v>1.379439E-4</v>
      </c>
      <c r="I250" s="1502">
        <f>ROUND(H250*F250,6)</f>
        <v>8.2943000000000003E-2</v>
      </c>
      <c r="J250" s="1548">
        <v>10</v>
      </c>
      <c r="K250" s="1523">
        <v>100</v>
      </c>
      <c r="L250" s="1484" t="s">
        <v>37</v>
      </c>
      <c r="M250" s="4103"/>
      <c r="N250" s="4103"/>
      <c r="O250" s="4103"/>
      <c r="V250" s="60" t="s">
        <v>20</v>
      </c>
      <c r="W250" s="70">
        <v>601.27599999999995</v>
      </c>
      <c r="X250" s="163">
        <v>601.27599999999995</v>
      </c>
      <c r="Y250" s="163">
        <v>601.27599999999995</v>
      </c>
      <c r="Z250" s="163">
        <v>601.27599999999995</v>
      </c>
      <c r="AA250" s="163">
        <v>601.27599999999995</v>
      </c>
      <c r="AB250" s="2372">
        <v>601.28</v>
      </c>
      <c r="AC250" s="2510"/>
      <c r="AD250" s="2510"/>
      <c r="AE250" s="2510"/>
      <c r="AF250" s="2510"/>
      <c r="AG250" s="2510"/>
      <c r="AH250" s="2511"/>
      <c r="AI250" s="2434" t="s">
        <v>24</v>
      </c>
      <c r="AJ250" s="87">
        <v>10</v>
      </c>
      <c r="AK250" s="87">
        <v>10</v>
      </c>
      <c r="AL250" s="87">
        <v>10</v>
      </c>
      <c r="AM250" s="87">
        <v>10</v>
      </c>
      <c r="AN250" s="87">
        <v>10</v>
      </c>
      <c r="AO250" s="2498">
        <f>J250</f>
        <v>10</v>
      </c>
      <c r="AP250" s="2510"/>
      <c r="AQ250" s="2510"/>
      <c r="AR250" s="2510"/>
      <c r="AS250" s="2510"/>
      <c r="AT250" s="2280"/>
      <c r="AU250" s="2434" t="s">
        <v>25</v>
      </c>
      <c r="AV250" s="2513">
        <v>100</v>
      </c>
      <c r="AW250" s="2513">
        <v>100</v>
      </c>
      <c r="AX250" s="2513">
        <v>100</v>
      </c>
      <c r="AY250" s="2513">
        <v>100</v>
      </c>
      <c r="AZ250" s="2513">
        <v>100</v>
      </c>
      <c r="BA250" s="2877">
        <v>100</v>
      </c>
      <c r="BB250" s="2510"/>
      <c r="BC250" s="2510"/>
      <c r="BD250" s="2510"/>
      <c r="BE250" s="2510"/>
      <c r="BF250" s="2280"/>
      <c r="BG250" s="2280"/>
      <c r="BH250" s="2280"/>
      <c r="BI250" s="2280"/>
      <c r="BJ250" s="2280"/>
      <c r="BK250" s="2280"/>
      <c r="BL250" s="2280"/>
      <c r="BM250" s="2280"/>
      <c r="DB250" s="107">
        <f>(DD250)/(DE250)</f>
        <v>2.3274313914795477</v>
      </c>
      <c r="DC250" s="68" t="str">
        <f>CONCATENATE(G250," ",J250," Year EUL")</f>
        <v>Motors BUS 10 Year EUL</v>
      </c>
      <c r="DD250" s="108">
        <f>(INDEX('Avoided Cost Benefits'!$C$4:$C$857,MATCH(DC250,'Avoided Cost Benefits'!$A$4:$A$857,0)))*F250</f>
        <v>219.67261835578549</v>
      </c>
      <c r="DE250" s="109">
        <f>K250/(1.0595^(2020-2019))</f>
        <v>94.384143463898056</v>
      </c>
    </row>
    <row r="251" spans="2:109" outlineLevel="1" x14ac:dyDescent="0.25">
      <c r="E251" s="1473"/>
      <c r="F251" s="1473"/>
      <c r="G251" s="1473"/>
      <c r="H251" s="1491"/>
      <c r="I251" s="1473"/>
      <c r="J251" s="1473"/>
      <c r="K251" s="1473"/>
      <c r="M251" s="4103"/>
      <c r="N251" s="4103"/>
      <c r="O251" s="4103"/>
      <c r="X251" s="2280"/>
      <c r="Y251" s="2280"/>
      <c r="Z251" s="2280"/>
      <c r="AA251" s="2280"/>
      <c r="AB251" s="2280"/>
      <c r="AC251" s="2280"/>
      <c r="AD251" s="2280"/>
      <c r="AE251" s="2280"/>
      <c r="AF251" s="2280"/>
      <c r="AG251" s="2280"/>
      <c r="AH251" s="2280"/>
      <c r="AI251" s="2280"/>
      <c r="AJ251" s="2280"/>
      <c r="AK251" s="2280"/>
      <c r="AL251" s="2280"/>
      <c r="AM251" s="2280"/>
      <c r="AN251" s="2280"/>
      <c r="AO251" s="2280"/>
      <c r="AP251" s="2280"/>
      <c r="AQ251" s="2280"/>
      <c r="AR251" s="2280"/>
      <c r="AS251" s="2280"/>
      <c r="AT251" s="2280"/>
      <c r="AU251" s="2280"/>
      <c r="AV251" s="2280"/>
      <c r="AW251" s="2280"/>
      <c r="AX251" s="2280"/>
      <c r="AY251" s="2280"/>
      <c r="AZ251" s="2280"/>
      <c r="BA251" s="2280"/>
      <c r="BB251" s="2280"/>
      <c r="BC251" s="2280"/>
      <c r="BD251" s="2280"/>
      <c r="BE251" s="2280"/>
      <c r="BF251" s="2280"/>
      <c r="BG251" s="2280"/>
      <c r="BH251" s="2280"/>
      <c r="BI251" s="2280"/>
      <c r="BJ251" s="2280"/>
      <c r="BK251" s="2280"/>
      <c r="BL251" s="2280"/>
      <c r="BM251" s="2280"/>
    </row>
    <row r="252" spans="2:109" outlineLevel="1" x14ac:dyDescent="0.25">
      <c r="D252" s="1473" t="s">
        <v>70</v>
      </c>
      <c r="E252" s="1473"/>
      <c r="F252" s="1473"/>
      <c r="G252" s="1473"/>
      <c r="H252" s="1491"/>
      <c r="I252" s="1473"/>
      <c r="J252" s="1473"/>
      <c r="K252" s="1473"/>
      <c r="M252" s="4103"/>
      <c r="N252" s="4103"/>
      <c r="O252" s="4103"/>
      <c r="X252" s="2280"/>
      <c r="Y252" s="2280"/>
      <c r="Z252" s="2280"/>
      <c r="AA252" s="2280"/>
      <c r="AB252" s="2280"/>
      <c r="AC252" s="2280"/>
      <c r="AD252" s="2280"/>
      <c r="AE252" s="2280"/>
      <c r="AF252" s="2280"/>
      <c r="AG252" s="2280"/>
      <c r="AH252" s="2280"/>
      <c r="AI252" s="2280"/>
      <c r="AJ252" s="2280"/>
      <c r="AK252" s="2280"/>
      <c r="AL252" s="2280"/>
      <c r="AM252" s="2280"/>
      <c r="AN252" s="2280"/>
      <c r="AO252" s="2280"/>
      <c r="AP252" s="2280"/>
      <c r="AQ252" s="2280"/>
      <c r="AR252" s="2280"/>
      <c r="AS252" s="2280"/>
      <c r="AT252" s="2280"/>
      <c r="AU252" s="2280"/>
      <c r="AV252" s="2280"/>
      <c r="AW252" s="2280"/>
      <c r="AX252" s="2280"/>
      <c r="AY252" s="2280"/>
      <c r="AZ252" s="2280"/>
      <c r="BA252" s="2280"/>
      <c r="BB252" s="2280"/>
      <c r="BC252" s="2280"/>
      <c r="BD252" s="2280"/>
      <c r="BE252" s="2280"/>
      <c r="BF252" s="2280"/>
      <c r="BG252" s="2280"/>
      <c r="BH252" s="2280"/>
      <c r="BI252" s="2280"/>
      <c r="BJ252" s="2280"/>
      <c r="BK252" s="2280"/>
      <c r="BL252" s="2280"/>
      <c r="BM252" s="2280"/>
    </row>
    <row r="253" spans="2:109" outlineLevel="1" x14ac:dyDescent="0.25">
      <c r="D253" s="1549"/>
      <c r="E253" s="973"/>
      <c r="G253" s="1515"/>
      <c r="H253" s="1516"/>
      <c r="M253" s="4103"/>
      <c r="N253" s="4103"/>
      <c r="O253" s="4103"/>
      <c r="X253" s="2280"/>
      <c r="Y253" s="2280"/>
      <c r="Z253" s="2280"/>
      <c r="AA253" s="2280"/>
      <c r="AB253" s="2280"/>
      <c r="AC253" s="2280"/>
      <c r="AD253" s="2280"/>
      <c r="AE253" s="2280"/>
      <c r="AF253" s="2280"/>
      <c r="AG253" s="2280"/>
      <c r="AH253" s="2280"/>
      <c r="AI253" s="2280"/>
      <c r="AJ253" s="2280"/>
      <c r="AK253" s="2280"/>
      <c r="AL253" s="2280"/>
      <c r="AM253" s="2280"/>
      <c r="AN253" s="2280"/>
      <c r="AO253" s="2280"/>
      <c r="AP253" s="2280"/>
      <c r="AQ253" s="2280"/>
      <c r="AR253" s="2280"/>
      <c r="AS253" s="2280"/>
      <c r="AT253" s="2280"/>
      <c r="AU253" s="2280"/>
      <c r="AV253" s="2280"/>
      <c r="AW253" s="2280"/>
      <c r="AX253" s="2280"/>
      <c r="AY253" s="2280"/>
      <c r="AZ253" s="2280"/>
      <c r="BA253" s="2280"/>
      <c r="BB253" s="2280"/>
      <c r="BC253" s="2280"/>
      <c r="BD253" s="2280"/>
      <c r="BE253" s="2280"/>
      <c r="BF253" s="2280"/>
      <c r="BG253" s="2280"/>
      <c r="BH253" s="2280"/>
      <c r="BI253" s="2280"/>
      <c r="BJ253" s="2280"/>
      <c r="BK253" s="2280"/>
      <c r="BL253" s="2280"/>
      <c r="BM253" s="2280"/>
    </row>
    <row r="254" spans="2:109" outlineLevel="1" x14ac:dyDescent="0.25">
      <c r="D254" s="1549"/>
      <c r="E254" s="973"/>
      <c r="G254" s="1515"/>
      <c r="H254" s="1516"/>
      <c r="M254" s="4103"/>
      <c r="N254" s="4103"/>
      <c r="O254" s="4103"/>
    </row>
    <row r="255" spans="2:109" outlineLevel="1" x14ac:dyDescent="0.25">
      <c r="D255" s="1549"/>
      <c r="E255" s="973"/>
      <c r="G255" s="1470"/>
      <c r="H255" s="1493"/>
      <c r="M255" s="1473"/>
    </row>
    <row r="256" spans="2:109" outlineLevel="1" x14ac:dyDescent="0.25">
      <c r="D256" s="1492"/>
      <c r="G256" s="1470"/>
      <c r="H256" s="1493"/>
      <c r="M256" s="1473"/>
    </row>
    <row r="257" spans="2:112" outlineLevel="1" x14ac:dyDescent="0.25">
      <c r="D257" s="1492"/>
      <c r="G257" s="1470"/>
      <c r="H257" s="1493"/>
      <c r="M257" s="1473"/>
    </row>
    <row r="258" spans="2:112" outlineLevel="1" x14ac:dyDescent="0.25">
      <c r="D258" s="1492"/>
      <c r="G258" s="1470"/>
      <c r="H258" s="1493"/>
    </row>
    <row r="259" spans="2:112" s="77" customFormat="1" outlineLevel="1" x14ac:dyDescent="0.25">
      <c r="C259" s="198"/>
      <c r="D259" s="52" t="s">
        <v>17</v>
      </c>
      <c r="E259" s="1406" t="s">
        <v>119</v>
      </c>
      <c r="F259" s="1406" t="s">
        <v>204</v>
      </c>
      <c r="G259" s="1406" t="s">
        <v>205</v>
      </c>
      <c r="H259" s="463"/>
      <c r="I259" s="198"/>
      <c r="J259" s="463"/>
      <c r="K259" s="463"/>
      <c r="L259" s="463"/>
      <c r="M259" s="463"/>
      <c r="N259" s="463"/>
      <c r="O259" s="463"/>
      <c r="P259" s="463"/>
      <c r="Q259" s="463"/>
      <c r="R259" s="463"/>
      <c r="S259" s="463"/>
      <c r="T259" s="463"/>
      <c r="U259" s="463"/>
      <c r="DB259" s="97"/>
    </row>
    <row r="260" spans="2:112" outlineLevel="1" x14ac:dyDescent="0.25">
      <c r="D260" s="1494" t="str">
        <f>C250</f>
        <v>802650_2019_12_</v>
      </c>
      <c r="E260" s="1494" t="str">
        <f>E250</f>
        <v>Pool Pump Timer</v>
      </c>
      <c r="F260" s="1550">
        <v>403</v>
      </c>
      <c r="G260" s="1551">
        <v>2</v>
      </c>
      <c r="H260" s="1470"/>
    </row>
    <row r="263" spans="2:112" s="46" customFormat="1" x14ac:dyDescent="0.25">
      <c r="B263" s="4089" t="s">
        <v>206</v>
      </c>
      <c r="C263" s="4090"/>
      <c r="D263" s="4090"/>
      <c r="E263" s="4090"/>
      <c r="F263" s="4090"/>
      <c r="G263" s="4090"/>
      <c r="H263" s="4090"/>
      <c r="I263" s="4091"/>
      <c r="J263" s="4091"/>
      <c r="K263" s="4091"/>
      <c r="L263" s="4091"/>
      <c r="M263" s="3354"/>
      <c r="N263" s="3354"/>
      <c r="O263" s="3355"/>
      <c r="V263" s="47" t="str">
        <f>B263</f>
        <v>Steam Cookers</v>
      </c>
      <c r="W263" s="48"/>
      <c r="X263" s="48"/>
      <c r="Y263" s="48"/>
      <c r="Z263" s="48"/>
      <c r="AA263" s="48"/>
      <c r="AB263" s="48"/>
      <c r="AC263" s="48"/>
      <c r="AD263" s="48"/>
      <c r="AE263" s="48"/>
      <c r="AF263" s="48"/>
      <c r="AG263" s="48"/>
      <c r="AH263" s="48"/>
      <c r="AI263" s="49"/>
      <c r="AJ263" s="26"/>
      <c r="AK263" s="26"/>
      <c r="AL263" s="26"/>
      <c r="AM263" s="26"/>
      <c r="AN263" s="26"/>
      <c r="AO263" s="26"/>
      <c r="AP263" s="26"/>
      <c r="AQ263" s="26"/>
      <c r="AR263" s="26"/>
      <c r="AS263" s="26"/>
      <c r="AT263" s="26"/>
      <c r="AU263" s="26"/>
      <c r="DB263" s="98"/>
      <c r="DG263" s="2282"/>
      <c r="DH263" s="2282"/>
    </row>
    <row r="264" spans="2:112" x14ac:dyDescent="0.25">
      <c r="D264" s="1478"/>
      <c r="E264" s="1473"/>
      <c r="F264" s="1473"/>
      <c r="G264" s="1473"/>
      <c r="H264" s="1479"/>
      <c r="I264" s="1473"/>
      <c r="J264" s="1473"/>
      <c r="K264" s="1473"/>
      <c r="L264" s="1473"/>
      <c r="P264" s="1473"/>
      <c r="Q264" s="1473"/>
      <c r="R264" s="1473"/>
      <c r="S264" s="1473"/>
      <c r="T264" s="1473"/>
      <c r="U264" s="1473"/>
      <c r="V264"/>
      <c r="W264"/>
      <c r="X264"/>
      <c r="Y264"/>
      <c r="Z264"/>
      <c r="AA264"/>
      <c r="AB264"/>
      <c r="AC264"/>
      <c r="AD264"/>
      <c r="AE264"/>
      <c r="AF264"/>
      <c r="AG264"/>
      <c r="AH264"/>
      <c r="AI264"/>
      <c r="AJ264" s="44"/>
      <c r="AK264" s="44"/>
      <c r="AL264" s="44"/>
      <c r="AM264" s="44"/>
      <c r="AN264" s="44"/>
      <c r="AO264" s="44"/>
      <c r="AP264" s="44"/>
      <c r="AQ264" s="44"/>
      <c r="AR264" s="44"/>
      <c r="AS264" s="44"/>
      <c r="AT264" s="44"/>
      <c r="AU264" s="44"/>
    </row>
    <row r="265" spans="2:112" s="50" customFormat="1" ht="30" x14ac:dyDescent="0.25">
      <c r="B265" s="51"/>
      <c r="C265" s="52" t="s">
        <v>17</v>
      </c>
      <c r="D265" s="1435" t="s">
        <v>18</v>
      </c>
      <c r="E265" s="1435" t="s">
        <v>19</v>
      </c>
      <c r="F265" s="1435" t="s">
        <v>20</v>
      </c>
      <c r="G265" s="1435" t="s">
        <v>21</v>
      </c>
      <c r="H265" s="53" t="s">
        <v>22</v>
      </c>
      <c r="I265" s="1435" t="s">
        <v>23</v>
      </c>
      <c r="J265" s="1435" t="s">
        <v>24</v>
      </c>
      <c r="K265" s="52" t="s">
        <v>25</v>
      </c>
      <c r="L265" s="52" t="s">
        <v>26</v>
      </c>
      <c r="M265" s="1470"/>
      <c r="N265" s="1470"/>
      <c r="O265" s="1470"/>
      <c r="P265" s="1480"/>
      <c r="Q265" s="1480"/>
      <c r="R265" s="1480"/>
      <c r="S265" s="1480"/>
      <c r="T265" s="1480"/>
      <c r="U265" s="1480"/>
      <c r="V265" s="55" t="s">
        <v>27</v>
      </c>
      <c r="W265" s="56">
        <f>$W$8</f>
        <v>43252</v>
      </c>
      <c r="X265" s="56">
        <f>$X$8</f>
        <v>43465</v>
      </c>
      <c r="Y265" s="56">
        <f>$Y$8</f>
        <v>43800</v>
      </c>
      <c r="Z265" s="56">
        <f>$Z$8</f>
        <v>43862</v>
      </c>
      <c r="AA265" s="56">
        <f>$AA$8</f>
        <v>44013</v>
      </c>
      <c r="AB265" s="56">
        <v>44166</v>
      </c>
      <c r="AC265" s="56" t="str">
        <f>$AC$8</f>
        <v>-</v>
      </c>
      <c r="AD265" s="56" t="str">
        <f>$AD$8</f>
        <v>-</v>
      </c>
      <c r="AE265" s="56" t="str">
        <f>$AE$8</f>
        <v>-</v>
      </c>
      <c r="AF265" s="56" t="str">
        <f>$AF$8</f>
        <v>-</v>
      </c>
      <c r="AG265" s="56" t="str">
        <f>$AG$8</f>
        <v>-</v>
      </c>
      <c r="AH265"/>
      <c r="AI265" s="55" t="s">
        <v>27</v>
      </c>
      <c r="AJ265" s="56">
        <v>43252</v>
      </c>
      <c r="AK265" s="56">
        <f>$X$8</f>
        <v>43465</v>
      </c>
      <c r="AL265" s="56">
        <f>$Y$8</f>
        <v>43800</v>
      </c>
      <c r="AM265" s="56">
        <f>$Z$8</f>
        <v>43862</v>
      </c>
      <c r="AN265" s="56">
        <f>$AA$8</f>
        <v>44013</v>
      </c>
      <c r="AO265" s="56">
        <f>$AB$8</f>
        <v>44166</v>
      </c>
      <c r="AP265" s="56" t="str">
        <f>$AC$8</f>
        <v>-</v>
      </c>
      <c r="AQ265" s="56" t="str">
        <f>$AD$8</f>
        <v>-</v>
      </c>
      <c r="AR265" s="56" t="str">
        <f>$AE$8</f>
        <v>-</v>
      </c>
      <c r="AS265" s="56" t="str">
        <f>$AF$8</f>
        <v>-</v>
      </c>
      <c r="AT265" s="29"/>
      <c r="AU265" s="55" t="s">
        <v>27</v>
      </c>
      <c r="AV265" s="56">
        <v>43252</v>
      </c>
      <c r="AW265" s="56">
        <f>$X$8</f>
        <v>43465</v>
      </c>
      <c r="AX265" s="56">
        <f>$Y$8</f>
        <v>43800</v>
      </c>
      <c r="AY265" s="56">
        <f>$Z$8</f>
        <v>43862</v>
      </c>
      <c r="AZ265" s="56">
        <f>$AA$8</f>
        <v>44013</v>
      </c>
      <c r="BA265" s="56">
        <v>44166</v>
      </c>
      <c r="BB265" s="56" t="str">
        <f>$AC$8</f>
        <v>-</v>
      </c>
      <c r="BC265" s="56" t="str">
        <f>$AD$8</f>
        <v>-</v>
      </c>
      <c r="BD265" s="56" t="str">
        <f>$AE$8</f>
        <v>-</v>
      </c>
      <c r="BE265" s="56" t="str">
        <f>$AF$8</f>
        <v>-</v>
      </c>
      <c r="DB265" s="57" t="str">
        <f>$DB$8</f>
        <v>TRC (2020)</v>
      </c>
      <c r="DC265" s="93" t="str">
        <f>$DC$8</f>
        <v>Benefit Lookup</v>
      </c>
      <c r="DD265" s="93" t="str">
        <f>$DD$8</f>
        <v>Benefits (2019 $)</v>
      </c>
      <c r="DE265" s="93" t="str">
        <f>$DE$8</f>
        <v>Incremental Cost (2019 $)</v>
      </c>
    </row>
    <row r="266" spans="2:112" x14ac:dyDescent="0.25">
      <c r="C266" s="2356" t="s">
        <v>207</v>
      </c>
      <c r="D266" s="1481" t="s">
        <v>34</v>
      </c>
      <c r="E266" s="1501" t="s">
        <v>208</v>
      </c>
      <c r="F266" s="183">
        <f>ROUND((F279+G279)*H279/1000,2)</f>
        <v>7856.31</v>
      </c>
      <c r="G266" s="1482" t="s">
        <v>209</v>
      </c>
      <c r="H266" s="1483">
        <f>VLOOKUP(G266,'CP FACTORS'!$A$26:$B$38,2,FALSE)</f>
        <v>1.998949E-4</v>
      </c>
      <c r="I266" s="1502">
        <f>ROUND(H266*F266,6)</f>
        <v>1.5704359999999999</v>
      </c>
      <c r="J266" s="1552">
        <v>12</v>
      </c>
      <c r="K266" s="1523">
        <v>4150</v>
      </c>
      <c r="L266" s="1484" t="s">
        <v>37</v>
      </c>
      <c r="V266" s="60" t="s">
        <v>20</v>
      </c>
      <c r="W266" s="70">
        <v>7856.3138680450465</v>
      </c>
      <c r="X266" s="70">
        <v>7856.3138680450465</v>
      </c>
      <c r="Y266" s="163">
        <v>7856.3138680450465</v>
      </c>
      <c r="Z266" s="163">
        <v>7856.3138680450465</v>
      </c>
      <c r="AA266" s="163">
        <v>7856.3138680450465</v>
      </c>
      <c r="AB266" s="2372">
        <v>7856.31</v>
      </c>
      <c r="AC266" s="2510"/>
      <c r="AD266" s="2510"/>
      <c r="AE266" s="2510"/>
      <c r="AF266" s="2510"/>
      <c r="AG266" s="2510"/>
      <c r="AH266" s="2511"/>
      <c r="AI266" s="2434" t="s">
        <v>24</v>
      </c>
      <c r="AJ266" s="87">
        <v>12</v>
      </c>
      <c r="AK266" s="87">
        <v>12</v>
      </c>
      <c r="AL266" s="87">
        <v>12</v>
      </c>
      <c r="AM266" s="87">
        <v>12</v>
      </c>
      <c r="AN266" s="87">
        <v>12</v>
      </c>
      <c r="AO266" s="2498">
        <f>J266</f>
        <v>12</v>
      </c>
      <c r="AP266" s="2510"/>
      <c r="AQ266" s="2510"/>
      <c r="AR266" s="2510"/>
      <c r="AS266" s="2510"/>
      <c r="AT266" s="2280"/>
      <c r="AU266" s="2434" t="s">
        <v>25</v>
      </c>
      <c r="AV266" s="2513">
        <v>4150</v>
      </c>
      <c r="AW266" s="2513">
        <v>4150</v>
      </c>
      <c r="AX266" s="2513">
        <v>4150</v>
      </c>
      <c r="AY266" s="2513">
        <v>4150</v>
      </c>
      <c r="AZ266" s="2513">
        <v>4150</v>
      </c>
      <c r="BA266" s="2877">
        <v>4150</v>
      </c>
      <c r="BB266" s="2510"/>
      <c r="BC266" s="2510"/>
      <c r="BD266" s="2510"/>
      <c r="BE266" s="2510"/>
      <c r="BF266" s="2280"/>
      <c r="DB266" s="67">
        <f>(DD266)/(DE266)</f>
        <v>1.0172947267638794</v>
      </c>
      <c r="DC266" s="68" t="str">
        <f>CONCATENATE(G266," ",J266," Year EUL")</f>
        <v>Cooking BUS 12 Year EUL</v>
      </c>
      <c r="DD266" s="94">
        <f>(INDEX('Avoided Cost Benefits'!$C$4:$C$857,MATCH(DC266,'Avoided Cost Benefits'!$A$4:$A$857,0)))*F266</f>
        <v>3984.6843945918822</v>
      </c>
      <c r="DE266" s="69">
        <f>K266/(1.0595^(2020-2019))</f>
        <v>3916.9419537517692</v>
      </c>
    </row>
    <row r="267" spans="2:112" x14ac:dyDescent="0.25">
      <c r="C267" s="2356" t="s">
        <v>210</v>
      </c>
      <c r="D267" s="1481" t="s">
        <v>34</v>
      </c>
      <c r="E267" s="1512" t="s">
        <v>211</v>
      </c>
      <c r="F267" s="183">
        <f>ROUND((F280+G280)*H280/1000,2)</f>
        <v>9213.5</v>
      </c>
      <c r="G267" s="1482" t="s">
        <v>209</v>
      </c>
      <c r="H267" s="1483">
        <f>VLOOKUP(G267,'CP FACTORS'!$A$26:$B$38,2,FALSE)</f>
        <v>1.998949E-4</v>
      </c>
      <c r="I267" s="1502">
        <f>ROUND(H267*F267,6)</f>
        <v>1.8417319999999999</v>
      </c>
      <c r="J267" s="1510">
        <v>12</v>
      </c>
      <c r="K267" s="1523">
        <v>4150</v>
      </c>
      <c r="L267" s="1484" t="s">
        <v>37</v>
      </c>
      <c r="V267" s="60" t="s">
        <v>20</v>
      </c>
      <c r="W267" s="70">
        <v>9213.5039339295909</v>
      </c>
      <c r="X267" s="70">
        <v>9213.5039339295909</v>
      </c>
      <c r="Y267" s="163">
        <v>9213.5039339295909</v>
      </c>
      <c r="Z267" s="163">
        <v>9213.5039339295909</v>
      </c>
      <c r="AA267" s="163">
        <v>9213.5039339295909</v>
      </c>
      <c r="AB267" s="2372">
        <v>9213.5</v>
      </c>
      <c r="AC267" s="2510"/>
      <c r="AD267" s="2510"/>
      <c r="AE267" s="2510"/>
      <c r="AF267" s="2510"/>
      <c r="AG267" s="2510"/>
      <c r="AH267" s="2511"/>
      <c r="AI267" s="2434" t="s">
        <v>24</v>
      </c>
      <c r="AJ267" s="87">
        <v>12</v>
      </c>
      <c r="AK267" s="87">
        <v>12</v>
      </c>
      <c r="AL267" s="87">
        <v>12</v>
      </c>
      <c r="AM267" s="87">
        <v>12</v>
      </c>
      <c r="AN267" s="87">
        <v>12</v>
      </c>
      <c r="AO267" s="2498">
        <f t="shared" ref="AO267:AO269" si="120">J267</f>
        <v>12</v>
      </c>
      <c r="AP267" s="2510"/>
      <c r="AQ267" s="2510"/>
      <c r="AR267" s="2510"/>
      <c r="AS267" s="2510"/>
      <c r="AT267" s="2280"/>
      <c r="AU267" s="2434" t="s">
        <v>25</v>
      </c>
      <c r="AV267" s="2513">
        <v>4150</v>
      </c>
      <c r="AW267" s="2513">
        <v>4150</v>
      </c>
      <c r="AX267" s="2513">
        <v>4150</v>
      </c>
      <c r="AY267" s="2513">
        <v>4150</v>
      </c>
      <c r="AZ267" s="2513">
        <v>4150</v>
      </c>
      <c r="BA267" s="2877">
        <v>4150</v>
      </c>
      <c r="BB267" s="2510"/>
      <c r="BC267" s="2510"/>
      <c r="BD267" s="2510"/>
      <c r="BE267" s="2510"/>
      <c r="BF267" s="2280"/>
      <c r="DB267" s="71">
        <f>(DD267)/(DE267)</f>
        <v>1.1930340026092405</v>
      </c>
      <c r="DC267" s="72" t="str">
        <f>CONCATENATE(G267," ",J267," Year EUL")</f>
        <v>Cooking BUS 12 Year EUL</v>
      </c>
      <c r="DD267" s="95">
        <f>(INDEX('Avoided Cost Benefits'!$C$4:$C$857,MATCH(DC267,'Avoided Cost Benefits'!$A$4:$A$857,0)))*F267</f>
        <v>4673.0449370725319</v>
      </c>
      <c r="DE267" s="73">
        <f>K267/(1.0595^(2020-2019))</f>
        <v>3916.9419537517692</v>
      </c>
    </row>
    <row r="268" spans="2:112" x14ac:dyDescent="0.25">
      <c r="C268" s="2356" t="s">
        <v>212</v>
      </c>
      <c r="D268" s="1481" t="s">
        <v>34</v>
      </c>
      <c r="E268" s="1512" t="s">
        <v>213</v>
      </c>
      <c r="F268" s="183">
        <f>ROUND((F281+G281)*H281/1000,2)</f>
        <v>10512.97</v>
      </c>
      <c r="G268" s="1482" t="s">
        <v>209</v>
      </c>
      <c r="H268" s="1483">
        <f>VLOOKUP(G268,'CP FACTORS'!$A$26:$B$38,2,FALSE)</f>
        <v>1.998949E-4</v>
      </c>
      <c r="I268" s="1502">
        <f>ROUND(H268*F268,6)</f>
        <v>2.1014889999999999</v>
      </c>
      <c r="J268" s="1510">
        <v>12</v>
      </c>
      <c r="K268" s="1523">
        <v>4150</v>
      </c>
      <c r="L268" s="1484" t="s">
        <v>37</v>
      </c>
      <c r="V268" s="60" t="s">
        <v>20</v>
      </c>
      <c r="W268" s="70">
        <v>10512.970851398522</v>
      </c>
      <c r="X268" s="70">
        <v>10512.970851398522</v>
      </c>
      <c r="Y268" s="163">
        <v>10512.970851398522</v>
      </c>
      <c r="Z268" s="163">
        <v>10512.970851398522</v>
      </c>
      <c r="AA268" s="163">
        <v>10512.970851398522</v>
      </c>
      <c r="AB268" s="2372">
        <v>10512.97</v>
      </c>
      <c r="AC268" s="2510"/>
      <c r="AD268" s="2510"/>
      <c r="AE268" s="2510"/>
      <c r="AF268" s="2510"/>
      <c r="AG268" s="2510"/>
      <c r="AH268" s="2511"/>
      <c r="AI268" s="2434" t="s">
        <v>24</v>
      </c>
      <c r="AJ268" s="87">
        <v>12</v>
      </c>
      <c r="AK268" s="87">
        <v>12</v>
      </c>
      <c r="AL268" s="87">
        <v>12</v>
      </c>
      <c r="AM268" s="87">
        <v>12</v>
      </c>
      <c r="AN268" s="87">
        <v>12</v>
      </c>
      <c r="AO268" s="2498">
        <f t="shared" si="120"/>
        <v>12</v>
      </c>
      <c r="AP268" s="2510"/>
      <c r="AQ268" s="2510"/>
      <c r="AR268" s="2510"/>
      <c r="AS268" s="2510"/>
      <c r="AT268" s="2280"/>
      <c r="AU268" s="2434" t="s">
        <v>25</v>
      </c>
      <c r="AV268" s="2513">
        <v>4150</v>
      </c>
      <c r="AW268" s="2513">
        <v>4150</v>
      </c>
      <c r="AX268" s="2513">
        <v>4150</v>
      </c>
      <c r="AY268" s="2513">
        <v>4150</v>
      </c>
      <c r="AZ268" s="2513">
        <v>4150</v>
      </c>
      <c r="BA268" s="2877">
        <v>4150</v>
      </c>
      <c r="BB268" s="2510"/>
      <c r="BC268" s="2510"/>
      <c r="BD268" s="2510"/>
      <c r="BE268" s="2510"/>
      <c r="BF268" s="2280"/>
      <c r="DB268" s="71">
        <f>(DD268)/(DE268)</f>
        <v>1.3612992541825437</v>
      </c>
      <c r="DC268" s="72" t="str">
        <f>CONCATENATE(G268," ",J268," Year EUL")</f>
        <v>Cooking BUS 12 Year EUL</v>
      </c>
      <c r="DD268" s="95">
        <f>(INDEX('Avoided Cost Benefits'!$C$4:$C$857,MATCH(DC268,'Avoided Cost Benefits'!$A$4:$A$857,0)))*F268</f>
        <v>5332.1301603185993</v>
      </c>
      <c r="DE268" s="73">
        <f>K268/(1.0595^(2020-2019))</f>
        <v>3916.9419537517692</v>
      </c>
    </row>
    <row r="269" spans="2:112" x14ac:dyDescent="0.25">
      <c r="C269" s="2356" t="s">
        <v>214</v>
      </c>
      <c r="D269" s="1481" t="s">
        <v>34</v>
      </c>
      <c r="E269" s="1512" t="s">
        <v>215</v>
      </c>
      <c r="F269" s="183">
        <f>ROUND((F282+G282)*H282/1000,2)</f>
        <v>11818.65</v>
      </c>
      <c r="G269" s="1482" t="s">
        <v>209</v>
      </c>
      <c r="H269" s="1483">
        <f>VLOOKUP(G269,'CP FACTORS'!$A$26:$B$38,2,FALSE)</f>
        <v>1.998949E-4</v>
      </c>
      <c r="I269" s="1502">
        <f>ROUND(H269*F269,6)</f>
        <v>2.3624879999999999</v>
      </c>
      <c r="J269" s="1510">
        <v>12</v>
      </c>
      <c r="K269" s="1523">
        <v>4150</v>
      </c>
      <c r="L269" s="1484" t="s">
        <v>37</v>
      </c>
      <c r="V269" s="60" t="s">
        <v>20</v>
      </c>
      <c r="W269" s="70">
        <v>11818.648943162641</v>
      </c>
      <c r="X269" s="70">
        <v>11818.648943162641</v>
      </c>
      <c r="Y269" s="163">
        <v>11818.648943162641</v>
      </c>
      <c r="Z269" s="163">
        <v>11818.648943162641</v>
      </c>
      <c r="AA269" s="163">
        <v>11818.648943162641</v>
      </c>
      <c r="AB269" s="2372">
        <v>11818.65</v>
      </c>
      <c r="AC269" s="2510"/>
      <c r="AD269" s="2510"/>
      <c r="AE269" s="2510"/>
      <c r="AF269" s="2510"/>
      <c r="AG269" s="2510"/>
      <c r="AH269" s="2511"/>
      <c r="AI269" s="2434" t="s">
        <v>24</v>
      </c>
      <c r="AJ269" s="87">
        <v>12</v>
      </c>
      <c r="AK269" s="87">
        <v>12</v>
      </c>
      <c r="AL269" s="87">
        <v>12</v>
      </c>
      <c r="AM269" s="87">
        <v>12</v>
      </c>
      <c r="AN269" s="87">
        <v>12</v>
      </c>
      <c r="AO269" s="2498">
        <f t="shared" si="120"/>
        <v>12</v>
      </c>
      <c r="AP269" s="2510"/>
      <c r="AQ269" s="2510"/>
      <c r="AR269" s="2510"/>
      <c r="AS269" s="2510"/>
      <c r="AT269" s="2280"/>
      <c r="AU269" s="2434" t="s">
        <v>25</v>
      </c>
      <c r="AV269" s="2513">
        <v>4150</v>
      </c>
      <c r="AW269" s="2513">
        <v>4150</v>
      </c>
      <c r="AX269" s="2513">
        <v>4150</v>
      </c>
      <c r="AY269" s="2513">
        <v>4150</v>
      </c>
      <c r="AZ269" s="2513">
        <v>4150</v>
      </c>
      <c r="BA269" s="2877">
        <v>4150</v>
      </c>
      <c r="BB269" s="2510"/>
      <c r="BC269" s="2510"/>
      <c r="BD269" s="2510"/>
      <c r="BE269" s="2510"/>
      <c r="BF269" s="2280"/>
      <c r="DB269" s="74">
        <f>(DD269)/(DE269)</f>
        <v>1.5303686237518535</v>
      </c>
      <c r="DC269" s="72" t="str">
        <f>CONCATENATE(G269," ",J269," Year EUL")</f>
        <v>Cooking BUS 12 Year EUL</v>
      </c>
      <c r="DD269" s="96">
        <f>(INDEX('Avoided Cost Benefits'!$C$4:$C$857,MATCH(DC269,'Avoided Cost Benefits'!$A$4:$A$857,0)))*F269</f>
        <v>5994.3650670789912</v>
      </c>
      <c r="DE269" s="75">
        <f>K269/(1.0595^(2020-2019))</f>
        <v>3916.9419537517692</v>
      </c>
    </row>
    <row r="270" spans="2:112" outlineLevel="1" x14ac:dyDescent="0.25">
      <c r="E270" s="1473"/>
      <c r="F270" s="1473"/>
      <c r="G270" s="1473"/>
      <c r="H270" s="1491"/>
      <c r="I270" s="1473"/>
      <c r="J270" s="1473"/>
      <c r="K270" s="1473"/>
      <c r="Y270" s="2280"/>
      <c r="Z270" s="2280"/>
      <c r="AA270" s="2280"/>
      <c r="AB270" s="2280"/>
      <c r="AC270" s="2280"/>
      <c r="AD270" s="2280"/>
      <c r="AE270" s="2280"/>
      <c r="AF270" s="2280"/>
      <c r="AG270" s="2280"/>
      <c r="AH270" s="2280"/>
      <c r="AI270" s="2280"/>
      <c r="AJ270" s="2280"/>
      <c r="AK270" s="2280"/>
      <c r="AL270" s="2280"/>
      <c r="AM270" s="2280"/>
      <c r="AN270" s="2280"/>
      <c r="AO270" s="2280"/>
      <c r="AP270" s="2280"/>
      <c r="AQ270" s="2280"/>
      <c r="AR270" s="2280"/>
      <c r="AS270" s="2280"/>
      <c r="AT270" s="2280"/>
      <c r="AU270" s="2280"/>
      <c r="AV270" s="2280"/>
      <c r="AW270" s="2280"/>
      <c r="AX270" s="2280"/>
      <c r="AY270" s="2280"/>
      <c r="AZ270" s="2280"/>
      <c r="BA270" s="2280"/>
      <c r="BB270" s="2280"/>
      <c r="BC270" s="2280"/>
      <c r="BD270" s="2280"/>
      <c r="BE270" s="2280"/>
      <c r="BF270" s="2280"/>
    </row>
    <row r="271" spans="2:112" outlineLevel="1" x14ac:dyDescent="0.25">
      <c r="D271" s="1473" t="s">
        <v>70</v>
      </c>
      <c r="E271" s="198"/>
      <c r="F271" s="1473"/>
      <c r="G271" s="1473"/>
      <c r="H271" s="1491"/>
      <c r="I271" s="1473"/>
      <c r="J271" s="1473"/>
      <c r="K271" s="198"/>
      <c r="Y271" s="2280"/>
      <c r="Z271" s="2280"/>
      <c r="AA271" s="2280"/>
      <c r="AB271" s="2280"/>
      <c r="AC271" s="2280"/>
      <c r="AD271" s="2280"/>
      <c r="AE271" s="2280"/>
      <c r="AF271" s="2280"/>
      <c r="AG271" s="2280"/>
      <c r="AH271" s="2280"/>
      <c r="AI271" s="2280"/>
      <c r="AJ271" s="2280"/>
      <c r="AK271" s="2280"/>
      <c r="AL271" s="2280"/>
      <c r="AM271" s="2280"/>
      <c r="AN271" s="2280"/>
      <c r="AO271" s="2280"/>
      <c r="AP271" s="2280"/>
      <c r="AQ271" s="2280"/>
      <c r="AR271" s="2280"/>
      <c r="AS271" s="2280"/>
      <c r="AT271" s="2280"/>
      <c r="AU271" s="2280"/>
      <c r="AV271" s="2280"/>
      <c r="AW271" s="2280"/>
      <c r="AX271" s="2280"/>
      <c r="AY271" s="2280"/>
      <c r="AZ271" s="2280"/>
      <c r="BA271" s="2280"/>
      <c r="BB271" s="2280"/>
      <c r="BC271" s="2280"/>
      <c r="BD271" s="2280"/>
      <c r="BE271" s="2280"/>
      <c r="BF271" s="2280"/>
    </row>
    <row r="272" spans="2:112" outlineLevel="1" x14ac:dyDescent="0.25">
      <c r="D272" s="1492"/>
      <c r="E272" s="198"/>
      <c r="F272" s="198"/>
      <c r="G272" s="1515"/>
      <c r="H272" s="1516"/>
      <c r="Y272" s="2280"/>
      <c r="Z272" s="2280"/>
      <c r="AA272" s="2280"/>
      <c r="AB272" s="2280"/>
      <c r="AC272" s="2280"/>
      <c r="AD272" s="2280"/>
      <c r="AE272" s="2280"/>
      <c r="AF272" s="2280"/>
      <c r="AG272" s="2280"/>
      <c r="AH272" s="2280"/>
      <c r="AI272" s="2280"/>
      <c r="AJ272" s="2280"/>
      <c r="AK272" s="2280"/>
      <c r="AL272" s="2280"/>
      <c r="AM272" s="2280"/>
      <c r="AN272" s="2280"/>
      <c r="AO272" s="2280"/>
      <c r="AP272" s="2280"/>
      <c r="AQ272" s="2280"/>
      <c r="AR272" s="2280"/>
      <c r="AS272" s="2280"/>
      <c r="AT272" s="2280"/>
      <c r="AU272" s="2280"/>
      <c r="AV272" s="2280"/>
      <c r="AW272" s="2280"/>
      <c r="AX272" s="2280"/>
      <c r="AY272" s="2280"/>
      <c r="AZ272" s="2280"/>
      <c r="BA272" s="2280"/>
      <c r="BB272" s="2280"/>
      <c r="BC272" s="2280"/>
      <c r="BD272" s="2280"/>
      <c r="BE272" s="2280"/>
      <c r="BF272" s="2280"/>
    </row>
    <row r="273" spans="2:112" outlineLevel="1" x14ac:dyDescent="0.25">
      <c r="D273" s="1492"/>
      <c r="G273" s="1515"/>
      <c r="H273" s="1516"/>
      <c r="P273" s="4104"/>
      <c r="Q273" s="4104"/>
      <c r="Y273" s="2280"/>
      <c r="Z273" s="2280"/>
      <c r="AA273" s="2280"/>
      <c r="AB273" s="2280"/>
      <c r="AC273" s="2280"/>
      <c r="AD273" s="2280"/>
      <c r="AE273" s="2280"/>
      <c r="AF273" s="2280"/>
      <c r="AG273" s="2280"/>
      <c r="AH273" s="2280"/>
      <c r="AI273" s="2280"/>
      <c r="AJ273" s="2280"/>
      <c r="AK273" s="2280"/>
      <c r="AL273" s="2280"/>
      <c r="AM273" s="2280"/>
      <c r="AN273" s="2280"/>
      <c r="AO273" s="2280"/>
      <c r="AP273" s="2280"/>
      <c r="AQ273" s="2280"/>
      <c r="AR273" s="2280"/>
      <c r="AS273" s="2280"/>
      <c r="AT273" s="2280"/>
      <c r="AU273" s="2280"/>
      <c r="AV273" s="2280"/>
      <c r="AW273" s="2280"/>
      <c r="AX273" s="2280"/>
      <c r="AY273" s="2280"/>
      <c r="AZ273" s="2280"/>
      <c r="BA273" s="2280"/>
      <c r="BB273" s="2280"/>
      <c r="BC273" s="2280"/>
      <c r="BD273" s="2280"/>
      <c r="BE273" s="2280"/>
      <c r="BF273" s="2280"/>
    </row>
    <row r="274" spans="2:112" outlineLevel="1" x14ac:dyDescent="0.25">
      <c r="D274" s="1492"/>
      <c r="G274" s="1470"/>
      <c r="H274" s="1493"/>
      <c r="M274" s="1473"/>
      <c r="P274" s="4104"/>
      <c r="Q274" s="4104"/>
    </row>
    <row r="275" spans="2:112" outlineLevel="1" x14ac:dyDescent="0.25">
      <c r="D275" s="1492"/>
      <c r="G275" s="1470"/>
      <c r="H275" s="1493"/>
      <c r="M275" s="1473"/>
      <c r="P275" s="4104"/>
      <c r="Q275" s="4104"/>
    </row>
    <row r="276" spans="2:112" outlineLevel="1" x14ac:dyDescent="0.25">
      <c r="D276" s="1492"/>
      <c r="G276" s="1470"/>
      <c r="H276" s="1493"/>
      <c r="M276" s="1473"/>
    </row>
    <row r="277" spans="2:112" outlineLevel="1" x14ac:dyDescent="0.25">
      <c r="D277" s="1492"/>
      <c r="G277" s="1470"/>
      <c r="H277" s="1493"/>
    </row>
    <row r="278" spans="2:112" s="77" customFormat="1" ht="45" outlineLevel="1" x14ac:dyDescent="0.25">
      <c r="C278" s="198"/>
      <c r="D278" s="1406" t="s">
        <v>17</v>
      </c>
      <c r="E278" s="1406" t="s">
        <v>119</v>
      </c>
      <c r="F278" s="110" t="s">
        <v>216</v>
      </c>
      <c r="G278" s="1406" t="s">
        <v>217</v>
      </c>
      <c r="H278" s="1406" t="s">
        <v>218</v>
      </c>
      <c r="I278" s="1406" t="s">
        <v>219</v>
      </c>
      <c r="J278" s="1403" t="s">
        <v>220</v>
      </c>
      <c r="K278" s="1403" t="s">
        <v>221</v>
      </c>
      <c r="L278" s="1403" t="s">
        <v>222</v>
      </c>
      <c r="M278" s="1403" t="s">
        <v>223</v>
      </c>
      <c r="N278" s="1403" t="s">
        <v>224</v>
      </c>
      <c r="O278" s="1403" t="s">
        <v>225</v>
      </c>
      <c r="P278" s="1403" t="s">
        <v>194</v>
      </c>
      <c r="Q278" s="1403" t="s">
        <v>226</v>
      </c>
      <c r="R278" s="1403" t="s">
        <v>77</v>
      </c>
      <c r="S278" s="1435" t="s">
        <v>227</v>
      </c>
      <c r="T278" s="463"/>
      <c r="U278" s="463"/>
      <c r="DB278" s="97"/>
    </row>
    <row r="279" spans="2:112" outlineLevel="1" x14ac:dyDescent="0.25">
      <c r="D279" s="1494" t="str">
        <f>C266</f>
        <v>802700_2019_12_</v>
      </c>
      <c r="E279" s="1494" t="str">
        <f>E266</f>
        <v>3 Pan ENERGY STAR Steam Cooker</v>
      </c>
      <c r="F279" s="1553">
        <f>((1-I279)*(J279+I279*L279*N279*(O279/P279))*(R279-S279/(L279*N279)))-((1-I279)*(K279+I279*M279*N279*(O279/Q279))*(R279-S279/(M279*N279)))</f>
        <v>16669.415107583976</v>
      </c>
      <c r="G279" s="1554">
        <f>(S279*(O279/P279))-(S279*(O279/Q279))</f>
        <v>4839.9999999999982</v>
      </c>
      <c r="H279" s="1555">
        <v>365.25</v>
      </c>
      <c r="I279" s="1532">
        <v>0.4</v>
      </c>
      <c r="J279" s="1556">
        <v>1100</v>
      </c>
      <c r="K279" s="1535">
        <v>400</v>
      </c>
      <c r="L279" s="1528">
        <v>23.3</v>
      </c>
      <c r="M279" s="1557">
        <v>16.7</v>
      </c>
      <c r="N279" s="1535">
        <v>3</v>
      </c>
      <c r="O279" s="1528">
        <v>30.8</v>
      </c>
      <c r="P279" s="1538">
        <v>0.28000000000000003</v>
      </c>
      <c r="Q279" s="1532">
        <v>0.5</v>
      </c>
      <c r="R279" s="1525">
        <v>12</v>
      </c>
      <c r="S279" s="1534">
        <v>100</v>
      </c>
    </row>
    <row r="280" spans="2:112" outlineLevel="1" x14ac:dyDescent="0.25">
      <c r="D280" s="1494" t="str">
        <f>C267</f>
        <v>802750_2019_12_</v>
      </c>
      <c r="E280" s="1494" t="str">
        <f>E267</f>
        <v>4 Pan ENERGY STAR Steam Cooker</v>
      </c>
      <c r="F280" s="1553">
        <f>((1-I280)*(J280+I280*L280*N280*(O280/P280))*(R280-S280/(L280*N280)))-((1-I280)*(K280+I280*M280*N280*(O280/Q280))*(R280-S280/(M280*N280)))</f>
        <v>20385.19899775384</v>
      </c>
      <c r="G280" s="1554">
        <f>(S280*(O280/P280))-(S280*(O280/Q280))</f>
        <v>4839.9999999999982</v>
      </c>
      <c r="H280" s="1555">
        <v>365.25</v>
      </c>
      <c r="I280" s="1532">
        <v>0.4</v>
      </c>
      <c r="J280" s="1556">
        <v>1100</v>
      </c>
      <c r="K280" s="1535">
        <v>530</v>
      </c>
      <c r="L280" s="1528">
        <v>23.3</v>
      </c>
      <c r="M280" s="1557">
        <v>16.7</v>
      </c>
      <c r="N280" s="1535">
        <v>4</v>
      </c>
      <c r="O280" s="1528">
        <v>30.8</v>
      </c>
      <c r="P280" s="1538">
        <v>0.28000000000000003</v>
      </c>
      <c r="Q280" s="1532">
        <v>0.5</v>
      </c>
      <c r="R280" s="1525">
        <v>12</v>
      </c>
      <c r="S280" s="1534">
        <v>100</v>
      </c>
    </row>
    <row r="281" spans="2:112" outlineLevel="1" x14ac:dyDescent="0.25">
      <c r="D281" s="1494" t="str">
        <f>C268</f>
        <v>802800_2019_12_</v>
      </c>
      <c r="E281" s="1494" t="str">
        <f>E268</f>
        <v>5 Pan ENERGY STAR Steam Cooker</v>
      </c>
      <c r="F281" s="1553">
        <f>((1-I281)*(J281+I281*L281*N281*(O281/P281))*(R281-S281/(L281*N281)))-((1-I281)*(K281+I281*M281*N281*(O281/Q281))*(R281-S281/(M281*N281)))</f>
        <v>23942.945520598285</v>
      </c>
      <c r="G281" s="1554">
        <f>(S281*(O281/P281))-(S281*(O281/Q281))</f>
        <v>4839.9999999999982</v>
      </c>
      <c r="H281" s="1555">
        <v>365.25</v>
      </c>
      <c r="I281" s="1532">
        <v>0.4</v>
      </c>
      <c r="J281" s="1556">
        <v>1100</v>
      </c>
      <c r="K281" s="1535">
        <v>670</v>
      </c>
      <c r="L281" s="1528">
        <v>23.3</v>
      </c>
      <c r="M281" s="1557">
        <v>16.7</v>
      </c>
      <c r="N281" s="1535">
        <v>5</v>
      </c>
      <c r="O281" s="1528">
        <v>30.8</v>
      </c>
      <c r="P281" s="1538">
        <v>0.28000000000000003</v>
      </c>
      <c r="Q281" s="1532">
        <v>0.5</v>
      </c>
      <c r="R281" s="1525">
        <v>12</v>
      </c>
      <c r="S281" s="1534">
        <v>100</v>
      </c>
    </row>
    <row r="282" spans="2:112" outlineLevel="1" x14ac:dyDescent="0.25">
      <c r="D282" s="1494" t="str">
        <f>C269</f>
        <v>802850_2019_12_</v>
      </c>
      <c r="E282" s="1494" t="str">
        <f>E269</f>
        <v>6 Pan ENERGY STAR Steam Cooker</v>
      </c>
      <c r="F282" s="1553">
        <f>((1-I282)*(J282+I282*L282*N282*(O282/P282))*(R282-S282/(L282*N282)))-((1-I282)*(K282+I282*M282*N282*(O282/Q282))*(R282-S282/(M282*N282)))</f>
        <v>27517.697311875811</v>
      </c>
      <c r="G282" s="1554">
        <f>(S282*(O282/P282))-(S282*(O282/Q282))</f>
        <v>4839.9999999999982</v>
      </c>
      <c r="H282" s="1555">
        <v>365.25</v>
      </c>
      <c r="I282" s="1532">
        <v>0.4</v>
      </c>
      <c r="J282" s="1556">
        <v>1100</v>
      </c>
      <c r="K282" s="1535">
        <v>800</v>
      </c>
      <c r="L282" s="1528">
        <v>23.3</v>
      </c>
      <c r="M282" s="1557">
        <v>16.7</v>
      </c>
      <c r="N282" s="1535">
        <v>6</v>
      </c>
      <c r="O282" s="1528">
        <v>30.8</v>
      </c>
      <c r="P282" s="1538">
        <v>0.28000000000000003</v>
      </c>
      <c r="Q282" s="1532">
        <v>0.5</v>
      </c>
      <c r="R282" s="1525">
        <v>12</v>
      </c>
      <c r="S282" s="1534">
        <v>100</v>
      </c>
    </row>
    <row r="285" spans="2:112" s="46" customFormat="1" x14ac:dyDescent="0.25">
      <c r="B285" s="4089" t="s">
        <v>228</v>
      </c>
      <c r="C285" s="4090"/>
      <c r="D285" s="4090"/>
      <c r="E285" s="4090"/>
      <c r="F285" s="4090"/>
      <c r="G285" s="4090"/>
      <c r="H285" s="4090"/>
      <c r="I285" s="4091"/>
      <c r="J285" s="4091"/>
      <c r="K285" s="4091"/>
      <c r="L285" s="4091"/>
      <c r="M285" s="3354"/>
      <c r="N285" s="3354"/>
      <c r="O285" s="3355"/>
      <c r="V285" s="47" t="str">
        <f>B285</f>
        <v>Holding Cabinet</v>
      </c>
      <c r="W285" s="48"/>
      <c r="X285" s="48"/>
      <c r="Y285" s="48"/>
      <c r="Z285" s="48"/>
      <c r="AA285" s="48"/>
      <c r="AB285" s="48"/>
      <c r="AC285" s="48"/>
      <c r="AD285" s="48"/>
      <c r="AE285" s="48"/>
      <c r="AF285" s="48"/>
      <c r="AG285" s="48"/>
      <c r="AH285" s="48"/>
      <c r="AI285" s="49"/>
      <c r="AJ285" s="26"/>
      <c r="AK285" s="26"/>
      <c r="AL285" s="26"/>
      <c r="AM285" s="26"/>
      <c r="AN285" s="26"/>
      <c r="AO285" s="26"/>
      <c r="AP285" s="26"/>
      <c r="AQ285" s="26"/>
      <c r="AR285" s="26"/>
      <c r="AS285" s="26"/>
      <c r="AT285" s="26"/>
      <c r="AU285" s="26"/>
      <c r="DB285" s="98"/>
      <c r="DG285" s="2282"/>
      <c r="DH285" s="2282"/>
    </row>
    <row r="286" spans="2:112" x14ac:dyDescent="0.25">
      <c r="D286" s="1478"/>
      <c r="E286" s="1473"/>
      <c r="F286" s="1473"/>
      <c r="G286" s="1473"/>
      <c r="H286" s="1479"/>
      <c r="I286" s="1473"/>
      <c r="J286" s="1473"/>
      <c r="K286" s="1473"/>
      <c r="L286" s="1473"/>
      <c r="P286" s="1473"/>
      <c r="Q286" s="1473"/>
      <c r="R286" s="1473"/>
      <c r="S286" s="1473"/>
      <c r="T286" s="1473"/>
      <c r="U286" s="1473"/>
      <c r="V286"/>
      <c r="W286"/>
      <c r="X286"/>
      <c r="Y286"/>
      <c r="Z286"/>
      <c r="AA286"/>
      <c r="AB286"/>
      <c r="AC286"/>
      <c r="AD286"/>
      <c r="AE286"/>
      <c r="AF286"/>
      <c r="AG286"/>
      <c r="AH286"/>
      <c r="AI286"/>
      <c r="AJ286" s="44"/>
      <c r="AK286" s="44"/>
      <c r="AL286" s="44"/>
      <c r="AM286" s="44"/>
      <c r="AN286" s="44"/>
      <c r="AO286" s="44"/>
      <c r="AP286" s="44"/>
      <c r="AQ286" s="44"/>
      <c r="AR286" s="44"/>
      <c r="AS286" s="44"/>
      <c r="AT286" s="44"/>
      <c r="AU286" s="44"/>
    </row>
    <row r="287" spans="2:112" s="50" customFormat="1" ht="30" x14ac:dyDescent="0.25">
      <c r="B287" s="51"/>
      <c r="C287" s="52" t="s">
        <v>17</v>
      </c>
      <c r="D287" s="52" t="s">
        <v>18</v>
      </c>
      <c r="E287" s="1435" t="s">
        <v>19</v>
      </c>
      <c r="F287" s="1435" t="s">
        <v>20</v>
      </c>
      <c r="G287" s="1435" t="s">
        <v>21</v>
      </c>
      <c r="H287" s="53" t="s">
        <v>22</v>
      </c>
      <c r="I287" s="1435" t="s">
        <v>23</v>
      </c>
      <c r="J287" s="1435" t="s">
        <v>24</v>
      </c>
      <c r="K287" s="52" t="s">
        <v>25</v>
      </c>
      <c r="L287" s="52" t="s">
        <v>26</v>
      </c>
      <c r="M287" s="1470"/>
      <c r="N287" s="1470"/>
      <c r="O287" s="1470"/>
      <c r="P287" s="1480"/>
      <c r="Q287" s="1480"/>
      <c r="R287" s="1480"/>
      <c r="S287" s="1480"/>
      <c r="T287" s="1480"/>
      <c r="U287" s="1480"/>
      <c r="V287" s="55" t="s">
        <v>27</v>
      </c>
      <c r="W287" s="56">
        <f>$W$8</f>
        <v>43252</v>
      </c>
      <c r="X287" s="56">
        <f>$X$8</f>
        <v>43465</v>
      </c>
      <c r="Y287" s="56">
        <f>$Y$8</f>
        <v>43800</v>
      </c>
      <c r="Z287" s="56">
        <f>$Z$8</f>
        <v>43862</v>
      </c>
      <c r="AA287" s="56">
        <f>$AA$8</f>
        <v>44013</v>
      </c>
      <c r="AB287" s="56">
        <v>44166</v>
      </c>
      <c r="AC287" s="56" t="str">
        <f>$AC$8</f>
        <v>-</v>
      </c>
      <c r="AD287" s="56" t="str">
        <f>$AD$8</f>
        <v>-</v>
      </c>
      <c r="AE287" s="56" t="str">
        <f>$AE$8</f>
        <v>-</v>
      </c>
      <c r="AF287" s="56" t="str">
        <f>$AF$8</f>
        <v>-</v>
      </c>
      <c r="AG287" s="56" t="str">
        <f>$AG$8</f>
        <v>-</v>
      </c>
      <c r="AH287"/>
      <c r="AI287" s="55" t="s">
        <v>27</v>
      </c>
      <c r="AJ287" s="56">
        <v>43252</v>
      </c>
      <c r="AK287" s="56">
        <f>$X$8</f>
        <v>43465</v>
      </c>
      <c r="AL287" s="56">
        <f>$Y$8</f>
        <v>43800</v>
      </c>
      <c r="AM287" s="56">
        <f>$Z$8</f>
        <v>43862</v>
      </c>
      <c r="AN287" s="56">
        <f>$AA$8</f>
        <v>44013</v>
      </c>
      <c r="AO287" s="56">
        <f>$AB$8</f>
        <v>44166</v>
      </c>
      <c r="AP287" s="56" t="str">
        <f>$AC$8</f>
        <v>-</v>
      </c>
      <c r="AQ287" s="56" t="str">
        <f>$AD$8</f>
        <v>-</v>
      </c>
      <c r="AR287" s="56" t="str">
        <f>$AE$8</f>
        <v>-</v>
      </c>
      <c r="AS287" s="56" t="str">
        <f>$AF$8</f>
        <v>-</v>
      </c>
      <c r="AT287" s="29"/>
      <c r="AU287" s="55" t="s">
        <v>27</v>
      </c>
      <c r="AV287" s="56">
        <v>43252</v>
      </c>
      <c r="AW287" s="56">
        <f>$X$8</f>
        <v>43465</v>
      </c>
      <c r="AX287" s="56">
        <f>$Y$8</f>
        <v>43800</v>
      </c>
      <c r="AY287" s="56">
        <f>$Z$8</f>
        <v>43862</v>
      </c>
      <c r="AZ287" s="56">
        <f>$AA$8</f>
        <v>44013</v>
      </c>
      <c r="BA287" s="56">
        <v>44166</v>
      </c>
      <c r="BB287" s="56" t="str">
        <f>$AC$8</f>
        <v>-</v>
      </c>
      <c r="BC287" s="56" t="str">
        <f>$AD$8</f>
        <v>-</v>
      </c>
      <c r="BD287" s="56" t="str">
        <f>$AE$8</f>
        <v>-</v>
      </c>
      <c r="BE287" s="56" t="str">
        <f>$AF$8</f>
        <v>-</v>
      </c>
      <c r="DB287" s="57" t="str">
        <f>$DB$8</f>
        <v>TRC (2020)</v>
      </c>
      <c r="DC287" s="93" t="str">
        <f>$DC$8</f>
        <v>Benefit Lookup</v>
      </c>
      <c r="DD287" s="93" t="str">
        <f>$DD$8</f>
        <v>Benefits (2019 $)</v>
      </c>
      <c r="DE287" s="93" t="str">
        <f>$DE$8</f>
        <v>Incremental Cost (2019 $)</v>
      </c>
    </row>
    <row r="288" spans="2:112" x14ac:dyDescent="0.25">
      <c r="C288" s="2969" t="s">
        <v>229</v>
      </c>
      <c r="D288" s="1558" t="s">
        <v>34</v>
      </c>
      <c r="E288" s="1501" t="s">
        <v>230</v>
      </c>
      <c r="F288" s="183">
        <f>ROUND((H300-I300)*J300*K300/1000,2)</f>
        <v>709.5</v>
      </c>
      <c r="G288" s="1482" t="s">
        <v>209</v>
      </c>
      <c r="H288" s="1483">
        <f>VLOOKUP(G288,'CP FACTORS'!$A$26:$B$38,2,FALSE)</f>
        <v>1.998949E-4</v>
      </c>
      <c r="I288" s="1502">
        <f>ROUND(H288*F288,6)</f>
        <v>0.14182500000000001</v>
      </c>
      <c r="J288" s="1548">
        <v>12</v>
      </c>
      <c r="K288" s="1503">
        <v>1783</v>
      </c>
      <c r="L288" s="1484" t="s">
        <v>37</v>
      </c>
      <c r="V288" s="60" t="s">
        <v>20</v>
      </c>
      <c r="W288" s="163">
        <v>709.49812499999996</v>
      </c>
      <c r="X288" s="163">
        <v>709.49812499999996</v>
      </c>
      <c r="Y288" s="163">
        <v>709.49812499999996</v>
      </c>
      <c r="Z288" s="163">
        <v>709.49812499999996</v>
      </c>
      <c r="AA288" s="163">
        <v>709.49812499999996</v>
      </c>
      <c r="AB288" s="2372">
        <v>709.5</v>
      </c>
      <c r="AC288" s="2510"/>
      <c r="AD288" s="2510"/>
      <c r="AE288" s="2510"/>
      <c r="AF288" s="2510"/>
      <c r="AG288" s="2510"/>
      <c r="AH288" s="2511"/>
      <c r="AI288" s="2434" t="s">
        <v>24</v>
      </c>
      <c r="AJ288" s="87">
        <v>12</v>
      </c>
      <c r="AK288" s="87">
        <v>12</v>
      </c>
      <c r="AL288" s="87">
        <v>12</v>
      </c>
      <c r="AM288" s="87">
        <v>12</v>
      </c>
      <c r="AN288" s="87">
        <v>12</v>
      </c>
      <c r="AO288" s="2498">
        <f>J288</f>
        <v>12</v>
      </c>
      <c r="AP288" s="2510"/>
      <c r="AQ288" s="2510"/>
      <c r="AR288" s="2510"/>
      <c r="AS288" s="2510"/>
      <c r="AT288" s="2280"/>
      <c r="AU288" s="2434" t="s">
        <v>25</v>
      </c>
      <c r="AV288" s="2513">
        <v>1783</v>
      </c>
      <c r="AW288" s="2513">
        <v>1783</v>
      </c>
      <c r="AX288" s="2513">
        <v>1783</v>
      </c>
      <c r="AY288" s="2513">
        <v>1783</v>
      </c>
      <c r="AZ288" s="2513">
        <v>1783</v>
      </c>
      <c r="BA288" s="2514">
        <v>1783</v>
      </c>
      <c r="BB288" s="2510"/>
      <c r="BC288" s="2510"/>
      <c r="BD288" s="2510"/>
      <c r="BE288" s="2510"/>
      <c r="BF288" s="2280"/>
      <c r="BG288" s="2280"/>
      <c r="BH288" s="2280"/>
      <c r="BI288" s="2280"/>
      <c r="BJ288" s="2280"/>
      <c r="BK288" s="2280"/>
      <c r="BL288" s="2280"/>
      <c r="BM288" s="2280"/>
      <c r="BN288" s="2280"/>
      <c r="BO288" s="2280"/>
      <c r="BP288" s="2280"/>
      <c r="DB288" s="67">
        <f>(DD288)/(DE288)</f>
        <v>0.21383428302465121</v>
      </c>
      <c r="DC288" s="68" t="str">
        <f>CONCATENATE(G288," ",J288," Year EUL")</f>
        <v>Cooking BUS 12 Year EUL</v>
      </c>
      <c r="DD288" s="94">
        <f>(INDEX('Avoided Cost Benefits'!$C$4:$C$857,MATCH(DC288,'Avoided Cost Benefits'!$A$4:$A$857,0)))*F288</f>
        <v>359.85514547706754</v>
      </c>
      <c r="DE288" s="69">
        <f>K288/(1.0595^(2020-2019))</f>
        <v>1682.8692779613023</v>
      </c>
    </row>
    <row r="289" spans="3:109" x14ac:dyDescent="0.25">
      <c r="C289" s="2969" t="s">
        <v>231</v>
      </c>
      <c r="D289" s="1558" t="s">
        <v>34</v>
      </c>
      <c r="E289" s="1501" t="s">
        <v>232</v>
      </c>
      <c r="F289" s="183">
        <f>ROUND((H301-I301)*J301*K301/1000,2)</f>
        <v>2772.25</v>
      </c>
      <c r="G289" s="1482" t="s">
        <v>209</v>
      </c>
      <c r="H289" s="1483">
        <f>VLOOKUP(G289,'CP FACTORS'!$A$26:$B$38,2,FALSE)</f>
        <v>1.998949E-4</v>
      </c>
      <c r="I289" s="1502">
        <f>ROUND(H289*F289,6)</f>
        <v>0.55415899999999996</v>
      </c>
      <c r="J289" s="1548">
        <v>12</v>
      </c>
      <c r="K289" s="1503">
        <v>1783</v>
      </c>
      <c r="L289" s="1484" t="s">
        <v>37</v>
      </c>
      <c r="V289" s="60" t="s">
        <v>20</v>
      </c>
      <c r="W289" s="163">
        <v>2772.2474999999999</v>
      </c>
      <c r="X289" s="163">
        <v>2772.2474999999999</v>
      </c>
      <c r="Y289" s="163">
        <v>2772.2474999999999</v>
      </c>
      <c r="Z289" s="163">
        <v>2772.2474999999999</v>
      </c>
      <c r="AA289" s="163">
        <v>2772.2474999999999</v>
      </c>
      <c r="AB289" s="2372">
        <v>2772.25</v>
      </c>
      <c r="AC289" s="2510"/>
      <c r="AD289" s="2510"/>
      <c r="AE289" s="2510"/>
      <c r="AF289" s="2510"/>
      <c r="AG289" s="2510"/>
      <c r="AH289" s="2511"/>
      <c r="AI289" s="2434" t="s">
        <v>24</v>
      </c>
      <c r="AJ289" s="87">
        <v>12</v>
      </c>
      <c r="AK289" s="87">
        <v>12</v>
      </c>
      <c r="AL289" s="87">
        <v>12</v>
      </c>
      <c r="AM289" s="87">
        <v>12</v>
      </c>
      <c r="AN289" s="87">
        <v>12</v>
      </c>
      <c r="AO289" s="2498">
        <f t="shared" ref="AO289:AO290" si="121">J289</f>
        <v>12</v>
      </c>
      <c r="AP289" s="2510"/>
      <c r="AQ289" s="2510"/>
      <c r="AR289" s="2510"/>
      <c r="AS289" s="2510"/>
      <c r="AT289" s="2280"/>
      <c r="AU289" s="2434" t="s">
        <v>25</v>
      </c>
      <c r="AV289" s="2513">
        <v>1783</v>
      </c>
      <c r="AW289" s="2513">
        <v>1783</v>
      </c>
      <c r="AX289" s="2513">
        <v>1783</v>
      </c>
      <c r="AY289" s="2513">
        <v>1783</v>
      </c>
      <c r="AZ289" s="2513">
        <v>1783</v>
      </c>
      <c r="BA289" s="2514">
        <v>1783</v>
      </c>
      <c r="BB289" s="2510"/>
      <c r="BC289" s="2510"/>
      <c r="BD289" s="2510"/>
      <c r="BE289" s="2510"/>
      <c r="BF289" s="2280"/>
      <c r="BG289" s="2280"/>
      <c r="BH289" s="2280"/>
      <c r="BI289" s="2280"/>
      <c r="BJ289" s="2280"/>
      <c r="BK289" s="2280"/>
      <c r="BL289" s="2280"/>
      <c r="BM289" s="2280"/>
      <c r="BN289" s="2280"/>
      <c r="BO289" s="2280"/>
      <c r="BP289" s="2280"/>
      <c r="DB289" s="71">
        <f>(DD289)/(DE289)</f>
        <v>0.83552091770978054</v>
      </c>
      <c r="DC289" s="72" t="str">
        <f>CONCATENATE(G289," ",J289," Year EUL")</f>
        <v>Cooking BUS 12 Year EUL</v>
      </c>
      <c r="DD289" s="95">
        <f>(INDEX('Avoided Cost Benefits'!$C$4:$C$857,MATCH(DC289,'Avoided Cost Benefits'!$A$4:$A$857,0)))*F289</f>
        <v>1406.0724835078231</v>
      </c>
      <c r="DE289" s="73">
        <f>K289/(1.0595^(2020-2019))</f>
        <v>1682.8692779613023</v>
      </c>
    </row>
    <row r="290" spans="3:109" x14ac:dyDescent="0.25">
      <c r="C290" s="2969" t="s">
        <v>233</v>
      </c>
      <c r="D290" s="1558" t="s">
        <v>34</v>
      </c>
      <c r="E290" s="1501" t="s">
        <v>234</v>
      </c>
      <c r="F290" s="183">
        <f>ROUND((H302-I302)*J302*K302/1000,2)</f>
        <v>4438.34</v>
      </c>
      <c r="G290" s="1482" t="s">
        <v>209</v>
      </c>
      <c r="H290" s="1483">
        <f>VLOOKUP(G290,'CP FACTORS'!$A$26:$B$38,2,FALSE)</f>
        <v>1.998949E-4</v>
      </c>
      <c r="I290" s="1502">
        <f>ROUND(H290*F290,6)</f>
        <v>0.88720200000000005</v>
      </c>
      <c r="J290" s="1548">
        <v>12</v>
      </c>
      <c r="K290" s="1503">
        <v>1783</v>
      </c>
      <c r="L290" s="1484" t="s">
        <v>37</v>
      </c>
      <c r="V290" s="60" t="s">
        <v>20</v>
      </c>
      <c r="W290" s="163">
        <v>4438.3353749999997</v>
      </c>
      <c r="X290" s="163">
        <v>4438.3353749999997</v>
      </c>
      <c r="Y290" s="163">
        <v>4438.3353749999997</v>
      </c>
      <c r="Z290" s="163">
        <v>4438.3353749999997</v>
      </c>
      <c r="AA290" s="163">
        <v>4438.3353749999997</v>
      </c>
      <c r="AB290" s="2372">
        <v>4438.34</v>
      </c>
      <c r="AC290" s="2510"/>
      <c r="AD290" s="2510"/>
      <c r="AE290" s="2510"/>
      <c r="AF290" s="2510"/>
      <c r="AG290" s="2510"/>
      <c r="AH290" s="2511"/>
      <c r="AI290" s="2434" t="s">
        <v>24</v>
      </c>
      <c r="AJ290" s="87">
        <v>12</v>
      </c>
      <c r="AK290" s="87">
        <v>12</v>
      </c>
      <c r="AL290" s="87">
        <v>12</v>
      </c>
      <c r="AM290" s="87">
        <v>12</v>
      </c>
      <c r="AN290" s="87">
        <v>12</v>
      </c>
      <c r="AO290" s="2498">
        <f t="shared" si="121"/>
        <v>12</v>
      </c>
      <c r="AP290" s="2510"/>
      <c r="AQ290" s="2510"/>
      <c r="AR290" s="2510"/>
      <c r="AS290" s="2510"/>
      <c r="AT290" s="2280"/>
      <c r="AU290" s="2434" t="s">
        <v>25</v>
      </c>
      <c r="AV290" s="2513">
        <v>1783</v>
      </c>
      <c r="AW290" s="2513">
        <v>1783</v>
      </c>
      <c r="AX290" s="2513">
        <v>1783</v>
      </c>
      <c r="AY290" s="2513">
        <v>1783</v>
      </c>
      <c r="AZ290" s="2513">
        <v>1783</v>
      </c>
      <c r="BA290" s="2514">
        <v>1783</v>
      </c>
      <c r="BB290" s="2510"/>
      <c r="BC290" s="2510"/>
      <c r="BD290" s="2510"/>
      <c r="BE290" s="2510"/>
      <c r="BF290" s="2280"/>
      <c r="BG290" s="2280"/>
      <c r="BH290" s="2280"/>
      <c r="BI290" s="2280"/>
      <c r="BJ290" s="2280"/>
      <c r="BK290" s="2280"/>
      <c r="BL290" s="2280"/>
      <c r="BM290" s="2280"/>
      <c r="BN290" s="2280"/>
      <c r="BO290" s="2280"/>
      <c r="BP290" s="2280"/>
      <c r="DB290" s="74">
        <f>(DD290)/(DE290)</f>
        <v>1.3376592695132212</v>
      </c>
      <c r="DC290" s="72" t="str">
        <f>CONCATENATE(G290," ",J290," Year EUL")</f>
        <v>Cooking BUS 12 Year EUL</v>
      </c>
      <c r="DD290" s="96">
        <f>(INDEX('Avoided Cost Benefits'!$C$4:$C$857,MATCH(DC290,'Avoided Cost Benefits'!$A$4:$A$857,0)))*F290</f>
        <v>2251.1056890439577</v>
      </c>
      <c r="DE290" s="75">
        <f>K290/(1.0595^(2020-2019))</f>
        <v>1682.8692779613023</v>
      </c>
    </row>
    <row r="291" spans="3:109" outlineLevel="1" x14ac:dyDescent="0.25">
      <c r="E291" s="1473"/>
      <c r="F291" s="1473"/>
      <c r="G291" s="1473"/>
      <c r="H291" s="1491"/>
      <c r="I291" s="1473"/>
      <c r="J291" s="1473"/>
      <c r="K291" s="1473"/>
      <c r="W291" s="2280"/>
      <c r="X291" s="2280"/>
      <c r="Y291" s="2280"/>
      <c r="Z291" s="2280"/>
      <c r="AA291" s="2280"/>
      <c r="AB291" s="2280"/>
      <c r="AC291" s="2280"/>
      <c r="AD291" s="2280"/>
      <c r="AE291" s="2280"/>
      <c r="AF291" s="2280"/>
      <c r="AG291" s="2280"/>
      <c r="AH291" s="2280"/>
      <c r="AI291" s="2280"/>
      <c r="AJ291" s="2280"/>
      <c r="AK291" s="2280"/>
      <c r="AL291" s="2280"/>
      <c r="AM291" s="2280"/>
      <c r="AN291" s="2280"/>
      <c r="AO291" s="2280"/>
      <c r="AP291" s="2280"/>
      <c r="AQ291" s="2280"/>
      <c r="AR291" s="2280"/>
      <c r="AS291" s="2280"/>
      <c r="AT291" s="2280"/>
      <c r="AU291" s="2280"/>
      <c r="AV291" s="2280"/>
      <c r="AW291" s="2280"/>
      <c r="AX291" s="2280"/>
      <c r="AY291" s="2280"/>
      <c r="AZ291" s="2280"/>
      <c r="BA291" s="2280"/>
      <c r="BB291" s="2280"/>
      <c r="BC291" s="2280"/>
      <c r="BD291" s="2280"/>
      <c r="BE291" s="2280"/>
      <c r="BF291" s="2280"/>
      <c r="BG291" s="2280"/>
      <c r="BH291" s="2280"/>
      <c r="BI291" s="2280"/>
      <c r="BJ291" s="2280"/>
      <c r="BK291" s="2280"/>
      <c r="BL291" s="2280"/>
      <c r="BM291" s="2280"/>
      <c r="BN291" s="2280"/>
      <c r="BO291" s="2280"/>
      <c r="BP291" s="2280"/>
    </row>
    <row r="292" spans="3:109" outlineLevel="1" x14ac:dyDescent="0.25">
      <c r="D292" s="1473" t="s">
        <v>70</v>
      </c>
      <c r="E292" s="1473"/>
      <c r="F292" s="1473"/>
      <c r="G292" s="1473"/>
      <c r="H292" s="1491"/>
      <c r="I292" s="1473"/>
      <c r="J292" s="1473"/>
      <c r="K292" s="1473"/>
      <c r="W292" s="2280"/>
      <c r="X292" s="2280"/>
      <c r="Y292" s="2280"/>
      <c r="Z292" s="2280"/>
      <c r="AA292" s="2280"/>
      <c r="AB292" s="2280"/>
      <c r="AC292" s="2280"/>
      <c r="AD292" s="2280"/>
      <c r="AE292" s="2280"/>
      <c r="AF292" s="2280"/>
      <c r="AG292" s="2280"/>
      <c r="AH292" s="2280"/>
      <c r="AI292" s="2280"/>
      <c r="AJ292" s="2280"/>
      <c r="AK292" s="2280"/>
      <c r="AL292" s="2280"/>
      <c r="AM292" s="2280"/>
      <c r="AN292" s="2280"/>
      <c r="AO292" s="2280"/>
      <c r="AP292" s="2280"/>
      <c r="AQ292" s="2280"/>
      <c r="AR292" s="2280"/>
      <c r="AS292" s="2280"/>
      <c r="AT292" s="2280"/>
      <c r="AU292" s="2280"/>
      <c r="AV292" s="2280"/>
      <c r="AW292" s="2280"/>
      <c r="AX292" s="2280"/>
      <c r="AY292" s="2280"/>
      <c r="AZ292" s="2280"/>
      <c r="BA292" s="2280"/>
      <c r="BB292" s="2280"/>
      <c r="BC292" s="2280"/>
      <c r="BD292" s="2280"/>
      <c r="BE292" s="2280"/>
      <c r="BF292" s="2280"/>
      <c r="BG292" s="2280"/>
      <c r="BH292" s="2280"/>
      <c r="BI292" s="2280"/>
      <c r="BJ292" s="2280"/>
      <c r="BK292" s="2280"/>
      <c r="BL292" s="2280"/>
      <c r="BM292" s="2280"/>
      <c r="BN292" s="2280"/>
      <c r="BO292" s="2280"/>
      <c r="BP292" s="2280"/>
    </row>
    <row r="293" spans="3:109" outlineLevel="1" x14ac:dyDescent="0.25">
      <c r="D293" s="1492"/>
      <c r="G293" s="1515"/>
      <c r="H293" s="1516"/>
      <c r="W293" s="2280"/>
      <c r="X293" s="2280"/>
      <c r="Y293" s="2280"/>
      <c r="Z293" s="2280"/>
      <c r="AA293" s="2280"/>
      <c r="AB293" s="2280"/>
      <c r="AC293" s="2280"/>
      <c r="AD293" s="2280"/>
      <c r="AE293" s="2280"/>
      <c r="AF293" s="2280"/>
      <c r="AG293" s="2280"/>
      <c r="AH293" s="2280"/>
      <c r="AI293" s="2280"/>
      <c r="AJ293" s="2280"/>
      <c r="AK293" s="2280"/>
      <c r="AL293" s="2280"/>
      <c r="AM293" s="2280"/>
      <c r="AN293" s="2280"/>
      <c r="AO293" s="2280"/>
      <c r="AP293" s="2280"/>
      <c r="AQ293" s="2280"/>
      <c r="AR293" s="2280"/>
      <c r="AS293" s="2280"/>
      <c r="AT293" s="2280"/>
      <c r="AU293" s="2280"/>
      <c r="AV293" s="2280"/>
      <c r="AW293" s="2280"/>
      <c r="AX293" s="2280"/>
      <c r="AY293" s="2280"/>
      <c r="AZ293" s="2280"/>
      <c r="BA293" s="2280"/>
      <c r="BB293" s="2280"/>
      <c r="BC293" s="2280"/>
      <c r="BD293" s="2280"/>
      <c r="BE293" s="2280"/>
      <c r="BF293" s="2280"/>
      <c r="BG293" s="2280"/>
      <c r="BH293" s="2280"/>
      <c r="BI293" s="2280"/>
      <c r="BJ293" s="2280"/>
      <c r="BK293" s="2280"/>
      <c r="BL293" s="2280"/>
      <c r="BM293" s="2280"/>
      <c r="BN293" s="2280"/>
      <c r="BO293" s="2280"/>
      <c r="BP293" s="2280"/>
    </row>
    <row r="294" spans="3:109" outlineLevel="1" x14ac:dyDescent="0.25">
      <c r="D294" s="198"/>
      <c r="G294" s="1515"/>
      <c r="H294" s="1516"/>
      <c r="W294" s="2280"/>
      <c r="X294" s="2280"/>
      <c r="Y294" s="2280"/>
      <c r="Z294" s="2280"/>
      <c r="AA294" s="2280"/>
      <c r="AB294" s="2280"/>
      <c r="AC294" s="2280"/>
      <c r="AD294" s="2280"/>
      <c r="AE294" s="2280"/>
      <c r="AF294" s="2280"/>
      <c r="AG294" s="2280"/>
      <c r="AH294" s="2280"/>
      <c r="AI294" s="2280"/>
      <c r="AJ294" s="2280"/>
      <c r="AK294" s="2280"/>
      <c r="AL294" s="2280"/>
      <c r="AM294" s="2280"/>
      <c r="AN294" s="2280"/>
      <c r="AO294" s="2280"/>
      <c r="AP294" s="2280"/>
      <c r="AQ294" s="2280"/>
      <c r="AR294" s="2280"/>
      <c r="AS294" s="2280"/>
      <c r="AT294" s="2280"/>
      <c r="AU294" s="2280"/>
      <c r="AV294" s="2280"/>
      <c r="AW294" s="2280"/>
      <c r="AX294" s="2280"/>
      <c r="AY294" s="2280"/>
      <c r="AZ294" s="2280"/>
      <c r="BA294" s="2280"/>
      <c r="BB294" s="2280"/>
      <c r="BC294" s="2280"/>
      <c r="BD294" s="2280"/>
      <c r="BE294" s="2280"/>
      <c r="BF294" s="2280"/>
      <c r="BG294" s="2280"/>
      <c r="BH294" s="2280"/>
      <c r="BI294" s="2280"/>
      <c r="BJ294" s="2280"/>
      <c r="BK294" s="2280"/>
      <c r="BL294" s="2280"/>
      <c r="BM294" s="2280"/>
      <c r="BN294" s="2280"/>
      <c r="BO294" s="2280"/>
      <c r="BP294" s="2280"/>
    </row>
    <row r="295" spans="3:109" outlineLevel="1" x14ac:dyDescent="0.25">
      <c r="D295" s="1492"/>
      <c r="G295" s="1470"/>
      <c r="H295" s="1493"/>
      <c r="M295" s="1473"/>
      <c r="W295" s="2280"/>
      <c r="X295" s="2280"/>
      <c r="Y295" s="2280"/>
      <c r="Z295" s="2280"/>
      <c r="AA295" s="2280"/>
      <c r="AB295" s="2280"/>
      <c r="AC295" s="2280"/>
      <c r="AD295" s="2280"/>
      <c r="AE295" s="2280"/>
      <c r="AF295" s="2280"/>
      <c r="AG295" s="2280"/>
      <c r="AH295" s="2280"/>
      <c r="AI295" s="2280"/>
      <c r="AJ295" s="2280"/>
      <c r="AK295" s="2280"/>
      <c r="AL295" s="2280"/>
      <c r="AM295" s="2280"/>
      <c r="AN295" s="2280"/>
      <c r="AO295" s="2280"/>
      <c r="AP295" s="2280"/>
      <c r="AQ295" s="2280"/>
      <c r="AR295" s="2280"/>
      <c r="AS295" s="2280"/>
      <c r="AT295" s="2280"/>
      <c r="AU295" s="2280"/>
      <c r="AV295" s="2280"/>
      <c r="AW295" s="2280"/>
      <c r="AX295" s="2280"/>
      <c r="AY295" s="2280"/>
      <c r="AZ295" s="2280"/>
      <c r="BA295" s="2280"/>
      <c r="BB295" s="2280"/>
      <c r="BC295" s="2280"/>
      <c r="BD295" s="2280"/>
      <c r="BE295" s="2280"/>
      <c r="BF295" s="2280"/>
      <c r="BG295" s="2280"/>
      <c r="BH295" s="2280"/>
      <c r="BI295" s="2280"/>
      <c r="BJ295" s="2280"/>
      <c r="BK295" s="2280"/>
      <c r="BL295" s="2280"/>
      <c r="BM295" s="2280"/>
      <c r="BN295" s="2280"/>
      <c r="BO295" s="2280"/>
      <c r="BP295" s="2280"/>
    </row>
    <row r="296" spans="3:109" outlineLevel="1" x14ac:dyDescent="0.25">
      <c r="D296" s="1492"/>
      <c r="G296" s="1470"/>
      <c r="H296" s="1493"/>
      <c r="M296" s="1473"/>
      <c r="W296" s="2280"/>
      <c r="X296" s="2280"/>
      <c r="Y296" s="2280"/>
      <c r="Z296" s="2280"/>
      <c r="AA296" s="2280"/>
      <c r="AB296" s="2280"/>
      <c r="AC296" s="2280"/>
      <c r="AD296" s="2280"/>
      <c r="AE296" s="2280"/>
      <c r="AF296" s="2280"/>
      <c r="AG296" s="2280"/>
      <c r="AH296" s="2280"/>
      <c r="AI296" s="2280"/>
      <c r="AJ296" s="2280"/>
      <c r="AK296" s="2280"/>
      <c r="AL296" s="2280"/>
      <c r="AM296" s="2280"/>
      <c r="AN296" s="2280"/>
      <c r="AO296" s="2280"/>
      <c r="AP296" s="2280"/>
      <c r="AQ296" s="2280"/>
      <c r="AR296" s="2280"/>
      <c r="AS296" s="2280"/>
      <c r="AT296" s="2280"/>
      <c r="AU296" s="2280"/>
      <c r="AV296" s="2280"/>
      <c r="AW296" s="2280"/>
      <c r="AX296" s="2280"/>
      <c r="AY296" s="2280"/>
      <c r="AZ296" s="2280"/>
      <c r="BA296" s="2280"/>
      <c r="BB296" s="2280"/>
      <c r="BC296" s="2280"/>
      <c r="BD296" s="2280"/>
      <c r="BE296" s="2280"/>
      <c r="BF296" s="2280"/>
      <c r="BG296" s="2280"/>
      <c r="BH296" s="2280"/>
      <c r="BI296" s="2280"/>
      <c r="BJ296" s="2280"/>
      <c r="BK296" s="2280"/>
      <c r="BL296" s="2280"/>
      <c r="BM296" s="2280"/>
      <c r="BN296" s="2280"/>
      <c r="BO296" s="2280"/>
      <c r="BP296" s="2280"/>
    </row>
    <row r="297" spans="3:109" outlineLevel="1" x14ac:dyDescent="0.25">
      <c r="D297" s="1492"/>
      <c r="G297" s="1470"/>
      <c r="H297" s="1493"/>
      <c r="M297" s="1473"/>
    </row>
    <row r="298" spans="3:109" outlineLevel="1" x14ac:dyDescent="0.25">
      <c r="D298" s="1492"/>
      <c r="G298" s="1470"/>
      <c r="H298" s="1493"/>
    </row>
    <row r="299" spans="3:109" s="77" customFormat="1" ht="17.25" outlineLevel="1" x14ac:dyDescent="0.25">
      <c r="C299" s="198"/>
      <c r="D299" s="1406" t="s">
        <v>17</v>
      </c>
      <c r="E299" s="1406" t="s">
        <v>119</v>
      </c>
      <c r="F299" s="1406" t="s">
        <v>120</v>
      </c>
      <c r="G299" s="1406" t="s">
        <v>121</v>
      </c>
      <c r="H299" s="104" t="s">
        <v>235</v>
      </c>
      <c r="I299" s="106" t="s">
        <v>236</v>
      </c>
      <c r="J299" s="106" t="s">
        <v>77</v>
      </c>
      <c r="K299" s="106" t="s">
        <v>218</v>
      </c>
      <c r="L299" s="198"/>
      <c r="M299" s="463"/>
      <c r="N299" s="463"/>
      <c r="O299" s="463"/>
      <c r="P299" s="463"/>
      <c r="Q299" s="463"/>
      <c r="R299" s="463"/>
      <c r="S299" s="463"/>
      <c r="T299" s="463"/>
      <c r="U299" s="463"/>
      <c r="DB299" s="97"/>
    </row>
    <row r="300" spans="3:109" outlineLevel="1" x14ac:dyDescent="0.25">
      <c r="D300" s="1494" t="str">
        <f>C288</f>
        <v>802900_2019_12_</v>
      </c>
      <c r="E300" s="1494" t="str">
        <f>E288</f>
        <v>ENERGY STAR Hot Holding Cabinet (0 &lt; V &lt;13)</v>
      </c>
      <c r="F300" s="1524" t="s">
        <v>237</v>
      </c>
      <c r="G300" s="1525">
        <v>7</v>
      </c>
      <c r="H300" s="1559">
        <f>40*G300</f>
        <v>280</v>
      </c>
      <c r="I300" s="1560">
        <f>21.5*G300</f>
        <v>150.5</v>
      </c>
      <c r="J300" s="1561">
        <v>15</v>
      </c>
      <c r="K300" s="1503">
        <v>365.25</v>
      </c>
      <c r="L300" s="1470" t="s">
        <v>238</v>
      </c>
    </row>
    <row r="301" spans="3:109" outlineLevel="1" x14ac:dyDescent="0.25">
      <c r="D301" s="1494" t="str">
        <f>C289</f>
        <v>802950_2019_12_</v>
      </c>
      <c r="E301" s="1494" t="str">
        <f>E289</f>
        <v>ENERGY STAR Hot Holding Cabinet (13 ≤ V &lt;28)</v>
      </c>
      <c r="F301" s="1524" t="s">
        <v>3213</v>
      </c>
      <c r="G301" s="1525">
        <v>20</v>
      </c>
      <c r="H301" s="1559">
        <f>40*G301</f>
        <v>800</v>
      </c>
      <c r="I301" s="1560">
        <f>(2*G301)+254</f>
        <v>294</v>
      </c>
      <c r="J301" s="1561">
        <v>15</v>
      </c>
      <c r="K301" s="1503">
        <v>365.25</v>
      </c>
    </row>
    <row r="302" spans="3:109" outlineLevel="1" x14ac:dyDescent="0.25">
      <c r="D302" s="1494" t="str">
        <f>C290</f>
        <v>803000_2019_12_</v>
      </c>
      <c r="E302" s="1494" t="str">
        <f>E290</f>
        <v>ENERGY STAR Hot Holding Cabinet (28 ≤ V)</v>
      </c>
      <c r="F302" s="1524" t="s">
        <v>239</v>
      </c>
      <c r="G302" s="1525">
        <v>28</v>
      </c>
      <c r="H302" s="1559">
        <f>40*G302</f>
        <v>1120</v>
      </c>
      <c r="I302" s="1560">
        <f>(3.8*G302)+203.5</f>
        <v>309.89999999999998</v>
      </c>
      <c r="J302" s="1561">
        <v>15</v>
      </c>
      <c r="K302" s="1503">
        <v>365.25</v>
      </c>
    </row>
    <row r="305" spans="2:112" s="46" customFormat="1" x14ac:dyDescent="0.25">
      <c r="B305" s="4084" t="s">
        <v>240</v>
      </c>
      <c r="C305" s="4085"/>
      <c r="D305" s="4085"/>
      <c r="E305" s="4085"/>
      <c r="F305" s="4085"/>
      <c r="G305" s="4085"/>
      <c r="H305" s="4085"/>
      <c r="I305" s="4086"/>
      <c r="J305" s="4086"/>
      <c r="K305" s="4086"/>
      <c r="L305" s="4086"/>
      <c r="M305" s="4087"/>
      <c r="N305" s="4087"/>
      <c r="O305" s="4088"/>
      <c r="V305" s="47" t="str">
        <f>B305</f>
        <v>HVAC</v>
      </c>
      <c r="W305" s="48"/>
      <c r="X305" s="48"/>
      <c r="Y305" s="48"/>
      <c r="Z305" s="48"/>
      <c r="AA305" s="48"/>
      <c r="AB305" s="48"/>
      <c r="AC305" s="48"/>
      <c r="AD305" s="48"/>
      <c r="AE305" s="48"/>
      <c r="AF305" s="48"/>
      <c r="AG305" s="48"/>
      <c r="AH305" s="48"/>
      <c r="AI305" s="49"/>
      <c r="AJ305" s="26"/>
      <c r="AK305" s="26"/>
      <c r="AL305" s="26"/>
      <c r="AM305" s="26"/>
      <c r="AN305" s="26"/>
      <c r="AO305" s="26"/>
      <c r="AP305" s="26"/>
      <c r="AQ305" s="26"/>
      <c r="AR305" s="26"/>
      <c r="AS305" s="26"/>
      <c r="AT305" s="26"/>
      <c r="AU305" s="26"/>
      <c r="DB305" s="98"/>
      <c r="DG305" s="2282"/>
      <c r="DH305" s="2282"/>
    </row>
    <row r="306" spans="2:112" x14ac:dyDescent="0.25">
      <c r="D306" s="1478"/>
      <c r="E306" s="1473"/>
      <c r="F306" s="1473"/>
      <c r="G306" s="1473"/>
      <c r="H306" s="1479"/>
      <c r="I306" s="1473"/>
      <c r="J306" s="1473"/>
      <c r="K306" s="1473"/>
      <c r="L306" s="1473"/>
      <c r="P306" s="1473"/>
      <c r="Q306" s="1473"/>
      <c r="R306" s="1473"/>
      <c r="S306" s="1473"/>
      <c r="T306" s="1473"/>
      <c r="U306" s="1473"/>
      <c r="V306"/>
      <c r="W306"/>
      <c r="X306"/>
      <c r="Y306"/>
      <c r="Z306"/>
      <c r="AA306"/>
      <c r="AB306"/>
      <c r="AC306"/>
      <c r="AD306"/>
      <c r="AE306"/>
      <c r="AF306"/>
      <c r="AG306"/>
      <c r="AH306"/>
      <c r="AI306"/>
      <c r="AJ306" s="44"/>
      <c r="AK306" s="44"/>
      <c r="AL306" s="44"/>
      <c r="AM306" s="44"/>
      <c r="AN306" s="44"/>
      <c r="AO306" s="44"/>
      <c r="AP306" s="44"/>
      <c r="AQ306" s="44"/>
      <c r="AR306" s="44"/>
      <c r="AS306" s="44"/>
      <c r="AT306" s="44"/>
      <c r="AU306" s="44"/>
    </row>
    <row r="307" spans="2:112" s="50" customFormat="1" ht="30" x14ac:dyDescent="0.25">
      <c r="B307" s="51"/>
      <c r="C307" s="52" t="s">
        <v>17</v>
      </c>
      <c r="D307" s="52" t="s">
        <v>18</v>
      </c>
      <c r="E307" s="1435" t="s">
        <v>19</v>
      </c>
      <c r="F307" s="1435" t="s">
        <v>241</v>
      </c>
      <c r="G307" s="1435" t="s">
        <v>242</v>
      </c>
      <c r="H307" s="1435" t="s">
        <v>243</v>
      </c>
      <c r="I307" s="1435" t="s">
        <v>21</v>
      </c>
      <c r="J307" s="1435" t="s">
        <v>21</v>
      </c>
      <c r="K307" s="53" t="s">
        <v>22</v>
      </c>
      <c r="L307" s="1435" t="s">
        <v>23</v>
      </c>
      <c r="M307" s="1435" t="s">
        <v>24</v>
      </c>
      <c r="N307" s="52" t="s">
        <v>25</v>
      </c>
      <c r="O307" s="52" t="s">
        <v>26</v>
      </c>
      <c r="P307" s="1562"/>
      <c r="Q307" s="1563"/>
      <c r="R307" s="1480"/>
      <c r="S307" s="1480"/>
      <c r="T307" s="1480"/>
      <c r="U307" s="1480"/>
      <c r="V307" s="55" t="s">
        <v>27</v>
      </c>
      <c r="W307" s="56">
        <f>$W$8</f>
        <v>43252</v>
      </c>
      <c r="X307" s="56">
        <f>$X$8</f>
        <v>43465</v>
      </c>
      <c r="Y307" s="56">
        <f>$Y$8</f>
        <v>43800</v>
      </c>
      <c r="Z307" s="56">
        <f>$Z$8</f>
        <v>43862</v>
      </c>
      <c r="AA307" s="56">
        <f>$AA$8</f>
        <v>44013</v>
      </c>
      <c r="AB307" s="56">
        <v>44166</v>
      </c>
      <c r="AC307" s="56" t="str">
        <f>$AC$8</f>
        <v>-</v>
      </c>
      <c r="AD307" s="56" t="str">
        <f>$AD$8</f>
        <v>-</v>
      </c>
      <c r="AE307" s="56" t="str">
        <f>$AE$8</f>
        <v>-</v>
      </c>
      <c r="AF307" s="56" t="str">
        <f>$AF$8</f>
        <v>-</v>
      </c>
      <c r="AG307" s="56" t="str">
        <f>$AG$8</f>
        <v>-</v>
      </c>
      <c r="AH307"/>
      <c r="AI307" s="55" t="s">
        <v>27</v>
      </c>
      <c r="AJ307" s="56">
        <v>43252</v>
      </c>
      <c r="AK307" s="56">
        <f>$X$8</f>
        <v>43465</v>
      </c>
      <c r="AL307" s="56">
        <f>$Y$8</f>
        <v>43800</v>
      </c>
      <c r="AM307" s="56">
        <f>$Z$8</f>
        <v>43862</v>
      </c>
      <c r="AN307" s="56">
        <f>$AA$8</f>
        <v>44013</v>
      </c>
      <c r="AO307" s="56">
        <f>$AB$8</f>
        <v>44166</v>
      </c>
      <c r="AP307" s="56" t="str">
        <f>$AC$8</f>
        <v>-</v>
      </c>
      <c r="AQ307" s="56" t="str">
        <f>$AD$8</f>
        <v>-</v>
      </c>
      <c r="AR307" s="56" t="str">
        <f>$AE$8</f>
        <v>-</v>
      </c>
      <c r="AS307" s="56" t="str">
        <f>$AF$8</f>
        <v>-</v>
      </c>
      <c r="AT307"/>
      <c r="AU307" s="55" t="s">
        <v>27</v>
      </c>
      <c r="AV307" s="56">
        <v>43252</v>
      </c>
      <c r="AW307" s="56">
        <f>$X$8</f>
        <v>43465</v>
      </c>
      <c r="AX307" s="56">
        <f>$Y$8</f>
        <v>43800</v>
      </c>
      <c r="AY307" s="56">
        <f>$Z$8</f>
        <v>43862</v>
      </c>
      <c r="AZ307" s="56">
        <f>$AA$8</f>
        <v>44013</v>
      </c>
      <c r="BA307" s="56">
        <v>44166</v>
      </c>
      <c r="BB307" s="56" t="str">
        <f>$AC$8</f>
        <v>-</v>
      </c>
      <c r="BC307" s="56" t="str">
        <f>$AD$8</f>
        <v>-</v>
      </c>
      <c r="BD307" s="56" t="str">
        <f>$AE$8</f>
        <v>-</v>
      </c>
      <c r="BE307" s="56" t="str">
        <f>$AF$8</f>
        <v>-</v>
      </c>
      <c r="BF307"/>
      <c r="BG307" s="55" t="s">
        <v>27</v>
      </c>
      <c r="BH307" s="56">
        <v>43252</v>
      </c>
      <c r="BI307" s="56">
        <f>$X$8</f>
        <v>43465</v>
      </c>
      <c r="BJ307" s="56">
        <f>$Y$8</f>
        <v>43800</v>
      </c>
      <c r="BK307" s="56">
        <f>$Z$8</f>
        <v>43862</v>
      </c>
      <c r="BL307" s="56">
        <f>$AA$8</f>
        <v>44013</v>
      </c>
      <c r="BM307" s="56">
        <v>44166</v>
      </c>
      <c r="BN307" s="56" t="str">
        <f>$AC$8</f>
        <v>-</v>
      </c>
      <c r="BO307" s="56" t="str">
        <f>$AD$8</f>
        <v>-</v>
      </c>
      <c r="BP307" s="56" t="str">
        <f>$AE$8</f>
        <v>-</v>
      </c>
      <c r="BQ307" s="56" t="str">
        <f>$AF$8</f>
        <v>-</v>
      </c>
      <c r="BR307" s="29"/>
      <c r="BS307" s="55" t="s">
        <v>27</v>
      </c>
      <c r="BT307" s="56">
        <v>43252</v>
      </c>
      <c r="BU307" s="56">
        <f>$X$8</f>
        <v>43465</v>
      </c>
      <c r="BV307" s="56">
        <f>$Y$8</f>
        <v>43800</v>
      </c>
      <c r="BW307" s="56">
        <f>$Z$8</f>
        <v>43862</v>
      </c>
      <c r="BX307" s="56">
        <f>$AA$8</f>
        <v>44013</v>
      </c>
      <c r="BY307" s="56">
        <f>$AB$8</f>
        <v>44166</v>
      </c>
      <c r="BZ307" s="56" t="str">
        <f>$AC$8</f>
        <v>-</v>
      </c>
      <c r="CA307" s="56" t="str">
        <f>$AD$8</f>
        <v>-</v>
      </c>
      <c r="CB307" s="56" t="str">
        <f>$AE$8</f>
        <v>-</v>
      </c>
      <c r="CC307" s="56" t="str">
        <f>$AF$8</f>
        <v>-</v>
      </c>
      <c r="DB307" s="57" t="str">
        <f>$DB$8</f>
        <v>TRC (2020)</v>
      </c>
      <c r="DC307" s="93" t="str">
        <f>$DC$8</f>
        <v>Benefit Lookup</v>
      </c>
      <c r="DD307" s="93" t="str">
        <f>$DD$8</f>
        <v>Benefits (2019 $)</v>
      </c>
      <c r="DE307" s="93" t="str">
        <f>$DE$8</f>
        <v>Incremental Cost (2019 $)</v>
      </c>
    </row>
    <row r="308" spans="2:112" x14ac:dyDescent="0.25">
      <c r="C308" s="2969" t="s">
        <v>244</v>
      </c>
      <c r="D308" s="1558" t="s">
        <v>34</v>
      </c>
      <c r="E308" s="1564" t="s">
        <v>245</v>
      </c>
      <c r="F308" s="183">
        <f>ROUND((1/F318)*G318*(H318/1000)*I318,2)</f>
        <v>205.34</v>
      </c>
      <c r="G308" s="87">
        <f>J318*(L318/(K318*3412))*M318</f>
        <v>233.00117233294256</v>
      </c>
      <c r="H308" s="87">
        <f>SUM(F308:G308)</f>
        <v>438.34117233294256</v>
      </c>
      <c r="I308" s="1482" t="s">
        <v>246</v>
      </c>
      <c r="J308" s="1482" t="s">
        <v>247</v>
      </c>
      <c r="K308" s="1483">
        <v>9.1068395835808389E-4</v>
      </c>
      <c r="L308" s="1565">
        <f>ROUND(K308*F308,6)</f>
        <v>0.187</v>
      </c>
      <c r="M308" s="1548">
        <v>10</v>
      </c>
      <c r="N308" s="1523">
        <v>224</v>
      </c>
      <c r="O308" s="1484" t="s">
        <v>37</v>
      </c>
      <c r="V308" s="2434" t="str">
        <f>F307</f>
        <v>Cooling kWh Annual Savings (per Ton)</v>
      </c>
      <c r="W308" s="163">
        <v>205.33500000000004</v>
      </c>
      <c r="X308" s="163">
        <v>205.33500000000004</v>
      </c>
      <c r="Y308" s="163">
        <v>205.33500000000004</v>
      </c>
      <c r="Z308" s="163">
        <v>205.33500000000004</v>
      </c>
      <c r="AA308" s="163">
        <v>205.33500000000004</v>
      </c>
      <c r="AB308" s="2372">
        <v>205.34</v>
      </c>
      <c r="AC308" s="2510"/>
      <c r="AD308" s="2510"/>
      <c r="AE308" s="2510"/>
      <c r="AF308" s="2510"/>
      <c r="AG308" s="2510"/>
      <c r="AH308" s="2511"/>
      <c r="AI308" s="2434" t="str">
        <f>G307</f>
        <v>Heating kWh Annual Savings (per ton)</v>
      </c>
      <c r="AJ308" s="163">
        <v>233.00117233294256</v>
      </c>
      <c r="AK308" s="163">
        <v>233.00117233294256</v>
      </c>
      <c r="AL308" s="163">
        <v>233.00117233294256</v>
      </c>
      <c r="AM308" s="163">
        <v>233.00117233294256</v>
      </c>
      <c r="AN308" s="163">
        <v>233.00117233294256</v>
      </c>
      <c r="AO308" s="2504">
        <f>G308</f>
        <v>233.00117233294256</v>
      </c>
      <c r="AP308" s="2510"/>
      <c r="AQ308" s="2510"/>
      <c r="AR308" s="2510"/>
      <c r="AS308" s="2510"/>
      <c r="AT308" s="2511"/>
      <c r="AU308" s="2434" t="str">
        <f>H307</f>
        <v>Total kWh Annual Savings</v>
      </c>
      <c r="AV308" s="163">
        <v>438.33617233294262</v>
      </c>
      <c r="AW308" s="163">
        <v>438.33617233294262</v>
      </c>
      <c r="AX308" s="163">
        <v>438.33617233294262</v>
      </c>
      <c r="AY308" s="163">
        <v>438.33617233294262</v>
      </c>
      <c r="AZ308" s="163">
        <v>438.33617233294262</v>
      </c>
      <c r="BA308" s="163">
        <v>438.34117233294256</v>
      </c>
      <c r="BB308" s="2510"/>
      <c r="BC308" s="2510"/>
      <c r="BD308" s="2510"/>
      <c r="BE308" s="2510"/>
      <c r="BF308" s="2511"/>
      <c r="BG308" s="2434" t="s">
        <v>24</v>
      </c>
      <c r="BH308" s="87">
        <v>10</v>
      </c>
      <c r="BI308" s="87">
        <v>10</v>
      </c>
      <c r="BJ308" s="87">
        <v>10</v>
      </c>
      <c r="BK308" s="87">
        <v>10</v>
      </c>
      <c r="BL308" s="87">
        <v>10</v>
      </c>
      <c r="BM308" s="2372">
        <v>10</v>
      </c>
      <c r="BN308" s="2510"/>
      <c r="BO308" s="2510"/>
      <c r="BP308" s="2510"/>
      <c r="BQ308" s="2510"/>
      <c r="BR308" s="2280"/>
      <c r="BS308" s="2434" t="str">
        <f>N307</f>
        <v>Inc. Cost</v>
      </c>
      <c r="BT308" s="2513">
        <v>224</v>
      </c>
      <c r="BU308" s="2513">
        <v>224</v>
      </c>
      <c r="BV308" s="2513">
        <v>224</v>
      </c>
      <c r="BW308" s="2513">
        <v>224</v>
      </c>
      <c r="BX308" s="2513">
        <v>224</v>
      </c>
      <c r="BY308" s="2513">
        <v>224</v>
      </c>
      <c r="BZ308" s="2510"/>
      <c r="CA308" s="2510"/>
      <c r="CB308" s="2510"/>
      <c r="CC308" s="2510"/>
      <c r="CD308" s="2280"/>
      <c r="CE308" s="276"/>
      <c r="CF308" s="276"/>
      <c r="CG308" s="276"/>
      <c r="CH308" s="276"/>
      <c r="CI308" s="2280"/>
      <c r="CJ308" s="2280"/>
      <c r="CK308" s="2280"/>
      <c r="CL308" s="2280"/>
      <c r="CM308" s="2280"/>
      <c r="CN308" s="2280"/>
      <c r="CO308" s="2280"/>
      <c r="CP308" s="2280"/>
      <c r="CQ308" s="2280"/>
      <c r="CR308" s="2280"/>
      <c r="CS308" s="2280"/>
      <c r="CT308" s="276"/>
      <c r="CU308" s="276"/>
      <c r="CV308" s="276"/>
      <c r="CW308" s="276"/>
      <c r="DB308" s="107">
        <f>(DD308)/(DE308)</f>
        <v>0.93461733145643167</v>
      </c>
      <c r="DC308" s="68" t="str">
        <f>CONCATENATE(I308," ",M308," Year EUL")</f>
        <v>Cooling BUS 10 Year EUL</v>
      </c>
      <c r="DD308" s="108">
        <f>(INDEX('Avoided Cost Benefits'!$C$4:$C$857,MATCH(DC308,'Avoided Cost Benefits'!$A$4:$A$857,0)))*F308</f>
        <v>197.59724610310587</v>
      </c>
      <c r="DE308" s="109">
        <f>N308/(1.0595^(2020-2019))</f>
        <v>211.42048135913166</v>
      </c>
    </row>
    <row r="309" spans="2:112" outlineLevel="1" x14ac:dyDescent="0.25">
      <c r="E309" s="1473"/>
      <c r="F309" s="1473"/>
      <c r="G309" s="1473"/>
      <c r="H309" s="1491"/>
      <c r="I309" s="1473"/>
      <c r="J309" s="1473"/>
      <c r="K309" s="1473"/>
      <c r="V309" s="2280"/>
      <c r="W309" s="2280"/>
      <c r="X309" s="2280"/>
      <c r="Y309" s="2280"/>
      <c r="Z309" s="2280"/>
      <c r="AA309" s="2280"/>
      <c r="AB309" s="2280"/>
      <c r="AC309" s="2280"/>
      <c r="AD309" s="2280"/>
      <c r="AE309" s="2280"/>
      <c r="AF309" s="2280"/>
      <c r="AG309" s="2280"/>
      <c r="AH309" s="2280"/>
      <c r="AI309" s="2280"/>
      <c r="AJ309" s="2280"/>
      <c r="AK309" s="2280"/>
      <c r="AL309" s="2280"/>
      <c r="AM309" s="2280"/>
      <c r="AN309" s="2280"/>
      <c r="AO309" s="2280"/>
      <c r="AP309" s="2280"/>
      <c r="AQ309" s="2280"/>
      <c r="AR309" s="2280"/>
      <c r="AS309" s="2280"/>
      <c r="AT309" s="2280"/>
      <c r="AU309" s="2280"/>
      <c r="AV309" s="2280"/>
      <c r="AW309" s="2280"/>
      <c r="AX309" s="2280"/>
      <c r="AY309" s="2280"/>
      <c r="AZ309" s="2280"/>
      <c r="BA309" s="2280"/>
      <c r="BB309" s="2280"/>
      <c r="BC309" s="2280"/>
      <c r="BD309" s="2280"/>
      <c r="BE309" s="2280"/>
      <c r="BF309" s="2280"/>
      <c r="BG309" s="2280"/>
      <c r="BH309" s="2280"/>
      <c r="BI309" s="2280"/>
      <c r="BJ309" s="2280"/>
      <c r="BK309" s="2280"/>
      <c r="BL309" s="2280"/>
      <c r="BM309" s="2280"/>
      <c r="BN309" s="2280"/>
      <c r="BO309" s="2280"/>
      <c r="BP309" s="2280"/>
      <c r="BQ309" s="2280"/>
      <c r="BR309" s="2280"/>
      <c r="BS309" s="2280"/>
      <c r="BT309" s="2280"/>
      <c r="BU309" s="2280"/>
      <c r="BV309" s="2280"/>
      <c r="BW309" s="2280"/>
      <c r="BX309" s="2280"/>
      <c r="BY309" s="2280"/>
      <c r="BZ309" s="2280"/>
      <c r="CA309" s="2280"/>
      <c r="CB309" s="2280"/>
      <c r="CC309" s="2280"/>
      <c r="CD309" s="2280"/>
      <c r="CE309" s="276"/>
      <c r="CF309" s="276"/>
      <c r="CG309" s="276"/>
      <c r="CH309" s="276"/>
      <c r="CI309" s="2280"/>
      <c r="CJ309" s="2280"/>
      <c r="CK309" s="2280"/>
      <c r="CL309" s="2280"/>
      <c r="CM309" s="2280"/>
      <c r="CN309" s="2280"/>
      <c r="CO309" s="2280"/>
      <c r="CP309" s="2280"/>
      <c r="CQ309" s="2280"/>
      <c r="CR309" s="2280"/>
      <c r="CS309" s="2280"/>
      <c r="CT309" s="276"/>
      <c r="CU309" s="276"/>
      <c r="CV309" s="276"/>
      <c r="CW309" s="276"/>
    </row>
    <row r="310" spans="2:112" outlineLevel="1" x14ac:dyDescent="0.25">
      <c r="D310" s="1473" t="s">
        <v>70</v>
      </c>
      <c r="E310" s="1473"/>
      <c r="F310" s="1473"/>
      <c r="G310" s="1473"/>
      <c r="H310" s="1491"/>
      <c r="I310" s="1473"/>
      <c r="J310" s="1473"/>
      <c r="K310" s="1473"/>
      <c r="V310" s="2280"/>
      <c r="W310" s="2280"/>
      <c r="X310" s="2280"/>
      <c r="Y310" s="2280"/>
      <c r="Z310" s="2280"/>
      <c r="AA310" s="2280"/>
      <c r="AB310" s="2280"/>
      <c r="AC310" s="2280"/>
      <c r="AD310" s="2280"/>
      <c r="AE310" s="2280"/>
      <c r="AF310" s="2280"/>
      <c r="AG310" s="2280"/>
      <c r="AH310" s="2280"/>
      <c r="AI310" s="2280"/>
      <c r="AJ310" s="2280"/>
      <c r="AK310" s="2280"/>
      <c r="AL310" s="2280"/>
      <c r="AM310" s="2280"/>
      <c r="AN310" s="2280"/>
      <c r="AO310" s="2280"/>
      <c r="AP310" s="2280"/>
      <c r="AQ310" s="2280"/>
      <c r="AR310" s="2280"/>
      <c r="AS310" s="2280"/>
      <c r="AT310" s="2280"/>
      <c r="AU310" s="2280"/>
      <c r="AV310" s="2280"/>
      <c r="AW310" s="2280"/>
      <c r="AX310" s="2280"/>
      <c r="AY310" s="2280"/>
      <c r="AZ310" s="2280"/>
      <c r="BA310" s="2280"/>
      <c r="BB310" s="2280"/>
      <c r="BC310" s="2280"/>
      <c r="BD310" s="2280"/>
      <c r="BE310" s="2280"/>
      <c r="BF310" s="2280"/>
      <c r="BG310" s="2280"/>
      <c r="BH310" s="2280"/>
      <c r="BI310" s="2280"/>
      <c r="BJ310" s="2280"/>
      <c r="BK310" s="2280"/>
      <c r="BL310" s="2280"/>
      <c r="BM310" s="2280"/>
      <c r="BN310" s="2280"/>
      <c r="BO310" s="2280"/>
      <c r="BP310" s="2280"/>
      <c r="BQ310" s="2280"/>
      <c r="BR310" s="2280"/>
      <c r="BS310" s="2280"/>
      <c r="BT310" s="2280"/>
      <c r="BU310" s="2280"/>
      <c r="BV310" s="2280"/>
      <c r="BW310" s="2280"/>
      <c r="BX310" s="2280"/>
      <c r="BY310" s="2280"/>
      <c r="BZ310" s="2280"/>
      <c r="CA310" s="2280"/>
      <c r="CB310" s="2280"/>
      <c r="CC310" s="2280"/>
      <c r="CD310" s="2280"/>
      <c r="CE310" s="276"/>
      <c r="CF310" s="276"/>
      <c r="CG310" s="276"/>
      <c r="CH310" s="276"/>
      <c r="CI310" s="2280"/>
      <c r="CJ310" s="2280"/>
      <c r="CK310" s="2280"/>
      <c r="CL310" s="2280"/>
      <c r="CM310" s="2280"/>
      <c r="CN310" s="2280"/>
      <c r="CO310" s="2280"/>
      <c r="CP310" s="2280"/>
      <c r="CQ310" s="2280"/>
      <c r="CR310" s="2280"/>
      <c r="CS310" s="2280"/>
      <c r="CT310" s="276"/>
      <c r="CU310" s="276"/>
      <c r="CV310" s="276"/>
      <c r="CW310" s="276"/>
    </row>
    <row r="311" spans="2:112" outlineLevel="1" x14ac:dyDescent="0.25">
      <c r="D311" s="1492"/>
      <c r="G311" s="1515"/>
      <c r="H311" s="1516"/>
      <c r="V311" s="2280"/>
      <c r="W311" s="2280"/>
      <c r="X311" s="2280"/>
      <c r="Y311" s="2280"/>
      <c r="Z311" s="2280"/>
      <c r="AA311" s="2280"/>
      <c r="AB311" s="2280"/>
      <c r="AC311" s="2280"/>
      <c r="AD311" s="2280"/>
      <c r="AE311" s="2280"/>
      <c r="AF311" s="2280"/>
      <c r="AG311" s="2280"/>
      <c r="AH311" s="2280"/>
      <c r="AI311" s="2280"/>
      <c r="AJ311" s="2280"/>
      <c r="AK311" s="2280"/>
      <c r="AL311" s="2280"/>
      <c r="AM311" s="2280"/>
      <c r="AN311" s="2280"/>
      <c r="AO311" s="2280"/>
      <c r="AP311" s="2280"/>
      <c r="AQ311" s="2280"/>
      <c r="AR311" s="2280"/>
      <c r="AS311" s="2280"/>
      <c r="AT311" s="2280"/>
      <c r="AU311" s="2280"/>
      <c r="AV311" s="2280"/>
      <c r="AW311" s="2280"/>
      <c r="AX311" s="2280"/>
      <c r="AY311" s="2280"/>
      <c r="AZ311" s="2280"/>
      <c r="BA311" s="2280"/>
      <c r="BB311" s="2280"/>
      <c r="BC311" s="2280"/>
      <c r="BD311" s="2280"/>
      <c r="BE311" s="2280"/>
      <c r="BF311" s="2280"/>
      <c r="BG311" s="2280"/>
      <c r="BH311" s="2280"/>
      <c r="BI311" s="2280"/>
      <c r="BJ311" s="2280"/>
      <c r="BK311" s="2280"/>
      <c r="BL311" s="2280"/>
      <c r="BM311" s="2280"/>
      <c r="BN311" s="2280"/>
      <c r="BO311" s="2280"/>
      <c r="BP311" s="2280"/>
      <c r="BQ311" s="2280"/>
      <c r="BR311" s="2280"/>
      <c r="BS311" s="2280"/>
      <c r="BT311" s="2280"/>
      <c r="BU311" s="2280"/>
      <c r="BV311" s="2280"/>
      <c r="BW311" s="2280"/>
      <c r="BX311" s="2280"/>
      <c r="BY311" s="2280"/>
      <c r="BZ311" s="2280"/>
      <c r="CA311" s="2280"/>
      <c r="CB311" s="2280"/>
      <c r="CC311" s="2280"/>
      <c r="CD311" s="2280"/>
      <c r="CE311" s="276"/>
      <c r="CF311" s="276"/>
      <c r="CG311" s="276"/>
      <c r="CH311" s="276"/>
      <c r="CI311" s="2280"/>
      <c r="CJ311" s="2280"/>
      <c r="CK311" s="2280"/>
      <c r="CL311" s="2280"/>
      <c r="CM311" s="2280"/>
      <c r="CN311" s="2280"/>
      <c r="CO311" s="2280"/>
      <c r="CP311" s="2280"/>
      <c r="CQ311" s="2280"/>
      <c r="CR311" s="2280"/>
      <c r="CS311" s="2280"/>
      <c r="CT311" s="276"/>
      <c r="CU311" s="276"/>
      <c r="CV311" s="276"/>
      <c r="CW311" s="276"/>
    </row>
    <row r="312" spans="2:112" outlineLevel="1" x14ac:dyDescent="0.25">
      <c r="D312" s="1549"/>
      <c r="E312" s="973"/>
      <c r="G312" s="1515"/>
      <c r="H312" s="1516"/>
      <c r="V312" s="2280"/>
      <c r="W312" s="2280"/>
      <c r="X312" s="2280"/>
      <c r="Y312" s="2280"/>
      <c r="Z312" s="2280"/>
      <c r="AA312" s="2280"/>
      <c r="AB312" s="2280"/>
      <c r="AC312" s="2280"/>
      <c r="AD312" s="2280"/>
      <c r="AE312" s="2280"/>
      <c r="AF312" s="2280"/>
      <c r="AG312" s="2280"/>
      <c r="AH312" s="2280"/>
      <c r="AI312" s="2280"/>
      <c r="AJ312" s="2280"/>
      <c r="AK312" s="2280"/>
      <c r="AL312" s="2280"/>
      <c r="AM312" s="2280"/>
      <c r="AN312" s="2280"/>
      <c r="AO312" s="2280"/>
      <c r="AP312" s="2280"/>
      <c r="AQ312" s="2280"/>
      <c r="AR312" s="2280"/>
      <c r="AS312" s="2280"/>
      <c r="AT312" s="2280"/>
      <c r="AU312" s="2280"/>
      <c r="AV312" s="2280"/>
      <c r="AW312" s="2280"/>
      <c r="AX312" s="2280"/>
      <c r="AY312" s="2280"/>
      <c r="AZ312" s="2280"/>
      <c r="BA312" s="2280"/>
      <c r="BB312" s="2280"/>
      <c r="BC312" s="2280"/>
      <c r="BD312" s="2280"/>
      <c r="BE312" s="2280"/>
      <c r="BF312" s="2280"/>
      <c r="BG312" s="2280"/>
      <c r="BH312" s="2280"/>
      <c r="BI312" s="2280"/>
      <c r="BJ312" s="2280"/>
      <c r="BK312" s="2280"/>
      <c r="BL312" s="2280"/>
      <c r="BM312" s="2280"/>
      <c r="BN312" s="2280"/>
      <c r="BO312" s="2280"/>
      <c r="BP312" s="2280"/>
      <c r="BQ312" s="2280"/>
      <c r="BR312" s="2280"/>
      <c r="BS312" s="2280"/>
      <c r="BT312" s="2280"/>
      <c r="BU312" s="2280"/>
      <c r="BV312" s="2280"/>
      <c r="BW312" s="2280"/>
      <c r="BX312" s="2280"/>
      <c r="BY312" s="2280"/>
      <c r="BZ312" s="2280"/>
      <c r="CA312" s="2280"/>
      <c r="CB312" s="2280"/>
      <c r="CC312" s="2280"/>
      <c r="CD312" s="2280"/>
      <c r="CE312" s="276"/>
      <c r="CF312" s="276"/>
      <c r="CG312" s="276"/>
      <c r="CH312" s="276"/>
      <c r="CI312" s="2280"/>
      <c r="CJ312" s="2280"/>
      <c r="CK312" s="2280"/>
      <c r="CL312" s="2280"/>
      <c r="CM312" s="2280"/>
      <c r="CN312" s="2280"/>
      <c r="CO312" s="2280"/>
      <c r="CP312" s="2280"/>
      <c r="CQ312" s="2280"/>
      <c r="CR312" s="2280"/>
      <c r="CS312" s="2280"/>
      <c r="CT312" s="276"/>
      <c r="CU312" s="276"/>
      <c r="CV312" s="276"/>
      <c r="CW312" s="276"/>
    </row>
    <row r="313" spans="2:112" outlineLevel="1" x14ac:dyDescent="0.25">
      <c r="D313" s="1549"/>
      <c r="E313" s="973"/>
      <c r="G313" s="1470"/>
      <c r="H313" s="1493"/>
      <c r="M313" s="1473"/>
      <c r="V313" s="2280"/>
      <c r="W313" s="2280"/>
      <c r="X313" s="2280"/>
      <c r="Y313" s="2280"/>
      <c r="Z313" s="2280"/>
      <c r="AA313" s="2280"/>
      <c r="AB313" s="2280"/>
      <c r="AC313" s="2280"/>
      <c r="AD313" s="2280"/>
      <c r="AE313" s="2280"/>
      <c r="AF313" s="2280"/>
      <c r="AG313" s="2280"/>
      <c r="AH313" s="2280"/>
      <c r="AI313" s="2280"/>
      <c r="AJ313" s="2280"/>
      <c r="AK313" s="2280"/>
      <c r="AL313" s="2280"/>
      <c r="AM313" s="2280"/>
      <c r="AN313" s="2280"/>
      <c r="AO313" s="2280"/>
      <c r="AP313" s="2280"/>
      <c r="AQ313" s="2280"/>
      <c r="AR313" s="2280"/>
      <c r="AS313" s="2280"/>
      <c r="AT313" s="2280"/>
      <c r="AU313" s="2280"/>
      <c r="AV313" s="2280"/>
      <c r="AW313" s="2280"/>
      <c r="AX313" s="2280"/>
      <c r="AY313" s="2280"/>
      <c r="AZ313" s="2280"/>
      <c r="BA313" s="2280"/>
      <c r="BB313" s="2280"/>
      <c r="BC313" s="2280"/>
      <c r="BD313" s="2280"/>
      <c r="BE313" s="2280"/>
      <c r="BF313" s="2280"/>
      <c r="BG313" s="2280"/>
      <c r="BH313" s="2280"/>
      <c r="BI313" s="2280"/>
      <c r="BJ313" s="2280"/>
      <c r="BK313" s="2280"/>
      <c r="BL313" s="2280"/>
      <c r="BM313" s="2280"/>
      <c r="BN313" s="2280"/>
      <c r="BO313" s="2280"/>
      <c r="BP313" s="2280"/>
      <c r="BQ313" s="2280"/>
      <c r="BR313" s="2280"/>
      <c r="BS313" s="2280"/>
      <c r="BT313" s="2280"/>
      <c r="BU313" s="2280"/>
      <c r="BV313" s="2280"/>
      <c r="BW313" s="2280"/>
      <c r="BX313" s="2280"/>
      <c r="BY313" s="2280"/>
      <c r="BZ313" s="2280"/>
      <c r="CA313" s="2280"/>
      <c r="CB313" s="2280"/>
      <c r="CC313" s="2280"/>
      <c r="CD313" s="2280"/>
      <c r="CE313" s="276"/>
      <c r="CF313" s="276"/>
      <c r="CG313" s="276"/>
      <c r="CH313" s="276"/>
      <c r="CI313" s="2280"/>
      <c r="CJ313" s="2280"/>
      <c r="CK313" s="2280"/>
      <c r="CL313" s="2280"/>
      <c r="CM313" s="2280"/>
      <c r="CN313" s="2280"/>
      <c r="CO313" s="2280"/>
      <c r="CP313" s="2280"/>
      <c r="CQ313" s="2280"/>
      <c r="CR313" s="2280"/>
      <c r="CS313" s="2280"/>
      <c r="CT313" s="276"/>
      <c r="CU313" s="276"/>
      <c r="CV313" s="276"/>
      <c r="CW313" s="276"/>
    </row>
    <row r="314" spans="2:112" outlineLevel="1" x14ac:dyDescent="0.25">
      <c r="D314" s="1492"/>
      <c r="G314" s="1470"/>
      <c r="H314" s="1493"/>
      <c r="M314" s="1473"/>
      <c r="V314" s="2280"/>
      <c r="W314" s="2280"/>
      <c r="X314" s="2280"/>
      <c r="Y314" s="2280"/>
      <c r="Z314" s="2280"/>
      <c r="AA314" s="2280"/>
      <c r="AB314" s="2280"/>
      <c r="AC314" s="2280"/>
      <c r="AD314" s="2280"/>
      <c r="AE314" s="2280"/>
      <c r="AF314" s="2280"/>
      <c r="AG314" s="2280"/>
      <c r="AH314" s="2280"/>
      <c r="AI314" s="2280"/>
      <c r="AJ314" s="2280"/>
      <c r="AK314" s="2280"/>
      <c r="AL314" s="2280"/>
      <c r="AM314" s="2280"/>
      <c r="AN314" s="2280"/>
      <c r="AO314" s="2280"/>
      <c r="AP314" s="2280"/>
      <c r="AQ314" s="2280"/>
      <c r="AR314" s="2280"/>
      <c r="AS314" s="2280"/>
      <c r="AT314" s="2280"/>
      <c r="AU314" s="2280"/>
      <c r="AV314" s="2280"/>
      <c r="AW314" s="2280"/>
      <c r="AX314" s="2280"/>
      <c r="AY314" s="2280"/>
      <c r="AZ314" s="2280"/>
      <c r="BA314" s="2280"/>
      <c r="BB314" s="2280"/>
      <c r="BC314" s="2280"/>
      <c r="BD314" s="2280"/>
      <c r="BE314" s="2280"/>
      <c r="BF314" s="2280"/>
      <c r="BG314" s="2280"/>
      <c r="BH314" s="2280"/>
      <c r="BI314" s="2280"/>
      <c r="BJ314" s="2280"/>
      <c r="BK314" s="2280"/>
      <c r="BL314" s="2280"/>
      <c r="BM314" s="2280"/>
      <c r="BN314" s="2280"/>
      <c r="BO314" s="2280"/>
      <c r="BP314" s="2280"/>
      <c r="BQ314" s="2280"/>
      <c r="BR314" s="2280"/>
      <c r="BS314" s="2280"/>
      <c r="BT314" s="2280"/>
      <c r="BU314" s="2280"/>
      <c r="BV314" s="2280"/>
      <c r="BW314" s="2280"/>
      <c r="BX314" s="2280"/>
      <c r="BY314" s="2280"/>
      <c r="BZ314" s="2280"/>
      <c r="CA314" s="2280"/>
      <c r="CB314" s="2280"/>
      <c r="CC314" s="2280"/>
      <c r="CD314" s="2280"/>
      <c r="CE314" s="276"/>
      <c r="CF314" s="276"/>
      <c r="CG314" s="276"/>
      <c r="CH314" s="276"/>
      <c r="CI314" s="2280"/>
      <c r="CJ314" s="2280"/>
      <c r="CK314" s="2280"/>
      <c r="CL314" s="2280"/>
      <c r="CM314" s="2280"/>
      <c r="CN314" s="2280"/>
      <c r="CO314" s="2280"/>
      <c r="CP314" s="2280"/>
      <c r="CQ314" s="2280"/>
      <c r="CR314" s="2280"/>
      <c r="CS314" s="2280"/>
      <c r="CT314" s="276"/>
      <c r="CU314" s="276"/>
      <c r="CV314" s="276"/>
      <c r="CW314" s="276"/>
    </row>
    <row r="315" spans="2:112" outlineLevel="1" x14ac:dyDescent="0.25">
      <c r="D315" s="1492"/>
      <c r="G315" s="1470"/>
      <c r="H315" s="1493"/>
      <c r="M315" s="1473"/>
      <c r="V315" s="2280"/>
      <c r="W315" s="2280"/>
      <c r="X315" s="2280"/>
      <c r="Y315" s="2280"/>
      <c r="Z315" s="2280"/>
      <c r="AA315" s="2280"/>
      <c r="AB315" s="2280"/>
      <c r="AC315" s="2280"/>
      <c r="AD315" s="2280"/>
      <c r="AE315" s="2280"/>
      <c r="AF315" s="2280"/>
      <c r="AG315" s="2280"/>
      <c r="AH315" s="2280"/>
      <c r="AI315" s="2280"/>
      <c r="AJ315" s="2280"/>
      <c r="AK315" s="2280"/>
      <c r="AL315" s="2280"/>
      <c r="AM315" s="2280"/>
      <c r="AN315" s="2280"/>
      <c r="AO315" s="2280"/>
      <c r="AP315" s="2280"/>
      <c r="AQ315" s="2280"/>
      <c r="AR315" s="2280"/>
      <c r="AS315" s="2280"/>
      <c r="AT315" s="2280"/>
      <c r="AU315" s="2280"/>
      <c r="AV315" s="2280"/>
      <c r="AW315" s="2280"/>
      <c r="AX315" s="2280"/>
      <c r="AY315" s="2280"/>
      <c r="AZ315" s="2280"/>
      <c r="BA315" s="2280"/>
      <c r="BB315" s="2280"/>
      <c r="BC315" s="2280"/>
      <c r="BD315" s="2280"/>
      <c r="BE315" s="2280"/>
      <c r="BF315" s="2280"/>
      <c r="BG315" s="2280"/>
      <c r="BH315" s="2280"/>
      <c r="BI315" s="2280"/>
      <c r="BJ315" s="2280"/>
      <c r="BK315" s="2280"/>
      <c r="BL315" s="2280"/>
      <c r="BM315" s="2280"/>
      <c r="BN315" s="2280"/>
      <c r="BO315" s="2280"/>
      <c r="BP315" s="2280"/>
      <c r="BQ315" s="2280"/>
      <c r="BR315" s="2280"/>
      <c r="BS315" s="2280"/>
      <c r="BT315" s="2280"/>
      <c r="BU315" s="2280"/>
      <c r="BV315" s="2280"/>
      <c r="BW315" s="2280"/>
      <c r="BX315" s="2280"/>
      <c r="BY315" s="2280"/>
      <c r="BZ315" s="2280"/>
      <c r="CA315" s="2280"/>
      <c r="CB315" s="2280"/>
      <c r="CC315" s="2280"/>
      <c r="CD315" s="2280"/>
      <c r="CE315" s="276"/>
      <c r="CF315" s="276"/>
      <c r="CG315" s="276"/>
      <c r="CH315" s="276"/>
      <c r="CI315" s="2280"/>
      <c r="CJ315" s="2280"/>
      <c r="CK315" s="2280"/>
      <c r="CL315" s="2280"/>
      <c r="CM315" s="2280"/>
      <c r="CN315" s="2280"/>
      <c r="CO315" s="2280"/>
      <c r="CP315" s="2280"/>
      <c r="CQ315" s="2280"/>
      <c r="CR315" s="2280"/>
      <c r="CS315" s="2280"/>
      <c r="CT315" s="276"/>
      <c r="CU315" s="276"/>
      <c r="CV315" s="276"/>
      <c r="CW315" s="276"/>
    </row>
    <row r="316" spans="2:112" outlineLevel="1" x14ac:dyDescent="0.25">
      <c r="D316" s="1492"/>
      <c r="G316" s="1470"/>
      <c r="H316" s="1493"/>
      <c r="V316" s="2280"/>
      <c r="W316" s="2280"/>
      <c r="X316" s="2280"/>
      <c r="Y316" s="2280"/>
      <c r="Z316" s="2280"/>
      <c r="AA316" s="2280"/>
      <c r="AB316" s="2280"/>
      <c r="AC316" s="2280"/>
      <c r="AD316" s="2280"/>
      <c r="AE316" s="2280"/>
      <c r="AF316" s="2280"/>
      <c r="AG316" s="2280"/>
      <c r="AH316" s="2280"/>
      <c r="AI316" s="2280"/>
      <c r="AJ316" s="2280"/>
      <c r="AK316" s="2280"/>
      <c r="AL316" s="2280"/>
      <c r="AM316" s="2280"/>
      <c r="AN316" s="2280"/>
      <c r="AO316" s="2280"/>
      <c r="AP316" s="2280"/>
      <c r="AQ316" s="2280"/>
      <c r="AR316" s="2280"/>
      <c r="AS316" s="2280"/>
      <c r="AT316" s="2280"/>
      <c r="AU316" s="2280"/>
      <c r="AV316" s="2280"/>
      <c r="AW316" s="2280"/>
      <c r="AX316" s="2280"/>
      <c r="AY316" s="2280"/>
      <c r="AZ316" s="2280"/>
      <c r="BA316" s="2280"/>
      <c r="BB316" s="2280"/>
      <c r="BC316" s="2280"/>
      <c r="BD316" s="2280"/>
      <c r="BE316" s="2280"/>
      <c r="BF316" s="2280"/>
      <c r="BG316" s="2280"/>
      <c r="BH316" s="2280"/>
      <c r="BI316" s="2280"/>
      <c r="BJ316" s="2280"/>
      <c r="BK316" s="2280"/>
      <c r="BL316" s="2280"/>
      <c r="BM316" s="2280"/>
      <c r="BN316" s="2280"/>
      <c r="BO316" s="2280"/>
      <c r="BP316" s="2280"/>
      <c r="BQ316" s="2280"/>
      <c r="BR316" s="2280"/>
      <c r="BS316" s="2280"/>
      <c r="BT316" s="2280"/>
      <c r="BU316" s="2280"/>
      <c r="BV316" s="2280"/>
      <c r="BW316" s="2280"/>
      <c r="BX316" s="2280"/>
      <c r="BY316" s="2280"/>
      <c r="BZ316" s="2280"/>
      <c r="CA316" s="2280"/>
      <c r="CB316" s="2280"/>
      <c r="CC316" s="2280"/>
      <c r="CD316" s="2280"/>
      <c r="CE316" s="276"/>
      <c r="CF316" s="276"/>
      <c r="CG316" s="276"/>
      <c r="CH316" s="276"/>
      <c r="CI316" s="2280"/>
      <c r="CJ316" s="2280"/>
      <c r="CK316" s="2280"/>
      <c r="CL316" s="2280"/>
      <c r="CM316" s="2280"/>
      <c r="CN316" s="2280"/>
      <c r="CO316" s="2280"/>
      <c r="CP316" s="2280"/>
      <c r="CQ316" s="2280"/>
      <c r="CR316" s="2280"/>
      <c r="CS316" s="2280"/>
      <c r="CT316" s="276"/>
      <c r="CU316" s="276"/>
      <c r="CV316" s="276"/>
      <c r="CW316" s="276"/>
    </row>
    <row r="317" spans="2:112" s="77" customFormat="1" outlineLevel="1" x14ac:dyDescent="0.25">
      <c r="C317" s="198"/>
      <c r="D317" s="1406" t="s">
        <v>17</v>
      </c>
      <c r="E317" s="1406" t="s">
        <v>119</v>
      </c>
      <c r="F317" s="112" t="s">
        <v>248</v>
      </c>
      <c r="G317" s="1406" t="s">
        <v>249</v>
      </c>
      <c r="H317" s="1406" t="s">
        <v>250</v>
      </c>
      <c r="I317" s="1406" t="s">
        <v>251</v>
      </c>
      <c r="J317" s="112" t="s">
        <v>252</v>
      </c>
      <c r="K317" s="112" t="s">
        <v>253</v>
      </c>
      <c r="L317" s="1406" t="s">
        <v>254</v>
      </c>
      <c r="M317" s="1406" t="s">
        <v>255</v>
      </c>
      <c r="N317" s="463"/>
      <c r="O317" s="463"/>
      <c r="P317" s="463"/>
      <c r="Q317" s="463"/>
      <c r="R317" s="463"/>
      <c r="S317" s="463"/>
      <c r="T317" s="463"/>
      <c r="U317" s="463"/>
      <c r="DB317" s="97"/>
    </row>
    <row r="318" spans="2:112" outlineLevel="1" x14ac:dyDescent="0.25">
      <c r="D318" s="1494" t="str">
        <f>C308</f>
        <v>803050_2019_12_</v>
      </c>
      <c r="E318" s="1494" t="str">
        <f>E308</f>
        <v>Learning Thermostat</v>
      </c>
      <c r="F318" s="1566">
        <v>10</v>
      </c>
      <c r="G318" s="1551">
        <v>1053</v>
      </c>
      <c r="H318" s="1567">
        <v>12000</v>
      </c>
      <c r="I318" s="1568">
        <v>0.16250000000000001</v>
      </c>
      <c r="J318" s="1551">
        <v>1060</v>
      </c>
      <c r="K318" s="1547">
        <v>2</v>
      </c>
      <c r="L318" s="1567">
        <v>12000</v>
      </c>
      <c r="M318" s="1568">
        <v>0.125</v>
      </c>
    </row>
    <row r="321" spans="2:109" s="50" customFormat="1" ht="30" x14ac:dyDescent="0.25">
      <c r="B321" s="51"/>
      <c r="C321" s="52" t="s">
        <v>17</v>
      </c>
      <c r="D321" s="52" t="s">
        <v>18</v>
      </c>
      <c r="E321" s="1435" t="s">
        <v>19</v>
      </c>
      <c r="F321" s="1435" t="s">
        <v>197</v>
      </c>
      <c r="G321" s="1435" t="s">
        <v>21</v>
      </c>
      <c r="H321" s="1435" t="s">
        <v>22</v>
      </c>
      <c r="I321" s="1435" t="s">
        <v>23</v>
      </c>
      <c r="J321" s="1435" t="s">
        <v>24</v>
      </c>
      <c r="K321" s="1435" t="s">
        <v>256</v>
      </c>
      <c r="L321" s="52" t="s">
        <v>26</v>
      </c>
      <c r="M321" s="1470"/>
      <c r="N321" s="1470"/>
      <c r="O321" s="1470"/>
      <c r="P321" s="1480"/>
      <c r="Q321" s="1480"/>
      <c r="R321" s="1480"/>
      <c r="S321" s="1480"/>
      <c r="T321" s="1480"/>
      <c r="U321" s="1480"/>
      <c r="V321" s="55" t="s">
        <v>27</v>
      </c>
      <c r="W321" s="56">
        <f>$W$8</f>
        <v>43252</v>
      </c>
      <c r="X321" s="56">
        <f>$X$8</f>
        <v>43465</v>
      </c>
      <c r="Y321" s="56">
        <f>$Y$8</f>
        <v>43800</v>
      </c>
      <c r="Z321" s="56">
        <f>$Z$8</f>
        <v>43862</v>
      </c>
      <c r="AA321" s="56">
        <f>$AA$8</f>
        <v>44013</v>
      </c>
      <c r="AB321" s="56">
        <v>44166</v>
      </c>
      <c r="AC321" s="56" t="str">
        <f>$AC$8</f>
        <v>-</v>
      </c>
      <c r="AD321" s="56" t="str">
        <f>$AD$8</f>
        <v>-</v>
      </c>
      <c r="AE321" s="56" t="str">
        <f>$AE$8</f>
        <v>-</v>
      </c>
      <c r="AF321" s="56" t="str">
        <f>$AF$8</f>
        <v>-</v>
      </c>
      <c r="AG321" s="56" t="str">
        <f>$AG$8</f>
        <v>-</v>
      </c>
      <c r="AH321"/>
      <c r="AI321" s="55" t="s">
        <v>27</v>
      </c>
      <c r="AJ321" s="56">
        <v>43252</v>
      </c>
      <c r="AK321" s="56">
        <f>$X$8</f>
        <v>43465</v>
      </c>
      <c r="AL321" s="56">
        <f>$Y$8</f>
        <v>43800</v>
      </c>
      <c r="AM321" s="56">
        <f>$Z$8</f>
        <v>43862</v>
      </c>
      <c r="AN321" s="56">
        <f>$AA$8</f>
        <v>44013</v>
      </c>
      <c r="AO321" s="56">
        <f>$AB$8</f>
        <v>44166</v>
      </c>
      <c r="AP321" s="56" t="str">
        <f>$AC$8</f>
        <v>-</v>
      </c>
      <c r="AQ321" s="56" t="str">
        <f>$AD$8</f>
        <v>-</v>
      </c>
      <c r="AR321" s="56" t="str">
        <f>$AE$8</f>
        <v>-</v>
      </c>
      <c r="AS321" s="56" t="str">
        <f>$AF$8</f>
        <v>-</v>
      </c>
      <c r="AT321" s="29"/>
      <c r="AU321" s="55" t="s">
        <v>27</v>
      </c>
      <c r="AV321" s="56">
        <v>43252</v>
      </c>
      <c r="AW321" s="56">
        <f>$X$8</f>
        <v>43465</v>
      </c>
      <c r="AX321" s="56">
        <f>$Y$8</f>
        <v>43800</v>
      </c>
      <c r="AY321" s="56">
        <f>$Z$8</f>
        <v>43862</v>
      </c>
      <c r="AZ321" s="56">
        <f>$AA$8</f>
        <v>44013</v>
      </c>
      <c r="BA321" s="56">
        <v>44166</v>
      </c>
      <c r="BB321" s="56" t="str">
        <f>$AC$8</f>
        <v>-</v>
      </c>
      <c r="BC321" s="56" t="str">
        <f>$AD$8</f>
        <v>-</v>
      </c>
      <c r="BD321" s="56" t="str">
        <f>$AE$8</f>
        <v>-</v>
      </c>
      <c r="BE321" s="56" t="str">
        <f>$AF$8</f>
        <v>-</v>
      </c>
      <c r="DB321" s="57" t="str">
        <f>$DB$8</f>
        <v>TRC (2020)</v>
      </c>
      <c r="DC321" s="93" t="str">
        <f>$DC$8</f>
        <v>Benefit Lookup</v>
      </c>
      <c r="DD321" s="93" t="str">
        <f>$DD$8</f>
        <v>Benefits (2019 $)</v>
      </c>
      <c r="DE321" s="93" t="str">
        <f>$DE$8</f>
        <v>Incremental Cost (2019 $)</v>
      </c>
    </row>
    <row r="322" spans="2:109" x14ac:dyDescent="0.25">
      <c r="C322" s="2969" t="s">
        <v>3445</v>
      </c>
      <c r="D322" s="1558" t="s">
        <v>34</v>
      </c>
      <c r="E322" s="2343" t="s">
        <v>3423</v>
      </c>
      <c r="F322" s="87">
        <f>ROUND((F335/G335)*H335*I335,2)</f>
        <v>1289.6400000000001</v>
      </c>
      <c r="G322" s="1482" t="s">
        <v>246</v>
      </c>
      <c r="H322" s="1483">
        <f>VLOOKUP(G322,'CP FACTORS'!$A$26:$B$38,2,FALSE)</f>
        <v>9.1068400000000004E-4</v>
      </c>
      <c r="I322" s="1502">
        <f>ROUND(H322*F322,6)</f>
        <v>1.174455</v>
      </c>
      <c r="J322" s="1548">
        <v>15</v>
      </c>
      <c r="K322" s="1503">
        <v>179</v>
      </c>
      <c r="L322" s="1569" t="s">
        <v>257</v>
      </c>
      <c r="V322" s="60" t="str">
        <f>F321</f>
        <v>kWh Annual Savings (per HP)</v>
      </c>
      <c r="W322" s="70">
        <v>1289.6420430107526</v>
      </c>
      <c r="X322" s="70">
        <v>1289.6420430107526</v>
      </c>
      <c r="Y322" s="70">
        <v>1289.6420430107526</v>
      </c>
      <c r="Z322" s="2294">
        <v>1289.6420430107526</v>
      </c>
      <c r="AA322" s="2294">
        <v>1289.6420430107526</v>
      </c>
      <c r="AB322" s="2372">
        <v>1289.6400000000001</v>
      </c>
      <c r="AC322" s="63"/>
      <c r="AD322" s="63"/>
      <c r="AE322" s="63"/>
      <c r="AF322" s="63"/>
      <c r="AG322" s="63"/>
      <c r="AH322" s="64"/>
      <c r="AI322" s="60" t="s">
        <v>24</v>
      </c>
      <c r="AJ322" s="65">
        <v>15</v>
      </c>
      <c r="AK322" s="65">
        <v>15</v>
      </c>
      <c r="AL322" s="65">
        <v>15</v>
      </c>
      <c r="AM322" s="2290">
        <v>15</v>
      </c>
      <c r="AN322" s="2290">
        <v>15</v>
      </c>
      <c r="AO322" s="2504">
        <f>J322</f>
        <v>15</v>
      </c>
      <c r="AP322" s="63"/>
      <c r="AQ322" s="63"/>
      <c r="AR322" s="63"/>
      <c r="AS322" s="63"/>
      <c r="AT322" s="29"/>
      <c r="AU322" s="60" t="str">
        <f>K321</f>
        <v>Inc. Cost (per HP)</v>
      </c>
      <c r="AV322" s="113">
        <v>179</v>
      </c>
      <c r="AW322" s="113">
        <v>179</v>
      </c>
      <c r="AX322" s="113">
        <v>179</v>
      </c>
      <c r="AY322" s="2304">
        <v>179</v>
      </c>
      <c r="AZ322" s="2304">
        <v>179</v>
      </c>
      <c r="BA322" s="2357">
        <v>179</v>
      </c>
      <c r="BB322" s="63"/>
      <c r="BC322" s="63"/>
      <c r="BD322" s="63"/>
      <c r="BE322" s="63"/>
      <c r="DB322" s="67">
        <f>(DD322)/(DE322)</f>
        <v>10.881786166946494</v>
      </c>
      <c r="DC322" s="68" t="str">
        <f>CONCATENATE(G322," ",J322," Year EUL")</f>
        <v>Cooling BUS 15 Year EUL</v>
      </c>
      <c r="DD322" s="94">
        <f>(INDEX('Avoided Cost Benefits'!$C$4:$C$857,MATCH(DC322,'Avoided Cost Benefits'!$A$4:$A$857,0)))*F322</f>
        <v>1838.4518394369252</v>
      </c>
      <c r="DE322" s="69">
        <f>K322/(1.0595^(2020-2019))</f>
        <v>168.94761680037752</v>
      </c>
    </row>
    <row r="323" spans="2:109" x14ac:dyDescent="0.25">
      <c r="C323" s="2969" t="s">
        <v>3446</v>
      </c>
      <c r="D323" s="1558" t="s">
        <v>34</v>
      </c>
      <c r="E323" s="2343" t="s">
        <v>3424</v>
      </c>
      <c r="F323" s="87">
        <f>ROUND((F336/G336)*H336*I336,2)</f>
        <v>1696.57</v>
      </c>
      <c r="G323" s="1482" t="s">
        <v>258</v>
      </c>
      <c r="H323" s="1483">
        <f>VLOOKUP(G323,'CP FACTORS'!$A$26:$B$38,2,FALSE)</f>
        <v>4.4398300000000001E-4</v>
      </c>
      <c r="I323" s="1502">
        <f>ROUND(H323*F323,6)</f>
        <v>0.75324800000000003</v>
      </c>
      <c r="J323" s="1548">
        <v>15</v>
      </c>
      <c r="K323" s="1503">
        <f>K322</f>
        <v>179</v>
      </c>
      <c r="L323" s="1569" t="s">
        <v>257</v>
      </c>
      <c r="V323" s="60" t="str">
        <f>V322</f>
        <v>kWh Annual Savings (per HP)</v>
      </c>
      <c r="W323" s="70">
        <v>1696.5749462365593</v>
      </c>
      <c r="X323" s="70">
        <v>1696.5749462365593</v>
      </c>
      <c r="Y323" s="70">
        <v>1696.5749462365593</v>
      </c>
      <c r="Z323" s="2294">
        <v>1696.5749462365593</v>
      </c>
      <c r="AA323" s="2294">
        <v>1696.5749462365593</v>
      </c>
      <c r="AB323" s="2372">
        <v>1696.57</v>
      </c>
      <c r="AC323" s="63"/>
      <c r="AD323" s="63"/>
      <c r="AE323" s="63"/>
      <c r="AF323" s="63"/>
      <c r="AG323" s="63"/>
      <c r="AH323" s="64"/>
      <c r="AI323" s="60" t="s">
        <v>24</v>
      </c>
      <c r="AJ323" s="65">
        <v>15</v>
      </c>
      <c r="AK323" s="65">
        <v>15</v>
      </c>
      <c r="AL323" s="65">
        <v>15</v>
      </c>
      <c r="AM323" s="2290">
        <v>15</v>
      </c>
      <c r="AN323" s="2290">
        <v>15</v>
      </c>
      <c r="AO323" s="2504">
        <f t="shared" ref="AO323:AO325" si="122">J323</f>
        <v>15</v>
      </c>
      <c r="AP323" s="63"/>
      <c r="AQ323" s="63"/>
      <c r="AR323" s="63"/>
      <c r="AS323" s="63"/>
      <c r="AT323" s="29"/>
      <c r="AU323" s="60" t="str">
        <f>AU322</f>
        <v>Inc. Cost (per HP)</v>
      </c>
      <c r="AV323" s="113">
        <f>AV322</f>
        <v>179</v>
      </c>
      <c r="AW323" s="113">
        <f>AW322</f>
        <v>179</v>
      </c>
      <c r="AX323" s="113">
        <v>179</v>
      </c>
      <c r="AY323" s="2304">
        <v>179</v>
      </c>
      <c r="AZ323" s="2304">
        <v>179</v>
      </c>
      <c r="BA323" s="2357">
        <v>179</v>
      </c>
      <c r="BB323" s="63"/>
      <c r="BC323" s="63"/>
      <c r="BD323" s="63"/>
      <c r="BE323" s="63"/>
      <c r="DB323" s="74">
        <f>(DD323)/(DE323)</f>
        <v>9.0833950189584112</v>
      </c>
      <c r="DC323" s="72" t="str">
        <f>CONCATENATE(G323," ",J323," Year EUL")</f>
        <v>HVAC BUS 15 Year EUL</v>
      </c>
      <c r="DD323" s="96">
        <f>(INDEX('Avoided Cost Benefits'!$C$4:$C$857,MATCH(DC323,'Avoided Cost Benefits'!$A$4:$A$857,0)))*F323</f>
        <v>1534.6179409094434</v>
      </c>
      <c r="DE323" s="75">
        <f>K323/(1.0595^(2020-2019))</f>
        <v>168.94761680037752</v>
      </c>
    </row>
    <row r="324" spans="2:109" x14ac:dyDescent="0.25">
      <c r="C324" s="2969" t="s">
        <v>3443</v>
      </c>
      <c r="D324" s="1558" t="s">
        <v>34</v>
      </c>
      <c r="E324" s="2343" t="s">
        <v>3425</v>
      </c>
      <c r="F324" s="87">
        <f t="shared" ref="F324:F325" si="123">ROUND((F337/G337)*H337*I337,2)</f>
        <v>1289.6400000000001</v>
      </c>
      <c r="G324" s="1482" t="s">
        <v>246</v>
      </c>
      <c r="H324" s="1483">
        <f>VLOOKUP(G324,'CP FACTORS'!$A$26:$B$38,2,FALSE)</f>
        <v>9.1068400000000004E-4</v>
      </c>
      <c r="I324" s="1502">
        <f t="shared" ref="I324:I325" si="124">ROUND(H324*F324,6)</f>
        <v>1.174455</v>
      </c>
      <c r="J324" s="1548">
        <v>15</v>
      </c>
      <c r="K324" s="1503">
        <v>179</v>
      </c>
      <c r="L324" s="1569" t="s">
        <v>257</v>
      </c>
      <c r="V324" s="2243" t="str">
        <f t="shared" ref="V324:V325" si="125">V323</f>
        <v>kWh Annual Savings (per HP)</v>
      </c>
      <c r="W324" s="70"/>
      <c r="X324" s="70"/>
      <c r="Y324" s="70"/>
      <c r="Z324" s="63"/>
      <c r="AA324" s="131">
        <v>1289.6400000000001</v>
      </c>
      <c r="AB324" s="2372">
        <v>1289.6400000000001</v>
      </c>
      <c r="AC324" s="63"/>
      <c r="AD324" s="63"/>
      <c r="AE324" s="63"/>
      <c r="AF324" s="63"/>
      <c r="AG324" s="63"/>
      <c r="AH324" s="64"/>
      <c r="AI324" s="2243" t="s">
        <v>24</v>
      </c>
      <c r="AJ324" s="65"/>
      <c r="AK324" s="65"/>
      <c r="AL324" s="65"/>
      <c r="AM324" s="63"/>
      <c r="AN324" s="133">
        <v>15</v>
      </c>
      <c r="AO324" s="2504">
        <f t="shared" si="122"/>
        <v>15</v>
      </c>
      <c r="AP324" s="63"/>
      <c r="AQ324" s="63"/>
      <c r="AR324" s="63"/>
      <c r="AS324" s="63"/>
      <c r="AT324" s="29"/>
      <c r="AU324" s="2243" t="str">
        <f t="shared" ref="AU324:AU325" si="126">AU323</f>
        <v>Inc. Cost (per HP)</v>
      </c>
      <c r="AV324" s="113"/>
      <c r="AW324" s="113"/>
      <c r="AX324" s="113"/>
      <c r="AY324" s="63"/>
      <c r="AZ324" s="2275">
        <v>179</v>
      </c>
      <c r="BA324" s="2357">
        <v>179</v>
      </c>
      <c r="BB324" s="63"/>
      <c r="BC324" s="63"/>
      <c r="BD324" s="63"/>
      <c r="BE324" s="63"/>
      <c r="DB324" s="67">
        <f>(DD324)/(DE324)</f>
        <v>10.881786166946494</v>
      </c>
      <c r="DC324" s="2242" t="str">
        <f>CONCATENATE(G324," ",J324," Year EUL")</f>
        <v>Cooling BUS 15 Year EUL</v>
      </c>
      <c r="DD324" s="94">
        <f>(INDEX('Avoided Cost Benefits'!$C$4:$C$857,MATCH(DC324,'Avoided Cost Benefits'!$A$4:$A$857,0)))*F324</f>
        <v>1838.4518394369252</v>
      </c>
      <c r="DE324" s="69">
        <f>K324/(1.0595^(2020-2019))</f>
        <v>168.94761680037752</v>
      </c>
    </row>
    <row r="325" spans="2:109" x14ac:dyDescent="0.25">
      <c r="C325" s="2969" t="s">
        <v>3444</v>
      </c>
      <c r="D325" s="1558" t="s">
        <v>34</v>
      </c>
      <c r="E325" s="2343" t="s">
        <v>3426</v>
      </c>
      <c r="F325" s="87">
        <f t="shared" si="123"/>
        <v>479.48</v>
      </c>
      <c r="G325" s="1482" t="s">
        <v>258</v>
      </c>
      <c r="H325" s="1483">
        <f>VLOOKUP(G325,'CP FACTORS'!$A$26:$B$38,2,FALSE)</f>
        <v>4.4398300000000001E-4</v>
      </c>
      <c r="I325" s="1502">
        <f t="shared" si="124"/>
        <v>0.21288099999999999</v>
      </c>
      <c r="J325" s="1548">
        <v>15</v>
      </c>
      <c r="K325" s="1503">
        <v>179</v>
      </c>
      <c r="L325" s="1569" t="s">
        <v>257</v>
      </c>
      <c r="V325" s="2243" t="str">
        <f t="shared" si="125"/>
        <v>kWh Annual Savings (per HP)</v>
      </c>
      <c r="W325" s="70"/>
      <c r="X325" s="70"/>
      <c r="Y325" s="70"/>
      <c r="Z325" s="63"/>
      <c r="AA325" s="131">
        <v>479.48</v>
      </c>
      <c r="AB325" s="2372">
        <v>479.48</v>
      </c>
      <c r="AC325" s="63"/>
      <c r="AD325" s="63"/>
      <c r="AE325" s="63"/>
      <c r="AF325" s="63"/>
      <c r="AG325" s="63"/>
      <c r="AH325" s="64"/>
      <c r="AI325" s="2243" t="s">
        <v>24</v>
      </c>
      <c r="AJ325" s="65"/>
      <c r="AK325" s="65"/>
      <c r="AL325" s="65"/>
      <c r="AM325" s="63"/>
      <c r="AN325" s="133">
        <v>15</v>
      </c>
      <c r="AO325" s="2504">
        <f t="shared" si="122"/>
        <v>15</v>
      </c>
      <c r="AP325" s="63"/>
      <c r="AQ325" s="63"/>
      <c r="AR325" s="63"/>
      <c r="AS325" s="63"/>
      <c r="AT325" s="29"/>
      <c r="AU325" s="2243" t="str">
        <f t="shared" si="126"/>
        <v>Inc. Cost (per HP)</v>
      </c>
      <c r="AV325" s="113"/>
      <c r="AW325" s="113"/>
      <c r="AX325" s="113"/>
      <c r="AY325" s="63"/>
      <c r="AZ325" s="2275">
        <v>179</v>
      </c>
      <c r="BA325" s="2357">
        <v>179</v>
      </c>
      <c r="BB325" s="63"/>
      <c r="BC325" s="63"/>
      <c r="BD325" s="63"/>
      <c r="BE325" s="63"/>
      <c r="DB325" s="74">
        <f>(DD325)/(DE325)</f>
        <v>2.5671244002252656</v>
      </c>
      <c r="DC325" s="72" t="str">
        <f>CONCATENATE(G325," ",J325," Year EUL")</f>
        <v>HVAC BUS 15 Year EUL</v>
      </c>
      <c r="DD325" s="96">
        <f>(INDEX('Avoided Cost Benefits'!$C$4:$C$857,MATCH(DC325,'Avoided Cost Benefits'!$A$4:$A$857,0)))*F325</f>
        <v>433.70954944815713</v>
      </c>
      <c r="DE325" s="75">
        <f>K325/(1.0595^(2020-2019))</f>
        <v>168.94761680037752</v>
      </c>
    </row>
    <row r="326" spans="2:109" outlineLevel="1" x14ac:dyDescent="0.25">
      <c r="E326" s="1473"/>
      <c r="F326" s="1473"/>
      <c r="G326" s="1473"/>
      <c r="H326" s="1491"/>
      <c r="I326" s="1473"/>
      <c r="J326" s="1473"/>
      <c r="K326" s="1473"/>
      <c r="L326" s="1473"/>
    </row>
    <row r="327" spans="2:109" outlineLevel="1" x14ac:dyDescent="0.25">
      <c r="D327" s="1473" t="s">
        <v>70</v>
      </c>
      <c r="E327" s="1473"/>
      <c r="F327" s="1473"/>
      <c r="G327" s="1473"/>
      <c r="H327" s="1491"/>
      <c r="I327" s="1473"/>
      <c r="J327" s="1473"/>
      <c r="K327" s="1570"/>
      <c r="L327" s="1473"/>
    </row>
    <row r="328" spans="2:109" outlineLevel="1" x14ac:dyDescent="0.25">
      <c r="D328" s="1492"/>
      <c r="G328" s="1515"/>
      <c r="H328" s="1516"/>
      <c r="L328" s="1473"/>
    </row>
    <row r="329" spans="2:109" outlineLevel="1" x14ac:dyDescent="0.25">
      <c r="D329" s="1549"/>
      <c r="E329" s="973"/>
      <c r="G329" s="1515"/>
      <c r="H329" s="1516"/>
      <c r="L329" s="1473"/>
    </row>
    <row r="330" spans="2:109" outlineLevel="1" x14ac:dyDescent="0.25">
      <c r="D330" s="1549"/>
      <c r="E330" s="973"/>
      <c r="G330" s="1470"/>
      <c r="H330" s="1493"/>
      <c r="L330" s="1473"/>
      <c r="M330" s="1473"/>
    </row>
    <row r="331" spans="2:109" outlineLevel="1" x14ac:dyDescent="0.25">
      <c r="D331" s="1492"/>
      <c r="G331" s="1470"/>
      <c r="H331" s="1493"/>
      <c r="L331" s="1473"/>
      <c r="M331" s="1473"/>
    </row>
    <row r="332" spans="2:109" outlineLevel="1" x14ac:dyDescent="0.25">
      <c r="D332" s="1492"/>
      <c r="G332" s="1470"/>
      <c r="H332" s="1493"/>
      <c r="L332" s="1473"/>
      <c r="M332" s="1473"/>
    </row>
    <row r="333" spans="2:109" outlineLevel="1" x14ac:dyDescent="0.25">
      <c r="D333" s="1492"/>
      <c r="G333" s="1470"/>
      <c r="H333" s="1493"/>
      <c r="L333" s="1473"/>
    </row>
    <row r="334" spans="2:109" s="77" customFormat="1" outlineLevel="1" x14ac:dyDescent="0.25">
      <c r="C334" s="198"/>
      <c r="D334" s="1406" t="s">
        <v>17</v>
      </c>
      <c r="E334" s="1406" t="s">
        <v>119</v>
      </c>
      <c r="F334" s="1406" t="s">
        <v>259</v>
      </c>
      <c r="G334" s="1406" t="s">
        <v>260</v>
      </c>
      <c r="H334" s="1406" t="s">
        <v>77</v>
      </c>
      <c r="I334" s="1406" t="s">
        <v>78</v>
      </c>
      <c r="J334" s="463"/>
      <c r="K334" s="463"/>
      <c r="L334" s="1473"/>
      <c r="M334" s="463"/>
      <c r="N334" s="463"/>
      <c r="O334" s="463"/>
      <c r="P334" s="463"/>
      <c r="Q334" s="463"/>
      <c r="R334" s="463"/>
      <c r="S334" s="463"/>
      <c r="T334" s="463"/>
      <c r="U334" s="463"/>
      <c r="DB334" s="97"/>
    </row>
    <row r="335" spans="2:109" outlineLevel="1" x14ac:dyDescent="0.25">
      <c r="D335" s="1494" t="str">
        <f>C322</f>
        <v>803100_2020_07_</v>
      </c>
      <c r="E335" s="1494" t="str">
        <f>E322</f>
        <v>VFD on Chilled Water Pump &gt;= 1HP</v>
      </c>
      <c r="F335" s="1547">
        <v>1</v>
      </c>
      <c r="G335" s="1571">
        <v>0.93</v>
      </c>
      <c r="H335" s="1551">
        <v>3539</v>
      </c>
      <c r="I335" s="1568">
        <v>0.33889999999999998</v>
      </c>
      <c r="L335" s="1473"/>
    </row>
    <row r="336" spans="2:109" outlineLevel="1" x14ac:dyDescent="0.25">
      <c r="D336" s="1494" t="str">
        <f>C323</f>
        <v>803150_2020_07_</v>
      </c>
      <c r="E336" s="1494" t="str">
        <f>E323</f>
        <v>VFD on Hot Water Pump &gt;= 1HP</v>
      </c>
      <c r="F336" s="1547">
        <v>1</v>
      </c>
      <c r="G336" s="1571">
        <v>0.93</v>
      </c>
      <c r="H336" s="1551">
        <v>4411</v>
      </c>
      <c r="I336" s="1568">
        <v>0.35770000000000002</v>
      </c>
      <c r="L336" s="1473"/>
    </row>
    <row r="337" spans="2:106" outlineLevel="1" x14ac:dyDescent="0.25">
      <c r="D337" s="2314" t="str">
        <f>C324</f>
        <v>803155_2020_07_</v>
      </c>
      <c r="E337" s="2314" t="str">
        <f t="shared" ref="E337:E338" si="127">E324</f>
        <v>VFD on Condenser Water Pump &gt;= 1HP</v>
      </c>
      <c r="F337" s="1547">
        <v>1</v>
      </c>
      <c r="G337" s="1571">
        <v>0.93</v>
      </c>
      <c r="H337" s="1551">
        <v>3539</v>
      </c>
      <c r="I337" s="1568">
        <v>0.33889999999999998</v>
      </c>
      <c r="L337" s="1473"/>
    </row>
    <row r="338" spans="2:106" outlineLevel="1" x14ac:dyDescent="0.25">
      <c r="D338" s="2314" t="str">
        <f>C325</f>
        <v>803160_2020_07_</v>
      </c>
      <c r="E338" s="2314" t="str">
        <f t="shared" si="127"/>
        <v>VFD on Cooling Tower Fan &gt;= 1HP</v>
      </c>
      <c r="F338" s="1547">
        <v>1</v>
      </c>
      <c r="G338" s="1571">
        <v>0.93</v>
      </c>
      <c r="H338" s="1551">
        <v>3539</v>
      </c>
      <c r="I338" s="1568">
        <v>0.126</v>
      </c>
      <c r="L338" s="1473"/>
    </row>
    <row r="341" spans="2:106" s="50" customFormat="1" ht="30" x14ac:dyDescent="0.25">
      <c r="B341" s="51"/>
      <c r="C341" s="52" t="s">
        <v>17</v>
      </c>
      <c r="D341" s="52" t="s">
        <v>18</v>
      </c>
      <c r="E341" s="1435" t="s">
        <v>19</v>
      </c>
      <c r="F341" s="1435" t="s">
        <v>197</v>
      </c>
      <c r="G341" s="1435" t="s">
        <v>21</v>
      </c>
      <c r="H341" s="1435" t="s">
        <v>22</v>
      </c>
      <c r="I341" s="1435" t="s">
        <v>23</v>
      </c>
      <c r="J341" s="1435" t="s">
        <v>24</v>
      </c>
      <c r="K341" s="1435" t="s">
        <v>256</v>
      </c>
      <c r="L341" s="52" t="s">
        <v>26</v>
      </c>
      <c r="M341" s="1470"/>
      <c r="N341" s="1470"/>
      <c r="O341" s="1470"/>
      <c r="P341" s="1480"/>
      <c r="Q341" s="1480"/>
      <c r="R341" s="1480"/>
      <c r="S341" s="1480"/>
      <c r="T341" s="1480"/>
      <c r="U341" s="1480"/>
      <c r="V341" s="55" t="s">
        <v>27</v>
      </c>
      <c r="W341" s="56">
        <f>$W$8</f>
        <v>43252</v>
      </c>
      <c r="X341" s="56">
        <f>$X$8</f>
        <v>43465</v>
      </c>
      <c r="Y341" s="56">
        <f>$Y$8</f>
        <v>43800</v>
      </c>
      <c r="Z341" s="56">
        <f>$Z$8</f>
        <v>43862</v>
      </c>
      <c r="AA341" s="56">
        <f>$AA$8</f>
        <v>44013</v>
      </c>
      <c r="AB341" s="56">
        <v>44166</v>
      </c>
      <c r="AC341" s="56" t="str">
        <f>$AC$8</f>
        <v>-</v>
      </c>
      <c r="AD341" s="56" t="str">
        <f>$AD$8</f>
        <v>-</v>
      </c>
      <c r="AE341" s="56" t="str">
        <f>$AE$8</f>
        <v>-</v>
      </c>
      <c r="AF341" s="56" t="str">
        <f>$AF$8</f>
        <v>-</v>
      </c>
      <c r="AG341" s="56" t="str">
        <f>$AG$8</f>
        <v>-</v>
      </c>
      <c r="AH341"/>
      <c r="AI341" s="55" t="s">
        <v>27</v>
      </c>
      <c r="AJ341" s="56">
        <v>43252</v>
      </c>
      <c r="AK341" s="56">
        <f>$X$8</f>
        <v>43465</v>
      </c>
      <c r="AL341" s="56">
        <f>$Y$8</f>
        <v>43800</v>
      </c>
      <c r="AM341" s="56">
        <f>$Z$8</f>
        <v>43862</v>
      </c>
      <c r="AN341" s="56">
        <f>$AA$8</f>
        <v>44013</v>
      </c>
      <c r="AO341" s="56">
        <f>$AB$8</f>
        <v>44166</v>
      </c>
      <c r="AP341" s="56" t="str">
        <f>$AC$8</f>
        <v>-</v>
      </c>
      <c r="AQ341" s="56" t="str">
        <f>$AD$8</f>
        <v>-</v>
      </c>
      <c r="AR341" s="56" t="str">
        <f>$AE$8</f>
        <v>-</v>
      </c>
      <c r="AS341" s="56" t="str">
        <f>$AF$8</f>
        <v>-</v>
      </c>
      <c r="AT341" s="29"/>
      <c r="AU341" s="55" t="s">
        <v>27</v>
      </c>
      <c r="AV341" s="56">
        <v>43252</v>
      </c>
      <c r="AW341" s="56">
        <f>$X$8</f>
        <v>43465</v>
      </c>
      <c r="AX341" s="56">
        <f>$Y$8</f>
        <v>43800</v>
      </c>
      <c r="AY341" s="56">
        <f>$Z$8</f>
        <v>43862</v>
      </c>
      <c r="AZ341" s="56">
        <f>$AA$8</f>
        <v>44013</v>
      </c>
      <c r="BA341" s="56">
        <v>44166</v>
      </c>
      <c r="BB341" s="56" t="str">
        <f>$AC$8</f>
        <v>-</v>
      </c>
      <c r="BC341" s="56" t="str">
        <f>$AD$8</f>
        <v>-</v>
      </c>
      <c r="BD341" s="56" t="str">
        <f>$AE$8</f>
        <v>-</v>
      </c>
      <c r="BE341" s="56" t="str">
        <f>$AF$8</f>
        <v>-</v>
      </c>
      <c r="DB341" s="114"/>
    </row>
    <row r="342" spans="2:106" x14ac:dyDescent="0.25">
      <c r="C342" s="2969" t="s">
        <v>3447</v>
      </c>
      <c r="D342" s="1558" t="s">
        <v>34</v>
      </c>
      <c r="E342" s="2343" t="s">
        <v>3440</v>
      </c>
      <c r="F342" s="183">
        <f>ROUND((((0.746*F368*(G368/H368))*I368*J368)-((0.746*F368*(G368/H368))*I368*K368))*(1+L368),2)</f>
        <v>939.75</v>
      </c>
      <c r="G342" s="1482" t="s">
        <v>258</v>
      </c>
      <c r="H342" s="1483">
        <f>VLOOKUP(G342,'CP FACTORS'!$A$26:$B$38,2,FALSE)</f>
        <v>4.4398300000000001E-4</v>
      </c>
      <c r="I342" s="1502">
        <f>ROUND(H342*F342,6)</f>
        <v>0.41723300000000002</v>
      </c>
      <c r="J342" s="1548">
        <v>15</v>
      </c>
      <c r="K342" s="1503">
        <v>168</v>
      </c>
      <c r="L342" s="1569" t="s">
        <v>257</v>
      </c>
      <c r="V342" s="60" t="str">
        <f>F341</f>
        <v>kWh Annual Savings (per HP)</v>
      </c>
      <c r="W342" s="105">
        <v>939.74820779247341</v>
      </c>
      <c r="X342" s="105">
        <v>939.74820779247341</v>
      </c>
      <c r="Y342" s="105">
        <v>939.74820779247341</v>
      </c>
      <c r="Z342" s="105">
        <v>939.74820779247341</v>
      </c>
      <c r="AA342" s="105">
        <v>939.74820779247341</v>
      </c>
      <c r="AB342" s="2372">
        <v>939.75</v>
      </c>
      <c r="AC342" s="63"/>
      <c r="AD342" s="63"/>
      <c r="AE342" s="63"/>
      <c r="AF342" s="63"/>
      <c r="AG342" s="63"/>
      <c r="AH342" s="64"/>
      <c r="AI342" s="60" t="s">
        <v>24</v>
      </c>
      <c r="AJ342" s="65">
        <v>15</v>
      </c>
      <c r="AK342" s="65">
        <v>15</v>
      </c>
      <c r="AL342" s="65">
        <v>15</v>
      </c>
      <c r="AM342" s="2290">
        <v>15</v>
      </c>
      <c r="AN342" s="2290">
        <v>15</v>
      </c>
      <c r="AO342" s="2504">
        <f>J342</f>
        <v>15</v>
      </c>
      <c r="AP342" s="63"/>
      <c r="AQ342" s="63"/>
      <c r="AR342" s="63"/>
      <c r="AS342" s="63"/>
      <c r="AT342" s="29"/>
      <c r="AU342" s="60" t="str">
        <f>K341</f>
        <v>Inc. Cost (per HP)</v>
      </c>
      <c r="AV342" s="66">
        <v>168</v>
      </c>
      <c r="AW342" s="66">
        <v>168</v>
      </c>
      <c r="AX342" s="66">
        <v>168</v>
      </c>
      <c r="AY342" s="2291">
        <v>168</v>
      </c>
      <c r="AZ342" s="2291">
        <v>168</v>
      </c>
      <c r="BA342" s="2357">
        <v>168</v>
      </c>
      <c r="BB342" s="63"/>
      <c r="BC342" s="63"/>
      <c r="BD342" s="63"/>
      <c r="BE342" s="63"/>
    </row>
    <row r="343" spans="2:106" outlineLevel="1" x14ac:dyDescent="0.25">
      <c r="E343" s="1473"/>
      <c r="F343" s="1473"/>
      <c r="G343" s="1473"/>
      <c r="H343" s="1491"/>
      <c r="I343" s="1473"/>
      <c r="J343" s="1473"/>
      <c r="M343" s="4102"/>
      <c r="N343" s="4102"/>
      <c r="O343" s="4102"/>
      <c r="P343" s="4102"/>
    </row>
    <row r="344" spans="2:106" outlineLevel="1" x14ac:dyDescent="0.25">
      <c r="D344" s="1473" t="s">
        <v>70</v>
      </c>
      <c r="E344" s="1473"/>
      <c r="F344" s="1473"/>
      <c r="G344" s="1473"/>
      <c r="H344" s="1491"/>
      <c r="I344" s="1473"/>
      <c r="J344" s="1473"/>
      <c r="K344" s="1473"/>
      <c r="M344" s="4102"/>
      <c r="N344" s="4102"/>
      <c r="O344" s="4102"/>
      <c r="P344" s="4102"/>
    </row>
    <row r="345" spans="2:106" outlineLevel="1" x14ac:dyDescent="0.25">
      <c r="D345" s="1492"/>
      <c r="G345" s="1515"/>
      <c r="H345" s="1516"/>
      <c r="M345" s="4102"/>
      <c r="N345" s="4102"/>
      <c r="O345" s="4102"/>
      <c r="P345" s="4102"/>
    </row>
    <row r="346" spans="2:106" outlineLevel="1" x14ac:dyDescent="0.25">
      <c r="D346" s="1549"/>
      <c r="E346" s="973"/>
      <c r="G346" s="1515"/>
      <c r="H346" s="1516"/>
      <c r="M346" s="4102"/>
      <c r="N346" s="4102"/>
      <c r="O346" s="4102"/>
      <c r="P346" s="4102"/>
    </row>
    <row r="347" spans="2:106" outlineLevel="1" x14ac:dyDescent="0.25">
      <c r="D347" s="1549"/>
      <c r="E347" s="973"/>
      <c r="G347" s="1470"/>
      <c r="H347" s="1493"/>
      <c r="M347" s="4102"/>
      <c r="N347" s="4102"/>
      <c r="O347" s="4102"/>
      <c r="P347" s="4102"/>
    </row>
    <row r="348" spans="2:106" outlineLevel="1" x14ac:dyDescent="0.25">
      <c r="D348" s="1492"/>
      <c r="G348" s="1470"/>
      <c r="H348" s="1493"/>
      <c r="M348" s="1473"/>
    </row>
    <row r="349" spans="2:106" outlineLevel="1" x14ac:dyDescent="0.25">
      <c r="D349" s="1492"/>
      <c r="G349" s="1470"/>
      <c r="H349" s="1493"/>
      <c r="M349" s="1473"/>
    </row>
    <row r="350" spans="2:106" ht="15.75" outlineLevel="1" thickBot="1" x14ac:dyDescent="0.3">
      <c r="D350" s="1492"/>
      <c r="G350" s="1470"/>
      <c r="H350" s="1493"/>
      <c r="M350" s="1473"/>
    </row>
    <row r="351" spans="2:106" outlineLevel="1" x14ac:dyDescent="0.25">
      <c r="D351" s="1492"/>
      <c r="E351" s="1572" t="s">
        <v>261</v>
      </c>
      <c r="F351" s="1573"/>
      <c r="G351" s="1470"/>
      <c r="H351" s="1493"/>
      <c r="M351" s="1473"/>
    </row>
    <row r="352" spans="2:106" outlineLevel="1" x14ac:dyDescent="0.25">
      <c r="D352" s="1492"/>
      <c r="E352" s="1574"/>
      <c r="F352" s="1575"/>
      <c r="G352" s="1470"/>
      <c r="H352" s="1493"/>
      <c r="M352" s="1473"/>
    </row>
    <row r="353" spans="3:106" outlineLevel="1" x14ac:dyDescent="0.25">
      <c r="D353" s="1492"/>
      <c r="E353" s="1576" t="s">
        <v>262</v>
      </c>
      <c r="F353" s="1575">
        <v>1</v>
      </c>
      <c r="G353" s="1470"/>
      <c r="H353" s="1493"/>
      <c r="M353" s="1473"/>
    </row>
    <row r="354" spans="3:106" outlineLevel="1" x14ac:dyDescent="0.25">
      <c r="D354" s="1492"/>
      <c r="E354" s="1576" t="s">
        <v>263</v>
      </c>
      <c r="F354" s="1575">
        <v>0.8</v>
      </c>
      <c r="G354" s="1470"/>
      <c r="H354" s="1493"/>
      <c r="M354" s="1473"/>
    </row>
    <row r="355" spans="3:106" outlineLevel="1" x14ac:dyDescent="0.25">
      <c r="D355" s="1492"/>
      <c r="E355" s="1576" t="s">
        <v>264</v>
      </c>
      <c r="F355" s="1575">
        <v>0.78</v>
      </c>
      <c r="G355" s="1470"/>
      <c r="H355" s="1493"/>
      <c r="M355" s="1473"/>
    </row>
    <row r="356" spans="3:106" outlineLevel="1" x14ac:dyDescent="0.25">
      <c r="D356" s="1492"/>
      <c r="E356" s="1576" t="s">
        <v>265</v>
      </c>
      <c r="F356" s="1575">
        <v>0.69</v>
      </c>
      <c r="G356" s="1470"/>
      <c r="H356" s="1493"/>
      <c r="M356" s="1473"/>
    </row>
    <row r="357" spans="3:106" outlineLevel="1" x14ac:dyDescent="0.25">
      <c r="D357" s="1492"/>
      <c r="E357" s="1576" t="s">
        <v>266</v>
      </c>
      <c r="F357" s="1575">
        <v>0.63</v>
      </c>
      <c r="G357" s="1470"/>
      <c r="H357" s="1493"/>
      <c r="M357" s="1473"/>
    </row>
    <row r="358" spans="3:106" outlineLevel="1" x14ac:dyDescent="0.25">
      <c r="D358" s="1492"/>
      <c r="E358" s="1576" t="s">
        <v>267</v>
      </c>
      <c r="F358" s="1575">
        <v>0.53</v>
      </c>
      <c r="G358" s="1470"/>
      <c r="H358" s="1493"/>
      <c r="M358" s="1473"/>
    </row>
    <row r="359" spans="3:106" outlineLevel="1" x14ac:dyDescent="0.25">
      <c r="D359" s="1492"/>
      <c r="E359" s="1576" t="s">
        <v>268</v>
      </c>
      <c r="F359" s="1575">
        <v>0.53</v>
      </c>
      <c r="G359" s="1470"/>
      <c r="H359" s="1493"/>
      <c r="M359" s="1473"/>
    </row>
    <row r="360" spans="3:106" outlineLevel="1" x14ac:dyDescent="0.25">
      <c r="D360" s="1492"/>
      <c r="E360" s="1576" t="s">
        <v>269</v>
      </c>
      <c r="F360" s="1575">
        <v>0.49</v>
      </c>
      <c r="G360" s="1470"/>
      <c r="H360" s="1493"/>
      <c r="M360" s="1473"/>
    </row>
    <row r="361" spans="3:106" outlineLevel="1" x14ac:dyDescent="0.25">
      <c r="D361" s="1492"/>
      <c r="E361" s="1576" t="s">
        <v>270</v>
      </c>
      <c r="F361" s="1575">
        <v>0.39</v>
      </c>
      <c r="G361" s="1470"/>
      <c r="H361" s="1493"/>
      <c r="M361" s="1473"/>
    </row>
    <row r="362" spans="3:106" outlineLevel="1" x14ac:dyDescent="0.25">
      <c r="D362" s="1492"/>
      <c r="E362" s="1576" t="s">
        <v>271</v>
      </c>
      <c r="F362" s="1575">
        <v>0.3</v>
      </c>
      <c r="G362" s="1470"/>
      <c r="H362" s="1493"/>
      <c r="M362" s="1473"/>
    </row>
    <row r="363" spans="3:106" ht="15.75" outlineLevel="1" thickBot="1" x14ac:dyDescent="0.3">
      <c r="D363" s="1492"/>
      <c r="E363" s="1577" t="s">
        <v>272</v>
      </c>
      <c r="F363" s="1578">
        <v>0.27</v>
      </c>
      <c r="G363" s="1470"/>
      <c r="H363" s="1493"/>
      <c r="M363" s="1473"/>
    </row>
    <row r="364" spans="3:106" outlineLevel="1" x14ac:dyDescent="0.25">
      <c r="D364" s="1492"/>
      <c r="G364" s="1470"/>
      <c r="H364" s="1493"/>
      <c r="M364" s="1473"/>
    </row>
    <row r="365" spans="3:106" outlineLevel="1" x14ac:dyDescent="0.25">
      <c r="D365" s="1492"/>
      <c r="G365" s="1470"/>
      <c r="H365" s="1493"/>
      <c r="M365" s="1473"/>
    </row>
    <row r="366" spans="3:106" outlineLevel="1" x14ac:dyDescent="0.25">
      <c r="D366" s="1492"/>
      <c r="G366" s="1470"/>
      <c r="H366" s="1493"/>
    </row>
    <row r="367" spans="3:106" s="77" customFormat="1" ht="30" outlineLevel="1" x14ac:dyDescent="0.25">
      <c r="C367" s="198"/>
      <c r="D367" s="1406" t="s">
        <v>17</v>
      </c>
      <c r="E367" s="1406" t="s">
        <v>119</v>
      </c>
      <c r="F367" s="1406" t="s">
        <v>273</v>
      </c>
      <c r="G367" s="1406" t="s">
        <v>274</v>
      </c>
      <c r="H367" s="1406" t="s">
        <v>275</v>
      </c>
      <c r="I367" s="1406" t="s">
        <v>276</v>
      </c>
      <c r="J367" s="1406" t="s">
        <v>277</v>
      </c>
      <c r="K367" s="1406" t="s">
        <v>278</v>
      </c>
      <c r="L367" s="1406" t="s">
        <v>279</v>
      </c>
      <c r="M367" s="463"/>
      <c r="N367" s="463"/>
      <c r="O367" s="463"/>
      <c r="P367" s="463"/>
      <c r="Q367" s="463"/>
      <c r="R367" s="463"/>
      <c r="S367" s="463"/>
      <c r="T367" s="463"/>
      <c r="U367" s="463"/>
      <c r="DB367" s="97"/>
    </row>
    <row r="368" spans="3:106" outlineLevel="1" x14ac:dyDescent="0.25">
      <c r="D368" s="1494" t="str">
        <f>C342</f>
        <v>803200_2020_07_</v>
      </c>
      <c r="E368" s="1494" t="str">
        <f>E342</f>
        <v xml:space="preserve"> VFD on HVAC Fans &gt;= 1HP </v>
      </c>
      <c r="F368" s="1547">
        <v>1</v>
      </c>
      <c r="G368" s="119">
        <v>0.65</v>
      </c>
      <c r="H368" s="1547">
        <v>0.93</v>
      </c>
      <c r="I368" s="1547">
        <v>6773</v>
      </c>
      <c r="J368" s="1547">
        <v>0.53</v>
      </c>
      <c r="K368" s="1547">
        <v>0.3</v>
      </c>
      <c r="L368" s="1579">
        <v>0.157</v>
      </c>
    </row>
    <row r="371" spans="2:109" s="50" customFormat="1" ht="30" x14ac:dyDescent="0.25">
      <c r="B371" s="51"/>
      <c r="C371" s="52" t="s">
        <v>17</v>
      </c>
      <c r="D371" s="52" t="s">
        <v>18</v>
      </c>
      <c r="E371" s="2355" t="s">
        <v>19</v>
      </c>
      <c r="F371" s="2355" t="s">
        <v>280</v>
      </c>
      <c r="G371" s="2355" t="s">
        <v>21</v>
      </c>
      <c r="H371" s="2355" t="s">
        <v>22</v>
      </c>
      <c r="I371" s="2355" t="s">
        <v>23</v>
      </c>
      <c r="J371" s="2355" t="s">
        <v>24</v>
      </c>
      <c r="K371" s="2355" t="s">
        <v>25</v>
      </c>
      <c r="L371" s="52" t="s">
        <v>26</v>
      </c>
      <c r="M371" s="1470"/>
      <c r="N371" s="1470"/>
      <c r="O371" s="1470"/>
      <c r="P371" s="1480"/>
      <c r="Q371" s="1480"/>
      <c r="R371" s="1480"/>
      <c r="S371" s="1480"/>
      <c r="T371" s="1480"/>
      <c r="U371" s="1480"/>
      <c r="V371" s="55" t="s">
        <v>27</v>
      </c>
      <c r="W371" s="56">
        <f>$W$8</f>
        <v>43252</v>
      </c>
      <c r="X371" s="56">
        <f>$X$8</f>
        <v>43465</v>
      </c>
      <c r="Y371" s="56">
        <f>$Y$8</f>
        <v>43800</v>
      </c>
      <c r="Z371" s="56">
        <f>$Z$8</f>
        <v>43862</v>
      </c>
      <c r="AA371" s="56">
        <f>$AA$8</f>
        <v>44013</v>
      </c>
      <c r="AB371" s="2284">
        <v>44166</v>
      </c>
      <c r="AC371" s="56" t="str">
        <f>$AC$8</f>
        <v>-</v>
      </c>
      <c r="AD371" s="56" t="str">
        <f>$AD$8</f>
        <v>-</v>
      </c>
      <c r="AE371" s="56" t="str">
        <f>$AE$8</f>
        <v>-</v>
      </c>
      <c r="AF371" s="56" t="str">
        <f>$AF$8</f>
        <v>-</v>
      </c>
      <c r="AG371" s="56" t="str">
        <f>$AG$8</f>
        <v>-</v>
      </c>
      <c r="AH371"/>
      <c r="AI371" s="55" t="s">
        <v>27</v>
      </c>
      <c r="AJ371" s="56">
        <v>43252</v>
      </c>
      <c r="AK371" s="56">
        <f>$X$8</f>
        <v>43465</v>
      </c>
      <c r="AL371" s="56">
        <f>$Y$8</f>
        <v>43800</v>
      </c>
      <c r="AM371" s="56">
        <f>$Z$8</f>
        <v>43862</v>
      </c>
      <c r="AN371" s="56">
        <f>$AA$8</f>
        <v>44013</v>
      </c>
      <c r="AO371" s="2284">
        <v>44166</v>
      </c>
      <c r="AP371" s="56" t="str">
        <f>$AC$8</f>
        <v>-</v>
      </c>
      <c r="AQ371" s="56" t="str">
        <f>$AD$8</f>
        <v>-</v>
      </c>
      <c r="AR371" s="56" t="str">
        <f>$AE$8</f>
        <v>-</v>
      </c>
      <c r="AS371" s="56" t="str">
        <f>$AF$8</f>
        <v>-</v>
      </c>
      <c r="AT371" s="29"/>
      <c r="AU371" s="55" t="s">
        <v>27</v>
      </c>
      <c r="AV371" s="56">
        <v>43252</v>
      </c>
      <c r="AW371" s="56">
        <f>$X$8</f>
        <v>43465</v>
      </c>
      <c r="AX371" s="56">
        <f>$Y$8</f>
        <v>43800</v>
      </c>
      <c r="AY371" s="56">
        <f>$Z$8</f>
        <v>43862</v>
      </c>
      <c r="AZ371" s="56">
        <f>$AA$8</f>
        <v>44013</v>
      </c>
      <c r="BA371" s="2284">
        <v>44166</v>
      </c>
      <c r="BB371" s="56" t="str">
        <f>$AC$8</f>
        <v>-</v>
      </c>
      <c r="BC371" s="56" t="str">
        <f>$AD$8</f>
        <v>-</v>
      </c>
      <c r="BD371" s="56" t="str">
        <f>$AE$8</f>
        <v>-</v>
      </c>
      <c r="BE371" s="56" t="str">
        <f>$AF$8</f>
        <v>-</v>
      </c>
      <c r="DB371" s="57" t="str">
        <f>$DB$8</f>
        <v>TRC (2020)</v>
      </c>
      <c r="DC371" s="93" t="str">
        <f>$DC$8</f>
        <v>Benefit Lookup</v>
      </c>
      <c r="DD371" s="93" t="str">
        <f>$DD$8</f>
        <v>Benefits (2019 $)</v>
      </c>
      <c r="DE371" s="93" t="str">
        <f>$DE$8</f>
        <v>Incremental Cost (2019 $)</v>
      </c>
    </row>
    <row r="372" spans="2:109" x14ac:dyDescent="0.25">
      <c r="C372" s="2356" t="s">
        <v>3448</v>
      </c>
      <c r="D372" s="1558" t="s">
        <v>34</v>
      </c>
      <c r="E372" s="1501" t="s">
        <v>281</v>
      </c>
      <c r="F372" s="2306">
        <f>ROUND(F386*((1/G386)-(1/H386))*I386,2)</f>
        <v>153.77000000000001</v>
      </c>
      <c r="G372" s="1482" t="s">
        <v>246</v>
      </c>
      <c r="H372" s="1483">
        <f>VLOOKUP(G372,'CP FACTORS'!$A$26:$B$38,2,FALSE)</f>
        <v>9.1068400000000004E-4</v>
      </c>
      <c r="I372" s="1502">
        <f>ROUND(H372*F372,6)</f>
        <v>0.14003599999999999</v>
      </c>
      <c r="J372" s="1509">
        <v>15</v>
      </c>
      <c r="K372" s="1503">
        <v>100</v>
      </c>
      <c r="L372" s="1569" t="s">
        <v>282</v>
      </c>
      <c r="V372" s="60" t="str">
        <f>F371</f>
        <v>kWh Annual Savings (per ton)</v>
      </c>
      <c r="W372" s="70">
        <v>153.95313964386136</v>
      </c>
      <c r="X372" s="70">
        <v>153.95313964386136</v>
      </c>
      <c r="Y372" s="70">
        <v>153.95313964386136</v>
      </c>
      <c r="Z372" s="2294">
        <v>153.95313964386136</v>
      </c>
      <c r="AA372" s="2305">
        <v>153.77000000000001</v>
      </c>
      <c r="AB372" s="2116">
        <v>153.77000000000001</v>
      </c>
      <c r="AC372" s="63"/>
      <c r="AD372" s="63"/>
      <c r="AE372" s="63"/>
      <c r="AF372" s="63"/>
      <c r="AG372" s="63"/>
      <c r="AH372" s="64"/>
      <c r="AI372" s="60" t="s">
        <v>24</v>
      </c>
      <c r="AJ372" s="65">
        <v>15</v>
      </c>
      <c r="AK372" s="65">
        <v>15</v>
      </c>
      <c r="AL372" s="65">
        <v>15</v>
      </c>
      <c r="AM372" s="2290">
        <v>15</v>
      </c>
      <c r="AN372" s="2290">
        <v>15</v>
      </c>
      <c r="AO372" s="2116">
        <f>J372</f>
        <v>15</v>
      </c>
      <c r="AP372" s="63"/>
      <c r="AQ372" s="63"/>
      <c r="AR372" s="63"/>
      <c r="AS372" s="63"/>
      <c r="AT372" s="29"/>
      <c r="AU372" s="60" t="s">
        <v>25</v>
      </c>
      <c r="AV372" s="66">
        <v>100</v>
      </c>
      <c r="AW372" s="66">
        <v>100</v>
      </c>
      <c r="AX372" s="66">
        <v>100</v>
      </c>
      <c r="AY372" s="2291">
        <v>100</v>
      </c>
      <c r="AZ372" s="2291">
        <v>100</v>
      </c>
      <c r="BA372" s="2357">
        <v>100</v>
      </c>
      <c r="BB372" s="63"/>
      <c r="BC372" s="63"/>
      <c r="BD372" s="63"/>
      <c r="BE372" s="63"/>
      <c r="DB372" s="67">
        <f>(DD372)/(DE372)</f>
        <v>2.3225032903876577</v>
      </c>
      <c r="DC372" s="68" t="str">
        <f>CONCATENATE(G372," ",J372," Year EUL")</f>
        <v>Cooling BUS 15 Year EUL</v>
      </c>
      <c r="DD372" s="94">
        <f>(INDEX('Avoided Cost Benefits'!$C$4:$C$857,MATCH(DC372,'Avoided Cost Benefits'!$A$4:$A$857,0)))*F372</f>
        <v>219.20748375532395</v>
      </c>
      <c r="DE372" s="69">
        <f>K372/(1.0595^(2020-2019))</f>
        <v>94.384143463898056</v>
      </c>
    </row>
    <row r="373" spans="2:109" x14ac:dyDescent="0.25">
      <c r="C373" s="2356" t="s">
        <v>3449</v>
      </c>
      <c r="D373" s="1558" t="s">
        <v>34</v>
      </c>
      <c r="E373" s="1512" t="s">
        <v>283</v>
      </c>
      <c r="F373" s="2306">
        <f>ROUND(F387*((1/G387)-(1/H387))*I387,2)</f>
        <v>167.94</v>
      </c>
      <c r="G373" s="1482" t="s">
        <v>246</v>
      </c>
      <c r="H373" s="1483">
        <f>VLOOKUP(G373,'CP FACTORS'!$A$26:$B$38,2,FALSE)</f>
        <v>9.1068400000000004E-4</v>
      </c>
      <c r="I373" s="1502">
        <f>ROUND(H373*F373,6)</f>
        <v>0.15293999999999999</v>
      </c>
      <c r="J373" s="1510">
        <v>15</v>
      </c>
      <c r="K373" s="1503">
        <v>100</v>
      </c>
      <c r="L373" s="1569" t="s">
        <v>282</v>
      </c>
      <c r="V373" s="60" t="str">
        <f>V372</f>
        <v>kWh Annual Savings (per ton)</v>
      </c>
      <c r="W373" s="70">
        <v>66.505263157894589</v>
      </c>
      <c r="X373" s="70">
        <v>66.505263157894589</v>
      </c>
      <c r="Y373" s="70">
        <v>66.505263157894589</v>
      </c>
      <c r="Z373" s="2294">
        <v>66.505263157894589</v>
      </c>
      <c r="AA373" s="2305">
        <v>167.94</v>
      </c>
      <c r="AB373" s="2116">
        <v>167.94</v>
      </c>
      <c r="AC373" s="63"/>
      <c r="AD373" s="63"/>
      <c r="AE373" s="63"/>
      <c r="AF373" s="63"/>
      <c r="AG373" s="63"/>
      <c r="AH373" s="64"/>
      <c r="AI373" s="60" t="s">
        <v>24</v>
      </c>
      <c r="AJ373" s="65">
        <v>15</v>
      </c>
      <c r="AK373" s="65">
        <v>15</v>
      </c>
      <c r="AL373" s="65">
        <v>15</v>
      </c>
      <c r="AM373" s="2290">
        <v>15</v>
      </c>
      <c r="AN373" s="2290">
        <v>15</v>
      </c>
      <c r="AO373" s="2116">
        <f t="shared" ref="AO373:AO376" si="128">J373</f>
        <v>15</v>
      </c>
      <c r="AP373" s="63"/>
      <c r="AQ373" s="63"/>
      <c r="AR373" s="63"/>
      <c r="AS373" s="63"/>
      <c r="AT373" s="29"/>
      <c r="AU373" s="60" t="s">
        <v>25</v>
      </c>
      <c r="AV373" s="66">
        <v>100</v>
      </c>
      <c r="AW373" s="66">
        <v>100</v>
      </c>
      <c r="AX373" s="66">
        <v>100</v>
      </c>
      <c r="AY373" s="2291">
        <v>100</v>
      </c>
      <c r="AZ373" s="2291">
        <v>100</v>
      </c>
      <c r="BA373" s="2357">
        <v>100</v>
      </c>
      <c r="BB373" s="63"/>
      <c r="BC373" s="63"/>
      <c r="BD373" s="63"/>
      <c r="BE373" s="63"/>
      <c r="DB373" s="71">
        <f>(DD373)/(DE373)</f>
        <v>2.5365233959010416</v>
      </c>
      <c r="DC373" s="72" t="str">
        <f>CONCATENATE(G373," ",J373," Year EUL")</f>
        <v>Cooling BUS 15 Year EUL</v>
      </c>
      <c r="DD373" s="95">
        <f>(INDEX('Avoided Cost Benefits'!$C$4:$C$857,MATCH(DC373,'Avoided Cost Benefits'!$A$4:$A$857,0)))*F373</f>
        <v>239.4075880982578</v>
      </c>
      <c r="DE373" s="73">
        <f>K373/(1.0595^(2020-2019))</f>
        <v>94.384143463898056</v>
      </c>
    </row>
    <row r="374" spans="2:109" x14ac:dyDescent="0.25">
      <c r="C374" s="2356" t="s">
        <v>3450</v>
      </c>
      <c r="D374" s="1558" t="s">
        <v>34</v>
      </c>
      <c r="E374" s="1512" t="s">
        <v>284</v>
      </c>
      <c r="F374" s="2306">
        <f>ROUND(F388*((1/G388)-(1/H388))*I388,2)</f>
        <v>148.68</v>
      </c>
      <c r="G374" s="1482" t="s">
        <v>246</v>
      </c>
      <c r="H374" s="1483">
        <f>VLOOKUP(G374,'CP FACTORS'!$A$26:$B$38,2,FALSE)</f>
        <v>9.1068400000000004E-4</v>
      </c>
      <c r="I374" s="1502">
        <f>ROUND(H374*F374,6)</f>
        <v>0.13539999999999999</v>
      </c>
      <c r="J374" s="1510">
        <v>15</v>
      </c>
      <c r="K374" s="1503">
        <v>100</v>
      </c>
      <c r="L374" s="1569" t="s">
        <v>282</v>
      </c>
      <c r="M374" s="4102"/>
      <c r="N374" s="4102"/>
      <c r="O374" s="4102"/>
      <c r="P374" s="4102"/>
      <c r="V374" s="60" t="str">
        <f>V373</f>
        <v>kWh Annual Savings (per ton)</v>
      </c>
      <c r="W374" s="70">
        <v>98.581830790568617</v>
      </c>
      <c r="X374" s="70">
        <v>98.581830790568617</v>
      </c>
      <c r="Y374" s="70">
        <v>98.581830790568617</v>
      </c>
      <c r="Z374" s="2294">
        <v>98.581830790568617</v>
      </c>
      <c r="AA374" s="2305">
        <v>148.68</v>
      </c>
      <c r="AB374" s="2116">
        <v>148.68</v>
      </c>
      <c r="AC374" s="63"/>
      <c r="AD374" s="63"/>
      <c r="AE374" s="63"/>
      <c r="AF374" s="63"/>
      <c r="AG374" s="63"/>
      <c r="AH374" s="64"/>
      <c r="AI374" s="60" t="s">
        <v>24</v>
      </c>
      <c r="AJ374" s="65">
        <v>15</v>
      </c>
      <c r="AK374" s="65">
        <v>15</v>
      </c>
      <c r="AL374" s="65">
        <v>15</v>
      </c>
      <c r="AM374" s="2290">
        <v>15</v>
      </c>
      <c r="AN374" s="2290">
        <v>15</v>
      </c>
      <c r="AO374" s="2116">
        <f t="shared" si="128"/>
        <v>15</v>
      </c>
      <c r="AP374" s="63"/>
      <c r="AQ374" s="63"/>
      <c r="AR374" s="63"/>
      <c r="AS374" s="63"/>
      <c r="AT374" s="29"/>
      <c r="AU374" s="60" t="s">
        <v>25</v>
      </c>
      <c r="AV374" s="66">
        <v>100</v>
      </c>
      <c r="AW374" s="66">
        <v>100</v>
      </c>
      <c r="AX374" s="66">
        <v>100</v>
      </c>
      <c r="AY374" s="2291">
        <v>100</v>
      </c>
      <c r="AZ374" s="2291">
        <v>100</v>
      </c>
      <c r="BA374" s="2357">
        <v>100</v>
      </c>
      <c r="BB374" s="63"/>
      <c r="BC374" s="63"/>
      <c r="BD374" s="63"/>
      <c r="BE374" s="63"/>
      <c r="DB374" s="71">
        <f>(DD374)/(DE374)</f>
        <v>2.2456252143775566</v>
      </c>
      <c r="DC374" s="72" t="str">
        <f>CONCATENATE(G374," ",J374," Year EUL")</f>
        <v>Cooling BUS 15 Year EUL</v>
      </c>
      <c r="DD374" s="95">
        <f>(INDEX('Avoided Cost Benefits'!$C$4:$C$857,MATCH(DC374,'Avoided Cost Benefits'!$A$4:$A$857,0)))*F374</f>
        <v>211.95141239995814</v>
      </c>
      <c r="DE374" s="73">
        <f>K374/(1.0595^(2020-2019))</f>
        <v>94.384143463898056</v>
      </c>
    </row>
    <row r="375" spans="2:109" ht="15.75" customHeight="1" x14ac:dyDescent="0.25">
      <c r="C375" s="2356" t="s">
        <v>3451</v>
      </c>
      <c r="D375" s="1558" t="s">
        <v>34</v>
      </c>
      <c r="E375" s="1512" t="s">
        <v>285</v>
      </c>
      <c r="F375" s="2306">
        <f>ROUND(F389*((1/G389)-(1/H389))*I389,2)</f>
        <v>167.52</v>
      </c>
      <c r="G375" s="1482" t="s">
        <v>246</v>
      </c>
      <c r="H375" s="1483">
        <f>VLOOKUP(G375,'CP FACTORS'!$A$26:$B$38,2,FALSE)</f>
        <v>9.1068400000000004E-4</v>
      </c>
      <c r="I375" s="1502">
        <f>ROUND(H375*F375,6)</f>
        <v>0.152558</v>
      </c>
      <c r="J375" s="1510">
        <v>15</v>
      </c>
      <c r="K375" s="1503">
        <v>100</v>
      </c>
      <c r="L375" s="1569" t="s">
        <v>282</v>
      </c>
      <c r="M375" s="4102"/>
      <c r="N375" s="4102"/>
      <c r="O375" s="4102"/>
      <c r="P375" s="4102"/>
      <c r="V375" s="60" t="str">
        <f>V374</f>
        <v>kWh Annual Savings (per ton)</v>
      </c>
      <c r="W375" s="70">
        <v>70.797848498431222</v>
      </c>
      <c r="X375" s="70">
        <v>70.797848498431222</v>
      </c>
      <c r="Y375" s="70">
        <v>70.797848498431222</v>
      </c>
      <c r="Z375" s="2294">
        <v>70.797848498431222</v>
      </c>
      <c r="AA375" s="2305">
        <v>167.52</v>
      </c>
      <c r="AB375" s="2116">
        <v>167.52</v>
      </c>
      <c r="AC375" s="63"/>
      <c r="AD375" s="63"/>
      <c r="AE375" s="63"/>
      <c r="AF375" s="63"/>
      <c r="AG375" s="63"/>
      <c r="AH375" s="64"/>
      <c r="AI375" s="60" t="s">
        <v>24</v>
      </c>
      <c r="AJ375" s="65">
        <v>15</v>
      </c>
      <c r="AK375" s="65">
        <v>15</v>
      </c>
      <c r="AL375" s="65">
        <v>15</v>
      </c>
      <c r="AM375" s="2290">
        <v>15</v>
      </c>
      <c r="AN375" s="2290">
        <v>15</v>
      </c>
      <c r="AO375" s="2116">
        <f t="shared" si="128"/>
        <v>15</v>
      </c>
      <c r="AP375" s="63"/>
      <c r="AQ375" s="63"/>
      <c r="AR375" s="63"/>
      <c r="AS375" s="63"/>
      <c r="AT375" s="29"/>
      <c r="AU375" s="60" t="s">
        <v>25</v>
      </c>
      <c r="AV375" s="66">
        <v>100</v>
      </c>
      <c r="AW375" s="66">
        <v>100</v>
      </c>
      <c r="AX375" s="66">
        <v>100</v>
      </c>
      <c r="AY375" s="2291">
        <v>100</v>
      </c>
      <c r="AZ375" s="2291">
        <v>100</v>
      </c>
      <c r="BA375" s="2357">
        <v>100</v>
      </c>
      <c r="BB375" s="63"/>
      <c r="BC375" s="63"/>
      <c r="BD375" s="63"/>
      <c r="BE375" s="63"/>
      <c r="DB375" s="71">
        <f>(DD375)/(DE375)</f>
        <v>2.5301798218491278</v>
      </c>
      <c r="DC375" s="72" t="str">
        <f>CONCATENATE(G375," ",J375," Year EUL")</f>
        <v>Cooling BUS 15 Year EUL</v>
      </c>
      <c r="DD375" s="95">
        <f>(INDEX('Avoided Cost Benefits'!$C$4:$C$857,MATCH(DC375,'Avoided Cost Benefits'!$A$4:$A$857,0)))*F375</f>
        <v>238.8088552948681</v>
      </c>
      <c r="DE375" s="73">
        <f>K375/(1.0595^(2020-2019))</f>
        <v>94.384143463898056</v>
      </c>
    </row>
    <row r="376" spans="2:109" x14ac:dyDescent="0.25">
      <c r="C376" s="2356" t="s">
        <v>3452</v>
      </c>
      <c r="D376" s="1558" t="s">
        <v>34</v>
      </c>
      <c r="E376" s="1512" t="s">
        <v>286</v>
      </c>
      <c r="F376" s="2306">
        <f>ROUND(F390*((1/G390)-(1/H390))*I390,2)</f>
        <v>129.6</v>
      </c>
      <c r="G376" s="1482" t="s">
        <v>246</v>
      </c>
      <c r="H376" s="1483">
        <f>VLOOKUP(G376,'CP FACTORS'!$A$26:$B$38,2,FALSE)</f>
        <v>9.1068400000000004E-4</v>
      </c>
      <c r="I376" s="1502">
        <f>ROUND(H376*F376,6)</f>
        <v>0.118025</v>
      </c>
      <c r="J376" s="1510">
        <v>15</v>
      </c>
      <c r="K376" s="1503">
        <v>100</v>
      </c>
      <c r="L376" s="1569" t="s">
        <v>282</v>
      </c>
      <c r="M376" s="4102"/>
      <c r="N376" s="4102"/>
      <c r="O376" s="4102"/>
      <c r="P376" s="4102"/>
      <c r="V376" s="60" t="str">
        <f>V375</f>
        <v>kWh Annual Savings (per ton)</v>
      </c>
      <c r="W376" s="70">
        <v>69.42857142857153</v>
      </c>
      <c r="X376" s="70">
        <v>69.42857142857153</v>
      </c>
      <c r="Y376" s="70">
        <v>69.42857142857153</v>
      </c>
      <c r="Z376" s="2294">
        <v>69.42857142857153</v>
      </c>
      <c r="AA376" s="2305">
        <v>129.6</v>
      </c>
      <c r="AB376" s="2116">
        <v>129.6</v>
      </c>
      <c r="AC376" s="63"/>
      <c r="AD376" s="63"/>
      <c r="AE376" s="63"/>
      <c r="AF376" s="63"/>
      <c r="AG376" s="63"/>
      <c r="AH376" s="64"/>
      <c r="AI376" s="60" t="s">
        <v>24</v>
      </c>
      <c r="AJ376" s="65">
        <v>15</v>
      </c>
      <c r="AK376" s="65">
        <v>15</v>
      </c>
      <c r="AL376" s="65">
        <v>15</v>
      </c>
      <c r="AM376" s="2290">
        <v>15</v>
      </c>
      <c r="AN376" s="2290">
        <v>15</v>
      </c>
      <c r="AO376" s="2116">
        <f t="shared" si="128"/>
        <v>15</v>
      </c>
      <c r="AP376" s="63"/>
      <c r="AQ376" s="63"/>
      <c r="AR376" s="63"/>
      <c r="AS376" s="63"/>
      <c r="AT376" s="29"/>
      <c r="AU376" s="60" t="s">
        <v>25</v>
      </c>
      <c r="AV376" s="66">
        <v>100</v>
      </c>
      <c r="AW376" s="66">
        <v>100</v>
      </c>
      <c r="AX376" s="66">
        <v>100</v>
      </c>
      <c r="AY376" s="2291">
        <v>100</v>
      </c>
      <c r="AZ376" s="2291">
        <v>100</v>
      </c>
      <c r="BA376" s="2357">
        <v>100</v>
      </c>
      <c r="BB376" s="63"/>
      <c r="BC376" s="63"/>
      <c r="BD376" s="63"/>
      <c r="BE376" s="63"/>
      <c r="DB376" s="74">
        <f>(DD376)/(DE376)</f>
        <v>1.9574457074477492</v>
      </c>
      <c r="DC376" s="72" t="str">
        <f>CONCATENATE(G376," ",J376," Year EUL")</f>
        <v>Cooling BUS 15 Year EUL</v>
      </c>
      <c r="DD376" s="96">
        <f>(INDEX('Avoided Cost Benefits'!$C$4:$C$857,MATCH(DC376,'Avoided Cost Benefits'!$A$4:$A$857,0)))*F376</f>
        <v>184.75183647453977</v>
      </c>
      <c r="DE376" s="75">
        <f>K376/(1.0595^(2020-2019))</f>
        <v>94.384143463898056</v>
      </c>
    </row>
    <row r="377" spans="2:109" outlineLevel="1" x14ac:dyDescent="0.25">
      <c r="E377" s="1473"/>
      <c r="F377" s="1473"/>
      <c r="G377" s="1473"/>
      <c r="H377" s="1491"/>
      <c r="I377" s="1473"/>
      <c r="J377" s="1473"/>
      <c r="K377" s="1473"/>
      <c r="M377" s="4102"/>
      <c r="N377" s="4102"/>
      <c r="O377" s="4102"/>
      <c r="P377" s="4102"/>
      <c r="AB377" s="2278"/>
      <c r="AU377" s="2278"/>
      <c r="AW377" s="2278"/>
      <c r="AX377" s="2278"/>
      <c r="AY377" s="2278"/>
      <c r="AZ377" s="2278"/>
      <c r="BA377" s="2278"/>
      <c r="BB377" s="2278"/>
      <c r="BC377" s="2278"/>
      <c r="BD377" s="2278"/>
      <c r="BE377" s="2278"/>
    </row>
    <row r="378" spans="2:109" outlineLevel="1" x14ac:dyDescent="0.25">
      <c r="D378" s="1473" t="s">
        <v>70</v>
      </c>
      <c r="E378" s="198"/>
      <c r="F378" s="1473"/>
      <c r="G378" s="1473"/>
      <c r="H378" s="1491"/>
      <c r="I378" s="1473"/>
      <c r="J378" s="1473"/>
      <c r="K378" s="198"/>
      <c r="M378" s="4102"/>
      <c r="N378" s="4102"/>
      <c r="O378" s="4102"/>
      <c r="P378" s="4102"/>
    </row>
    <row r="379" spans="2:109" outlineLevel="1" x14ac:dyDescent="0.25">
      <c r="D379" s="1492" t="s">
        <v>287</v>
      </c>
      <c r="E379" s="198"/>
      <c r="F379" s="1492" t="s">
        <v>3480</v>
      </c>
      <c r="G379" s="1515"/>
      <c r="H379" s="1516"/>
    </row>
    <row r="380" spans="2:109" outlineLevel="1" x14ac:dyDescent="0.25">
      <c r="D380" s="1492"/>
      <c r="G380" s="1515"/>
      <c r="H380" s="1516"/>
    </row>
    <row r="381" spans="2:109" outlineLevel="1" x14ac:dyDescent="0.25">
      <c r="D381" s="1492"/>
      <c r="G381" s="1470"/>
      <c r="H381" s="1493"/>
      <c r="M381" s="1473"/>
    </row>
    <row r="382" spans="2:109" outlineLevel="1" x14ac:dyDescent="0.25">
      <c r="D382" s="1492"/>
      <c r="G382" s="1470"/>
      <c r="H382" s="1493"/>
      <c r="M382" s="1473"/>
    </row>
    <row r="383" spans="2:109" outlineLevel="1" x14ac:dyDescent="0.25">
      <c r="D383" s="1492"/>
      <c r="G383" s="1470"/>
      <c r="H383" s="1493"/>
      <c r="M383" s="1473"/>
    </row>
    <row r="384" spans="2:109" outlineLevel="1" x14ac:dyDescent="0.25">
      <c r="D384" s="1492"/>
      <c r="G384" s="1470"/>
      <c r="H384" s="1493"/>
    </row>
    <row r="385" spans="2:111" s="77" customFormat="1" ht="30" outlineLevel="1" x14ac:dyDescent="0.25">
      <c r="C385" s="198"/>
      <c r="D385" s="2353" t="s">
        <v>17</v>
      </c>
      <c r="E385" s="2353" t="s">
        <v>119</v>
      </c>
      <c r="F385" s="110" t="s">
        <v>288</v>
      </c>
      <c r="G385" s="2353" t="s">
        <v>3427</v>
      </c>
      <c r="H385" s="2353" t="s">
        <v>3428</v>
      </c>
      <c r="I385" s="2355" t="s">
        <v>292</v>
      </c>
      <c r="J385" s="2312"/>
      <c r="L385" s="463"/>
      <c r="M385" s="463"/>
      <c r="N385" s="463"/>
      <c r="O385" s="463"/>
      <c r="P385" s="463"/>
      <c r="Q385" s="463"/>
      <c r="R385" s="463"/>
      <c r="S385" s="463"/>
      <c r="T385" s="463"/>
      <c r="U385" s="463"/>
      <c r="DB385" s="97"/>
    </row>
    <row r="386" spans="2:111" outlineLevel="1" x14ac:dyDescent="0.25">
      <c r="D386" s="2314" t="str">
        <f>C372</f>
        <v>803250_2020_07_</v>
      </c>
      <c r="E386" s="1495" t="str">
        <f>E372</f>
        <v>Single Packag or Split Sytem Unitary AC_DX 135 - 240kbtu</v>
      </c>
      <c r="F386" s="1529">
        <v>12</v>
      </c>
      <c r="G386" s="2317">
        <v>11</v>
      </c>
      <c r="H386" s="2317">
        <f>ROUND(G386*1.15, 1)</f>
        <v>12.7</v>
      </c>
      <c r="I386" s="1535">
        <v>1053</v>
      </c>
      <c r="J386" s="2312"/>
      <c r="K386" s="26"/>
    </row>
    <row r="387" spans="2:111" outlineLevel="1" x14ac:dyDescent="0.25">
      <c r="D387" s="2314" t="str">
        <f>C373</f>
        <v>803300_2020_07_</v>
      </c>
      <c r="E387" s="1495" t="str">
        <f>E373</f>
        <v>Single Packag or Split Sytem Unitary AC_DX 240 - 760kbtu</v>
      </c>
      <c r="F387" s="1529">
        <v>12</v>
      </c>
      <c r="G387" s="2317">
        <v>9.9</v>
      </c>
      <c r="H387" s="2317">
        <f t="shared" ref="H387:H390" si="129">ROUND(G387*1.15, 1)</f>
        <v>11.4</v>
      </c>
      <c r="I387" s="1535">
        <v>1053</v>
      </c>
      <c r="J387" s="2312"/>
      <c r="K387" s="26"/>
    </row>
    <row r="388" spans="2:111" outlineLevel="1" x14ac:dyDescent="0.25">
      <c r="D388" s="2314" t="str">
        <f>C374</f>
        <v>803350_2020_07_</v>
      </c>
      <c r="E388" s="1495" t="str">
        <f>E374</f>
        <v>Single Packag or Split Sytem Unitary AC_DX 65 -135kbtu</v>
      </c>
      <c r="F388" s="1529">
        <v>12</v>
      </c>
      <c r="G388" s="2317">
        <v>11.2</v>
      </c>
      <c r="H388" s="2317">
        <f t="shared" si="129"/>
        <v>12.9</v>
      </c>
      <c r="I388" s="1535">
        <v>1053</v>
      </c>
      <c r="J388" s="2312"/>
      <c r="K388" s="26"/>
    </row>
    <row r="389" spans="2:111" outlineLevel="1" x14ac:dyDescent="0.25">
      <c r="D389" s="2314" t="str">
        <f>C375</f>
        <v>803400_2020_07_</v>
      </c>
      <c r="E389" s="1495" t="str">
        <f>E375</f>
        <v>Single Packag or Split Sytem Unitary AC_DX &gt;760kbtu</v>
      </c>
      <c r="F389" s="1529">
        <v>12</v>
      </c>
      <c r="G389" s="2317">
        <v>9.6</v>
      </c>
      <c r="H389" s="2317">
        <f t="shared" si="129"/>
        <v>11</v>
      </c>
      <c r="I389" s="1535">
        <v>1053</v>
      </c>
      <c r="J389" s="2312"/>
      <c r="K389" s="26"/>
    </row>
    <row r="390" spans="2:111" outlineLevel="1" x14ac:dyDescent="0.25">
      <c r="D390" s="2314" t="str">
        <f>C376</f>
        <v>803450_2020_07_</v>
      </c>
      <c r="E390" s="1495" t="str">
        <f>E376</f>
        <v>Single Packag or Split Sytem Unitary AC_DX &lt;65kbtu</v>
      </c>
      <c r="F390" s="1529">
        <v>12</v>
      </c>
      <c r="G390" s="2317">
        <v>13</v>
      </c>
      <c r="H390" s="2317">
        <f t="shared" si="129"/>
        <v>15</v>
      </c>
      <c r="I390" s="1535">
        <v>1053</v>
      </c>
      <c r="J390" s="2312"/>
      <c r="K390" s="26"/>
    </row>
    <row r="391" spans="2:111" ht="15.75" thickBot="1" x14ac:dyDescent="0.3">
      <c r="G391" s="26"/>
      <c r="H391" s="26"/>
    </row>
    <row r="392" spans="2:111" ht="15.75" thickBot="1" x14ac:dyDescent="0.3">
      <c r="DB392" s="3316"/>
      <c r="DC392" s="2312"/>
      <c r="DD392" s="4082" t="s">
        <v>3798</v>
      </c>
      <c r="DE392" s="4083"/>
      <c r="DF392" s="4082" t="s">
        <v>3799</v>
      </c>
      <c r="DG392" s="4083" t="s">
        <v>3799</v>
      </c>
    </row>
    <row r="393" spans="2:111" s="50" customFormat="1" ht="30" x14ac:dyDescent="0.25">
      <c r="B393" s="115"/>
      <c r="C393" s="52" t="s">
        <v>17</v>
      </c>
      <c r="D393" s="52" t="s">
        <v>18</v>
      </c>
      <c r="E393" s="1435" t="s">
        <v>19</v>
      </c>
      <c r="F393" s="1435" t="s">
        <v>293</v>
      </c>
      <c r="G393" s="1435" t="s">
        <v>242</v>
      </c>
      <c r="H393" s="1435" t="s">
        <v>243</v>
      </c>
      <c r="I393" s="1435" t="s">
        <v>21</v>
      </c>
      <c r="J393" s="1435" t="s">
        <v>21</v>
      </c>
      <c r="K393" s="53" t="s">
        <v>22</v>
      </c>
      <c r="L393" s="1435" t="s">
        <v>23</v>
      </c>
      <c r="M393" s="1435" t="s">
        <v>24</v>
      </c>
      <c r="N393" s="52" t="s">
        <v>3467</v>
      </c>
      <c r="O393" s="52" t="s">
        <v>26</v>
      </c>
      <c r="P393" s="1580"/>
      <c r="Q393" s="1581"/>
      <c r="R393" s="1480"/>
      <c r="S393" s="1480"/>
      <c r="T393" s="1480"/>
      <c r="U393" s="1480"/>
      <c r="V393" s="55" t="s">
        <v>27</v>
      </c>
      <c r="W393" s="56">
        <f>$W$8</f>
        <v>43252</v>
      </c>
      <c r="X393" s="56">
        <f>$X$8</f>
        <v>43465</v>
      </c>
      <c r="Y393" s="56">
        <f>$Y$8</f>
        <v>43800</v>
      </c>
      <c r="Z393" s="56">
        <f>$Z$8</f>
        <v>43862</v>
      </c>
      <c r="AA393" s="56">
        <f>$AA$8</f>
        <v>44013</v>
      </c>
      <c r="AB393" s="2284">
        <v>44166</v>
      </c>
      <c r="AC393" s="56" t="str">
        <f>$AC$8</f>
        <v>-</v>
      </c>
      <c r="AD393" s="56" t="str">
        <f>$AD$8</f>
        <v>-</v>
      </c>
      <c r="AE393" s="56" t="str">
        <f>$AE$8</f>
        <v>-</v>
      </c>
      <c r="AF393" s="56" t="str">
        <f>$AF$8</f>
        <v>-</v>
      </c>
      <c r="AG393" s="56" t="str">
        <f>$AG$8</f>
        <v>-</v>
      </c>
      <c r="AH393"/>
      <c r="AI393" s="55" t="s">
        <v>27</v>
      </c>
      <c r="AJ393" s="56">
        <v>43252</v>
      </c>
      <c r="AK393" s="56">
        <f>$X$8</f>
        <v>43465</v>
      </c>
      <c r="AL393" s="56">
        <f>$Y$8</f>
        <v>43800</v>
      </c>
      <c r="AM393" s="56">
        <f>$Z$8</f>
        <v>43862</v>
      </c>
      <c r="AN393" s="56">
        <f>$AA$8</f>
        <v>44013</v>
      </c>
      <c r="AO393" s="56">
        <v>44166</v>
      </c>
      <c r="AP393" s="56" t="str">
        <f>$AC$8</f>
        <v>-</v>
      </c>
      <c r="AQ393" s="56" t="str">
        <f>$AD$8</f>
        <v>-</v>
      </c>
      <c r="AR393" s="56" t="str">
        <f>$AE$8</f>
        <v>-</v>
      </c>
      <c r="AS393" s="56" t="str">
        <f>$AF$8</f>
        <v>-</v>
      </c>
      <c r="AT393"/>
      <c r="AU393" s="55" t="s">
        <v>27</v>
      </c>
      <c r="AV393" s="56">
        <v>43252</v>
      </c>
      <c r="AW393" s="56">
        <f>$X$8</f>
        <v>43465</v>
      </c>
      <c r="AX393" s="56">
        <f>$Y$8</f>
        <v>43800</v>
      </c>
      <c r="AY393" s="56">
        <f>$Z$8</f>
        <v>43862</v>
      </c>
      <c r="AZ393" s="56">
        <f>$AA$8</f>
        <v>44013</v>
      </c>
      <c r="BA393" s="2284">
        <v>44166</v>
      </c>
      <c r="BB393" s="56" t="str">
        <f>$AC$8</f>
        <v>-</v>
      </c>
      <c r="BC393" s="56" t="str">
        <f>$AD$8</f>
        <v>-</v>
      </c>
      <c r="BD393" s="56" t="str">
        <f>$AE$8</f>
        <v>-</v>
      </c>
      <c r="BE393" s="56" t="str">
        <f>$AF$8</f>
        <v>-</v>
      </c>
      <c r="BF393"/>
      <c r="BG393" s="55" t="s">
        <v>27</v>
      </c>
      <c r="BH393" s="56">
        <v>43252</v>
      </c>
      <c r="BI393" s="56">
        <f>$X$8</f>
        <v>43465</v>
      </c>
      <c r="BJ393" s="56">
        <f>$Y$8</f>
        <v>43800</v>
      </c>
      <c r="BK393" s="56">
        <f>$Z$8</f>
        <v>43862</v>
      </c>
      <c r="BL393" s="56">
        <f>$AA$8</f>
        <v>44013</v>
      </c>
      <c r="BM393" s="2284">
        <v>44166</v>
      </c>
      <c r="BN393" s="56" t="str">
        <f>$AC$8</f>
        <v>-</v>
      </c>
      <c r="BO393" s="56" t="str">
        <f>$AD$8</f>
        <v>-</v>
      </c>
      <c r="BP393" s="56" t="str">
        <f>$AE$8</f>
        <v>-</v>
      </c>
      <c r="BQ393" s="56" t="str">
        <f>$AF$8</f>
        <v>-</v>
      </c>
      <c r="BR393" s="29"/>
      <c r="BS393" s="55" t="s">
        <v>27</v>
      </c>
      <c r="BT393" s="56">
        <v>43252</v>
      </c>
      <c r="BU393" s="56">
        <f>$X$8</f>
        <v>43465</v>
      </c>
      <c r="BV393" s="56">
        <f>$Y$8</f>
        <v>43800</v>
      </c>
      <c r="BW393" s="56">
        <f>$Z$8</f>
        <v>43862</v>
      </c>
      <c r="BX393" s="56">
        <f>$AA$8</f>
        <v>44013</v>
      </c>
      <c r="BY393" s="2284">
        <v>44166</v>
      </c>
      <c r="BZ393" s="56" t="str">
        <f>$AC$8</f>
        <v>-</v>
      </c>
      <c r="CA393" s="56" t="str">
        <f>$AD$8</f>
        <v>-</v>
      </c>
      <c r="CB393" s="56" t="str">
        <f>$AE$8</f>
        <v>-</v>
      </c>
      <c r="CC393" s="56" t="str">
        <f>$AF$8</f>
        <v>-</v>
      </c>
      <c r="DB393" s="3317" t="str">
        <f>$DB$8</f>
        <v>TRC (2020)</v>
      </c>
      <c r="DC393" s="3318" t="str">
        <f>$DC$8</f>
        <v>Benefit Lookup</v>
      </c>
      <c r="DD393" s="3320" t="str">
        <f>$DD$8</f>
        <v>Benefits (2019 $)</v>
      </c>
      <c r="DE393" s="3320" t="str">
        <f>$DE$8</f>
        <v>Incremental Cost (2019 $)</v>
      </c>
      <c r="DF393" s="3320" t="str">
        <f>$DC$8</f>
        <v>Benefit Lookup</v>
      </c>
      <c r="DG393" s="3320" t="str">
        <f>$DD$8</f>
        <v>Benefits (2019 $)</v>
      </c>
    </row>
    <row r="394" spans="2:111" x14ac:dyDescent="0.25">
      <c r="B394" s="76"/>
      <c r="C394" s="2356" t="s">
        <v>295</v>
      </c>
      <c r="D394" s="1558" t="s">
        <v>34</v>
      </c>
      <c r="E394" s="1501" t="s">
        <v>296</v>
      </c>
      <c r="F394" s="183">
        <f>ROUND(F410*((1/G410)-(1/H410))*K410,2)</f>
        <v>36.71</v>
      </c>
      <c r="G394" s="2306">
        <f>ROUND((P410/3.412*((1/L410)-(1/M410))*Q410),2)</f>
        <v>27.99</v>
      </c>
      <c r="H394" s="2306">
        <f t="shared" ref="H394:H399" si="130">SUM(F394:G394)</f>
        <v>64.7</v>
      </c>
      <c r="I394" s="1482" t="s">
        <v>246</v>
      </c>
      <c r="J394" s="1482" t="s">
        <v>247</v>
      </c>
      <c r="K394" s="1483">
        <v>9.1068395835808389E-4</v>
      </c>
      <c r="L394" s="1565">
        <f t="shared" ref="L394:L399" si="131">ROUND(K394*F394,6)</f>
        <v>3.3431000000000002E-2</v>
      </c>
      <c r="M394" s="382">
        <v>15</v>
      </c>
      <c r="N394" s="1503">
        <v>180</v>
      </c>
      <c r="O394" s="1569" t="s">
        <v>282</v>
      </c>
      <c r="P394" s="1580"/>
      <c r="Q394" s="1580"/>
      <c r="V394" s="60" t="str">
        <f>F393</f>
        <v>Cooling kWh Annual Savings (per ton)</v>
      </c>
      <c r="W394" s="70">
        <v>36.705882352941231</v>
      </c>
      <c r="X394" s="70">
        <v>36.705882352941231</v>
      </c>
      <c r="Y394" s="2286">
        <v>36.705882352941231</v>
      </c>
      <c r="Z394" s="2286">
        <v>36.705882352941231</v>
      </c>
      <c r="AA394" s="2309">
        <v>36.71</v>
      </c>
      <c r="AB394" s="2116">
        <v>36.71</v>
      </c>
      <c r="AC394" s="63"/>
      <c r="AD394" s="63"/>
      <c r="AE394" s="63"/>
      <c r="AF394" s="63"/>
      <c r="AG394" s="63"/>
      <c r="AH394" s="64"/>
      <c r="AI394" s="60" t="str">
        <f>G393</f>
        <v>Heating kWh Annual Savings (per ton)</v>
      </c>
      <c r="AJ394" s="70">
        <v>27.988128808762067</v>
      </c>
      <c r="AK394" s="70">
        <v>27.988128808762067</v>
      </c>
      <c r="AL394" s="70">
        <v>27.988128808762067</v>
      </c>
      <c r="AM394" s="2294">
        <v>27.988128808762067</v>
      </c>
      <c r="AN394" s="2309">
        <v>27.99</v>
      </c>
      <c r="AO394" s="2116">
        <f>G394</f>
        <v>27.99</v>
      </c>
      <c r="AP394" s="63"/>
      <c r="AQ394" s="63"/>
      <c r="AR394" s="63"/>
      <c r="AS394" s="63"/>
      <c r="AT394" s="64"/>
      <c r="AU394" s="60" t="str">
        <f>H393</f>
        <v>Total kWh Annual Savings</v>
      </c>
      <c r="AV394" s="70">
        <v>64.694011161703301</v>
      </c>
      <c r="AW394" s="70">
        <v>64.694011161703301</v>
      </c>
      <c r="AX394" s="2294">
        <v>64.694011161703301</v>
      </c>
      <c r="AY394" s="63"/>
      <c r="AZ394" s="2294">
        <v>64.7</v>
      </c>
      <c r="BA394" s="2116">
        <v>64.7</v>
      </c>
      <c r="BB394" s="63"/>
      <c r="BC394" s="63"/>
      <c r="BD394" s="63"/>
      <c r="BE394" s="63"/>
      <c r="BF394" s="64"/>
      <c r="BG394" s="60" t="s">
        <v>24</v>
      </c>
      <c r="BH394" s="65">
        <v>15</v>
      </c>
      <c r="BI394" s="65">
        <v>15</v>
      </c>
      <c r="BJ394" s="2311">
        <v>15</v>
      </c>
      <c r="BK394" s="2311">
        <v>15</v>
      </c>
      <c r="BL394" s="2311">
        <v>15</v>
      </c>
      <c r="BM394" s="2116">
        <v>15</v>
      </c>
      <c r="BN394" s="63"/>
      <c r="BO394" s="63"/>
      <c r="BP394" s="63"/>
      <c r="BQ394" s="63"/>
      <c r="BR394" s="29"/>
      <c r="BS394" s="60" t="str">
        <f>N393</f>
        <v>Inc. Cost     (per ton)</v>
      </c>
      <c r="BT394" s="66">
        <v>180</v>
      </c>
      <c r="BU394" s="66">
        <v>180</v>
      </c>
      <c r="BV394" s="2291">
        <v>180</v>
      </c>
      <c r="BW394" s="2291">
        <v>180</v>
      </c>
      <c r="BX394" s="2291">
        <v>180</v>
      </c>
      <c r="BY394" s="2357">
        <f>N394</f>
        <v>180</v>
      </c>
      <c r="BZ394" s="63"/>
      <c r="CA394" s="63"/>
      <c r="CB394" s="63"/>
      <c r="CC394" s="63"/>
      <c r="DB394" s="1880">
        <f t="shared" ref="DB394:DB399" si="132">(DD394+DG394)/(DE394)</f>
        <v>0.37254962167027522</v>
      </c>
      <c r="DC394" s="3045" t="str">
        <f t="shared" ref="DC394:DC399" si="133">CONCATENATE(I394," ",M394," Year EUL")</f>
        <v>Cooling BUS 15 Year EUL</v>
      </c>
      <c r="DD394" s="1341">
        <f>(INDEX('Avoided Cost Benefits'!$C$4:$C$857,MATCH(DC394,'Avoided Cost Benefits'!$A$4:$A$857,0)))*F394</f>
        <v>52.332098124848422</v>
      </c>
      <c r="DE394" s="1341">
        <f t="shared" ref="DE394:DE399" si="134">N394/(1.0595^(2020-2019))</f>
        <v>169.8914582350165</v>
      </c>
      <c r="DF394" s="3045" t="str">
        <f t="shared" ref="DF394:DF399" si="135">CONCATENATE(J394," ",M394," Year EUL")</f>
        <v>Heating BUS 15 Year EUL</v>
      </c>
      <c r="DG394" s="3319">
        <f>(INDEX('Avoided Cost Benefits'!$C$4:$C$857,MATCH(DF394,'Avoided Cost Benefits'!$A$4:$A$857,0)))*G394</f>
        <v>10.960900365618334</v>
      </c>
    </row>
    <row r="395" spans="2:111" x14ac:dyDescent="0.25">
      <c r="B395" s="76"/>
      <c r="C395" s="2356" t="s">
        <v>297</v>
      </c>
      <c r="D395" s="1558" t="s">
        <v>34</v>
      </c>
      <c r="E395" s="1512" t="s">
        <v>298</v>
      </c>
      <c r="F395" s="183">
        <f>ROUND(F411*((1/G411)-(1/H411))*K411,2)</f>
        <v>114.95</v>
      </c>
      <c r="G395" s="2306">
        <f>ROUND((P411/3.412*((1/L411)-(1/M411))*Q411),2)</f>
        <v>27.99</v>
      </c>
      <c r="H395" s="2306">
        <f t="shared" si="130"/>
        <v>142.94</v>
      </c>
      <c r="I395" s="1482" t="s">
        <v>246</v>
      </c>
      <c r="J395" s="1482" t="s">
        <v>247</v>
      </c>
      <c r="K395" s="1483">
        <v>9.1068395835808389E-4</v>
      </c>
      <c r="L395" s="1565">
        <f t="shared" si="131"/>
        <v>0.104683</v>
      </c>
      <c r="M395" s="1510">
        <v>15</v>
      </c>
      <c r="N395" s="1503">
        <v>180</v>
      </c>
      <c r="O395" s="1569" t="s">
        <v>282</v>
      </c>
      <c r="P395" s="1580"/>
      <c r="Q395" s="1580"/>
      <c r="V395" s="60" t="str">
        <f>V394</f>
        <v>Cooling kWh Annual Savings (per ton)</v>
      </c>
      <c r="W395" s="70">
        <v>114.94736842105272</v>
      </c>
      <c r="X395" s="70">
        <v>114.94736842105272</v>
      </c>
      <c r="Y395" s="2286">
        <v>114.94736842105272</v>
      </c>
      <c r="Z395" s="2286">
        <v>114.94736842105272</v>
      </c>
      <c r="AA395" s="2309">
        <v>114.95</v>
      </c>
      <c r="AB395" s="2116">
        <v>114.95</v>
      </c>
      <c r="AC395" s="63"/>
      <c r="AD395" s="63"/>
      <c r="AE395" s="63"/>
      <c r="AF395" s="63"/>
      <c r="AG395" s="63"/>
      <c r="AH395" s="64"/>
      <c r="AI395" s="60" t="str">
        <f>AI394</f>
        <v>Heating kWh Annual Savings (per ton)</v>
      </c>
      <c r="AJ395" s="70">
        <v>27.988128808762067</v>
      </c>
      <c r="AK395" s="70">
        <v>27.988128808762067</v>
      </c>
      <c r="AL395" s="70">
        <v>27.988128808762067</v>
      </c>
      <c r="AM395" s="2294">
        <v>27.988128808762067</v>
      </c>
      <c r="AN395" s="2309">
        <v>27.99</v>
      </c>
      <c r="AO395" s="2116">
        <f t="shared" ref="AO395:AO399" si="136">G395</f>
        <v>27.99</v>
      </c>
      <c r="AP395" s="63"/>
      <c r="AQ395" s="63"/>
      <c r="AR395" s="63"/>
      <c r="AS395" s="63"/>
      <c r="AT395" s="64"/>
      <c r="AU395" s="60" t="str">
        <f>AU394</f>
        <v>Total kWh Annual Savings</v>
      </c>
      <c r="AV395" s="70">
        <v>142.93549722981479</v>
      </c>
      <c r="AW395" s="70">
        <v>142.93549722981479</v>
      </c>
      <c r="AX395" s="2294">
        <v>142.93549722981479</v>
      </c>
      <c r="AY395" s="63"/>
      <c r="AZ395" s="2294">
        <v>142.94</v>
      </c>
      <c r="BA395" s="2116">
        <v>142.94</v>
      </c>
      <c r="BB395" s="63"/>
      <c r="BC395" s="63"/>
      <c r="BD395" s="63"/>
      <c r="BE395" s="63"/>
      <c r="BF395" s="64"/>
      <c r="BG395" s="60" t="s">
        <v>24</v>
      </c>
      <c r="BH395" s="65">
        <v>15</v>
      </c>
      <c r="BI395" s="65">
        <v>15</v>
      </c>
      <c r="BJ395" s="2311">
        <v>15</v>
      </c>
      <c r="BK395" s="2311">
        <v>15</v>
      </c>
      <c r="BL395" s="2311">
        <v>15</v>
      </c>
      <c r="BM395" s="2116">
        <v>15</v>
      </c>
      <c r="BN395" s="63"/>
      <c r="BO395" s="63"/>
      <c r="BP395" s="63"/>
      <c r="BQ395" s="63"/>
      <c r="BR395" s="29"/>
      <c r="BS395" s="60" t="str">
        <f>BS394</f>
        <v>Inc. Cost     (per ton)</v>
      </c>
      <c r="BT395" s="66">
        <v>180</v>
      </c>
      <c r="BU395" s="66">
        <v>180</v>
      </c>
      <c r="BV395" s="2291">
        <v>180</v>
      </c>
      <c r="BW395" s="2291">
        <v>180</v>
      </c>
      <c r="BX395" s="2291">
        <v>180</v>
      </c>
      <c r="BY395" s="2357">
        <f t="shared" ref="BY395:BY399" si="137">N395</f>
        <v>180</v>
      </c>
      <c r="BZ395" s="63"/>
      <c r="CA395" s="63"/>
      <c r="CB395" s="63"/>
      <c r="CC395" s="63"/>
      <c r="DB395" s="1880">
        <f t="shared" si="132"/>
        <v>1.0290591902175654</v>
      </c>
      <c r="DC395" s="3045" t="str">
        <f t="shared" si="133"/>
        <v>Cooling BUS 15 Year EUL</v>
      </c>
      <c r="DD395" s="1341">
        <f>(INDEX('Avoided Cost Benefits'!$C$4:$C$857,MATCH(DC395,'Avoided Cost Benefits'!$A$4:$A$857,0)))*F395</f>
        <v>163.8674660705891</v>
      </c>
      <c r="DE395" s="1341">
        <f t="shared" si="134"/>
        <v>169.8914582350165</v>
      </c>
      <c r="DF395" s="3045" t="str">
        <f t="shared" si="135"/>
        <v>Heating BUS 15 Year EUL</v>
      </c>
      <c r="DG395" s="3319">
        <f>(INDEX('Avoided Cost Benefits'!$C$4:$C$857,MATCH(DF395,'Avoided Cost Benefits'!$A$4:$A$857,0)))*G395</f>
        <v>10.960900365618334</v>
      </c>
    </row>
    <row r="396" spans="2:111" x14ac:dyDescent="0.25">
      <c r="B396" s="76"/>
      <c r="C396" s="2356" t="s">
        <v>3453</v>
      </c>
      <c r="D396" s="1558" t="s">
        <v>34</v>
      </c>
      <c r="E396" s="1512" t="s">
        <v>299</v>
      </c>
      <c r="F396" s="2306">
        <f t="shared" ref="F396:F398" si="138">ROUND((F412*((1/I412)-(1/J412))*K412),2)</f>
        <v>117.33</v>
      </c>
      <c r="G396" s="2306">
        <f>ROUND((P412/3.412*((1/L412)-(1/M412))*Q412),2)</f>
        <v>223.04</v>
      </c>
      <c r="H396" s="2306">
        <f t="shared" si="130"/>
        <v>340.37</v>
      </c>
      <c r="I396" s="1482" t="s">
        <v>246</v>
      </c>
      <c r="J396" s="1482" t="s">
        <v>247</v>
      </c>
      <c r="K396" s="1483">
        <v>9.1068395835808389E-4</v>
      </c>
      <c r="L396" s="1565">
        <f t="shared" si="131"/>
        <v>0.106851</v>
      </c>
      <c r="M396" s="1510">
        <v>15</v>
      </c>
      <c r="N396" s="1503">
        <v>100</v>
      </c>
      <c r="O396" s="1569" t="s">
        <v>282</v>
      </c>
      <c r="P396" s="1580"/>
      <c r="Q396" s="1580"/>
      <c r="V396" s="60" t="str">
        <f>V395</f>
        <v>Cooling kWh Annual Savings (per ton)</v>
      </c>
      <c r="W396" s="70">
        <v>95.727272727272819</v>
      </c>
      <c r="X396" s="70">
        <v>95.727272727272819</v>
      </c>
      <c r="Y396" s="2286">
        <v>95.727272727272819</v>
      </c>
      <c r="Z396" s="2286">
        <v>95.727272727272819</v>
      </c>
      <c r="AA396" s="2305">
        <v>117.33</v>
      </c>
      <c r="AB396" s="2116">
        <v>117.33</v>
      </c>
      <c r="AC396" s="63"/>
      <c r="AD396" s="63"/>
      <c r="AE396" s="63"/>
      <c r="AF396" s="63"/>
      <c r="AG396" s="63"/>
      <c r="AH396" s="64"/>
      <c r="AI396" s="60" t="str">
        <f>AI395</f>
        <v>Heating kWh Annual Savings (per ton)</v>
      </c>
      <c r="AJ396" s="70">
        <v>64.554437356313187</v>
      </c>
      <c r="AK396" s="70">
        <v>64.554437356313187</v>
      </c>
      <c r="AL396" s="70">
        <v>64.554437356313187</v>
      </c>
      <c r="AM396" s="2294">
        <v>64.554437356313187</v>
      </c>
      <c r="AN396" s="2305">
        <v>223.04</v>
      </c>
      <c r="AO396" s="2116">
        <f t="shared" si="136"/>
        <v>223.04</v>
      </c>
      <c r="AP396" s="63"/>
      <c r="AQ396" s="63"/>
      <c r="AR396" s="63"/>
      <c r="AS396" s="63"/>
      <c r="AT396" s="64"/>
      <c r="AU396" s="60" t="str">
        <f>AU395</f>
        <v>Total kWh Annual Savings</v>
      </c>
      <c r="AV396" s="70">
        <v>160.28171008358601</v>
      </c>
      <c r="AW396" s="70">
        <v>160.28171008358601</v>
      </c>
      <c r="AX396" s="2294">
        <v>160.28171008358601</v>
      </c>
      <c r="AY396" s="63"/>
      <c r="AZ396" s="2287">
        <v>340.37</v>
      </c>
      <c r="BA396" s="2116">
        <v>340.37</v>
      </c>
      <c r="BB396" s="63"/>
      <c r="BC396" s="63"/>
      <c r="BD396" s="63"/>
      <c r="BE396" s="63"/>
      <c r="BF396" s="64"/>
      <c r="BG396" s="60" t="s">
        <v>24</v>
      </c>
      <c r="BH396" s="65">
        <v>15</v>
      </c>
      <c r="BI396" s="65">
        <v>15</v>
      </c>
      <c r="BJ396" s="2311">
        <v>15</v>
      </c>
      <c r="BK396" s="2311">
        <v>15</v>
      </c>
      <c r="BL396" s="2311">
        <v>15</v>
      </c>
      <c r="BM396" s="2116">
        <v>15</v>
      </c>
      <c r="BN396" s="63"/>
      <c r="BO396" s="63"/>
      <c r="BP396" s="63"/>
      <c r="BQ396" s="63"/>
      <c r="BR396" s="29"/>
      <c r="BS396" s="60" t="str">
        <f>BS395</f>
        <v>Inc. Cost     (per ton)</v>
      </c>
      <c r="BT396" s="66">
        <v>100</v>
      </c>
      <c r="BU396" s="66">
        <v>100</v>
      </c>
      <c r="BV396" s="2291">
        <v>100</v>
      </c>
      <c r="BW396" s="2291">
        <v>100</v>
      </c>
      <c r="BX396" s="2291">
        <v>100</v>
      </c>
      <c r="BY396" s="2357">
        <f t="shared" si="137"/>
        <v>100</v>
      </c>
      <c r="BZ396" s="63"/>
      <c r="CA396" s="63"/>
      <c r="CB396" s="63"/>
      <c r="CC396" s="63"/>
      <c r="DB396" s="1880">
        <f t="shared" si="132"/>
        <v>2.6975175104237503</v>
      </c>
      <c r="DC396" s="3045" t="str">
        <f t="shared" si="133"/>
        <v>Cooling BUS 15 Year EUL</v>
      </c>
      <c r="DD396" s="1341">
        <f>(INDEX('Avoided Cost Benefits'!$C$4:$C$857,MATCH(DC396,'Avoided Cost Benefits'!$A$4:$A$857,0)))*F396</f>
        <v>167.26028528979748</v>
      </c>
      <c r="DE396" s="1341">
        <f t="shared" si="134"/>
        <v>94.384143463898056</v>
      </c>
      <c r="DF396" s="3045" t="str">
        <f t="shared" si="135"/>
        <v>Heating BUS 15 Year EUL</v>
      </c>
      <c r="DG396" s="3319">
        <f>(INDEX('Avoided Cost Benefits'!$C$4:$C$857,MATCH(DF396,'Avoided Cost Benefits'!$A$4:$A$857,0)))*G396</f>
        <v>87.342594410414918</v>
      </c>
    </row>
    <row r="397" spans="2:111" x14ac:dyDescent="0.25">
      <c r="B397" s="76"/>
      <c r="C397" s="2356" t="s">
        <v>3454</v>
      </c>
      <c r="D397" s="1558" t="s">
        <v>34</v>
      </c>
      <c r="E397" s="1501" t="s">
        <v>300</v>
      </c>
      <c r="F397" s="2306">
        <f t="shared" si="138"/>
        <v>127.93</v>
      </c>
      <c r="G397" s="2306">
        <f>ROUND((P413/3.412*((1/L413)-(1/M413))*Q413),2)</f>
        <v>265.2</v>
      </c>
      <c r="H397" s="2306">
        <f t="shared" si="130"/>
        <v>393.13</v>
      </c>
      <c r="I397" s="1482" t="s">
        <v>246</v>
      </c>
      <c r="J397" s="1482" t="s">
        <v>247</v>
      </c>
      <c r="K397" s="1483">
        <v>9.1068395835808389E-4</v>
      </c>
      <c r="L397" s="1565">
        <f t="shared" si="131"/>
        <v>0.116504</v>
      </c>
      <c r="M397" s="382">
        <v>15</v>
      </c>
      <c r="N397" s="1503">
        <v>100</v>
      </c>
      <c r="O397" s="1569" t="s">
        <v>282</v>
      </c>
      <c r="P397" s="1582"/>
      <c r="Q397" s="1582"/>
      <c r="V397" s="60" t="str">
        <f>V396</f>
        <v>Cooling kWh Annual Savings (per ton)</v>
      </c>
      <c r="W397" s="70">
        <v>43.348198970840535</v>
      </c>
      <c r="X397" s="70">
        <v>43.348198970840535</v>
      </c>
      <c r="Y397" s="2286">
        <v>43.348198970840535</v>
      </c>
      <c r="Z397" s="2286">
        <v>43.348198970840535</v>
      </c>
      <c r="AA397" s="2305">
        <v>127.93</v>
      </c>
      <c r="AB397" s="2116">
        <v>127.93</v>
      </c>
      <c r="AC397" s="63"/>
      <c r="AD397" s="63"/>
      <c r="AE397" s="63"/>
      <c r="AF397" s="63"/>
      <c r="AG397" s="63"/>
      <c r="AH397" s="64"/>
      <c r="AI397" s="60" t="str">
        <f>AI396</f>
        <v>Heating kWh Annual Savings (per ton)</v>
      </c>
      <c r="AJ397" s="70">
        <v>183.94829394705997</v>
      </c>
      <c r="AK397" s="70">
        <v>183.94829394705997</v>
      </c>
      <c r="AL397" s="70">
        <v>183.94829394705997</v>
      </c>
      <c r="AM397" s="2294">
        <v>183.94829394705997</v>
      </c>
      <c r="AN397" s="2305">
        <v>265.2</v>
      </c>
      <c r="AO397" s="2116">
        <f t="shared" si="136"/>
        <v>265.2</v>
      </c>
      <c r="AP397" s="63"/>
      <c r="AQ397" s="63"/>
      <c r="AR397" s="63"/>
      <c r="AS397" s="63"/>
      <c r="AT397" s="64"/>
      <c r="AU397" s="60" t="str">
        <f>AU396</f>
        <v>Total kWh Annual Savings</v>
      </c>
      <c r="AV397" s="70">
        <v>227.29649291790051</v>
      </c>
      <c r="AW397" s="70">
        <v>227.29649291790051</v>
      </c>
      <c r="AX397" s="2294">
        <v>227.29649291790051</v>
      </c>
      <c r="AY397" s="63"/>
      <c r="AZ397" s="2287">
        <v>393.13</v>
      </c>
      <c r="BA397" s="2116">
        <v>393.13</v>
      </c>
      <c r="BB397" s="63"/>
      <c r="BC397" s="63"/>
      <c r="BD397" s="63"/>
      <c r="BE397" s="63"/>
      <c r="BF397" s="64"/>
      <c r="BG397" s="60" t="s">
        <v>24</v>
      </c>
      <c r="BH397" s="65">
        <v>15</v>
      </c>
      <c r="BI397" s="65">
        <v>15</v>
      </c>
      <c r="BJ397" s="2311">
        <v>15</v>
      </c>
      <c r="BK397" s="2311">
        <v>15</v>
      </c>
      <c r="BL397" s="2311">
        <v>15</v>
      </c>
      <c r="BM397" s="2116">
        <v>15</v>
      </c>
      <c r="BN397" s="63"/>
      <c r="BO397" s="63"/>
      <c r="BP397" s="63"/>
      <c r="BQ397" s="63"/>
      <c r="BR397" s="29"/>
      <c r="BS397" s="60" t="str">
        <f>BS396</f>
        <v>Inc. Cost     (per ton)</v>
      </c>
      <c r="BT397" s="66">
        <v>100</v>
      </c>
      <c r="BU397" s="66">
        <v>100</v>
      </c>
      <c r="BV397" s="2291">
        <v>100</v>
      </c>
      <c r="BW397" s="2291">
        <v>100</v>
      </c>
      <c r="BX397" s="2291">
        <v>100</v>
      </c>
      <c r="BY397" s="2357">
        <f t="shared" si="137"/>
        <v>100</v>
      </c>
      <c r="BZ397" s="63"/>
      <c r="CA397" s="63"/>
      <c r="CB397" s="63"/>
      <c r="CC397" s="63"/>
      <c r="DB397" s="1880">
        <f t="shared" si="132"/>
        <v>3.0325394219905535</v>
      </c>
      <c r="DC397" s="3045" t="str">
        <f t="shared" si="133"/>
        <v>Cooling BUS 15 Year EUL</v>
      </c>
      <c r="DD397" s="1341">
        <f>(INDEX('Avoided Cost Benefits'!$C$4:$C$857,MATCH(DC397,'Avoided Cost Benefits'!$A$4:$A$857,0)))*F397</f>
        <v>182.3711608039188</v>
      </c>
      <c r="DE397" s="1341">
        <f t="shared" si="134"/>
        <v>94.384143463898056</v>
      </c>
      <c r="DF397" s="3045" t="str">
        <f t="shared" si="135"/>
        <v>Heating BUS 15 Year EUL</v>
      </c>
      <c r="DG397" s="3319">
        <f>(INDEX('Avoided Cost Benefits'!$C$4:$C$857,MATCH(DF397,'Avoided Cost Benefits'!$A$4:$A$857,0)))*G397</f>
        <v>103.85247506116407</v>
      </c>
    </row>
    <row r="398" spans="2:111" x14ac:dyDescent="0.25">
      <c r="B398" s="76"/>
      <c r="C398" s="2356" t="s">
        <v>3455</v>
      </c>
      <c r="D398" s="1558" t="s">
        <v>34</v>
      </c>
      <c r="E398" s="1512" t="s">
        <v>301</v>
      </c>
      <c r="F398" s="2306">
        <f t="shared" si="138"/>
        <v>146.25</v>
      </c>
      <c r="G398" s="2306">
        <f>ROUND((P414/3.412*((1/L414)-(1/M414))*Q414),2)</f>
        <v>265.2</v>
      </c>
      <c r="H398" s="2306">
        <f t="shared" si="130"/>
        <v>411.45</v>
      </c>
      <c r="I398" s="1482" t="s">
        <v>246</v>
      </c>
      <c r="J398" s="1482" t="s">
        <v>247</v>
      </c>
      <c r="K398" s="1483">
        <v>9.1068395835808389E-4</v>
      </c>
      <c r="L398" s="1565">
        <f t="shared" si="131"/>
        <v>0.133188</v>
      </c>
      <c r="M398" s="1510">
        <v>15</v>
      </c>
      <c r="N398" s="1503">
        <v>100</v>
      </c>
      <c r="O398" s="1569" t="s">
        <v>282</v>
      </c>
      <c r="P398" s="1582"/>
      <c r="Q398" s="1582"/>
      <c r="V398" s="60" t="str">
        <f>V397</f>
        <v>Cooling kWh Annual Savings (per ton)</v>
      </c>
      <c r="W398" s="70">
        <v>138.02979145978136</v>
      </c>
      <c r="X398" s="70">
        <v>138.02979145978136</v>
      </c>
      <c r="Y398" s="2286">
        <v>138.02979145978136</v>
      </c>
      <c r="Z398" s="2286">
        <v>138.02979145978136</v>
      </c>
      <c r="AA398" s="2305">
        <v>146.25</v>
      </c>
      <c r="AB398" s="2116">
        <v>146.25</v>
      </c>
      <c r="AC398" s="63"/>
      <c r="AD398" s="63"/>
      <c r="AE398" s="63"/>
      <c r="AF398" s="63"/>
      <c r="AG398" s="63"/>
      <c r="AH398" s="64"/>
      <c r="AI398" s="60" t="str">
        <f>AI397</f>
        <v>Heating kWh Annual Savings (per ton)</v>
      </c>
      <c r="AJ398" s="70">
        <v>129.44509574052361</v>
      </c>
      <c r="AK398" s="70">
        <v>129.44509574052361</v>
      </c>
      <c r="AL398" s="70">
        <v>129.44509574052361</v>
      </c>
      <c r="AM398" s="2294">
        <v>129.44509574052361</v>
      </c>
      <c r="AN398" s="2305">
        <v>265.2</v>
      </c>
      <c r="AO398" s="2116">
        <f t="shared" si="136"/>
        <v>265.2</v>
      </c>
      <c r="AP398" s="63"/>
      <c r="AQ398" s="63"/>
      <c r="AR398" s="63"/>
      <c r="AS398" s="63"/>
      <c r="AT398" s="64"/>
      <c r="AU398" s="60" t="str">
        <f>AU397</f>
        <v>Total kWh Annual Savings</v>
      </c>
      <c r="AV398" s="70">
        <v>267.47488720030498</v>
      </c>
      <c r="AW398" s="70">
        <v>267.47488720030498</v>
      </c>
      <c r="AX398" s="2294">
        <v>267.47488720030498</v>
      </c>
      <c r="AY398" s="63"/>
      <c r="AZ398" s="2287">
        <v>411.45</v>
      </c>
      <c r="BA398" s="2116">
        <v>411.45</v>
      </c>
      <c r="BB398" s="63"/>
      <c r="BC398" s="63"/>
      <c r="BD398" s="63"/>
      <c r="BE398" s="63"/>
      <c r="BF398" s="64"/>
      <c r="BG398" s="60" t="s">
        <v>24</v>
      </c>
      <c r="BH398" s="65">
        <v>15</v>
      </c>
      <c r="BI398" s="65">
        <v>15</v>
      </c>
      <c r="BJ398" s="2311">
        <v>15</v>
      </c>
      <c r="BK398" s="2311">
        <v>15</v>
      </c>
      <c r="BL398" s="2311">
        <v>15</v>
      </c>
      <c r="BM398" s="2116">
        <v>15</v>
      </c>
      <c r="BN398" s="63"/>
      <c r="BO398" s="63"/>
      <c r="BP398" s="63"/>
      <c r="BQ398" s="63"/>
      <c r="BR398" s="29"/>
      <c r="BS398" s="60" t="str">
        <f>BS397</f>
        <v>Inc. Cost     (per ton)</v>
      </c>
      <c r="BT398" s="66">
        <v>100</v>
      </c>
      <c r="BU398" s="66">
        <v>100</v>
      </c>
      <c r="BV398" s="2291">
        <v>100</v>
      </c>
      <c r="BW398" s="2291">
        <v>100</v>
      </c>
      <c r="BX398" s="2291">
        <v>100</v>
      </c>
      <c r="BY398" s="2357">
        <f t="shared" si="137"/>
        <v>100</v>
      </c>
      <c r="BZ398" s="63"/>
      <c r="CA398" s="63"/>
      <c r="CB398" s="63"/>
      <c r="CC398" s="63"/>
      <c r="DB398" s="1880">
        <f t="shared" si="132"/>
        <v>3.3092400806359445</v>
      </c>
      <c r="DC398" s="3045" t="str">
        <f t="shared" si="133"/>
        <v>Cooling BUS 15 Year EUL</v>
      </c>
      <c r="DD398" s="1341">
        <f>(INDEX('Avoided Cost Benefits'!$C$4:$C$857,MATCH(DC398,'Avoided Cost Benefits'!$A$4:$A$857,0)))*F398</f>
        <v>208.48731546606052</v>
      </c>
      <c r="DE398" s="1341">
        <f t="shared" si="134"/>
        <v>94.384143463898056</v>
      </c>
      <c r="DF398" s="3045" t="str">
        <f t="shared" si="135"/>
        <v>Heating BUS 15 Year EUL</v>
      </c>
      <c r="DG398" s="3319">
        <f>(INDEX('Avoided Cost Benefits'!$C$4:$C$857,MATCH(DF398,'Avoided Cost Benefits'!$A$4:$A$857,0)))*G398</f>
        <v>103.85247506116407</v>
      </c>
    </row>
    <row r="399" spans="2:111" x14ac:dyDescent="0.25">
      <c r="B399" s="76"/>
      <c r="C399" s="2356" t="s">
        <v>3456</v>
      </c>
      <c r="D399" s="1558" t="s">
        <v>34</v>
      </c>
      <c r="E399" s="1512" t="s">
        <v>302</v>
      </c>
      <c r="F399" s="2306">
        <f>ROUND((F415*((1/I415)-(1/J415))*K415),2)</f>
        <v>106.52</v>
      </c>
      <c r="G399" s="2306">
        <f>ROUND((P415*((1/N415)-(1/O415))*Q415),2)</f>
        <v>222.73</v>
      </c>
      <c r="H399" s="2306">
        <f t="shared" si="130"/>
        <v>329.25</v>
      </c>
      <c r="I399" s="1482" t="s">
        <v>246</v>
      </c>
      <c r="J399" s="1482" t="s">
        <v>247</v>
      </c>
      <c r="K399" s="1483">
        <v>9.1068395835808389E-4</v>
      </c>
      <c r="L399" s="1565">
        <f t="shared" si="131"/>
        <v>9.7005999999999995E-2</v>
      </c>
      <c r="M399" s="1510">
        <v>15</v>
      </c>
      <c r="N399" s="1503">
        <v>100</v>
      </c>
      <c r="O399" s="1569" t="s">
        <v>282</v>
      </c>
      <c r="P399" s="1582"/>
      <c r="Q399" s="1582"/>
      <c r="V399" s="2361" t="str">
        <f>V398</f>
        <v>Cooling kWh Annual Savings (per ton)</v>
      </c>
      <c r="W399" s="163">
        <v>69.42857142857153</v>
      </c>
      <c r="X399" s="163">
        <v>69.42857142857153</v>
      </c>
      <c r="Y399" s="2372">
        <v>69.42857142857153</v>
      </c>
      <c r="Z399" s="2372">
        <v>69.42857142857153</v>
      </c>
      <c r="AA399" s="2373">
        <v>106.52</v>
      </c>
      <c r="AB399" s="2116">
        <v>106.52</v>
      </c>
      <c r="AC399" s="63"/>
      <c r="AD399" s="63"/>
      <c r="AE399" s="63"/>
      <c r="AF399" s="63"/>
      <c r="AG399" s="63"/>
      <c r="AH399" s="64"/>
      <c r="AI399" s="60" t="str">
        <f>AI398</f>
        <v>Heating kWh Annual Savings (per ton)</v>
      </c>
      <c r="AJ399" s="70">
        <v>61.948051948051791</v>
      </c>
      <c r="AK399" s="70">
        <v>61.948051948051791</v>
      </c>
      <c r="AL399" s="70">
        <v>61.948051948051791</v>
      </c>
      <c r="AM399" s="2294">
        <v>61.948051948051791</v>
      </c>
      <c r="AN399" s="2305">
        <v>222.73</v>
      </c>
      <c r="AO399" s="2116">
        <f t="shared" si="136"/>
        <v>222.73</v>
      </c>
      <c r="AP399" s="63"/>
      <c r="AQ399" s="63"/>
      <c r="AR399" s="63"/>
      <c r="AS399" s="63"/>
      <c r="AT399" s="64"/>
      <c r="AU399" s="60" t="str">
        <f>AU398</f>
        <v>Total kWh Annual Savings</v>
      </c>
      <c r="AV399" s="70">
        <v>131.37662337662331</v>
      </c>
      <c r="AW399" s="70">
        <v>131.37662337662331</v>
      </c>
      <c r="AX399" s="2294">
        <v>131.37662337662331</v>
      </c>
      <c r="AY399" s="63"/>
      <c r="AZ399" s="2287">
        <v>329.25</v>
      </c>
      <c r="BA399" s="2116">
        <v>329.25</v>
      </c>
      <c r="BB399" s="63"/>
      <c r="BC399" s="63"/>
      <c r="BD399" s="63"/>
      <c r="BE399" s="63"/>
      <c r="BF399" s="64"/>
      <c r="BG399" s="60" t="s">
        <v>24</v>
      </c>
      <c r="BH399" s="65">
        <v>15</v>
      </c>
      <c r="BI399" s="65">
        <v>15</v>
      </c>
      <c r="BJ399" s="2311">
        <v>15</v>
      </c>
      <c r="BK399" s="2311">
        <v>15</v>
      </c>
      <c r="BL399" s="2311">
        <v>15</v>
      </c>
      <c r="BM399" s="2116">
        <v>15</v>
      </c>
      <c r="BN399" s="63"/>
      <c r="BO399" s="63"/>
      <c r="BP399" s="63"/>
      <c r="BQ399" s="63"/>
      <c r="BR399" s="29"/>
      <c r="BS399" s="60" t="str">
        <f>BS398</f>
        <v>Inc. Cost     (per ton)</v>
      </c>
      <c r="BT399" s="66">
        <v>100</v>
      </c>
      <c r="BU399" s="66">
        <v>100</v>
      </c>
      <c r="BV399" s="2291">
        <v>100</v>
      </c>
      <c r="BW399" s="2291">
        <v>100</v>
      </c>
      <c r="BX399" s="2291">
        <v>100</v>
      </c>
      <c r="BY399" s="2357">
        <f t="shared" si="137"/>
        <v>100</v>
      </c>
      <c r="BZ399" s="63"/>
      <c r="CA399" s="63"/>
      <c r="CB399" s="63"/>
      <c r="CC399" s="63"/>
      <c r="DB399" s="1880">
        <f t="shared" si="132"/>
        <v>2.5329598047852757</v>
      </c>
      <c r="DC399" s="3045" t="str">
        <f t="shared" si="133"/>
        <v>Cooling BUS 15 Year EUL</v>
      </c>
      <c r="DD399" s="1341">
        <f>(INDEX('Avoided Cost Benefits'!$C$4:$C$857,MATCH(DC399,'Avoided Cost Benefits'!$A$4:$A$857,0)))*F399</f>
        <v>151.85004337398129</v>
      </c>
      <c r="DE399" s="1341">
        <f t="shared" si="134"/>
        <v>94.384143463898056</v>
      </c>
      <c r="DF399" s="3045" t="str">
        <f t="shared" si="135"/>
        <v>Heating BUS 15 Year EUL</v>
      </c>
      <c r="DG399" s="3319">
        <f>(INDEX('Avoided Cost Benefits'!$C$4:$C$857,MATCH(DF399,'Avoided Cost Benefits'!$A$4:$A$857,0)))*G399</f>
        <v>87.221198229159398</v>
      </c>
    </row>
    <row r="400" spans="2:111" outlineLevel="1" x14ac:dyDescent="0.25">
      <c r="E400" s="1473"/>
      <c r="F400" s="1473"/>
      <c r="G400" s="1473"/>
      <c r="H400" s="1491"/>
      <c r="I400" s="1473"/>
      <c r="J400" s="1473"/>
      <c r="K400" s="1473"/>
      <c r="M400" s="1582"/>
      <c r="N400" s="1582"/>
      <c r="O400" s="1582"/>
      <c r="P400" s="1582"/>
    </row>
    <row r="401" spans="2:106" outlineLevel="1" x14ac:dyDescent="0.25">
      <c r="D401" s="1473" t="s">
        <v>70</v>
      </c>
      <c r="E401" s="198"/>
      <c r="F401" s="1473"/>
      <c r="G401" s="1473"/>
      <c r="H401" s="1491"/>
      <c r="I401" s="1473"/>
      <c r="J401" s="1473"/>
      <c r="K401" s="198"/>
      <c r="M401" s="1582"/>
      <c r="N401" s="1582"/>
      <c r="O401" s="1582"/>
      <c r="P401" s="1582"/>
    </row>
    <row r="402" spans="2:106" outlineLevel="1" x14ac:dyDescent="0.25">
      <c r="E402" s="198"/>
      <c r="F402" s="1543" t="s">
        <v>287</v>
      </c>
      <c r="G402" s="1515"/>
      <c r="H402" s="1516"/>
      <c r="J402" s="1543" t="s">
        <v>3214</v>
      </c>
    </row>
    <row r="403" spans="2:106" outlineLevel="1" x14ac:dyDescent="0.25">
      <c r="D403" s="1492"/>
      <c r="G403" s="1515"/>
      <c r="H403" s="1516"/>
    </row>
    <row r="404" spans="2:106" outlineLevel="1" x14ac:dyDescent="0.25">
      <c r="D404" s="1492"/>
      <c r="G404" s="1470"/>
      <c r="H404" s="1493"/>
      <c r="M404" s="1473"/>
    </row>
    <row r="405" spans="2:106" outlineLevel="1" x14ac:dyDescent="0.25">
      <c r="D405" s="1492"/>
      <c r="G405" s="1470"/>
      <c r="H405" s="1493"/>
      <c r="M405" s="1473"/>
    </row>
    <row r="406" spans="2:106" outlineLevel="1" x14ac:dyDescent="0.25">
      <c r="D406" s="1492"/>
      <c r="G406" s="1470"/>
      <c r="H406" s="1493"/>
      <c r="M406" s="1473"/>
    </row>
    <row r="407" spans="2:106" outlineLevel="1" x14ac:dyDescent="0.25">
      <c r="D407" s="1492"/>
      <c r="G407" s="1470"/>
      <c r="H407" s="1493"/>
    </row>
    <row r="408" spans="2:106" s="2278" customFormat="1" outlineLevel="1" x14ac:dyDescent="0.25">
      <c r="C408" s="2313"/>
      <c r="D408" s="1492"/>
      <c r="E408" s="2312"/>
      <c r="F408" s="2312"/>
      <c r="G408" s="2312"/>
      <c r="H408" s="1493"/>
      <c r="I408" s="2312"/>
      <c r="J408" s="2312"/>
      <c r="K408" s="2312"/>
      <c r="L408" s="2312"/>
      <c r="M408" s="2312"/>
      <c r="N408" s="2312"/>
      <c r="O408" s="2312"/>
      <c r="P408" s="2312"/>
      <c r="Q408" s="2312"/>
      <c r="R408" s="2312"/>
      <c r="S408" s="2312"/>
      <c r="T408" s="2312"/>
      <c r="U408" s="2312"/>
      <c r="CE408" s="2277"/>
      <c r="CF408" s="2277"/>
      <c r="CG408" s="2277"/>
      <c r="CH408" s="2277"/>
      <c r="CT408" s="2277"/>
      <c r="CU408" s="2277"/>
      <c r="CV408" s="2277"/>
      <c r="CW408" s="2277"/>
      <c r="DB408" s="2279"/>
    </row>
    <row r="409" spans="2:106" s="77" customFormat="1" ht="30" outlineLevel="1" x14ac:dyDescent="0.25">
      <c r="C409" s="198"/>
      <c r="D409" s="1406" t="s">
        <v>17</v>
      </c>
      <c r="E409" s="1406" t="s">
        <v>119</v>
      </c>
      <c r="F409" s="110" t="s">
        <v>288</v>
      </c>
      <c r="G409" s="1406" t="s">
        <v>289</v>
      </c>
      <c r="H409" s="1406" t="s">
        <v>290</v>
      </c>
      <c r="I409" s="2338" t="s">
        <v>3429</v>
      </c>
      <c r="J409" s="2341" t="s">
        <v>3428</v>
      </c>
      <c r="K409" s="2341" t="s">
        <v>249</v>
      </c>
      <c r="L409" s="2341" t="s">
        <v>303</v>
      </c>
      <c r="M409" s="2341" t="s">
        <v>304</v>
      </c>
      <c r="N409" s="2341" t="s">
        <v>305</v>
      </c>
      <c r="O409" s="2341" t="s">
        <v>306</v>
      </c>
      <c r="P409" s="110" t="s">
        <v>307</v>
      </c>
      <c r="Q409" s="1403" t="s">
        <v>308</v>
      </c>
      <c r="R409" s="2335" t="s">
        <v>309</v>
      </c>
      <c r="S409" s="2336"/>
      <c r="T409" s="463"/>
      <c r="U409" s="463"/>
      <c r="AU409" s="26"/>
      <c r="BR409" s="26"/>
      <c r="BS409" s="26"/>
      <c r="DB409" s="97"/>
    </row>
    <row r="410" spans="2:106" outlineLevel="1" x14ac:dyDescent="0.25">
      <c r="B410" s="29"/>
      <c r="D410" s="1494" t="str">
        <f t="shared" ref="D410:D415" si="139">C394</f>
        <v>803500_2019_12_</v>
      </c>
      <c r="E410" s="1494" t="str">
        <f t="shared" ref="E410:E415" si="140">E394</f>
        <v>GSHP &lt;135kbtu; ≥17EER</v>
      </c>
      <c r="F410" s="1529">
        <v>12</v>
      </c>
      <c r="G410" s="1555">
        <v>16.2</v>
      </c>
      <c r="H410" s="1555">
        <v>17</v>
      </c>
      <c r="I410" s="2317"/>
      <c r="J410" s="2317"/>
      <c r="K410" s="1535">
        <v>1053</v>
      </c>
      <c r="L410" s="1557">
        <v>3.6</v>
      </c>
      <c r="M410" s="1557">
        <v>3.7</v>
      </c>
      <c r="N410" s="1557"/>
      <c r="O410" s="1583"/>
      <c r="P410" s="1527">
        <v>12</v>
      </c>
      <c r="Q410" s="1557">
        <v>1060</v>
      </c>
      <c r="R410" s="1584" t="s">
        <v>310</v>
      </c>
      <c r="S410" s="1556"/>
    </row>
    <row r="411" spans="2:106" outlineLevel="1" x14ac:dyDescent="0.25">
      <c r="B411" s="29"/>
      <c r="D411" s="1494" t="str">
        <f t="shared" si="139"/>
        <v>803550_2019_12_</v>
      </c>
      <c r="E411" s="1494" t="str">
        <f t="shared" si="140"/>
        <v>GSHP &lt;135kbtu; ≥19EER</v>
      </c>
      <c r="F411" s="1529">
        <v>12</v>
      </c>
      <c r="G411" s="1555">
        <v>16.2</v>
      </c>
      <c r="H411" s="1555">
        <v>19</v>
      </c>
      <c r="I411" s="2317"/>
      <c r="J411" s="2317"/>
      <c r="K411" s="1535">
        <v>1053</v>
      </c>
      <c r="L411" s="1557">
        <v>3.6</v>
      </c>
      <c r="M411" s="1557">
        <v>3.7</v>
      </c>
      <c r="N411" s="1557"/>
      <c r="O411" s="1583"/>
      <c r="P411" s="1527">
        <v>12</v>
      </c>
      <c r="Q411" s="1557">
        <v>1060</v>
      </c>
      <c r="R411" s="1584" t="s">
        <v>310</v>
      </c>
      <c r="S411" s="1556"/>
    </row>
    <row r="412" spans="2:106" outlineLevel="1" x14ac:dyDescent="0.25">
      <c r="B412" s="29"/>
      <c r="D412" s="1494" t="str">
        <f t="shared" si="139"/>
        <v>803600_2020_07_</v>
      </c>
      <c r="E412" s="1494" t="str">
        <f t="shared" si="140"/>
        <v>ASHP 65 - 135kbtu</v>
      </c>
      <c r="F412" s="1529">
        <v>12</v>
      </c>
      <c r="G412" s="2324"/>
      <c r="H412" s="2324"/>
      <c r="I412" s="2317">
        <v>11.2</v>
      </c>
      <c r="J412" s="2317">
        <f>ROUND(I412*1.12, 1)</f>
        <v>12.5</v>
      </c>
      <c r="K412" s="1535">
        <v>1053</v>
      </c>
      <c r="L412" s="1557">
        <v>2.25</v>
      </c>
      <c r="M412" s="1557">
        <v>2.6</v>
      </c>
      <c r="N412" s="1557"/>
      <c r="O412" s="1583"/>
      <c r="P412" s="1527">
        <v>12</v>
      </c>
      <c r="Q412" s="1557">
        <v>1060</v>
      </c>
      <c r="R412" s="1584" t="s">
        <v>310</v>
      </c>
      <c r="S412" s="1556"/>
    </row>
    <row r="413" spans="2:106" outlineLevel="1" x14ac:dyDescent="0.25">
      <c r="B413" s="29"/>
      <c r="D413" s="1494" t="str">
        <f t="shared" si="139"/>
        <v>803650_2020_07_</v>
      </c>
      <c r="E413" s="1494" t="str">
        <f t="shared" si="140"/>
        <v>ASHP 135 - 240kbtu</v>
      </c>
      <c r="F413" s="1529">
        <v>12</v>
      </c>
      <c r="G413" s="2324"/>
      <c r="H413" s="2324"/>
      <c r="I413" s="2317">
        <v>10.7</v>
      </c>
      <c r="J413" s="2317">
        <f t="shared" ref="J413:J415" si="141">ROUND(I413*1.12, 1)</f>
        <v>12</v>
      </c>
      <c r="K413" s="1535">
        <v>1053</v>
      </c>
      <c r="L413" s="1557">
        <v>2.0499999999999998</v>
      </c>
      <c r="M413" s="1557">
        <v>2.4</v>
      </c>
      <c r="N413" s="1557"/>
      <c r="O413" s="1583"/>
      <c r="P413" s="1527">
        <v>12</v>
      </c>
      <c r="Q413" s="1557">
        <v>1060</v>
      </c>
      <c r="R413" s="1584" t="s">
        <v>310</v>
      </c>
      <c r="S413" s="1556"/>
    </row>
    <row r="414" spans="2:106" outlineLevel="1" x14ac:dyDescent="0.25">
      <c r="B414" s="29"/>
      <c r="D414" s="1494" t="str">
        <f t="shared" si="139"/>
        <v>803700_2020_07_</v>
      </c>
      <c r="E414" s="1494" t="str">
        <f t="shared" si="140"/>
        <v>ASHP &gt;240kbtu</v>
      </c>
      <c r="F414" s="1529">
        <v>12</v>
      </c>
      <c r="G414" s="2324"/>
      <c r="H414" s="2324"/>
      <c r="I414" s="2317">
        <v>9.6</v>
      </c>
      <c r="J414" s="2317">
        <f t="shared" si="141"/>
        <v>10.8</v>
      </c>
      <c r="K414" s="1535">
        <v>1053</v>
      </c>
      <c r="L414" s="1557">
        <v>2.0499999999999998</v>
      </c>
      <c r="M414" s="1557">
        <v>2.4</v>
      </c>
      <c r="N414" s="1557"/>
      <c r="O414" s="1583"/>
      <c r="P414" s="1527">
        <v>12</v>
      </c>
      <c r="Q414" s="1557">
        <v>1060</v>
      </c>
      <c r="R414" s="1584" t="s">
        <v>310</v>
      </c>
      <c r="S414" s="1556"/>
    </row>
    <row r="415" spans="2:106" outlineLevel="1" x14ac:dyDescent="0.25">
      <c r="B415" s="29"/>
      <c r="D415" s="1494" t="str">
        <f t="shared" si="139"/>
        <v>803750_2020_07_</v>
      </c>
      <c r="E415" s="1494" t="str">
        <f t="shared" si="140"/>
        <v>ASHP &lt;65kbtu</v>
      </c>
      <c r="F415" s="1529">
        <v>12</v>
      </c>
      <c r="G415" s="1555"/>
      <c r="H415" s="1555"/>
      <c r="I415" s="2317">
        <v>13</v>
      </c>
      <c r="J415" s="2317">
        <f t="shared" si="141"/>
        <v>14.6</v>
      </c>
      <c r="K415" s="1535">
        <v>1053</v>
      </c>
      <c r="L415" s="1535"/>
      <c r="M415" s="1535"/>
      <c r="N415" s="1557">
        <v>7.7</v>
      </c>
      <c r="O415" s="1583">
        <v>8.9</v>
      </c>
      <c r="P415" s="1527">
        <v>12</v>
      </c>
      <c r="Q415" s="1557">
        <v>1060</v>
      </c>
      <c r="R415" s="1584" t="s">
        <v>311</v>
      </c>
      <c r="S415" s="1556"/>
    </row>
    <row r="418" spans="2:112" s="50" customFormat="1" ht="30" x14ac:dyDescent="0.25">
      <c r="B418" s="51"/>
      <c r="C418" s="52" t="s">
        <v>17</v>
      </c>
      <c r="D418" s="52" t="s">
        <v>18</v>
      </c>
      <c r="E418" s="1435" t="s">
        <v>19</v>
      </c>
      <c r="F418" s="1435" t="s">
        <v>280</v>
      </c>
      <c r="G418" s="1435" t="s">
        <v>21</v>
      </c>
      <c r="H418" s="53" t="s">
        <v>22</v>
      </c>
      <c r="I418" s="1435" t="s">
        <v>23</v>
      </c>
      <c r="J418" s="1435" t="s">
        <v>24</v>
      </c>
      <c r="K418" s="52" t="s">
        <v>294</v>
      </c>
      <c r="L418" s="52" t="s">
        <v>26</v>
      </c>
      <c r="M418" s="1470"/>
      <c r="N418" s="1470"/>
      <c r="O418" s="1470"/>
      <c r="P418" s="1480"/>
      <c r="Q418" s="1480"/>
      <c r="R418" s="1480"/>
      <c r="S418" s="1480"/>
      <c r="T418" s="1480"/>
      <c r="U418" s="1480"/>
      <c r="V418" s="55" t="s">
        <v>27</v>
      </c>
      <c r="W418" s="56">
        <f>$W$8</f>
        <v>43252</v>
      </c>
      <c r="X418" s="56">
        <f>$X$8</f>
        <v>43465</v>
      </c>
      <c r="Y418" s="56">
        <f>$Y$8</f>
        <v>43800</v>
      </c>
      <c r="Z418" s="56">
        <f>$Z$8</f>
        <v>43862</v>
      </c>
      <c r="AA418" s="56">
        <f>$AA$8</f>
        <v>44013</v>
      </c>
      <c r="AB418" s="56">
        <v>44166</v>
      </c>
      <c r="AC418" s="56" t="str">
        <f>$AC$8</f>
        <v>-</v>
      </c>
      <c r="AD418" s="56" t="str">
        <f>$AD$8</f>
        <v>-</v>
      </c>
      <c r="AE418" s="56" t="str">
        <f>$AE$8</f>
        <v>-</v>
      </c>
      <c r="AF418" s="56" t="str">
        <f>$AF$8</f>
        <v>-</v>
      </c>
      <c r="AG418" s="56" t="str">
        <f>$AG$8</f>
        <v>-</v>
      </c>
      <c r="AH418"/>
      <c r="AI418" s="55" t="s">
        <v>27</v>
      </c>
      <c r="AJ418" s="56">
        <v>43252</v>
      </c>
      <c r="AK418" s="56">
        <f>$X$8</f>
        <v>43465</v>
      </c>
      <c r="AL418" s="56">
        <f>$Y$8</f>
        <v>43800</v>
      </c>
      <c r="AM418" s="56">
        <f>$Z$8</f>
        <v>43862</v>
      </c>
      <c r="AN418" s="56">
        <f>$AA$8</f>
        <v>44013</v>
      </c>
      <c r="AO418" s="56">
        <f>$AB$8</f>
        <v>44166</v>
      </c>
      <c r="AP418" s="56" t="str">
        <f>$AC$8</f>
        <v>-</v>
      </c>
      <c r="AQ418" s="56" t="str">
        <f>$AD$8</f>
        <v>-</v>
      </c>
      <c r="AR418" s="56" t="str">
        <f>$AE$8</f>
        <v>-</v>
      </c>
      <c r="AS418" s="56" t="str">
        <f>$AF$8</f>
        <v>-</v>
      </c>
      <c r="AT418" s="29"/>
      <c r="AU418" s="55" t="s">
        <v>27</v>
      </c>
      <c r="AV418" s="56">
        <v>43252</v>
      </c>
      <c r="AW418" s="56">
        <f>$X$8</f>
        <v>43465</v>
      </c>
      <c r="AX418" s="56">
        <f>$Y$8</f>
        <v>43800</v>
      </c>
      <c r="AY418" s="56">
        <f>$Z$8</f>
        <v>43862</v>
      </c>
      <c r="AZ418" s="56">
        <f>$AA$8</f>
        <v>44013</v>
      </c>
      <c r="BA418" s="56">
        <v>44166</v>
      </c>
      <c r="BB418" s="56" t="str">
        <f>$AC$8</f>
        <v>-</v>
      </c>
      <c r="BC418" s="56" t="str">
        <f>$AD$8</f>
        <v>-</v>
      </c>
      <c r="BD418" s="56" t="str">
        <f>$AE$8</f>
        <v>-</v>
      </c>
      <c r="BE418" s="56" t="str">
        <f>$AF$8</f>
        <v>-</v>
      </c>
      <c r="DB418" s="57" t="str">
        <f>$DB$8</f>
        <v>TRC (2020)</v>
      </c>
      <c r="DC418" s="93" t="str">
        <f>$DC$8</f>
        <v>Benefit Lookup</v>
      </c>
      <c r="DD418" s="93" t="str">
        <f>$DD$8</f>
        <v>Benefits (2019 $)</v>
      </c>
      <c r="DE418" s="93" t="str">
        <f>$DE$8</f>
        <v>Incremental Cost (2019 $)</v>
      </c>
    </row>
    <row r="419" spans="2:112" x14ac:dyDescent="0.25">
      <c r="C419" s="2356" t="s">
        <v>312</v>
      </c>
      <c r="D419" s="1558" t="s">
        <v>34</v>
      </c>
      <c r="E419" s="1512" t="s">
        <v>313</v>
      </c>
      <c r="F419" s="183">
        <f>ROUND(F429*(G429-H429)*I429,2)</f>
        <v>411</v>
      </c>
      <c r="G419" s="1482" t="s">
        <v>246</v>
      </c>
      <c r="H419" s="1483">
        <f>VLOOKUP(G419,'CP FACTORS'!$A$26:$B$38,2,FALSE)</f>
        <v>9.1068400000000004E-4</v>
      </c>
      <c r="I419" s="1502">
        <f>ROUND(H419*F419,6)</f>
        <v>0.37429099999999998</v>
      </c>
      <c r="J419" s="382">
        <v>20</v>
      </c>
      <c r="K419" s="1503">
        <v>106.23</v>
      </c>
      <c r="L419" s="1569" t="s">
        <v>282</v>
      </c>
      <c r="M419" s="4105"/>
      <c r="N419" s="4105"/>
      <c r="O419" s="4105"/>
      <c r="V419" s="60" t="str">
        <f>F418</f>
        <v>kWh Annual Savings (per ton)</v>
      </c>
      <c r="W419" s="70">
        <v>411</v>
      </c>
      <c r="X419" s="70">
        <v>411</v>
      </c>
      <c r="Y419" s="163">
        <v>411</v>
      </c>
      <c r="Z419" s="163">
        <v>411</v>
      </c>
      <c r="AA419" s="163">
        <v>411</v>
      </c>
      <c r="AB419" s="2116">
        <v>411</v>
      </c>
      <c r="AC419" s="2510"/>
      <c r="AD419" s="2510"/>
      <c r="AE419" s="2510"/>
      <c r="AF419" s="2510"/>
      <c r="AG419" s="2510"/>
      <c r="AH419" s="2511"/>
      <c r="AI419" s="2434" t="s">
        <v>24</v>
      </c>
      <c r="AJ419" s="87">
        <v>20</v>
      </c>
      <c r="AK419" s="87">
        <v>20</v>
      </c>
      <c r="AL419" s="87">
        <v>20</v>
      </c>
      <c r="AM419" s="87">
        <v>20</v>
      </c>
      <c r="AN419" s="87">
        <v>20</v>
      </c>
      <c r="AO419" s="2504">
        <f>J419</f>
        <v>20</v>
      </c>
      <c r="AP419" s="2510"/>
      <c r="AQ419" s="2510"/>
      <c r="AR419" s="2510"/>
      <c r="AS419" s="2510"/>
      <c r="AT419" s="2280"/>
      <c r="AU419" s="2434" t="str">
        <f>K418</f>
        <v>Inc. Cost (per ton)</v>
      </c>
      <c r="AV419" s="2513">
        <v>106.23</v>
      </c>
      <c r="AW419" s="2513">
        <v>106.23</v>
      </c>
      <c r="AX419" s="2513">
        <v>106.23</v>
      </c>
      <c r="AY419" s="2513">
        <v>106.23</v>
      </c>
      <c r="AZ419" s="2513">
        <v>106.23</v>
      </c>
      <c r="BA419" s="2514">
        <v>106.23</v>
      </c>
      <c r="BB419" s="2510"/>
      <c r="BC419" s="2510"/>
      <c r="BD419" s="2510"/>
      <c r="BE419" s="2510"/>
      <c r="BF419" s="2280"/>
      <c r="BG419" s="2280"/>
      <c r="BH419" s="2280"/>
      <c r="BI419" s="2280"/>
      <c r="BJ419" s="2280"/>
      <c r="BK419" s="2280"/>
      <c r="BL419" s="2280"/>
      <c r="DB419" s="107">
        <f>(DD419)/(DE419)</f>
        <v>7.3595302367685331</v>
      </c>
      <c r="DC419" s="68" t="str">
        <f>CONCATENATE(G419," ",J419," Year EUL")</f>
        <v>Cooling BUS 20 Year EUL</v>
      </c>
      <c r="DD419" s="108">
        <f>(INDEX('Avoided Cost Benefits'!$C$4:$C$857,MATCH(DC419,'Avoided Cost Benefits'!$A$4:$A$857,0)))*F419</f>
        <v>737.89796795839663</v>
      </c>
      <c r="DE419" s="109">
        <f>K419/(1.0595^(2020-2019))</f>
        <v>100.26427560169891</v>
      </c>
    </row>
    <row r="420" spans="2:112" outlineLevel="1" x14ac:dyDescent="0.25">
      <c r="E420" s="1473"/>
      <c r="F420" s="1473"/>
      <c r="G420" s="1473"/>
      <c r="H420" s="1491"/>
      <c r="I420" s="1473"/>
      <c r="J420" s="1473"/>
      <c r="K420" s="1473"/>
      <c r="M420" s="4105"/>
      <c r="N420" s="4105"/>
      <c r="O420" s="4105"/>
      <c r="Y420" s="2280"/>
      <c r="Z420" s="2280"/>
      <c r="AA420" s="2280"/>
      <c r="AB420" s="2280"/>
      <c r="AC420" s="2280"/>
      <c r="AD420" s="2280"/>
      <c r="AE420" s="2280"/>
      <c r="AF420" s="2280"/>
      <c r="AG420" s="2280"/>
      <c r="AH420" s="2280"/>
      <c r="AI420" s="2280"/>
      <c r="AJ420" s="2280"/>
      <c r="AK420" s="2280"/>
      <c r="AL420" s="2280"/>
      <c r="AM420" s="2280"/>
      <c r="AN420" s="2280"/>
      <c r="AO420" s="2280"/>
      <c r="AP420" s="2280"/>
      <c r="AQ420" s="2280"/>
      <c r="AR420" s="2280"/>
      <c r="AS420" s="2280"/>
      <c r="AT420" s="2280"/>
      <c r="AU420" s="2280"/>
      <c r="AV420" s="2280"/>
      <c r="AW420" s="2280"/>
      <c r="AX420" s="2280"/>
      <c r="AY420" s="2280"/>
      <c r="AZ420" s="2280"/>
      <c r="BA420" s="2280"/>
      <c r="BB420" s="2280"/>
      <c r="BC420" s="2280"/>
      <c r="BD420" s="2280"/>
      <c r="BE420" s="2280"/>
      <c r="BF420" s="2280"/>
      <c r="BG420" s="2280"/>
      <c r="BH420" s="2280"/>
      <c r="BI420" s="2280"/>
      <c r="BJ420" s="2280"/>
      <c r="BK420" s="2280"/>
      <c r="BL420" s="2280"/>
    </row>
    <row r="421" spans="2:112" outlineLevel="1" x14ac:dyDescent="0.25">
      <c r="D421" s="1473" t="s">
        <v>70</v>
      </c>
      <c r="E421" s="198"/>
      <c r="F421" s="1473"/>
      <c r="G421" s="1473"/>
      <c r="H421" s="1491"/>
      <c r="I421" s="1473"/>
      <c r="J421" s="1473"/>
      <c r="K421" s="1473"/>
      <c r="M421" s="4105"/>
      <c r="N421" s="4105"/>
      <c r="O421" s="4105"/>
      <c r="Y421" s="2280"/>
      <c r="Z421" s="2280"/>
      <c r="AA421" s="2280"/>
      <c r="AB421" s="2280"/>
      <c r="AC421" s="2280"/>
      <c r="AD421" s="2280"/>
      <c r="AE421" s="2280"/>
      <c r="AF421" s="2280"/>
      <c r="AG421" s="2280"/>
      <c r="AH421" s="2280"/>
      <c r="AI421" s="2280"/>
      <c r="AJ421" s="2280"/>
      <c r="AK421" s="2280"/>
      <c r="AL421" s="2280"/>
      <c r="AM421" s="2280"/>
      <c r="AN421" s="2280"/>
      <c r="AO421" s="2280"/>
      <c r="AP421" s="2280"/>
      <c r="AQ421" s="2280"/>
      <c r="AR421" s="2280"/>
      <c r="AS421" s="2280"/>
      <c r="AT421" s="2280"/>
      <c r="AU421" s="2280"/>
      <c r="AV421" s="2280"/>
      <c r="AW421" s="2280"/>
      <c r="AX421" s="2280"/>
      <c r="AY421" s="2280"/>
      <c r="AZ421" s="2280"/>
      <c r="BA421" s="2280"/>
      <c r="BB421" s="2280"/>
      <c r="BC421" s="2280"/>
      <c r="BD421" s="2280"/>
      <c r="BE421" s="2280"/>
      <c r="BF421" s="2280"/>
      <c r="BG421" s="2280"/>
      <c r="BH421" s="2280"/>
      <c r="BI421" s="2280"/>
      <c r="BJ421" s="2280"/>
      <c r="BK421" s="2280"/>
      <c r="BL421" s="2280"/>
    </row>
    <row r="422" spans="2:112" outlineLevel="1" x14ac:dyDescent="0.25">
      <c r="D422" s="1492"/>
      <c r="E422" s="198"/>
      <c r="F422" s="1543"/>
      <c r="G422" s="1515"/>
      <c r="H422" s="1516"/>
      <c r="Y422" s="2280"/>
      <c r="Z422" s="2280"/>
      <c r="AA422" s="2280"/>
      <c r="AB422" s="2280"/>
      <c r="AC422" s="2280"/>
      <c r="AD422" s="2280"/>
      <c r="AE422" s="2280"/>
      <c r="AF422" s="2280"/>
      <c r="AG422" s="2280"/>
      <c r="AH422" s="2280"/>
      <c r="AI422" s="2280"/>
      <c r="AJ422" s="2280"/>
      <c r="AK422" s="2280"/>
      <c r="AL422" s="2280"/>
      <c r="AM422" s="2280"/>
      <c r="AN422" s="2280"/>
      <c r="AO422" s="2280"/>
      <c r="AP422" s="2280"/>
      <c r="AQ422" s="2280"/>
      <c r="AR422" s="2280"/>
      <c r="AS422" s="2280"/>
      <c r="AT422" s="2280"/>
      <c r="AU422" s="2280"/>
      <c r="AV422" s="2280"/>
      <c r="AW422" s="2280"/>
      <c r="AX422" s="2280"/>
      <c r="AY422" s="2280"/>
      <c r="AZ422" s="2280"/>
      <c r="BA422" s="2280"/>
      <c r="BB422" s="2280"/>
      <c r="BC422" s="2280"/>
      <c r="BD422" s="2280"/>
      <c r="BE422" s="2280"/>
      <c r="BF422" s="2280"/>
      <c r="BG422" s="2280"/>
      <c r="BH422" s="2280"/>
      <c r="BI422" s="2280"/>
      <c r="BJ422" s="2280"/>
      <c r="BK422" s="2280"/>
      <c r="BL422" s="2280"/>
    </row>
    <row r="423" spans="2:112" outlineLevel="1" x14ac:dyDescent="0.25">
      <c r="D423" s="1492"/>
      <c r="G423" s="1515"/>
      <c r="H423" s="1516"/>
      <c r="Y423" s="2280"/>
      <c r="Z423" s="2280"/>
      <c r="AA423" s="2280"/>
      <c r="AB423" s="2280"/>
      <c r="AC423" s="2280"/>
      <c r="AD423" s="2280"/>
      <c r="AE423" s="2280"/>
      <c r="AF423" s="2280"/>
      <c r="AG423" s="2280"/>
      <c r="AH423" s="2280"/>
      <c r="AI423" s="2280"/>
      <c r="AJ423" s="2280"/>
      <c r="AK423" s="2280"/>
      <c r="AL423" s="2280"/>
      <c r="AM423" s="2280"/>
      <c r="AN423" s="2280"/>
      <c r="AO423" s="2280"/>
      <c r="AP423" s="2280"/>
      <c r="AQ423" s="2280"/>
      <c r="AR423" s="2280"/>
      <c r="AS423" s="2280"/>
      <c r="AT423" s="2280"/>
      <c r="AU423" s="2280"/>
      <c r="AV423" s="2280"/>
      <c r="AW423" s="2280"/>
      <c r="AX423" s="2280"/>
      <c r="AY423" s="2280"/>
      <c r="AZ423" s="2280"/>
      <c r="BA423" s="2280"/>
      <c r="BB423" s="2280"/>
      <c r="BC423" s="2280"/>
      <c r="BD423" s="2280"/>
      <c r="BE423" s="2280"/>
      <c r="BF423" s="2280"/>
      <c r="BG423" s="2280"/>
      <c r="BH423" s="2280"/>
      <c r="BI423" s="2280"/>
      <c r="BJ423" s="2280"/>
      <c r="BK423" s="2280"/>
      <c r="BL423" s="2280"/>
    </row>
    <row r="424" spans="2:112" outlineLevel="1" x14ac:dyDescent="0.25">
      <c r="D424" s="1492"/>
      <c r="G424" s="1470"/>
      <c r="H424" s="1493"/>
    </row>
    <row r="425" spans="2:112" outlineLevel="1" x14ac:dyDescent="0.25">
      <c r="D425" s="1492"/>
      <c r="G425" s="1470"/>
      <c r="H425" s="1493"/>
    </row>
    <row r="426" spans="2:112" outlineLevel="1" x14ac:dyDescent="0.25">
      <c r="D426" s="1492"/>
      <c r="G426" s="1470"/>
      <c r="H426" s="1493"/>
    </row>
    <row r="427" spans="2:112" outlineLevel="1" x14ac:dyDescent="0.25">
      <c r="D427" s="1492"/>
      <c r="G427" s="1470"/>
      <c r="H427" s="1493"/>
    </row>
    <row r="428" spans="2:112" s="77" customFormat="1" outlineLevel="1" x14ac:dyDescent="0.25">
      <c r="C428" s="198"/>
      <c r="D428" s="1406" t="s">
        <v>17</v>
      </c>
      <c r="E428" s="1406" t="s">
        <v>119</v>
      </c>
      <c r="F428" s="110" t="s">
        <v>314</v>
      </c>
      <c r="G428" s="1406" t="s">
        <v>315</v>
      </c>
      <c r="H428" s="1406" t="s">
        <v>316</v>
      </c>
      <c r="I428" s="1406" t="s">
        <v>292</v>
      </c>
      <c r="J428" s="463"/>
      <c r="K428" s="463"/>
      <c r="L428" s="463"/>
      <c r="M428" s="463"/>
      <c r="N428" s="463"/>
      <c r="O428" s="463"/>
      <c r="P428" s="463"/>
      <c r="Q428" s="463"/>
      <c r="R428" s="463"/>
      <c r="S428" s="463"/>
      <c r="T428" s="463"/>
      <c r="U428" s="463"/>
      <c r="DB428" s="97"/>
    </row>
    <row r="429" spans="2:112" outlineLevel="1" x14ac:dyDescent="0.25">
      <c r="D429" s="1494" t="str">
        <f>C419</f>
        <v>803800_2019_12_</v>
      </c>
      <c r="E429" s="1494" t="str">
        <f>E419</f>
        <v>Air Cooled Chiller</v>
      </c>
      <c r="F429" s="1585">
        <v>1</v>
      </c>
      <c r="G429" s="1586">
        <f>12/(3.66*3.412)</f>
        <v>0.96092864143908663</v>
      </c>
      <c r="H429" s="1555">
        <v>0.57061525112569633</v>
      </c>
      <c r="I429" s="1555">
        <v>1053</v>
      </c>
    </row>
    <row r="432" spans="2:112" s="46" customFormat="1" x14ac:dyDescent="0.25">
      <c r="B432" s="4089" t="s">
        <v>317</v>
      </c>
      <c r="C432" s="4090"/>
      <c r="D432" s="4090"/>
      <c r="E432" s="4090"/>
      <c r="F432" s="4090"/>
      <c r="G432" s="4090"/>
      <c r="H432" s="4090"/>
      <c r="I432" s="4091"/>
      <c r="J432" s="4091"/>
      <c r="K432" s="4091"/>
      <c r="L432" s="4091"/>
      <c r="M432" s="3354"/>
      <c r="N432" s="3354"/>
      <c r="O432" s="3355"/>
      <c r="V432" s="47" t="str">
        <f>B432</f>
        <v>Appliances</v>
      </c>
      <c r="W432" s="48"/>
      <c r="X432" s="48"/>
      <c r="Y432" s="48"/>
      <c r="Z432" s="48"/>
      <c r="AA432" s="48"/>
      <c r="AB432" s="48"/>
      <c r="AC432" s="48"/>
      <c r="AD432" s="48"/>
      <c r="AE432" s="48"/>
      <c r="AF432" s="48"/>
      <c r="AG432" s="48"/>
      <c r="AH432" s="48"/>
      <c r="AI432" s="49"/>
      <c r="AJ432" s="26"/>
      <c r="AK432" s="26"/>
      <c r="AL432" s="26"/>
      <c r="AM432" s="26"/>
      <c r="AN432" s="26"/>
      <c r="AO432" s="26"/>
      <c r="AP432" s="26"/>
      <c r="AQ432" s="26"/>
      <c r="AR432" s="26"/>
      <c r="AS432" s="26"/>
      <c r="AT432" s="26"/>
      <c r="AU432" s="26"/>
      <c r="DB432" s="98"/>
      <c r="DG432" s="2282"/>
      <c r="DH432" s="2282"/>
    </row>
    <row r="433" spans="2:109" x14ac:dyDescent="0.25">
      <c r="D433" s="1478"/>
      <c r="E433" s="1473"/>
      <c r="F433" s="1473"/>
      <c r="G433" s="1473"/>
      <c r="H433" s="1479"/>
      <c r="I433" s="1473"/>
      <c r="J433" s="1473"/>
      <c r="K433" s="1473"/>
      <c r="L433" s="1473"/>
      <c r="P433" s="1473"/>
      <c r="Q433" s="1473"/>
      <c r="R433" s="1473"/>
      <c r="S433" s="1473"/>
      <c r="T433" s="1473"/>
      <c r="U433" s="1473"/>
      <c r="V433"/>
      <c r="W433"/>
      <c r="X433"/>
      <c r="Y433"/>
      <c r="Z433"/>
      <c r="AA433"/>
      <c r="AB433"/>
      <c r="AC433"/>
      <c r="AD433"/>
      <c r="AE433"/>
      <c r="AF433"/>
      <c r="AG433"/>
      <c r="AH433"/>
      <c r="AI433"/>
      <c r="AJ433" s="44"/>
      <c r="AK433" s="44"/>
      <c r="AL433" s="44"/>
      <c r="AM433" s="44"/>
      <c r="AN433" s="44"/>
      <c r="AO433" s="44"/>
      <c r="AP433" s="44"/>
      <c r="AQ433" s="44"/>
      <c r="AR433" s="44"/>
      <c r="AS433" s="44"/>
      <c r="AT433" s="44"/>
      <c r="AU433" s="44"/>
    </row>
    <row r="434" spans="2:109" s="50" customFormat="1" ht="30" x14ac:dyDescent="0.25">
      <c r="B434" s="51"/>
      <c r="C434" s="52" t="s">
        <v>17</v>
      </c>
      <c r="D434" s="52" t="s">
        <v>18</v>
      </c>
      <c r="E434" s="1435" t="s">
        <v>19</v>
      </c>
      <c r="F434" s="1435" t="s">
        <v>20</v>
      </c>
      <c r="G434" s="1435" t="s">
        <v>21</v>
      </c>
      <c r="H434" s="53" t="s">
        <v>22</v>
      </c>
      <c r="I434" s="1435" t="s">
        <v>23</v>
      </c>
      <c r="J434" s="1435" t="s">
        <v>24</v>
      </c>
      <c r="K434" s="52" t="s">
        <v>25</v>
      </c>
      <c r="L434" s="52" t="s">
        <v>26</v>
      </c>
      <c r="M434" s="1470"/>
      <c r="N434" s="1587"/>
      <c r="O434" s="1562"/>
      <c r="P434" s="1563"/>
      <c r="Q434" s="1480"/>
      <c r="R434" s="1480"/>
      <c r="S434" s="1480"/>
      <c r="T434" s="1480"/>
      <c r="U434" s="1480"/>
      <c r="V434" s="55" t="s">
        <v>27</v>
      </c>
      <c r="W434" s="56">
        <f>$W$8</f>
        <v>43252</v>
      </c>
      <c r="X434" s="56">
        <f>$X$8</f>
        <v>43465</v>
      </c>
      <c r="Y434" s="56">
        <f>$Y$8</f>
        <v>43800</v>
      </c>
      <c r="Z434" s="56">
        <f>$Z$8</f>
        <v>43862</v>
      </c>
      <c r="AA434" s="56">
        <f>$AA$8</f>
        <v>44013</v>
      </c>
      <c r="AB434" s="56">
        <v>44166</v>
      </c>
      <c r="AC434" s="56" t="str">
        <f>$AC$8</f>
        <v>-</v>
      </c>
      <c r="AD434" s="56" t="str">
        <f>$AD$8</f>
        <v>-</v>
      </c>
      <c r="AE434" s="56" t="str">
        <f>$AE$8</f>
        <v>-</v>
      </c>
      <c r="AF434" s="56" t="str">
        <f>$AF$8</f>
        <v>-</v>
      </c>
      <c r="AG434" s="56" t="str">
        <f>$AG$8</f>
        <v>-</v>
      </c>
      <c r="AH434"/>
      <c r="AI434" s="55" t="s">
        <v>27</v>
      </c>
      <c r="AJ434" s="56">
        <v>43252</v>
      </c>
      <c r="AK434" s="56">
        <f>$X$8</f>
        <v>43465</v>
      </c>
      <c r="AL434" s="56">
        <f>$Y$8</f>
        <v>43800</v>
      </c>
      <c r="AM434" s="56">
        <f>$Z$8</f>
        <v>43862</v>
      </c>
      <c r="AN434" s="56">
        <f>$AA$8</f>
        <v>44013</v>
      </c>
      <c r="AO434" s="56">
        <f>$AB$8</f>
        <v>44166</v>
      </c>
      <c r="AP434" s="56" t="str">
        <f>$AC$8</f>
        <v>-</v>
      </c>
      <c r="AQ434" s="56" t="str">
        <f>$AD$8</f>
        <v>-</v>
      </c>
      <c r="AR434" s="56" t="str">
        <f>$AE$8</f>
        <v>-</v>
      </c>
      <c r="AS434" s="56" t="str">
        <f>$AF$8</f>
        <v>-</v>
      </c>
      <c r="AT434" s="29"/>
      <c r="AU434" s="55" t="s">
        <v>27</v>
      </c>
      <c r="AV434" s="56">
        <v>43252</v>
      </c>
      <c r="AW434" s="56">
        <f>$X$8</f>
        <v>43465</v>
      </c>
      <c r="AX434" s="56">
        <f>$Y$8</f>
        <v>43800</v>
      </c>
      <c r="AY434" s="56">
        <f>$Z$8</f>
        <v>43862</v>
      </c>
      <c r="AZ434" s="56">
        <f>$AA$8</f>
        <v>44013</v>
      </c>
      <c r="BA434" s="56">
        <v>44166</v>
      </c>
      <c r="BB434" s="56" t="str">
        <f>$AC$8</f>
        <v>-</v>
      </c>
      <c r="BC434" s="56" t="str">
        <f>$AD$8</f>
        <v>-</v>
      </c>
      <c r="BD434" s="56" t="str">
        <f>$AE$8</f>
        <v>-</v>
      </c>
      <c r="BE434" s="56" t="str">
        <f>$AF$8</f>
        <v>-</v>
      </c>
      <c r="DB434" s="57" t="str">
        <f>$DB$8</f>
        <v>TRC (2020)</v>
      </c>
      <c r="DC434" s="93" t="str">
        <f>$DC$8</f>
        <v>Benefit Lookup</v>
      </c>
      <c r="DD434" s="93" t="str">
        <f>$DD$8</f>
        <v>Benefits (2019 $)</v>
      </c>
      <c r="DE434" s="93" t="str">
        <f>$DE$8</f>
        <v>Incremental Cost (2019 $)</v>
      </c>
    </row>
    <row r="435" spans="2:109" x14ac:dyDescent="0.25">
      <c r="C435" s="2969" t="s">
        <v>318</v>
      </c>
      <c r="D435" s="1558" t="s">
        <v>34</v>
      </c>
      <c r="E435" s="1501" t="s">
        <v>319</v>
      </c>
      <c r="F435" s="183">
        <f>ROUND(((F448*(1/G448)*I448)*(J448+(L448*P448)+(N448*Q448)))-((F448*(1/H448)*I448)*(K448+(M448*P448)+(O448*Q448))),2)</f>
        <v>907.62</v>
      </c>
      <c r="G435" s="1482" t="s">
        <v>61</v>
      </c>
      <c r="H435" s="1483">
        <f>VLOOKUP(G435,'CP FACTORS'!$A$26:$B$38,2,FALSE)</f>
        <v>1.379439E-4</v>
      </c>
      <c r="I435" s="1502">
        <f>ROUND(H435*F435,6)</f>
        <v>0.12520100000000001</v>
      </c>
      <c r="J435" s="1548">
        <v>11</v>
      </c>
      <c r="K435" s="1503">
        <v>200</v>
      </c>
      <c r="L435" s="1569" t="s">
        <v>37</v>
      </c>
      <c r="V435" s="2434" t="s">
        <v>20</v>
      </c>
      <c r="W435" s="163">
        <v>907.62032085561532</v>
      </c>
      <c r="X435" s="163">
        <v>907.62032085561532</v>
      </c>
      <c r="Y435" s="163">
        <v>907.62032085561532</v>
      </c>
      <c r="Z435" s="163">
        <v>907.62032085561532</v>
      </c>
      <c r="AA435" s="163">
        <v>907.62032085561532</v>
      </c>
      <c r="AB435" s="2116">
        <v>907.62</v>
      </c>
      <c r="AC435" s="2510"/>
      <c r="AD435" s="2510"/>
      <c r="AE435" s="2510"/>
      <c r="AF435" s="2510"/>
      <c r="AG435" s="2510"/>
      <c r="AH435" s="2511"/>
      <c r="AI435" s="2434" t="s">
        <v>24</v>
      </c>
      <c r="AJ435" s="87">
        <v>11</v>
      </c>
      <c r="AK435" s="87">
        <v>11</v>
      </c>
      <c r="AL435" s="87">
        <v>11</v>
      </c>
      <c r="AM435" s="87">
        <v>11</v>
      </c>
      <c r="AN435" s="87">
        <v>11</v>
      </c>
      <c r="AO435" s="2504">
        <f>J435</f>
        <v>11</v>
      </c>
      <c r="AP435" s="2510"/>
      <c r="AQ435" s="2510"/>
      <c r="AR435" s="2510"/>
      <c r="AS435" s="2510"/>
      <c r="AT435" s="2280"/>
      <c r="AU435" s="2434" t="s">
        <v>25</v>
      </c>
      <c r="AV435" s="2513">
        <v>200</v>
      </c>
      <c r="AW435" s="2513">
        <v>200</v>
      </c>
      <c r="AX435" s="2513">
        <v>200</v>
      </c>
      <c r="AY435" s="2513">
        <v>200</v>
      </c>
      <c r="AZ435" s="2513">
        <v>200</v>
      </c>
      <c r="BA435" s="2514">
        <v>200</v>
      </c>
      <c r="BB435" s="2510"/>
      <c r="BC435" s="2510"/>
      <c r="BD435" s="2510"/>
      <c r="BE435" s="2510"/>
      <c r="BF435" s="2280"/>
      <c r="BG435" s="2280"/>
      <c r="BH435" s="2280"/>
      <c r="BI435" s="2280"/>
      <c r="BJ435" s="2280"/>
      <c r="BK435" s="2280"/>
      <c r="BL435" s="2280"/>
      <c r="DB435" s="67">
        <f>(DD435)/(DE435)</f>
        <v>1.9297176618985081</v>
      </c>
      <c r="DC435" s="68" t="str">
        <f>CONCATENATE(G435," ",J435," Year EUL")</f>
        <v>Miscellaneous BUS 11 Year EUL</v>
      </c>
      <c r="DD435" s="94">
        <f>(INDEX('Avoided Cost Benefits'!$C$4:$C$857,MATCH(DC435,'Avoided Cost Benefits'!$A$4:$A$857,0)))*F435</f>
        <v>364.26949729089341</v>
      </c>
      <c r="DE435" s="69">
        <f>K435/(1.0595^(2020-2019))</f>
        <v>188.76828692779611</v>
      </c>
    </row>
    <row r="436" spans="2:109" x14ac:dyDescent="0.25">
      <c r="C436" s="2969" t="s">
        <v>320</v>
      </c>
      <c r="D436" s="1558" t="s">
        <v>34</v>
      </c>
      <c r="E436" s="1501" t="s">
        <v>321</v>
      </c>
      <c r="F436" s="183">
        <f>ROUND(((F449*(1/G449)*I449)*(J449+(L449*P449)+(N449*Q449)))-((F449*(1/H449)*I449)*(K449+(M449*P449)+(O449*Q449))),2)</f>
        <v>308.41000000000003</v>
      </c>
      <c r="G436" s="1482" t="s">
        <v>61</v>
      </c>
      <c r="H436" s="1483">
        <f>VLOOKUP(G436,'CP FACTORS'!$A$26:$B$38,2,FALSE)</f>
        <v>1.379439E-4</v>
      </c>
      <c r="I436" s="1502">
        <f>ROUND(H436*F436,6)</f>
        <v>4.2542999999999997E-2</v>
      </c>
      <c r="J436" s="1548">
        <v>11</v>
      </c>
      <c r="K436" s="1503">
        <v>200</v>
      </c>
      <c r="L436" s="1569" t="s">
        <v>37</v>
      </c>
      <c r="V436" s="2434" t="s">
        <v>20</v>
      </c>
      <c r="W436" s="163">
        <v>308.40938502673907</v>
      </c>
      <c r="X436" s="163">
        <v>308.40938502673907</v>
      </c>
      <c r="Y436" s="163">
        <v>308.40938502673907</v>
      </c>
      <c r="Z436" s="163">
        <v>308.40938502673907</v>
      </c>
      <c r="AA436" s="163">
        <v>308.40938502673907</v>
      </c>
      <c r="AB436" s="2116">
        <v>308.41000000000003</v>
      </c>
      <c r="AC436" s="2510"/>
      <c r="AD436" s="2510"/>
      <c r="AE436" s="2510"/>
      <c r="AF436" s="2510"/>
      <c r="AG436" s="2510"/>
      <c r="AH436" s="2511"/>
      <c r="AI436" s="2434" t="s">
        <v>24</v>
      </c>
      <c r="AJ436" s="87">
        <v>11</v>
      </c>
      <c r="AK436" s="87">
        <v>11</v>
      </c>
      <c r="AL436" s="87">
        <v>11</v>
      </c>
      <c r="AM436" s="87">
        <v>11</v>
      </c>
      <c r="AN436" s="87">
        <v>11</v>
      </c>
      <c r="AO436" s="2504">
        <f t="shared" ref="AO436:AO438" si="142">J436</f>
        <v>11</v>
      </c>
      <c r="AP436" s="2510"/>
      <c r="AQ436" s="2510"/>
      <c r="AR436" s="2510"/>
      <c r="AS436" s="2510"/>
      <c r="AT436" s="2280"/>
      <c r="AU436" s="2434" t="s">
        <v>25</v>
      </c>
      <c r="AV436" s="2513">
        <v>200</v>
      </c>
      <c r="AW436" s="2513">
        <v>200</v>
      </c>
      <c r="AX436" s="2513">
        <v>200</v>
      </c>
      <c r="AY436" s="2513">
        <v>200</v>
      </c>
      <c r="AZ436" s="2513">
        <v>200</v>
      </c>
      <c r="BA436" s="2514">
        <v>200</v>
      </c>
      <c r="BB436" s="2510"/>
      <c r="BC436" s="2510"/>
      <c r="BD436" s="2510"/>
      <c r="BE436" s="2510"/>
      <c r="BF436" s="2280"/>
      <c r="BG436" s="2280"/>
      <c r="BH436" s="2280"/>
      <c r="BI436" s="2280"/>
      <c r="BJ436" s="2280"/>
      <c r="BK436" s="2280"/>
      <c r="BL436" s="2280"/>
      <c r="DB436" s="71">
        <f>(DD436)/(DE436)</f>
        <v>0.65571960083087522</v>
      </c>
      <c r="DC436" s="72" t="str">
        <f>CONCATENATE(G436," ",J436," Year EUL")</f>
        <v>Miscellaneous BUS 11 Year EUL</v>
      </c>
      <c r="DD436" s="95">
        <f>(INDEX('Avoided Cost Benefits'!$C$4:$C$857,MATCH(DC436,'Avoided Cost Benefits'!$A$4:$A$857,0)))*F436</f>
        <v>123.77906575382258</v>
      </c>
      <c r="DE436" s="73">
        <f>K436/(1.0595^(2020-2019))</f>
        <v>188.76828692779611</v>
      </c>
    </row>
    <row r="437" spans="2:109" x14ac:dyDescent="0.25">
      <c r="C437" s="2969" t="s">
        <v>322</v>
      </c>
      <c r="D437" s="1558" t="s">
        <v>34</v>
      </c>
      <c r="E437" s="1501" t="s">
        <v>323</v>
      </c>
      <c r="F437" s="183">
        <f>ROUND(((F450*(1/G450)*I450)*(J450+(L450*P450)+(N450*Q450)))-((F450*(1/H450)*I450)*(K450+(M450*P450)+(O450*Q450))),2)</f>
        <v>750.78</v>
      </c>
      <c r="G437" s="1482" t="s">
        <v>61</v>
      </c>
      <c r="H437" s="1483">
        <f>VLOOKUP(G437,'CP FACTORS'!$A$26:$B$38,2,FALSE)</f>
        <v>1.379439E-4</v>
      </c>
      <c r="I437" s="1502">
        <f>ROUND(H437*F437,6)</f>
        <v>0.10356600000000001</v>
      </c>
      <c r="J437" s="1548">
        <v>11</v>
      </c>
      <c r="K437" s="1503">
        <v>200</v>
      </c>
      <c r="L437" s="1569" t="s">
        <v>37</v>
      </c>
      <c r="V437" s="2434" t="s">
        <v>20</v>
      </c>
      <c r="W437" s="163">
        <v>750.78352941176479</v>
      </c>
      <c r="X437" s="163">
        <v>750.78352941176479</v>
      </c>
      <c r="Y437" s="163">
        <v>750.78352941176479</v>
      </c>
      <c r="Z437" s="163">
        <v>750.78352941176479</v>
      </c>
      <c r="AA437" s="163">
        <v>750.78352941176479</v>
      </c>
      <c r="AB437" s="2116">
        <v>750.78</v>
      </c>
      <c r="AC437" s="2510"/>
      <c r="AD437" s="2510"/>
      <c r="AE437" s="2510"/>
      <c r="AF437" s="2510"/>
      <c r="AG437" s="2510"/>
      <c r="AH437" s="2511"/>
      <c r="AI437" s="2434" t="s">
        <v>24</v>
      </c>
      <c r="AJ437" s="87">
        <v>11</v>
      </c>
      <c r="AK437" s="87">
        <v>11</v>
      </c>
      <c r="AL437" s="87">
        <v>11</v>
      </c>
      <c r="AM437" s="87">
        <v>11</v>
      </c>
      <c r="AN437" s="87">
        <v>11</v>
      </c>
      <c r="AO437" s="2504">
        <f t="shared" si="142"/>
        <v>11</v>
      </c>
      <c r="AP437" s="2510"/>
      <c r="AQ437" s="2510"/>
      <c r="AR437" s="2510"/>
      <c r="AS437" s="2510"/>
      <c r="AT437" s="2280"/>
      <c r="AU437" s="2434" t="s">
        <v>25</v>
      </c>
      <c r="AV437" s="2513">
        <v>200</v>
      </c>
      <c r="AW437" s="2513">
        <v>200</v>
      </c>
      <c r="AX437" s="2513">
        <v>200</v>
      </c>
      <c r="AY437" s="2513">
        <v>200</v>
      </c>
      <c r="AZ437" s="2513">
        <v>200</v>
      </c>
      <c r="BA437" s="2514">
        <v>200</v>
      </c>
      <c r="BB437" s="2510"/>
      <c r="BC437" s="2510"/>
      <c r="BD437" s="2510"/>
      <c r="BE437" s="2510"/>
      <c r="BF437" s="2280"/>
      <c r="BG437" s="2280"/>
      <c r="BH437" s="2280"/>
      <c r="BI437" s="2280"/>
      <c r="BJ437" s="2280"/>
      <c r="BK437" s="2280"/>
      <c r="BL437" s="2280"/>
      <c r="DB437" s="71">
        <f>(DD437)/(DE437)</f>
        <v>1.5962555102357394</v>
      </c>
      <c r="DC437" s="72" t="str">
        <f>CONCATENATE(G437," ",J437," Year EUL")</f>
        <v>Miscellaneous BUS 11 Year EUL</v>
      </c>
      <c r="DD437" s="95">
        <f>(INDEX('Avoided Cost Benefits'!$C$4:$C$857,MATCH(DC437,'Avoided Cost Benefits'!$A$4:$A$857,0)))*F437</f>
        <v>301.32241816625566</v>
      </c>
      <c r="DE437" s="73">
        <f>K437/(1.0595^(2020-2019))</f>
        <v>188.76828692779611</v>
      </c>
    </row>
    <row r="438" spans="2:109" x14ac:dyDescent="0.25">
      <c r="C438" s="2969" t="s">
        <v>324</v>
      </c>
      <c r="D438" s="1558" t="s">
        <v>34</v>
      </c>
      <c r="E438" s="1501" t="s">
        <v>325</v>
      </c>
      <c r="F438" s="183">
        <f>ROUND(((F451*(1/G451)*I451)*(J451+(L451*P451)+(N451*Q451)))-((F451*(1/H451)*I451)*(K451+(M451*P451)+(O451*Q451))),2)</f>
        <v>151.57</v>
      </c>
      <c r="G438" s="1482" t="s">
        <v>61</v>
      </c>
      <c r="H438" s="1483">
        <f>VLOOKUP(G438,'CP FACTORS'!$A$26:$B$38,2,FALSE)</f>
        <v>1.379439E-4</v>
      </c>
      <c r="I438" s="1502">
        <f>ROUND(H438*F438,6)</f>
        <v>2.0908E-2</v>
      </c>
      <c r="J438" s="1548">
        <v>11</v>
      </c>
      <c r="K438" s="1503">
        <v>200</v>
      </c>
      <c r="L438" s="1569" t="s">
        <v>37</v>
      </c>
      <c r="V438" s="2434" t="s">
        <v>20</v>
      </c>
      <c r="W438" s="163">
        <v>151.57259358288775</v>
      </c>
      <c r="X438" s="163">
        <v>151.57259358288775</v>
      </c>
      <c r="Y438" s="163">
        <v>151.57259358288775</v>
      </c>
      <c r="Z438" s="163">
        <v>151.57259358288775</v>
      </c>
      <c r="AA438" s="163">
        <v>151.57259358288775</v>
      </c>
      <c r="AB438" s="2116">
        <v>151.57</v>
      </c>
      <c r="AC438" s="2510"/>
      <c r="AD438" s="2510"/>
      <c r="AE438" s="2510"/>
      <c r="AF438" s="2510"/>
      <c r="AG438" s="2510"/>
      <c r="AH438" s="2511"/>
      <c r="AI438" s="2434" t="s">
        <v>24</v>
      </c>
      <c r="AJ438" s="87">
        <v>11</v>
      </c>
      <c r="AK438" s="87">
        <v>11</v>
      </c>
      <c r="AL438" s="87">
        <v>11</v>
      </c>
      <c r="AM438" s="87">
        <v>11</v>
      </c>
      <c r="AN438" s="87">
        <v>11</v>
      </c>
      <c r="AO438" s="2504">
        <f t="shared" si="142"/>
        <v>11</v>
      </c>
      <c r="AP438" s="2510"/>
      <c r="AQ438" s="2510"/>
      <c r="AR438" s="2510"/>
      <c r="AS438" s="2510"/>
      <c r="AT438" s="2280"/>
      <c r="AU438" s="2434" t="s">
        <v>25</v>
      </c>
      <c r="AV438" s="2513">
        <v>200</v>
      </c>
      <c r="AW438" s="2513">
        <v>200</v>
      </c>
      <c r="AX438" s="2513">
        <v>200</v>
      </c>
      <c r="AY438" s="2513">
        <v>200</v>
      </c>
      <c r="AZ438" s="2513">
        <v>200</v>
      </c>
      <c r="BA438" s="2514">
        <v>200</v>
      </c>
      <c r="BB438" s="2510"/>
      <c r="BC438" s="2510"/>
      <c r="BD438" s="2510"/>
      <c r="BE438" s="2510"/>
      <c r="BF438" s="2280"/>
      <c r="BG438" s="2280"/>
      <c r="BH438" s="2280"/>
      <c r="BI438" s="2280"/>
      <c r="BJ438" s="2280"/>
      <c r="BK438" s="2280"/>
      <c r="BL438" s="2280"/>
      <c r="DB438" s="74">
        <f>(DD438)/(DE438)</f>
        <v>0.32225744916810656</v>
      </c>
      <c r="DC438" s="72" t="str">
        <f>CONCATENATE(G438," ",J438," Year EUL")</f>
        <v>Miscellaneous BUS 11 Year EUL</v>
      </c>
      <c r="DD438" s="96">
        <f>(INDEX('Avoided Cost Benefits'!$C$4:$C$857,MATCH(DC438,'Avoided Cost Benefits'!$A$4:$A$857,0)))*F438</f>
        <v>60.831986629184811</v>
      </c>
      <c r="DE438" s="75">
        <f>K438/(1.0595^(2020-2019))</f>
        <v>188.76828692779611</v>
      </c>
    </row>
    <row r="439" spans="2:109" outlineLevel="1" x14ac:dyDescent="0.25">
      <c r="E439" s="1473"/>
      <c r="F439" s="1473"/>
      <c r="G439" s="1473"/>
      <c r="H439" s="1491"/>
      <c r="I439" s="1473"/>
      <c r="J439" s="1473"/>
      <c r="K439" s="1473"/>
      <c r="V439" s="2280"/>
      <c r="W439" s="2280"/>
      <c r="X439" s="2280"/>
      <c r="Y439" s="2280"/>
      <c r="Z439" s="2280"/>
      <c r="AA439" s="2280"/>
      <c r="AB439" s="2280"/>
      <c r="AC439" s="2280"/>
      <c r="AD439" s="2280"/>
      <c r="AE439" s="2280"/>
      <c r="AF439" s="2280"/>
      <c r="AG439" s="2280"/>
      <c r="AH439" s="2280"/>
      <c r="AI439" s="2280"/>
      <c r="AJ439" s="2280"/>
      <c r="AK439" s="2280"/>
      <c r="AL439" s="2280"/>
      <c r="AM439" s="2280"/>
      <c r="AN439" s="2280"/>
      <c r="AO439" s="2280"/>
      <c r="AP439" s="2280"/>
      <c r="AQ439" s="2280"/>
      <c r="AR439" s="2280"/>
      <c r="AS439" s="2280"/>
      <c r="AT439" s="2280"/>
      <c r="AU439" s="2280"/>
      <c r="AV439" s="2280"/>
      <c r="AW439" s="2280"/>
      <c r="AX439" s="2280"/>
      <c r="AY439" s="2280"/>
      <c r="AZ439" s="2280"/>
      <c r="BA439" s="2280"/>
      <c r="BB439" s="2280"/>
      <c r="BC439" s="2280"/>
      <c r="BD439" s="2280"/>
      <c r="BE439" s="2280"/>
      <c r="BF439" s="2280"/>
      <c r="BG439" s="2280"/>
      <c r="BH439" s="2280"/>
      <c r="BI439" s="2280"/>
      <c r="BJ439" s="2280"/>
      <c r="BK439" s="2280"/>
      <c r="BL439" s="2280"/>
    </row>
    <row r="440" spans="2:109" outlineLevel="1" x14ac:dyDescent="0.25">
      <c r="D440" s="1473" t="s">
        <v>70</v>
      </c>
      <c r="E440" s="1473"/>
      <c r="F440" s="1473"/>
      <c r="G440" s="1473"/>
      <c r="H440" s="1491"/>
      <c r="I440" s="1473"/>
      <c r="J440" s="1473"/>
      <c r="K440" s="1473"/>
      <c r="V440" s="2280"/>
      <c r="W440" s="2280"/>
      <c r="X440" s="2280"/>
      <c r="Y440" s="2280"/>
      <c r="Z440" s="2280"/>
      <c r="AA440" s="2280"/>
      <c r="AB440" s="2280"/>
      <c r="AC440" s="2280"/>
      <c r="AD440" s="2280"/>
      <c r="AE440" s="2280"/>
      <c r="AF440" s="2280"/>
      <c r="AG440" s="2280"/>
      <c r="AH440" s="2280"/>
      <c r="AI440" s="2280"/>
      <c r="AJ440" s="2280"/>
      <c r="AK440" s="2280"/>
      <c r="AL440" s="2280"/>
      <c r="AM440" s="2280"/>
      <c r="AN440" s="2280"/>
      <c r="AO440" s="2280"/>
      <c r="AP440" s="2280"/>
      <c r="AQ440" s="2280"/>
      <c r="AR440" s="2280"/>
      <c r="AS440" s="2280"/>
      <c r="AT440" s="2280"/>
      <c r="AU440" s="2280"/>
      <c r="AV440" s="2280"/>
      <c r="AW440" s="2280"/>
      <c r="AX440" s="2280"/>
      <c r="AY440" s="2280"/>
      <c r="AZ440" s="2280"/>
      <c r="BA440" s="2280"/>
      <c r="BB440" s="2280"/>
      <c r="BC440" s="2280"/>
      <c r="BD440" s="2280"/>
      <c r="BE440" s="2280"/>
      <c r="BF440" s="2280"/>
      <c r="BG440" s="2280"/>
      <c r="BH440" s="2280"/>
      <c r="BI440" s="2280"/>
      <c r="BJ440" s="2280"/>
      <c r="BK440" s="2280"/>
      <c r="BL440" s="2280"/>
    </row>
    <row r="441" spans="2:109" outlineLevel="1" x14ac:dyDescent="0.25">
      <c r="D441" s="1492"/>
      <c r="G441" s="1515"/>
      <c r="H441" s="1516"/>
      <c r="V441" s="2280"/>
      <c r="W441" s="2280"/>
      <c r="X441" s="2280"/>
      <c r="Y441" s="2280"/>
      <c r="Z441" s="2280"/>
      <c r="AA441" s="2280"/>
      <c r="AB441" s="2280"/>
      <c r="AC441" s="2280"/>
      <c r="AD441" s="2280"/>
      <c r="AE441" s="2280"/>
      <c r="AF441" s="2280"/>
      <c r="AG441" s="2280"/>
      <c r="AH441" s="2280"/>
      <c r="AI441" s="2280"/>
      <c r="AJ441" s="2280"/>
      <c r="AK441" s="2280"/>
      <c r="AL441" s="2280"/>
      <c r="AM441" s="2280"/>
      <c r="AN441" s="2280"/>
      <c r="AO441" s="2280"/>
      <c r="AP441" s="2280"/>
      <c r="AQ441" s="2280"/>
      <c r="AR441" s="2280"/>
      <c r="AS441" s="2280"/>
      <c r="AT441" s="2280"/>
      <c r="AU441" s="2280"/>
      <c r="AV441" s="2280"/>
      <c r="AW441" s="2280"/>
      <c r="AX441" s="2280"/>
      <c r="AY441" s="2280"/>
      <c r="AZ441" s="2280"/>
      <c r="BA441" s="2280"/>
      <c r="BB441" s="2280"/>
      <c r="BC441" s="2280"/>
      <c r="BD441" s="2280"/>
      <c r="BE441" s="2280"/>
      <c r="BF441" s="2280"/>
      <c r="BG441" s="2280"/>
      <c r="BH441" s="2280"/>
      <c r="BI441" s="2280"/>
      <c r="BJ441" s="2280"/>
      <c r="BK441" s="2280"/>
      <c r="BL441" s="2280"/>
    </row>
    <row r="442" spans="2:109" outlineLevel="1" x14ac:dyDescent="0.25">
      <c r="D442" s="1549"/>
      <c r="E442" s="973"/>
      <c r="G442" s="1515"/>
      <c r="H442" s="1516"/>
    </row>
    <row r="443" spans="2:109" outlineLevel="1" x14ac:dyDescent="0.25">
      <c r="D443" s="1549"/>
      <c r="E443" s="973"/>
      <c r="G443" s="1470"/>
      <c r="H443" s="1493"/>
      <c r="M443" s="1473"/>
    </row>
    <row r="444" spans="2:109" outlineLevel="1" x14ac:dyDescent="0.25">
      <c r="D444" s="1492"/>
      <c r="G444" s="1470"/>
      <c r="H444" s="1493"/>
      <c r="M444" s="1473"/>
    </row>
    <row r="445" spans="2:109" outlineLevel="1" x14ac:dyDescent="0.25">
      <c r="D445" s="1492"/>
      <c r="G445" s="1470"/>
      <c r="H445" s="1493"/>
      <c r="M445" s="1473"/>
    </row>
    <row r="446" spans="2:109" outlineLevel="1" x14ac:dyDescent="0.25">
      <c r="D446" s="1492"/>
      <c r="G446" s="1470"/>
      <c r="H446" s="1493"/>
    </row>
    <row r="447" spans="2:109" s="77" customFormat="1" ht="30" outlineLevel="1" x14ac:dyDescent="0.25">
      <c r="C447" s="198"/>
      <c r="D447" s="1406" t="s">
        <v>17</v>
      </c>
      <c r="E447" s="1406" t="s">
        <v>119</v>
      </c>
      <c r="F447" s="112" t="s">
        <v>326</v>
      </c>
      <c r="G447" s="1406" t="s">
        <v>327</v>
      </c>
      <c r="H447" s="1406" t="s">
        <v>328</v>
      </c>
      <c r="I447" s="1406" t="s">
        <v>329</v>
      </c>
      <c r="J447" s="1406" t="s">
        <v>330</v>
      </c>
      <c r="K447" s="1406" t="s">
        <v>331</v>
      </c>
      <c r="L447" s="1406" t="s">
        <v>332</v>
      </c>
      <c r="M447" s="1406" t="s">
        <v>333</v>
      </c>
      <c r="N447" s="1406" t="s">
        <v>334</v>
      </c>
      <c r="O447" s="1406" t="s">
        <v>335</v>
      </c>
      <c r="P447" s="1406" t="s">
        <v>336</v>
      </c>
      <c r="Q447" s="1406" t="s">
        <v>337</v>
      </c>
      <c r="R447" s="463"/>
      <c r="S447" s="463"/>
      <c r="T447" s="463"/>
      <c r="U447" s="463"/>
      <c r="DB447" s="97"/>
    </row>
    <row r="448" spans="2:109" outlineLevel="1" x14ac:dyDescent="0.25">
      <c r="D448" s="1494" t="str">
        <f>C435</f>
        <v>803850_2019_12_</v>
      </c>
      <c r="E448" s="1494" t="str">
        <f>E435</f>
        <v>Clothes Washer (Electric DHW; Electric Dryer)</v>
      </c>
      <c r="F448" s="1566">
        <v>3.1</v>
      </c>
      <c r="G448" s="117">
        <v>1.7</v>
      </c>
      <c r="H448" s="1588">
        <v>2.2000000000000002</v>
      </c>
      <c r="I448" s="1550">
        <v>2190</v>
      </c>
      <c r="J448" s="1579">
        <v>6.5000000000000002E-2</v>
      </c>
      <c r="K448" s="1579">
        <v>3.5000000000000003E-2</v>
      </c>
      <c r="L448" s="1579">
        <v>0.25900000000000001</v>
      </c>
      <c r="M448" s="1579">
        <v>0.14099999999999999</v>
      </c>
      <c r="N448" s="1579">
        <v>0.67600000000000005</v>
      </c>
      <c r="O448" s="1579">
        <v>0.82399999999999995</v>
      </c>
      <c r="P448" s="1579">
        <v>1</v>
      </c>
      <c r="Q448" s="1579">
        <v>1</v>
      </c>
    </row>
    <row r="449" spans="2:109" outlineLevel="1" x14ac:dyDescent="0.25">
      <c r="D449" s="1494" t="str">
        <f>C436</f>
        <v>803900_2019_12_</v>
      </c>
      <c r="E449" s="1494" t="str">
        <f>E436</f>
        <v>Clothes Washer (Gas DHW; Electric Dryer)</v>
      </c>
      <c r="F449" s="1566">
        <v>3.1</v>
      </c>
      <c r="G449" s="117">
        <v>1.7</v>
      </c>
      <c r="H449" s="1588">
        <v>2.2000000000000002</v>
      </c>
      <c r="I449" s="1550">
        <v>2190</v>
      </c>
      <c r="J449" s="1579">
        <v>6.5000000000000002E-2</v>
      </c>
      <c r="K449" s="1579">
        <v>3.5000000000000003E-2</v>
      </c>
      <c r="L449" s="1579">
        <v>0.25900000000000001</v>
      </c>
      <c r="M449" s="1579">
        <v>0.14099999999999999</v>
      </c>
      <c r="N449" s="1579">
        <v>0.67600000000000005</v>
      </c>
      <c r="O449" s="1579">
        <v>0.82399999999999995</v>
      </c>
      <c r="P449" s="1579">
        <v>0</v>
      </c>
      <c r="Q449" s="1579">
        <v>1</v>
      </c>
    </row>
    <row r="450" spans="2:109" outlineLevel="1" x14ac:dyDescent="0.25">
      <c r="D450" s="1494" t="str">
        <f>C437</f>
        <v>803950_2019_12_</v>
      </c>
      <c r="E450" s="1494" t="str">
        <f>E437</f>
        <v>Clothes Washer (Electric DHW; Gas Dryer)</v>
      </c>
      <c r="F450" s="1566">
        <v>3.1</v>
      </c>
      <c r="G450" s="117">
        <v>1.7</v>
      </c>
      <c r="H450" s="1588">
        <v>2.2000000000000002</v>
      </c>
      <c r="I450" s="1550">
        <v>2190</v>
      </c>
      <c r="J450" s="1579">
        <v>6.5000000000000002E-2</v>
      </c>
      <c r="K450" s="1579">
        <v>3.5000000000000003E-2</v>
      </c>
      <c r="L450" s="1579">
        <v>0.25900000000000001</v>
      </c>
      <c r="M450" s="1579">
        <v>0.14099999999999999</v>
      </c>
      <c r="N450" s="1579">
        <v>0.67600000000000005</v>
      </c>
      <c r="O450" s="1579">
        <v>0.82399999999999995</v>
      </c>
      <c r="P450" s="1579">
        <v>1</v>
      </c>
      <c r="Q450" s="1579">
        <v>0</v>
      </c>
    </row>
    <row r="451" spans="2:109" outlineLevel="1" x14ac:dyDescent="0.25">
      <c r="D451" s="1494" t="str">
        <f>C438</f>
        <v>804000_2019_12_</v>
      </c>
      <c r="E451" s="1494" t="str">
        <f>E438</f>
        <v>Clothes Washer (Gas DHW; Gas Dryer)</v>
      </c>
      <c r="F451" s="1566">
        <v>3.1</v>
      </c>
      <c r="G451" s="117">
        <v>1.7</v>
      </c>
      <c r="H451" s="1588">
        <v>2.2000000000000002</v>
      </c>
      <c r="I451" s="1550">
        <v>2190</v>
      </c>
      <c r="J451" s="1579">
        <v>6.5000000000000002E-2</v>
      </c>
      <c r="K451" s="1579">
        <v>3.5000000000000003E-2</v>
      </c>
      <c r="L451" s="1579">
        <v>0.25900000000000001</v>
      </c>
      <c r="M451" s="1579">
        <v>0.14099999999999999</v>
      </c>
      <c r="N451" s="1579">
        <v>0.67600000000000005</v>
      </c>
      <c r="O451" s="1579">
        <v>0.82399999999999995</v>
      </c>
      <c r="P451" s="1579">
        <v>0</v>
      </c>
      <c r="Q451" s="1579">
        <v>0</v>
      </c>
    </row>
    <row r="454" spans="2:109" s="50" customFormat="1" ht="30" x14ac:dyDescent="0.25">
      <c r="B454" s="51"/>
      <c r="C454" s="52" t="s">
        <v>17</v>
      </c>
      <c r="D454" s="52" t="s">
        <v>18</v>
      </c>
      <c r="E454" s="1435" t="s">
        <v>19</v>
      </c>
      <c r="F454" s="1435" t="s">
        <v>20</v>
      </c>
      <c r="G454" s="1435" t="s">
        <v>21</v>
      </c>
      <c r="H454" s="53" t="s">
        <v>22</v>
      </c>
      <c r="I454" s="1435" t="s">
        <v>23</v>
      </c>
      <c r="J454" s="1435" t="s">
        <v>24</v>
      </c>
      <c r="K454" s="52" t="s">
        <v>25</v>
      </c>
      <c r="L454" s="52" t="s">
        <v>26</v>
      </c>
      <c r="M454" s="1470"/>
      <c r="N454" s="1587"/>
      <c r="O454" s="1562"/>
      <c r="P454" s="1563"/>
      <c r="Q454" s="1480"/>
      <c r="R454" s="1480"/>
      <c r="S454" s="1480"/>
      <c r="T454" s="1480"/>
      <c r="U454" s="1480"/>
      <c r="V454" s="55" t="s">
        <v>27</v>
      </c>
      <c r="W454" s="56">
        <f>$W$8</f>
        <v>43252</v>
      </c>
      <c r="X454" s="56">
        <f>$X$8</f>
        <v>43465</v>
      </c>
      <c r="Y454" s="56">
        <f>$Y$8</f>
        <v>43800</v>
      </c>
      <c r="Z454" s="56">
        <f>$Z$8</f>
        <v>43862</v>
      </c>
      <c r="AA454" s="56">
        <f>$AA$8</f>
        <v>44013</v>
      </c>
      <c r="AB454" s="56">
        <v>44166</v>
      </c>
      <c r="AC454" s="56" t="str">
        <f>$AC$8</f>
        <v>-</v>
      </c>
      <c r="AD454" s="56" t="str">
        <f>$AD$8</f>
        <v>-</v>
      </c>
      <c r="AE454" s="56" t="str">
        <f>$AE$8</f>
        <v>-</v>
      </c>
      <c r="AF454" s="56" t="str">
        <f>$AF$8</f>
        <v>-</v>
      </c>
      <c r="AG454" s="56" t="str">
        <f>$AG$8</f>
        <v>-</v>
      </c>
      <c r="AH454"/>
      <c r="AI454" s="55" t="s">
        <v>27</v>
      </c>
      <c r="AJ454" s="56">
        <v>43252</v>
      </c>
      <c r="AK454" s="56">
        <f>$X$8</f>
        <v>43465</v>
      </c>
      <c r="AL454" s="56">
        <f>$Y$8</f>
        <v>43800</v>
      </c>
      <c r="AM454" s="56">
        <f>$Z$8</f>
        <v>43862</v>
      </c>
      <c r="AN454" s="56">
        <f>$AA$8</f>
        <v>44013</v>
      </c>
      <c r="AO454" s="56">
        <f>$AB$8</f>
        <v>44166</v>
      </c>
      <c r="AP454" s="56" t="str">
        <f>$AC$8</f>
        <v>-</v>
      </c>
      <c r="AQ454" s="56" t="str">
        <f>$AD$8</f>
        <v>-</v>
      </c>
      <c r="AR454" s="56" t="str">
        <f>$AE$8</f>
        <v>-</v>
      </c>
      <c r="AS454" s="56" t="str">
        <f>$AF$8</f>
        <v>-</v>
      </c>
      <c r="AT454" s="29"/>
      <c r="AU454" s="55" t="s">
        <v>27</v>
      </c>
      <c r="AV454" s="56">
        <v>43252</v>
      </c>
      <c r="AW454" s="56">
        <f>$X$8</f>
        <v>43465</v>
      </c>
      <c r="AX454" s="56">
        <f>$Y$8</f>
        <v>43800</v>
      </c>
      <c r="AY454" s="56">
        <f>$Z$8</f>
        <v>43862</v>
      </c>
      <c r="AZ454" s="56">
        <f>$AA$8</f>
        <v>44013</v>
      </c>
      <c r="BA454" s="56">
        <v>44166</v>
      </c>
      <c r="BB454" s="56" t="str">
        <f>$AC$8</f>
        <v>-</v>
      </c>
      <c r="BC454" s="56" t="str">
        <f>$AD$8</f>
        <v>-</v>
      </c>
      <c r="BD454" s="56" t="str">
        <f>$AE$8</f>
        <v>-</v>
      </c>
      <c r="BE454" s="56" t="str">
        <f>$AF$8</f>
        <v>-</v>
      </c>
      <c r="DB454" s="57" t="str">
        <f>$DB$8</f>
        <v>TRC (2020)</v>
      </c>
      <c r="DC454" s="93" t="str">
        <f>$DC$8</f>
        <v>Benefit Lookup</v>
      </c>
      <c r="DD454" s="93" t="str">
        <f>$DD$8</f>
        <v>Benefits (2019 $)</v>
      </c>
      <c r="DE454" s="93" t="str">
        <f>$DE$8</f>
        <v>Incremental Cost (2019 $)</v>
      </c>
    </row>
    <row r="455" spans="2:109" x14ac:dyDescent="0.25">
      <c r="C455" s="2969" t="s">
        <v>338</v>
      </c>
      <c r="D455" s="1558" t="s">
        <v>34</v>
      </c>
      <c r="E455" s="1501" t="s">
        <v>339</v>
      </c>
      <c r="F455" s="183">
        <f>ROUND(((F469/G469)-(F469/H469))*I469*J469,2)</f>
        <v>840.73</v>
      </c>
      <c r="G455" s="1482" t="s">
        <v>61</v>
      </c>
      <c r="H455" s="1483">
        <f>VLOOKUP(G455,'CP FACTORS'!$A$26:$B$38,2,FALSE)</f>
        <v>1.379439E-4</v>
      </c>
      <c r="I455" s="1502">
        <f>ROUND(H455*F455,6)</f>
        <v>0.11597399999999999</v>
      </c>
      <c r="J455" s="1548">
        <v>14</v>
      </c>
      <c r="K455" s="1503">
        <v>75</v>
      </c>
      <c r="L455" s="1569" t="s">
        <v>37</v>
      </c>
      <c r="V455" s="2434" t="s">
        <v>20</v>
      </c>
      <c r="W455" s="163">
        <v>840.73431350891383</v>
      </c>
      <c r="X455" s="163">
        <v>840.73431350891383</v>
      </c>
      <c r="Y455" s="163">
        <v>840.73431350891383</v>
      </c>
      <c r="Z455" s="163">
        <v>840.73431350891383</v>
      </c>
      <c r="AA455" s="163">
        <v>840.73431350891383</v>
      </c>
      <c r="AB455" s="2116">
        <v>840.73</v>
      </c>
      <c r="AC455" s="2510"/>
      <c r="AD455" s="2510"/>
      <c r="AE455" s="2510"/>
      <c r="AF455" s="2510"/>
      <c r="AG455" s="2510"/>
      <c r="AH455" s="2511"/>
      <c r="AI455" s="2434" t="s">
        <v>24</v>
      </c>
      <c r="AJ455" s="87">
        <v>14</v>
      </c>
      <c r="AK455" s="87">
        <v>14</v>
      </c>
      <c r="AL455" s="87">
        <v>14</v>
      </c>
      <c r="AM455" s="87">
        <v>14</v>
      </c>
      <c r="AN455" s="87">
        <v>14</v>
      </c>
      <c r="AO455" s="2504">
        <f>J455</f>
        <v>14</v>
      </c>
      <c r="AP455" s="2510"/>
      <c r="AQ455" s="2510"/>
      <c r="AR455" s="2510"/>
      <c r="AS455" s="2510"/>
      <c r="AT455" s="2280"/>
      <c r="AU455" s="2434" t="s">
        <v>25</v>
      </c>
      <c r="AV455" s="2513">
        <v>75</v>
      </c>
      <c r="AW455" s="2513">
        <v>75</v>
      </c>
      <c r="AX455" s="2513">
        <v>75</v>
      </c>
      <c r="AY455" s="2513">
        <v>75</v>
      </c>
      <c r="AZ455" s="2513">
        <v>75</v>
      </c>
      <c r="BA455" s="2514">
        <v>75</v>
      </c>
      <c r="BB455" s="2510"/>
      <c r="BC455" s="2510"/>
      <c r="BD455" s="2510"/>
      <c r="BE455" s="2510"/>
      <c r="BF455" s="2280"/>
      <c r="BG455" s="2280"/>
      <c r="BH455" s="2280"/>
      <c r="BI455" s="2280"/>
      <c r="DB455" s="67">
        <f>(DD455)/(DE455)</f>
        <v>5.9917958609290851</v>
      </c>
      <c r="DC455" s="68" t="str">
        <f>CONCATENATE(G455," ",J455," Year EUL")</f>
        <v>Miscellaneous BUS 14 Year EUL</v>
      </c>
      <c r="DD455" s="94">
        <f>(INDEX('Avoided Cost Benefits'!$C$4:$C$857,MATCH(DC455,'Avoided Cost Benefits'!$A$4:$A$857,0)))*F455</f>
        <v>424.14789010824103</v>
      </c>
      <c r="DE455" s="69">
        <f>K455/(1.0595^(2020-2019))</f>
        <v>70.788107597923542</v>
      </c>
    </row>
    <row r="456" spans="2:109" x14ac:dyDescent="0.25">
      <c r="C456" s="2969" t="s">
        <v>340</v>
      </c>
      <c r="D456" s="1558" t="s">
        <v>34</v>
      </c>
      <c r="E456" s="1501" t="s">
        <v>341</v>
      </c>
      <c r="F456" s="183">
        <f>ROUND(((F470/G470)-(F470/H470))*I470*J470,2)</f>
        <v>307.27999999999997</v>
      </c>
      <c r="G456" s="1482" t="s">
        <v>61</v>
      </c>
      <c r="H456" s="1483">
        <f>VLOOKUP(G456,'CP FACTORS'!$A$26:$B$38,2,FALSE)</f>
        <v>1.379439E-4</v>
      </c>
      <c r="I456" s="1502">
        <f>ROUND(H456*F456,6)</f>
        <v>4.2387000000000001E-2</v>
      </c>
      <c r="J456" s="1548">
        <v>14</v>
      </c>
      <c r="K456" s="1503">
        <v>105</v>
      </c>
      <c r="L456" s="1569" t="s">
        <v>37</v>
      </c>
      <c r="V456" s="2434" t="s">
        <v>20</v>
      </c>
      <c r="W456" s="163">
        <v>307.28361601678625</v>
      </c>
      <c r="X456" s="163">
        <v>307.28361601678625</v>
      </c>
      <c r="Y456" s="163">
        <v>307.28361601678625</v>
      </c>
      <c r="Z456" s="163">
        <v>307.28361601678625</v>
      </c>
      <c r="AA456" s="163">
        <v>307.28361601678625</v>
      </c>
      <c r="AB456" s="2116">
        <v>307.27999999999997</v>
      </c>
      <c r="AC456" s="2510"/>
      <c r="AD456" s="2510"/>
      <c r="AE456" s="2510"/>
      <c r="AF456" s="2510"/>
      <c r="AG456" s="2510"/>
      <c r="AH456" s="2511"/>
      <c r="AI456" s="2434" t="s">
        <v>24</v>
      </c>
      <c r="AJ456" s="87">
        <v>14</v>
      </c>
      <c r="AK456" s="87">
        <v>14</v>
      </c>
      <c r="AL456" s="87">
        <v>14</v>
      </c>
      <c r="AM456" s="87">
        <v>14</v>
      </c>
      <c r="AN456" s="87">
        <v>14</v>
      </c>
      <c r="AO456" s="2504">
        <f t="shared" ref="AO456:AO459" si="143">J456</f>
        <v>14</v>
      </c>
      <c r="AP456" s="2510"/>
      <c r="AQ456" s="2510"/>
      <c r="AR456" s="2510"/>
      <c r="AS456" s="2510"/>
      <c r="AT456" s="2280"/>
      <c r="AU456" s="2434" t="s">
        <v>25</v>
      </c>
      <c r="AV456" s="2513">
        <v>105</v>
      </c>
      <c r="AW456" s="2513">
        <v>105</v>
      </c>
      <c r="AX456" s="2513">
        <v>105</v>
      </c>
      <c r="AY456" s="2513">
        <v>105</v>
      </c>
      <c r="AZ456" s="2513">
        <v>105</v>
      </c>
      <c r="BA456" s="2514">
        <v>105</v>
      </c>
      <c r="BB456" s="2510"/>
      <c r="BC456" s="2510"/>
      <c r="BD456" s="2510"/>
      <c r="BE456" s="2510"/>
      <c r="BF456" s="2280"/>
      <c r="BG456" s="2280"/>
      <c r="BH456" s="2280"/>
      <c r="BI456" s="2280"/>
      <c r="DB456" s="71">
        <f>(DD456)/(DE456)</f>
        <v>1.564252012406131</v>
      </c>
      <c r="DC456" s="72" t="str">
        <f>CONCATENATE(G456," ",J456," Year EUL")</f>
        <v>Miscellaneous BUS 14 Year EUL</v>
      </c>
      <c r="DD456" s="95">
        <f>(INDEX('Avoided Cost Benefits'!$C$4:$C$857,MATCH(DC456,'Avoided Cost Benefits'!$A$4:$A$857,0)))*F456</f>
        <v>155.02261567026309</v>
      </c>
      <c r="DE456" s="73">
        <f>K456/(1.0595^(2020-2019))</f>
        <v>99.103350637092959</v>
      </c>
    </row>
    <row r="457" spans="2:109" x14ac:dyDescent="0.25">
      <c r="C457" s="2969" t="s">
        <v>342</v>
      </c>
      <c r="D457" s="1558" t="s">
        <v>34</v>
      </c>
      <c r="E457" s="1501" t="s">
        <v>343</v>
      </c>
      <c r="F457" s="183">
        <f>ROUND(((F471/G471)-(F471/H471))*I471*J471,2)</f>
        <v>340.11</v>
      </c>
      <c r="G457" s="1482" t="s">
        <v>61</v>
      </c>
      <c r="H457" s="1483">
        <f>VLOOKUP(G457,'CP FACTORS'!$A$26:$B$38,2,FALSE)</f>
        <v>1.379439E-4</v>
      </c>
      <c r="I457" s="1502">
        <f>ROUND(H457*F457,6)</f>
        <v>4.6915999999999999E-2</v>
      </c>
      <c r="J457" s="1548">
        <v>14</v>
      </c>
      <c r="K457" s="1503">
        <v>105</v>
      </c>
      <c r="L457" s="1569" t="s">
        <v>37</v>
      </c>
      <c r="V457" s="2434" t="s">
        <v>20</v>
      </c>
      <c r="W457" s="163">
        <v>340.10511227902549</v>
      </c>
      <c r="X457" s="163">
        <v>340.10511227902549</v>
      </c>
      <c r="Y457" s="163">
        <v>340.10511227902549</v>
      </c>
      <c r="Z457" s="163">
        <v>340.10511227902549</v>
      </c>
      <c r="AA457" s="163">
        <v>340.10511227902549</v>
      </c>
      <c r="AB457" s="2116">
        <v>340.11</v>
      </c>
      <c r="AC457" s="2510"/>
      <c r="AD457" s="2510"/>
      <c r="AE457" s="2510"/>
      <c r="AF457" s="2510"/>
      <c r="AG457" s="2510"/>
      <c r="AH457" s="2511"/>
      <c r="AI457" s="2434" t="s">
        <v>24</v>
      </c>
      <c r="AJ457" s="87">
        <v>14</v>
      </c>
      <c r="AK457" s="87">
        <v>14</v>
      </c>
      <c r="AL457" s="87">
        <v>14</v>
      </c>
      <c r="AM457" s="87">
        <v>14</v>
      </c>
      <c r="AN457" s="87">
        <v>14</v>
      </c>
      <c r="AO457" s="2504">
        <f t="shared" si="143"/>
        <v>14</v>
      </c>
      <c r="AP457" s="2510"/>
      <c r="AQ457" s="2510"/>
      <c r="AR457" s="2510"/>
      <c r="AS457" s="2510"/>
      <c r="AT457" s="2280"/>
      <c r="AU457" s="2434" t="s">
        <v>25</v>
      </c>
      <c r="AV457" s="2513">
        <v>105</v>
      </c>
      <c r="AW457" s="2513">
        <v>105</v>
      </c>
      <c r="AX457" s="2513">
        <v>105</v>
      </c>
      <c r="AY457" s="2513">
        <v>105</v>
      </c>
      <c r="AZ457" s="2513">
        <v>105</v>
      </c>
      <c r="BA457" s="2514">
        <v>105</v>
      </c>
      <c r="BB457" s="2510"/>
      <c r="BC457" s="2510"/>
      <c r="BD457" s="2510"/>
      <c r="BE457" s="2510"/>
      <c r="BF457" s="2280"/>
      <c r="BG457" s="2280"/>
      <c r="BH457" s="2280"/>
      <c r="BI457" s="2280"/>
      <c r="DB457" s="71">
        <f>(DD457)/(DE457)</f>
        <v>1.7313777399747763</v>
      </c>
      <c r="DC457" s="72" t="str">
        <f>CONCATENATE(G457," ",J457," Year EUL")</f>
        <v>Miscellaneous BUS 14 Year EUL</v>
      </c>
      <c r="DD457" s="95">
        <f>(INDEX('Avoided Cost Benefits'!$C$4:$C$857,MATCH(DC457,'Avoided Cost Benefits'!$A$4:$A$857,0)))*F457</f>
        <v>171.58533524997782</v>
      </c>
      <c r="DE457" s="73">
        <f>K457/(1.0595^(2020-2019))</f>
        <v>99.103350637092959</v>
      </c>
    </row>
    <row r="458" spans="2:109" x14ac:dyDescent="0.25">
      <c r="C458" s="2969" t="s">
        <v>344</v>
      </c>
      <c r="D458" s="1558" t="s">
        <v>34</v>
      </c>
      <c r="E458" s="1501" t="s">
        <v>345</v>
      </c>
      <c r="F458" s="183">
        <f>ROUND(((F472/G472)-(F472/H472))*I472*J472,2)</f>
        <v>428.66</v>
      </c>
      <c r="G458" s="1482" t="s">
        <v>61</v>
      </c>
      <c r="H458" s="1483">
        <f>VLOOKUP(G458,'CP FACTORS'!$A$26:$B$38,2,FALSE)</f>
        <v>1.379439E-4</v>
      </c>
      <c r="I458" s="1502">
        <f>ROUND(H458*F458,6)</f>
        <v>5.9131000000000003E-2</v>
      </c>
      <c r="J458" s="1548">
        <v>14</v>
      </c>
      <c r="K458" s="1503">
        <v>105</v>
      </c>
      <c r="L458" s="1569" t="s">
        <v>37</v>
      </c>
      <c r="V458" s="2434" t="s">
        <v>20</v>
      </c>
      <c r="W458" s="163">
        <v>428.65776750052589</v>
      </c>
      <c r="X458" s="163">
        <v>428.65776750052589</v>
      </c>
      <c r="Y458" s="163">
        <v>428.65776750052589</v>
      </c>
      <c r="Z458" s="163">
        <v>428.65776750052589</v>
      </c>
      <c r="AA458" s="163">
        <v>428.65776750052589</v>
      </c>
      <c r="AB458" s="2116">
        <v>428.66</v>
      </c>
      <c r="AC458" s="2510"/>
      <c r="AD458" s="2510"/>
      <c r="AE458" s="2510"/>
      <c r="AF458" s="2510"/>
      <c r="AG458" s="2510"/>
      <c r="AH458" s="2511"/>
      <c r="AI458" s="2434" t="s">
        <v>24</v>
      </c>
      <c r="AJ458" s="87">
        <v>14</v>
      </c>
      <c r="AK458" s="87">
        <v>14</v>
      </c>
      <c r="AL458" s="87">
        <v>14</v>
      </c>
      <c r="AM458" s="87">
        <v>14</v>
      </c>
      <c r="AN458" s="87">
        <v>14</v>
      </c>
      <c r="AO458" s="2504">
        <f t="shared" si="143"/>
        <v>14</v>
      </c>
      <c r="AP458" s="2510"/>
      <c r="AQ458" s="2510"/>
      <c r="AR458" s="2510"/>
      <c r="AS458" s="2510"/>
      <c r="AT458" s="2280"/>
      <c r="AU458" s="2434" t="s">
        <v>25</v>
      </c>
      <c r="AV458" s="2513">
        <v>105</v>
      </c>
      <c r="AW458" s="2513">
        <v>105</v>
      </c>
      <c r="AX458" s="2513">
        <v>105</v>
      </c>
      <c r="AY458" s="2513">
        <v>105</v>
      </c>
      <c r="AZ458" s="2513">
        <v>105</v>
      </c>
      <c r="BA458" s="2514">
        <v>105</v>
      </c>
      <c r="BB458" s="2510"/>
      <c r="BC458" s="2510"/>
      <c r="BD458" s="2510"/>
      <c r="BE458" s="2510"/>
      <c r="BF458" s="2280"/>
      <c r="BG458" s="2280"/>
      <c r="BH458" s="2280"/>
      <c r="BI458" s="2280"/>
      <c r="DB458" s="71">
        <f>(DD458)/(DE458)</f>
        <v>2.1821539561247469</v>
      </c>
      <c r="DC458" s="72" t="str">
        <f>CONCATENATE(G458," ",J458," Year EUL")</f>
        <v>Miscellaneous BUS 14 Year EUL</v>
      </c>
      <c r="DD458" s="95">
        <f>(INDEX('Avoided Cost Benefits'!$C$4:$C$857,MATCH(DC458,'Avoided Cost Benefits'!$A$4:$A$857,0)))*F458</f>
        <v>216.25876865795036</v>
      </c>
      <c r="DE458" s="73">
        <f>K458/(1.0595^(2020-2019))</f>
        <v>99.103350637092959</v>
      </c>
    </row>
    <row r="459" spans="2:109" x14ac:dyDescent="0.25">
      <c r="C459" s="2969" t="s">
        <v>346</v>
      </c>
      <c r="D459" s="1558" t="s">
        <v>34</v>
      </c>
      <c r="E459" s="1501" t="s">
        <v>347</v>
      </c>
      <c r="F459" s="183">
        <f>ROUND(((F473/G473)-(F473/H473))*I473*J473,2)</f>
        <v>40.57</v>
      </c>
      <c r="G459" s="1482" t="s">
        <v>61</v>
      </c>
      <c r="H459" s="1483">
        <f>VLOOKUP(G459,'CP FACTORS'!$A$26:$B$38,2,FALSE)</f>
        <v>1.379439E-4</v>
      </c>
      <c r="I459" s="1502">
        <f>ROUND(H459*F459,6)</f>
        <v>5.5960000000000003E-3</v>
      </c>
      <c r="J459" s="1548">
        <v>14</v>
      </c>
      <c r="K459" s="1503">
        <v>75</v>
      </c>
      <c r="L459" s="1569" t="s">
        <v>37</v>
      </c>
      <c r="V459" s="2434" t="s">
        <v>20</v>
      </c>
      <c r="W459" s="163">
        <v>40.574226971021517</v>
      </c>
      <c r="X459" s="163">
        <v>40.574226971021517</v>
      </c>
      <c r="Y459" s="163">
        <v>40.574226971021517</v>
      </c>
      <c r="Z459" s="163">
        <v>40.574226971021517</v>
      </c>
      <c r="AA459" s="163">
        <v>40.574226971021517</v>
      </c>
      <c r="AB459" s="2116">
        <v>40.57</v>
      </c>
      <c r="AC459" s="2510"/>
      <c r="AD459" s="2510"/>
      <c r="AE459" s="2510"/>
      <c r="AF459" s="2510"/>
      <c r="AG459" s="2510"/>
      <c r="AH459" s="2511"/>
      <c r="AI459" s="2434" t="s">
        <v>24</v>
      </c>
      <c r="AJ459" s="87">
        <v>14</v>
      </c>
      <c r="AK459" s="87">
        <v>14</v>
      </c>
      <c r="AL459" s="87">
        <v>14</v>
      </c>
      <c r="AM459" s="87">
        <v>14</v>
      </c>
      <c r="AN459" s="87">
        <v>14</v>
      </c>
      <c r="AO459" s="2504">
        <f t="shared" si="143"/>
        <v>14</v>
      </c>
      <c r="AP459" s="2510"/>
      <c r="AQ459" s="2510"/>
      <c r="AR459" s="2510"/>
      <c r="AS459" s="2510"/>
      <c r="AT459" s="2280"/>
      <c r="AU459" s="2434" t="s">
        <v>25</v>
      </c>
      <c r="AV459" s="2513">
        <v>75</v>
      </c>
      <c r="AW459" s="2513">
        <v>75</v>
      </c>
      <c r="AX459" s="2513">
        <v>75</v>
      </c>
      <c r="AY459" s="2513">
        <v>75</v>
      </c>
      <c r="AZ459" s="2513">
        <v>75</v>
      </c>
      <c r="BA459" s="2514">
        <v>75</v>
      </c>
      <c r="BB459" s="2510"/>
      <c r="BC459" s="2510"/>
      <c r="BD459" s="2510"/>
      <c r="BE459" s="2510"/>
      <c r="BF459" s="2280"/>
      <c r="BG459" s="2280"/>
      <c r="BH459" s="2280"/>
      <c r="BI459" s="2280"/>
      <c r="DB459" s="74">
        <f>(DD459)/(DE459)</f>
        <v>0.28913819903880317</v>
      </c>
      <c r="DC459" s="72" t="str">
        <f>CONCATENATE(G459," ",J459," Year EUL")</f>
        <v>Miscellaneous BUS 14 Year EUL</v>
      </c>
      <c r="DD459" s="96">
        <f>(INDEX('Avoided Cost Benefits'!$C$4:$C$857,MATCH(DC459,'Avoided Cost Benefits'!$A$4:$A$857,0)))*F459</f>
        <v>20.467545944228632</v>
      </c>
      <c r="DE459" s="75">
        <f>K459/(1.0595^(2020-2019))</f>
        <v>70.788107597923542</v>
      </c>
    </row>
    <row r="460" spans="2:109" outlineLevel="1" x14ac:dyDescent="0.25">
      <c r="E460" s="1473"/>
      <c r="F460" s="1473"/>
      <c r="G460" s="1473"/>
      <c r="H460" s="1491"/>
      <c r="I460" s="1473"/>
      <c r="J460" s="1473"/>
      <c r="K460" s="1473"/>
      <c r="V460" s="2280"/>
      <c r="W460" s="2280"/>
      <c r="X460" s="2280"/>
      <c r="Y460" s="2280"/>
      <c r="Z460" s="2280"/>
      <c r="AA460" s="2280"/>
      <c r="AB460" s="2280"/>
      <c r="AC460" s="2280"/>
      <c r="AD460" s="2280"/>
      <c r="AE460" s="2280"/>
      <c r="AF460" s="2280"/>
      <c r="AG460" s="2280"/>
      <c r="AH460" s="2280"/>
      <c r="AI460" s="2280"/>
      <c r="AJ460" s="2280"/>
      <c r="AK460" s="2280"/>
      <c r="AL460" s="2280"/>
      <c r="AM460" s="2280"/>
      <c r="AN460" s="2280"/>
      <c r="AO460" s="2280"/>
      <c r="AP460" s="2280"/>
      <c r="AQ460" s="2280"/>
      <c r="AR460" s="2280"/>
      <c r="AS460" s="2280"/>
      <c r="AT460" s="2280"/>
      <c r="AU460" s="2280"/>
      <c r="AV460" s="2280"/>
      <c r="AW460" s="2280"/>
      <c r="AX460" s="2280"/>
      <c r="AY460" s="2280"/>
      <c r="AZ460" s="2280"/>
      <c r="BA460" s="2280"/>
      <c r="BB460" s="2280"/>
      <c r="BC460" s="2280"/>
      <c r="BD460" s="2280"/>
      <c r="BE460" s="2280"/>
      <c r="BF460" s="2280"/>
      <c r="BG460" s="2280"/>
      <c r="BH460" s="2280"/>
      <c r="BI460" s="2280"/>
    </row>
    <row r="461" spans="2:109" outlineLevel="1" x14ac:dyDescent="0.25">
      <c r="D461" s="1473" t="s">
        <v>70</v>
      </c>
      <c r="E461" s="1473"/>
      <c r="F461" s="1473"/>
      <c r="G461" s="1473"/>
      <c r="H461" s="1491"/>
      <c r="I461" s="1473"/>
      <c r="J461" s="1473"/>
      <c r="K461" s="1473"/>
      <c r="V461" s="2280"/>
      <c r="W461" s="2280"/>
      <c r="X461" s="2280"/>
      <c r="Y461" s="2280"/>
      <c r="Z461" s="2280"/>
      <c r="AA461" s="2280"/>
      <c r="AB461" s="2280"/>
      <c r="AC461" s="2280"/>
      <c r="AD461" s="2280"/>
      <c r="AE461" s="2280"/>
      <c r="AF461" s="2280"/>
      <c r="AG461" s="2280"/>
      <c r="AH461" s="2280"/>
      <c r="AI461" s="2280"/>
      <c r="AJ461" s="2280"/>
      <c r="AK461" s="2280"/>
      <c r="AL461" s="2280"/>
      <c r="AM461" s="2280"/>
      <c r="AN461" s="2280"/>
      <c r="AO461" s="2280"/>
      <c r="AP461" s="2280"/>
      <c r="AQ461" s="2280"/>
      <c r="AR461" s="2280"/>
      <c r="AS461" s="2280"/>
      <c r="AT461" s="2280"/>
      <c r="AU461" s="2280"/>
      <c r="AV461" s="2280"/>
      <c r="AW461" s="2280"/>
      <c r="AX461" s="2280"/>
      <c r="AY461" s="2280"/>
      <c r="AZ461" s="2280"/>
      <c r="BA461" s="2280"/>
      <c r="BB461" s="2280"/>
      <c r="BC461" s="2280"/>
      <c r="BD461" s="2280"/>
      <c r="BE461" s="2280"/>
      <c r="BF461" s="2280"/>
      <c r="BG461" s="2280"/>
      <c r="BH461" s="2280"/>
      <c r="BI461" s="2280"/>
    </row>
    <row r="462" spans="2:109" outlineLevel="1" x14ac:dyDescent="0.25">
      <c r="D462" s="1492"/>
      <c r="G462" s="1515"/>
      <c r="H462" s="1516"/>
      <c r="V462" s="2280"/>
      <c r="W462" s="2280"/>
      <c r="X462" s="2280"/>
      <c r="Y462" s="2280"/>
      <c r="Z462" s="2280"/>
      <c r="AA462" s="2280"/>
      <c r="AB462" s="2280"/>
      <c r="AC462" s="2280"/>
      <c r="AD462" s="2280"/>
      <c r="AE462" s="2280"/>
      <c r="AF462" s="2280"/>
      <c r="AG462" s="2280"/>
      <c r="AH462" s="2280"/>
      <c r="AI462" s="2280"/>
      <c r="AJ462" s="2280"/>
      <c r="AK462" s="2280"/>
      <c r="AL462" s="2280"/>
      <c r="AM462" s="2280"/>
      <c r="AN462" s="2280"/>
      <c r="AO462" s="2280"/>
      <c r="AP462" s="2280"/>
      <c r="AQ462" s="2280"/>
      <c r="AR462" s="2280"/>
      <c r="AS462" s="2280"/>
      <c r="AT462" s="2280"/>
      <c r="AU462" s="2280"/>
      <c r="AV462" s="2280"/>
      <c r="AW462" s="2280"/>
      <c r="AX462" s="2280"/>
      <c r="AY462" s="2280"/>
      <c r="AZ462" s="2280"/>
      <c r="BA462" s="2280"/>
      <c r="BB462" s="2280"/>
      <c r="BC462" s="2280"/>
      <c r="BD462" s="2280"/>
      <c r="BE462" s="2280"/>
      <c r="BF462" s="2280"/>
      <c r="BG462" s="2280"/>
      <c r="BH462" s="2280"/>
      <c r="BI462" s="2280"/>
    </row>
    <row r="463" spans="2:109" outlineLevel="1" x14ac:dyDescent="0.25">
      <c r="D463" s="1549"/>
      <c r="E463" s="973"/>
      <c r="G463" s="1515"/>
      <c r="H463" s="1516"/>
      <c r="V463" s="2280"/>
      <c r="W463" s="2280"/>
      <c r="X463" s="2280"/>
      <c r="Y463" s="2280"/>
      <c r="Z463" s="2280"/>
      <c r="AA463" s="2280"/>
      <c r="AB463" s="2280"/>
      <c r="AC463" s="2280"/>
      <c r="AD463" s="2280"/>
      <c r="AE463" s="2280"/>
      <c r="AF463" s="2280"/>
      <c r="AG463" s="2280"/>
      <c r="AH463" s="2280"/>
      <c r="AI463" s="2280"/>
      <c r="AJ463" s="2280"/>
      <c r="AK463" s="2280"/>
      <c r="AL463" s="2280"/>
      <c r="AM463" s="2280"/>
      <c r="AN463" s="2280"/>
      <c r="AO463" s="2280"/>
      <c r="AP463" s="2280"/>
      <c r="AQ463" s="2280"/>
      <c r="AR463" s="2280"/>
      <c r="AS463" s="2280"/>
      <c r="AT463" s="2280"/>
      <c r="AU463" s="2280"/>
      <c r="AV463" s="2280"/>
      <c r="AW463" s="2280"/>
      <c r="AX463" s="2280"/>
      <c r="AY463" s="2280"/>
      <c r="AZ463" s="2280"/>
      <c r="BA463" s="2280"/>
      <c r="BB463" s="2280"/>
      <c r="BC463" s="2280"/>
      <c r="BD463" s="2280"/>
      <c r="BE463" s="2280"/>
      <c r="BF463" s="2280"/>
      <c r="BG463" s="2280"/>
      <c r="BH463" s="2280"/>
      <c r="BI463" s="2280"/>
    </row>
    <row r="464" spans="2:109" outlineLevel="1" x14ac:dyDescent="0.25">
      <c r="D464" s="1549"/>
      <c r="E464" s="973"/>
      <c r="G464" s="1470"/>
      <c r="H464" s="1493"/>
      <c r="M464" s="1473"/>
      <c r="V464" s="2280"/>
      <c r="W464" s="2280"/>
      <c r="X464" s="2280"/>
      <c r="Y464" s="2280"/>
      <c r="Z464" s="2280"/>
      <c r="AA464" s="2280"/>
      <c r="AB464" s="2280"/>
      <c r="AC464" s="2280"/>
      <c r="AD464" s="2280"/>
      <c r="AE464" s="2280"/>
      <c r="AF464" s="2280"/>
      <c r="AG464" s="2280"/>
      <c r="AH464" s="2280"/>
      <c r="AI464" s="2280"/>
      <c r="AJ464" s="2280"/>
      <c r="AK464" s="2280"/>
      <c r="AL464" s="2280"/>
      <c r="AM464" s="2280"/>
      <c r="AN464" s="2280"/>
      <c r="AO464" s="2280"/>
      <c r="AP464" s="2280"/>
      <c r="AQ464" s="2280"/>
      <c r="AR464" s="2280"/>
      <c r="AS464" s="2280"/>
      <c r="AT464" s="2280"/>
      <c r="AU464" s="2280"/>
      <c r="AV464" s="2280"/>
      <c r="AW464" s="2280"/>
      <c r="AX464" s="2280"/>
      <c r="AY464" s="2280"/>
      <c r="AZ464" s="2280"/>
      <c r="BA464" s="2280"/>
      <c r="BB464" s="2280"/>
      <c r="BC464" s="2280"/>
      <c r="BD464" s="2280"/>
      <c r="BE464" s="2280"/>
      <c r="BF464" s="2280"/>
      <c r="BG464" s="2280"/>
      <c r="BH464" s="2280"/>
      <c r="BI464" s="2280"/>
    </row>
    <row r="465" spans="2:112" outlineLevel="1" x14ac:dyDescent="0.25">
      <c r="D465" s="1492"/>
      <c r="G465" s="1470"/>
      <c r="H465" s="1493"/>
      <c r="M465" s="1473"/>
      <c r="V465" s="2280"/>
      <c r="W465" s="2280"/>
      <c r="X465" s="2280"/>
      <c r="Y465" s="2280"/>
      <c r="Z465" s="2280"/>
      <c r="AA465" s="2280"/>
      <c r="AB465" s="2280"/>
      <c r="AC465" s="2280"/>
      <c r="AD465" s="2280"/>
      <c r="AE465" s="2280"/>
      <c r="AF465" s="2280"/>
      <c r="AG465" s="2280"/>
      <c r="AH465" s="2280"/>
      <c r="AI465" s="2280"/>
      <c r="AJ465" s="2280"/>
      <c r="AK465" s="2280"/>
      <c r="AL465" s="2280"/>
      <c r="AM465" s="2280"/>
      <c r="AN465" s="2280"/>
      <c r="AO465" s="2280"/>
      <c r="AP465" s="2280"/>
      <c r="AQ465" s="2280"/>
      <c r="AR465" s="2280"/>
      <c r="AS465" s="2280"/>
      <c r="AT465" s="2280"/>
      <c r="AU465" s="2280"/>
      <c r="AV465" s="2280"/>
      <c r="AW465" s="2280"/>
      <c r="AX465" s="2280"/>
      <c r="AY465" s="2280"/>
      <c r="AZ465" s="2280"/>
      <c r="BA465" s="2280"/>
      <c r="BB465" s="2280"/>
      <c r="BC465" s="2280"/>
      <c r="BD465" s="2280"/>
      <c r="BE465" s="2280"/>
      <c r="BF465" s="2280"/>
      <c r="BG465" s="2280"/>
      <c r="BH465" s="2280"/>
      <c r="BI465" s="2280"/>
    </row>
    <row r="466" spans="2:112" outlineLevel="1" x14ac:dyDescent="0.25">
      <c r="D466" s="1492"/>
      <c r="G466" s="1470"/>
      <c r="H466" s="1493"/>
      <c r="M466" s="1473"/>
      <c r="V466" s="2280"/>
      <c r="W466" s="2280"/>
      <c r="X466" s="2280"/>
      <c r="Y466" s="2280"/>
      <c r="Z466" s="2280"/>
      <c r="AA466" s="2280"/>
      <c r="AB466" s="2280"/>
      <c r="AC466" s="2280"/>
      <c r="AD466" s="2280"/>
      <c r="AE466" s="2280"/>
      <c r="AF466" s="2280"/>
      <c r="AG466" s="2280"/>
      <c r="AH466" s="2280"/>
      <c r="AI466" s="2280"/>
      <c r="AJ466" s="2280"/>
      <c r="AK466" s="2280"/>
      <c r="AL466" s="2280"/>
      <c r="AM466" s="2280"/>
      <c r="AN466" s="2280"/>
      <c r="AO466" s="2280"/>
      <c r="AP466" s="2280"/>
      <c r="AQ466" s="2280"/>
      <c r="AR466" s="2280"/>
      <c r="AS466" s="2280"/>
      <c r="AT466" s="2280"/>
      <c r="AU466" s="2280"/>
      <c r="AV466" s="2280"/>
      <c r="AW466" s="2280"/>
      <c r="AX466" s="2280"/>
      <c r="AY466" s="2280"/>
      <c r="AZ466" s="2280"/>
      <c r="BA466" s="2280"/>
      <c r="BB466" s="2280"/>
      <c r="BC466" s="2280"/>
      <c r="BD466" s="2280"/>
      <c r="BE466" s="2280"/>
      <c r="BF466" s="2280"/>
      <c r="BG466" s="2280"/>
      <c r="BH466" s="2280"/>
      <c r="BI466" s="2280"/>
    </row>
    <row r="467" spans="2:112" outlineLevel="1" x14ac:dyDescent="0.25">
      <c r="D467" s="1492"/>
      <c r="G467" s="1470"/>
      <c r="H467" s="1493"/>
      <c r="V467" s="2280"/>
      <c r="W467" s="2280"/>
      <c r="X467" s="2280"/>
      <c r="Y467" s="2280"/>
      <c r="Z467" s="2280"/>
      <c r="AA467" s="2280"/>
      <c r="AB467" s="2280"/>
      <c r="AC467" s="2280"/>
      <c r="AD467" s="2280"/>
      <c r="AE467" s="2280"/>
      <c r="AF467" s="2280"/>
      <c r="AG467" s="2280"/>
      <c r="AH467" s="2280"/>
      <c r="AI467" s="2280"/>
      <c r="AJ467" s="2280"/>
      <c r="AK467" s="2280"/>
      <c r="AL467" s="2280"/>
      <c r="AM467" s="2280"/>
      <c r="AN467" s="2280"/>
      <c r="AO467" s="2280"/>
      <c r="AP467" s="2280"/>
      <c r="AQ467" s="2280"/>
      <c r="AR467" s="2280"/>
      <c r="AS467" s="2280"/>
      <c r="AT467" s="2280"/>
      <c r="AU467" s="2280"/>
      <c r="AV467" s="2280"/>
      <c r="AW467" s="2280"/>
      <c r="AX467" s="2280"/>
      <c r="AY467" s="2280"/>
      <c r="AZ467" s="2280"/>
      <c r="BA467" s="2280"/>
      <c r="BB467" s="2280"/>
      <c r="BC467" s="2280"/>
      <c r="BD467" s="2280"/>
      <c r="BE467" s="2280"/>
      <c r="BF467" s="2280"/>
      <c r="BG467" s="2280"/>
      <c r="BH467" s="2280"/>
      <c r="BI467" s="2280"/>
    </row>
    <row r="468" spans="2:112" s="77" customFormat="1" outlineLevel="1" x14ac:dyDescent="0.25">
      <c r="C468" s="198"/>
      <c r="D468" s="1406" t="s">
        <v>17</v>
      </c>
      <c r="E468" s="1406" t="s">
        <v>119</v>
      </c>
      <c r="F468" s="112" t="s">
        <v>348</v>
      </c>
      <c r="G468" s="1406" t="s">
        <v>349</v>
      </c>
      <c r="H468" s="1406" t="s">
        <v>350</v>
      </c>
      <c r="I468" s="1406" t="s">
        <v>329</v>
      </c>
      <c r="J468" s="1406" t="s">
        <v>351</v>
      </c>
      <c r="K468" s="1406"/>
      <c r="L468" s="1406"/>
      <c r="M468" s="1406"/>
      <c r="N468" s="1406"/>
      <c r="O468" s="1406"/>
      <c r="P468" s="1406"/>
      <c r="Q468" s="1406"/>
      <c r="R468" s="463"/>
      <c r="S468" s="463"/>
      <c r="T468" s="463"/>
      <c r="U468" s="463"/>
      <c r="DB468" s="97"/>
    </row>
    <row r="469" spans="2:112" outlineLevel="1" x14ac:dyDescent="0.25">
      <c r="D469" s="1494" t="str">
        <f>C455</f>
        <v>804050_2019_12_</v>
      </c>
      <c r="E469" s="1494" t="str">
        <f>E455</f>
        <v>Clothes Dryer Vented Electric, Standard (≥ 4.4 ft3)</v>
      </c>
      <c r="F469" s="1566">
        <v>8.4499999999999993</v>
      </c>
      <c r="G469" s="117">
        <v>3.11</v>
      </c>
      <c r="H469" s="1589">
        <v>3.93</v>
      </c>
      <c r="I469" s="1551">
        <v>1483</v>
      </c>
      <c r="J469" s="1579">
        <v>1</v>
      </c>
      <c r="K469" s="1579"/>
      <c r="L469" s="1579"/>
      <c r="M469" s="1579"/>
      <c r="N469" s="1579"/>
      <c r="O469" s="1579"/>
      <c r="P469" s="1579"/>
      <c r="Q469" s="1579"/>
    </row>
    <row r="470" spans="2:112" outlineLevel="1" x14ac:dyDescent="0.25">
      <c r="D470" s="1494" t="str">
        <f>C456</f>
        <v>804100_2019_12_</v>
      </c>
      <c r="E470" s="1494" t="str">
        <f>E456</f>
        <v>Clothes Dryer Vented Electric, Compact (120V) (&lt; 4.4 ft3)</v>
      </c>
      <c r="F470" s="1566">
        <v>3</v>
      </c>
      <c r="G470" s="117">
        <v>3.01</v>
      </c>
      <c r="H470" s="1589">
        <v>3.8</v>
      </c>
      <c r="I470" s="1551">
        <v>1483</v>
      </c>
      <c r="J470" s="1579">
        <v>1</v>
      </c>
      <c r="K470" s="1579"/>
      <c r="L470" s="1579"/>
      <c r="M470" s="1579"/>
      <c r="N470" s="1579"/>
      <c r="O470" s="1579"/>
      <c r="P470" s="1579"/>
      <c r="Q470" s="1579"/>
    </row>
    <row r="471" spans="2:112" outlineLevel="1" x14ac:dyDescent="0.25">
      <c r="D471" s="1494" t="str">
        <f>C457</f>
        <v>804150_2019_12_</v>
      </c>
      <c r="E471" s="1494" t="str">
        <f>E457</f>
        <v>Clothes Dryer Vented Electric, Compact (240V) (&lt;4.4 ft3)</v>
      </c>
      <c r="F471" s="1566">
        <v>3</v>
      </c>
      <c r="G471" s="117">
        <v>2.73</v>
      </c>
      <c r="H471" s="1589">
        <v>3.45</v>
      </c>
      <c r="I471" s="1551">
        <v>1483</v>
      </c>
      <c r="J471" s="1579">
        <v>1</v>
      </c>
      <c r="K471" s="1579"/>
      <c r="L471" s="1579"/>
      <c r="M471" s="1579"/>
      <c r="N471" s="1579"/>
      <c r="O471" s="1579"/>
      <c r="P471" s="1579"/>
      <c r="Q471" s="1579"/>
    </row>
    <row r="472" spans="2:112" outlineLevel="1" x14ac:dyDescent="0.25">
      <c r="D472" s="1494" t="str">
        <f>C458</f>
        <v>804200_2019_12_</v>
      </c>
      <c r="E472" s="1494" t="str">
        <f>E458</f>
        <v>Clothes Dryer Ventless Electric, Compact (240V) (&lt;4.4 ft3)</v>
      </c>
      <c r="F472" s="1566">
        <v>3</v>
      </c>
      <c r="G472" s="117">
        <v>2.13</v>
      </c>
      <c r="H472" s="1589">
        <v>2.68</v>
      </c>
      <c r="I472" s="1551">
        <v>1483</v>
      </c>
      <c r="J472" s="1579">
        <v>1</v>
      </c>
      <c r="K472" s="1579"/>
      <c r="L472" s="1579"/>
      <c r="M472" s="1579"/>
      <c r="N472" s="1579"/>
      <c r="O472" s="1579"/>
      <c r="P472" s="1579"/>
      <c r="Q472" s="1579"/>
    </row>
    <row r="473" spans="2:112" outlineLevel="1" x14ac:dyDescent="0.25">
      <c r="D473" s="1494" t="str">
        <f>C459</f>
        <v>804250_2019_12_</v>
      </c>
      <c r="E473" s="1494" t="str">
        <f>E459</f>
        <v>Clothes Dryer Vented Gas</v>
      </c>
      <c r="F473" s="1566">
        <v>8.4499999999999993</v>
      </c>
      <c r="G473" s="117">
        <v>2.84</v>
      </c>
      <c r="H473" s="1589">
        <v>3.48</v>
      </c>
      <c r="I473" s="1551">
        <v>1483</v>
      </c>
      <c r="J473" s="1579">
        <v>0.05</v>
      </c>
      <c r="K473" s="1579"/>
      <c r="L473" s="1579"/>
      <c r="M473" s="1579"/>
      <c r="N473" s="1579"/>
      <c r="O473" s="1579"/>
      <c r="P473" s="1579"/>
      <c r="Q473" s="1579"/>
    </row>
    <row r="476" spans="2:112" s="46" customFormat="1" x14ac:dyDescent="0.25">
      <c r="B476" s="4089" t="s">
        <v>352</v>
      </c>
      <c r="C476" s="4090"/>
      <c r="D476" s="4090"/>
      <c r="E476" s="4090"/>
      <c r="F476" s="4090"/>
      <c r="G476" s="4090"/>
      <c r="H476" s="4090"/>
      <c r="I476" s="4091"/>
      <c r="J476" s="4091"/>
      <c r="K476" s="4091"/>
      <c r="L476" s="4091"/>
      <c r="M476" s="3354"/>
      <c r="N476" s="3354"/>
      <c r="O476" s="3355"/>
      <c r="V476" s="47" t="str">
        <f>B476</f>
        <v>Compressed Air</v>
      </c>
      <c r="W476" s="48"/>
      <c r="X476" s="48"/>
      <c r="Y476" s="48"/>
      <c r="Z476" s="48"/>
      <c r="AA476" s="48"/>
      <c r="AB476" s="48"/>
      <c r="AC476" s="48"/>
      <c r="AD476" s="48"/>
      <c r="AE476" s="48"/>
      <c r="AF476" s="48"/>
      <c r="AG476" s="48"/>
      <c r="AH476" s="48"/>
      <c r="AI476" s="49"/>
      <c r="AJ476" s="26"/>
      <c r="AK476" s="26"/>
      <c r="AL476" s="26"/>
      <c r="AM476" s="26"/>
      <c r="AN476" s="26"/>
      <c r="AO476" s="26"/>
      <c r="AP476" s="26"/>
      <c r="AQ476" s="26"/>
      <c r="AR476" s="26"/>
      <c r="AS476" s="26"/>
      <c r="AT476" s="26"/>
      <c r="AU476" s="26"/>
      <c r="DB476" s="98"/>
      <c r="DG476" s="2282"/>
      <c r="DH476" s="2282"/>
    </row>
    <row r="477" spans="2:112" x14ac:dyDescent="0.25">
      <c r="D477" s="1478"/>
      <c r="E477" s="1473"/>
      <c r="F477" s="1473"/>
      <c r="G477" s="1473"/>
      <c r="H477" s="1479"/>
      <c r="I477" s="1473"/>
      <c r="J477" s="1473"/>
      <c r="K477" s="1473"/>
      <c r="L477" s="1473"/>
      <c r="P477" s="1473"/>
      <c r="Q477" s="1473"/>
      <c r="R477" s="1473"/>
      <c r="S477" s="1473"/>
      <c r="T477" s="1473"/>
      <c r="U477" s="1473"/>
      <c r="V477"/>
      <c r="W477"/>
      <c r="X477"/>
      <c r="Y477"/>
      <c r="Z477"/>
      <c r="AA477"/>
      <c r="AB477"/>
      <c r="AC477"/>
      <c r="AD477"/>
      <c r="AE477"/>
      <c r="AF477"/>
      <c r="AG477"/>
      <c r="AH477"/>
      <c r="AI477"/>
      <c r="AJ477" s="44"/>
      <c r="AK477" s="44"/>
      <c r="AL477" s="44"/>
      <c r="AM477" s="44"/>
      <c r="AN477" s="44"/>
      <c r="AO477" s="44"/>
      <c r="AP477" s="44"/>
      <c r="AQ477" s="44"/>
      <c r="AR477" s="44"/>
      <c r="AS477" s="44"/>
      <c r="AT477" s="44"/>
      <c r="AU477" s="44"/>
    </row>
    <row r="478" spans="2:112" s="50" customFormat="1" ht="30" x14ac:dyDescent="0.25">
      <c r="B478" s="51"/>
      <c r="C478" s="52" t="s">
        <v>17</v>
      </c>
      <c r="D478" s="52" t="s">
        <v>18</v>
      </c>
      <c r="E478" s="1435" t="s">
        <v>19</v>
      </c>
      <c r="F478" s="1435" t="s">
        <v>20</v>
      </c>
      <c r="G478" s="1435" t="s">
        <v>21</v>
      </c>
      <c r="H478" s="53" t="s">
        <v>22</v>
      </c>
      <c r="I478" s="1435" t="s">
        <v>23</v>
      </c>
      <c r="J478" s="1435" t="s">
        <v>24</v>
      </c>
      <c r="K478" s="52" t="s">
        <v>25</v>
      </c>
      <c r="L478" s="52" t="s">
        <v>26</v>
      </c>
      <c r="M478" s="1470"/>
      <c r="N478" s="1587"/>
      <c r="O478" s="1562"/>
      <c r="P478" s="1563"/>
      <c r="Q478" s="1480"/>
      <c r="R478" s="1480"/>
      <c r="S478" s="1480"/>
      <c r="T478" s="1480"/>
      <c r="U478" s="1480"/>
      <c r="V478" s="55" t="s">
        <v>27</v>
      </c>
      <c r="W478" s="56">
        <f>$W$8</f>
        <v>43252</v>
      </c>
      <c r="X478" s="56">
        <f>$X$8</f>
        <v>43465</v>
      </c>
      <c r="Y478" s="56">
        <f>$Y$8</f>
        <v>43800</v>
      </c>
      <c r="Z478" s="56">
        <f>$Z$8</f>
        <v>43862</v>
      </c>
      <c r="AA478" s="56">
        <f>$AA$8</f>
        <v>44013</v>
      </c>
      <c r="AB478" s="56">
        <v>44166</v>
      </c>
      <c r="AC478" s="56" t="str">
        <f>$AC$8</f>
        <v>-</v>
      </c>
      <c r="AD478" s="56" t="str">
        <f>$AD$8</f>
        <v>-</v>
      </c>
      <c r="AE478" s="56" t="str">
        <f>$AE$8</f>
        <v>-</v>
      </c>
      <c r="AF478" s="56" t="str">
        <f>$AF$8</f>
        <v>-</v>
      </c>
      <c r="AG478" s="56" t="str">
        <f>$AG$8</f>
        <v>-</v>
      </c>
      <c r="AH478"/>
      <c r="AI478" s="55" t="s">
        <v>27</v>
      </c>
      <c r="AJ478" s="56">
        <v>43252</v>
      </c>
      <c r="AK478" s="56">
        <f>$X$8</f>
        <v>43465</v>
      </c>
      <c r="AL478" s="56">
        <f>$Y$8</f>
        <v>43800</v>
      </c>
      <c r="AM478" s="56">
        <f>$Z$8</f>
        <v>43862</v>
      </c>
      <c r="AN478" s="56">
        <f>$AA$8</f>
        <v>44013</v>
      </c>
      <c r="AO478" s="56">
        <f>$AB$8</f>
        <v>44166</v>
      </c>
      <c r="AP478" s="56" t="str">
        <f>$AC$8</f>
        <v>-</v>
      </c>
      <c r="AQ478" s="56" t="str">
        <f>$AD$8</f>
        <v>-</v>
      </c>
      <c r="AR478" s="56" t="str">
        <f>$AE$8</f>
        <v>-</v>
      </c>
      <c r="AS478" s="56" t="str">
        <f>$AF$8</f>
        <v>-</v>
      </c>
      <c r="AT478" s="29"/>
      <c r="AU478" s="55" t="s">
        <v>27</v>
      </c>
      <c r="AV478" s="56">
        <v>43252</v>
      </c>
      <c r="AW478" s="56">
        <f>$X$8</f>
        <v>43465</v>
      </c>
      <c r="AX478" s="56">
        <f>$Y$8</f>
        <v>43800</v>
      </c>
      <c r="AY478" s="56">
        <f>$Z$8</f>
        <v>43862</v>
      </c>
      <c r="AZ478" s="56">
        <f>$AA$8</f>
        <v>44013</v>
      </c>
      <c r="BA478" s="56">
        <v>44166</v>
      </c>
      <c r="BB478" s="56" t="str">
        <f>$AC$8</f>
        <v>-</v>
      </c>
      <c r="BC478" s="56" t="str">
        <f>$AD$8</f>
        <v>-</v>
      </c>
      <c r="BD478" s="56" t="str">
        <f>$AE$8</f>
        <v>-</v>
      </c>
      <c r="BE478" s="56" t="str">
        <f>$AF$8</f>
        <v>-</v>
      </c>
      <c r="DB478" s="57" t="str">
        <f>$DB$8</f>
        <v>TRC (2020)</v>
      </c>
      <c r="DC478" s="93" t="str">
        <f>$DC$8</f>
        <v>Benefit Lookup</v>
      </c>
      <c r="DD478" s="93" t="str">
        <f>$DD$8</f>
        <v>Benefits (2019 $)</v>
      </c>
      <c r="DE478" s="93" t="str">
        <f>$DE$8</f>
        <v>Incremental Cost (2019 $)</v>
      </c>
    </row>
    <row r="479" spans="2:112" x14ac:dyDescent="0.25">
      <c r="C479" s="2969" t="s">
        <v>353</v>
      </c>
      <c r="D479" s="1558" t="s">
        <v>34</v>
      </c>
      <c r="E479" s="1501" t="s">
        <v>354</v>
      </c>
      <c r="F479" s="87">
        <f>ROUND(F495*G495*H495,2)</f>
        <v>3272.26</v>
      </c>
      <c r="G479" s="1482" t="s">
        <v>355</v>
      </c>
      <c r="H479" s="1483">
        <f>VLOOKUP(G479,'CP FACTORS'!$A$26:$B$38,2,FALSE)</f>
        <v>1.379439E-4</v>
      </c>
      <c r="I479" s="1502">
        <f t="shared" ref="I479:I485" si="144">ROUND(H479*F479,6)</f>
        <v>0.45138800000000001</v>
      </c>
      <c r="J479" s="1548">
        <v>13</v>
      </c>
      <c r="K479" s="1503">
        <v>700</v>
      </c>
      <c r="L479" s="1569" t="s">
        <v>37</v>
      </c>
      <c r="V479" s="2434" t="s">
        <v>20</v>
      </c>
      <c r="W479" s="163">
        <v>3272.2560000000003</v>
      </c>
      <c r="X479" s="163">
        <v>3272.2560000000003</v>
      </c>
      <c r="Y479" s="163">
        <v>3272.2560000000003</v>
      </c>
      <c r="Z479" s="163">
        <v>3272.2560000000003</v>
      </c>
      <c r="AA479" s="163">
        <v>3272.2560000000003</v>
      </c>
      <c r="AB479" s="2116">
        <v>3272.26</v>
      </c>
      <c r="AC479" s="2510"/>
      <c r="AD479" s="2510"/>
      <c r="AE479" s="2510"/>
      <c r="AF479" s="2510"/>
      <c r="AG479" s="2510"/>
      <c r="AH479" s="2511"/>
      <c r="AI479" s="2434" t="s">
        <v>24</v>
      </c>
      <c r="AJ479" s="87">
        <v>13</v>
      </c>
      <c r="AK479" s="87">
        <v>13</v>
      </c>
      <c r="AL479" s="87">
        <v>13</v>
      </c>
      <c r="AM479" s="87">
        <v>13</v>
      </c>
      <c r="AN479" s="87">
        <v>13</v>
      </c>
      <c r="AO479" s="2504">
        <f>J479</f>
        <v>13</v>
      </c>
      <c r="AP479" s="2510"/>
      <c r="AQ479" s="2510"/>
      <c r="AR479" s="2510"/>
      <c r="AS479" s="2510"/>
      <c r="AT479" s="2280"/>
      <c r="AU479" s="2434" t="s">
        <v>25</v>
      </c>
      <c r="AV479" s="2513">
        <v>700</v>
      </c>
      <c r="AW479" s="2513">
        <v>700</v>
      </c>
      <c r="AX479" s="2513">
        <v>700</v>
      </c>
      <c r="AY479" s="2513">
        <v>700</v>
      </c>
      <c r="AZ479" s="2513">
        <v>700</v>
      </c>
      <c r="BA479" s="2514">
        <v>700</v>
      </c>
      <c r="BB479" s="2510"/>
      <c r="BC479" s="2510"/>
      <c r="BD479" s="2510"/>
      <c r="BE479" s="2510"/>
      <c r="BF479" s="2280"/>
      <c r="BG479" s="2280"/>
      <c r="BH479" s="2280"/>
      <c r="DB479" s="67">
        <f t="shared" ref="DB479:DB485" si="145">(DD479)/(DE479)</f>
        <v>2.3362622986271173</v>
      </c>
      <c r="DC479" s="68" t="str">
        <f t="shared" ref="DC479:DC485" si="146">CONCATENATE(G479," ",J479," Year EUL")</f>
        <v>Air Comp BUS 13 Year EUL</v>
      </c>
      <c r="DD479" s="94">
        <f>(INDEX('Avoided Cost Benefits'!$C$4:$C$857,MATCH(DC479,'Avoided Cost Benefits'!$A$4:$A$857,0)))*F479</f>
        <v>1543.5428117404265</v>
      </c>
      <c r="DE479" s="69">
        <f t="shared" ref="DE479:DE485" si="147">K479/(1.0595^(2020-2019))</f>
        <v>660.68900424728633</v>
      </c>
    </row>
    <row r="480" spans="2:112" x14ac:dyDescent="0.25">
      <c r="C480" s="2969" t="s">
        <v>356</v>
      </c>
      <c r="D480" s="1558" t="s">
        <v>34</v>
      </c>
      <c r="E480" s="1501" t="s">
        <v>357</v>
      </c>
      <c r="F480" s="87">
        <f t="shared" ref="F480:F485" si="148">ROUND(F496*G496*H496,2)</f>
        <v>2418.62</v>
      </c>
      <c r="G480" s="1482" t="s">
        <v>355</v>
      </c>
      <c r="H480" s="1483">
        <f>VLOOKUP(G480,'CP FACTORS'!$A$26:$B$38,2,FALSE)</f>
        <v>1.379439E-4</v>
      </c>
      <c r="I480" s="1502">
        <f t="shared" si="144"/>
        <v>0.33363399999999999</v>
      </c>
      <c r="J480" s="1548">
        <v>13</v>
      </c>
      <c r="K480" s="1503">
        <v>700</v>
      </c>
      <c r="L480" s="1569" t="s">
        <v>37</v>
      </c>
      <c r="V480" s="2434" t="s">
        <v>20</v>
      </c>
      <c r="W480" s="163">
        <v>2418.6240000000003</v>
      </c>
      <c r="X480" s="163">
        <v>2418.6240000000003</v>
      </c>
      <c r="Y480" s="163">
        <v>2418.6240000000003</v>
      </c>
      <c r="Z480" s="163">
        <v>2418.6240000000003</v>
      </c>
      <c r="AA480" s="163">
        <v>2418.6240000000003</v>
      </c>
      <c r="AB480" s="2116">
        <v>2418.62</v>
      </c>
      <c r="AC480" s="2510"/>
      <c r="AD480" s="2510"/>
      <c r="AE480" s="2510"/>
      <c r="AF480" s="2510"/>
      <c r="AG480" s="2510"/>
      <c r="AH480" s="2511"/>
      <c r="AI480" s="2434" t="s">
        <v>24</v>
      </c>
      <c r="AJ480" s="87">
        <v>13</v>
      </c>
      <c r="AK480" s="87">
        <v>13</v>
      </c>
      <c r="AL480" s="87">
        <v>13</v>
      </c>
      <c r="AM480" s="87">
        <v>13</v>
      </c>
      <c r="AN480" s="87">
        <v>13</v>
      </c>
      <c r="AO480" s="2504">
        <f t="shared" ref="AO480:AO485" si="149">J480</f>
        <v>13</v>
      </c>
      <c r="AP480" s="2510"/>
      <c r="AQ480" s="2510"/>
      <c r="AR480" s="2510"/>
      <c r="AS480" s="2510"/>
      <c r="AT480" s="2280"/>
      <c r="AU480" s="2434" t="s">
        <v>25</v>
      </c>
      <c r="AV480" s="2513">
        <v>700</v>
      </c>
      <c r="AW480" s="2513">
        <v>700</v>
      </c>
      <c r="AX480" s="2513">
        <v>700</v>
      </c>
      <c r="AY480" s="2513">
        <v>700</v>
      </c>
      <c r="AZ480" s="2513">
        <v>700</v>
      </c>
      <c r="BA480" s="2514">
        <v>700</v>
      </c>
      <c r="BB480" s="2510"/>
      <c r="BC480" s="2510"/>
      <c r="BD480" s="2510"/>
      <c r="BE480" s="2510"/>
      <c r="BF480" s="2280"/>
      <c r="BG480" s="2280"/>
      <c r="BH480" s="2280"/>
      <c r="DB480" s="71">
        <f t="shared" si="145"/>
        <v>1.7267976018731757</v>
      </c>
      <c r="DC480" s="72" t="str">
        <f t="shared" si="146"/>
        <v>Air Comp BUS 13 Year EUL</v>
      </c>
      <c r="DD480" s="95">
        <f>(INDEX('Avoided Cost Benefits'!$C$4:$C$857,MATCH(DC480,'Avoided Cost Benefits'!$A$4:$A$857,0)))*F480</f>
        <v>1140.8761881181904</v>
      </c>
      <c r="DE480" s="73">
        <f t="shared" si="147"/>
        <v>660.68900424728633</v>
      </c>
    </row>
    <row r="481" spans="3:109" x14ac:dyDescent="0.25">
      <c r="C481" s="2969" t="s">
        <v>358</v>
      </c>
      <c r="D481" s="1558" t="s">
        <v>34</v>
      </c>
      <c r="E481" s="1501" t="s">
        <v>359</v>
      </c>
      <c r="F481" s="87">
        <f t="shared" si="148"/>
        <v>2703.17</v>
      </c>
      <c r="G481" s="1482" t="s">
        <v>355</v>
      </c>
      <c r="H481" s="1483">
        <f>VLOOKUP(G481,'CP FACTORS'!$A$26:$B$38,2,FALSE)</f>
        <v>1.379439E-4</v>
      </c>
      <c r="I481" s="1502">
        <f t="shared" si="144"/>
        <v>0.372886</v>
      </c>
      <c r="J481" s="1548">
        <v>13</v>
      </c>
      <c r="K481" s="1503">
        <v>700</v>
      </c>
      <c r="L481" s="1569" t="s">
        <v>37</v>
      </c>
      <c r="V481" s="2434" t="s">
        <v>20</v>
      </c>
      <c r="W481" s="163">
        <v>2703.1679999999997</v>
      </c>
      <c r="X481" s="163">
        <v>2703.1679999999997</v>
      </c>
      <c r="Y481" s="163">
        <v>2703.1679999999997</v>
      </c>
      <c r="Z481" s="163">
        <v>2703.1679999999997</v>
      </c>
      <c r="AA481" s="163">
        <v>2703.1679999999997</v>
      </c>
      <c r="AB481" s="2116">
        <v>2703.17</v>
      </c>
      <c r="AC481" s="2510"/>
      <c r="AD481" s="2510"/>
      <c r="AE481" s="2510"/>
      <c r="AF481" s="2510"/>
      <c r="AG481" s="2510"/>
      <c r="AH481" s="2511"/>
      <c r="AI481" s="2434" t="s">
        <v>24</v>
      </c>
      <c r="AJ481" s="87">
        <v>13</v>
      </c>
      <c r="AK481" s="87">
        <v>13</v>
      </c>
      <c r="AL481" s="87">
        <v>13</v>
      </c>
      <c r="AM481" s="87">
        <v>13</v>
      </c>
      <c r="AN481" s="87">
        <v>13</v>
      </c>
      <c r="AO481" s="2504">
        <f t="shared" si="149"/>
        <v>13</v>
      </c>
      <c r="AP481" s="2510"/>
      <c r="AQ481" s="2510"/>
      <c r="AR481" s="2510"/>
      <c r="AS481" s="2510"/>
      <c r="AT481" s="2280"/>
      <c r="AU481" s="2434" t="s">
        <v>25</v>
      </c>
      <c r="AV481" s="2513">
        <v>700</v>
      </c>
      <c r="AW481" s="2513">
        <v>700</v>
      </c>
      <c r="AX481" s="2513">
        <v>700</v>
      </c>
      <c r="AY481" s="2513">
        <v>700</v>
      </c>
      <c r="AZ481" s="2513">
        <v>700</v>
      </c>
      <c r="BA481" s="2514">
        <v>700</v>
      </c>
      <c r="BB481" s="2510"/>
      <c r="BC481" s="2510"/>
      <c r="BD481" s="2510"/>
      <c r="BE481" s="2510"/>
      <c r="BF481" s="2280"/>
      <c r="BG481" s="2280"/>
      <c r="BH481" s="2280"/>
      <c r="DB481" s="71">
        <f t="shared" si="145"/>
        <v>1.9299548806573634</v>
      </c>
      <c r="DC481" s="72" t="str">
        <f t="shared" si="146"/>
        <v>Air Comp BUS 13 Year EUL</v>
      </c>
      <c r="DD481" s="95">
        <f>(INDEX('Avoided Cost Benefits'!$C$4:$C$857,MATCH(DC481,'Avoided Cost Benefits'!$A$4:$A$857,0)))*F481</f>
        <v>1275.0999683437037</v>
      </c>
      <c r="DE481" s="73">
        <f t="shared" si="147"/>
        <v>660.68900424728633</v>
      </c>
    </row>
    <row r="482" spans="3:109" x14ac:dyDescent="0.25">
      <c r="C482" s="2969" t="s">
        <v>360</v>
      </c>
      <c r="D482" s="1558" t="s">
        <v>34</v>
      </c>
      <c r="E482" s="1501" t="s">
        <v>361</v>
      </c>
      <c r="F482" s="87">
        <f t="shared" si="148"/>
        <v>978.12</v>
      </c>
      <c r="G482" s="1482" t="s">
        <v>355</v>
      </c>
      <c r="H482" s="1483">
        <f>VLOOKUP(G482,'CP FACTORS'!$A$26:$B$38,2,FALSE)</f>
        <v>1.379439E-4</v>
      </c>
      <c r="I482" s="1502">
        <f t="shared" si="144"/>
        <v>0.13492599999999999</v>
      </c>
      <c r="J482" s="1548">
        <v>13</v>
      </c>
      <c r="K482" s="1503">
        <v>700</v>
      </c>
      <c r="L482" s="1569" t="s">
        <v>37</v>
      </c>
      <c r="V482" s="2434" t="s">
        <v>20</v>
      </c>
      <c r="W482" s="163">
        <v>978.12</v>
      </c>
      <c r="X482" s="163">
        <v>978.12</v>
      </c>
      <c r="Y482" s="163">
        <v>978.12</v>
      </c>
      <c r="Z482" s="163">
        <v>978.12</v>
      </c>
      <c r="AA482" s="163">
        <v>978.12</v>
      </c>
      <c r="AB482" s="2116">
        <v>978.12</v>
      </c>
      <c r="AC482" s="2510"/>
      <c r="AD482" s="2510"/>
      <c r="AE482" s="2510"/>
      <c r="AF482" s="2510"/>
      <c r="AG482" s="2510"/>
      <c r="AH482" s="2511"/>
      <c r="AI482" s="2434" t="s">
        <v>24</v>
      </c>
      <c r="AJ482" s="87">
        <v>13</v>
      </c>
      <c r="AK482" s="87">
        <v>13</v>
      </c>
      <c r="AL482" s="87">
        <v>13</v>
      </c>
      <c r="AM482" s="87">
        <v>13</v>
      </c>
      <c r="AN482" s="87">
        <v>13</v>
      </c>
      <c r="AO482" s="2504">
        <f t="shared" si="149"/>
        <v>13</v>
      </c>
      <c r="AP482" s="2510"/>
      <c r="AQ482" s="2510"/>
      <c r="AR482" s="2510"/>
      <c r="AS482" s="2510"/>
      <c r="AT482" s="2280"/>
      <c r="AU482" s="2434" t="s">
        <v>25</v>
      </c>
      <c r="AV482" s="2513">
        <v>700</v>
      </c>
      <c r="AW482" s="2513">
        <v>700</v>
      </c>
      <c r="AX482" s="2513">
        <v>700</v>
      </c>
      <c r="AY482" s="2513">
        <v>700</v>
      </c>
      <c r="AZ482" s="2513">
        <v>700</v>
      </c>
      <c r="BA482" s="2514">
        <v>700</v>
      </c>
      <c r="BB482" s="2510"/>
      <c r="BC482" s="2510"/>
      <c r="BD482" s="2510"/>
      <c r="BE482" s="2510"/>
      <c r="BF482" s="2280"/>
      <c r="BG482" s="2280"/>
      <c r="BH482" s="2280"/>
      <c r="DB482" s="71">
        <f t="shared" si="145"/>
        <v>0.69833842039848781</v>
      </c>
      <c r="DC482" s="72" t="str">
        <f t="shared" si="146"/>
        <v>Air Comp BUS 13 Year EUL</v>
      </c>
      <c r="DD482" s="95">
        <f>(INDEX('Avoided Cost Benefits'!$C$4:$C$857,MATCH(DC482,'Avoided Cost Benefits'!$A$4:$A$857,0)))*F482</f>
        <v>461.38451560069973</v>
      </c>
      <c r="DE482" s="73">
        <f t="shared" si="147"/>
        <v>660.68900424728633</v>
      </c>
    </row>
    <row r="483" spans="3:109" x14ac:dyDescent="0.25">
      <c r="C483" s="2969" t="s">
        <v>362</v>
      </c>
      <c r="D483" s="1558" t="s">
        <v>34</v>
      </c>
      <c r="E483" s="1501" t="s">
        <v>363</v>
      </c>
      <c r="F483" s="87">
        <f t="shared" si="148"/>
        <v>978.12</v>
      </c>
      <c r="G483" s="1482" t="s">
        <v>355</v>
      </c>
      <c r="H483" s="1483">
        <f>VLOOKUP(G483,'CP FACTORS'!$A$26:$B$38,2,FALSE)</f>
        <v>1.379439E-4</v>
      </c>
      <c r="I483" s="1502">
        <f t="shared" si="144"/>
        <v>0.13492599999999999</v>
      </c>
      <c r="J483" s="1548">
        <v>13</v>
      </c>
      <c r="K483" s="1503">
        <v>700</v>
      </c>
      <c r="L483" s="1569" t="s">
        <v>37</v>
      </c>
      <c r="V483" s="2434" t="s">
        <v>20</v>
      </c>
      <c r="W483" s="163">
        <v>978.12</v>
      </c>
      <c r="X483" s="163">
        <v>978.12</v>
      </c>
      <c r="Y483" s="163">
        <v>978.12</v>
      </c>
      <c r="Z483" s="163">
        <v>978.12</v>
      </c>
      <c r="AA483" s="163">
        <v>978.12</v>
      </c>
      <c r="AB483" s="2116">
        <v>978.12</v>
      </c>
      <c r="AC483" s="2510"/>
      <c r="AD483" s="2510"/>
      <c r="AE483" s="2510"/>
      <c r="AF483" s="2510"/>
      <c r="AG483" s="2510"/>
      <c r="AH483" s="2511"/>
      <c r="AI483" s="2434" t="s">
        <v>24</v>
      </c>
      <c r="AJ483" s="87">
        <v>13</v>
      </c>
      <c r="AK483" s="87">
        <v>13</v>
      </c>
      <c r="AL483" s="87">
        <v>13</v>
      </c>
      <c r="AM483" s="87">
        <v>13</v>
      </c>
      <c r="AN483" s="87">
        <v>13</v>
      </c>
      <c r="AO483" s="2504">
        <f t="shared" si="149"/>
        <v>13</v>
      </c>
      <c r="AP483" s="2510"/>
      <c r="AQ483" s="2510"/>
      <c r="AR483" s="2510"/>
      <c r="AS483" s="2510"/>
      <c r="AT483" s="2280"/>
      <c r="AU483" s="2434" t="s">
        <v>25</v>
      </c>
      <c r="AV483" s="2513">
        <v>700</v>
      </c>
      <c r="AW483" s="2513">
        <v>700</v>
      </c>
      <c r="AX483" s="2513">
        <v>700</v>
      </c>
      <c r="AY483" s="2513">
        <v>700</v>
      </c>
      <c r="AZ483" s="2513">
        <v>700</v>
      </c>
      <c r="BA483" s="2514">
        <v>700</v>
      </c>
      <c r="BB483" s="2510"/>
      <c r="BC483" s="2510"/>
      <c r="BD483" s="2510"/>
      <c r="BE483" s="2510"/>
      <c r="BF483" s="2280"/>
      <c r="BG483" s="2280"/>
      <c r="BH483" s="2280"/>
      <c r="DB483" s="71">
        <f t="shared" si="145"/>
        <v>0.69833842039848781</v>
      </c>
      <c r="DC483" s="72" t="str">
        <f t="shared" si="146"/>
        <v>Air Comp BUS 13 Year EUL</v>
      </c>
      <c r="DD483" s="95">
        <f>(INDEX('Avoided Cost Benefits'!$C$4:$C$857,MATCH(DC483,'Avoided Cost Benefits'!$A$4:$A$857,0)))*F483</f>
        <v>461.38451560069973</v>
      </c>
      <c r="DE483" s="73">
        <f t="shared" si="147"/>
        <v>660.68900424728633</v>
      </c>
    </row>
    <row r="484" spans="3:109" x14ac:dyDescent="0.25">
      <c r="C484" s="2969" t="s">
        <v>364</v>
      </c>
      <c r="D484" s="1558" t="s">
        <v>34</v>
      </c>
      <c r="E484" s="1501" t="s">
        <v>365</v>
      </c>
      <c r="F484" s="87">
        <f t="shared" si="148"/>
        <v>2720.95</v>
      </c>
      <c r="G484" s="1482" t="s">
        <v>355</v>
      </c>
      <c r="H484" s="1483">
        <f>VLOOKUP(G484,'CP FACTORS'!$A$26:$B$38,2,FALSE)</f>
        <v>1.379439E-4</v>
      </c>
      <c r="I484" s="1502">
        <f t="shared" si="144"/>
        <v>0.375338</v>
      </c>
      <c r="J484" s="1548">
        <v>13</v>
      </c>
      <c r="K484" s="1503">
        <v>700</v>
      </c>
      <c r="L484" s="1569" t="s">
        <v>37</v>
      </c>
      <c r="V484" s="2434" t="s">
        <v>20</v>
      </c>
      <c r="W484" s="163">
        <v>2720.9519999999998</v>
      </c>
      <c r="X484" s="163">
        <v>2720.9519999999998</v>
      </c>
      <c r="Y484" s="163">
        <v>2720.9519999999998</v>
      </c>
      <c r="Z484" s="163">
        <v>2720.9519999999998</v>
      </c>
      <c r="AA484" s="163">
        <v>2720.9519999999998</v>
      </c>
      <c r="AB484" s="2116">
        <v>2720.95</v>
      </c>
      <c r="AC484" s="2510"/>
      <c r="AD484" s="2510"/>
      <c r="AE484" s="2510"/>
      <c r="AF484" s="2510"/>
      <c r="AG484" s="2510"/>
      <c r="AH484" s="2511"/>
      <c r="AI484" s="2434" t="s">
        <v>24</v>
      </c>
      <c r="AJ484" s="87">
        <v>13</v>
      </c>
      <c r="AK484" s="87">
        <v>13</v>
      </c>
      <c r="AL484" s="87">
        <v>13</v>
      </c>
      <c r="AM484" s="87">
        <v>13</v>
      </c>
      <c r="AN484" s="87">
        <v>13</v>
      </c>
      <c r="AO484" s="2504">
        <f t="shared" si="149"/>
        <v>13</v>
      </c>
      <c r="AP484" s="2510"/>
      <c r="AQ484" s="2510"/>
      <c r="AR484" s="2510"/>
      <c r="AS484" s="2510"/>
      <c r="AT484" s="2280"/>
      <c r="AU484" s="2434" t="s">
        <v>25</v>
      </c>
      <c r="AV484" s="2513">
        <v>700</v>
      </c>
      <c r="AW484" s="2513">
        <v>700</v>
      </c>
      <c r="AX484" s="2513">
        <v>700</v>
      </c>
      <c r="AY484" s="2513">
        <v>700</v>
      </c>
      <c r="AZ484" s="2513">
        <v>700</v>
      </c>
      <c r="BA484" s="2514">
        <v>700</v>
      </c>
      <c r="BB484" s="2510"/>
      <c r="BC484" s="2510"/>
      <c r="BD484" s="2510"/>
      <c r="BE484" s="2510"/>
      <c r="BF484" s="2280"/>
      <c r="BG484" s="2280"/>
      <c r="BH484" s="2280"/>
      <c r="DB484" s="71">
        <f t="shared" si="145"/>
        <v>1.9426490870069779</v>
      </c>
      <c r="DC484" s="72" t="str">
        <f t="shared" si="146"/>
        <v>Air Comp BUS 13 Year EUL</v>
      </c>
      <c r="DD484" s="95">
        <f>(INDEX('Avoided Cost Benefits'!$C$4:$C$857,MATCH(DC484,'Avoided Cost Benefits'!$A$4:$A$857,0)))*F484</f>
        <v>1283.4868908965402</v>
      </c>
      <c r="DE484" s="73">
        <f t="shared" si="147"/>
        <v>660.68900424728633</v>
      </c>
    </row>
    <row r="485" spans="3:109" x14ac:dyDescent="0.25">
      <c r="C485" s="2969" t="s">
        <v>366</v>
      </c>
      <c r="D485" s="1558" t="s">
        <v>34</v>
      </c>
      <c r="E485" s="1501" t="s">
        <v>367</v>
      </c>
      <c r="F485" s="87">
        <f t="shared" si="148"/>
        <v>3165.55</v>
      </c>
      <c r="G485" s="1482" t="s">
        <v>355</v>
      </c>
      <c r="H485" s="1483">
        <f>VLOOKUP(G485,'CP FACTORS'!$A$26:$B$38,2,FALSE)</f>
        <v>1.379439E-4</v>
      </c>
      <c r="I485" s="1502">
        <f t="shared" si="144"/>
        <v>0.436668</v>
      </c>
      <c r="J485" s="1548">
        <v>13</v>
      </c>
      <c r="K485" s="1503">
        <v>700</v>
      </c>
      <c r="L485" s="1569" t="s">
        <v>37</v>
      </c>
      <c r="V485" s="2434" t="s">
        <v>20</v>
      </c>
      <c r="W485" s="163">
        <v>3165.5520000000001</v>
      </c>
      <c r="X485" s="163">
        <v>3165.5520000000001</v>
      </c>
      <c r="Y485" s="163">
        <v>3165.5520000000001</v>
      </c>
      <c r="Z485" s="163">
        <v>3165.5520000000001</v>
      </c>
      <c r="AA485" s="163">
        <v>3165.5520000000001</v>
      </c>
      <c r="AB485" s="2116">
        <v>3165.55</v>
      </c>
      <c r="AC485" s="2510"/>
      <c r="AD485" s="2510"/>
      <c r="AE485" s="2510"/>
      <c r="AF485" s="2510"/>
      <c r="AG485" s="2510"/>
      <c r="AH485" s="2511"/>
      <c r="AI485" s="2434" t="s">
        <v>24</v>
      </c>
      <c r="AJ485" s="87">
        <v>13</v>
      </c>
      <c r="AK485" s="87">
        <v>13</v>
      </c>
      <c r="AL485" s="87">
        <v>13</v>
      </c>
      <c r="AM485" s="87">
        <v>13</v>
      </c>
      <c r="AN485" s="87">
        <v>13</v>
      </c>
      <c r="AO485" s="2504">
        <f t="shared" si="149"/>
        <v>13</v>
      </c>
      <c r="AP485" s="2510"/>
      <c r="AQ485" s="2510"/>
      <c r="AR485" s="2510"/>
      <c r="AS485" s="2510"/>
      <c r="AT485" s="2280"/>
      <c r="AU485" s="2434" t="s">
        <v>25</v>
      </c>
      <c r="AV485" s="2513">
        <v>700</v>
      </c>
      <c r="AW485" s="2513">
        <v>700</v>
      </c>
      <c r="AX485" s="2513">
        <v>700</v>
      </c>
      <c r="AY485" s="2513">
        <v>700</v>
      </c>
      <c r="AZ485" s="2513">
        <v>700</v>
      </c>
      <c r="BA485" s="2514">
        <v>700</v>
      </c>
      <c r="BB485" s="2510"/>
      <c r="BC485" s="2510"/>
      <c r="BD485" s="2510"/>
      <c r="BE485" s="2510"/>
      <c r="BF485" s="2280"/>
      <c r="BG485" s="2280"/>
      <c r="BH485" s="2280"/>
      <c r="DB485" s="74">
        <f t="shared" si="145"/>
        <v>2.2600756417335637</v>
      </c>
      <c r="DC485" s="72" t="str">
        <f t="shared" si="146"/>
        <v>Air Comp BUS 13 Year EUL</v>
      </c>
      <c r="DD485" s="96">
        <f>(INDEX('Avoided Cost Benefits'!$C$4:$C$857,MATCH(DC485,'Avoided Cost Benefits'!$A$4:$A$857,0)))*F485</f>
        <v>1493.2071252604949</v>
      </c>
      <c r="DE485" s="75">
        <f t="shared" si="147"/>
        <v>660.68900424728633</v>
      </c>
    </row>
    <row r="486" spans="3:109" outlineLevel="1" x14ac:dyDescent="0.25">
      <c r="E486" s="1473"/>
      <c r="F486" s="1473"/>
      <c r="G486" s="1473"/>
      <c r="H486" s="1491"/>
      <c r="I486" s="1473"/>
      <c r="J486" s="1473"/>
      <c r="K486" s="1473"/>
      <c r="V486" s="2280"/>
      <c r="W486" s="2280"/>
      <c r="X486" s="2280"/>
      <c r="Y486" s="2280"/>
      <c r="Z486" s="2280"/>
      <c r="AA486" s="2280"/>
      <c r="AB486" s="2280"/>
      <c r="AC486" s="2280"/>
      <c r="AD486" s="2280"/>
      <c r="AE486" s="2280"/>
      <c r="AF486" s="2280"/>
      <c r="AG486" s="2280"/>
      <c r="AH486" s="2280"/>
      <c r="AI486" s="2280"/>
      <c r="AJ486" s="2280"/>
      <c r="AK486" s="2280"/>
      <c r="AL486" s="2280"/>
      <c r="AM486" s="2280"/>
      <c r="AN486" s="2280"/>
      <c r="AO486" s="2280"/>
      <c r="AP486" s="2280"/>
      <c r="AQ486" s="2280"/>
      <c r="AR486" s="2280"/>
      <c r="AS486" s="2280"/>
      <c r="AT486" s="2280"/>
      <c r="AU486" s="2280"/>
      <c r="AV486" s="2280"/>
      <c r="AW486" s="2280"/>
      <c r="AX486" s="2280"/>
      <c r="AY486" s="2280"/>
      <c r="AZ486" s="2280"/>
      <c r="BA486" s="2280"/>
      <c r="BB486" s="2280"/>
      <c r="BC486" s="2280"/>
      <c r="BD486" s="2280"/>
      <c r="BE486" s="2280"/>
      <c r="BF486" s="2280"/>
      <c r="BG486" s="2280"/>
      <c r="BH486" s="2280"/>
    </row>
    <row r="487" spans="3:109" outlineLevel="1" x14ac:dyDescent="0.25">
      <c r="D487" s="1473" t="s">
        <v>70</v>
      </c>
      <c r="E487" s="1473"/>
      <c r="F487" s="1473"/>
      <c r="G487" s="1473"/>
      <c r="H487" s="1491"/>
      <c r="I487" s="1473"/>
      <c r="J487" s="1473"/>
      <c r="K487" s="1473"/>
    </row>
    <row r="488" spans="3:109" outlineLevel="1" x14ac:dyDescent="0.25">
      <c r="D488" s="1492"/>
      <c r="G488" s="1515"/>
      <c r="H488" s="1516"/>
    </row>
    <row r="489" spans="3:109" outlineLevel="1" x14ac:dyDescent="0.25">
      <c r="D489" s="1549"/>
      <c r="E489" s="973"/>
      <c r="G489" s="1515"/>
      <c r="H489" s="1516"/>
    </row>
    <row r="490" spans="3:109" outlineLevel="1" x14ac:dyDescent="0.25">
      <c r="D490" s="1549"/>
      <c r="E490" s="973"/>
      <c r="G490" s="1470"/>
      <c r="H490" s="1493"/>
      <c r="M490" s="1473"/>
    </row>
    <row r="491" spans="3:109" outlineLevel="1" x14ac:dyDescent="0.25">
      <c r="D491" s="1492"/>
      <c r="G491" s="1470"/>
      <c r="H491" s="1493"/>
      <c r="M491" s="1473"/>
    </row>
    <row r="492" spans="3:109" outlineLevel="1" x14ac:dyDescent="0.25">
      <c r="D492" s="1492"/>
      <c r="G492" s="1470"/>
      <c r="H492" s="1493"/>
      <c r="M492" s="1473"/>
    </row>
    <row r="493" spans="3:109" outlineLevel="1" x14ac:dyDescent="0.25">
      <c r="D493" s="1492"/>
      <c r="G493" s="1470"/>
      <c r="H493" s="1493"/>
    </row>
    <row r="494" spans="3:109" s="77" customFormat="1" outlineLevel="1" x14ac:dyDescent="0.25">
      <c r="C494" s="198"/>
      <c r="D494" s="1406" t="s">
        <v>17</v>
      </c>
      <c r="E494" s="1406" t="s">
        <v>119</v>
      </c>
      <c r="F494" s="112" t="s">
        <v>368</v>
      </c>
      <c r="G494" s="1406" t="s">
        <v>369</v>
      </c>
      <c r="H494" s="1406" t="s">
        <v>77</v>
      </c>
      <c r="I494" s="463"/>
      <c r="J494" s="463"/>
      <c r="K494" s="463"/>
      <c r="L494" s="463"/>
      <c r="M494" s="463"/>
      <c r="N494" s="463"/>
      <c r="O494" s="463"/>
      <c r="P494" s="463"/>
      <c r="Q494" s="463"/>
      <c r="R494" s="463"/>
      <c r="S494" s="463"/>
      <c r="T494" s="463"/>
      <c r="U494" s="463"/>
      <c r="DB494" s="97"/>
    </row>
    <row r="495" spans="3:109" outlineLevel="1" x14ac:dyDescent="0.25">
      <c r="D495" s="1494" t="str">
        <f>C479</f>
        <v>804300_2019_12_</v>
      </c>
      <c r="E495" s="1494" t="str">
        <f t="shared" ref="E495:E501" si="150">E479</f>
        <v>No Loss Condensate Drain (Reciprocating - On/off Control)</v>
      </c>
      <c r="F495" s="117">
        <v>3</v>
      </c>
      <c r="G495" s="118">
        <v>0.184</v>
      </c>
      <c r="H495" s="1590">
        <v>5928</v>
      </c>
    </row>
    <row r="496" spans="3:109" outlineLevel="1" x14ac:dyDescent="0.25">
      <c r="D496" s="1494" t="str">
        <f t="shared" ref="D496:D501" si="151">C480</f>
        <v>804350_2019_12_</v>
      </c>
      <c r="E496" s="1494" t="str">
        <f t="shared" si="150"/>
        <v>No Loss Condensate Drain (Reciprocating - Load/Unload)</v>
      </c>
      <c r="F496" s="117">
        <v>3</v>
      </c>
      <c r="G496" s="118">
        <v>0.13600000000000001</v>
      </c>
      <c r="H496" s="1590">
        <v>5928</v>
      </c>
    </row>
    <row r="497" spans="2:109" outlineLevel="1" x14ac:dyDescent="0.25">
      <c r="D497" s="1494" t="str">
        <f t="shared" si="151"/>
        <v>804400_2019_12_</v>
      </c>
      <c r="E497" s="1494" t="str">
        <f t="shared" si="150"/>
        <v>No Loss Condensate Drain (Screw - Load/Unload)</v>
      </c>
      <c r="F497" s="117">
        <v>3</v>
      </c>
      <c r="G497" s="118">
        <v>0.152</v>
      </c>
      <c r="H497" s="1590">
        <v>5928</v>
      </c>
    </row>
    <row r="498" spans="2:109" outlineLevel="1" x14ac:dyDescent="0.25">
      <c r="D498" s="1494" t="str">
        <f t="shared" si="151"/>
        <v>804450_2019_12_</v>
      </c>
      <c r="E498" s="1494" t="str">
        <f t="shared" si="150"/>
        <v>No Loss Condensate Drain (Screw - Inlet Modulation)</v>
      </c>
      <c r="F498" s="117">
        <v>3</v>
      </c>
      <c r="G498" s="118">
        <v>5.5E-2</v>
      </c>
      <c r="H498" s="1590">
        <v>5928</v>
      </c>
    </row>
    <row r="499" spans="2:109" outlineLevel="1" x14ac:dyDescent="0.25">
      <c r="D499" s="1494" t="str">
        <f t="shared" si="151"/>
        <v>804500_2019_12_</v>
      </c>
      <c r="E499" s="1494" t="str">
        <f t="shared" si="150"/>
        <v>No Loss Condensate Drain (Screw - Inlet Modulation w/ Unloading)</v>
      </c>
      <c r="F499" s="117">
        <v>3</v>
      </c>
      <c r="G499" s="118">
        <v>5.5E-2</v>
      </c>
      <c r="H499" s="1590">
        <v>5928</v>
      </c>
    </row>
    <row r="500" spans="2:109" outlineLevel="1" x14ac:dyDescent="0.25">
      <c r="D500" s="1494" t="str">
        <f t="shared" si="151"/>
        <v>804550_2019_12_</v>
      </c>
      <c r="E500" s="1494" t="str">
        <f t="shared" si="150"/>
        <v>No Loss Condensate Drain (Screw - Variable Displacement)</v>
      </c>
      <c r="F500" s="117">
        <v>3</v>
      </c>
      <c r="G500" s="118">
        <v>0.153</v>
      </c>
      <c r="H500" s="1590">
        <v>5928</v>
      </c>
    </row>
    <row r="501" spans="2:109" outlineLevel="1" x14ac:dyDescent="0.25">
      <c r="D501" s="1494" t="str">
        <f t="shared" si="151"/>
        <v>804600_2019_12_</v>
      </c>
      <c r="E501" s="1494" t="str">
        <f t="shared" si="150"/>
        <v>No Loss Condensate Drain (Screw - VFD)</v>
      </c>
      <c r="F501" s="117">
        <v>3</v>
      </c>
      <c r="G501" s="118">
        <v>0.17799999999999999</v>
      </c>
      <c r="H501" s="1590">
        <v>5928</v>
      </c>
    </row>
    <row r="504" spans="2:109" s="50" customFormat="1" ht="30" x14ac:dyDescent="0.25">
      <c r="B504" s="51"/>
      <c r="C504" s="52" t="s">
        <v>17</v>
      </c>
      <c r="D504" s="52" t="s">
        <v>18</v>
      </c>
      <c r="E504" s="1435" t="s">
        <v>19</v>
      </c>
      <c r="F504" s="1435" t="s">
        <v>20</v>
      </c>
      <c r="G504" s="1435" t="s">
        <v>21</v>
      </c>
      <c r="H504" s="53" t="s">
        <v>22</v>
      </c>
      <c r="I504" s="1435" t="s">
        <v>23</v>
      </c>
      <c r="J504" s="1435" t="s">
        <v>24</v>
      </c>
      <c r="K504" s="52" t="s">
        <v>25</v>
      </c>
      <c r="L504" s="52" t="s">
        <v>26</v>
      </c>
      <c r="M504" s="1470"/>
      <c r="N504" s="1587"/>
      <c r="O504" s="1562"/>
      <c r="P504" s="1563"/>
      <c r="Q504" s="1480"/>
      <c r="R504" s="1480"/>
      <c r="S504" s="1480"/>
      <c r="T504" s="1480"/>
      <c r="U504" s="1480"/>
      <c r="V504" s="55" t="s">
        <v>27</v>
      </c>
      <c r="W504" s="56">
        <f>$W$8</f>
        <v>43252</v>
      </c>
      <c r="X504" s="56">
        <f>$X$8</f>
        <v>43465</v>
      </c>
      <c r="Y504" s="56">
        <f>$Y$8</f>
        <v>43800</v>
      </c>
      <c r="Z504" s="56">
        <f>$Z$8</f>
        <v>43862</v>
      </c>
      <c r="AA504" s="56">
        <f>$AA$8</f>
        <v>44013</v>
      </c>
      <c r="AB504" s="56">
        <v>44166</v>
      </c>
      <c r="AC504" s="56" t="str">
        <f>$AC$8</f>
        <v>-</v>
      </c>
      <c r="AD504" s="56" t="str">
        <f>$AD$8</f>
        <v>-</v>
      </c>
      <c r="AE504" s="56" t="str">
        <f>$AE$8</f>
        <v>-</v>
      </c>
      <c r="AF504" s="56" t="str">
        <f>$AF$8</f>
        <v>-</v>
      </c>
      <c r="AG504" s="56" t="str">
        <f>$AG$8</f>
        <v>-</v>
      </c>
      <c r="AH504"/>
      <c r="AI504" s="55" t="s">
        <v>27</v>
      </c>
      <c r="AJ504" s="56">
        <v>43252</v>
      </c>
      <c r="AK504" s="56">
        <f>$X$8</f>
        <v>43465</v>
      </c>
      <c r="AL504" s="56">
        <f>$Y$8</f>
        <v>43800</v>
      </c>
      <c r="AM504" s="56">
        <f>$Z$8</f>
        <v>43862</v>
      </c>
      <c r="AN504" s="56">
        <f>$AA$8</f>
        <v>44013</v>
      </c>
      <c r="AO504" s="56">
        <f>$AB$8</f>
        <v>44166</v>
      </c>
      <c r="AP504" s="56" t="str">
        <f>$AC$8</f>
        <v>-</v>
      </c>
      <c r="AQ504" s="56" t="str">
        <f>$AD$8</f>
        <v>-</v>
      </c>
      <c r="AR504" s="56" t="str">
        <f>$AE$8</f>
        <v>-</v>
      </c>
      <c r="AS504" s="56" t="str">
        <f>$AF$8</f>
        <v>-</v>
      </c>
      <c r="AT504" s="29"/>
      <c r="AU504" s="55" t="s">
        <v>27</v>
      </c>
      <c r="AV504" s="56">
        <v>43252</v>
      </c>
      <c r="AW504" s="56">
        <f>$X$8</f>
        <v>43465</v>
      </c>
      <c r="AX504" s="56">
        <f>$Y$8</f>
        <v>43800</v>
      </c>
      <c r="AY504" s="56">
        <f>$Z$8</f>
        <v>43862</v>
      </c>
      <c r="AZ504" s="56">
        <f>$AA$8</f>
        <v>44013</v>
      </c>
      <c r="BA504" s="56">
        <v>44166</v>
      </c>
      <c r="BB504" s="56" t="str">
        <f>$AC$8</f>
        <v>-</v>
      </c>
      <c r="BC504" s="56" t="str">
        <f>$AD$8</f>
        <v>-</v>
      </c>
      <c r="BD504" s="56" t="str">
        <f>$AE$8</f>
        <v>-</v>
      </c>
      <c r="BE504" s="56" t="str">
        <f>$AF$8</f>
        <v>-</v>
      </c>
      <c r="DB504" s="57" t="str">
        <f>$DB$8</f>
        <v>TRC (2020)</v>
      </c>
      <c r="DC504" s="93" t="str">
        <f>$DC$8</f>
        <v>Benefit Lookup</v>
      </c>
      <c r="DD504" s="93" t="str">
        <f>$DD$8</f>
        <v>Benefits (2019 $)</v>
      </c>
      <c r="DE504" s="93" t="str">
        <f>$DE$8</f>
        <v>Incremental Cost (2019 $)</v>
      </c>
    </row>
    <row r="505" spans="2:109" x14ac:dyDescent="0.25">
      <c r="C505" s="2969" t="s">
        <v>370</v>
      </c>
      <c r="D505" s="1558" t="s">
        <v>34</v>
      </c>
      <c r="E505" s="1501" t="s">
        <v>371</v>
      </c>
      <c r="F505" s="183">
        <f>ROUND((F521*G521)*H521*I521*J521,2)</f>
        <v>1547.21</v>
      </c>
      <c r="G505" s="1482" t="s">
        <v>355</v>
      </c>
      <c r="H505" s="1483">
        <f>VLOOKUP(G505,'CP FACTORS'!$A$26:$B$38,2,FALSE)</f>
        <v>1.379439E-4</v>
      </c>
      <c r="I505" s="1502">
        <f t="shared" ref="I505:I511" si="152">ROUND(H505*F505,6)</f>
        <v>0.21342800000000001</v>
      </c>
      <c r="J505" s="1548">
        <v>15</v>
      </c>
      <c r="K505" s="1503">
        <v>77</v>
      </c>
      <c r="L505" s="1569" t="s">
        <v>37</v>
      </c>
      <c r="V505" s="2434" t="s">
        <v>20</v>
      </c>
      <c r="W505" s="163">
        <v>1547.2080000000001</v>
      </c>
      <c r="X505" s="163">
        <v>1547.2080000000001</v>
      </c>
      <c r="Y505" s="163">
        <v>1547.2080000000001</v>
      </c>
      <c r="Z505" s="163">
        <v>1547.2080000000001</v>
      </c>
      <c r="AA505" s="163">
        <v>1547.2080000000001</v>
      </c>
      <c r="AB505" s="2116">
        <v>1547.21</v>
      </c>
      <c r="AC505" s="2510"/>
      <c r="AD505" s="2510"/>
      <c r="AE505" s="2510"/>
      <c r="AF505" s="2510"/>
      <c r="AG505" s="2510"/>
      <c r="AH505" s="2511"/>
      <c r="AI505" s="2434" t="s">
        <v>24</v>
      </c>
      <c r="AJ505" s="87">
        <v>15</v>
      </c>
      <c r="AK505" s="87">
        <v>15</v>
      </c>
      <c r="AL505" s="87">
        <v>15</v>
      </c>
      <c r="AM505" s="87">
        <v>15</v>
      </c>
      <c r="AN505" s="87">
        <v>15</v>
      </c>
      <c r="AO505" s="2504">
        <f>J505</f>
        <v>15</v>
      </c>
      <c r="AP505" s="2510"/>
      <c r="AQ505" s="2510"/>
      <c r="AR505" s="2510"/>
      <c r="AS505" s="2510"/>
      <c r="AT505" s="2280"/>
      <c r="AU505" s="2434" t="s">
        <v>25</v>
      </c>
      <c r="AV505" s="2513">
        <v>77</v>
      </c>
      <c r="AW505" s="2513">
        <v>77</v>
      </c>
      <c r="AX505" s="2513">
        <v>77</v>
      </c>
      <c r="AY505" s="2513">
        <v>77</v>
      </c>
      <c r="AZ505" s="2513">
        <v>77</v>
      </c>
      <c r="BA505" s="2514">
        <v>77</v>
      </c>
      <c r="BB505" s="2510"/>
      <c r="BC505" s="2510"/>
      <c r="BD505" s="2510"/>
      <c r="BE505" s="2510"/>
      <c r="BF505" s="2280"/>
      <c r="BG505" s="2280"/>
      <c r="BH505" s="2280"/>
      <c r="BI505" s="2280"/>
      <c r="BJ505" s="2280"/>
      <c r="BK505" s="2280"/>
      <c r="BL505" s="2280"/>
      <c r="BM505" s="2280"/>
      <c r="BN505" s="2280"/>
      <c r="BO505" s="2280"/>
      <c r="BP505" s="2280"/>
      <c r="DB505" s="67">
        <f t="shared" ref="DB505:DB511" si="153">(DD505)/(DE505)</f>
        <v>11.413575812861211</v>
      </c>
      <c r="DC505" s="68" t="str">
        <f t="shared" ref="DC505:DC511" si="154">CONCATENATE(G505," ",J505," Year EUL")</f>
        <v>Air Comp BUS 15 Year EUL</v>
      </c>
      <c r="DD505" s="94">
        <f>(INDEX('Avoided Cost Benefits'!$C$4:$C$857,MATCH(DC505,'Avoided Cost Benefits'!$A$4:$A$857,0)))*F505</f>
        <v>829.49064425702056</v>
      </c>
      <c r="DE505" s="69">
        <f t="shared" ref="DE505:DE511" si="155">K505/(1.0595^(2020-2019))</f>
        <v>72.675790467201509</v>
      </c>
    </row>
    <row r="506" spans="2:109" x14ac:dyDescent="0.25">
      <c r="C506" s="2969" t="s">
        <v>372</v>
      </c>
      <c r="D506" s="1558" t="s">
        <v>34</v>
      </c>
      <c r="E506" s="1501" t="s">
        <v>373</v>
      </c>
      <c r="F506" s="183">
        <f t="shared" ref="F506:F511" si="156">ROUND((F522*G522)*H522*I522*J522,2)</f>
        <v>1203.3800000000001</v>
      </c>
      <c r="G506" s="1482" t="s">
        <v>355</v>
      </c>
      <c r="H506" s="1483">
        <f>VLOOKUP(G506,'CP FACTORS'!$A$26:$B$38,2,FALSE)</f>
        <v>1.379439E-4</v>
      </c>
      <c r="I506" s="1502">
        <f t="shared" si="152"/>
        <v>0.16599900000000001</v>
      </c>
      <c r="J506" s="1548">
        <v>15</v>
      </c>
      <c r="K506" s="1503">
        <v>77</v>
      </c>
      <c r="L506" s="1569" t="s">
        <v>37</v>
      </c>
      <c r="V506" s="2434" t="s">
        <v>20</v>
      </c>
      <c r="W506" s="163">
        <v>1203.3840000000002</v>
      </c>
      <c r="X506" s="163">
        <v>1203.3840000000002</v>
      </c>
      <c r="Y506" s="163">
        <v>1203.3840000000002</v>
      </c>
      <c r="Z506" s="163">
        <v>1203.3840000000002</v>
      </c>
      <c r="AA506" s="163">
        <v>1203.3840000000002</v>
      </c>
      <c r="AB506" s="2116">
        <v>1203.3800000000001</v>
      </c>
      <c r="AC506" s="2510"/>
      <c r="AD506" s="2510"/>
      <c r="AE506" s="2510"/>
      <c r="AF506" s="2510"/>
      <c r="AG506" s="2510"/>
      <c r="AH506" s="2511"/>
      <c r="AI506" s="2434" t="s">
        <v>24</v>
      </c>
      <c r="AJ506" s="87">
        <v>15</v>
      </c>
      <c r="AK506" s="87">
        <v>15</v>
      </c>
      <c r="AL506" s="87">
        <v>15</v>
      </c>
      <c r="AM506" s="87">
        <v>15</v>
      </c>
      <c r="AN506" s="87">
        <v>15</v>
      </c>
      <c r="AO506" s="2504">
        <f t="shared" ref="AO506:AO511" si="157">J506</f>
        <v>15</v>
      </c>
      <c r="AP506" s="2510"/>
      <c r="AQ506" s="2510"/>
      <c r="AR506" s="2510"/>
      <c r="AS506" s="2510"/>
      <c r="AT506" s="2280"/>
      <c r="AU506" s="2434" t="s">
        <v>25</v>
      </c>
      <c r="AV506" s="2513">
        <v>77</v>
      </c>
      <c r="AW506" s="2513">
        <v>77</v>
      </c>
      <c r="AX506" s="2513">
        <v>77</v>
      </c>
      <c r="AY506" s="2513">
        <v>77</v>
      </c>
      <c r="AZ506" s="2513">
        <v>77</v>
      </c>
      <c r="BA506" s="2514">
        <v>77</v>
      </c>
      <c r="BB506" s="2510"/>
      <c r="BC506" s="2510"/>
      <c r="BD506" s="2510"/>
      <c r="BE506" s="2510"/>
      <c r="BF506" s="2280"/>
      <c r="BG506" s="2280"/>
      <c r="BH506" s="2280"/>
      <c r="BI506" s="2280"/>
      <c r="BJ506" s="2280"/>
      <c r="BK506" s="2280"/>
      <c r="BL506" s="2280"/>
      <c r="BM506" s="2280"/>
      <c r="BN506" s="2280"/>
      <c r="BO506" s="2280"/>
      <c r="BP506" s="2280"/>
      <c r="DB506" s="71">
        <f t="shared" si="153"/>
        <v>8.8771846495827482</v>
      </c>
      <c r="DC506" s="72" t="str">
        <f t="shared" si="154"/>
        <v>Air Comp BUS 15 Year EUL</v>
      </c>
      <c r="DD506" s="95">
        <f>(INDEX('Avoided Cost Benefits'!$C$4:$C$857,MATCH(DC506,'Avoided Cost Benefits'!$A$4:$A$857,0)))*F506</f>
        <v>645.15641153173351</v>
      </c>
      <c r="DE506" s="73">
        <f t="shared" si="155"/>
        <v>72.675790467201509</v>
      </c>
    </row>
    <row r="507" spans="2:109" x14ac:dyDescent="0.25">
      <c r="C507" s="2969" t="s">
        <v>374</v>
      </c>
      <c r="D507" s="1558" t="s">
        <v>34</v>
      </c>
      <c r="E507" s="1501" t="s">
        <v>375</v>
      </c>
      <c r="F507" s="183">
        <f t="shared" si="156"/>
        <v>1289.3399999999999</v>
      </c>
      <c r="G507" s="1482" t="s">
        <v>355</v>
      </c>
      <c r="H507" s="1483">
        <f>VLOOKUP(G507,'CP FACTORS'!$A$26:$B$38,2,FALSE)</f>
        <v>1.379439E-4</v>
      </c>
      <c r="I507" s="1502">
        <f t="shared" si="152"/>
        <v>0.17785699999999999</v>
      </c>
      <c r="J507" s="1548">
        <v>15</v>
      </c>
      <c r="K507" s="1503">
        <v>77</v>
      </c>
      <c r="L507" s="1569" t="s">
        <v>37</v>
      </c>
      <c r="V507" s="2434" t="s">
        <v>20</v>
      </c>
      <c r="W507" s="163">
        <v>1289.3399999999999</v>
      </c>
      <c r="X507" s="163">
        <v>1289.3399999999999</v>
      </c>
      <c r="Y507" s="163">
        <v>1289.3399999999999</v>
      </c>
      <c r="Z507" s="163">
        <v>1289.3399999999999</v>
      </c>
      <c r="AA507" s="163">
        <v>1289.3399999999999</v>
      </c>
      <c r="AB507" s="2116">
        <v>1289.3399999999999</v>
      </c>
      <c r="AC507" s="2510"/>
      <c r="AD507" s="2510"/>
      <c r="AE507" s="2510"/>
      <c r="AF507" s="2510"/>
      <c r="AG507" s="2510"/>
      <c r="AH507" s="2511"/>
      <c r="AI507" s="2434" t="s">
        <v>24</v>
      </c>
      <c r="AJ507" s="87">
        <v>15</v>
      </c>
      <c r="AK507" s="87">
        <v>15</v>
      </c>
      <c r="AL507" s="87">
        <v>15</v>
      </c>
      <c r="AM507" s="87">
        <v>15</v>
      </c>
      <c r="AN507" s="87">
        <v>15</v>
      </c>
      <c r="AO507" s="2504">
        <f t="shared" si="157"/>
        <v>15</v>
      </c>
      <c r="AP507" s="2510"/>
      <c r="AQ507" s="2510"/>
      <c r="AR507" s="2510"/>
      <c r="AS507" s="2510"/>
      <c r="AT507" s="2280"/>
      <c r="AU507" s="2434" t="s">
        <v>25</v>
      </c>
      <c r="AV507" s="2513">
        <v>77</v>
      </c>
      <c r="AW507" s="2513">
        <v>77</v>
      </c>
      <c r="AX507" s="2513">
        <v>77</v>
      </c>
      <c r="AY507" s="2513">
        <v>77</v>
      </c>
      <c r="AZ507" s="2513">
        <v>77</v>
      </c>
      <c r="BA507" s="2514">
        <v>77</v>
      </c>
      <c r="BB507" s="2510"/>
      <c r="BC507" s="2510"/>
      <c r="BD507" s="2510"/>
      <c r="BE507" s="2510"/>
      <c r="BF507" s="2280"/>
      <c r="BG507" s="2280"/>
      <c r="BH507" s="2280"/>
      <c r="BI507" s="2280"/>
      <c r="BJ507" s="2280"/>
      <c r="BK507" s="2280"/>
      <c r="BL507" s="2280"/>
      <c r="BM507" s="2280"/>
      <c r="BN507" s="2280"/>
      <c r="BO507" s="2280"/>
      <c r="BP507" s="2280"/>
      <c r="DB507" s="71">
        <f t="shared" si="153"/>
        <v>9.5113008825915504</v>
      </c>
      <c r="DC507" s="72" t="str">
        <f t="shared" si="154"/>
        <v>Air Comp BUS 15 Year EUL</v>
      </c>
      <c r="DD507" s="95">
        <f>(INDEX('Avoided Cost Benefits'!$C$4:$C$857,MATCH(DC507,'Avoided Cost Benefits'!$A$4:$A$857,0)))*F507</f>
        <v>691.24131001373235</v>
      </c>
      <c r="DE507" s="73">
        <f t="shared" si="155"/>
        <v>72.675790467201509</v>
      </c>
    </row>
    <row r="508" spans="2:109" x14ac:dyDescent="0.25">
      <c r="C508" s="2969" t="s">
        <v>376</v>
      </c>
      <c r="D508" s="1558" t="s">
        <v>34</v>
      </c>
      <c r="E508" s="1501" t="s">
        <v>377</v>
      </c>
      <c r="F508" s="183">
        <f t="shared" si="156"/>
        <v>515.74</v>
      </c>
      <c r="G508" s="1482" t="s">
        <v>355</v>
      </c>
      <c r="H508" s="1483">
        <f>VLOOKUP(G508,'CP FACTORS'!$A$26:$B$38,2,FALSE)</f>
        <v>1.379439E-4</v>
      </c>
      <c r="I508" s="1502">
        <f t="shared" si="152"/>
        <v>7.1142999999999998E-2</v>
      </c>
      <c r="J508" s="1548">
        <v>15</v>
      </c>
      <c r="K508" s="1503">
        <v>77</v>
      </c>
      <c r="L508" s="1569" t="s">
        <v>37</v>
      </c>
      <c r="V508" s="2434" t="s">
        <v>20</v>
      </c>
      <c r="W508" s="163">
        <v>515.73599999999999</v>
      </c>
      <c r="X508" s="163">
        <v>515.73599999999999</v>
      </c>
      <c r="Y508" s="163">
        <v>515.73599999999999</v>
      </c>
      <c r="Z508" s="163">
        <v>515.73599999999999</v>
      </c>
      <c r="AA508" s="163">
        <v>515.73599999999999</v>
      </c>
      <c r="AB508" s="2116">
        <v>515.74</v>
      </c>
      <c r="AC508" s="2510"/>
      <c r="AD508" s="2510"/>
      <c r="AE508" s="2510"/>
      <c r="AF508" s="2510"/>
      <c r="AG508" s="2510"/>
      <c r="AH508" s="2511"/>
      <c r="AI508" s="2434" t="s">
        <v>24</v>
      </c>
      <c r="AJ508" s="87">
        <v>15</v>
      </c>
      <c r="AK508" s="87">
        <v>15</v>
      </c>
      <c r="AL508" s="87">
        <v>15</v>
      </c>
      <c r="AM508" s="87">
        <v>15</v>
      </c>
      <c r="AN508" s="87">
        <v>15</v>
      </c>
      <c r="AO508" s="2504">
        <f t="shared" si="157"/>
        <v>15</v>
      </c>
      <c r="AP508" s="2510"/>
      <c r="AQ508" s="2510"/>
      <c r="AR508" s="2510"/>
      <c r="AS508" s="2510"/>
      <c r="AT508" s="2280"/>
      <c r="AU508" s="2434" t="s">
        <v>25</v>
      </c>
      <c r="AV508" s="2513">
        <v>77</v>
      </c>
      <c r="AW508" s="2513">
        <v>77</v>
      </c>
      <c r="AX508" s="2513">
        <v>77</v>
      </c>
      <c r="AY508" s="2513">
        <v>77</v>
      </c>
      <c r="AZ508" s="2513">
        <v>77</v>
      </c>
      <c r="BA508" s="2514">
        <v>77</v>
      </c>
      <c r="BB508" s="2510"/>
      <c r="BC508" s="2510"/>
      <c r="BD508" s="2510"/>
      <c r="BE508" s="2510"/>
      <c r="BF508" s="2280"/>
      <c r="BG508" s="2280"/>
      <c r="BH508" s="2280"/>
      <c r="BI508" s="2280"/>
      <c r="BJ508" s="2280"/>
      <c r="BK508" s="2280"/>
      <c r="BL508" s="2280"/>
      <c r="BM508" s="2280"/>
      <c r="BN508" s="2280"/>
      <c r="BO508" s="2280"/>
      <c r="BP508" s="2280"/>
      <c r="DB508" s="71">
        <f t="shared" si="153"/>
        <v>3.8045498605393195</v>
      </c>
      <c r="DC508" s="72" t="str">
        <f t="shared" si="154"/>
        <v>Air Comp BUS 15 Year EUL</v>
      </c>
      <c r="DD508" s="95">
        <f>(INDEX('Avoided Cost Benefits'!$C$4:$C$857,MATCH(DC508,'Avoided Cost Benefits'!$A$4:$A$857,0)))*F508</f>
        <v>276.49866848657632</v>
      </c>
      <c r="DE508" s="73">
        <f t="shared" si="155"/>
        <v>72.675790467201509</v>
      </c>
    </row>
    <row r="509" spans="2:109" x14ac:dyDescent="0.25">
      <c r="C509" s="2969" t="s">
        <v>378</v>
      </c>
      <c r="D509" s="1558" t="s">
        <v>34</v>
      </c>
      <c r="E509" s="1501" t="s">
        <v>379</v>
      </c>
      <c r="F509" s="183">
        <f t="shared" si="156"/>
        <v>515.74</v>
      </c>
      <c r="G509" s="1482" t="s">
        <v>355</v>
      </c>
      <c r="H509" s="1483">
        <f>VLOOKUP(G509,'CP FACTORS'!$A$26:$B$38,2,FALSE)</f>
        <v>1.379439E-4</v>
      </c>
      <c r="I509" s="1502">
        <f t="shared" si="152"/>
        <v>7.1142999999999998E-2</v>
      </c>
      <c r="J509" s="1548">
        <v>15</v>
      </c>
      <c r="K509" s="1503">
        <v>77</v>
      </c>
      <c r="L509" s="1569" t="s">
        <v>37</v>
      </c>
      <c r="V509" s="2434" t="s">
        <v>20</v>
      </c>
      <c r="W509" s="163">
        <v>515.73599999999999</v>
      </c>
      <c r="X509" s="163">
        <v>515.73599999999999</v>
      </c>
      <c r="Y509" s="163">
        <v>515.73599999999999</v>
      </c>
      <c r="Z509" s="163">
        <v>515.73599999999999</v>
      </c>
      <c r="AA509" s="163">
        <v>515.73599999999999</v>
      </c>
      <c r="AB509" s="2116">
        <v>515.74</v>
      </c>
      <c r="AC509" s="2510"/>
      <c r="AD509" s="2510"/>
      <c r="AE509" s="2510"/>
      <c r="AF509" s="2510"/>
      <c r="AG509" s="2510"/>
      <c r="AH509" s="2511"/>
      <c r="AI509" s="2434" t="s">
        <v>24</v>
      </c>
      <c r="AJ509" s="87">
        <v>15</v>
      </c>
      <c r="AK509" s="87">
        <v>15</v>
      </c>
      <c r="AL509" s="87">
        <v>15</v>
      </c>
      <c r="AM509" s="87">
        <v>15</v>
      </c>
      <c r="AN509" s="87">
        <v>15</v>
      </c>
      <c r="AO509" s="2504">
        <f t="shared" si="157"/>
        <v>15</v>
      </c>
      <c r="AP509" s="2510"/>
      <c r="AQ509" s="2510"/>
      <c r="AR509" s="2510"/>
      <c r="AS509" s="2510"/>
      <c r="AT509" s="2280"/>
      <c r="AU509" s="2434" t="s">
        <v>25</v>
      </c>
      <c r="AV509" s="2513">
        <v>77</v>
      </c>
      <c r="AW509" s="2513">
        <v>77</v>
      </c>
      <c r="AX509" s="2513">
        <v>77</v>
      </c>
      <c r="AY509" s="2513">
        <v>77</v>
      </c>
      <c r="AZ509" s="2513">
        <v>77</v>
      </c>
      <c r="BA509" s="2514">
        <v>77</v>
      </c>
      <c r="BB509" s="2510"/>
      <c r="BC509" s="2510"/>
      <c r="BD509" s="2510"/>
      <c r="BE509" s="2510"/>
      <c r="BF509" s="2280"/>
      <c r="BG509" s="2280"/>
      <c r="BH509" s="2280"/>
      <c r="BI509" s="2280"/>
      <c r="BJ509" s="2280"/>
      <c r="BK509" s="2280"/>
      <c r="BL509" s="2280"/>
      <c r="BM509" s="2280"/>
      <c r="BN509" s="2280"/>
      <c r="BO509" s="2280"/>
      <c r="BP509" s="2280"/>
      <c r="DB509" s="71">
        <f t="shared" si="153"/>
        <v>3.8045498605393195</v>
      </c>
      <c r="DC509" s="72" t="str">
        <f t="shared" si="154"/>
        <v>Air Comp BUS 15 Year EUL</v>
      </c>
      <c r="DD509" s="95">
        <f>(INDEX('Avoided Cost Benefits'!$C$4:$C$857,MATCH(DC509,'Avoided Cost Benefits'!$A$4:$A$857,0)))*F509</f>
        <v>276.49866848657632</v>
      </c>
      <c r="DE509" s="73">
        <f t="shared" si="155"/>
        <v>72.675790467201509</v>
      </c>
    </row>
    <row r="510" spans="2:109" x14ac:dyDescent="0.25">
      <c r="C510" s="2969" t="s">
        <v>380</v>
      </c>
      <c r="D510" s="1558" t="s">
        <v>34</v>
      </c>
      <c r="E510" s="1501" t="s">
        <v>381</v>
      </c>
      <c r="F510" s="183">
        <f t="shared" si="156"/>
        <v>1289.3399999999999</v>
      </c>
      <c r="G510" s="1482" t="s">
        <v>355</v>
      </c>
      <c r="H510" s="1483">
        <f>VLOOKUP(G510,'CP FACTORS'!$A$26:$B$38,2,FALSE)</f>
        <v>1.379439E-4</v>
      </c>
      <c r="I510" s="1502">
        <f t="shared" si="152"/>
        <v>0.17785699999999999</v>
      </c>
      <c r="J510" s="1548">
        <v>15</v>
      </c>
      <c r="K510" s="1503">
        <v>77</v>
      </c>
      <c r="L510" s="1569" t="s">
        <v>37</v>
      </c>
      <c r="V510" s="2434" t="s">
        <v>20</v>
      </c>
      <c r="W510" s="163">
        <v>1289.3399999999999</v>
      </c>
      <c r="X510" s="163">
        <v>1289.3399999999999</v>
      </c>
      <c r="Y510" s="163">
        <v>1289.3399999999999</v>
      </c>
      <c r="Z510" s="163">
        <v>1289.3399999999999</v>
      </c>
      <c r="AA510" s="163">
        <v>1289.3399999999999</v>
      </c>
      <c r="AB510" s="2116">
        <v>1289.3399999999999</v>
      </c>
      <c r="AC510" s="2510"/>
      <c r="AD510" s="2510"/>
      <c r="AE510" s="2510"/>
      <c r="AF510" s="2510"/>
      <c r="AG510" s="2510"/>
      <c r="AH510" s="2511"/>
      <c r="AI510" s="2434" t="s">
        <v>24</v>
      </c>
      <c r="AJ510" s="87">
        <v>15</v>
      </c>
      <c r="AK510" s="87">
        <v>15</v>
      </c>
      <c r="AL510" s="87">
        <v>15</v>
      </c>
      <c r="AM510" s="87">
        <v>15</v>
      </c>
      <c r="AN510" s="87">
        <v>15</v>
      </c>
      <c r="AO510" s="2504">
        <f t="shared" si="157"/>
        <v>15</v>
      </c>
      <c r="AP510" s="2510"/>
      <c r="AQ510" s="2510"/>
      <c r="AR510" s="2510"/>
      <c r="AS510" s="2510"/>
      <c r="AT510" s="2280"/>
      <c r="AU510" s="2434" t="s">
        <v>25</v>
      </c>
      <c r="AV510" s="2513">
        <v>77</v>
      </c>
      <c r="AW510" s="2513">
        <v>77</v>
      </c>
      <c r="AX510" s="2513">
        <v>77</v>
      </c>
      <c r="AY510" s="2513">
        <v>77</v>
      </c>
      <c r="AZ510" s="2513">
        <v>77</v>
      </c>
      <c r="BA510" s="2514">
        <v>77</v>
      </c>
      <c r="BB510" s="2510"/>
      <c r="BC510" s="2510"/>
      <c r="BD510" s="2510"/>
      <c r="BE510" s="2510"/>
      <c r="BF510" s="2280"/>
      <c r="BG510" s="2280"/>
      <c r="BH510" s="2280"/>
      <c r="BI510" s="2280"/>
      <c r="BJ510" s="2280"/>
      <c r="BK510" s="2280"/>
      <c r="BL510" s="2280"/>
      <c r="BM510" s="2280"/>
      <c r="BN510" s="2280"/>
      <c r="BO510" s="2280"/>
      <c r="BP510" s="2280"/>
      <c r="DB510" s="71">
        <f t="shared" si="153"/>
        <v>9.5113008825915504</v>
      </c>
      <c r="DC510" s="72" t="str">
        <f t="shared" si="154"/>
        <v>Air Comp BUS 15 Year EUL</v>
      </c>
      <c r="DD510" s="95">
        <f>(INDEX('Avoided Cost Benefits'!$C$4:$C$857,MATCH(DC510,'Avoided Cost Benefits'!$A$4:$A$857,0)))*F510</f>
        <v>691.24131001373235</v>
      </c>
      <c r="DE510" s="73">
        <f t="shared" si="155"/>
        <v>72.675790467201509</v>
      </c>
    </row>
    <row r="511" spans="2:109" x14ac:dyDescent="0.25">
      <c r="C511" s="2969" t="s">
        <v>382</v>
      </c>
      <c r="D511" s="1558" t="s">
        <v>34</v>
      </c>
      <c r="E511" s="1501" t="s">
        <v>383</v>
      </c>
      <c r="F511" s="183">
        <f t="shared" si="156"/>
        <v>1547.21</v>
      </c>
      <c r="G511" s="1482" t="s">
        <v>355</v>
      </c>
      <c r="H511" s="1483">
        <f>VLOOKUP(G511,'CP FACTORS'!$A$26:$B$38,2,FALSE)</f>
        <v>1.379439E-4</v>
      </c>
      <c r="I511" s="1502">
        <f t="shared" si="152"/>
        <v>0.21342800000000001</v>
      </c>
      <c r="J511" s="1548">
        <v>15</v>
      </c>
      <c r="K511" s="1503">
        <v>77</v>
      </c>
      <c r="L511" s="1569" t="s">
        <v>37</v>
      </c>
      <c r="V511" s="2434" t="s">
        <v>20</v>
      </c>
      <c r="W511" s="163">
        <v>1547.2080000000001</v>
      </c>
      <c r="X511" s="163">
        <v>1547.2080000000001</v>
      </c>
      <c r="Y511" s="163">
        <v>1547.2080000000001</v>
      </c>
      <c r="Z511" s="163">
        <v>1547.2080000000001</v>
      </c>
      <c r="AA511" s="163">
        <v>1547.2080000000001</v>
      </c>
      <c r="AB511" s="2116">
        <v>1547.21</v>
      </c>
      <c r="AC511" s="2510"/>
      <c r="AD511" s="2510"/>
      <c r="AE511" s="2510"/>
      <c r="AF511" s="2510"/>
      <c r="AG511" s="2510"/>
      <c r="AH511" s="2511"/>
      <c r="AI511" s="2434" t="s">
        <v>24</v>
      </c>
      <c r="AJ511" s="87">
        <v>15</v>
      </c>
      <c r="AK511" s="87">
        <v>15</v>
      </c>
      <c r="AL511" s="87">
        <v>15</v>
      </c>
      <c r="AM511" s="87">
        <v>15</v>
      </c>
      <c r="AN511" s="87">
        <v>15</v>
      </c>
      <c r="AO511" s="2504">
        <f t="shared" si="157"/>
        <v>15</v>
      </c>
      <c r="AP511" s="2510"/>
      <c r="AQ511" s="2510"/>
      <c r="AR511" s="2510"/>
      <c r="AS511" s="2510"/>
      <c r="AT511" s="2280"/>
      <c r="AU511" s="2434" t="s">
        <v>25</v>
      </c>
      <c r="AV511" s="2513">
        <v>77</v>
      </c>
      <c r="AW511" s="2513">
        <v>77</v>
      </c>
      <c r="AX511" s="2513">
        <v>77</v>
      </c>
      <c r="AY511" s="2513">
        <v>77</v>
      </c>
      <c r="AZ511" s="2513">
        <v>77</v>
      </c>
      <c r="BA511" s="2514">
        <v>77</v>
      </c>
      <c r="BB511" s="2510"/>
      <c r="BC511" s="2510"/>
      <c r="BD511" s="2510"/>
      <c r="BE511" s="2510"/>
      <c r="BF511" s="2280"/>
      <c r="BG511" s="2280"/>
      <c r="BH511" s="2280"/>
      <c r="BI511" s="2280"/>
      <c r="BJ511" s="2280"/>
      <c r="BK511" s="2280"/>
      <c r="BL511" s="2280"/>
      <c r="BM511" s="2280"/>
      <c r="BN511" s="2280"/>
      <c r="BO511" s="2280"/>
      <c r="BP511" s="2280"/>
      <c r="DB511" s="74">
        <f t="shared" si="153"/>
        <v>11.413575812861211</v>
      </c>
      <c r="DC511" s="72" t="str">
        <f t="shared" si="154"/>
        <v>Air Comp BUS 15 Year EUL</v>
      </c>
      <c r="DD511" s="96">
        <f>(INDEX('Avoided Cost Benefits'!$C$4:$C$857,MATCH(DC511,'Avoided Cost Benefits'!$A$4:$A$857,0)))*F511</f>
        <v>829.49064425702056</v>
      </c>
      <c r="DE511" s="75">
        <f t="shared" si="155"/>
        <v>72.675790467201509</v>
      </c>
    </row>
    <row r="512" spans="2:109" outlineLevel="1" x14ac:dyDescent="0.25">
      <c r="E512" s="1473"/>
      <c r="F512" s="1473"/>
      <c r="G512" s="1473"/>
      <c r="H512" s="1491"/>
      <c r="I512" s="1473"/>
      <c r="J512" s="1473"/>
      <c r="K512" s="1473"/>
      <c r="V512" s="2280"/>
      <c r="W512" s="2280"/>
      <c r="X512" s="2280"/>
      <c r="Y512" s="2280"/>
      <c r="Z512" s="2280"/>
      <c r="AA512" s="2280"/>
      <c r="AB512" s="2280"/>
      <c r="AC512" s="2280"/>
      <c r="AD512" s="2280"/>
      <c r="AE512" s="2280"/>
      <c r="AF512" s="2280"/>
      <c r="AG512" s="2280"/>
      <c r="AH512" s="2280"/>
      <c r="AI512" s="2280"/>
      <c r="AJ512" s="2280"/>
      <c r="AK512" s="2280"/>
      <c r="AL512" s="2280"/>
      <c r="AM512" s="2280"/>
      <c r="AN512" s="2280"/>
      <c r="AO512" s="2280"/>
      <c r="AP512" s="2280"/>
      <c r="AQ512" s="2280"/>
      <c r="AR512" s="2280"/>
      <c r="AS512" s="2280"/>
      <c r="AT512" s="2280"/>
      <c r="AU512" s="2280"/>
      <c r="AV512" s="2280"/>
      <c r="AW512" s="2280"/>
      <c r="AX512" s="2280"/>
      <c r="AY512" s="2280"/>
      <c r="AZ512" s="2280"/>
      <c r="BA512" s="2280"/>
      <c r="BB512" s="2280"/>
      <c r="BC512" s="2280"/>
      <c r="BD512" s="2280"/>
      <c r="BE512" s="2280"/>
      <c r="BF512" s="2280"/>
      <c r="BG512" s="2280"/>
      <c r="BH512" s="2280"/>
      <c r="BI512" s="2280"/>
      <c r="BJ512" s="2280"/>
      <c r="BK512" s="2280"/>
      <c r="BL512" s="2280"/>
      <c r="BM512" s="2280"/>
      <c r="BN512" s="2280"/>
      <c r="BO512" s="2280"/>
      <c r="BP512" s="2280"/>
    </row>
    <row r="513" spans="3:106" outlineLevel="1" x14ac:dyDescent="0.25">
      <c r="D513" s="1473" t="s">
        <v>70</v>
      </c>
      <c r="E513" s="1473"/>
      <c r="F513" s="1473"/>
      <c r="G513" s="1473"/>
      <c r="H513" s="1491"/>
      <c r="I513" s="1473"/>
      <c r="J513" s="1473"/>
      <c r="K513" s="1473"/>
      <c r="V513" s="2280"/>
      <c r="W513" s="2280"/>
      <c r="X513" s="2280"/>
      <c r="Y513" s="2280"/>
      <c r="Z513" s="2280"/>
      <c r="AA513" s="2280"/>
      <c r="AB513" s="2280"/>
      <c r="AC513" s="2280"/>
      <c r="AD513" s="2280"/>
      <c r="AE513" s="2280"/>
      <c r="AF513" s="2280"/>
      <c r="AG513" s="2280"/>
      <c r="AH513" s="2280"/>
      <c r="AI513" s="2280"/>
      <c r="AJ513" s="2280"/>
      <c r="AK513" s="2280"/>
      <c r="AL513" s="2280"/>
      <c r="AM513" s="2280"/>
      <c r="AN513" s="2280"/>
      <c r="AO513" s="2280"/>
      <c r="AP513" s="2280"/>
      <c r="AQ513" s="2280"/>
      <c r="AR513" s="2280"/>
      <c r="AS513" s="2280"/>
      <c r="AT513" s="2280"/>
      <c r="AU513" s="2280"/>
      <c r="AV513" s="2280"/>
      <c r="AW513" s="2280"/>
      <c r="AX513" s="2280"/>
      <c r="AY513" s="2280"/>
      <c r="AZ513" s="2280"/>
      <c r="BA513" s="2280"/>
      <c r="BB513" s="2280"/>
      <c r="BC513" s="2280"/>
      <c r="BD513" s="2280"/>
      <c r="BE513" s="2280"/>
      <c r="BF513" s="2280"/>
      <c r="BG513" s="2280"/>
      <c r="BH513" s="2280"/>
      <c r="BI513" s="2280"/>
      <c r="BJ513" s="2280"/>
      <c r="BK513" s="2280"/>
      <c r="BL513" s="2280"/>
      <c r="BM513" s="2280"/>
      <c r="BN513" s="2280"/>
      <c r="BO513" s="2280"/>
      <c r="BP513" s="2280"/>
    </row>
    <row r="514" spans="3:106" outlineLevel="1" x14ac:dyDescent="0.25">
      <c r="D514" s="1492"/>
      <c r="G514" s="1515"/>
      <c r="H514" s="1516"/>
      <c r="V514" s="2280"/>
      <c r="W514" s="2280"/>
      <c r="X514" s="2280"/>
      <c r="Y514" s="2280"/>
      <c r="Z514" s="2280"/>
      <c r="AA514" s="2280"/>
      <c r="AB514" s="2280"/>
      <c r="AC514" s="2280"/>
      <c r="AD514" s="2280"/>
      <c r="AE514" s="2280"/>
      <c r="AF514" s="2280"/>
      <c r="AG514" s="2280"/>
      <c r="AH514" s="2280"/>
      <c r="AI514" s="2280"/>
      <c r="AJ514" s="2280"/>
      <c r="AK514" s="2280"/>
      <c r="AL514" s="2280"/>
      <c r="AM514" s="2280"/>
      <c r="AN514" s="2280"/>
      <c r="AO514" s="2280"/>
      <c r="AP514" s="2280"/>
      <c r="AQ514" s="2280"/>
      <c r="AR514" s="2280"/>
      <c r="AS514" s="2280"/>
      <c r="AT514" s="2280"/>
      <c r="AU514" s="2280"/>
      <c r="AV514" s="2280"/>
      <c r="AW514" s="2280"/>
      <c r="AX514" s="2280"/>
      <c r="AY514" s="2280"/>
      <c r="AZ514" s="2280"/>
      <c r="BA514" s="2280"/>
      <c r="BB514" s="2280"/>
      <c r="BC514" s="2280"/>
      <c r="BD514" s="2280"/>
      <c r="BE514" s="2280"/>
      <c r="BF514" s="2280"/>
      <c r="BG514" s="2280"/>
      <c r="BH514" s="2280"/>
      <c r="BI514" s="2280"/>
      <c r="BJ514" s="2280"/>
      <c r="BK514" s="2280"/>
      <c r="BL514" s="2280"/>
      <c r="BM514" s="2280"/>
      <c r="BN514" s="2280"/>
      <c r="BO514" s="2280"/>
      <c r="BP514" s="2280"/>
    </row>
    <row r="515" spans="3:106" outlineLevel="1" x14ac:dyDescent="0.25">
      <c r="D515" s="1549"/>
      <c r="E515" s="973"/>
      <c r="G515" s="1515"/>
      <c r="H515" s="1516"/>
    </row>
    <row r="516" spans="3:106" outlineLevel="1" x14ac:dyDescent="0.25">
      <c r="D516" s="1549"/>
      <c r="E516" s="973"/>
      <c r="G516" s="1470"/>
      <c r="H516" s="1493"/>
      <c r="M516" s="1473"/>
    </row>
    <row r="517" spans="3:106" outlineLevel="1" x14ac:dyDescent="0.25">
      <c r="D517" s="1492"/>
      <c r="G517" s="1470"/>
      <c r="H517" s="1493"/>
      <c r="M517" s="1473"/>
    </row>
    <row r="518" spans="3:106" outlineLevel="1" x14ac:dyDescent="0.25">
      <c r="D518" s="1492"/>
      <c r="G518" s="1470"/>
      <c r="H518" s="1493"/>
      <c r="M518" s="1473"/>
    </row>
    <row r="519" spans="3:106" outlineLevel="1" x14ac:dyDescent="0.25">
      <c r="D519" s="1492"/>
      <c r="G519" s="1470"/>
      <c r="H519" s="1493"/>
    </row>
    <row r="520" spans="3:106" s="77" customFormat="1" outlineLevel="1" x14ac:dyDescent="0.25">
      <c r="C520" s="198"/>
      <c r="D520" s="1406" t="s">
        <v>17</v>
      </c>
      <c r="E520" s="1406" t="s">
        <v>119</v>
      </c>
      <c r="F520" s="112" t="s">
        <v>384</v>
      </c>
      <c r="G520" s="1406" t="s">
        <v>385</v>
      </c>
      <c r="H520" s="1406" t="s">
        <v>386</v>
      </c>
      <c r="I520" s="1406" t="s">
        <v>387</v>
      </c>
      <c r="J520" s="1406" t="s">
        <v>77</v>
      </c>
      <c r="K520" s="463"/>
      <c r="L520" s="463"/>
      <c r="M520" s="463"/>
      <c r="N520" s="463"/>
      <c r="O520" s="463"/>
      <c r="P520" s="463"/>
      <c r="Q520" s="463"/>
      <c r="R520" s="463"/>
      <c r="S520" s="463"/>
      <c r="T520" s="463"/>
      <c r="U520" s="463"/>
      <c r="DB520" s="97"/>
    </row>
    <row r="521" spans="3:106" outlineLevel="1" x14ac:dyDescent="0.25">
      <c r="D521" s="1494" t="str">
        <f>C505</f>
        <v>804650_2019_12_</v>
      </c>
      <c r="E521" s="1494" t="str">
        <f t="shared" ref="E521:E527" si="158">E505</f>
        <v>Compressed Air Nozzle (Reciprocating - On/off Control)</v>
      </c>
      <c r="F521" s="1551">
        <v>58</v>
      </c>
      <c r="G521" s="119">
        <v>0.5</v>
      </c>
      <c r="H521" s="1591">
        <v>0.18</v>
      </c>
      <c r="I521" s="1571">
        <v>0.05</v>
      </c>
      <c r="J521" s="1590">
        <v>5928</v>
      </c>
    </row>
    <row r="522" spans="3:106" outlineLevel="1" x14ac:dyDescent="0.25">
      <c r="D522" s="1494" t="str">
        <f t="shared" ref="D522:D527" si="159">C506</f>
        <v>804700_2019_12_</v>
      </c>
      <c r="E522" s="1494" t="str">
        <f t="shared" si="158"/>
        <v>Compressed Air Nozzle (Reciprocating - Load/Unload)</v>
      </c>
      <c r="F522" s="1551">
        <v>58</v>
      </c>
      <c r="G522" s="119">
        <v>0.5</v>
      </c>
      <c r="H522" s="1591">
        <v>0.14000000000000001</v>
      </c>
      <c r="I522" s="1571">
        <v>0.05</v>
      </c>
      <c r="J522" s="1590">
        <v>5928</v>
      </c>
    </row>
    <row r="523" spans="3:106" outlineLevel="1" x14ac:dyDescent="0.25">
      <c r="D523" s="1494" t="str">
        <f t="shared" si="159"/>
        <v>804750_2019_12_</v>
      </c>
      <c r="E523" s="1494" t="str">
        <f t="shared" si="158"/>
        <v>Compressed Air Nozzle (Screw - Load/Unload)</v>
      </c>
      <c r="F523" s="1551">
        <v>58</v>
      </c>
      <c r="G523" s="119">
        <v>0.5</v>
      </c>
      <c r="H523" s="1591">
        <v>0.15</v>
      </c>
      <c r="I523" s="1571">
        <v>0.05</v>
      </c>
      <c r="J523" s="1590">
        <v>5928</v>
      </c>
    </row>
    <row r="524" spans="3:106" outlineLevel="1" x14ac:dyDescent="0.25">
      <c r="D524" s="1494" t="str">
        <f t="shared" si="159"/>
        <v>804800_2019_12_</v>
      </c>
      <c r="E524" s="1494" t="str">
        <f t="shared" si="158"/>
        <v>Compressed Air Nozzle (Screw - Inlet Modulation)</v>
      </c>
      <c r="F524" s="1551">
        <v>58</v>
      </c>
      <c r="G524" s="119">
        <v>0.5</v>
      </c>
      <c r="H524" s="1591">
        <v>0.06</v>
      </c>
      <c r="I524" s="1571">
        <v>0.05</v>
      </c>
      <c r="J524" s="1590">
        <v>5928</v>
      </c>
    </row>
    <row r="525" spans="3:106" outlineLevel="1" x14ac:dyDescent="0.25">
      <c r="D525" s="1494" t="str">
        <f t="shared" si="159"/>
        <v>804850_2019_12_</v>
      </c>
      <c r="E525" s="1494" t="str">
        <f t="shared" si="158"/>
        <v>Compressed Air Nozzle (Screw - Inlet Modulation w/ Unloading)</v>
      </c>
      <c r="F525" s="1551">
        <v>58</v>
      </c>
      <c r="G525" s="119">
        <v>0.5</v>
      </c>
      <c r="H525" s="1591">
        <v>0.06</v>
      </c>
      <c r="I525" s="1571">
        <v>0.05</v>
      </c>
      <c r="J525" s="1590">
        <v>5928</v>
      </c>
    </row>
    <row r="526" spans="3:106" outlineLevel="1" x14ac:dyDescent="0.25">
      <c r="D526" s="1494" t="str">
        <f t="shared" si="159"/>
        <v>804900_2019_12_</v>
      </c>
      <c r="E526" s="1494" t="str">
        <f t="shared" si="158"/>
        <v>Compressed Air Nozzle (Screw - Variable Displacement)</v>
      </c>
      <c r="F526" s="1551">
        <v>58</v>
      </c>
      <c r="G526" s="119">
        <v>0.5</v>
      </c>
      <c r="H526" s="1591">
        <v>0.15</v>
      </c>
      <c r="I526" s="1571">
        <v>0.05</v>
      </c>
      <c r="J526" s="1590">
        <v>5928</v>
      </c>
    </row>
    <row r="527" spans="3:106" outlineLevel="1" x14ac:dyDescent="0.25">
      <c r="D527" s="1494" t="str">
        <f t="shared" si="159"/>
        <v>804950_2019_12_</v>
      </c>
      <c r="E527" s="1494" t="str">
        <f t="shared" si="158"/>
        <v>Compressed Air Nozzle (Screw - VFD)</v>
      </c>
      <c r="F527" s="1551">
        <v>58</v>
      </c>
      <c r="G527" s="119">
        <v>0.5</v>
      </c>
      <c r="H527" s="1591">
        <v>0.18</v>
      </c>
      <c r="I527" s="1571">
        <v>0.05</v>
      </c>
      <c r="J527" s="1590">
        <v>5928</v>
      </c>
    </row>
    <row r="530" spans="2:112" s="50" customFormat="1" ht="30" x14ac:dyDescent="0.25">
      <c r="B530" s="51"/>
      <c r="C530" s="52" t="s">
        <v>17</v>
      </c>
      <c r="D530" s="52" t="s">
        <v>18</v>
      </c>
      <c r="E530" s="2339" t="s">
        <v>19</v>
      </c>
      <c r="F530" s="2339" t="s">
        <v>197</v>
      </c>
      <c r="G530" s="2339" t="s">
        <v>21</v>
      </c>
      <c r="H530" s="53" t="s">
        <v>22</v>
      </c>
      <c r="I530" s="2339" t="s">
        <v>23</v>
      </c>
      <c r="J530" s="2339" t="s">
        <v>24</v>
      </c>
      <c r="K530" s="52" t="s">
        <v>25</v>
      </c>
      <c r="L530" s="52" t="s">
        <v>26</v>
      </c>
      <c r="M530" s="1470"/>
      <c r="N530" s="1587"/>
      <c r="O530" s="1562"/>
      <c r="P530" s="1563"/>
      <c r="Q530" s="1480"/>
      <c r="R530" s="1480"/>
      <c r="S530" s="1480"/>
      <c r="T530" s="1480"/>
      <c r="U530" s="1480"/>
      <c r="V530" s="55" t="s">
        <v>27</v>
      </c>
      <c r="W530" s="56">
        <f>$W$8</f>
        <v>43252</v>
      </c>
      <c r="X530" s="56">
        <f>$X$8</f>
        <v>43465</v>
      </c>
      <c r="Y530" s="56">
        <f>$Y$8</f>
        <v>43800</v>
      </c>
      <c r="Z530" s="56">
        <f>$Z$8</f>
        <v>43862</v>
      </c>
      <c r="AA530" s="56">
        <f>$AA$8</f>
        <v>44013</v>
      </c>
      <c r="AB530" s="56">
        <v>44166</v>
      </c>
      <c r="AC530" s="56" t="str">
        <f>$AC$8</f>
        <v>-</v>
      </c>
      <c r="AD530" s="56" t="str">
        <f>$AD$8</f>
        <v>-</v>
      </c>
      <c r="AE530" s="56" t="str">
        <f>$AE$8</f>
        <v>-</v>
      </c>
      <c r="AF530" s="56" t="str">
        <f>$AF$8</f>
        <v>-</v>
      </c>
      <c r="AG530" s="56" t="str">
        <f>$AG$8</f>
        <v>-</v>
      </c>
      <c r="AH530"/>
      <c r="AI530" s="55" t="s">
        <v>27</v>
      </c>
      <c r="AJ530" s="56">
        <v>43252</v>
      </c>
      <c r="AK530" s="56">
        <f>$X$8</f>
        <v>43465</v>
      </c>
      <c r="AL530" s="56">
        <f>$Y$8</f>
        <v>43800</v>
      </c>
      <c r="AM530" s="56">
        <f>$Z$8</f>
        <v>43862</v>
      </c>
      <c r="AN530" s="56">
        <f>$AA$8</f>
        <v>44013</v>
      </c>
      <c r="AO530" s="56">
        <f>$AB$8</f>
        <v>44166</v>
      </c>
      <c r="AP530" s="56" t="str">
        <f>$AC$8</f>
        <v>-</v>
      </c>
      <c r="AQ530" s="56" t="str">
        <f>$AD$8</f>
        <v>-</v>
      </c>
      <c r="AR530" s="56" t="str">
        <f>$AE$8</f>
        <v>-</v>
      </c>
      <c r="AS530" s="56" t="str">
        <f>$AF$8</f>
        <v>-</v>
      </c>
      <c r="AT530" s="29"/>
      <c r="AU530" s="55" t="s">
        <v>27</v>
      </c>
      <c r="AV530" s="56">
        <v>43252</v>
      </c>
      <c r="AW530" s="56">
        <f>$X$8</f>
        <v>43465</v>
      </c>
      <c r="AX530" s="56">
        <f>$Y$8</f>
        <v>43800</v>
      </c>
      <c r="AY530" s="56">
        <f>$Z$8</f>
        <v>43862</v>
      </c>
      <c r="AZ530" s="56">
        <f>$AA$8</f>
        <v>44013</v>
      </c>
      <c r="BA530" s="56">
        <v>44166</v>
      </c>
      <c r="BB530" s="56" t="str">
        <f>$AC$8</f>
        <v>-</v>
      </c>
      <c r="BC530" s="56" t="str">
        <f>$AD$8</f>
        <v>-</v>
      </c>
      <c r="BD530" s="56" t="str">
        <f>$AE$8</f>
        <v>-</v>
      </c>
      <c r="BE530" s="56" t="str">
        <f>$AF$8</f>
        <v>-</v>
      </c>
      <c r="DB530" s="57" t="str">
        <f>$DB$8</f>
        <v>TRC (2020)</v>
      </c>
      <c r="DC530" s="93" t="str">
        <f>$DC$8</f>
        <v>Benefit Lookup</v>
      </c>
      <c r="DD530" s="93" t="str">
        <f>$DD$8</f>
        <v>Benefits (2019 $)</v>
      </c>
      <c r="DE530" s="93" t="str">
        <f>$DE$8</f>
        <v>Incremental Cost (2019 $)</v>
      </c>
    </row>
    <row r="531" spans="2:112" x14ac:dyDescent="0.25">
      <c r="C531" s="2969" t="s">
        <v>3458</v>
      </c>
      <c r="D531" s="120" t="s">
        <v>34</v>
      </c>
      <c r="E531" s="1501" t="s">
        <v>3430</v>
      </c>
      <c r="F531" s="87">
        <f>ROUND(0.9*F541*G541*(H541-I541),2)</f>
        <v>987.01</v>
      </c>
      <c r="G531" s="1482" t="s">
        <v>355</v>
      </c>
      <c r="H531" s="1483">
        <f>VLOOKUP(G531,'CP FACTORS'!$A$26:$B$38,2,FALSE)</f>
        <v>1.379439E-4</v>
      </c>
      <c r="I531" s="1502">
        <f>ROUND(H531*F531,6)</f>
        <v>0.136152</v>
      </c>
      <c r="J531" s="1548">
        <v>10</v>
      </c>
      <c r="K531" s="2344" t="s">
        <v>3457</v>
      </c>
      <c r="L531" s="1569" t="s">
        <v>388</v>
      </c>
      <c r="V531" s="60" t="str">
        <f>F530</f>
        <v>kWh Annual Savings (per HP)</v>
      </c>
      <c r="W531" s="70">
        <v>987.01200000000028</v>
      </c>
      <c r="X531" s="70">
        <v>3272.2560000000003</v>
      </c>
      <c r="Y531" s="70">
        <v>3272.2560000000003</v>
      </c>
      <c r="Z531" s="2294">
        <v>3272.2560000000003</v>
      </c>
      <c r="AA531" s="2294">
        <v>3272.2560000000003</v>
      </c>
      <c r="AB531" s="2116">
        <v>987.01</v>
      </c>
      <c r="AC531" s="63"/>
      <c r="AD531" s="63"/>
      <c r="AE531" s="63"/>
      <c r="AF531" s="63"/>
      <c r="AG531" s="63"/>
      <c r="AH531" s="64"/>
      <c r="AI531" s="60" t="s">
        <v>24</v>
      </c>
      <c r="AJ531" s="65">
        <v>10</v>
      </c>
      <c r="AK531" s="65">
        <v>10</v>
      </c>
      <c r="AL531" s="65">
        <v>10</v>
      </c>
      <c r="AM531" s="2290">
        <v>10</v>
      </c>
      <c r="AN531" s="2290">
        <v>10</v>
      </c>
      <c r="AO531" s="2286">
        <f>J531</f>
        <v>10</v>
      </c>
      <c r="AP531" s="63"/>
      <c r="AQ531" s="63"/>
      <c r="AR531" s="63"/>
      <c r="AS531" s="63"/>
      <c r="AT531" s="29"/>
      <c r="AU531" s="60" t="str">
        <f>K530</f>
        <v>Inc. Cost</v>
      </c>
      <c r="AV531" s="66">
        <v>1573</v>
      </c>
      <c r="AW531" s="66">
        <v>1573</v>
      </c>
      <c r="AX531" s="66">
        <v>1573</v>
      </c>
      <c r="AY531" s="2291">
        <v>1573</v>
      </c>
      <c r="AZ531" s="2878" t="s">
        <v>3457</v>
      </c>
      <c r="BA531" s="2357" t="s">
        <v>3457</v>
      </c>
      <c r="BB531" s="63"/>
      <c r="BC531" s="63"/>
      <c r="BD531" s="63"/>
      <c r="BE531" s="63"/>
      <c r="DB531" s="107">
        <f>(DD531)/(DE531)</f>
        <v>1.0381828809157441</v>
      </c>
      <c r="DC531" s="68" t="str">
        <f>CONCATENATE(G531," ",J531," Year EUL")</f>
        <v>Air Comp BUS 10 Year EUL</v>
      </c>
      <c r="DD531" s="3321">
        <f>(INDEX('Avoided Cost Benefits'!$C$4:$C$857,MATCH(DC531,'Avoided Cost Benefits'!$A$4:$A$857,0)))*F531*DE541</f>
        <v>2163.5750835884496</v>
      </c>
      <c r="DE531" s="109">
        <f>(127*DE541+1446)/(1.0595^(2020-2019))</f>
        <v>2084.001887682869</v>
      </c>
    </row>
    <row r="532" spans="2:112" outlineLevel="1" x14ac:dyDescent="0.25">
      <c r="E532" s="1473"/>
      <c r="F532" s="1473"/>
      <c r="G532" s="1473"/>
      <c r="H532" s="1491"/>
      <c r="I532" s="1473"/>
      <c r="J532" s="1473"/>
      <c r="K532" s="1473"/>
    </row>
    <row r="533" spans="2:112" outlineLevel="1" x14ac:dyDescent="0.25">
      <c r="D533" s="1473" t="s">
        <v>70</v>
      </c>
      <c r="E533" s="1473"/>
      <c r="F533" s="1473"/>
      <c r="G533" s="1473"/>
      <c r="H533" s="1491"/>
      <c r="I533" s="1473"/>
      <c r="J533" s="1473"/>
      <c r="K533" s="1473"/>
    </row>
    <row r="534" spans="2:112" outlineLevel="1" x14ac:dyDescent="0.25">
      <c r="D534" s="1492"/>
      <c r="G534" s="1515"/>
      <c r="H534" s="1516"/>
    </row>
    <row r="535" spans="2:112" outlineLevel="1" x14ac:dyDescent="0.25">
      <c r="D535" s="1549"/>
      <c r="E535" s="973"/>
      <c r="G535" s="1515"/>
      <c r="H535" s="1516"/>
    </row>
    <row r="536" spans="2:112" outlineLevel="1" x14ac:dyDescent="0.25">
      <c r="D536" s="1549"/>
      <c r="E536" s="973"/>
      <c r="G536" s="1470"/>
      <c r="H536" s="1493"/>
      <c r="M536" s="1473"/>
    </row>
    <row r="537" spans="2:112" outlineLevel="1" x14ac:dyDescent="0.25">
      <c r="D537" s="1492"/>
      <c r="G537" s="1470"/>
      <c r="H537" s="1493"/>
      <c r="M537" s="1473"/>
    </row>
    <row r="538" spans="2:112" outlineLevel="1" x14ac:dyDescent="0.25">
      <c r="D538" s="1492"/>
      <c r="G538" s="1470"/>
      <c r="H538" s="1493"/>
      <c r="M538" s="1473"/>
    </row>
    <row r="539" spans="2:112" outlineLevel="1" x14ac:dyDescent="0.25">
      <c r="D539" s="1492"/>
      <c r="G539" s="1470"/>
      <c r="H539" s="1493"/>
    </row>
    <row r="540" spans="2:112" s="77" customFormat="1" outlineLevel="1" x14ac:dyDescent="0.25">
      <c r="C540" s="198"/>
      <c r="D540" s="1406" t="s">
        <v>17</v>
      </c>
      <c r="E540" s="1406" t="s">
        <v>119</v>
      </c>
      <c r="F540" s="112" t="s">
        <v>389</v>
      </c>
      <c r="G540" s="1406" t="s">
        <v>77</v>
      </c>
      <c r="H540" s="1406" t="s">
        <v>390</v>
      </c>
      <c r="I540" s="1406" t="s">
        <v>391</v>
      </c>
      <c r="J540" s="463"/>
      <c r="K540" s="463"/>
      <c r="L540" s="463"/>
      <c r="M540" s="463"/>
      <c r="N540" s="463"/>
      <c r="O540" s="463"/>
      <c r="P540" s="463"/>
      <c r="Q540" s="463"/>
      <c r="R540" s="463"/>
      <c r="S540" s="463"/>
      <c r="T540" s="463"/>
      <c r="U540" s="463"/>
      <c r="DB540" s="97"/>
    </row>
    <row r="541" spans="2:112" outlineLevel="1" x14ac:dyDescent="0.25">
      <c r="D541" s="1494" t="str">
        <f>C531</f>
        <v>805000_2020_07_</v>
      </c>
      <c r="E541" s="1494" t="str">
        <f>E531</f>
        <v>VSD Air Compressor 5-40 HP</v>
      </c>
      <c r="F541" s="1551">
        <v>1</v>
      </c>
      <c r="G541" s="121">
        <v>5928</v>
      </c>
      <c r="H541" s="1592">
        <v>0.89</v>
      </c>
      <c r="I541" s="1593">
        <v>0.70499999999999996</v>
      </c>
      <c r="DE541" s="2325">
        <v>6</v>
      </c>
      <c r="DF541" s="2325" t="s">
        <v>273</v>
      </c>
      <c r="DG541" s="2325"/>
      <c r="DH541" s="2325"/>
    </row>
    <row r="544" spans="2:112" s="46" customFormat="1" x14ac:dyDescent="0.25">
      <c r="B544" s="4089" t="s">
        <v>392</v>
      </c>
      <c r="C544" s="4090"/>
      <c r="D544" s="4090"/>
      <c r="E544" s="4090"/>
      <c r="F544" s="4090"/>
      <c r="G544" s="4090"/>
      <c r="H544" s="4090"/>
      <c r="I544" s="4091"/>
      <c r="J544" s="4091"/>
      <c r="K544" s="4091"/>
      <c r="L544" s="4091"/>
      <c r="M544" s="3354"/>
      <c r="N544" s="3354"/>
      <c r="O544" s="3355"/>
      <c r="V544" s="47" t="str">
        <f>B544</f>
        <v>Combination Oven</v>
      </c>
      <c r="W544" s="48"/>
      <c r="X544" s="48"/>
      <c r="Y544" s="48"/>
      <c r="Z544" s="48"/>
      <c r="AA544" s="48"/>
      <c r="AB544" s="48"/>
      <c r="AC544" s="48"/>
      <c r="AD544" s="48"/>
      <c r="AE544" s="48"/>
      <c r="AF544" s="48"/>
      <c r="AG544" s="48"/>
      <c r="AH544" s="48"/>
      <c r="AI544" s="49"/>
      <c r="AJ544" s="26"/>
      <c r="AK544" s="26"/>
      <c r="AL544" s="26"/>
      <c r="AM544" s="26"/>
      <c r="AN544" s="26"/>
      <c r="AO544" s="26"/>
      <c r="AP544" s="26"/>
      <c r="AQ544" s="26"/>
      <c r="AR544" s="26"/>
      <c r="AS544" s="26"/>
      <c r="AT544" s="26"/>
      <c r="AU544" s="26"/>
      <c r="DB544" s="98"/>
      <c r="DG544" s="2282"/>
      <c r="DH544" s="2282"/>
    </row>
    <row r="545" spans="2:109" x14ac:dyDescent="0.25">
      <c r="D545" s="1478"/>
      <c r="E545" s="1473"/>
      <c r="F545" s="1473"/>
      <c r="G545" s="1473"/>
      <c r="H545" s="1479"/>
      <c r="I545" s="1473"/>
      <c r="J545" s="1473"/>
      <c r="K545" s="1473"/>
      <c r="L545" s="1473"/>
      <c r="P545" s="1473"/>
      <c r="Q545" s="1473"/>
      <c r="R545" s="1473"/>
      <c r="S545" s="1473"/>
      <c r="T545" s="1473"/>
      <c r="U545" s="1473"/>
      <c r="V545"/>
      <c r="W545"/>
      <c r="X545"/>
      <c r="Y545"/>
      <c r="Z545"/>
      <c r="AA545"/>
      <c r="AB545"/>
      <c r="AC545"/>
      <c r="AD545"/>
      <c r="AE545"/>
      <c r="AF545"/>
      <c r="AG545"/>
      <c r="AH545"/>
      <c r="AI545"/>
      <c r="AJ545" s="44"/>
      <c r="AK545" s="44"/>
      <c r="AL545" s="44"/>
      <c r="AM545" s="44"/>
      <c r="AN545" s="44"/>
      <c r="AO545" s="44"/>
      <c r="AP545" s="44"/>
      <c r="AQ545" s="44"/>
      <c r="AR545" s="44"/>
      <c r="AS545" s="44"/>
      <c r="AT545" s="44"/>
      <c r="AU545" s="44"/>
    </row>
    <row r="546" spans="2:109" s="50" customFormat="1" ht="30" x14ac:dyDescent="0.25">
      <c r="B546" s="51"/>
      <c r="C546" s="52" t="s">
        <v>17</v>
      </c>
      <c r="D546" s="52" t="s">
        <v>18</v>
      </c>
      <c r="E546" s="1435" t="s">
        <v>19</v>
      </c>
      <c r="F546" s="1435" t="s">
        <v>20</v>
      </c>
      <c r="G546" s="1435" t="s">
        <v>21</v>
      </c>
      <c r="H546" s="53" t="s">
        <v>22</v>
      </c>
      <c r="I546" s="1435" t="s">
        <v>23</v>
      </c>
      <c r="J546" s="1435" t="s">
        <v>24</v>
      </c>
      <c r="K546" s="52" t="s">
        <v>25</v>
      </c>
      <c r="L546" s="52" t="s">
        <v>26</v>
      </c>
      <c r="M546" s="1470"/>
      <c r="N546" s="1470"/>
      <c r="O546" s="1470"/>
      <c r="P546" s="1480"/>
      <c r="Q546" s="1480"/>
      <c r="R546" s="1480"/>
      <c r="S546" s="1480"/>
      <c r="T546" s="1480"/>
      <c r="U546" s="1480"/>
      <c r="V546" s="55" t="s">
        <v>27</v>
      </c>
      <c r="W546" s="56">
        <f>$W$8</f>
        <v>43252</v>
      </c>
      <c r="X546" s="56">
        <f>$X$8</f>
        <v>43465</v>
      </c>
      <c r="Y546" s="56">
        <f>$Y$8</f>
        <v>43800</v>
      </c>
      <c r="Z546" s="56">
        <f>$Z$8</f>
        <v>43862</v>
      </c>
      <c r="AA546" s="56">
        <f>$AA$8</f>
        <v>44013</v>
      </c>
      <c r="AB546" s="56">
        <v>44166</v>
      </c>
      <c r="AC546" s="56" t="str">
        <f>$AC$8</f>
        <v>-</v>
      </c>
      <c r="AD546" s="56" t="str">
        <f>$AD$8</f>
        <v>-</v>
      </c>
      <c r="AE546" s="56" t="str">
        <f>$AE$8</f>
        <v>-</v>
      </c>
      <c r="AF546" s="56" t="str">
        <f>$AF$8</f>
        <v>-</v>
      </c>
      <c r="AG546" s="56" t="str">
        <f>$AG$8</f>
        <v>-</v>
      </c>
      <c r="AH546"/>
      <c r="AI546" s="55" t="s">
        <v>27</v>
      </c>
      <c r="AJ546" s="56">
        <v>43252</v>
      </c>
      <c r="AK546" s="56">
        <f>$X$8</f>
        <v>43465</v>
      </c>
      <c r="AL546" s="56">
        <f>$Y$8</f>
        <v>43800</v>
      </c>
      <c r="AM546" s="56">
        <f>$Z$8</f>
        <v>43862</v>
      </c>
      <c r="AN546" s="56">
        <f>$AA$8</f>
        <v>44013</v>
      </c>
      <c r="AO546" s="56">
        <f>$AB$8</f>
        <v>44166</v>
      </c>
      <c r="AP546" s="56" t="str">
        <f>$AC$8</f>
        <v>-</v>
      </c>
      <c r="AQ546" s="56" t="str">
        <f>$AD$8</f>
        <v>-</v>
      </c>
      <c r="AR546" s="56" t="str">
        <f>$AE$8</f>
        <v>-</v>
      </c>
      <c r="AS546" s="56" t="str">
        <f>$AF$8</f>
        <v>-</v>
      </c>
      <c r="AT546" s="29"/>
      <c r="AU546" s="55" t="s">
        <v>27</v>
      </c>
      <c r="AV546" s="56">
        <v>43252</v>
      </c>
      <c r="AW546" s="56">
        <f>$X$8</f>
        <v>43465</v>
      </c>
      <c r="AX546" s="56">
        <f>$Y$8</f>
        <v>43800</v>
      </c>
      <c r="AY546" s="56">
        <f>$Z$8</f>
        <v>43862</v>
      </c>
      <c r="AZ546" s="56">
        <f>$AA$8</f>
        <v>44013</v>
      </c>
      <c r="BA546" s="56">
        <v>44166</v>
      </c>
      <c r="BB546" s="56" t="str">
        <f>$AC$8</f>
        <v>-</v>
      </c>
      <c r="BC546" s="56" t="str">
        <f>$AD$8</f>
        <v>-</v>
      </c>
      <c r="BD546" s="56" t="str">
        <f>$AE$8</f>
        <v>-</v>
      </c>
      <c r="BE546" s="56" t="str">
        <f>$AF$8</f>
        <v>-</v>
      </c>
      <c r="DB546" s="57" t="str">
        <f>$DB$8</f>
        <v>TRC (2020)</v>
      </c>
      <c r="DC546" s="93" t="str">
        <f>$DC$8</f>
        <v>Benefit Lookup</v>
      </c>
      <c r="DD546" s="93" t="str">
        <f>$DD$8</f>
        <v>Benefits (2019 $)</v>
      </c>
      <c r="DE546" s="93" t="str">
        <f>$DE$8</f>
        <v>Incremental Cost (2019 $)</v>
      </c>
    </row>
    <row r="547" spans="2:109" x14ac:dyDescent="0.25">
      <c r="C547" s="2969" t="s">
        <v>393</v>
      </c>
      <c r="D547" s="1558" t="s">
        <v>34</v>
      </c>
      <c r="E547" s="1501" t="s">
        <v>394</v>
      </c>
      <c r="F547" s="183">
        <f>ROUND(((F560*(G560/H560-G560/I560)*J560)+(F560*(K560/L560-K560/M560)*N560)+((O560*((F564-F560/G564)*J560))-(I564*((F564-F560/K564)*J560)))+((P560*((F564-F560/H564)*N560))-(M564*((F564-F560/L564)*N560))))*N564/1000,2)</f>
        <v>6372.3</v>
      </c>
      <c r="G547" s="1482" t="s">
        <v>209</v>
      </c>
      <c r="H547" s="1483">
        <f>VLOOKUP(G547,'CP FACTORS'!$A$26:$B$38,2,FALSE)</f>
        <v>1.998949E-4</v>
      </c>
      <c r="I547" s="1502">
        <f>ROUND(H547*F547,6)</f>
        <v>1.27379</v>
      </c>
      <c r="J547" s="1594">
        <v>12</v>
      </c>
      <c r="K547" s="1503">
        <v>4300</v>
      </c>
      <c r="L547" s="1569" t="s">
        <v>37</v>
      </c>
      <c r="V547" s="2434" t="s">
        <v>20</v>
      </c>
      <c r="W547" s="163">
        <v>6372.3047989987854</v>
      </c>
      <c r="X547" s="163">
        <v>6372.3047989987854</v>
      </c>
      <c r="Y547" s="163">
        <v>6372.3047989987854</v>
      </c>
      <c r="Z547" s="163">
        <v>6372.3047989987854</v>
      </c>
      <c r="AA547" s="163">
        <v>6372.3047989987854</v>
      </c>
      <c r="AB547" s="2116">
        <v>6372.3</v>
      </c>
      <c r="AC547" s="2510"/>
      <c r="AD547" s="2510"/>
      <c r="AE547" s="2510"/>
      <c r="AF547" s="2510"/>
      <c r="AG547" s="2510"/>
      <c r="AH547" s="2511"/>
      <c r="AI547" s="2434" t="s">
        <v>24</v>
      </c>
      <c r="AJ547" s="87">
        <v>12</v>
      </c>
      <c r="AK547" s="87">
        <v>12</v>
      </c>
      <c r="AL547" s="87">
        <v>12</v>
      </c>
      <c r="AM547" s="87">
        <v>12</v>
      </c>
      <c r="AN547" s="87">
        <v>12</v>
      </c>
      <c r="AO547" s="2512">
        <f>J547</f>
        <v>12</v>
      </c>
      <c r="AP547" s="2510"/>
      <c r="AQ547" s="2510"/>
      <c r="AR547" s="2510"/>
      <c r="AS547" s="2510"/>
      <c r="AT547" s="2280"/>
      <c r="AU547" s="2434" t="s">
        <v>25</v>
      </c>
      <c r="AV547" s="2513">
        <v>4300</v>
      </c>
      <c r="AW547" s="2513">
        <v>4300</v>
      </c>
      <c r="AX547" s="2513">
        <v>4300</v>
      </c>
      <c r="AY547" s="2513">
        <v>4300</v>
      </c>
      <c r="AZ547" s="2513">
        <v>4300</v>
      </c>
      <c r="BA547" s="2514">
        <v>4300</v>
      </c>
      <c r="BB547" s="2510"/>
      <c r="BC547" s="2510"/>
      <c r="BD547" s="2510"/>
      <c r="BE547" s="2510"/>
      <c r="BF547" s="2280"/>
      <c r="BG547" s="2280"/>
      <c r="BH547" s="2280"/>
      <c r="BI547" s="2280"/>
      <c r="BJ547" s="2280"/>
      <c r="BK547" s="2280"/>
      <c r="DB547" s="67">
        <f>(DD547)/(DE547)</f>
        <v>0.79635009510895882</v>
      </c>
      <c r="DC547" s="68" t="str">
        <f>CONCATENATE(G547," ",J547," Year EUL")</f>
        <v>Cooking BUS 12 Year EUL</v>
      </c>
      <c r="DD547" s="94">
        <f>(INDEX('Avoided Cost Benefits'!$C$4:$C$857,MATCH(DC547,'Avoided Cost Benefits'!$A$4:$A$857,0)))*F547</f>
        <v>3232.0013298428717</v>
      </c>
      <c r="DE547" s="69">
        <f>K547/(1.0595^(2020-2019))</f>
        <v>4058.5181689476162</v>
      </c>
    </row>
    <row r="548" spans="2:109" x14ac:dyDescent="0.25">
      <c r="C548" s="2356" t="s">
        <v>395</v>
      </c>
      <c r="D548" s="1558" t="s">
        <v>34</v>
      </c>
      <c r="E548" s="1501" t="s">
        <v>3215</v>
      </c>
      <c r="F548" s="183">
        <f>ROUND(((F561*(G561/H561-G561/I561)*J561)+(F561*(K561/L561-K561/M561)*N561)+((O561*((F565-F561/G565)*J561))-(I565*((F565-F561/K565)*J561)))+((P561*((F565-F561/H565)*N561))-(M565*((F565-F561/L565)*N561))))*N565/1000,2)</f>
        <v>11743.62</v>
      </c>
      <c r="G548" s="1482" t="s">
        <v>209</v>
      </c>
      <c r="H548" s="1483">
        <f>VLOOKUP(G548,'CP FACTORS'!$A$26:$B$38,2,FALSE)</f>
        <v>1.998949E-4</v>
      </c>
      <c r="I548" s="1502">
        <f>ROUND(H548*F548,6)</f>
        <v>2.3474900000000001</v>
      </c>
      <c r="J548" s="382">
        <v>12</v>
      </c>
      <c r="K548" s="1503">
        <v>4300</v>
      </c>
      <c r="L548" s="1569" t="s">
        <v>37</v>
      </c>
      <c r="V548" s="2434" t="s">
        <v>20</v>
      </c>
      <c r="W548" s="163">
        <v>11743.624493752814</v>
      </c>
      <c r="X548" s="163">
        <v>11743.624493752814</v>
      </c>
      <c r="Y548" s="163">
        <v>11743.624493752814</v>
      </c>
      <c r="Z548" s="163">
        <v>11743.624493752814</v>
      </c>
      <c r="AA548" s="163">
        <v>11743.624493752814</v>
      </c>
      <c r="AB548" s="2116">
        <v>11743.62</v>
      </c>
      <c r="AC548" s="2510"/>
      <c r="AD548" s="2510"/>
      <c r="AE548" s="2510"/>
      <c r="AF548" s="2510"/>
      <c r="AG548" s="2510"/>
      <c r="AH548" s="2511"/>
      <c r="AI548" s="2434" t="s">
        <v>24</v>
      </c>
      <c r="AJ548" s="87">
        <v>12</v>
      </c>
      <c r="AK548" s="87">
        <v>12</v>
      </c>
      <c r="AL548" s="87">
        <v>12</v>
      </c>
      <c r="AM548" s="87">
        <v>12</v>
      </c>
      <c r="AN548" s="87">
        <v>12</v>
      </c>
      <c r="AO548" s="2512">
        <f>J548</f>
        <v>12</v>
      </c>
      <c r="AP548" s="2510"/>
      <c r="AQ548" s="2510"/>
      <c r="AR548" s="2510"/>
      <c r="AS548" s="2510"/>
      <c r="AT548" s="2280"/>
      <c r="AU548" s="2434" t="s">
        <v>25</v>
      </c>
      <c r="AV548" s="2513">
        <v>4300</v>
      </c>
      <c r="AW548" s="2513">
        <v>4300</v>
      </c>
      <c r="AX548" s="2513">
        <v>4300</v>
      </c>
      <c r="AY548" s="2513">
        <v>4300</v>
      </c>
      <c r="AZ548" s="2513">
        <v>4300</v>
      </c>
      <c r="BA548" s="2514">
        <v>4300</v>
      </c>
      <c r="BB548" s="2510"/>
      <c r="BC548" s="2510"/>
      <c r="BD548" s="2510"/>
      <c r="BE548" s="2510"/>
      <c r="BF548" s="2280"/>
      <c r="BG548" s="2280"/>
      <c r="BH548" s="2280"/>
      <c r="BI548" s="2280"/>
      <c r="BJ548" s="2280"/>
      <c r="BK548" s="2280"/>
      <c r="DB548" s="74">
        <f>(DD548)/(DE548)</f>
        <v>1.4676071283403906</v>
      </c>
      <c r="DC548" s="72" t="str">
        <f>CONCATENATE(G548," ",J548," Year EUL")</f>
        <v>Cooking BUS 12 Year EUL</v>
      </c>
      <c r="DD548" s="96">
        <f>(INDEX('Avoided Cost Benefits'!$C$4:$C$857,MATCH(DC548,'Avoided Cost Benefits'!$A$4:$A$857,0)))*F548</f>
        <v>5956.3101952465113</v>
      </c>
      <c r="DE548" s="75">
        <f>K548/(1.0595^(2020-2019))</f>
        <v>4058.5181689476162</v>
      </c>
    </row>
    <row r="549" spans="2:109" outlineLevel="1" x14ac:dyDescent="0.25">
      <c r="E549" s="1473"/>
      <c r="F549" s="1473"/>
      <c r="G549" s="1473"/>
      <c r="H549" s="1491"/>
      <c r="I549" s="1473"/>
      <c r="J549" s="1473"/>
      <c r="K549" s="1473"/>
      <c r="V549" s="2280"/>
      <c r="W549" s="2280"/>
      <c r="X549" s="2280"/>
      <c r="Y549" s="2280"/>
      <c r="Z549" s="2280"/>
      <c r="AA549" s="2280"/>
      <c r="AB549" s="2280"/>
      <c r="AC549" s="2280"/>
      <c r="AD549" s="2280"/>
      <c r="AE549" s="2280"/>
      <c r="AF549" s="2280"/>
      <c r="AG549" s="2280"/>
      <c r="AH549" s="2280"/>
      <c r="AI549" s="2280"/>
      <c r="AJ549" s="2280"/>
      <c r="AK549" s="2280"/>
      <c r="AL549" s="2280"/>
      <c r="AM549" s="2280"/>
      <c r="AN549" s="2280"/>
      <c r="AO549" s="2280"/>
      <c r="AP549" s="2280"/>
      <c r="AQ549" s="2280"/>
      <c r="AR549" s="2280"/>
      <c r="AS549" s="2280"/>
      <c r="AT549" s="2280"/>
      <c r="AU549" s="2280"/>
      <c r="AV549" s="2280"/>
      <c r="AW549" s="2280"/>
      <c r="AX549" s="2280"/>
      <c r="AY549" s="2280"/>
      <c r="AZ549" s="2280"/>
      <c r="BA549" s="2280"/>
      <c r="BB549" s="2280"/>
      <c r="BC549" s="2280"/>
      <c r="BD549" s="2280"/>
      <c r="BE549" s="2280"/>
      <c r="BF549" s="2280"/>
      <c r="BG549" s="2280"/>
      <c r="BH549" s="2280"/>
      <c r="BI549" s="2280"/>
      <c r="BJ549" s="2280"/>
      <c r="BK549" s="2280"/>
    </row>
    <row r="550" spans="2:109" outlineLevel="1" x14ac:dyDescent="0.25">
      <c r="D550" s="1473" t="s">
        <v>70</v>
      </c>
      <c r="E550" s="198"/>
      <c r="F550" s="1473"/>
      <c r="G550" s="1473"/>
      <c r="H550" s="1491"/>
      <c r="I550" s="1473"/>
      <c r="J550" s="1473"/>
      <c r="K550" s="198"/>
      <c r="V550" s="2280"/>
      <c r="W550" s="2280"/>
      <c r="X550" s="2280"/>
      <c r="Y550" s="2280"/>
      <c r="Z550" s="2280"/>
      <c r="AA550" s="2280"/>
      <c r="AB550" s="2280"/>
      <c r="AC550" s="2280"/>
      <c r="AD550" s="2280"/>
      <c r="AE550" s="2280"/>
      <c r="AF550" s="2280"/>
      <c r="AG550" s="2280"/>
      <c r="AH550" s="2280"/>
      <c r="AI550" s="2280"/>
      <c r="AJ550" s="2280"/>
      <c r="AK550" s="2280"/>
      <c r="AL550" s="2280"/>
      <c r="AM550" s="2280"/>
      <c r="AN550" s="2280"/>
      <c r="AO550" s="2280"/>
      <c r="AP550" s="2280"/>
      <c r="AQ550" s="2280"/>
      <c r="AR550" s="2280"/>
      <c r="AS550" s="2280"/>
      <c r="AT550" s="2280"/>
      <c r="AU550" s="2280"/>
      <c r="AV550" s="2280"/>
      <c r="AW550" s="2280"/>
      <c r="AX550" s="2280"/>
      <c r="AY550" s="2280"/>
      <c r="AZ550" s="2280"/>
      <c r="BA550" s="2280"/>
      <c r="BB550" s="2280"/>
      <c r="BC550" s="2280"/>
      <c r="BD550" s="2280"/>
      <c r="BE550" s="2280"/>
      <c r="BF550" s="2280"/>
      <c r="BG550" s="2280"/>
      <c r="BH550" s="2280"/>
      <c r="BI550" s="2280"/>
      <c r="BJ550" s="2280"/>
      <c r="BK550" s="2280"/>
    </row>
    <row r="551" spans="2:109" outlineLevel="1" x14ac:dyDescent="0.25">
      <c r="D551" s="1492"/>
      <c r="E551" s="198"/>
      <c r="F551" s="198"/>
      <c r="G551" s="1515"/>
      <c r="H551" s="1516"/>
      <c r="V551" s="2280"/>
      <c r="W551" s="2280"/>
      <c r="X551" s="2280"/>
      <c r="Y551" s="2280"/>
      <c r="Z551" s="2280"/>
      <c r="AA551" s="2280"/>
      <c r="AB551" s="2280"/>
      <c r="AC551" s="2280"/>
      <c r="AD551" s="2280"/>
      <c r="AE551" s="2280"/>
      <c r="AF551" s="2280"/>
      <c r="AG551" s="2280"/>
      <c r="AH551" s="2280"/>
      <c r="AI551" s="2280"/>
      <c r="AJ551" s="2280"/>
      <c r="AK551" s="2280"/>
      <c r="AL551" s="2280"/>
      <c r="AM551" s="2280"/>
      <c r="AN551" s="2280"/>
      <c r="AO551" s="2280"/>
      <c r="AP551" s="2280"/>
      <c r="AQ551" s="2280"/>
      <c r="AR551" s="2280"/>
      <c r="AS551" s="2280"/>
      <c r="AT551" s="2280"/>
      <c r="AU551" s="2280"/>
      <c r="AV551" s="2280"/>
      <c r="AW551" s="2280"/>
      <c r="AX551" s="2280"/>
      <c r="AY551" s="2280"/>
      <c r="AZ551" s="2280"/>
      <c r="BA551" s="2280"/>
      <c r="BB551" s="2280"/>
      <c r="BC551" s="2280"/>
      <c r="BD551" s="2280"/>
      <c r="BE551" s="2280"/>
      <c r="BF551" s="2280"/>
      <c r="BG551" s="2280"/>
      <c r="BH551" s="2280"/>
      <c r="BI551" s="2280"/>
      <c r="BJ551" s="2280"/>
      <c r="BK551" s="2280"/>
    </row>
    <row r="552" spans="2:109" outlineLevel="1" x14ac:dyDescent="0.25">
      <c r="D552" s="1492"/>
      <c r="E552" s="198"/>
      <c r="F552" s="198"/>
      <c r="G552" s="1515"/>
      <c r="H552" s="1516"/>
      <c r="V552" s="2280"/>
      <c r="W552" s="2280"/>
      <c r="X552" s="2280"/>
      <c r="Y552" s="2280"/>
      <c r="Z552" s="2280"/>
      <c r="AA552" s="2280"/>
      <c r="AB552" s="2280"/>
      <c r="AC552" s="2280"/>
      <c r="AD552" s="2280"/>
      <c r="AE552" s="2280"/>
      <c r="AF552" s="2280"/>
      <c r="AG552" s="2280"/>
      <c r="AH552" s="2280"/>
      <c r="AI552" s="2280"/>
      <c r="AJ552" s="2280"/>
      <c r="AK552" s="2280"/>
      <c r="AL552" s="2280"/>
      <c r="AM552" s="2280"/>
      <c r="AN552" s="2280"/>
      <c r="AO552" s="2280"/>
      <c r="AP552" s="2280"/>
      <c r="AQ552" s="2280"/>
      <c r="AR552" s="2280"/>
      <c r="AS552" s="2280"/>
      <c r="AT552" s="2280"/>
      <c r="AU552" s="2280"/>
      <c r="AV552" s="2280"/>
      <c r="AW552" s="2280"/>
      <c r="AX552" s="2280"/>
      <c r="AY552" s="2280"/>
      <c r="AZ552" s="2280"/>
      <c r="BA552" s="2280"/>
      <c r="BB552" s="2280"/>
      <c r="BC552" s="2280"/>
      <c r="BD552" s="2280"/>
      <c r="BE552" s="2280"/>
      <c r="BF552" s="2280"/>
      <c r="BG552" s="2280"/>
      <c r="BH552" s="2280"/>
      <c r="BI552" s="2280"/>
      <c r="BJ552" s="2280"/>
      <c r="BK552" s="2280"/>
    </row>
    <row r="553" spans="2:109" outlineLevel="1" x14ac:dyDescent="0.25">
      <c r="D553" s="1492"/>
      <c r="E553" s="198"/>
      <c r="F553" s="198"/>
      <c r="G553" s="1515"/>
      <c r="H553" s="1516"/>
    </row>
    <row r="554" spans="2:109" outlineLevel="1" x14ac:dyDescent="0.25">
      <c r="D554" s="1492"/>
      <c r="G554" s="1515"/>
      <c r="H554" s="1516"/>
      <c r="P554" s="4104"/>
      <c r="Q554" s="4104"/>
    </row>
    <row r="555" spans="2:109" outlineLevel="1" x14ac:dyDescent="0.25">
      <c r="D555" s="1492"/>
      <c r="G555" s="1470"/>
      <c r="H555" s="1493"/>
      <c r="M555" s="1473"/>
      <c r="P555" s="4104"/>
      <c r="Q555" s="4104"/>
    </row>
    <row r="556" spans="2:109" outlineLevel="1" x14ac:dyDescent="0.25">
      <c r="D556" s="1492"/>
      <c r="G556" s="1470"/>
      <c r="H556" s="1493"/>
      <c r="M556" s="1473"/>
      <c r="P556" s="4104"/>
      <c r="Q556" s="4104"/>
    </row>
    <row r="557" spans="2:109" outlineLevel="1" x14ac:dyDescent="0.25">
      <c r="D557" s="1492"/>
      <c r="G557" s="1470"/>
      <c r="H557" s="1493"/>
      <c r="M557" s="1473"/>
    </row>
    <row r="558" spans="2:109" outlineLevel="1" x14ac:dyDescent="0.25">
      <c r="D558" s="1492"/>
      <c r="G558" s="1470"/>
      <c r="H558" s="1493"/>
    </row>
    <row r="559" spans="2:109" s="77" customFormat="1" ht="45" outlineLevel="1" x14ac:dyDescent="0.25">
      <c r="C559" s="198"/>
      <c r="D559" s="1406" t="s">
        <v>17</v>
      </c>
      <c r="E559" s="1406" t="s">
        <v>119</v>
      </c>
      <c r="F559" s="110" t="s">
        <v>396</v>
      </c>
      <c r="G559" s="1406" t="s">
        <v>397</v>
      </c>
      <c r="H559" s="1406" t="s">
        <v>398</v>
      </c>
      <c r="I559" s="1406" t="s">
        <v>399</v>
      </c>
      <c r="J559" s="1406" t="s">
        <v>400</v>
      </c>
      <c r="K559" s="1406" t="s">
        <v>401</v>
      </c>
      <c r="L559" s="1406" t="s">
        <v>402</v>
      </c>
      <c r="M559" s="1406" t="s">
        <v>403</v>
      </c>
      <c r="N559" s="1403" t="s">
        <v>404</v>
      </c>
      <c r="O559" s="1403" t="s">
        <v>405</v>
      </c>
      <c r="P559" s="1403" t="s">
        <v>406</v>
      </c>
      <c r="Q559" s="463"/>
      <c r="R559" s="463"/>
      <c r="S559" s="463"/>
      <c r="T559" s="463"/>
      <c r="U559" s="463"/>
      <c r="DB559" s="97"/>
    </row>
    <row r="560" spans="2:109" outlineLevel="1" x14ac:dyDescent="0.25">
      <c r="D560" s="1494" t="str">
        <f>C547</f>
        <v>805050_2019_12_</v>
      </c>
      <c r="E560" s="1494" t="str">
        <f>E547</f>
        <v>Combination Oven (Pan Capacity &lt; 15)</v>
      </c>
      <c r="F560" s="1585">
        <v>200</v>
      </c>
      <c r="G560" s="1595">
        <v>73.2</v>
      </c>
      <c r="H560" s="1571">
        <v>0.72</v>
      </c>
      <c r="I560" s="1571">
        <v>0.76</v>
      </c>
      <c r="J560" s="1571">
        <v>0.5</v>
      </c>
      <c r="K560" s="1596">
        <v>30.8</v>
      </c>
      <c r="L560" s="1571">
        <v>0.49</v>
      </c>
      <c r="M560" s="1571">
        <v>0.55000000000000004</v>
      </c>
      <c r="N560" s="1597">
        <f>1-J560</f>
        <v>0.5</v>
      </c>
      <c r="O560" s="1535">
        <v>1320</v>
      </c>
      <c r="P560" s="1535">
        <v>5260</v>
      </c>
    </row>
    <row r="561" spans="2:112" outlineLevel="1" x14ac:dyDescent="0.25">
      <c r="D561" s="1494" t="str">
        <f>C548</f>
        <v>805100_2019_12_</v>
      </c>
      <c r="E561" s="1494" t="str">
        <f>E548</f>
        <v>Combination Oven (Pan Capacity ≥ 15)</v>
      </c>
      <c r="F561" s="1585">
        <v>250</v>
      </c>
      <c r="G561" s="1595">
        <v>73.2</v>
      </c>
      <c r="H561" s="1571">
        <v>0.72</v>
      </c>
      <c r="I561" s="1571">
        <v>0.76</v>
      </c>
      <c r="J561" s="1571">
        <v>0.5</v>
      </c>
      <c r="K561" s="1596">
        <v>30.8</v>
      </c>
      <c r="L561" s="1571">
        <v>0.49</v>
      </c>
      <c r="M561" s="1571">
        <v>0.55000000000000004</v>
      </c>
      <c r="N561" s="1597">
        <f>1-J561</f>
        <v>0.5</v>
      </c>
      <c r="O561" s="1535">
        <v>2280</v>
      </c>
      <c r="P561" s="1535">
        <v>8710</v>
      </c>
    </row>
    <row r="562" spans="2:112" outlineLevel="1" x14ac:dyDescent="0.25">
      <c r="D562" s="1598"/>
      <c r="E562" s="1598"/>
      <c r="F562" s="1598"/>
      <c r="G562" s="1599"/>
      <c r="H562" s="1600"/>
      <c r="I562" s="1600"/>
      <c r="J562" s="1600"/>
      <c r="K562" s="1601"/>
      <c r="L562" s="1600"/>
      <c r="M562" s="1600"/>
      <c r="N562" s="1602"/>
      <c r="O562" s="1603"/>
      <c r="P562" s="1603"/>
      <c r="Q562" s="1603"/>
      <c r="R562" s="1604"/>
      <c r="S562" s="1604"/>
      <c r="T562" s="1605"/>
      <c r="U562" s="1604"/>
      <c r="V562" s="123"/>
      <c r="W562" s="123"/>
      <c r="X562" s="123"/>
      <c r="Y562" s="124"/>
      <c r="CE562" s="26"/>
      <c r="CF562" s="26"/>
      <c r="CG562" s="26"/>
      <c r="CH562" s="26"/>
      <c r="CT562" s="26"/>
      <c r="CU562" s="26"/>
      <c r="CV562" s="26"/>
      <c r="CW562" s="26"/>
    </row>
    <row r="563" spans="2:112" ht="30" outlineLevel="1" x14ac:dyDescent="0.25">
      <c r="D563" s="1406" t="s">
        <v>17</v>
      </c>
      <c r="E563" s="1406" t="s">
        <v>119</v>
      </c>
      <c r="F563" s="1403" t="s">
        <v>407</v>
      </c>
      <c r="G563" s="1403" t="s">
        <v>408</v>
      </c>
      <c r="H563" s="1403" t="s">
        <v>409</v>
      </c>
      <c r="I563" s="1403" t="s">
        <v>410</v>
      </c>
      <c r="J563" s="1435" t="s">
        <v>411</v>
      </c>
      <c r="K563" s="1435" t="s">
        <v>412</v>
      </c>
      <c r="L563" s="1435" t="s">
        <v>413</v>
      </c>
      <c r="M563" s="1435" t="s">
        <v>414</v>
      </c>
      <c r="N563" s="1435" t="s">
        <v>218</v>
      </c>
      <c r="O563" s="1603"/>
      <c r="P563" s="1603"/>
      <c r="Q563" s="1603"/>
      <c r="R563" s="1604"/>
      <c r="S563" s="1604"/>
      <c r="T563" s="1605"/>
      <c r="U563" s="1604"/>
      <c r="V563" s="123"/>
      <c r="W563" s="123"/>
      <c r="X563" s="123"/>
      <c r="Y563" s="124"/>
      <c r="CE563" s="26"/>
      <c r="CF563" s="26"/>
      <c r="CG563" s="26"/>
      <c r="CH563" s="26"/>
      <c r="CT563" s="26"/>
      <c r="CU563" s="26"/>
      <c r="CV563" s="26"/>
      <c r="CW563" s="26"/>
    </row>
    <row r="564" spans="2:112" outlineLevel="1" x14ac:dyDescent="0.25">
      <c r="D564" s="1494" t="str">
        <f>C547</f>
        <v>805050_2019_12_</v>
      </c>
      <c r="E564" s="1494" t="str">
        <f>E547</f>
        <v>Combination Oven (Pan Capacity &lt; 15)</v>
      </c>
      <c r="F564" s="1535">
        <v>12</v>
      </c>
      <c r="G564" s="1534">
        <v>79</v>
      </c>
      <c r="H564" s="1534">
        <v>126</v>
      </c>
      <c r="I564" s="1606">
        <f>(0.08*J564+0.4989)*1000</f>
        <v>1298.9000000000001</v>
      </c>
      <c r="J564" s="1534">
        <v>10</v>
      </c>
      <c r="K564" s="1534">
        <v>119</v>
      </c>
      <c r="L564" s="1534">
        <v>177</v>
      </c>
      <c r="M564" s="1559">
        <f>(0.133*J564+0.64)*1000</f>
        <v>1970.0000000000002</v>
      </c>
      <c r="N564" s="1555">
        <v>365.25</v>
      </c>
      <c r="O564" s="1603"/>
      <c r="P564" s="1603"/>
      <c r="Q564" s="1603"/>
      <c r="R564" s="1604"/>
      <c r="S564" s="1604"/>
      <c r="T564" s="1605"/>
      <c r="U564" s="1604"/>
      <c r="V564" s="123"/>
      <c r="W564" s="123"/>
      <c r="X564" s="123"/>
      <c r="Y564" s="124"/>
      <c r="CE564" s="26"/>
      <c r="CF564" s="26"/>
      <c r="CG564" s="26"/>
      <c r="CH564" s="26"/>
      <c r="CT564" s="26"/>
      <c r="CU564" s="26"/>
      <c r="CV564" s="26"/>
      <c r="CW564" s="26"/>
    </row>
    <row r="565" spans="2:112" outlineLevel="1" x14ac:dyDescent="0.25">
      <c r="D565" s="1494" t="str">
        <f>C548</f>
        <v>805100_2019_12_</v>
      </c>
      <c r="E565" s="1494" t="str">
        <f>E548</f>
        <v>Combination Oven (Pan Capacity ≥ 15)</v>
      </c>
      <c r="F565" s="1535">
        <v>12</v>
      </c>
      <c r="G565" s="1534">
        <v>166</v>
      </c>
      <c r="H565" s="1534">
        <v>295</v>
      </c>
      <c r="I565" s="1606">
        <f>(0.08*J565+0.4989)*1000</f>
        <v>2098.9</v>
      </c>
      <c r="J565" s="1534">
        <v>20</v>
      </c>
      <c r="K565" s="1534">
        <v>201</v>
      </c>
      <c r="L565" s="1534">
        <v>349</v>
      </c>
      <c r="M565" s="1559">
        <f>(0.133*J565+0.64)*1000</f>
        <v>3300.0000000000005</v>
      </c>
      <c r="N565" s="1555">
        <v>365.25</v>
      </c>
    </row>
    <row r="567" spans="2:112" s="46" customFormat="1" x14ac:dyDescent="0.25">
      <c r="B567" s="4089" t="s">
        <v>415</v>
      </c>
      <c r="C567" s="4090"/>
      <c r="D567" s="4090"/>
      <c r="E567" s="4090"/>
      <c r="F567" s="4090"/>
      <c r="G567" s="4090"/>
      <c r="H567" s="4090"/>
      <c r="I567" s="4091"/>
      <c r="J567" s="4091"/>
      <c r="K567" s="4091"/>
      <c r="L567" s="4091"/>
      <c r="M567" s="3354"/>
      <c r="N567" s="3354"/>
      <c r="O567" s="3355"/>
      <c r="V567" s="47" t="str">
        <f>B567</f>
        <v>Fryer</v>
      </c>
      <c r="W567" s="48"/>
      <c r="X567" s="48"/>
      <c r="Y567" s="48"/>
      <c r="Z567" s="48"/>
      <c r="AA567" s="48"/>
      <c r="AB567" s="48"/>
      <c r="AC567" s="48"/>
      <c r="AD567" s="48"/>
      <c r="AE567" s="48"/>
      <c r="AF567" s="48"/>
      <c r="AG567" s="48"/>
      <c r="AH567" s="48"/>
      <c r="AI567" s="49"/>
      <c r="AJ567" s="26"/>
      <c r="AK567" s="26"/>
      <c r="AL567" s="26"/>
      <c r="AM567" s="26"/>
      <c r="AN567" s="26"/>
      <c r="AO567" s="26"/>
      <c r="AP567" s="26"/>
      <c r="AQ567" s="26"/>
      <c r="AR567" s="26"/>
      <c r="AS567" s="26"/>
      <c r="AT567" s="26"/>
      <c r="AU567" s="26"/>
      <c r="DB567" s="98"/>
      <c r="DG567" s="2282"/>
      <c r="DH567" s="2282"/>
    </row>
    <row r="568" spans="2:112" x14ac:dyDescent="0.25">
      <c r="D568" s="1478"/>
      <c r="E568" s="1473"/>
      <c r="F568" s="1473"/>
      <c r="G568" s="1473"/>
      <c r="H568" s="1479"/>
      <c r="I568" s="1473"/>
      <c r="J568" s="1473"/>
      <c r="K568" s="1473"/>
      <c r="L568" s="1473"/>
      <c r="P568" s="1473"/>
      <c r="Q568" s="1473"/>
      <c r="R568" s="1473"/>
      <c r="S568" s="1473"/>
      <c r="T568" s="1473"/>
      <c r="U568" s="1473"/>
      <c r="V568"/>
      <c r="W568"/>
      <c r="X568"/>
      <c r="Y568"/>
      <c r="Z568"/>
      <c r="AA568"/>
      <c r="AB568"/>
      <c r="AC568"/>
      <c r="AD568"/>
      <c r="AE568"/>
      <c r="AF568"/>
      <c r="AG568"/>
      <c r="AH568"/>
      <c r="AI568"/>
      <c r="AJ568" s="44"/>
      <c r="AK568" s="44"/>
      <c r="AL568" s="44"/>
      <c r="AM568" s="44"/>
      <c r="AN568" s="44"/>
      <c r="AO568" s="44"/>
      <c r="AP568" s="44"/>
      <c r="AQ568" s="44"/>
      <c r="AR568" s="44"/>
      <c r="AS568" s="44"/>
      <c r="AT568" s="44"/>
      <c r="AU568" s="44"/>
    </row>
    <row r="569" spans="2:112" s="50" customFormat="1" ht="30" x14ac:dyDescent="0.25">
      <c r="B569" s="51"/>
      <c r="C569" s="52" t="s">
        <v>17</v>
      </c>
      <c r="D569" s="52" t="s">
        <v>18</v>
      </c>
      <c r="E569" s="1435" t="s">
        <v>19</v>
      </c>
      <c r="F569" s="1435" t="s">
        <v>20</v>
      </c>
      <c r="G569" s="1435" t="s">
        <v>21</v>
      </c>
      <c r="H569" s="53" t="s">
        <v>22</v>
      </c>
      <c r="I569" s="1435" t="s">
        <v>23</v>
      </c>
      <c r="J569" s="1435" t="s">
        <v>24</v>
      </c>
      <c r="K569" s="52" t="s">
        <v>25</v>
      </c>
      <c r="L569" s="52" t="s">
        <v>26</v>
      </c>
      <c r="M569" s="1470"/>
      <c r="N569" s="1470"/>
      <c r="O569" s="1470"/>
      <c r="P569" s="1480"/>
      <c r="Q569" s="1480"/>
      <c r="R569" s="1480"/>
      <c r="S569" s="1480"/>
      <c r="T569" s="1480"/>
      <c r="U569" s="1480"/>
      <c r="V569" s="55" t="s">
        <v>27</v>
      </c>
      <c r="W569" s="56">
        <f>$W$8</f>
        <v>43252</v>
      </c>
      <c r="X569" s="56">
        <f>$X$8</f>
        <v>43465</v>
      </c>
      <c r="Y569" s="56">
        <f>$Y$8</f>
        <v>43800</v>
      </c>
      <c r="Z569" s="56">
        <f>$Z$8</f>
        <v>43862</v>
      </c>
      <c r="AA569" s="56">
        <f>$AA$8</f>
        <v>44013</v>
      </c>
      <c r="AB569" s="56">
        <v>44166</v>
      </c>
      <c r="AC569" s="56" t="str">
        <f>$AC$8</f>
        <v>-</v>
      </c>
      <c r="AD569" s="56" t="str">
        <f>$AD$8</f>
        <v>-</v>
      </c>
      <c r="AE569" s="56" t="str">
        <f>$AE$8</f>
        <v>-</v>
      </c>
      <c r="AF569" s="56" t="str">
        <f>$AF$8</f>
        <v>-</v>
      </c>
      <c r="AG569" s="56" t="str">
        <f>$AG$8</f>
        <v>-</v>
      </c>
      <c r="AH569"/>
      <c r="AI569" s="55" t="s">
        <v>27</v>
      </c>
      <c r="AJ569" s="56">
        <v>43252</v>
      </c>
      <c r="AK569" s="56">
        <f>$X$8</f>
        <v>43465</v>
      </c>
      <c r="AL569" s="56">
        <f>$Y$8</f>
        <v>43800</v>
      </c>
      <c r="AM569" s="56">
        <f>$Z$8</f>
        <v>43862</v>
      </c>
      <c r="AN569" s="56">
        <f>$AA$8</f>
        <v>44013</v>
      </c>
      <c r="AO569" s="56">
        <f>$AB$8</f>
        <v>44166</v>
      </c>
      <c r="AP569" s="56" t="str">
        <f>$AC$8</f>
        <v>-</v>
      </c>
      <c r="AQ569" s="56" t="str">
        <f>$AD$8</f>
        <v>-</v>
      </c>
      <c r="AR569" s="56" t="str">
        <f>$AE$8</f>
        <v>-</v>
      </c>
      <c r="AS569" s="56" t="str">
        <f>$AF$8</f>
        <v>-</v>
      </c>
      <c r="AT569" s="29"/>
      <c r="AU569" s="55" t="s">
        <v>27</v>
      </c>
      <c r="AV569" s="56">
        <v>43252</v>
      </c>
      <c r="AW569" s="56">
        <f>$X$8</f>
        <v>43465</v>
      </c>
      <c r="AX569" s="56">
        <f>$Y$8</f>
        <v>43800</v>
      </c>
      <c r="AY569" s="56">
        <f>$Z$8</f>
        <v>43862</v>
      </c>
      <c r="AZ569" s="56">
        <f>$AA$8</f>
        <v>44013</v>
      </c>
      <c r="BA569" s="56">
        <v>44166</v>
      </c>
      <c r="BB569" s="56" t="str">
        <f>$AC$8</f>
        <v>-</v>
      </c>
      <c r="BC569" s="56" t="str">
        <f>$AD$8</f>
        <v>-</v>
      </c>
      <c r="BD569" s="56" t="str">
        <f>$AE$8</f>
        <v>-</v>
      </c>
      <c r="BE569" s="56" t="str">
        <f>$AF$8</f>
        <v>-</v>
      </c>
      <c r="DB569" s="57" t="str">
        <f>$DB$8</f>
        <v>TRC (2020)</v>
      </c>
      <c r="DC569" s="93" t="str">
        <f>$DC$8</f>
        <v>Benefit Lookup</v>
      </c>
      <c r="DD569" s="93" t="str">
        <f>$DD$8</f>
        <v>Benefits (2019 $)</v>
      </c>
      <c r="DE569" s="93" t="str">
        <f>$DE$8</f>
        <v>Incremental Cost (2019 $)</v>
      </c>
    </row>
    <row r="570" spans="2:112" x14ac:dyDescent="0.25">
      <c r="C570" s="2356" t="s">
        <v>416</v>
      </c>
      <c r="D570" s="1558" t="s">
        <v>34</v>
      </c>
      <c r="E570" s="1501" t="s">
        <v>417</v>
      </c>
      <c r="F570" s="183">
        <f>ROUND((((G581*(I581-J581/K581))-(H581*(I581-J581/L581)))+((J581*M581/N581)-(J581*M581/O581)))*F581/1000,2)</f>
        <v>952.31</v>
      </c>
      <c r="G570" s="1482" t="s">
        <v>209</v>
      </c>
      <c r="H570" s="1483">
        <f>VLOOKUP(G570,'CP FACTORS'!$A$26:$B$38,2,FALSE)</f>
        <v>1.998949E-4</v>
      </c>
      <c r="I570" s="1502">
        <f>ROUND(H570*F570,6)</f>
        <v>0.190362</v>
      </c>
      <c r="J570" s="1594">
        <v>12</v>
      </c>
      <c r="K570" s="1503">
        <v>210</v>
      </c>
      <c r="L570" s="1569" t="s">
        <v>37</v>
      </c>
      <c r="V570" s="2434" t="s">
        <v>20</v>
      </c>
      <c r="W570" s="163">
        <v>952.30910027472578</v>
      </c>
      <c r="X570" s="163">
        <v>952.30910027472578</v>
      </c>
      <c r="Y570" s="163">
        <v>952.30910027472578</v>
      </c>
      <c r="Z570" s="163">
        <v>952.30910027472578</v>
      </c>
      <c r="AA570" s="163">
        <v>952.30910027472578</v>
      </c>
      <c r="AB570" s="2116">
        <v>952.31</v>
      </c>
      <c r="AC570" s="2510"/>
      <c r="AD570" s="2510"/>
      <c r="AE570" s="2510"/>
      <c r="AF570" s="2510"/>
      <c r="AG570" s="2510"/>
      <c r="AH570" s="2511"/>
      <c r="AI570" s="2434" t="s">
        <v>24</v>
      </c>
      <c r="AJ570" s="87">
        <v>12</v>
      </c>
      <c r="AK570" s="87">
        <v>12</v>
      </c>
      <c r="AL570" s="87">
        <v>12</v>
      </c>
      <c r="AM570" s="87">
        <v>12</v>
      </c>
      <c r="AN570" s="87">
        <v>12</v>
      </c>
      <c r="AO570" s="2512">
        <f>J570</f>
        <v>12</v>
      </c>
      <c r="AP570" s="2510"/>
      <c r="AQ570" s="2510"/>
      <c r="AR570" s="2510"/>
      <c r="AS570" s="2510"/>
      <c r="AT570" s="2280"/>
      <c r="AU570" s="2434" t="s">
        <v>25</v>
      </c>
      <c r="AV570" s="2513">
        <v>210</v>
      </c>
      <c r="AW570" s="2513">
        <v>210</v>
      </c>
      <c r="AX570" s="2513">
        <v>210</v>
      </c>
      <c r="AY570" s="2513">
        <v>210</v>
      </c>
      <c r="AZ570" s="2513">
        <v>210</v>
      </c>
      <c r="BA570" s="2514">
        <v>210</v>
      </c>
      <c r="BB570" s="2510"/>
      <c r="BC570" s="2510"/>
      <c r="BD570" s="2510"/>
      <c r="BE570" s="2510"/>
      <c r="BF570" s="2280"/>
      <c r="BG570" s="2280"/>
      <c r="BH570" s="2280"/>
      <c r="BI570" s="2280"/>
      <c r="BJ570" s="2280"/>
      <c r="DB570" s="67">
        <f>(DD570)/(DE570)</f>
        <v>2.4368866470541128</v>
      </c>
      <c r="DC570" s="68" t="str">
        <f>CONCATENATE(G570," ",J570," Year EUL")</f>
        <v>Cooking BUS 12 Year EUL</v>
      </c>
      <c r="DD570" s="94">
        <f>(INDEX('Avoided Cost Benefits'!$C$4:$C$857,MATCH(DC570,'Avoided Cost Benefits'!$A$4:$A$857,0)))*F570</f>
        <v>483.00726369170707</v>
      </c>
      <c r="DE570" s="69">
        <f>K570/(1.0595^(2020-2019))</f>
        <v>198.20670127418592</v>
      </c>
    </row>
    <row r="571" spans="2:112" x14ac:dyDescent="0.25">
      <c r="C571" s="2356" t="s">
        <v>418</v>
      </c>
      <c r="D571" s="1558" t="s">
        <v>34</v>
      </c>
      <c r="E571" s="1501" t="s">
        <v>419</v>
      </c>
      <c r="F571" s="183">
        <f>ROUND((((G582*(I582-J582/K582))-(H582*(I582-J582/L582)))+((J582*M582/N582)-(J582*M582/O582)))*F582/1000,2)</f>
        <v>2537.84</v>
      </c>
      <c r="G571" s="1482" t="s">
        <v>209</v>
      </c>
      <c r="H571" s="1483">
        <f>VLOOKUP(G571,'CP FACTORS'!$A$26:$B$38,2,FALSE)</f>
        <v>1.998949E-4</v>
      </c>
      <c r="I571" s="1502">
        <f>ROUND(H571*F571,6)</f>
        <v>0.507301</v>
      </c>
      <c r="J571" s="382">
        <v>12</v>
      </c>
      <c r="K571" s="1503">
        <v>0</v>
      </c>
      <c r="L571" s="1569" t="s">
        <v>37</v>
      </c>
      <c r="V571" s="2434" t="s">
        <v>20</v>
      </c>
      <c r="W571" s="163">
        <v>2537.8352678571446</v>
      </c>
      <c r="X571" s="163">
        <v>2537.8352678571446</v>
      </c>
      <c r="Y571" s="163">
        <v>2537.8352678571446</v>
      </c>
      <c r="Z571" s="163">
        <v>2537.8352678571446</v>
      </c>
      <c r="AA571" s="163">
        <v>2537.8352678571446</v>
      </c>
      <c r="AB571" s="2116">
        <v>2537.84</v>
      </c>
      <c r="AC571" s="2510"/>
      <c r="AD571" s="2510"/>
      <c r="AE571" s="2510"/>
      <c r="AF571" s="2510"/>
      <c r="AG571" s="2510"/>
      <c r="AH571" s="2511"/>
      <c r="AI571" s="2434" t="s">
        <v>24</v>
      </c>
      <c r="AJ571" s="87">
        <v>12</v>
      </c>
      <c r="AK571" s="87">
        <v>12</v>
      </c>
      <c r="AL571" s="87">
        <v>12</v>
      </c>
      <c r="AM571" s="87">
        <v>12</v>
      </c>
      <c r="AN571" s="87">
        <v>12</v>
      </c>
      <c r="AO571" s="2512">
        <f>J571</f>
        <v>12</v>
      </c>
      <c r="AP571" s="2510"/>
      <c r="AQ571" s="2510"/>
      <c r="AR571" s="2510"/>
      <c r="AS571" s="2510"/>
      <c r="AT571" s="2280"/>
      <c r="AU571" s="2434" t="s">
        <v>25</v>
      </c>
      <c r="AV571" s="2513">
        <v>0</v>
      </c>
      <c r="AW571" s="2513">
        <v>0</v>
      </c>
      <c r="AX571" s="2513">
        <v>0</v>
      </c>
      <c r="AY571" s="2513">
        <v>0</v>
      </c>
      <c r="AZ571" s="2513">
        <v>0</v>
      </c>
      <c r="BA571" s="2514">
        <v>0</v>
      </c>
      <c r="BB571" s="2510"/>
      <c r="BC571" s="2510"/>
      <c r="BD571" s="2510"/>
      <c r="BE571" s="2510"/>
      <c r="BF571" s="2280"/>
      <c r="BG571" s="2280"/>
      <c r="BH571" s="2280"/>
      <c r="BI571" s="2280"/>
      <c r="BJ571" s="2280"/>
      <c r="DB571" s="3322" t="e">
        <f>(DD571)/(DE571)</f>
        <v>#DIV/0!</v>
      </c>
      <c r="DC571" s="72" t="str">
        <f>CONCATENATE(G571," ",J571," Year EUL")</f>
        <v>Cooking BUS 12 Year EUL</v>
      </c>
      <c r="DD571" s="96">
        <f>(INDEX('Avoided Cost Benefits'!$C$4:$C$857,MATCH(DC571,'Avoided Cost Benefits'!$A$4:$A$857,0)))*F571</f>
        <v>1287.1808067618338</v>
      </c>
      <c r="DE571" s="75">
        <f>K571/(1.0595^(2020-2019))</f>
        <v>0</v>
      </c>
    </row>
    <row r="572" spans="2:112" outlineLevel="1" x14ac:dyDescent="0.25">
      <c r="E572" s="1473"/>
      <c r="F572" s="1473"/>
      <c r="G572" s="1473"/>
      <c r="H572" s="1491"/>
      <c r="I572" s="1473"/>
      <c r="J572" s="1473"/>
      <c r="K572" s="1473"/>
      <c r="V572" s="2280"/>
      <c r="W572" s="2280"/>
      <c r="X572" s="2280"/>
      <c r="Y572" s="2280"/>
      <c r="Z572" s="2280"/>
      <c r="AA572" s="2280"/>
      <c r="AB572" s="2280"/>
      <c r="AC572" s="2280"/>
      <c r="AD572" s="2280"/>
      <c r="AE572" s="2280"/>
      <c r="AF572" s="2280"/>
      <c r="AG572" s="2280"/>
      <c r="AH572" s="2280"/>
      <c r="AI572" s="2280"/>
      <c r="AJ572" s="2280"/>
      <c r="AK572" s="2280"/>
      <c r="AL572" s="2280"/>
      <c r="AM572" s="2280"/>
      <c r="AN572" s="2280"/>
      <c r="AO572" s="2280"/>
      <c r="AP572" s="2280"/>
      <c r="AQ572" s="2280"/>
      <c r="AR572" s="2280"/>
      <c r="AS572" s="2280"/>
      <c r="AT572" s="2280"/>
      <c r="AU572" s="2280"/>
      <c r="AV572" s="2280"/>
      <c r="AW572" s="2280"/>
      <c r="AX572" s="2280"/>
      <c r="AY572" s="2280"/>
      <c r="AZ572" s="2280"/>
      <c r="BA572" s="2280"/>
      <c r="BB572" s="2280"/>
      <c r="BC572" s="2280"/>
      <c r="BD572" s="2280"/>
      <c r="BE572" s="2280"/>
      <c r="BF572" s="2280"/>
      <c r="BG572" s="2280"/>
      <c r="BH572" s="2280"/>
      <c r="BI572" s="2280"/>
      <c r="BJ572" s="2280"/>
    </row>
    <row r="573" spans="2:112" outlineLevel="1" x14ac:dyDescent="0.25">
      <c r="D573" s="1473" t="s">
        <v>70</v>
      </c>
      <c r="E573" s="198"/>
      <c r="F573" s="1473"/>
      <c r="G573" s="1473"/>
      <c r="H573" s="1491"/>
      <c r="I573" s="1473"/>
      <c r="J573" s="1473"/>
      <c r="K573" s="198"/>
      <c r="V573" s="2280"/>
      <c r="W573" s="2280"/>
      <c r="X573" s="2280"/>
      <c r="Y573" s="2280"/>
      <c r="Z573" s="2280"/>
      <c r="AA573" s="2280"/>
      <c r="AB573" s="2280"/>
      <c r="AC573" s="2280"/>
      <c r="AD573" s="2280"/>
      <c r="AE573" s="2280"/>
      <c r="AF573" s="2280"/>
      <c r="AG573" s="2280"/>
      <c r="AH573" s="2280"/>
      <c r="AI573" s="2280"/>
      <c r="AJ573" s="2280"/>
      <c r="AK573" s="2280"/>
      <c r="AL573" s="2280"/>
      <c r="AM573" s="2280"/>
      <c r="AN573" s="2280"/>
      <c r="AO573" s="2280"/>
      <c r="AP573" s="2280"/>
      <c r="AQ573" s="2280"/>
      <c r="AR573" s="2280"/>
      <c r="AS573" s="2280"/>
      <c r="AT573" s="2280"/>
      <c r="AU573" s="2280"/>
      <c r="AV573" s="2280"/>
      <c r="AW573" s="2280"/>
      <c r="AX573" s="2280"/>
      <c r="AY573" s="2280"/>
      <c r="AZ573" s="2280"/>
      <c r="BA573" s="2280"/>
      <c r="BB573" s="2280"/>
      <c r="BC573" s="2280"/>
      <c r="BD573" s="2280"/>
      <c r="BE573" s="2280"/>
      <c r="BF573" s="2280"/>
      <c r="BG573" s="2280"/>
      <c r="BH573" s="2280"/>
      <c r="BI573" s="2280"/>
      <c r="BJ573" s="2280"/>
    </row>
    <row r="574" spans="2:112" outlineLevel="1" x14ac:dyDescent="0.25">
      <c r="D574" s="1492"/>
      <c r="E574" s="198"/>
      <c r="F574" s="198"/>
      <c r="G574" s="1515"/>
      <c r="H574" s="1516"/>
      <c r="V574" s="2280"/>
      <c r="W574" s="2280"/>
      <c r="X574" s="2280"/>
      <c r="Y574" s="2280"/>
      <c r="Z574" s="2280"/>
      <c r="AA574" s="2280"/>
      <c r="AB574" s="2280"/>
      <c r="AC574" s="2280"/>
      <c r="AD574" s="2280"/>
      <c r="AE574" s="2280"/>
      <c r="AF574" s="2280"/>
      <c r="AG574" s="2280"/>
      <c r="AH574" s="2280"/>
      <c r="AI574" s="2280"/>
      <c r="AJ574" s="2280"/>
      <c r="AK574" s="2280"/>
      <c r="AL574" s="2280"/>
      <c r="AM574" s="2280"/>
      <c r="AN574" s="2280"/>
      <c r="AO574" s="2280"/>
      <c r="AP574" s="2280"/>
      <c r="AQ574" s="2280"/>
      <c r="AR574" s="2280"/>
      <c r="AS574" s="2280"/>
      <c r="AT574" s="2280"/>
      <c r="AU574" s="2280"/>
      <c r="AV574" s="2280"/>
      <c r="AW574" s="2280"/>
      <c r="AX574" s="2280"/>
      <c r="AY574" s="2280"/>
      <c r="AZ574" s="2280"/>
      <c r="BA574" s="2280"/>
      <c r="BB574" s="2280"/>
      <c r="BC574" s="2280"/>
      <c r="BD574" s="2280"/>
      <c r="BE574" s="2280"/>
      <c r="BF574" s="2280"/>
      <c r="BG574" s="2280"/>
      <c r="BH574" s="2280"/>
      <c r="BI574" s="2280"/>
      <c r="BJ574" s="2280"/>
    </row>
    <row r="575" spans="2:112" outlineLevel="1" x14ac:dyDescent="0.25">
      <c r="D575" s="1492"/>
      <c r="G575" s="1515"/>
      <c r="H575" s="1516"/>
      <c r="P575" s="4104"/>
      <c r="Q575" s="4104"/>
      <c r="V575" s="2280"/>
      <c r="W575" s="2280"/>
      <c r="X575" s="2280"/>
      <c r="Y575" s="2280"/>
      <c r="Z575" s="2280"/>
      <c r="AA575" s="2280"/>
      <c r="AB575" s="2280"/>
      <c r="AC575" s="2280"/>
      <c r="AD575" s="2280"/>
      <c r="AE575" s="2280"/>
      <c r="AF575" s="2280"/>
      <c r="AG575" s="2280"/>
      <c r="AH575" s="2280"/>
      <c r="AI575" s="2280"/>
      <c r="AJ575" s="2280"/>
      <c r="AK575" s="2280"/>
      <c r="AL575" s="2280"/>
      <c r="AM575" s="2280"/>
      <c r="AN575" s="2280"/>
      <c r="AO575" s="2280"/>
      <c r="AP575" s="2280"/>
      <c r="AQ575" s="2280"/>
      <c r="AR575" s="2280"/>
      <c r="AS575" s="2280"/>
      <c r="AT575" s="2280"/>
      <c r="AU575" s="2280"/>
      <c r="AV575" s="2280"/>
      <c r="AW575" s="2280"/>
      <c r="AX575" s="2280"/>
      <c r="AY575" s="2280"/>
      <c r="AZ575" s="2280"/>
      <c r="BA575" s="2280"/>
      <c r="BB575" s="2280"/>
      <c r="BC575" s="2280"/>
      <c r="BD575" s="2280"/>
      <c r="BE575" s="2280"/>
      <c r="BF575" s="2280"/>
      <c r="BG575" s="2280"/>
      <c r="BH575" s="2280"/>
      <c r="BI575" s="2280"/>
      <c r="BJ575" s="2280"/>
    </row>
    <row r="576" spans="2:112" outlineLevel="1" x14ac:dyDescent="0.25">
      <c r="D576" s="1492"/>
      <c r="G576" s="1470"/>
      <c r="H576" s="1493"/>
      <c r="M576" s="1473"/>
      <c r="P576" s="4104"/>
      <c r="Q576" s="4104"/>
      <c r="V576" s="2280"/>
      <c r="W576" s="2280"/>
      <c r="X576" s="2280"/>
      <c r="Y576" s="2280"/>
      <c r="Z576" s="2280"/>
      <c r="AA576" s="2280"/>
      <c r="AB576" s="2280"/>
      <c r="AC576" s="2280"/>
      <c r="AD576" s="2280"/>
      <c r="AE576" s="2280"/>
      <c r="AF576" s="2280"/>
      <c r="AG576" s="2280"/>
      <c r="AH576" s="2280"/>
      <c r="AI576" s="2280"/>
      <c r="AJ576" s="2280"/>
      <c r="AK576" s="2280"/>
      <c r="AL576" s="2280"/>
      <c r="AM576" s="2280"/>
      <c r="AN576" s="2280"/>
      <c r="AO576" s="2280"/>
      <c r="AP576" s="2280"/>
      <c r="AQ576" s="2280"/>
      <c r="AR576" s="2280"/>
      <c r="AS576" s="2280"/>
      <c r="AT576" s="2280"/>
      <c r="AU576" s="2280"/>
      <c r="AV576" s="2280"/>
      <c r="AW576" s="2280"/>
      <c r="AX576" s="2280"/>
      <c r="AY576" s="2280"/>
      <c r="AZ576" s="2280"/>
      <c r="BA576" s="2280"/>
      <c r="BB576" s="2280"/>
      <c r="BC576" s="2280"/>
      <c r="BD576" s="2280"/>
      <c r="BE576" s="2280"/>
      <c r="BF576" s="2280"/>
      <c r="BG576" s="2280"/>
      <c r="BH576" s="2280"/>
      <c r="BI576" s="2280"/>
      <c r="BJ576" s="2280"/>
    </row>
    <row r="577" spans="2:112" outlineLevel="1" x14ac:dyDescent="0.25">
      <c r="D577" s="1492"/>
      <c r="G577" s="1470"/>
      <c r="H577" s="1493"/>
      <c r="M577" s="1473"/>
      <c r="P577" s="4104"/>
      <c r="Q577" s="4104"/>
    </row>
    <row r="578" spans="2:112" outlineLevel="1" x14ac:dyDescent="0.25">
      <c r="D578" s="1492"/>
      <c r="G578" s="1470"/>
      <c r="H578" s="1493"/>
      <c r="M578" s="1473"/>
    </row>
    <row r="579" spans="2:112" outlineLevel="1" x14ac:dyDescent="0.25">
      <c r="D579" s="1492"/>
      <c r="G579" s="1470"/>
      <c r="H579" s="1493"/>
    </row>
    <row r="580" spans="2:112" s="77" customFormat="1" ht="30" outlineLevel="1" x14ac:dyDescent="0.25">
      <c r="C580" s="198"/>
      <c r="D580" s="1406" t="s">
        <v>17</v>
      </c>
      <c r="E580" s="1406" t="s">
        <v>119</v>
      </c>
      <c r="F580" s="110" t="s">
        <v>218</v>
      </c>
      <c r="G580" s="1406" t="s">
        <v>420</v>
      </c>
      <c r="H580" s="1406" t="s">
        <v>421</v>
      </c>
      <c r="I580" s="1406" t="s">
        <v>407</v>
      </c>
      <c r="J580" s="1406" t="s">
        <v>422</v>
      </c>
      <c r="K580" s="1406" t="s">
        <v>423</v>
      </c>
      <c r="L580" s="1406" t="s">
        <v>424</v>
      </c>
      <c r="M580" s="1406" t="s">
        <v>425</v>
      </c>
      <c r="N580" s="1403" t="s">
        <v>426</v>
      </c>
      <c r="O580" s="1403" t="s">
        <v>427</v>
      </c>
      <c r="P580" s="463"/>
      <c r="Q580" s="463"/>
      <c r="R580" s="463"/>
      <c r="S580" s="463"/>
      <c r="T580" s="463"/>
      <c r="U580" s="463"/>
      <c r="DB580" s="97"/>
    </row>
    <row r="581" spans="2:112" outlineLevel="1" x14ac:dyDescent="0.25">
      <c r="D581" s="1494" t="str">
        <f>C570</f>
        <v>805150_2019_12_</v>
      </c>
      <c r="E581" s="1494" t="str">
        <f>E570</f>
        <v>Standard Open Deep-Fat Fryer</v>
      </c>
      <c r="F581" s="1547">
        <v>365.25</v>
      </c>
      <c r="G581" s="1556">
        <v>1050</v>
      </c>
      <c r="H581" s="121">
        <v>1000</v>
      </c>
      <c r="I581" s="121">
        <v>16</v>
      </c>
      <c r="J581" s="121">
        <v>150</v>
      </c>
      <c r="K581" s="1607">
        <v>65</v>
      </c>
      <c r="L581" s="121">
        <v>70</v>
      </c>
      <c r="M581" s="1607">
        <v>167</v>
      </c>
      <c r="N581" s="541">
        <v>0.75</v>
      </c>
      <c r="O581" s="1505">
        <v>0.8</v>
      </c>
    </row>
    <row r="582" spans="2:112" outlineLevel="1" x14ac:dyDescent="0.25">
      <c r="D582" s="1494" t="str">
        <f>C571</f>
        <v>805200_2019_12_</v>
      </c>
      <c r="E582" s="1494" t="str">
        <f>E571</f>
        <v>Large Vat Open Deep-Fat Fryer</v>
      </c>
      <c r="F582" s="1547">
        <v>365.25</v>
      </c>
      <c r="G582" s="1556">
        <v>1350</v>
      </c>
      <c r="H582" s="121">
        <v>1100</v>
      </c>
      <c r="I582" s="121">
        <v>12</v>
      </c>
      <c r="J582" s="121">
        <v>150</v>
      </c>
      <c r="K582" s="1607">
        <v>100</v>
      </c>
      <c r="L582" s="121">
        <v>110</v>
      </c>
      <c r="M582" s="1607">
        <v>167</v>
      </c>
      <c r="N582" s="541">
        <v>0.7</v>
      </c>
      <c r="O582" s="1505">
        <v>0.8</v>
      </c>
    </row>
    <row r="585" spans="2:112" s="46" customFormat="1" x14ac:dyDescent="0.25">
      <c r="B585" s="4089" t="s">
        <v>428</v>
      </c>
      <c r="C585" s="4090"/>
      <c r="D585" s="4090"/>
      <c r="E585" s="4090"/>
      <c r="F585" s="4090"/>
      <c r="G585" s="4090"/>
      <c r="H585" s="4090"/>
      <c r="I585" s="4091"/>
      <c r="J585" s="4091"/>
      <c r="K585" s="4091"/>
      <c r="L585" s="4091"/>
      <c r="M585" s="3354"/>
      <c r="N585" s="3354"/>
      <c r="O585" s="3355"/>
      <c r="V585" s="47" t="str">
        <f>B585</f>
        <v>Convection Oven</v>
      </c>
      <c r="W585" s="48"/>
      <c r="X585" s="48"/>
      <c r="Y585" s="48"/>
      <c r="Z585" s="48"/>
      <c r="AA585" s="48"/>
      <c r="AB585" s="48"/>
      <c r="AC585" s="48"/>
      <c r="AD585" s="48"/>
      <c r="AE585" s="48"/>
      <c r="AF585" s="48"/>
      <c r="AG585" s="48"/>
      <c r="AH585" s="48"/>
      <c r="AI585" s="49"/>
      <c r="AJ585" s="26"/>
      <c r="AK585" s="26"/>
      <c r="AL585" s="26"/>
      <c r="AM585" s="26"/>
      <c r="AN585" s="26"/>
      <c r="AO585" s="26"/>
      <c r="AP585" s="26"/>
      <c r="AQ585" s="26"/>
      <c r="AR585" s="26"/>
      <c r="AS585" s="26"/>
      <c r="AT585" s="26"/>
      <c r="AU585" s="26"/>
      <c r="DB585" s="98"/>
      <c r="DG585" s="2282"/>
      <c r="DH585" s="2282"/>
    </row>
    <row r="586" spans="2:112" x14ac:dyDescent="0.25">
      <c r="D586" s="1478"/>
      <c r="E586" s="1473"/>
      <c r="F586" s="1473"/>
      <c r="G586" s="1473"/>
      <c r="H586" s="1479"/>
      <c r="I586" s="1473"/>
      <c r="J586" s="1473"/>
      <c r="K586" s="1473"/>
      <c r="L586" s="1473"/>
      <c r="P586" s="1473"/>
      <c r="Q586" s="1473"/>
      <c r="R586" s="1473"/>
      <c r="S586" s="1473"/>
      <c r="T586" s="1473"/>
      <c r="U586" s="1473"/>
      <c r="V586"/>
      <c r="W586"/>
      <c r="X586"/>
      <c r="Y586"/>
      <c r="Z586"/>
      <c r="AA586"/>
      <c r="AB586"/>
      <c r="AC586"/>
      <c r="AD586"/>
      <c r="AE586"/>
      <c r="AF586"/>
      <c r="AG586"/>
      <c r="AH586"/>
      <c r="AI586"/>
      <c r="AJ586" s="44"/>
      <c r="AK586" s="44"/>
      <c r="AL586" s="44"/>
      <c r="AM586" s="44"/>
      <c r="AN586" s="44"/>
      <c r="AO586" s="44"/>
      <c r="AP586" s="44"/>
      <c r="AQ586" s="44"/>
      <c r="AR586" s="44"/>
      <c r="AS586" s="44"/>
      <c r="AT586" s="44"/>
      <c r="AU586" s="44"/>
    </row>
    <row r="587" spans="2:112" s="50" customFormat="1" ht="30" x14ac:dyDescent="0.25">
      <c r="B587" s="51"/>
      <c r="C587" s="52" t="s">
        <v>17</v>
      </c>
      <c r="D587" s="52" t="s">
        <v>18</v>
      </c>
      <c r="E587" s="1435" t="s">
        <v>19</v>
      </c>
      <c r="F587" s="1435" t="s">
        <v>20</v>
      </c>
      <c r="G587" s="1435" t="s">
        <v>21</v>
      </c>
      <c r="H587" s="53" t="s">
        <v>22</v>
      </c>
      <c r="I587" s="1435" t="s">
        <v>23</v>
      </c>
      <c r="J587" s="1435" t="s">
        <v>24</v>
      </c>
      <c r="K587" s="52" t="s">
        <v>25</v>
      </c>
      <c r="L587" s="52" t="s">
        <v>26</v>
      </c>
      <c r="M587" s="1470"/>
      <c r="N587" s="1470"/>
      <c r="O587" s="1470"/>
      <c r="P587" s="1480"/>
      <c r="Q587" s="1480"/>
      <c r="R587" s="1480"/>
      <c r="S587" s="1480"/>
      <c r="T587" s="1480"/>
      <c r="U587" s="1480"/>
      <c r="V587" s="55" t="s">
        <v>27</v>
      </c>
      <c r="W587" s="56">
        <f>$W$8</f>
        <v>43252</v>
      </c>
      <c r="X587" s="56">
        <f>$X$8</f>
        <v>43465</v>
      </c>
      <c r="Y587" s="56">
        <f>$Y$8</f>
        <v>43800</v>
      </c>
      <c r="Z587" s="56">
        <f>$Z$8</f>
        <v>43862</v>
      </c>
      <c r="AA587" s="56">
        <f>$AA$8</f>
        <v>44013</v>
      </c>
      <c r="AB587" s="56">
        <v>44166</v>
      </c>
      <c r="AC587" s="56" t="str">
        <f>$AC$8</f>
        <v>-</v>
      </c>
      <c r="AD587" s="56" t="str">
        <f>$AD$8</f>
        <v>-</v>
      </c>
      <c r="AE587" s="56" t="str">
        <f>$AE$8</f>
        <v>-</v>
      </c>
      <c r="AF587" s="56" t="str">
        <f>$AF$8</f>
        <v>-</v>
      </c>
      <c r="AG587" s="56" t="str">
        <f>$AG$8</f>
        <v>-</v>
      </c>
      <c r="AH587"/>
      <c r="AI587" s="55" t="s">
        <v>27</v>
      </c>
      <c r="AJ587" s="56">
        <v>43252</v>
      </c>
      <c r="AK587" s="56">
        <f>$X$8</f>
        <v>43465</v>
      </c>
      <c r="AL587" s="56">
        <f>$Y$8</f>
        <v>43800</v>
      </c>
      <c r="AM587" s="56">
        <f>$Z$8</f>
        <v>43862</v>
      </c>
      <c r="AN587" s="56">
        <f>$AA$8</f>
        <v>44013</v>
      </c>
      <c r="AO587" s="56">
        <f>$AB$8</f>
        <v>44166</v>
      </c>
      <c r="AP587" s="56" t="str">
        <f>$AC$8</f>
        <v>-</v>
      </c>
      <c r="AQ587" s="56" t="str">
        <f>$AD$8</f>
        <v>-</v>
      </c>
      <c r="AR587" s="56" t="str">
        <f>$AE$8</f>
        <v>-</v>
      </c>
      <c r="AS587" s="56" t="str">
        <f>$AF$8</f>
        <v>-</v>
      </c>
      <c r="AT587" s="29"/>
      <c r="AU587" s="55" t="s">
        <v>27</v>
      </c>
      <c r="AV587" s="56">
        <v>43252</v>
      </c>
      <c r="AW587" s="56">
        <f>$X$8</f>
        <v>43465</v>
      </c>
      <c r="AX587" s="56">
        <f>$Y$8</f>
        <v>43800</v>
      </c>
      <c r="AY587" s="56">
        <f>$Z$8</f>
        <v>43862</v>
      </c>
      <c r="AZ587" s="56">
        <f>$AA$8</f>
        <v>44013</v>
      </c>
      <c r="BA587" s="56">
        <v>44166</v>
      </c>
      <c r="BB587" s="56" t="str">
        <f>$AC$8</f>
        <v>-</v>
      </c>
      <c r="BC587" s="56" t="str">
        <f>$AD$8</f>
        <v>-</v>
      </c>
      <c r="BD587" s="56" t="str">
        <f>$AE$8</f>
        <v>-</v>
      </c>
      <c r="BE587" s="56" t="str">
        <f>$AF$8</f>
        <v>-</v>
      </c>
      <c r="DB587" s="57" t="str">
        <f>$DB$8</f>
        <v>TRC (2020)</v>
      </c>
      <c r="DC587" s="93" t="str">
        <f>$DC$8</f>
        <v>Benefit Lookup</v>
      </c>
      <c r="DD587" s="93" t="str">
        <f>$DD$8</f>
        <v>Benefits (2019 $)</v>
      </c>
      <c r="DE587" s="93" t="str">
        <f>$DE$8</f>
        <v>Incremental Cost (2019 $)</v>
      </c>
    </row>
    <row r="588" spans="2:112" x14ac:dyDescent="0.25">
      <c r="C588" s="2356" t="s">
        <v>429</v>
      </c>
      <c r="D588" s="1558" t="s">
        <v>34</v>
      </c>
      <c r="E588" s="1501" t="s">
        <v>430</v>
      </c>
      <c r="F588" s="183">
        <f>ROUND((((G599*(I599-J599/K599))-(H599*(I599-J599/L599)))+((J599*M599/N599)-(J599*M599/O599)))*F599/1000,2)</f>
        <v>1938.47</v>
      </c>
      <c r="G588" s="1482" t="s">
        <v>209</v>
      </c>
      <c r="H588" s="1483">
        <f>VLOOKUP(G588,'CP FACTORS'!$A$26:$B$38,2,FALSE)</f>
        <v>1.998949E-4</v>
      </c>
      <c r="I588" s="1502">
        <f>ROUND(H588*F588,6)</f>
        <v>0.38749</v>
      </c>
      <c r="J588" s="1594">
        <v>12</v>
      </c>
      <c r="K588" s="1503">
        <v>0</v>
      </c>
      <c r="L588" s="1569" t="s">
        <v>37</v>
      </c>
      <c r="V588" s="2434" t="s">
        <v>20</v>
      </c>
      <c r="W588" s="163">
        <v>1938.467533405561</v>
      </c>
      <c r="X588" s="163">
        <v>1938.467533405561</v>
      </c>
      <c r="Y588" s="163">
        <v>1938.467533405561</v>
      </c>
      <c r="Z588" s="163">
        <v>1938.467533405561</v>
      </c>
      <c r="AA588" s="163">
        <v>1938.467533405561</v>
      </c>
      <c r="AB588" s="2116">
        <v>1938.47</v>
      </c>
      <c r="AC588" s="2510"/>
      <c r="AD588" s="2510"/>
      <c r="AE588" s="2510"/>
      <c r="AF588" s="2510"/>
      <c r="AG588" s="2510"/>
      <c r="AH588" s="2511"/>
      <c r="AI588" s="2434" t="s">
        <v>24</v>
      </c>
      <c r="AJ588" s="87">
        <v>12</v>
      </c>
      <c r="AK588" s="87">
        <v>12</v>
      </c>
      <c r="AL588" s="87">
        <v>12</v>
      </c>
      <c r="AM588" s="87">
        <v>12</v>
      </c>
      <c r="AN588" s="87">
        <v>12</v>
      </c>
      <c r="AO588" s="2512">
        <f>J588</f>
        <v>12</v>
      </c>
      <c r="AP588" s="2510"/>
      <c r="AQ588" s="2510"/>
      <c r="AR588" s="2510"/>
      <c r="AS588" s="2510"/>
      <c r="AT588" s="2280"/>
      <c r="AU588" s="2434" t="s">
        <v>25</v>
      </c>
      <c r="AV588" s="2513">
        <v>0</v>
      </c>
      <c r="AW588" s="2513">
        <v>0</v>
      </c>
      <c r="AX588" s="2513">
        <v>0</v>
      </c>
      <c r="AY588" s="2513">
        <v>0</v>
      </c>
      <c r="AZ588" s="2513">
        <v>0</v>
      </c>
      <c r="BA588" s="2514">
        <v>0</v>
      </c>
      <c r="BB588" s="2510"/>
      <c r="BC588" s="2510"/>
      <c r="BD588" s="2510"/>
      <c r="BE588" s="2510"/>
      <c r="BF588" s="2280"/>
      <c r="BG588" s="2280"/>
      <c r="BH588" s="2280"/>
      <c r="BI588" s="2280"/>
      <c r="DB588" s="3323" t="e">
        <f>(DD588)/(DE588)</f>
        <v>#DIV/0!</v>
      </c>
      <c r="DC588" s="68" t="str">
        <f>CONCATENATE(G588," ",J588," Year EUL")</f>
        <v>Cooking BUS 12 Year EUL</v>
      </c>
      <c r="DD588" s="94">
        <f>(INDEX('Avoided Cost Benefits'!$C$4:$C$857,MATCH(DC588,'Avoided Cost Benefits'!$A$4:$A$857,0)))*F588</f>
        <v>983.18309211124892</v>
      </c>
      <c r="DE588" s="69">
        <f>K588/(1.0595^(2020-2019))</f>
        <v>0</v>
      </c>
    </row>
    <row r="589" spans="2:112" x14ac:dyDescent="0.25">
      <c r="C589" s="2356" t="s">
        <v>431</v>
      </c>
      <c r="D589" s="1558" t="s">
        <v>34</v>
      </c>
      <c r="E589" s="1501" t="s">
        <v>432</v>
      </c>
      <c r="F589" s="183">
        <f>ROUND((((G600*(I600-J600/K600))-(H600*(I600-J600/L600)))+((J600*M600/N600)-(J600*M600/O600)))*F600/1000,2)</f>
        <v>192.11</v>
      </c>
      <c r="G589" s="1482" t="s">
        <v>209</v>
      </c>
      <c r="H589" s="1483">
        <f>VLOOKUP(G589,'CP FACTORS'!$A$26:$B$38,2,FALSE)</f>
        <v>1.998949E-4</v>
      </c>
      <c r="I589" s="1502">
        <f>ROUND(H589*F589,6)</f>
        <v>3.8401999999999999E-2</v>
      </c>
      <c r="J589" s="382">
        <v>12</v>
      </c>
      <c r="K589" s="1503">
        <v>0</v>
      </c>
      <c r="L589" s="1569" t="s">
        <v>37</v>
      </c>
      <c r="V589" s="2434" t="s">
        <v>20</v>
      </c>
      <c r="W589" s="163">
        <v>192.1061005247166</v>
      </c>
      <c r="X589" s="163">
        <v>192.1061005247166</v>
      </c>
      <c r="Y589" s="163">
        <v>192.1061005247166</v>
      </c>
      <c r="Z589" s="163">
        <v>192.1061005247166</v>
      </c>
      <c r="AA589" s="163">
        <v>192.1061005247166</v>
      </c>
      <c r="AB589" s="2116">
        <v>192.11</v>
      </c>
      <c r="AC589" s="2510"/>
      <c r="AD589" s="2510"/>
      <c r="AE589" s="2510"/>
      <c r="AF589" s="2510"/>
      <c r="AG589" s="2510"/>
      <c r="AH589" s="2511"/>
      <c r="AI589" s="2434" t="s">
        <v>24</v>
      </c>
      <c r="AJ589" s="87">
        <v>12</v>
      </c>
      <c r="AK589" s="87">
        <v>12</v>
      </c>
      <c r="AL589" s="87">
        <v>12</v>
      </c>
      <c r="AM589" s="87">
        <v>12</v>
      </c>
      <c r="AN589" s="87">
        <v>12</v>
      </c>
      <c r="AO589" s="2512">
        <f>J589</f>
        <v>12</v>
      </c>
      <c r="AP589" s="2510"/>
      <c r="AQ589" s="2510"/>
      <c r="AR589" s="2510"/>
      <c r="AS589" s="2510"/>
      <c r="AT589" s="2280"/>
      <c r="AU589" s="2434" t="s">
        <v>25</v>
      </c>
      <c r="AV589" s="2513">
        <v>0</v>
      </c>
      <c r="AW589" s="2513">
        <v>0</v>
      </c>
      <c r="AX589" s="2513">
        <v>0</v>
      </c>
      <c r="AY589" s="2513">
        <v>0</v>
      </c>
      <c r="AZ589" s="2513">
        <v>0</v>
      </c>
      <c r="BA589" s="2514">
        <v>0</v>
      </c>
      <c r="BB589" s="2510"/>
      <c r="BC589" s="2510"/>
      <c r="BD589" s="2510"/>
      <c r="BE589" s="2510"/>
      <c r="BF589" s="2280"/>
      <c r="BG589" s="2280"/>
      <c r="BH589" s="2280"/>
      <c r="BI589" s="2280"/>
      <c r="DB589" s="3322" t="e">
        <f>(DD589)/(DE589)</f>
        <v>#DIV/0!</v>
      </c>
      <c r="DC589" s="72" t="str">
        <f>CONCATENATE(G589," ",J589," Year EUL")</f>
        <v>Cooking BUS 12 Year EUL</v>
      </c>
      <c r="DD589" s="96">
        <f>(INDEX('Avoided Cost Benefits'!$C$4:$C$857,MATCH(DC589,'Avoided Cost Benefits'!$A$4:$A$857,0)))*F589</f>
        <v>97.437310778857565</v>
      </c>
      <c r="DE589" s="75">
        <f>K589/(1.0595^(2020-2019))</f>
        <v>0</v>
      </c>
    </row>
    <row r="590" spans="2:112" outlineLevel="1" x14ac:dyDescent="0.25">
      <c r="E590" s="1473"/>
      <c r="F590" s="1473"/>
      <c r="G590" s="1473"/>
      <c r="H590" s="1491"/>
      <c r="I590" s="1473"/>
      <c r="J590" s="1473"/>
      <c r="K590" s="1473"/>
      <c r="V590" s="2280"/>
      <c r="W590" s="2280"/>
      <c r="X590" s="2280"/>
      <c r="Y590" s="2280"/>
      <c r="Z590" s="2280"/>
      <c r="AA590" s="2280"/>
      <c r="AB590" s="2280"/>
      <c r="AC590" s="2280"/>
      <c r="AD590" s="2280"/>
      <c r="AE590" s="2280"/>
      <c r="AF590" s="2280"/>
      <c r="AG590" s="2280"/>
      <c r="AH590" s="2280"/>
      <c r="AI590" s="2280"/>
      <c r="AJ590" s="2280"/>
      <c r="AK590" s="2280"/>
      <c r="AL590" s="2280"/>
      <c r="AM590" s="2280"/>
      <c r="AN590" s="2280"/>
      <c r="AO590" s="2280"/>
      <c r="AP590" s="2280"/>
      <c r="AQ590" s="2280"/>
      <c r="AR590" s="2280"/>
      <c r="AS590" s="2280"/>
      <c r="AT590" s="2280"/>
      <c r="AU590" s="2280"/>
      <c r="AV590" s="2280"/>
      <c r="AW590" s="2280"/>
      <c r="AX590" s="2280"/>
      <c r="AY590" s="2280"/>
      <c r="AZ590" s="2280"/>
      <c r="BA590" s="2280"/>
      <c r="BB590" s="2280"/>
      <c r="BC590" s="2280"/>
      <c r="BD590" s="2280"/>
      <c r="BE590" s="2280"/>
      <c r="BF590" s="2280"/>
      <c r="BG590" s="2280"/>
      <c r="BH590" s="2280"/>
      <c r="BI590" s="2280"/>
    </row>
    <row r="591" spans="2:112" outlineLevel="1" x14ac:dyDescent="0.25">
      <c r="D591" s="1473" t="s">
        <v>70</v>
      </c>
      <c r="E591" s="198"/>
      <c r="F591" s="1473"/>
      <c r="G591" s="1473"/>
      <c r="H591" s="1491"/>
      <c r="I591" s="1473"/>
      <c r="J591" s="1473"/>
      <c r="K591" s="198"/>
      <c r="V591" s="2280"/>
      <c r="W591" s="2280"/>
      <c r="X591" s="2280"/>
      <c r="Y591" s="2280"/>
      <c r="Z591" s="2280"/>
      <c r="AA591" s="2280"/>
      <c r="AB591" s="2280"/>
      <c r="AC591" s="2280"/>
      <c r="AD591" s="2280"/>
      <c r="AE591" s="2280"/>
      <c r="AF591" s="2280"/>
      <c r="AG591" s="2280"/>
      <c r="AH591" s="2280"/>
      <c r="AI591" s="2280"/>
      <c r="AJ591" s="2280"/>
      <c r="AK591" s="2280"/>
      <c r="AL591" s="2280"/>
      <c r="AM591" s="2280"/>
      <c r="AN591" s="2280"/>
      <c r="AO591" s="2280"/>
      <c r="AP591" s="2280"/>
      <c r="AQ591" s="2280"/>
      <c r="AR591" s="2280"/>
      <c r="AS591" s="2280"/>
      <c r="AT591" s="2280"/>
      <c r="AU591" s="2280"/>
      <c r="AV591" s="2280"/>
      <c r="AW591" s="2280"/>
      <c r="AX591" s="2280"/>
      <c r="AY591" s="2280"/>
      <c r="AZ591" s="2280"/>
      <c r="BA591" s="2280"/>
      <c r="BB591" s="2280"/>
      <c r="BC591" s="2280"/>
      <c r="BD591" s="2280"/>
      <c r="BE591" s="2280"/>
      <c r="BF591" s="2280"/>
      <c r="BG591" s="2280"/>
      <c r="BH591" s="2280"/>
      <c r="BI591" s="2280"/>
    </row>
    <row r="592" spans="2:112" outlineLevel="1" x14ac:dyDescent="0.25">
      <c r="D592" s="1492"/>
      <c r="E592" s="198"/>
      <c r="F592" s="198"/>
      <c r="G592" s="1515"/>
      <c r="H592" s="1516"/>
      <c r="V592" s="2280"/>
      <c r="W592" s="2280"/>
      <c r="X592" s="2280"/>
      <c r="Y592" s="2280"/>
      <c r="Z592" s="2280"/>
      <c r="AA592" s="2280"/>
      <c r="AB592" s="2280"/>
      <c r="AC592" s="2280"/>
      <c r="AD592" s="2280"/>
      <c r="AE592" s="2280"/>
      <c r="AF592" s="2280"/>
      <c r="AG592" s="2280"/>
      <c r="AH592" s="2280"/>
      <c r="AI592" s="2280"/>
      <c r="AJ592" s="2280"/>
      <c r="AK592" s="2280"/>
      <c r="AL592" s="2280"/>
      <c r="AM592" s="2280"/>
      <c r="AN592" s="2280"/>
      <c r="AO592" s="2280"/>
      <c r="AP592" s="2280"/>
      <c r="AQ592" s="2280"/>
      <c r="AR592" s="2280"/>
      <c r="AS592" s="2280"/>
      <c r="AT592" s="2280"/>
      <c r="AU592" s="2280"/>
      <c r="AV592" s="2280"/>
      <c r="AW592" s="2280"/>
      <c r="AX592" s="2280"/>
      <c r="AY592" s="2280"/>
      <c r="AZ592" s="2280"/>
      <c r="BA592" s="2280"/>
      <c r="BB592" s="2280"/>
      <c r="BC592" s="2280"/>
      <c r="BD592" s="2280"/>
      <c r="BE592" s="2280"/>
      <c r="BF592" s="2280"/>
      <c r="BG592" s="2280"/>
      <c r="BH592" s="2280"/>
      <c r="BI592" s="2280"/>
    </row>
    <row r="593" spans="2:112" outlineLevel="1" x14ac:dyDescent="0.25">
      <c r="D593" s="1492"/>
      <c r="G593" s="1515"/>
      <c r="H593" s="1516"/>
      <c r="P593" s="4104"/>
      <c r="Q593" s="4104"/>
    </row>
    <row r="594" spans="2:112" outlineLevel="1" x14ac:dyDescent="0.25">
      <c r="D594" s="1492"/>
      <c r="G594" s="1470"/>
      <c r="H594" s="1493"/>
      <c r="M594" s="1473"/>
      <c r="P594" s="4104"/>
      <c r="Q594" s="4104"/>
    </row>
    <row r="595" spans="2:112" outlineLevel="1" x14ac:dyDescent="0.25">
      <c r="D595" s="1492"/>
      <c r="G595" s="1470"/>
      <c r="H595" s="1493"/>
      <c r="M595" s="1473"/>
      <c r="P595" s="4104"/>
      <c r="Q595" s="4104"/>
    </row>
    <row r="596" spans="2:112" outlineLevel="1" x14ac:dyDescent="0.25">
      <c r="D596" s="1492"/>
      <c r="G596" s="1470"/>
      <c r="H596" s="1493"/>
      <c r="M596" s="1473"/>
    </row>
    <row r="597" spans="2:112" outlineLevel="1" x14ac:dyDescent="0.25">
      <c r="D597" s="1492"/>
      <c r="G597" s="1470"/>
      <c r="H597" s="1493"/>
    </row>
    <row r="598" spans="2:112" s="77" customFormat="1" ht="30" outlineLevel="1" x14ac:dyDescent="0.25">
      <c r="C598" s="198"/>
      <c r="D598" s="1406" t="s">
        <v>17</v>
      </c>
      <c r="E598" s="1406" t="s">
        <v>119</v>
      </c>
      <c r="F598" s="110" t="s">
        <v>218</v>
      </c>
      <c r="G598" s="1406" t="s">
        <v>420</v>
      </c>
      <c r="H598" s="1406" t="s">
        <v>421</v>
      </c>
      <c r="I598" s="1406" t="s">
        <v>407</v>
      </c>
      <c r="J598" s="1406" t="s">
        <v>422</v>
      </c>
      <c r="K598" s="1406" t="s">
        <v>423</v>
      </c>
      <c r="L598" s="1406" t="s">
        <v>424</v>
      </c>
      <c r="M598" s="1406" t="s">
        <v>425</v>
      </c>
      <c r="N598" s="1403" t="s">
        <v>426</v>
      </c>
      <c r="O598" s="1403" t="s">
        <v>427</v>
      </c>
      <c r="P598" s="463"/>
      <c r="Q598" s="463"/>
      <c r="R598" s="463"/>
      <c r="S598" s="463"/>
      <c r="T598" s="463"/>
      <c r="U598" s="463"/>
      <c r="DB598" s="97"/>
    </row>
    <row r="599" spans="2:112" outlineLevel="1" x14ac:dyDescent="0.25">
      <c r="D599" s="1494" t="str">
        <f>C588</f>
        <v>805250_2019_12_</v>
      </c>
      <c r="E599" s="1494" t="str">
        <f>E588</f>
        <v>Convection Oven (Full Size)</v>
      </c>
      <c r="F599" s="1547">
        <v>365.25</v>
      </c>
      <c r="G599" s="1556">
        <v>2000</v>
      </c>
      <c r="H599" s="121">
        <v>1600</v>
      </c>
      <c r="I599" s="121">
        <v>12</v>
      </c>
      <c r="J599" s="121">
        <v>100</v>
      </c>
      <c r="K599" s="1607">
        <v>90</v>
      </c>
      <c r="L599" s="121">
        <v>90</v>
      </c>
      <c r="M599" s="1596">
        <v>73.2</v>
      </c>
      <c r="N599" s="541">
        <v>0.65</v>
      </c>
      <c r="O599" s="1505">
        <v>0.71</v>
      </c>
    </row>
    <row r="600" spans="2:112" outlineLevel="1" x14ac:dyDescent="0.25">
      <c r="D600" s="1494" t="str">
        <f>C589</f>
        <v>805300_2019_12_</v>
      </c>
      <c r="E600" s="1494" t="str">
        <f>E589</f>
        <v>Convection Oven (Half Size)</v>
      </c>
      <c r="F600" s="1547">
        <v>365.25</v>
      </c>
      <c r="G600" s="1556">
        <v>1030</v>
      </c>
      <c r="H600" s="121">
        <v>1000</v>
      </c>
      <c r="I600" s="121">
        <v>12</v>
      </c>
      <c r="J600" s="121">
        <v>100</v>
      </c>
      <c r="K600" s="1607">
        <v>45</v>
      </c>
      <c r="L600" s="121">
        <v>50</v>
      </c>
      <c r="M600" s="1596">
        <v>73.2</v>
      </c>
      <c r="N600" s="541">
        <v>0.68</v>
      </c>
      <c r="O600" s="1505">
        <v>0.71</v>
      </c>
    </row>
    <row r="603" spans="2:112" s="46" customFormat="1" x14ac:dyDescent="0.25">
      <c r="B603" s="4089" t="s">
        <v>433</v>
      </c>
      <c r="C603" s="4090"/>
      <c r="D603" s="4090"/>
      <c r="E603" s="4090"/>
      <c r="F603" s="4090"/>
      <c r="G603" s="4090"/>
      <c r="H603" s="4090"/>
      <c r="I603" s="4091"/>
      <c r="J603" s="4091"/>
      <c r="K603" s="4091"/>
      <c r="L603" s="4091"/>
      <c r="M603" s="3354"/>
      <c r="N603" s="3354"/>
      <c r="O603" s="3355"/>
      <c r="V603" s="47" t="str">
        <f>B603</f>
        <v>Griddle</v>
      </c>
      <c r="W603" s="48"/>
      <c r="X603" s="48"/>
      <c r="Y603" s="48"/>
      <c r="Z603" s="48"/>
      <c r="AA603" s="48"/>
      <c r="AB603" s="48"/>
      <c r="AC603" s="48"/>
      <c r="AD603" s="48"/>
      <c r="AE603" s="48"/>
      <c r="AF603" s="48"/>
      <c r="AG603" s="48"/>
      <c r="AH603" s="48"/>
      <c r="AI603" s="49"/>
      <c r="AJ603" s="26"/>
      <c r="AK603" s="26"/>
      <c r="AL603" s="26"/>
      <c r="AM603" s="26"/>
      <c r="AN603" s="26"/>
      <c r="AO603" s="26"/>
      <c r="AP603" s="26"/>
      <c r="AQ603" s="26"/>
      <c r="AR603" s="26"/>
      <c r="AS603" s="26"/>
      <c r="AT603" s="26"/>
      <c r="AU603" s="26"/>
      <c r="DB603" s="98"/>
      <c r="DG603" s="2282"/>
      <c r="DH603" s="2282"/>
    </row>
    <row r="604" spans="2:112" x14ac:dyDescent="0.25">
      <c r="D604" s="1478"/>
      <c r="E604" s="1473"/>
      <c r="F604" s="1473"/>
      <c r="G604" s="1473"/>
      <c r="H604" s="1479"/>
      <c r="I604" s="1473"/>
      <c r="J604" s="1473"/>
      <c r="K604" s="1473"/>
      <c r="L604" s="1473"/>
      <c r="P604" s="1473"/>
      <c r="Q604" s="1473"/>
      <c r="R604" s="1473"/>
      <c r="S604" s="1473"/>
      <c r="T604" s="1473"/>
      <c r="U604" s="1473"/>
      <c r="V604"/>
      <c r="W604"/>
      <c r="X604"/>
      <c r="Y604"/>
      <c r="Z604"/>
      <c r="AA604"/>
      <c r="AB604"/>
      <c r="AC604"/>
      <c r="AD604"/>
      <c r="AE604"/>
      <c r="AF604"/>
      <c r="AG604"/>
      <c r="AH604"/>
      <c r="AI604"/>
      <c r="AJ604" s="44"/>
      <c r="AK604" s="44"/>
      <c r="AL604" s="44"/>
      <c r="AM604" s="44"/>
      <c r="AN604" s="44"/>
      <c r="AO604" s="44"/>
      <c r="AP604" s="44"/>
      <c r="AQ604" s="44"/>
      <c r="AR604" s="44"/>
      <c r="AS604" s="44"/>
      <c r="AT604" s="44"/>
      <c r="AU604" s="44"/>
    </row>
    <row r="605" spans="2:112" s="50" customFormat="1" ht="30" x14ac:dyDescent="0.25">
      <c r="B605" s="51"/>
      <c r="C605" s="52" t="s">
        <v>17</v>
      </c>
      <c r="D605" s="52" t="s">
        <v>18</v>
      </c>
      <c r="E605" s="1435" t="s">
        <v>19</v>
      </c>
      <c r="F605" s="1435" t="s">
        <v>20</v>
      </c>
      <c r="G605" s="1435" t="s">
        <v>21</v>
      </c>
      <c r="H605" s="53" t="s">
        <v>22</v>
      </c>
      <c r="I605" s="1435" t="s">
        <v>23</v>
      </c>
      <c r="J605" s="1435" t="s">
        <v>24</v>
      </c>
      <c r="K605" s="52" t="s">
        <v>25</v>
      </c>
      <c r="L605" s="52" t="s">
        <v>26</v>
      </c>
      <c r="M605" s="1470"/>
      <c r="N605" s="1470"/>
      <c r="O605" s="1470"/>
      <c r="P605" s="1480"/>
      <c r="Q605" s="1480"/>
      <c r="R605" s="1480"/>
      <c r="S605" s="1480"/>
      <c r="T605" s="1480"/>
      <c r="U605" s="1480"/>
      <c r="V605" s="55" t="s">
        <v>27</v>
      </c>
      <c r="W605" s="56">
        <f>$W$8</f>
        <v>43252</v>
      </c>
      <c r="X605" s="56">
        <f>$X$8</f>
        <v>43465</v>
      </c>
      <c r="Y605" s="56">
        <f>$Y$8</f>
        <v>43800</v>
      </c>
      <c r="Z605" s="56">
        <f>$Z$8</f>
        <v>43862</v>
      </c>
      <c r="AA605" s="56">
        <f>$AA$8</f>
        <v>44013</v>
      </c>
      <c r="AB605" s="56">
        <v>44166</v>
      </c>
      <c r="AC605" s="56" t="str">
        <f>$AC$8</f>
        <v>-</v>
      </c>
      <c r="AD605" s="56" t="str">
        <f>$AD$8</f>
        <v>-</v>
      </c>
      <c r="AE605" s="56" t="str">
        <f>$AE$8</f>
        <v>-</v>
      </c>
      <c r="AF605" s="56" t="str">
        <f>$AF$8</f>
        <v>-</v>
      </c>
      <c r="AG605" s="56" t="str">
        <f>$AG$8</f>
        <v>-</v>
      </c>
      <c r="AH605"/>
      <c r="AI605" s="55" t="s">
        <v>27</v>
      </c>
      <c r="AJ605" s="56">
        <v>43252</v>
      </c>
      <c r="AK605" s="56">
        <f>$X$8</f>
        <v>43465</v>
      </c>
      <c r="AL605" s="56">
        <f>$Y$8</f>
        <v>43800</v>
      </c>
      <c r="AM605" s="56">
        <f>$Z$8</f>
        <v>43862</v>
      </c>
      <c r="AN605" s="56">
        <f>$AA$8</f>
        <v>44013</v>
      </c>
      <c r="AO605" s="56">
        <f>$AB$8</f>
        <v>44166</v>
      </c>
      <c r="AP605" s="56" t="str">
        <f>$AC$8</f>
        <v>-</v>
      </c>
      <c r="AQ605" s="56" t="str">
        <f>$AD$8</f>
        <v>-</v>
      </c>
      <c r="AR605" s="56" t="str">
        <f>$AE$8</f>
        <v>-</v>
      </c>
      <c r="AS605" s="56" t="str">
        <f>$AF$8</f>
        <v>-</v>
      </c>
      <c r="AT605" s="29"/>
      <c r="AU605" s="55" t="s">
        <v>27</v>
      </c>
      <c r="AV605" s="56">
        <v>43252</v>
      </c>
      <c r="AW605" s="56">
        <f>$X$8</f>
        <v>43465</v>
      </c>
      <c r="AX605" s="56">
        <f>$Y$8</f>
        <v>43800</v>
      </c>
      <c r="AY605" s="56">
        <f>$Z$8</f>
        <v>43862</v>
      </c>
      <c r="AZ605" s="56">
        <f>$AA$8</f>
        <v>44013</v>
      </c>
      <c r="BA605" s="56">
        <v>44166</v>
      </c>
      <c r="BB605" s="56" t="str">
        <f>$AC$8</f>
        <v>-</v>
      </c>
      <c r="BC605" s="56" t="str">
        <f>$AD$8</f>
        <v>-</v>
      </c>
      <c r="BD605" s="56" t="str">
        <f>$AE$8</f>
        <v>-</v>
      </c>
      <c r="BE605" s="56" t="str">
        <f>$AF$8</f>
        <v>-</v>
      </c>
      <c r="DB605" s="57" t="str">
        <f>$DB$8</f>
        <v>TRC (2020)</v>
      </c>
      <c r="DC605" s="93" t="str">
        <f>$DC$8</f>
        <v>Benefit Lookup</v>
      </c>
      <c r="DD605" s="93" t="str">
        <f>$DD$8</f>
        <v>Benefits (2019 $)</v>
      </c>
      <c r="DE605" s="93" t="str">
        <f>$DE$8</f>
        <v>Incremental Cost (2019 $)</v>
      </c>
    </row>
    <row r="606" spans="2:112" x14ac:dyDescent="0.25">
      <c r="C606" s="2356" t="s">
        <v>434</v>
      </c>
      <c r="D606" s="1558" t="s">
        <v>34</v>
      </c>
      <c r="E606" s="1501" t="s">
        <v>433</v>
      </c>
      <c r="F606" s="183">
        <f>ROUND(((((G616*I616*J616)*(K616-L616/M616))-((H616*I616*J616)*(K616-L616/N616)))+((L616*O616/P616)-(L616*O616/Q616)))*F616/1000,2)</f>
        <v>1910.38</v>
      </c>
      <c r="G606" s="1482" t="s">
        <v>209</v>
      </c>
      <c r="H606" s="1483">
        <f>VLOOKUP(G606,'CP FACTORS'!$A$26:$B$38,2,FALSE)</f>
        <v>1.998949E-4</v>
      </c>
      <c r="I606" s="1502">
        <f>ROUND(H606*F606,6)</f>
        <v>0.38187500000000002</v>
      </c>
      <c r="J606" s="382">
        <v>12</v>
      </c>
      <c r="K606" s="1503">
        <v>0</v>
      </c>
      <c r="L606" s="1569" t="s">
        <v>37</v>
      </c>
      <c r="V606" s="2434" t="s">
        <v>20</v>
      </c>
      <c r="W606" s="163">
        <v>1910.3779120879103</v>
      </c>
      <c r="X606" s="163">
        <v>1910.3779120879103</v>
      </c>
      <c r="Y606" s="163">
        <v>1910.3779120879103</v>
      </c>
      <c r="Z606" s="163">
        <v>1910.3779120879103</v>
      </c>
      <c r="AA606" s="163">
        <v>1910.3779120879103</v>
      </c>
      <c r="AB606" s="2116">
        <v>1910.38</v>
      </c>
      <c r="AC606" s="2510"/>
      <c r="AD606" s="2510"/>
      <c r="AE606" s="2510"/>
      <c r="AF606" s="2510"/>
      <c r="AG606" s="2510"/>
      <c r="AH606" s="2511"/>
      <c r="AI606" s="2434" t="s">
        <v>24</v>
      </c>
      <c r="AJ606" s="87">
        <v>12</v>
      </c>
      <c r="AK606" s="87">
        <v>12</v>
      </c>
      <c r="AL606" s="87">
        <v>12</v>
      </c>
      <c r="AM606" s="87">
        <v>12</v>
      </c>
      <c r="AN606" s="87">
        <v>12</v>
      </c>
      <c r="AO606" s="2512">
        <f>J606</f>
        <v>12</v>
      </c>
      <c r="AP606" s="2510"/>
      <c r="AQ606" s="2510"/>
      <c r="AR606" s="2510"/>
      <c r="AS606" s="2510"/>
      <c r="AT606" s="2280"/>
      <c r="AU606" s="2434" t="s">
        <v>25</v>
      </c>
      <c r="AV606" s="2513">
        <v>0</v>
      </c>
      <c r="AW606" s="2513">
        <v>0</v>
      </c>
      <c r="AX606" s="2513">
        <v>0</v>
      </c>
      <c r="AY606" s="2513">
        <v>0</v>
      </c>
      <c r="AZ606" s="2513">
        <v>0</v>
      </c>
      <c r="BA606" s="2514">
        <v>0</v>
      </c>
      <c r="BB606" s="2510"/>
      <c r="BC606" s="2510"/>
      <c r="BD606" s="2510"/>
      <c r="BE606" s="2510"/>
      <c r="BF606" s="2280"/>
      <c r="BG606" s="2280"/>
      <c r="BH606" s="2280"/>
      <c r="BI606" s="2280"/>
      <c r="BJ606" s="2280"/>
      <c r="BK606" s="2280"/>
      <c r="BL606" s="2280"/>
      <c r="BM606" s="2280"/>
      <c r="BN606" s="2280"/>
      <c r="BO606" s="2280"/>
      <c r="BP606" s="2280"/>
      <c r="DB606" s="107" t="e">
        <f>(DD606)/(DE606)</f>
        <v>#DIV/0!</v>
      </c>
      <c r="DC606" s="68" t="str">
        <f>CONCATENATE(G606," ",J606," Year EUL")</f>
        <v>Cooking BUS 12 Year EUL</v>
      </c>
      <c r="DD606" s="108">
        <f>(INDEX('Avoided Cost Benefits'!$C$4:$C$857,MATCH(DC606,'Avoided Cost Benefits'!$A$4:$A$857,0)))*F606</f>
        <v>968.93597296191729</v>
      </c>
      <c r="DE606" s="109">
        <f>K606/(1.0595^(2020-2019))</f>
        <v>0</v>
      </c>
    </row>
    <row r="607" spans="2:112" outlineLevel="1" x14ac:dyDescent="0.25">
      <c r="E607" s="1473"/>
      <c r="F607" s="1473"/>
      <c r="G607" s="1473"/>
      <c r="H607" s="1491"/>
      <c r="I607" s="1473"/>
      <c r="J607" s="1473"/>
      <c r="V607" s="2280"/>
      <c r="W607" s="2280"/>
      <c r="X607" s="2280"/>
      <c r="Y607" s="2280"/>
      <c r="Z607" s="2280"/>
      <c r="AA607" s="2280"/>
      <c r="AB607" s="2280"/>
      <c r="AC607" s="2280"/>
      <c r="AD607" s="2280"/>
      <c r="AE607" s="2280"/>
      <c r="AF607" s="2280"/>
      <c r="AG607" s="2280"/>
      <c r="AH607" s="2280"/>
      <c r="AI607" s="2280"/>
      <c r="AJ607" s="2280"/>
      <c r="AK607" s="2280"/>
      <c r="AL607" s="2280"/>
      <c r="AM607" s="2280"/>
      <c r="AN607" s="2280"/>
      <c r="AO607" s="2280"/>
      <c r="AP607" s="2280"/>
      <c r="AQ607" s="2280"/>
      <c r="AR607" s="2280"/>
      <c r="AS607" s="2280"/>
      <c r="AT607" s="2280"/>
      <c r="AU607" s="2280"/>
      <c r="AV607" s="2280"/>
      <c r="AW607" s="2280"/>
      <c r="AX607" s="2280"/>
      <c r="AY607" s="2280"/>
      <c r="AZ607" s="2280"/>
      <c r="BA607" s="2280"/>
      <c r="BB607" s="2280"/>
      <c r="BC607" s="2280"/>
      <c r="BD607" s="2280"/>
      <c r="BE607" s="2280"/>
      <c r="BF607" s="2280"/>
      <c r="BG607" s="2280"/>
      <c r="BH607" s="2280"/>
      <c r="BI607" s="2280"/>
      <c r="BJ607" s="2280"/>
      <c r="BK607" s="2280"/>
      <c r="BL607" s="2280"/>
      <c r="BM607" s="2280"/>
      <c r="BN607" s="2280"/>
      <c r="BO607" s="2280"/>
      <c r="BP607" s="2280"/>
    </row>
    <row r="608" spans="2:112" outlineLevel="1" x14ac:dyDescent="0.25">
      <c r="D608" s="1473" t="s">
        <v>70</v>
      </c>
      <c r="E608" s="198"/>
      <c r="F608" s="1473"/>
      <c r="G608" s="1473"/>
      <c r="H608" s="1491"/>
      <c r="I608" s="1473"/>
      <c r="J608" s="1473"/>
      <c r="K608" s="198"/>
      <c r="V608" s="2280"/>
      <c r="W608" s="2280"/>
      <c r="X608" s="2280"/>
      <c r="Y608" s="2280"/>
      <c r="Z608" s="2280"/>
      <c r="AA608" s="2280"/>
      <c r="AB608" s="2280"/>
      <c r="AC608" s="2280"/>
      <c r="AD608" s="2280"/>
      <c r="AE608" s="2280"/>
      <c r="AF608" s="2280"/>
      <c r="AG608" s="2280"/>
      <c r="AH608" s="2280"/>
      <c r="AI608" s="2280"/>
      <c r="AJ608" s="2280"/>
      <c r="AK608" s="2280"/>
      <c r="AL608" s="2280"/>
      <c r="AM608" s="2280"/>
      <c r="AN608" s="2280"/>
      <c r="AO608" s="2280"/>
      <c r="AP608" s="2280"/>
      <c r="AQ608" s="2280"/>
      <c r="AR608" s="2280"/>
      <c r="AS608" s="2280"/>
      <c r="AT608" s="2280"/>
      <c r="AU608" s="2280"/>
      <c r="AV608" s="2280"/>
      <c r="AW608" s="2280"/>
      <c r="AX608" s="2280"/>
      <c r="AY608" s="2280"/>
      <c r="AZ608" s="2280"/>
      <c r="BA608" s="2280"/>
      <c r="BB608" s="2280"/>
      <c r="BC608" s="2280"/>
      <c r="BD608" s="2280"/>
      <c r="BE608" s="2280"/>
      <c r="BF608" s="2280"/>
      <c r="BG608" s="2280"/>
      <c r="BH608" s="2280"/>
      <c r="BI608" s="2280"/>
      <c r="BJ608" s="2280"/>
      <c r="BK608" s="2280"/>
      <c r="BL608" s="2280"/>
      <c r="BM608" s="2280"/>
      <c r="BN608" s="2280"/>
      <c r="BO608" s="2280"/>
      <c r="BP608" s="2280"/>
    </row>
    <row r="609" spans="2:112" outlineLevel="1" x14ac:dyDescent="0.25">
      <c r="D609" s="1492"/>
      <c r="E609" s="198"/>
      <c r="F609" s="198"/>
      <c r="G609" s="1515"/>
      <c r="H609" s="1516"/>
      <c r="V609" s="2280"/>
      <c r="W609" s="2280"/>
      <c r="X609" s="2280"/>
      <c r="Y609" s="2280"/>
      <c r="Z609" s="2280"/>
      <c r="AA609" s="2280"/>
      <c r="AB609" s="2280"/>
      <c r="AC609" s="2280"/>
      <c r="AD609" s="2280"/>
      <c r="AE609" s="2280"/>
      <c r="AF609" s="2280"/>
      <c r="AG609" s="2280"/>
      <c r="AH609" s="2280"/>
      <c r="AI609" s="2280"/>
      <c r="AJ609" s="2280"/>
      <c r="AK609" s="2280"/>
      <c r="AL609" s="2280"/>
      <c r="AM609" s="2280"/>
      <c r="AN609" s="2280"/>
      <c r="AO609" s="2280"/>
      <c r="AP609" s="2280"/>
      <c r="AQ609" s="2280"/>
      <c r="AR609" s="2280"/>
      <c r="AS609" s="2280"/>
      <c r="AT609" s="2280"/>
      <c r="AU609" s="2280"/>
      <c r="AV609" s="2280"/>
      <c r="AW609" s="2280"/>
      <c r="AX609" s="2280"/>
      <c r="AY609" s="2280"/>
      <c r="AZ609" s="2280"/>
      <c r="BA609" s="2280"/>
      <c r="BB609" s="2280"/>
      <c r="BC609" s="2280"/>
      <c r="BD609" s="2280"/>
      <c r="BE609" s="2280"/>
      <c r="BF609" s="2280"/>
      <c r="BG609" s="2280"/>
      <c r="BH609" s="2280"/>
      <c r="BI609" s="2280"/>
      <c r="BJ609" s="2280"/>
      <c r="BK609" s="2280"/>
      <c r="BL609" s="2280"/>
      <c r="BM609" s="2280"/>
      <c r="BN609" s="2280"/>
      <c r="BO609" s="2280"/>
      <c r="BP609" s="2280"/>
    </row>
    <row r="610" spans="2:112" outlineLevel="1" x14ac:dyDescent="0.25">
      <c r="D610" s="1492"/>
      <c r="G610" s="1515"/>
      <c r="H610" s="1516"/>
      <c r="P610" s="4104"/>
      <c r="Q610" s="4104"/>
      <c r="V610" s="2280"/>
      <c r="W610" s="2280"/>
      <c r="X610" s="2280"/>
      <c r="Y610" s="2280"/>
      <c r="Z610" s="2280"/>
      <c r="AA610" s="2280"/>
      <c r="AB610" s="2280"/>
      <c r="AC610" s="2280"/>
      <c r="AD610" s="2280"/>
      <c r="AE610" s="2280"/>
      <c r="AF610" s="2280"/>
      <c r="AG610" s="2280"/>
      <c r="AH610" s="2280"/>
      <c r="AI610" s="2280"/>
      <c r="AJ610" s="2280"/>
      <c r="AK610" s="2280"/>
      <c r="AL610" s="2280"/>
      <c r="AM610" s="2280"/>
      <c r="AN610" s="2280"/>
      <c r="AO610" s="2280"/>
      <c r="AP610" s="2280"/>
      <c r="AQ610" s="2280"/>
      <c r="AR610" s="2280"/>
      <c r="AS610" s="2280"/>
      <c r="AT610" s="2280"/>
      <c r="AU610" s="2280"/>
      <c r="AV610" s="2280"/>
      <c r="AW610" s="2280"/>
      <c r="AX610" s="2280"/>
      <c r="AY610" s="2280"/>
      <c r="AZ610" s="2280"/>
      <c r="BA610" s="2280"/>
      <c r="BB610" s="2280"/>
      <c r="BC610" s="2280"/>
      <c r="BD610" s="2280"/>
      <c r="BE610" s="2280"/>
      <c r="BF610" s="2280"/>
      <c r="BG610" s="2280"/>
      <c r="BH610" s="2280"/>
      <c r="BI610" s="2280"/>
      <c r="BJ610" s="2280"/>
      <c r="BK610" s="2280"/>
      <c r="BL610" s="2280"/>
      <c r="BM610" s="2280"/>
      <c r="BN610" s="2280"/>
      <c r="BO610" s="2280"/>
      <c r="BP610" s="2280"/>
    </row>
    <row r="611" spans="2:112" outlineLevel="1" x14ac:dyDescent="0.25">
      <c r="D611" s="1492"/>
      <c r="G611" s="1470"/>
      <c r="H611" s="1493"/>
      <c r="M611" s="1473"/>
      <c r="P611" s="4104"/>
      <c r="Q611" s="4104"/>
      <c r="V611" s="2280"/>
      <c r="W611" s="2280"/>
      <c r="X611" s="2280"/>
      <c r="Y611" s="2280"/>
      <c r="Z611" s="2280"/>
      <c r="AA611" s="2280"/>
      <c r="AB611" s="2280"/>
      <c r="AC611" s="2280"/>
      <c r="AD611" s="2280"/>
      <c r="AE611" s="2280"/>
      <c r="AF611" s="2280"/>
      <c r="AG611" s="2280"/>
      <c r="AH611" s="2280"/>
      <c r="AI611" s="2280"/>
      <c r="AJ611" s="2280"/>
      <c r="AK611" s="2280"/>
      <c r="AL611" s="2280"/>
      <c r="AM611" s="2280"/>
      <c r="AN611" s="2280"/>
      <c r="AO611" s="2280"/>
      <c r="AP611" s="2280"/>
      <c r="AQ611" s="2280"/>
      <c r="AR611" s="2280"/>
      <c r="AS611" s="2280"/>
      <c r="AT611" s="2280"/>
      <c r="AU611" s="2280"/>
      <c r="AV611" s="2280"/>
      <c r="AW611" s="2280"/>
      <c r="AX611" s="2280"/>
      <c r="AY611" s="2280"/>
      <c r="AZ611" s="2280"/>
      <c r="BA611" s="2280"/>
      <c r="BB611" s="2280"/>
      <c r="BC611" s="2280"/>
      <c r="BD611" s="2280"/>
      <c r="BE611" s="2280"/>
      <c r="BF611" s="2280"/>
      <c r="BG611" s="2280"/>
      <c r="BH611" s="2280"/>
      <c r="BI611" s="2280"/>
      <c r="BJ611" s="2280"/>
      <c r="BK611" s="2280"/>
      <c r="BL611" s="2280"/>
      <c r="BM611" s="2280"/>
      <c r="BN611" s="2280"/>
      <c r="BO611" s="2280"/>
      <c r="BP611" s="2280"/>
    </row>
    <row r="612" spans="2:112" outlineLevel="1" x14ac:dyDescent="0.25">
      <c r="D612" s="1492"/>
      <c r="G612" s="1470"/>
      <c r="H612" s="1493"/>
      <c r="M612" s="1473"/>
      <c r="P612" s="4104"/>
      <c r="Q612" s="4104"/>
    </row>
    <row r="613" spans="2:112" outlineLevel="1" x14ac:dyDescent="0.25">
      <c r="D613" s="1492"/>
      <c r="G613" s="1470"/>
      <c r="H613" s="1493"/>
      <c r="M613" s="1473"/>
    </row>
    <row r="614" spans="2:112" outlineLevel="1" x14ac:dyDescent="0.25">
      <c r="D614" s="1492"/>
      <c r="G614" s="1470"/>
      <c r="H614" s="1493"/>
    </row>
    <row r="615" spans="2:112" s="77" customFormat="1" ht="30" outlineLevel="1" x14ac:dyDescent="0.25">
      <c r="C615" s="198"/>
      <c r="D615" s="1406" t="s">
        <v>17</v>
      </c>
      <c r="E615" s="1406" t="s">
        <v>119</v>
      </c>
      <c r="F615" s="110" t="s">
        <v>218</v>
      </c>
      <c r="G615" s="1406" t="s">
        <v>435</v>
      </c>
      <c r="H615" s="1406" t="s">
        <v>436</v>
      </c>
      <c r="I615" s="1406" t="s">
        <v>437</v>
      </c>
      <c r="J615" s="1406" t="s">
        <v>438</v>
      </c>
      <c r="K615" s="1406" t="s">
        <v>407</v>
      </c>
      <c r="L615" s="1406" t="s">
        <v>439</v>
      </c>
      <c r="M615" s="1406" t="s">
        <v>423</v>
      </c>
      <c r="N615" s="1403" t="s">
        <v>424</v>
      </c>
      <c r="O615" s="1403" t="s">
        <v>425</v>
      </c>
      <c r="P615" s="1403" t="s">
        <v>426</v>
      </c>
      <c r="Q615" s="1435" t="s">
        <v>427</v>
      </c>
      <c r="R615" s="463"/>
      <c r="S615" s="463"/>
      <c r="T615" s="463"/>
      <c r="U615" s="463"/>
      <c r="DB615" s="97"/>
    </row>
    <row r="616" spans="2:112" outlineLevel="1" x14ac:dyDescent="0.25">
      <c r="D616" s="1494" t="str">
        <f>C606</f>
        <v>805350_2019_12_</v>
      </c>
      <c r="E616" s="1494" t="str">
        <f>E606</f>
        <v>Griddle</v>
      </c>
      <c r="F616" s="1547">
        <v>365.25</v>
      </c>
      <c r="G616" s="1556">
        <v>400</v>
      </c>
      <c r="H616" s="121">
        <v>320</v>
      </c>
      <c r="I616" s="121">
        <v>3</v>
      </c>
      <c r="J616" s="121">
        <v>2</v>
      </c>
      <c r="K616" s="121">
        <v>12</v>
      </c>
      <c r="L616" s="121">
        <v>100</v>
      </c>
      <c r="M616" s="1596">
        <v>35</v>
      </c>
      <c r="N616" s="1504">
        <v>40</v>
      </c>
      <c r="O616" s="1092">
        <v>139</v>
      </c>
      <c r="P616" s="1608">
        <v>0.65</v>
      </c>
      <c r="Q616" s="1609">
        <v>0.7</v>
      </c>
    </row>
    <row r="619" spans="2:112" s="46" customFormat="1" x14ac:dyDescent="0.25">
      <c r="B619" s="4089" t="s">
        <v>3461</v>
      </c>
      <c r="C619" s="4090"/>
      <c r="D619" s="4090"/>
      <c r="E619" s="4090"/>
      <c r="F619" s="4090"/>
      <c r="G619" s="4090"/>
      <c r="H619" s="4090"/>
      <c r="I619" s="4091"/>
      <c r="J619" s="4091"/>
      <c r="K619" s="4091"/>
      <c r="L619" s="4091"/>
      <c r="M619" s="3354"/>
      <c r="N619" s="3354"/>
      <c r="O619" s="3355"/>
      <c r="V619" s="47" t="str">
        <f>B619</f>
        <v>Kitchen Demand Ventilation Controls</v>
      </c>
      <c r="W619" s="48"/>
      <c r="X619" s="48"/>
      <c r="Y619" s="48"/>
      <c r="Z619" s="48"/>
      <c r="AA619" s="48"/>
      <c r="AB619" s="48"/>
      <c r="AC619" s="48"/>
      <c r="AD619" s="48"/>
      <c r="AE619" s="48"/>
      <c r="AF619" s="48"/>
      <c r="AG619" s="48"/>
      <c r="AH619" s="48"/>
      <c r="AI619" s="49"/>
      <c r="AJ619" s="26"/>
      <c r="AK619" s="26"/>
      <c r="AL619" s="26"/>
      <c r="AM619" s="26"/>
      <c r="AN619" s="26"/>
      <c r="AO619" s="26"/>
      <c r="AP619" s="26"/>
      <c r="AQ619" s="26"/>
      <c r="AR619" s="26"/>
      <c r="AS619" s="26"/>
      <c r="AT619" s="26"/>
      <c r="AU619" s="26"/>
      <c r="DB619" s="98"/>
      <c r="DG619" s="2282"/>
      <c r="DH619" s="2282"/>
    </row>
    <row r="620" spans="2:112" x14ac:dyDescent="0.25">
      <c r="D620" s="1478"/>
      <c r="E620" s="1473"/>
      <c r="F620" s="1473"/>
      <c r="G620" s="1473"/>
      <c r="H620" s="1479"/>
      <c r="I620" s="1473"/>
      <c r="J620" s="1473"/>
      <c r="K620" s="1473"/>
      <c r="L620" s="1473"/>
      <c r="P620" s="1473"/>
      <c r="Q620" s="1473"/>
      <c r="R620" s="1473"/>
      <c r="S620" s="1473"/>
      <c r="T620" s="1473"/>
      <c r="U620" s="1473"/>
      <c r="V620"/>
      <c r="W620"/>
      <c r="X620"/>
      <c r="Y620"/>
      <c r="Z620"/>
      <c r="AA620"/>
      <c r="AB620"/>
      <c r="AC620"/>
      <c r="AD620"/>
      <c r="AE620"/>
      <c r="AF620"/>
      <c r="AG620"/>
      <c r="AH620"/>
      <c r="AI620"/>
      <c r="AJ620" s="44"/>
      <c r="AK620" s="44"/>
      <c r="AL620" s="44"/>
      <c r="AM620" s="44"/>
      <c r="AN620" s="44"/>
      <c r="AO620" s="44"/>
      <c r="AP620" s="44"/>
      <c r="AQ620" s="44"/>
      <c r="AR620" s="44"/>
      <c r="AS620" s="44"/>
      <c r="AT620" s="44"/>
      <c r="AU620" s="44"/>
    </row>
    <row r="621" spans="2:112" s="50" customFormat="1" ht="30" x14ac:dyDescent="0.25">
      <c r="B621" s="51"/>
      <c r="C621" s="52" t="s">
        <v>17</v>
      </c>
      <c r="D621" s="52" t="s">
        <v>18</v>
      </c>
      <c r="E621" s="1435" t="s">
        <v>19</v>
      </c>
      <c r="F621" s="1435" t="s">
        <v>197</v>
      </c>
      <c r="G621" s="1435" t="s">
        <v>21</v>
      </c>
      <c r="H621" s="53" t="s">
        <v>22</v>
      </c>
      <c r="I621" s="1435" t="s">
        <v>23</v>
      </c>
      <c r="J621" s="1435" t="s">
        <v>24</v>
      </c>
      <c r="K621" s="52" t="s">
        <v>3468</v>
      </c>
      <c r="L621" s="52" t="s">
        <v>26</v>
      </c>
      <c r="M621" s="1470"/>
      <c r="N621" s="1470"/>
      <c r="O621" s="1470"/>
      <c r="P621" s="1480"/>
      <c r="Q621" s="1480"/>
      <c r="R621" s="1480"/>
      <c r="S621" s="1480"/>
      <c r="T621" s="1480"/>
      <c r="U621" s="1480"/>
      <c r="V621" s="55" t="s">
        <v>27</v>
      </c>
      <c r="W621" s="56">
        <f>$W$8</f>
        <v>43252</v>
      </c>
      <c r="X621" s="56">
        <f>$X$8</f>
        <v>43465</v>
      </c>
      <c r="Y621" s="56">
        <f>$Y$8</f>
        <v>43800</v>
      </c>
      <c r="Z621" s="56">
        <f>$Z$8</f>
        <v>43862</v>
      </c>
      <c r="AA621" s="56">
        <f>$AA$8</f>
        <v>44013</v>
      </c>
      <c r="AB621" s="56">
        <v>44166</v>
      </c>
      <c r="AC621" s="56" t="str">
        <f>$AC$8</f>
        <v>-</v>
      </c>
      <c r="AD621" s="56" t="str">
        <f>$AD$8</f>
        <v>-</v>
      </c>
      <c r="AE621" s="56" t="str">
        <f>$AE$8</f>
        <v>-</v>
      </c>
      <c r="AF621" s="56" t="str">
        <f>$AF$8</f>
        <v>-</v>
      </c>
      <c r="AG621" s="56" t="str">
        <f>$AG$8</f>
        <v>-</v>
      </c>
      <c r="AH621"/>
      <c r="AI621" s="55" t="s">
        <v>27</v>
      </c>
      <c r="AJ621" s="56">
        <v>43252</v>
      </c>
      <c r="AK621" s="56">
        <f>$X$8</f>
        <v>43465</v>
      </c>
      <c r="AL621" s="56">
        <f>$Y$8</f>
        <v>43800</v>
      </c>
      <c r="AM621" s="56">
        <f>$Z$8</f>
        <v>43862</v>
      </c>
      <c r="AN621" s="56">
        <f>$AA$8</f>
        <v>44013</v>
      </c>
      <c r="AO621" s="56">
        <f>$AB$8</f>
        <v>44166</v>
      </c>
      <c r="AP621" s="56" t="str">
        <f>$AC$8</f>
        <v>-</v>
      </c>
      <c r="AQ621" s="56" t="str">
        <f>$AD$8</f>
        <v>-</v>
      </c>
      <c r="AR621" s="56" t="str">
        <f>$AE$8</f>
        <v>-</v>
      </c>
      <c r="AS621" s="56" t="str">
        <f>$AF$8</f>
        <v>-</v>
      </c>
      <c r="AT621" s="29"/>
      <c r="AU621" s="55" t="s">
        <v>27</v>
      </c>
      <c r="AV621" s="56">
        <v>43252</v>
      </c>
      <c r="AW621" s="56">
        <f>$X$8</f>
        <v>43465</v>
      </c>
      <c r="AX621" s="56">
        <f>$Y$8</f>
        <v>43800</v>
      </c>
      <c r="AY621" s="56">
        <f>$Z$8</f>
        <v>43862</v>
      </c>
      <c r="AZ621" s="56">
        <f>$AA$8</f>
        <v>44013</v>
      </c>
      <c r="BA621" s="56">
        <v>44166</v>
      </c>
      <c r="BB621" s="56" t="str">
        <f>$AC$8</f>
        <v>-</v>
      </c>
      <c r="BC621" s="56" t="str">
        <f>$AD$8</f>
        <v>-</v>
      </c>
      <c r="BD621" s="56" t="str">
        <f>$AE$8</f>
        <v>-</v>
      </c>
      <c r="BE621" s="56" t="str">
        <f>$AF$8</f>
        <v>-</v>
      </c>
      <c r="DB621" s="57" t="str">
        <f>$DB$8</f>
        <v>TRC (2020)</v>
      </c>
      <c r="DC621" s="93" t="str">
        <f>$DC$8</f>
        <v>Benefit Lookup</v>
      </c>
      <c r="DD621" s="93" t="str">
        <f>$DD$8</f>
        <v>Benefits (2019 $)</v>
      </c>
      <c r="DE621" s="93" t="str">
        <f>$DE$8</f>
        <v>Incremental Cost (2019 $)</v>
      </c>
    </row>
    <row r="622" spans="2:112" s="2278" customFormat="1" x14ac:dyDescent="0.25">
      <c r="C622" s="2356" t="s">
        <v>3459</v>
      </c>
      <c r="D622" s="2345" t="s">
        <v>34</v>
      </c>
      <c r="E622" s="2346" t="s">
        <v>3431</v>
      </c>
      <c r="F622" s="1252">
        <f>ROUND(F633*G633,2)</f>
        <v>4197</v>
      </c>
      <c r="G622" s="1482" t="s">
        <v>209</v>
      </c>
      <c r="H622" s="1483">
        <f>VLOOKUP(G622,'CP FACTORS'!$A$26:$B$38,2,FALSE)</f>
        <v>1.998949E-4</v>
      </c>
      <c r="I622" s="2347">
        <f>F622*H622</f>
        <v>0.83895889530000001</v>
      </c>
      <c r="J622" s="2348">
        <v>15</v>
      </c>
      <c r="K622" s="1503">
        <v>1991</v>
      </c>
      <c r="L622" s="1569" t="s">
        <v>388</v>
      </c>
      <c r="M622" s="2312"/>
      <c r="N622" s="2312"/>
      <c r="O622" s="2312"/>
      <c r="P622" s="2312"/>
      <c r="Q622" s="2312"/>
      <c r="R622" s="2312"/>
      <c r="S622" s="2312"/>
      <c r="T622" s="2312"/>
      <c r="U622" s="2312"/>
      <c r="V622" s="2340" t="s">
        <v>20</v>
      </c>
      <c r="W622" s="2294"/>
      <c r="X622" s="2294"/>
      <c r="Y622" s="2294"/>
      <c r="Z622" s="2294"/>
      <c r="AA622" s="2333">
        <v>4486</v>
      </c>
      <c r="AB622" s="2116">
        <v>4197</v>
      </c>
      <c r="AC622" s="2288"/>
      <c r="AD622" s="2288"/>
      <c r="AE622" s="2288"/>
      <c r="AF622" s="2288"/>
      <c r="AG622" s="2288"/>
      <c r="AH622" s="2289"/>
      <c r="AI622" s="2332" t="s">
        <v>24</v>
      </c>
      <c r="AJ622" s="2290"/>
      <c r="AK622" s="2290"/>
      <c r="AL622" s="2290"/>
      <c r="AM622" s="2288"/>
      <c r="AN622" s="2305">
        <v>15</v>
      </c>
      <c r="AO622" s="2873">
        <f>J622</f>
        <v>15</v>
      </c>
      <c r="AP622" s="2288"/>
      <c r="AQ622" s="2288"/>
      <c r="AR622" s="2288"/>
      <c r="AS622" s="2288"/>
      <c r="AT622" s="2280"/>
      <c r="AU622" s="2332" t="s">
        <v>25</v>
      </c>
      <c r="AV622" s="2291"/>
      <c r="AW622" s="2291"/>
      <c r="AX622" s="2291"/>
      <c r="AY622" s="2291"/>
      <c r="AZ622" s="134">
        <v>1991</v>
      </c>
      <c r="BA622" s="2514">
        <v>1991</v>
      </c>
      <c r="BB622" s="2291"/>
      <c r="BC622" s="2291"/>
      <c r="BD622" s="2291"/>
      <c r="BE622" s="2291"/>
      <c r="CE622" s="2277"/>
      <c r="CF622" s="2277"/>
      <c r="CG622" s="2277"/>
      <c r="CH622" s="2277"/>
      <c r="CT622" s="2277"/>
      <c r="CU622" s="2277"/>
      <c r="CV622" s="2277"/>
      <c r="CW622" s="2277"/>
      <c r="DB622" s="2301">
        <f>(DD622)/(DE622)</f>
        <v>1.3891185390100806</v>
      </c>
      <c r="DC622" s="2331" t="str">
        <f>CONCATENATE(G622," ",J622," Year EUL")</f>
        <v>Cooking BUS 15 Year EUL</v>
      </c>
      <c r="DD622" s="2302">
        <f>(INDEX('Avoided Cost Benefits'!$C$4:$C$857,MATCH(DC622,'Avoided Cost Benefits'!$A$4:$A$857,0)))*F622</f>
        <v>2610.4153007730724</v>
      </c>
      <c r="DE622" s="2303">
        <f>K622/(1.0595^(2020-2019))</f>
        <v>1879.1882963662104</v>
      </c>
    </row>
    <row r="623" spans="2:112" s="2278" customFormat="1" x14ac:dyDescent="0.25">
      <c r="C623" s="2356" t="s">
        <v>3460</v>
      </c>
      <c r="D623" s="1558" t="s">
        <v>34</v>
      </c>
      <c r="E623" s="1501" t="s">
        <v>3432</v>
      </c>
      <c r="F623" s="1252">
        <f>ROUND(F634*G634,2)</f>
        <v>4197</v>
      </c>
      <c r="G623" s="1482" t="s">
        <v>209</v>
      </c>
      <c r="H623" s="1483">
        <f>VLOOKUP(G623,'CP FACTORS'!$A$26:$B$38,2,FALSE)</f>
        <v>1.998949E-4</v>
      </c>
      <c r="I623" s="2347">
        <f>F623*H623</f>
        <v>0.83895889530000001</v>
      </c>
      <c r="J623" s="2348">
        <v>15</v>
      </c>
      <c r="K623" s="1503">
        <v>1991</v>
      </c>
      <c r="L623" s="1569" t="s">
        <v>388</v>
      </c>
      <c r="M623" s="2312"/>
      <c r="N623" s="2312"/>
      <c r="O623" s="2312"/>
      <c r="P623" s="2312"/>
      <c r="Q623" s="2312"/>
      <c r="R623" s="2312"/>
      <c r="S623" s="2312"/>
      <c r="T623" s="2312"/>
      <c r="U623" s="2312"/>
      <c r="V623" s="2332" t="str">
        <f>V622</f>
        <v>kWh Annual Savings</v>
      </c>
      <c r="W623" s="2294"/>
      <c r="X623" s="2294"/>
      <c r="Y623" s="2294"/>
      <c r="Z623" s="2288"/>
      <c r="AA623" s="2333">
        <v>4486</v>
      </c>
      <c r="AB623" s="2116">
        <v>4197</v>
      </c>
      <c r="AC623" s="2288"/>
      <c r="AD623" s="2288"/>
      <c r="AE623" s="2288"/>
      <c r="AF623" s="2288"/>
      <c r="AG623" s="2288"/>
      <c r="AH623" s="2289"/>
      <c r="AI623" s="2332" t="s">
        <v>24</v>
      </c>
      <c r="AJ623" s="2290"/>
      <c r="AK623" s="2290"/>
      <c r="AL623" s="2290"/>
      <c r="AM623" s="2288"/>
      <c r="AN623" s="2305">
        <v>15</v>
      </c>
      <c r="AO623" s="2873">
        <f>J623</f>
        <v>15</v>
      </c>
      <c r="AP623" s="2288"/>
      <c r="AQ623" s="2288"/>
      <c r="AR623" s="2288"/>
      <c r="AS623" s="2288"/>
      <c r="AT623" s="2280"/>
      <c r="AU623" s="2332" t="s">
        <v>25</v>
      </c>
      <c r="AV623" s="2291"/>
      <c r="AW623" s="2291"/>
      <c r="AX623" s="2291"/>
      <c r="AY623" s="2291"/>
      <c r="AZ623" s="134">
        <v>1991</v>
      </c>
      <c r="BA623" s="2514">
        <v>1991</v>
      </c>
      <c r="BB623" s="2291"/>
      <c r="BC623" s="2291"/>
      <c r="BD623" s="2291"/>
      <c r="BE623" s="2291"/>
      <c r="CE623" s="2277"/>
      <c r="CF623" s="2277"/>
      <c r="CG623" s="2277"/>
      <c r="CH623" s="2277"/>
      <c r="CT623" s="2277"/>
      <c r="CU623" s="2277"/>
      <c r="CV623" s="2277"/>
      <c r="CW623" s="2277"/>
      <c r="DB623" s="2301">
        <f>(DD623)/(DE623)</f>
        <v>1.3891185390100806</v>
      </c>
      <c r="DC623" s="2331" t="str">
        <f>CONCATENATE(G623," ",J623," Year EUL")</f>
        <v>Cooking BUS 15 Year EUL</v>
      </c>
      <c r="DD623" s="2302">
        <f>(INDEX('Avoided Cost Benefits'!$C$4:$C$857,MATCH(DC623,'Avoided Cost Benefits'!$A$4:$A$857,0)))*F623</f>
        <v>2610.4153007730724</v>
      </c>
      <c r="DE623" s="2303">
        <f>K623/(1.0595^(2020-2019))</f>
        <v>1879.1882963662104</v>
      </c>
    </row>
    <row r="624" spans="2:112" outlineLevel="1" x14ac:dyDescent="0.25">
      <c r="E624" s="1473"/>
      <c r="F624" s="1473"/>
      <c r="G624" s="1473"/>
      <c r="H624" s="1491"/>
      <c r="I624" s="1473"/>
      <c r="J624" s="1473"/>
    </row>
    <row r="625" spans="2:112" outlineLevel="1" x14ac:dyDescent="0.25">
      <c r="D625" s="1473" t="s">
        <v>70</v>
      </c>
      <c r="E625" s="198"/>
      <c r="F625" s="1473"/>
      <c r="G625" s="1473"/>
      <c r="H625" s="1491"/>
      <c r="I625" s="1473"/>
      <c r="J625" s="1473"/>
      <c r="K625" s="198"/>
    </row>
    <row r="626" spans="2:112" outlineLevel="1" x14ac:dyDescent="0.25">
      <c r="D626" s="1492"/>
      <c r="E626" s="198"/>
      <c r="F626" s="198"/>
      <c r="G626" s="1515"/>
      <c r="H626" s="1516"/>
    </row>
    <row r="627" spans="2:112" outlineLevel="1" x14ac:dyDescent="0.25">
      <c r="D627" s="1492"/>
      <c r="G627" s="1515"/>
      <c r="H627" s="1516"/>
      <c r="P627" s="4104"/>
      <c r="Q627" s="4104"/>
    </row>
    <row r="628" spans="2:112" outlineLevel="1" x14ac:dyDescent="0.25">
      <c r="D628" s="1492"/>
      <c r="G628" s="1470"/>
      <c r="H628" s="1493"/>
      <c r="M628" s="1473"/>
      <c r="P628" s="4104"/>
      <c r="Q628" s="4104"/>
    </row>
    <row r="629" spans="2:112" outlineLevel="1" x14ac:dyDescent="0.25">
      <c r="D629" s="1492"/>
      <c r="G629" s="1470"/>
      <c r="H629" s="1493"/>
      <c r="M629" s="1473"/>
      <c r="P629" s="4104"/>
      <c r="Q629" s="4104"/>
    </row>
    <row r="630" spans="2:112" outlineLevel="1" x14ac:dyDescent="0.25">
      <c r="D630" s="1492"/>
      <c r="G630" s="1470"/>
      <c r="H630" s="1493"/>
      <c r="M630" s="1473"/>
    </row>
    <row r="631" spans="2:112" outlineLevel="1" x14ac:dyDescent="0.25">
      <c r="D631" s="1492"/>
      <c r="G631" s="1470"/>
      <c r="H631" s="1493"/>
    </row>
    <row r="632" spans="2:112" s="77" customFormat="1" ht="30" outlineLevel="1" x14ac:dyDescent="0.25">
      <c r="C632" s="198"/>
      <c r="D632" s="1406" t="s">
        <v>17</v>
      </c>
      <c r="E632" s="1406" t="s">
        <v>119</v>
      </c>
      <c r="F632" s="110" t="s">
        <v>3466</v>
      </c>
      <c r="G632" s="2338" t="s">
        <v>273</v>
      </c>
      <c r="H632" s="1493"/>
      <c r="I632" s="2312"/>
      <c r="L632" s="463"/>
      <c r="M632" s="463"/>
      <c r="N632" s="463"/>
      <c r="O632" s="463"/>
      <c r="P632" s="463"/>
      <c r="Q632" s="463"/>
      <c r="R632" s="463"/>
      <c r="S632" s="463"/>
      <c r="T632" s="463"/>
      <c r="U632" s="463"/>
      <c r="DB632" s="97"/>
    </row>
    <row r="633" spans="2:112" s="2278" customFormat="1" outlineLevel="1" x14ac:dyDescent="0.25">
      <c r="C633" s="2313"/>
      <c r="D633" s="2314" t="str">
        <f>C622</f>
        <v>805405_2020_07_</v>
      </c>
      <c r="E633" s="2314" t="str">
        <f>E622</f>
        <v>Kitchen Demand Ventilation Controls, Retrofit</v>
      </c>
      <c r="F633" s="2349">
        <v>4197</v>
      </c>
      <c r="G633" s="1556">
        <v>1</v>
      </c>
      <c r="H633" s="1493"/>
      <c r="I633" s="2312"/>
      <c r="L633" s="2312"/>
      <c r="M633" s="2312"/>
      <c r="N633" s="2312"/>
      <c r="O633" s="2312"/>
      <c r="P633" s="2312"/>
      <c r="Q633" s="2312"/>
      <c r="R633" s="2312"/>
      <c r="S633" s="2312"/>
      <c r="T633" s="2312"/>
      <c r="U633" s="2312"/>
      <c r="CE633" s="2277"/>
      <c r="CF633" s="2277"/>
      <c r="CG633" s="2277"/>
      <c r="CH633" s="2277"/>
      <c r="CT633" s="2277"/>
      <c r="CU633" s="2277"/>
      <c r="CV633" s="2277"/>
      <c r="CW633" s="2277"/>
      <c r="DB633" s="2279"/>
    </row>
    <row r="634" spans="2:112" s="2278" customFormat="1" outlineLevel="1" x14ac:dyDescent="0.25">
      <c r="C634" s="2313"/>
      <c r="D634" s="2314" t="str">
        <f>C623</f>
        <v>805410_2020_07_</v>
      </c>
      <c r="E634" s="2314" t="str">
        <f>E623</f>
        <v>Kitchen Demand Ventilation Controls, New</v>
      </c>
      <c r="F634" s="2349">
        <v>4197</v>
      </c>
      <c r="G634" s="1556">
        <v>1</v>
      </c>
      <c r="H634" s="1493"/>
      <c r="I634" s="2312"/>
      <c r="L634" s="2312"/>
      <c r="M634" s="2312"/>
      <c r="N634" s="2312"/>
      <c r="O634" s="2312"/>
      <c r="P634" s="2312"/>
      <c r="Q634" s="2312"/>
      <c r="R634" s="2312"/>
      <c r="S634" s="2312"/>
      <c r="T634" s="2312"/>
      <c r="U634" s="2312"/>
      <c r="CE634" s="2277"/>
      <c r="CF634" s="2277"/>
      <c r="CG634" s="2277"/>
      <c r="CH634" s="2277"/>
      <c r="CT634" s="2277"/>
      <c r="CU634" s="2277"/>
      <c r="CV634" s="2277"/>
      <c r="CW634" s="2277"/>
      <c r="DB634" s="2279"/>
    </row>
    <row r="637" spans="2:112" s="46" customFormat="1" x14ac:dyDescent="0.25">
      <c r="B637" s="4089" t="s">
        <v>440</v>
      </c>
      <c r="C637" s="4090"/>
      <c r="D637" s="4090"/>
      <c r="E637" s="4090"/>
      <c r="F637" s="4090"/>
      <c r="G637" s="4090"/>
      <c r="H637" s="4090"/>
      <c r="I637" s="4091"/>
      <c r="J637" s="4091"/>
      <c r="K637" s="4091"/>
      <c r="L637" s="4091"/>
      <c r="M637" s="3354"/>
      <c r="N637" s="3354"/>
      <c r="O637" s="3355"/>
      <c r="V637" s="47" t="str">
        <f>B637</f>
        <v>Pre-Rinse Spray Valve</v>
      </c>
      <c r="W637" s="48"/>
      <c r="X637" s="48"/>
      <c r="Y637" s="48"/>
      <c r="Z637" s="48"/>
      <c r="AA637" s="48"/>
      <c r="AB637" s="48"/>
      <c r="AC637" s="48"/>
      <c r="AD637" s="48"/>
      <c r="AE637" s="48"/>
      <c r="AF637" s="48"/>
      <c r="AG637" s="48"/>
      <c r="AH637" s="48"/>
      <c r="AI637" s="49"/>
      <c r="AJ637" s="26"/>
      <c r="AK637" s="26"/>
      <c r="AL637" s="26"/>
      <c r="AM637" s="26"/>
      <c r="AN637" s="26"/>
      <c r="AO637" s="26"/>
      <c r="AP637" s="26"/>
      <c r="AQ637" s="26"/>
      <c r="AR637" s="26"/>
      <c r="AS637" s="26"/>
      <c r="AT637" s="26"/>
      <c r="AU637" s="26"/>
      <c r="DB637" s="98"/>
      <c r="DG637" s="2282"/>
      <c r="DH637" s="2282"/>
    </row>
    <row r="638" spans="2:112" x14ac:dyDescent="0.25">
      <c r="D638" s="1478"/>
      <c r="E638" s="1473"/>
      <c r="F638" s="1473"/>
      <c r="G638" s="1473"/>
      <c r="H638" s="1479"/>
      <c r="I638" s="1473"/>
      <c r="J638" s="1473"/>
      <c r="K638" s="1473"/>
      <c r="L638" s="1473"/>
      <c r="P638" s="1473"/>
      <c r="Q638" s="1473"/>
      <c r="R638" s="1473"/>
      <c r="S638" s="1473"/>
      <c r="T638" s="1473"/>
      <c r="U638" s="1473"/>
      <c r="V638"/>
      <c r="W638"/>
      <c r="X638"/>
      <c r="Y638"/>
      <c r="Z638"/>
      <c r="AA638"/>
      <c r="AB638"/>
      <c r="AC638"/>
      <c r="AD638"/>
      <c r="AE638"/>
      <c r="AF638"/>
      <c r="AG638"/>
      <c r="AH638"/>
      <c r="AI638"/>
      <c r="AJ638" s="44"/>
      <c r="AK638" s="44"/>
      <c r="AL638" s="44"/>
      <c r="AM638" s="44"/>
      <c r="AN638" s="44"/>
      <c r="AO638" s="44"/>
      <c r="AP638" s="44"/>
      <c r="AQ638" s="44"/>
      <c r="AR638" s="44"/>
      <c r="AS638" s="44"/>
      <c r="AT638" s="44"/>
      <c r="AU638" s="44"/>
    </row>
    <row r="639" spans="2:112" s="50" customFormat="1" ht="30" x14ac:dyDescent="0.25">
      <c r="B639" s="51"/>
      <c r="C639" s="52" t="s">
        <v>17</v>
      </c>
      <c r="D639" s="52" t="s">
        <v>18</v>
      </c>
      <c r="E639" s="1435" t="s">
        <v>19</v>
      </c>
      <c r="F639" s="1435" t="s">
        <v>441</v>
      </c>
      <c r="G639" s="1435" t="s">
        <v>21</v>
      </c>
      <c r="H639" s="53" t="s">
        <v>22</v>
      </c>
      <c r="I639" s="1435" t="s">
        <v>23</v>
      </c>
      <c r="J639" s="1435" t="s">
        <v>24</v>
      </c>
      <c r="K639" s="52" t="s">
        <v>25</v>
      </c>
      <c r="L639" s="52" t="s">
        <v>26</v>
      </c>
      <c r="M639" s="1470"/>
      <c r="N639" s="1470"/>
      <c r="O639" s="1470"/>
      <c r="P639" s="1480"/>
      <c r="Q639" s="1480"/>
      <c r="R639" s="1480"/>
      <c r="S639" s="1480"/>
      <c r="T639" s="1480"/>
      <c r="U639" s="1480"/>
      <c r="V639" s="55" t="s">
        <v>27</v>
      </c>
      <c r="W639" s="56">
        <f>$W$8</f>
        <v>43252</v>
      </c>
      <c r="X639" s="56">
        <f>$X$8</f>
        <v>43465</v>
      </c>
      <c r="Y639" s="56">
        <f>$Y$8</f>
        <v>43800</v>
      </c>
      <c r="Z639" s="56">
        <f>$Z$8</f>
        <v>43862</v>
      </c>
      <c r="AA639" s="56">
        <f>$AA$8</f>
        <v>44013</v>
      </c>
      <c r="AB639" s="56">
        <v>44166</v>
      </c>
      <c r="AC639" s="56" t="str">
        <f>$AC$8</f>
        <v>-</v>
      </c>
      <c r="AD639" s="56" t="str">
        <f>$AD$8</f>
        <v>-</v>
      </c>
      <c r="AE639" s="56" t="str">
        <f>$AE$8</f>
        <v>-</v>
      </c>
      <c r="AF639" s="56" t="str">
        <f>$AF$8</f>
        <v>-</v>
      </c>
      <c r="AG639" s="56" t="str">
        <f>$AG$8</f>
        <v>-</v>
      </c>
      <c r="AH639"/>
      <c r="AI639" s="55" t="s">
        <v>27</v>
      </c>
      <c r="AJ639" s="56">
        <v>43252</v>
      </c>
      <c r="AK639" s="56">
        <f>$X$8</f>
        <v>43465</v>
      </c>
      <c r="AL639" s="56">
        <f>$Y$8</f>
        <v>43800</v>
      </c>
      <c r="AM639" s="56">
        <f>$Z$8</f>
        <v>43862</v>
      </c>
      <c r="AN639" s="56">
        <f>$AA$8</f>
        <v>44013</v>
      </c>
      <c r="AO639" s="56">
        <f>$AB$8</f>
        <v>44166</v>
      </c>
      <c r="AP639" s="56" t="str">
        <f>$AC$8</f>
        <v>-</v>
      </c>
      <c r="AQ639" s="56" t="str">
        <f>$AD$8</f>
        <v>-</v>
      </c>
      <c r="AR639" s="56" t="str">
        <f>$AE$8</f>
        <v>-</v>
      </c>
      <c r="AS639" s="56" t="str">
        <f>$AF$8</f>
        <v>-</v>
      </c>
      <c r="AT639" s="29"/>
      <c r="AU639" s="55" t="s">
        <v>27</v>
      </c>
      <c r="AV639" s="56">
        <v>43252</v>
      </c>
      <c r="AW639" s="56">
        <f>$X$8</f>
        <v>43465</v>
      </c>
      <c r="AX639" s="56">
        <f>$Y$8</f>
        <v>43800</v>
      </c>
      <c r="AY639" s="56">
        <f>$Z$8</f>
        <v>43862</v>
      </c>
      <c r="AZ639" s="56">
        <f>$AA$8</f>
        <v>44013</v>
      </c>
      <c r="BA639" s="56">
        <v>44166</v>
      </c>
      <c r="BB639" s="56" t="str">
        <f>$AC$8</f>
        <v>-</v>
      </c>
      <c r="BC639" s="56" t="str">
        <f>$AD$8</f>
        <v>-</v>
      </c>
      <c r="BD639" s="56" t="str">
        <f>$AE$8</f>
        <v>-</v>
      </c>
      <c r="BE639" s="56" t="str">
        <f>$AF$8</f>
        <v>-</v>
      </c>
      <c r="DB639" s="57" t="str">
        <f>$DB$8</f>
        <v>TRC (2020)</v>
      </c>
      <c r="DC639" s="93" t="str">
        <f>$DC$8</f>
        <v>Benefit Lookup</v>
      </c>
      <c r="DD639" s="93" t="str">
        <f>$DD$8</f>
        <v>Benefits (2019 $)</v>
      </c>
      <c r="DE639" s="93" t="str">
        <f>$DE$8</f>
        <v>Incremental Cost (2019 $)</v>
      </c>
    </row>
    <row r="640" spans="2:112" x14ac:dyDescent="0.25">
      <c r="C640" s="2356" t="s">
        <v>442</v>
      </c>
      <c r="D640" s="1558" t="s">
        <v>34</v>
      </c>
      <c r="E640" s="1501" t="s">
        <v>440</v>
      </c>
      <c r="F640" s="183">
        <f>ROUND(F650*8.33*1*(K650-L650)*((1/M650)/3413),2)</f>
        <v>5786.53</v>
      </c>
      <c r="G640" s="1482" t="s">
        <v>209</v>
      </c>
      <c r="H640" s="1483">
        <f>VLOOKUP(G640,'CP FACTORS'!$A$26:$B$38,2,FALSE)</f>
        <v>1.998949E-4</v>
      </c>
      <c r="I640" s="1502">
        <f>ROUND(H640*F640,6)</f>
        <v>1.156698</v>
      </c>
      <c r="J640" s="382">
        <v>5</v>
      </c>
      <c r="K640" s="1523">
        <v>92.9</v>
      </c>
      <c r="L640" s="1569" t="s">
        <v>37</v>
      </c>
      <c r="V640" s="2434" t="s">
        <v>20</v>
      </c>
      <c r="W640" s="105">
        <v>5786.527002576564</v>
      </c>
      <c r="X640" s="105">
        <v>5786.527002576564</v>
      </c>
      <c r="Y640" s="105">
        <v>5786.527002576564</v>
      </c>
      <c r="Z640" s="105">
        <v>5786.527002576564</v>
      </c>
      <c r="AA640" s="105">
        <v>5786.527002576564</v>
      </c>
      <c r="AB640" s="2116">
        <v>5786.53</v>
      </c>
      <c r="AC640" s="2510"/>
      <c r="AD640" s="2510"/>
      <c r="AE640" s="2510"/>
      <c r="AF640" s="2510"/>
      <c r="AG640" s="2510"/>
      <c r="AH640" s="2511"/>
      <c r="AI640" s="2434" t="s">
        <v>24</v>
      </c>
      <c r="AJ640" s="87">
        <v>5</v>
      </c>
      <c r="AK640" s="87">
        <v>5</v>
      </c>
      <c r="AL640" s="87">
        <v>5</v>
      </c>
      <c r="AM640" s="87">
        <v>5</v>
      </c>
      <c r="AN640" s="87">
        <v>5</v>
      </c>
      <c r="AO640" s="2512">
        <f>J640</f>
        <v>5</v>
      </c>
      <c r="AP640" s="2510"/>
      <c r="AQ640" s="2510"/>
      <c r="AR640" s="2510"/>
      <c r="AS640" s="2510"/>
      <c r="AT640" s="2280"/>
      <c r="AU640" s="2434" t="s">
        <v>25</v>
      </c>
      <c r="AV640" s="2513">
        <v>92.9</v>
      </c>
      <c r="AW640" s="2513">
        <v>92.9</v>
      </c>
      <c r="AX640" s="2513">
        <v>92.9</v>
      </c>
      <c r="AY640" s="2513">
        <v>92.9</v>
      </c>
      <c r="AZ640" s="2513">
        <v>92.9</v>
      </c>
      <c r="BA640" s="2514">
        <v>92.9</v>
      </c>
      <c r="BB640" s="2510"/>
      <c r="BC640" s="63"/>
      <c r="BD640" s="63"/>
      <c r="BE640" s="63"/>
      <c r="DB640" s="107">
        <f>(DD640)/(DE640)</f>
        <v>13.620824362026044</v>
      </c>
      <c r="DC640" s="68" t="str">
        <f>CONCATENATE(G640," ",J640," Year EUL")</f>
        <v>Cooking BUS 5 Year EUL</v>
      </c>
      <c r="DD640" s="108">
        <f>(INDEX('Avoided Cost Benefits'!$C$4:$C$857,MATCH(DC640,'Avoided Cost Benefits'!$A$4:$A$857,0)))*F640</f>
        <v>1194.3129619936003</v>
      </c>
      <c r="DE640" s="109">
        <f>K640/(1.0595^(2020-2019))</f>
        <v>87.682869277961302</v>
      </c>
    </row>
    <row r="641" spans="2:112" outlineLevel="1" x14ac:dyDescent="0.25">
      <c r="E641" s="1473"/>
      <c r="F641" s="1473"/>
      <c r="G641" s="1473"/>
      <c r="H641" s="1491"/>
      <c r="I641" s="1473"/>
      <c r="J641" s="1473"/>
      <c r="K641" s="1473"/>
      <c r="V641" s="2280"/>
      <c r="W641" s="2280"/>
      <c r="X641" s="2280"/>
      <c r="Y641" s="2280"/>
      <c r="Z641" s="2280"/>
      <c r="AA641" s="2280"/>
      <c r="AB641" s="2280"/>
      <c r="AC641" s="2280"/>
      <c r="AD641" s="2280"/>
      <c r="AE641" s="2280"/>
      <c r="AF641" s="2280"/>
      <c r="AG641" s="2280"/>
      <c r="AH641" s="2280"/>
      <c r="AI641" s="2280"/>
      <c r="AJ641" s="2280"/>
      <c r="AK641" s="2280"/>
      <c r="AL641" s="2280"/>
      <c r="AM641" s="2280"/>
      <c r="AN641" s="2280"/>
      <c r="AO641" s="2280"/>
      <c r="AP641" s="2280"/>
      <c r="AQ641" s="2280"/>
      <c r="AR641" s="2280"/>
      <c r="AS641" s="2280"/>
      <c r="AT641" s="2280"/>
      <c r="AU641" s="2280"/>
      <c r="AV641" s="2280"/>
      <c r="AW641" s="2280"/>
      <c r="AX641" s="2280"/>
      <c r="AY641" s="2280"/>
      <c r="AZ641" s="2280"/>
      <c r="BA641" s="2280"/>
      <c r="BB641" s="2280"/>
    </row>
    <row r="642" spans="2:112" outlineLevel="1" x14ac:dyDescent="0.25">
      <c r="D642" s="1473" t="s">
        <v>70</v>
      </c>
      <c r="E642" s="198"/>
      <c r="F642" s="1473"/>
      <c r="G642" s="1473"/>
      <c r="H642" s="1491"/>
      <c r="I642" s="1473"/>
      <c r="J642" s="1473"/>
      <c r="K642" s="198"/>
      <c r="V642" s="2280"/>
      <c r="W642" s="2280"/>
      <c r="X642" s="2280"/>
      <c r="Y642" s="2280"/>
      <c r="Z642" s="2280"/>
      <c r="AA642" s="2280"/>
      <c r="AB642" s="2280"/>
      <c r="AC642" s="2280"/>
      <c r="AD642" s="2280"/>
      <c r="AE642" s="2280"/>
      <c r="AF642" s="2280"/>
      <c r="AG642" s="2280"/>
      <c r="AH642" s="2280"/>
      <c r="AI642" s="2280"/>
      <c r="AJ642" s="2280"/>
      <c r="AK642" s="2280"/>
      <c r="AL642" s="2280"/>
      <c r="AM642" s="2280"/>
      <c r="AN642" s="2280"/>
      <c r="AO642" s="2280"/>
      <c r="AP642" s="2280"/>
      <c r="AQ642" s="2280"/>
      <c r="AR642" s="2280"/>
      <c r="AS642" s="2280"/>
      <c r="AT642" s="2280"/>
      <c r="AU642" s="2280"/>
      <c r="AV642" s="2280"/>
      <c r="AW642" s="2280"/>
      <c r="AX642" s="2280"/>
      <c r="AY642" s="2280"/>
      <c r="AZ642" s="2280"/>
      <c r="BA642" s="2280"/>
      <c r="BB642" s="2280"/>
    </row>
    <row r="643" spans="2:112" outlineLevel="1" x14ac:dyDescent="0.25">
      <c r="D643" s="1492"/>
      <c r="E643" s="198"/>
      <c r="F643" s="198"/>
      <c r="G643" s="1515"/>
      <c r="H643" s="1516"/>
      <c r="V643" s="2280"/>
      <c r="W643" s="2280"/>
      <c r="X643" s="2280"/>
      <c r="Y643" s="2280"/>
      <c r="Z643" s="2280"/>
      <c r="AA643" s="2280"/>
      <c r="AB643" s="2280"/>
      <c r="AC643" s="2280"/>
      <c r="AD643" s="2280"/>
      <c r="AE643" s="2280"/>
      <c r="AF643" s="2280"/>
      <c r="AG643" s="2280"/>
      <c r="AH643" s="2280"/>
      <c r="AI643" s="2280"/>
      <c r="AJ643" s="2280"/>
      <c r="AK643" s="2280"/>
      <c r="AL643" s="2280"/>
      <c r="AM643" s="2280"/>
      <c r="AN643" s="2280"/>
      <c r="AO643" s="2280"/>
      <c r="AP643" s="2280"/>
      <c r="AQ643" s="2280"/>
      <c r="AR643" s="2280"/>
      <c r="AS643" s="2280"/>
      <c r="AT643" s="2280"/>
      <c r="AU643" s="2280"/>
      <c r="AV643" s="2280"/>
      <c r="AW643" s="2280"/>
      <c r="AX643" s="2280"/>
      <c r="AY643" s="2280"/>
      <c r="AZ643" s="2280"/>
      <c r="BA643" s="2280"/>
      <c r="BB643" s="2280"/>
    </row>
    <row r="644" spans="2:112" outlineLevel="1" x14ac:dyDescent="0.25">
      <c r="D644" s="1492"/>
      <c r="G644" s="1515"/>
      <c r="H644" s="1516"/>
      <c r="P644" s="4104"/>
      <c r="Q644" s="4104"/>
      <c r="V644" s="2280"/>
      <c r="W644" s="2280"/>
      <c r="X644" s="2280"/>
      <c r="Y644" s="2280"/>
      <c r="Z644" s="2280"/>
      <c r="AA644" s="2280"/>
      <c r="AB644" s="2280"/>
      <c r="AC644" s="2280"/>
      <c r="AD644" s="2280"/>
      <c r="AE644" s="2280"/>
      <c r="AF644" s="2280"/>
      <c r="AG644" s="2280"/>
      <c r="AH644" s="2280"/>
      <c r="AI644" s="2280"/>
      <c r="AJ644" s="2280"/>
      <c r="AK644" s="2280"/>
      <c r="AL644" s="2280"/>
      <c r="AM644" s="2280"/>
      <c r="AN644" s="2280"/>
      <c r="AO644" s="2280"/>
      <c r="AP644" s="2280"/>
      <c r="AQ644" s="2280"/>
      <c r="AR644" s="2280"/>
      <c r="AS644" s="2280"/>
      <c r="AT644" s="2280"/>
      <c r="AU644" s="2280"/>
      <c r="AV644" s="2280"/>
      <c r="AW644" s="2280"/>
      <c r="AX644" s="2280"/>
      <c r="AY644" s="2280"/>
      <c r="AZ644" s="2280"/>
      <c r="BA644" s="2280"/>
      <c r="BB644" s="2280"/>
    </row>
    <row r="645" spans="2:112" outlineLevel="1" x14ac:dyDescent="0.25">
      <c r="D645" s="1492"/>
      <c r="G645" s="1470"/>
      <c r="H645" s="1493"/>
      <c r="M645" s="1473"/>
      <c r="P645" s="4104"/>
      <c r="Q645" s="4104"/>
    </row>
    <row r="646" spans="2:112" outlineLevel="1" x14ac:dyDescent="0.25">
      <c r="D646" s="1492"/>
      <c r="G646" s="1470"/>
      <c r="H646" s="1493"/>
      <c r="M646" s="1473"/>
      <c r="P646" s="4104"/>
      <c r="Q646" s="4104"/>
    </row>
    <row r="647" spans="2:112" outlineLevel="1" x14ac:dyDescent="0.25">
      <c r="D647" s="1492"/>
      <c r="G647" s="1470"/>
      <c r="H647" s="1493"/>
      <c r="M647" s="1473"/>
    </row>
    <row r="648" spans="2:112" outlineLevel="1" x14ac:dyDescent="0.25">
      <c r="D648" s="1492"/>
      <c r="G648" s="1470"/>
      <c r="H648" s="1493"/>
    </row>
    <row r="649" spans="2:112" s="77" customFormat="1" outlineLevel="1" x14ac:dyDescent="0.25">
      <c r="C649" s="198"/>
      <c r="D649" s="1406" t="s">
        <v>17</v>
      </c>
      <c r="E649" s="1406" t="s">
        <v>119</v>
      </c>
      <c r="F649" s="110" t="s">
        <v>443</v>
      </c>
      <c r="G649" s="1406" t="s">
        <v>444</v>
      </c>
      <c r="H649" s="1406" t="s">
        <v>445</v>
      </c>
      <c r="I649" s="1406" t="s">
        <v>446</v>
      </c>
      <c r="J649" s="1406" t="s">
        <v>447</v>
      </c>
      <c r="K649" s="1406" t="s">
        <v>175</v>
      </c>
      <c r="L649" s="1406" t="s">
        <v>448</v>
      </c>
      <c r="M649" s="1406" t="s">
        <v>449</v>
      </c>
      <c r="N649" s="463"/>
      <c r="O649" s="463"/>
      <c r="P649" s="463"/>
      <c r="Q649" s="463"/>
      <c r="R649" s="463"/>
      <c r="S649" s="463"/>
      <c r="T649" s="463"/>
      <c r="U649" s="463"/>
      <c r="DB649" s="97"/>
    </row>
    <row r="650" spans="2:112" outlineLevel="1" x14ac:dyDescent="0.25">
      <c r="D650" s="1494" t="str">
        <f>C640</f>
        <v>805450_2019_12_</v>
      </c>
      <c r="E650" s="1494" t="str">
        <f>E640</f>
        <v>Pre-Rinse Spray Valve</v>
      </c>
      <c r="F650" s="1544">
        <f>(G650-H650)*60*I650*J650</f>
        <v>32853.599999999991</v>
      </c>
      <c r="G650" s="1555">
        <v>2.23</v>
      </c>
      <c r="H650" s="1610">
        <v>1.06</v>
      </c>
      <c r="I650" s="1610">
        <v>1.5</v>
      </c>
      <c r="J650" s="1610">
        <v>312</v>
      </c>
      <c r="K650" s="1610">
        <f>L650+70</f>
        <v>127.9</v>
      </c>
      <c r="L650" s="1610">
        <v>57.9</v>
      </c>
      <c r="M650" s="1571">
        <v>0.97</v>
      </c>
    </row>
    <row r="653" spans="2:112" s="46" customFormat="1" x14ac:dyDescent="0.25">
      <c r="B653" s="4089" t="s">
        <v>450</v>
      </c>
      <c r="C653" s="4090"/>
      <c r="D653" s="4090"/>
      <c r="E653" s="4090"/>
      <c r="F653" s="4090"/>
      <c r="G653" s="4090"/>
      <c r="H653" s="4090"/>
      <c r="I653" s="4091"/>
      <c r="J653" s="4091"/>
      <c r="K653" s="4091"/>
      <c r="L653" s="4091"/>
      <c r="M653" s="3354"/>
      <c r="N653" s="3354"/>
      <c r="O653" s="3355"/>
      <c r="V653" s="47" t="str">
        <f>B653</f>
        <v>Low Flow Faucet Aerator</v>
      </c>
      <c r="W653" s="48"/>
      <c r="X653" s="48"/>
      <c r="Y653" s="48"/>
      <c r="Z653" s="48"/>
      <c r="AA653" s="48"/>
      <c r="AB653" s="48"/>
      <c r="AC653" s="48"/>
      <c r="AD653" s="48"/>
      <c r="AE653" s="48"/>
      <c r="AF653" s="48"/>
      <c r="AG653" s="48"/>
      <c r="AH653" s="48"/>
      <c r="AI653" s="49"/>
      <c r="AJ653" s="26"/>
      <c r="AK653" s="26"/>
      <c r="AL653" s="26"/>
      <c r="AM653" s="26"/>
      <c r="AN653" s="26"/>
      <c r="AO653" s="26"/>
      <c r="AP653" s="26"/>
      <c r="AQ653" s="26"/>
      <c r="AR653" s="26"/>
      <c r="AS653" s="26"/>
      <c r="AT653" s="26"/>
      <c r="AU653" s="26"/>
      <c r="DB653" s="98"/>
      <c r="DG653" s="2282"/>
      <c r="DH653" s="2282"/>
    </row>
    <row r="654" spans="2:112" x14ac:dyDescent="0.25">
      <c r="D654" s="1478"/>
      <c r="E654" s="1473"/>
      <c r="F654" s="1473"/>
      <c r="G654" s="1473"/>
      <c r="H654" s="1479"/>
      <c r="I654" s="1473"/>
      <c r="J654" s="1473"/>
      <c r="K654" s="1473"/>
      <c r="L654" s="1473"/>
      <c r="P654" s="1473"/>
      <c r="Q654" s="1473"/>
      <c r="R654" s="1473"/>
      <c r="S654" s="1473"/>
      <c r="T654" s="1473"/>
      <c r="U654" s="1473"/>
      <c r="V654"/>
      <c r="W654"/>
      <c r="X654"/>
      <c r="Y654"/>
      <c r="Z654"/>
      <c r="AA654"/>
      <c r="AB654"/>
      <c r="AC654"/>
      <c r="AD654"/>
      <c r="AE654"/>
      <c r="AF654"/>
      <c r="AG654"/>
      <c r="AH654"/>
      <c r="AI654"/>
      <c r="AJ654" s="44"/>
      <c r="AK654" s="44"/>
      <c r="AL654" s="44"/>
      <c r="AM654" s="44"/>
      <c r="AN654" s="44"/>
      <c r="AO654" s="44"/>
      <c r="AP654" s="44"/>
      <c r="AQ654" s="44"/>
      <c r="AR654" s="44"/>
      <c r="AS654" s="44"/>
      <c r="AT654" s="44"/>
      <c r="AU654" s="44"/>
    </row>
    <row r="655" spans="2:112" s="50" customFormat="1" ht="30" x14ac:dyDescent="0.25">
      <c r="B655" s="51"/>
      <c r="C655" s="52" t="s">
        <v>17</v>
      </c>
      <c r="D655" s="52" t="s">
        <v>18</v>
      </c>
      <c r="E655" s="1435" t="s">
        <v>19</v>
      </c>
      <c r="F655" s="1435" t="s">
        <v>441</v>
      </c>
      <c r="G655" s="1435" t="s">
        <v>21</v>
      </c>
      <c r="H655" s="53" t="s">
        <v>22</v>
      </c>
      <c r="I655" s="1435" t="s">
        <v>23</v>
      </c>
      <c r="J655" s="1435" t="s">
        <v>24</v>
      </c>
      <c r="K655" s="52" t="s">
        <v>25</v>
      </c>
      <c r="L655" s="52" t="s">
        <v>26</v>
      </c>
      <c r="M655" s="1470"/>
      <c r="N655" s="1470"/>
      <c r="O655" s="1470"/>
      <c r="P655" s="1480"/>
      <c r="Q655" s="1480"/>
      <c r="R655" s="1480"/>
      <c r="S655" s="1480"/>
      <c r="T655" s="1480"/>
      <c r="U655" s="1480"/>
      <c r="V655" s="55" t="s">
        <v>27</v>
      </c>
      <c r="W655" s="56">
        <f>$W$8</f>
        <v>43252</v>
      </c>
      <c r="X655" s="56">
        <f>$X$8</f>
        <v>43465</v>
      </c>
      <c r="Y655" s="56">
        <f>$Y$8</f>
        <v>43800</v>
      </c>
      <c r="Z655" s="56">
        <f>$Z$8</f>
        <v>43862</v>
      </c>
      <c r="AA655" s="56">
        <f>$AA$8</f>
        <v>44013</v>
      </c>
      <c r="AB655" s="56">
        <v>44166</v>
      </c>
      <c r="AC655" s="56" t="str">
        <f>$AC$8</f>
        <v>-</v>
      </c>
      <c r="AD655" s="56" t="str">
        <f>$AD$8</f>
        <v>-</v>
      </c>
      <c r="AE655" s="56" t="str">
        <f>$AE$8</f>
        <v>-</v>
      </c>
      <c r="AF655" s="56" t="str">
        <f>$AF$8</f>
        <v>-</v>
      </c>
      <c r="AG655" s="56" t="str">
        <f>$AG$8</f>
        <v>-</v>
      </c>
      <c r="AH655"/>
      <c r="AI655" s="55" t="s">
        <v>27</v>
      </c>
      <c r="AJ655" s="56">
        <v>43252</v>
      </c>
      <c r="AK655" s="56">
        <f>$X$8</f>
        <v>43465</v>
      </c>
      <c r="AL655" s="56">
        <f>$Y$8</f>
        <v>43800</v>
      </c>
      <c r="AM655" s="56">
        <f>$Z$8</f>
        <v>43862</v>
      </c>
      <c r="AN655" s="56">
        <f>$AA$8</f>
        <v>44013</v>
      </c>
      <c r="AO655" s="56">
        <f>$AB$8</f>
        <v>44166</v>
      </c>
      <c r="AP655" s="56" t="str">
        <f>$AC$8</f>
        <v>-</v>
      </c>
      <c r="AQ655" s="56" t="str">
        <f>$AD$8</f>
        <v>-</v>
      </c>
      <c r="AR655" s="56" t="str">
        <f>$AE$8</f>
        <v>-</v>
      </c>
      <c r="AS655" s="56" t="str">
        <f>$AF$8</f>
        <v>-</v>
      </c>
      <c r="AT655" s="29"/>
      <c r="AU655" s="55" t="s">
        <v>27</v>
      </c>
      <c r="AV655" s="56">
        <v>43252</v>
      </c>
      <c r="AW655" s="56">
        <f>$X$8</f>
        <v>43465</v>
      </c>
      <c r="AX655" s="56">
        <f>$Y$8</f>
        <v>43800</v>
      </c>
      <c r="AY655" s="56">
        <f>$Z$8</f>
        <v>43862</v>
      </c>
      <c r="AZ655" s="56">
        <f>$AA$8</f>
        <v>44013</v>
      </c>
      <c r="BA655" s="56">
        <v>44166</v>
      </c>
      <c r="BB655" s="56" t="str">
        <f>$AC$8</f>
        <v>-</v>
      </c>
      <c r="BC655" s="56" t="str">
        <f>$AD$8</f>
        <v>-</v>
      </c>
      <c r="BD655" s="56" t="str">
        <f>$AE$8</f>
        <v>-</v>
      </c>
      <c r="BE655" s="56" t="str">
        <f>$AF$8</f>
        <v>-</v>
      </c>
      <c r="DB655" s="57" t="str">
        <f>$DB$8</f>
        <v>TRC (2020)</v>
      </c>
      <c r="DC655" s="93" t="str">
        <f>$DC$8</f>
        <v>Benefit Lookup</v>
      </c>
      <c r="DD655" s="93" t="str">
        <f>$DD$8</f>
        <v>Benefits (2019 $)</v>
      </c>
      <c r="DE655" s="93" t="str">
        <f>$DE$8</f>
        <v>Incremental Cost (2019 $)</v>
      </c>
    </row>
    <row r="656" spans="2:112" x14ac:dyDescent="0.25">
      <c r="C656" s="2356" t="s">
        <v>451</v>
      </c>
      <c r="D656" s="1558" t="s">
        <v>34</v>
      </c>
      <c r="E656" s="1501" t="s">
        <v>450</v>
      </c>
      <c r="F656" s="183">
        <f>ROUND(F666*((G666-H666)/G666)*I666*J666*N666,2)</f>
        <v>86.63</v>
      </c>
      <c r="G656" s="1482" t="s">
        <v>161</v>
      </c>
      <c r="H656" s="1483">
        <f>VLOOKUP(G656,'CP FACTORS'!$A$26:$B$38,2,FALSE)</f>
        <v>1.811545E-4</v>
      </c>
      <c r="I656" s="1502">
        <f>ROUND(H656*F656,6)</f>
        <v>1.5692999999999999E-2</v>
      </c>
      <c r="J656" s="382">
        <v>9</v>
      </c>
      <c r="K656" s="1523">
        <v>8</v>
      </c>
      <c r="L656" s="1569" t="s">
        <v>37</v>
      </c>
      <c r="V656" s="60" t="s">
        <v>20</v>
      </c>
      <c r="W656" s="70">
        <v>86.631740914419709</v>
      </c>
      <c r="X656" s="70">
        <v>86.631740914419709</v>
      </c>
      <c r="Y656" s="70">
        <v>86.631740914419709</v>
      </c>
      <c r="Z656" s="163">
        <v>86.631740914419709</v>
      </c>
      <c r="AA656" s="163">
        <v>86.631740914419709</v>
      </c>
      <c r="AB656" s="2116">
        <v>86.63</v>
      </c>
      <c r="AC656" s="2510"/>
      <c r="AD656" s="2510"/>
      <c r="AE656" s="2510"/>
      <c r="AF656" s="2510"/>
      <c r="AG656" s="2510"/>
      <c r="AH656" s="2511"/>
      <c r="AI656" s="2434" t="s">
        <v>24</v>
      </c>
      <c r="AJ656" s="87">
        <v>9</v>
      </c>
      <c r="AK656" s="87">
        <v>9</v>
      </c>
      <c r="AL656" s="87">
        <v>9</v>
      </c>
      <c r="AM656" s="87">
        <v>9</v>
      </c>
      <c r="AN656" s="87">
        <v>9</v>
      </c>
      <c r="AO656" s="2512">
        <f>J656</f>
        <v>9</v>
      </c>
      <c r="AP656" s="2510"/>
      <c r="AQ656" s="2510"/>
      <c r="AR656" s="2510"/>
      <c r="AS656" s="2510"/>
      <c r="AT656" s="2280"/>
      <c r="AU656" s="2434" t="s">
        <v>25</v>
      </c>
      <c r="AV656" s="2513">
        <v>8</v>
      </c>
      <c r="AW656" s="2513">
        <v>8</v>
      </c>
      <c r="AX656" s="2513">
        <v>8</v>
      </c>
      <c r="AY656" s="2513">
        <v>8</v>
      </c>
      <c r="AZ656" s="2513">
        <v>8</v>
      </c>
      <c r="BA656" s="2514">
        <v>8</v>
      </c>
      <c r="BB656" s="2510"/>
      <c r="BC656" s="2510"/>
      <c r="BD656" s="2510"/>
      <c r="BE656" s="2510"/>
      <c r="BF656" s="2280"/>
      <c r="BG656" s="2280"/>
      <c r="BH656" s="2280"/>
      <c r="BI656" s="2280"/>
      <c r="BJ656" s="2280"/>
      <c r="BK656" s="2280"/>
      <c r="DB656" s="107">
        <f>(DD656)/(DE656)</f>
        <v>4.4408857087525675</v>
      </c>
      <c r="DC656" s="68" t="str">
        <f>CONCATENATE(G656," ",J656," Year EUL")</f>
        <v>Water Heating BUS 9 Year EUL</v>
      </c>
      <c r="DD656" s="108">
        <f>(INDEX('Avoided Cost Benefits'!$C$4:$C$857,MATCH(DC656,'Avoided Cost Benefits'!$A$4:$A$857,0)))*F656</f>
        <v>33.531935507334154</v>
      </c>
      <c r="DE656" s="109">
        <f>K656/(1.0595^(2020-2019))</f>
        <v>7.5507314771118441</v>
      </c>
    </row>
    <row r="657" spans="2:112" outlineLevel="1" x14ac:dyDescent="0.25">
      <c r="E657" s="1473"/>
      <c r="F657" s="1473"/>
      <c r="G657" s="1473"/>
      <c r="H657" s="1491"/>
      <c r="I657" s="1473"/>
      <c r="J657" s="1473"/>
      <c r="K657" s="1473"/>
    </row>
    <row r="658" spans="2:112" outlineLevel="1" x14ac:dyDescent="0.25">
      <c r="D658" s="1473" t="s">
        <v>70</v>
      </c>
      <c r="E658" s="198"/>
      <c r="F658" s="1473"/>
      <c r="G658" s="1473"/>
      <c r="H658" s="1491"/>
      <c r="I658" s="1473"/>
      <c r="J658" s="1473"/>
      <c r="K658" s="198"/>
    </row>
    <row r="659" spans="2:112" outlineLevel="1" x14ac:dyDescent="0.25">
      <c r="D659" s="1492"/>
      <c r="E659" s="198"/>
      <c r="F659" s="198"/>
      <c r="G659" s="1515"/>
      <c r="H659" s="1516"/>
    </row>
    <row r="660" spans="2:112" outlineLevel="1" x14ac:dyDescent="0.25">
      <c r="D660" s="1492"/>
      <c r="G660" s="1515"/>
      <c r="H660" s="1516"/>
      <c r="P660" s="4104"/>
      <c r="Q660" s="4104"/>
    </row>
    <row r="661" spans="2:112" outlineLevel="1" x14ac:dyDescent="0.25">
      <c r="D661" s="1492"/>
      <c r="G661" s="1470"/>
      <c r="H661" s="1493"/>
      <c r="M661" s="1473"/>
      <c r="P661" s="4104"/>
      <c r="Q661" s="4104"/>
    </row>
    <row r="662" spans="2:112" outlineLevel="1" x14ac:dyDescent="0.25">
      <c r="D662" s="1492"/>
      <c r="G662" s="1470"/>
      <c r="H662" s="1493"/>
      <c r="M662" s="1473"/>
      <c r="P662" s="4104"/>
      <c r="Q662" s="4104"/>
    </row>
    <row r="663" spans="2:112" outlineLevel="1" x14ac:dyDescent="0.25">
      <c r="D663" s="1492"/>
      <c r="G663" s="1470"/>
      <c r="H663" s="1493"/>
      <c r="M663" s="1473"/>
    </row>
    <row r="664" spans="2:112" outlineLevel="1" x14ac:dyDescent="0.25">
      <c r="D664" s="1492"/>
      <c r="G664" s="1470"/>
      <c r="H664" s="1493"/>
    </row>
    <row r="665" spans="2:112" s="77" customFormat="1" outlineLevel="1" x14ac:dyDescent="0.25">
      <c r="C665" s="198"/>
      <c r="D665" s="1406" t="s">
        <v>17</v>
      </c>
      <c r="E665" s="1406" t="s">
        <v>119</v>
      </c>
      <c r="F665" s="110" t="s">
        <v>336</v>
      </c>
      <c r="G665" s="1406" t="s">
        <v>452</v>
      </c>
      <c r="H665" s="1406" t="s">
        <v>453</v>
      </c>
      <c r="I665" s="1406" t="s">
        <v>454</v>
      </c>
      <c r="J665" s="1406" t="s">
        <v>455</v>
      </c>
      <c r="K665" s="1406" t="s">
        <v>456</v>
      </c>
      <c r="L665" s="1406" t="s">
        <v>457</v>
      </c>
      <c r="M665" s="1406" t="s">
        <v>458</v>
      </c>
      <c r="N665" s="1406" t="s">
        <v>75</v>
      </c>
      <c r="O665" s="463"/>
      <c r="P665" s="463"/>
      <c r="Q665" s="463"/>
      <c r="R665" s="463"/>
      <c r="S665" s="463"/>
      <c r="T665" s="463"/>
      <c r="U665" s="463"/>
      <c r="DB665" s="97"/>
    </row>
    <row r="666" spans="2:112" outlineLevel="1" x14ac:dyDescent="0.25">
      <c r="D666" s="1494" t="str">
        <f>C656</f>
        <v>805500_2019_12_</v>
      </c>
      <c r="E666" s="1494" t="str">
        <f>E656</f>
        <v>Low Flow Faucet Aerator</v>
      </c>
      <c r="F666" s="1611">
        <v>1</v>
      </c>
      <c r="G666" s="1555">
        <v>1.2</v>
      </c>
      <c r="H666" s="1610">
        <v>0.94</v>
      </c>
      <c r="I666" s="121">
        <v>5000</v>
      </c>
      <c r="J666" s="1612">
        <f>(8.33*1*(K666-L666))/(M666*3412)</f>
        <v>7.9967760844079736E-2</v>
      </c>
      <c r="K666" s="1607">
        <v>90</v>
      </c>
      <c r="L666" s="1596">
        <v>57.9</v>
      </c>
      <c r="M666" s="119">
        <v>0.98</v>
      </c>
      <c r="N666" s="1607">
        <v>1</v>
      </c>
    </row>
    <row r="669" spans="2:112" s="46" customFormat="1" x14ac:dyDescent="0.25">
      <c r="B669" s="4089" t="s">
        <v>459</v>
      </c>
      <c r="C669" s="4090"/>
      <c r="D669" s="4090"/>
      <c r="E669" s="4090"/>
      <c r="F669" s="4090"/>
      <c r="G669" s="4090"/>
      <c r="H669" s="4090"/>
      <c r="I669" s="4091"/>
      <c r="J669" s="4091"/>
      <c r="K669" s="4091"/>
      <c r="L669" s="4091"/>
      <c r="M669" s="3354"/>
      <c r="N669" s="3354"/>
      <c r="O669" s="3355"/>
      <c r="V669" s="47" t="str">
        <f>B669</f>
        <v>Circulator Pump</v>
      </c>
      <c r="W669" s="48"/>
      <c r="X669" s="48"/>
      <c r="Y669" s="48"/>
      <c r="Z669" s="48"/>
      <c r="AA669" s="48"/>
      <c r="AB669" s="48"/>
      <c r="AC669" s="48"/>
      <c r="AD669" s="48"/>
      <c r="AE669" s="48"/>
      <c r="AF669" s="48"/>
      <c r="AG669" s="48"/>
      <c r="AH669" s="48"/>
      <c r="AI669" s="49"/>
      <c r="AJ669" s="26"/>
      <c r="AK669" s="26"/>
      <c r="AL669" s="26"/>
      <c r="AM669" s="26"/>
      <c r="AN669" s="26"/>
      <c r="AO669" s="26"/>
      <c r="AP669" s="26"/>
      <c r="AQ669" s="26"/>
      <c r="AR669" s="26"/>
      <c r="AS669" s="26"/>
      <c r="AT669" s="26"/>
      <c r="AU669" s="26"/>
      <c r="DB669" s="98"/>
      <c r="DG669" s="2282"/>
      <c r="DH669" s="2282"/>
    </row>
    <row r="670" spans="2:112" x14ac:dyDescent="0.25">
      <c r="D670" s="1478"/>
      <c r="E670" s="1473"/>
      <c r="F670" s="1473"/>
      <c r="G670" s="1473"/>
      <c r="H670" s="1479"/>
      <c r="I670" s="1473"/>
      <c r="J670" s="1473"/>
      <c r="K670" s="1473"/>
      <c r="L670" s="1473"/>
      <c r="P670" s="1473"/>
      <c r="Q670" s="1473"/>
      <c r="R670" s="1473"/>
      <c r="S670" s="1473"/>
      <c r="T670" s="1473"/>
      <c r="U670" s="1473"/>
      <c r="V670"/>
      <c r="W670"/>
      <c r="X670"/>
      <c r="Y670"/>
      <c r="Z670"/>
      <c r="AA670"/>
      <c r="AB670"/>
      <c r="AC670"/>
      <c r="AD670"/>
      <c r="AE670"/>
      <c r="AF670"/>
      <c r="AG670"/>
      <c r="AH670"/>
      <c r="AI670"/>
      <c r="AJ670" s="44"/>
      <c r="AK670" s="44"/>
      <c r="AL670" s="44"/>
      <c r="AM670" s="44"/>
      <c r="AN670" s="44"/>
      <c r="AO670" s="44"/>
      <c r="AP670" s="44"/>
      <c r="AQ670" s="44"/>
      <c r="AR670" s="44"/>
      <c r="AS670" s="44"/>
      <c r="AT670" s="44"/>
      <c r="AU670" s="44"/>
    </row>
    <row r="671" spans="2:112" s="50" customFormat="1" ht="30" x14ac:dyDescent="0.25">
      <c r="B671" s="51"/>
      <c r="C671" s="52" t="s">
        <v>17</v>
      </c>
      <c r="D671" s="52" t="s">
        <v>18</v>
      </c>
      <c r="E671" s="1435" t="s">
        <v>19</v>
      </c>
      <c r="F671" s="1435" t="s">
        <v>441</v>
      </c>
      <c r="G671" s="1435" t="s">
        <v>21</v>
      </c>
      <c r="H671" s="53" t="s">
        <v>22</v>
      </c>
      <c r="I671" s="1435" t="s">
        <v>23</v>
      </c>
      <c r="J671" s="1435" t="s">
        <v>24</v>
      </c>
      <c r="K671" s="52" t="s">
        <v>25</v>
      </c>
      <c r="L671" s="52" t="s">
        <v>26</v>
      </c>
      <c r="M671" s="1470"/>
      <c r="N671" s="1470"/>
      <c r="O671" s="1470"/>
      <c r="P671" s="1480"/>
      <c r="Q671" s="1480"/>
      <c r="R671" s="1480"/>
      <c r="S671" s="1480"/>
      <c r="T671" s="1480"/>
      <c r="U671" s="1480"/>
      <c r="V671" s="55" t="s">
        <v>27</v>
      </c>
      <c r="W671" s="56">
        <f>$W$8</f>
        <v>43252</v>
      </c>
      <c r="X671" s="56">
        <f>$X$8</f>
        <v>43465</v>
      </c>
      <c r="Y671" s="56">
        <f>$Y$8</f>
        <v>43800</v>
      </c>
      <c r="Z671" s="56">
        <f>$Z$8</f>
        <v>43862</v>
      </c>
      <c r="AA671" s="56">
        <f>$AA$8</f>
        <v>44013</v>
      </c>
      <c r="AB671" s="56">
        <v>44166</v>
      </c>
      <c r="AC671" s="56" t="str">
        <f>$AC$8</f>
        <v>-</v>
      </c>
      <c r="AD671" s="56" t="str">
        <f>$AD$8</f>
        <v>-</v>
      </c>
      <c r="AE671" s="56" t="str">
        <f>$AE$8</f>
        <v>-</v>
      </c>
      <c r="AF671" s="56" t="str">
        <f>$AF$8</f>
        <v>-</v>
      </c>
      <c r="AG671" s="56" t="str">
        <f>$AG$8</f>
        <v>-</v>
      </c>
      <c r="AH671"/>
      <c r="AI671" s="55" t="s">
        <v>27</v>
      </c>
      <c r="AJ671" s="56">
        <v>43252</v>
      </c>
      <c r="AK671" s="56">
        <f>$X$8</f>
        <v>43465</v>
      </c>
      <c r="AL671" s="56">
        <f>$Y$8</f>
        <v>43800</v>
      </c>
      <c r="AM671" s="56">
        <f>$Z$8</f>
        <v>43862</v>
      </c>
      <c r="AN671" s="56">
        <f>$AA$8</f>
        <v>44013</v>
      </c>
      <c r="AO671" s="56">
        <f>$AB$8</f>
        <v>44166</v>
      </c>
      <c r="AP671" s="56" t="str">
        <f>$AC$8</f>
        <v>-</v>
      </c>
      <c r="AQ671" s="56" t="str">
        <f>$AD$8</f>
        <v>-</v>
      </c>
      <c r="AR671" s="56" t="str">
        <f>$AE$8</f>
        <v>-</v>
      </c>
      <c r="AS671" s="56" t="str">
        <f>$AF$8</f>
        <v>-</v>
      </c>
      <c r="AT671" s="29"/>
      <c r="AU671" s="55" t="s">
        <v>27</v>
      </c>
      <c r="AV671" s="56">
        <v>43252</v>
      </c>
      <c r="AW671" s="56">
        <f>$X$8</f>
        <v>43465</v>
      </c>
      <c r="AX671" s="56">
        <f>$Y$8</f>
        <v>43800</v>
      </c>
      <c r="AY671" s="56">
        <f>$Z$8</f>
        <v>43862</v>
      </c>
      <c r="AZ671" s="56">
        <f>$AA$8</f>
        <v>44013</v>
      </c>
      <c r="BA671" s="56">
        <v>44166</v>
      </c>
      <c r="BB671" s="56" t="str">
        <f>$AC$8</f>
        <v>-</v>
      </c>
      <c r="BC671" s="56" t="str">
        <f>$AD$8</f>
        <v>-</v>
      </c>
      <c r="BD671" s="56" t="str">
        <f>$AE$8</f>
        <v>-</v>
      </c>
      <c r="BE671" s="56" t="str">
        <f>$AF$8</f>
        <v>-</v>
      </c>
      <c r="DB671" s="57" t="str">
        <f>$DB$8</f>
        <v>TRC (2020)</v>
      </c>
      <c r="DC671" s="93" t="str">
        <f>$DC$8</f>
        <v>Benefit Lookup</v>
      </c>
      <c r="DD671" s="93" t="str">
        <f>$DD$8</f>
        <v>Benefits (2019 $)</v>
      </c>
      <c r="DE671" s="93" t="str">
        <f>$DE$8</f>
        <v>Incremental Cost (2019 $)</v>
      </c>
    </row>
    <row r="672" spans="2:112" x14ac:dyDescent="0.25">
      <c r="C672" s="2356" t="s">
        <v>460</v>
      </c>
      <c r="D672" s="1558" t="s">
        <v>34</v>
      </c>
      <c r="E672" s="1501" t="s">
        <v>459</v>
      </c>
      <c r="F672" s="183">
        <f>ROUND(651,2)</f>
        <v>651</v>
      </c>
      <c r="G672" s="1482" t="s">
        <v>61</v>
      </c>
      <c r="H672" s="1483">
        <f>VLOOKUP(G672,'CP FACTORS'!$A$26:$B$38,2,FALSE)</f>
        <v>1.379439E-4</v>
      </c>
      <c r="I672" s="1502">
        <f>ROUND(H672*F672,6)</f>
        <v>8.9801000000000006E-2</v>
      </c>
      <c r="J672" s="382">
        <v>15</v>
      </c>
      <c r="K672" s="1503">
        <v>1200</v>
      </c>
      <c r="L672" s="1569" t="s">
        <v>37</v>
      </c>
      <c r="V672" s="60" t="s">
        <v>20</v>
      </c>
      <c r="W672" s="70">
        <v>651</v>
      </c>
      <c r="X672" s="70">
        <v>651</v>
      </c>
      <c r="Y672" s="70">
        <v>651</v>
      </c>
      <c r="Z672" s="163">
        <v>651</v>
      </c>
      <c r="AA672" s="163">
        <v>651</v>
      </c>
      <c r="AB672" s="2116">
        <v>651</v>
      </c>
      <c r="AC672" s="2510"/>
      <c r="AD672" s="2510"/>
      <c r="AE672" s="2510"/>
      <c r="AF672" s="2510"/>
      <c r="AG672" s="2510"/>
      <c r="AH672" s="2511"/>
      <c r="AI672" s="2434" t="s">
        <v>24</v>
      </c>
      <c r="AJ672" s="87">
        <v>15</v>
      </c>
      <c r="AK672" s="87">
        <v>15</v>
      </c>
      <c r="AL672" s="87">
        <v>15</v>
      </c>
      <c r="AM672" s="87">
        <v>15</v>
      </c>
      <c r="AN672" s="87">
        <v>15</v>
      </c>
      <c r="AO672" s="2512">
        <f>J672</f>
        <v>15</v>
      </c>
      <c r="AP672" s="2510"/>
      <c r="AQ672" s="2510"/>
      <c r="AR672" s="2510"/>
      <c r="AS672" s="2510"/>
      <c r="AT672" s="2280"/>
      <c r="AU672" s="2434" t="s">
        <v>25</v>
      </c>
      <c r="AV672" s="2513">
        <v>1200</v>
      </c>
      <c r="AW672" s="2513">
        <v>1200</v>
      </c>
      <c r="AX672" s="2513">
        <v>1200</v>
      </c>
      <c r="AY672" s="2513">
        <v>1200</v>
      </c>
      <c r="AZ672" s="2513">
        <v>1200</v>
      </c>
      <c r="BA672" s="2514">
        <v>1200</v>
      </c>
      <c r="BB672" s="2510"/>
      <c r="BC672" s="2510"/>
      <c r="BD672" s="2510"/>
      <c r="BE672" s="2510"/>
      <c r="DB672" s="107">
        <f>(DD672)/(DE672)</f>
        <v>0.30815053912703838</v>
      </c>
      <c r="DC672" s="68" t="str">
        <f>CONCATENATE(G672," ",J672," Year EUL")</f>
        <v>Miscellaneous BUS 15 Year EUL</v>
      </c>
      <c r="DD672" s="108">
        <f>(INDEX('Avoided Cost Benefits'!$C$4:$C$857,MATCH(DC672,'Avoided Cost Benefits'!$A$4:$A$857,0)))*F672</f>
        <v>349.01429632132704</v>
      </c>
      <c r="DE672" s="109">
        <f>K672/(1.0595^(2020-2019))</f>
        <v>1132.6097215667767</v>
      </c>
    </row>
    <row r="673" spans="2:112" outlineLevel="1" x14ac:dyDescent="0.25">
      <c r="E673" s="1473"/>
      <c r="F673" s="1473"/>
      <c r="G673" s="1473"/>
      <c r="H673" s="1491"/>
      <c r="I673" s="1473"/>
      <c r="J673" s="1473"/>
      <c r="Z673" s="2280"/>
      <c r="AA673" s="2280"/>
      <c r="AB673" s="2280"/>
      <c r="AC673" s="2280"/>
      <c r="AD673" s="2280"/>
      <c r="AE673" s="2280"/>
      <c r="AF673" s="2280"/>
      <c r="AG673" s="2280"/>
      <c r="AH673" s="2280"/>
      <c r="AI673" s="2280"/>
      <c r="AJ673" s="2280"/>
      <c r="AK673" s="2280"/>
      <c r="AL673" s="2280"/>
      <c r="AM673" s="2280"/>
      <c r="AN673" s="2280"/>
      <c r="AO673" s="2280"/>
      <c r="AP673" s="2280"/>
      <c r="AQ673" s="2280"/>
      <c r="AR673" s="2280"/>
      <c r="AS673" s="2280"/>
      <c r="AT673" s="2280"/>
      <c r="AU673" s="2280"/>
      <c r="AV673" s="2280"/>
      <c r="AW673" s="2280"/>
      <c r="AX673" s="2280"/>
      <c r="AY673" s="2280"/>
      <c r="AZ673" s="2280"/>
      <c r="BA673" s="2280"/>
      <c r="BB673" s="2280"/>
      <c r="BC673" s="2280"/>
      <c r="BD673" s="2280"/>
      <c r="BE673" s="2280"/>
    </row>
    <row r="674" spans="2:112" outlineLevel="1" x14ac:dyDescent="0.25">
      <c r="D674" s="1473" t="s">
        <v>70</v>
      </c>
      <c r="E674" s="198"/>
      <c r="F674" s="1473"/>
      <c r="G674" s="1473"/>
      <c r="H674" s="1491"/>
      <c r="I674" s="1473"/>
      <c r="J674" s="1473"/>
      <c r="K674" s="198"/>
      <c r="Z674" s="2280"/>
      <c r="AA674" s="2280"/>
      <c r="AB674" s="2280"/>
      <c r="AC674" s="2280"/>
      <c r="AD674" s="2280"/>
      <c r="AE674" s="2280"/>
      <c r="AF674" s="2280"/>
      <c r="AG674" s="2280"/>
      <c r="AH674" s="2280"/>
      <c r="AI674" s="2280"/>
      <c r="AJ674" s="2280"/>
      <c r="AK674" s="2280"/>
      <c r="AL674" s="2280"/>
      <c r="AM674" s="2280"/>
      <c r="AN674" s="2280"/>
      <c r="AO674" s="2280"/>
      <c r="AP674" s="2280"/>
      <c r="AQ674" s="2280"/>
      <c r="AR674" s="2280"/>
      <c r="AS674" s="2280"/>
      <c r="AT674" s="2280"/>
      <c r="AU674" s="2280"/>
      <c r="AV674" s="2280"/>
      <c r="AW674" s="2280"/>
      <c r="AX674" s="2280"/>
      <c r="AY674" s="2280"/>
      <c r="AZ674" s="2280"/>
      <c r="BA674" s="2280"/>
      <c r="BB674" s="2280"/>
      <c r="BC674" s="2280"/>
      <c r="BD674" s="2280"/>
      <c r="BE674" s="2280"/>
    </row>
    <row r="675" spans="2:112" outlineLevel="1" x14ac:dyDescent="0.25">
      <c r="D675" s="1492"/>
      <c r="E675" s="198"/>
      <c r="F675" s="198"/>
      <c r="G675" s="1515"/>
      <c r="H675" s="1516"/>
      <c r="Z675" s="2280"/>
      <c r="AA675" s="2280"/>
      <c r="AB675" s="2280"/>
      <c r="AC675" s="2280"/>
      <c r="AD675" s="2280"/>
      <c r="AE675" s="2280"/>
      <c r="AF675" s="2280"/>
      <c r="AG675" s="2280"/>
      <c r="AH675" s="2280"/>
      <c r="AI675" s="2280"/>
      <c r="AJ675" s="2280"/>
      <c r="AK675" s="2280"/>
      <c r="AL675" s="2280"/>
      <c r="AM675" s="2280"/>
      <c r="AN675" s="2280"/>
      <c r="AO675" s="2280"/>
      <c r="AP675" s="2280"/>
      <c r="AQ675" s="2280"/>
      <c r="AR675" s="2280"/>
      <c r="AS675" s="2280"/>
      <c r="AT675" s="2280"/>
      <c r="AU675" s="2280"/>
      <c r="AV675" s="2280"/>
      <c r="AW675" s="2280"/>
      <c r="AX675" s="2280"/>
      <c r="AY675" s="2280"/>
      <c r="AZ675" s="2280"/>
      <c r="BA675" s="2280"/>
      <c r="BB675" s="2280"/>
      <c r="BC675" s="2280"/>
      <c r="BD675" s="2280"/>
      <c r="BE675" s="2280"/>
    </row>
    <row r="676" spans="2:112" outlineLevel="1" x14ac:dyDescent="0.25">
      <c r="D676" s="1492"/>
      <c r="G676" s="1515"/>
      <c r="H676" s="1516"/>
      <c r="P676" s="4104"/>
      <c r="Q676" s="4104"/>
      <c r="Z676" s="2280"/>
      <c r="AA676" s="2280"/>
      <c r="AB676" s="2280"/>
      <c r="AC676" s="2280"/>
      <c r="AD676" s="2280"/>
      <c r="AE676" s="2280"/>
      <c r="AF676" s="2280"/>
      <c r="AG676" s="2280"/>
      <c r="AH676" s="2280"/>
      <c r="AI676" s="2280"/>
      <c r="AJ676" s="2280"/>
      <c r="AK676" s="2280"/>
      <c r="AL676" s="2280"/>
      <c r="AM676" s="2280"/>
      <c r="AN676" s="2280"/>
      <c r="AO676" s="2280"/>
      <c r="AP676" s="2280"/>
      <c r="AQ676" s="2280"/>
      <c r="AR676" s="2280"/>
      <c r="AS676" s="2280"/>
      <c r="AT676" s="2280"/>
      <c r="AU676" s="2280"/>
      <c r="AV676" s="2280"/>
      <c r="AW676" s="2280"/>
      <c r="AX676" s="2280"/>
      <c r="AY676" s="2280"/>
      <c r="AZ676" s="2280"/>
      <c r="BA676" s="2280"/>
      <c r="BB676" s="2280"/>
      <c r="BC676" s="2280"/>
      <c r="BD676" s="2280"/>
      <c r="BE676" s="2280"/>
    </row>
    <row r="677" spans="2:112" outlineLevel="1" x14ac:dyDescent="0.25">
      <c r="D677" s="1492"/>
      <c r="G677" s="1470"/>
      <c r="H677" s="1493"/>
      <c r="M677" s="1473"/>
      <c r="P677" s="4104"/>
      <c r="Q677" s="4104"/>
    </row>
    <row r="678" spans="2:112" outlineLevel="1" x14ac:dyDescent="0.25">
      <c r="D678" s="1492"/>
      <c r="G678" s="1470"/>
      <c r="H678" s="1493"/>
      <c r="M678" s="1473"/>
      <c r="P678" s="4104"/>
      <c r="Q678" s="4104"/>
    </row>
    <row r="679" spans="2:112" outlineLevel="1" x14ac:dyDescent="0.25">
      <c r="D679" s="1492"/>
      <c r="G679" s="1470"/>
      <c r="H679" s="1493"/>
      <c r="M679" s="1473"/>
    </row>
    <row r="680" spans="2:112" outlineLevel="1" x14ac:dyDescent="0.25">
      <c r="D680" s="1492"/>
      <c r="G680" s="1470"/>
      <c r="H680" s="1493"/>
    </row>
    <row r="681" spans="2:112" s="77" customFormat="1" outlineLevel="1" x14ac:dyDescent="0.25">
      <c r="C681" s="198"/>
      <c r="D681" s="1406" t="s">
        <v>17</v>
      </c>
      <c r="E681" s="1406" t="s">
        <v>119</v>
      </c>
      <c r="F681" s="463"/>
      <c r="G681" s="463"/>
      <c r="H681" s="463"/>
      <c r="I681" s="463"/>
      <c r="J681" s="463"/>
      <c r="K681" s="463"/>
      <c r="L681" s="463"/>
      <c r="M681" s="463"/>
      <c r="N681" s="463"/>
      <c r="O681" s="463"/>
      <c r="P681" s="463"/>
      <c r="Q681" s="463"/>
      <c r="R681" s="463"/>
      <c r="S681" s="463"/>
      <c r="T681" s="463"/>
      <c r="U681" s="463"/>
      <c r="DB681" s="97"/>
    </row>
    <row r="682" spans="2:112" outlineLevel="1" x14ac:dyDescent="0.25">
      <c r="D682" s="1494" t="str">
        <f>C672</f>
        <v>805550_2019_12_</v>
      </c>
      <c r="E682" s="1494" t="str">
        <f>E672</f>
        <v>Circulator Pump</v>
      </c>
      <c r="G682" s="1470"/>
      <c r="H682" s="1470"/>
    </row>
    <row r="685" spans="2:112" s="46" customFormat="1" x14ac:dyDescent="0.25">
      <c r="B685" s="4089" t="s">
        <v>461</v>
      </c>
      <c r="C685" s="4090"/>
      <c r="D685" s="4090"/>
      <c r="E685" s="4090"/>
      <c r="F685" s="4090"/>
      <c r="G685" s="4090"/>
      <c r="H685" s="4090"/>
      <c r="I685" s="4091"/>
      <c r="J685" s="4091"/>
      <c r="K685" s="4091"/>
      <c r="L685" s="4091"/>
      <c r="M685" s="3354"/>
      <c r="N685" s="3354"/>
      <c r="O685" s="3355"/>
      <c r="V685" s="47" t="str">
        <f>B685</f>
        <v>Small Commercial Programmable Thermostats</v>
      </c>
      <c r="W685" s="48"/>
      <c r="X685" s="48"/>
      <c r="Y685" s="48"/>
      <c r="Z685" s="48"/>
      <c r="AA685" s="48"/>
      <c r="AB685" s="48"/>
      <c r="AC685" s="48"/>
      <c r="AD685" s="48"/>
      <c r="AE685" s="48"/>
      <c r="AF685" s="48"/>
      <c r="AG685" s="48"/>
      <c r="AH685" s="48"/>
      <c r="AI685" s="49"/>
      <c r="AJ685" s="26"/>
      <c r="AK685" s="26"/>
      <c r="AL685" s="26"/>
      <c r="AM685" s="26"/>
      <c r="AN685" s="26"/>
      <c r="AO685" s="26"/>
      <c r="AP685" s="26"/>
      <c r="AQ685" s="26"/>
      <c r="AR685" s="26"/>
      <c r="AS685" s="26"/>
      <c r="AT685" s="26"/>
      <c r="AU685" s="26"/>
      <c r="DB685" s="98"/>
      <c r="DG685" s="2282"/>
      <c r="DH685" s="2282"/>
    </row>
    <row r="686" spans="2:112" x14ac:dyDescent="0.25">
      <c r="D686" s="1478"/>
      <c r="E686" s="1473"/>
      <c r="F686" s="1473"/>
      <c r="G686" s="1473"/>
      <c r="H686" s="1479"/>
      <c r="I686" s="1473"/>
      <c r="J686" s="1473"/>
      <c r="K686" s="1473"/>
      <c r="L686" s="1473"/>
      <c r="P686" s="1473"/>
      <c r="Q686" s="1473"/>
      <c r="R686" s="1473"/>
      <c r="S686" s="1473"/>
      <c r="T686" s="1473"/>
      <c r="U686" s="1473"/>
      <c r="V686"/>
      <c r="W686"/>
      <c r="X686"/>
      <c r="Y686"/>
      <c r="Z686"/>
      <c r="AA686"/>
      <c r="AB686"/>
      <c r="AC686"/>
      <c r="AD686"/>
      <c r="AE686"/>
      <c r="AF686"/>
      <c r="AG686"/>
      <c r="AH686"/>
      <c r="AI686"/>
      <c r="AJ686" s="44"/>
      <c r="AK686" s="44"/>
      <c r="AL686" s="44"/>
      <c r="AM686" s="44"/>
      <c r="AN686" s="44"/>
      <c r="AO686" s="44"/>
      <c r="AP686" s="44"/>
      <c r="AQ686" s="44"/>
      <c r="AR686" s="44"/>
      <c r="AS686" s="44"/>
      <c r="AT686" s="44"/>
      <c r="AU686" s="44"/>
    </row>
    <row r="687" spans="2:112" s="50" customFormat="1" ht="30" x14ac:dyDescent="0.25">
      <c r="B687" s="51"/>
      <c r="C687" s="52" t="s">
        <v>17</v>
      </c>
      <c r="D687" s="52" t="s">
        <v>18</v>
      </c>
      <c r="E687" s="1435" t="s">
        <v>19</v>
      </c>
      <c r="F687" s="1435" t="s">
        <v>462</v>
      </c>
      <c r="G687" s="1435" t="s">
        <v>21</v>
      </c>
      <c r="H687" s="53" t="s">
        <v>22</v>
      </c>
      <c r="I687" s="1435" t="s">
        <v>23</v>
      </c>
      <c r="J687" s="1435" t="s">
        <v>24</v>
      </c>
      <c r="K687" s="52" t="s">
        <v>185</v>
      </c>
      <c r="L687" s="52" t="s">
        <v>26</v>
      </c>
      <c r="M687" s="1470"/>
      <c r="N687" s="1470"/>
      <c r="O687" s="1470"/>
      <c r="P687" s="1480"/>
      <c r="Q687" s="1480"/>
      <c r="R687" s="1480"/>
      <c r="S687" s="1480"/>
      <c r="T687" s="1480"/>
      <c r="U687" s="1480"/>
      <c r="V687" s="55" t="s">
        <v>27</v>
      </c>
      <c r="W687" s="56">
        <f>$W$8</f>
        <v>43252</v>
      </c>
      <c r="X687" s="56">
        <f>$X$8</f>
        <v>43465</v>
      </c>
      <c r="Y687" s="56">
        <f>$Y$8</f>
        <v>43800</v>
      </c>
      <c r="Z687" s="56">
        <f>$Z$8</f>
        <v>43862</v>
      </c>
      <c r="AA687" s="56">
        <f>$AA$8</f>
        <v>44013</v>
      </c>
      <c r="AB687" s="56">
        <v>44166</v>
      </c>
      <c r="AC687" s="56" t="str">
        <f>$AC$8</f>
        <v>-</v>
      </c>
      <c r="AD687" s="56" t="str">
        <f>$AD$8</f>
        <v>-</v>
      </c>
      <c r="AE687" s="56" t="str">
        <f>$AE$8</f>
        <v>-</v>
      </c>
      <c r="AF687" s="56" t="str">
        <f>$AF$8</f>
        <v>-</v>
      </c>
      <c r="AG687" s="56" t="str">
        <f>$AG$8</f>
        <v>-</v>
      </c>
      <c r="AH687"/>
      <c r="AI687" s="55" t="s">
        <v>27</v>
      </c>
      <c r="AJ687" s="56">
        <v>43252</v>
      </c>
      <c r="AK687" s="56">
        <f>$X$8</f>
        <v>43465</v>
      </c>
      <c r="AL687" s="56">
        <f>$Y$8</f>
        <v>43800</v>
      </c>
      <c r="AM687" s="56">
        <f>$Z$8</f>
        <v>43862</v>
      </c>
      <c r="AN687" s="56">
        <f>$AA$8</f>
        <v>44013</v>
      </c>
      <c r="AO687" s="56">
        <f>$AB$8</f>
        <v>44166</v>
      </c>
      <c r="AP687" s="56" t="str">
        <f>$AC$8</f>
        <v>-</v>
      </c>
      <c r="AQ687" s="56" t="str">
        <f>$AD$8</f>
        <v>-</v>
      </c>
      <c r="AR687" s="56" t="str">
        <f>$AE$8</f>
        <v>-</v>
      </c>
      <c r="AS687" s="56" t="str">
        <f>$AF$8</f>
        <v>-</v>
      </c>
      <c r="AT687" s="29"/>
      <c r="AU687" s="55" t="s">
        <v>27</v>
      </c>
      <c r="AV687" s="56">
        <v>43252</v>
      </c>
      <c r="AW687" s="56">
        <f>$X$8</f>
        <v>43465</v>
      </c>
      <c r="AX687" s="56">
        <f>$Y$8</f>
        <v>43800</v>
      </c>
      <c r="AY687" s="56">
        <f>$Z$8</f>
        <v>43862</v>
      </c>
      <c r="AZ687" s="56">
        <f>$AA$8</f>
        <v>44013</v>
      </c>
      <c r="BA687" s="56">
        <v>44166</v>
      </c>
      <c r="BB687" s="56" t="str">
        <f>$AC$8</f>
        <v>-</v>
      </c>
      <c r="BC687" s="56" t="str">
        <f>$AD$8</f>
        <v>-</v>
      </c>
      <c r="BD687" s="56" t="str">
        <f>$AE$8</f>
        <v>-</v>
      </c>
      <c r="BE687" s="56" t="str">
        <f>$AF$8</f>
        <v>-</v>
      </c>
      <c r="DB687" s="57" t="str">
        <f>$DB$8</f>
        <v>TRC (2020)</v>
      </c>
      <c r="DC687" s="93" t="str">
        <f>$DC$8</f>
        <v>Benefit Lookup</v>
      </c>
      <c r="DD687" s="93" t="str">
        <f>$DD$8</f>
        <v>Benefits (2019 $)</v>
      </c>
      <c r="DE687" s="93" t="str">
        <f>$DE$8</f>
        <v>Incremental Cost (2019 $)</v>
      </c>
    </row>
    <row r="688" spans="2:112" x14ac:dyDescent="0.25">
      <c r="C688" s="2356" t="s">
        <v>463</v>
      </c>
      <c r="D688" s="1558" t="s">
        <v>34</v>
      </c>
      <c r="E688" s="1501" t="s">
        <v>461</v>
      </c>
      <c r="F688" s="183">
        <f>ROUND((F698*H698*I698)/G698,2)</f>
        <v>0.03</v>
      </c>
      <c r="G688" s="1482" t="s">
        <v>246</v>
      </c>
      <c r="H688" s="1483">
        <f>VLOOKUP(G688,'CP FACTORS'!$A$26:$B$38,2,FALSE)</f>
        <v>9.1068400000000004E-4</v>
      </c>
      <c r="I688" s="1502">
        <f>ROUND(H688*F688,6)</f>
        <v>2.6999999999999999E-5</v>
      </c>
      <c r="J688" s="382">
        <v>8</v>
      </c>
      <c r="K688" s="1523">
        <v>181</v>
      </c>
      <c r="L688" s="1569" t="s">
        <v>37</v>
      </c>
      <c r="V688" s="60" t="str">
        <f>F687</f>
        <v>kWh Annual Savings (per sqft)</v>
      </c>
      <c r="W688" s="70">
        <v>2.8899999999999999E-2</v>
      </c>
      <c r="X688" s="163">
        <v>2.8899999999999999E-2</v>
      </c>
      <c r="Y688" s="163">
        <v>2.8899999999999999E-2</v>
      </c>
      <c r="Z688" s="163">
        <v>2.8899999999999999E-2</v>
      </c>
      <c r="AA688" s="163">
        <v>2.8899999999999999E-2</v>
      </c>
      <c r="AB688" s="2116">
        <v>0.03</v>
      </c>
      <c r="AC688" s="2510"/>
      <c r="AD688" s="2510"/>
      <c r="AE688" s="2510"/>
      <c r="AF688" s="2510"/>
      <c r="AG688" s="2510"/>
      <c r="AH688" s="2511"/>
      <c r="AI688" s="2434" t="s">
        <v>24</v>
      </c>
      <c r="AJ688" s="87">
        <v>8</v>
      </c>
      <c r="AK688" s="87">
        <v>8</v>
      </c>
      <c r="AL688" s="87">
        <v>8</v>
      </c>
      <c r="AM688" s="87">
        <v>8</v>
      </c>
      <c r="AN688" s="87">
        <v>8</v>
      </c>
      <c r="AO688" s="2512">
        <f>J688</f>
        <v>8</v>
      </c>
      <c r="AP688" s="2510"/>
      <c r="AQ688" s="2510"/>
      <c r="AR688" s="2510"/>
      <c r="AS688" s="2510"/>
      <c r="AT688" s="2280"/>
      <c r="AU688" s="2434" t="s">
        <v>25</v>
      </c>
      <c r="AV688" s="2513">
        <v>181</v>
      </c>
      <c r="AW688" s="2513">
        <v>181</v>
      </c>
      <c r="AX688" s="2513">
        <v>181</v>
      </c>
      <c r="AY688" s="2513">
        <v>181</v>
      </c>
      <c r="AZ688" s="2513">
        <v>181</v>
      </c>
      <c r="BA688" s="2514">
        <v>181</v>
      </c>
      <c r="BB688" s="2510"/>
      <c r="BC688" s="2510"/>
      <c r="BD688" s="2510"/>
      <c r="BE688" s="2510"/>
      <c r="BF688" s="2280"/>
      <c r="BG688" s="2280"/>
      <c r="BH688" s="2280"/>
      <c r="BI688" s="2280"/>
      <c r="BJ688" s="2280"/>
      <c r="BK688" s="2280"/>
      <c r="BL688" s="2280"/>
      <c r="BM688" s="2280"/>
      <c r="BN688" s="2280"/>
      <c r="BO688" s="2280"/>
      <c r="DB688" s="107">
        <f>(DD688)/(DE688)</f>
        <v>1.3267360914294256E-4</v>
      </c>
      <c r="DC688" s="68" t="str">
        <f>CONCATENATE(G688," ",J688," Year EUL")</f>
        <v>Cooling BUS 8 Year EUL</v>
      </c>
      <c r="DD688" s="108">
        <f>(INDEX('Avoided Cost Benefits'!$C$4:$C$857,MATCH(DC688,'Avoided Cost Benefits'!$A$4:$A$857,0)))*F688</f>
        <v>2.2665335776189333E-2</v>
      </c>
      <c r="DE688" s="109">
        <f>K688/(1.0595^(2020-2019))</f>
        <v>170.83529966965548</v>
      </c>
    </row>
    <row r="689" spans="2:112" outlineLevel="1" x14ac:dyDescent="0.25">
      <c r="E689" s="1473"/>
      <c r="F689" s="1473"/>
      <c r="G689" s="1473"/>
      <c r="H689" s="1491"/>
      <c r="I689" s="1473"/>
      <c r="J689" s="1473"/>
      <c r="K689" s="1473"/>
      <c r="X689" s="2280"/>
      <c r="Y689" s="2280"/>
      <c r="Z689" s="2280"/>
      <c r="AA689" s="2280"/>
      <c r="AB689" s="2280"/>
      <c r="AC689" s="2280"/>
      <c r="AD689" s="2280"/>
      <c r="AE689" s="2280"/>
      <c r="AF689" s="2280"/>
      <c r="AG689" s="2280"/>
      <c r="AH689" s="2280"/>
      <c r="AI689" s="2280"/>
      <c r="AJ689" s="2280"/>
      <c r="AK689" s="2280"/>
      <c r="AL689" s="2280"/>
      <c r="AM689" s="2280"/>
      <c r="AN689" s="2280"/>
      <c r="AO689" s="2280"/>
      <c r="AP689" s="2280"/>
      <c r="AQ689" s="2280"/>
      <c r="AR689" s="2280"/>
      <c r="AS689" s="2280"/>
      <c r="AT689" s="2280"/>
      <c r="AU689" s="2280"/>
      <c r="AV689" s="2280"/>
      <c r="AW689" s="2280"/>
      <c r="AX689" s="2280"/>
      <c r="AY689" s="2280"/>
      <c r="AZ689" s="2280"/>
      <c r="BA689" s="2280"/>
      <c r="BB689" s="2280"/>
      <c r="BC689" s="2280"/>
      <c r="BD689" s="2280"/>
      <c r="BE689" s="2280"/>
      <c r="BF689" s="2280"/>
      <c r="BG689" s="2280"/>
      <c r="BH689" s="2280"/>
      <c r="BI689" s="2280"/>
      <c r="BJ689" s="2280"/>
      <c r="BK689" s="2280"/>
      <c r="BL689" s="2280"/>
      <c r="BM689" s="2280"/>
      <c r="BN689" s="2280"/>
      <c r="BO689" s="2280"/>
    </row>
    <row r="690" spans="2:112" outlineLevel="1" x14ac:dyDescent="0.25">
      <c r="D690" s="1473" t="s">
        <v>70</v>
      </c>
      <c r="E690" s="198"/>
      <c r="F690" s="1473"/>
      <c r="G690" s="1473"/>
      <c r="H690" s="1491"/>
      <c r="I690" s="1473"/>
      <c r="J690" s="1473"/>
      <c r="K690" s="198"/>
      <c r="X690" s="2280"/>
      <c r="Y690" s="2280"/>
      <c r="Z690" s="2280"/>
      <c r="AA690" s="2280"/>
      <c r="AB690" s="2280"/>
      <c r="AC690" s="2280"/>
      <c r="AD690" s="2280"/>
      <c r="AE690" s="2280"/>
      <c r="AF690" s="2280"/>
      <c r="AG690" s="2280"/>
      <c r="AH690" s="2280"/>
      <c r="AI690" s="2280"/>
      <c r="AJ690" s="2280"/>
      <c r="AK690" s="2280"/>
      <c r="AL690" s="2280"/>
      <c r="AM690" s="2280"/>
      <c r="AN690" s="2280"/>
      <c r="AO690" s="2280"/>
      <c r="AP690" s="2280"/>
      <c r="AQ690" s="2280"/>
      <c r="AR690" s="2280"/>
      <c r="AS690" s="2280"/>
      <c r="AT690" s="2280"/>
      <c r="AU690" s="2280"/>
      <c r="AV690" s="2280"/>
      <c r="AW690" s="2280"/>
      <c r="AX690" s="2280"/>
      <c r="AY690" s="2280"/>
      <c r="AZ690" s="2280"/>
      <c r="BA690" s="2280"/>
      <c r="BB690" s="2280"/>
      <c r="BC690" s="2280"/>
      <c r="BD690" s="2280"/>
      <c r="BE690" s="2280"/>
      <c r="BF690" s="2280"/>
      <c r="BG690" s="2280"/>
      <c r="BH690" s="2280"/>
      <c r="BI690" s="2280"/>
      <c r="BJ690" s="2280"/>
      <c r="BK690" s="2280"/>
      <c r="BL690" s="2280"/>
      <c r="BM690" s="2280"/>
      <c r="BN690" s="2280"/>
      <c r="BO690" s="2280"/>
    </row>
    <row r="691" spans="2:112" outlineLevel="1" x14ac:dyDescent="0.25">
      <c r="D691" s="1492"/>
      <c r="E691" s="198"/>
      <c r="F691" s="198"/>
      <c r="G691" s="1515"/>
      <c r="H691" s="1516"/>
      <c r="X691" s="2280"/>
      <c r="Y691" s="2280"/>
      <c r="Z691" s="2280"/>
      <c r="AA691" s="2280"/>
      <c r="AB691" s="2280"/>
      <c r="AC691" s="2280"/>
      <c r="AD691" s="2280"/>
      <c r="AE691" s="2280"/>
      <c r="AF691" s="2280"/>
      <c r="AG691" s="2280"/>
      <c r="AH691" s="2280"/>
      <c r="AI691" s="2280"/>
      <c r="AJ691" s="2280"/>
      <c r="AK691" s="2280"/>
      <c r="AL691" s="2280"/>
      <c r="AM691" s="2280"/>
      <c r="AN691" s="2280"/>
      <c r="AO691" s="2280"/>
      <c r="AP691" s="2280"/>
      <c r="AQ691" s="2280"/>
      <c r="AR691" s="2280"/>
      <c r="AS691" s="2280"/>
      <c r="AT691" s="2280"/>
      <c r="AU691" s="2280"/>
      <c r="AV691" s="2280"/>
      <c r="AW691" s="2280"/>
      <c r="AX691" s="2280"/>
      <c r="AY691" s="2280"/>
      <c r="AZ691" s="2280"/>
      <c r="BA691" s="2280"/>
      <c r="BB691" s="2280"/>
      <c r="BC691" s="2280"/>
      <c r="BD691" s="2280"/>
      <c r="BE691" s="2280"/>
      <c r="BF691" s="2280"/>
      <c r="BG691" s="2280"/>
      <c r="BH691" s="2280"/>
      <c r="BI691" s="2280"/>
      <c r="BJ691" s="2280"/>
      <c r="BK691" s="2280"/>
      <c r="BL691" s="2280"/>
      <c r="BM691" s="2280"/>
      <c r="BN691" s="2280"/>
      <c r="BO691" s="2280"/>
    </row>
    <row r="692" spans="2:112" outlineLevel="1" x14ac:dyDescent="0.25">
      <c r="D692" s="1492"/>
      <c r="G692" s="1515"/>
      <c r="H692" s="1516"/>
      <c r="P692" s="4104"/>
      <c r="Q692" s="4104"/>
      <c r="X692" s="2280"/>
      <c r="Y692" s="2280"/>
      <c r="Z692" s="2280"/>
      <c r="AA692" s="2280"/>
      <c r="AB692" s="2280"/>
      <c r="AC692" s="2280"/>
      <c r="AD692" s="2280"/>
      <c r="AE692" s="2280"/>
      <c r="AF692" s="2280"/>
      <c r="AG692" s="2280"/>
      <c r="AH692" s="2280"/>
      <c r="AI692" s="2280"/>
      <c r="AJ692" s="2280"/>
      <c r="AK692" s="2280"/>
      <c r="AL692" s="2280"/>
      <c r="AM692" s="2280"/>
      <c r="AN692" s="2280"/>
      <c r="AO692" s="2280"/>
      <c r="AP692" s="2280"/>
      <c r="AQ692" s="2280"/>
      <c r="AR692" s="2280"/>
      <c r="AS692" s="2280"/>
      <c r="AT692" s="2280"/>
      <c r="AU692" s="2280"/>
      <c r="AV692" s="2280"/>
      <c r="AW692" s="2280"/>
      <c r="AX692" s="2280"/>
      <c r="AY692" s="2280"/>
      <c r="AZ692" s="2280"/>
      <c r="BA692" s="2280"/>
      <c r="BB692" s="2280"/>
      <c r="BC692" s="2280"/>
      <c r="BD692" s="2280"/>
      <c r="BE692" s="2280"/>
      <c r="BF692" s="2280"/>
      <c r="BG692" s="2280"/>
      <c r="BH692" s="2280"/>
      <c r="BI692" s="2280"/>
      <c r="BJ692" s="2280"/>
      <c r="BK692" s="2280"/>
      <c r="BL692" s="2280"/>
      <c r="BM692" s="2280"/>
      <c r="BN692" s="2280"/>
      <c r="BO692" s="2280"/>
    </row>
    <row r="693" spans="2:112" outlineLevel="1" x14ac:dyDescent="0.25">
      <c r="D693" s="1492"/>
      <c r="G693" s="1470"/>
      <c r="H693" s="1493"/>
      <c r="M693" s="1473"/>
      <c r="P693" s="4104"/>
      <c r="Q693" s="4104"/>
    </row>
    <row r="694" spans="2:112" outlineLevel="1" x14ac:dyDescent="0.25">
      <c r="D694" s="1492"/>
      <c r="G694" s="1470"/>
      <c r="H694" s="1493"/>
      <c r="M694" s="1473"/>
      <c r="P694" s="4104"/>
      <c r="Q694" s="4104"/>
    </row>
    <row r="695" spans="2:112" outlineLevel="1" x14ac:dyDescent="0.25">
      <c r="D695" s="1492"/>
      <c r="G695" s="1470"/>
      <c r="H695" s="1493"/>
      <c r="M695" s="1473"/>
    </row>
    <row r="696" spans="2:112" outlineLevel="1" x14ac:dyDescent="0.25">
      <c r="D696" s="1492"/>
      <c r="G696" s="1470"/>
      <c r="H696" s="1493"/>
    </row>
    <row r="697" spans="2:112" s="77" customFormat="1" ht="30" outlineLevel="1" x14ac:dyDescent="0.25">
      <c r="C697" s="198"/>
      <c r="D697" s="1406" t="s">
        <v>17</v>
      </c>
      <c r="E697" s="1406" t="s">
        <v>119</v>
      </c>
      <c r="F697" s="110" t="s">
        <v>464</v>
      </c>
      <c r="G697" s="1406" t="s">
        <v>465</v>
      </c>
      <c r="H697" s="1406" t="s">
        <v>466</v>
      </c>
      <c r="I697" s="1406" t="s">
        <v>467</v>
      </c>
      <c r="J697" s="463"/>
      <c r="K697" s="463"/>
      <c r="L697" s="463"/>
      <c r="M697" s="463"/>
      <c r="N697" s="463"/>
      <c r="O697" s="463"/>
      <c r="P697" s="463"/>
      <c r="Q697" s="463"/>
      <c r="R697" s="463"/>
      <c r="S697" s="463"/>
      <c r="T697" s="463"/>
      <c r="U697" s="463"/>
      <c r="DB697" s="97"/>
    </row>
    <row r="698" spans="2:112" outlineLevel="1" x14ac:dyDescent="0.25">
      <c r="D698" s="1494" t="str">
        <f>C688</f>
        <v>805600_2019_12_</v>
      </c>
      <c r="E698" s="1494" t="str">
        <f>E688</f>
        <v>Small Commercial Programmable Thermostats</v>
      </c>
      <c r="F698" s="1551">
        <v>1</v>
      </c>
      <c r="G698" s="1555">
        <v>10</v>
      </c>
      <c r="H698" s="1593">
        <v>0.57799999999999996</v>
      </c>
      <c r="I698" s="1613">
        <v>0.5</v>
      </c>
    </row>
    <row r="701" spans="2:112" s="46" customFormat="1" x14ac:dyDescent="0.25">
      <c r="B701" s="4089" t="s">
        <v>468</v>
      </c>
      <c r="C701" s="4090"/>
      <c r="D701" s="4090"/>
      <c r="E701" s="4090"/>
      <c r="F701" s="4090"/>
      <c r="G701" s="4090"/>
      <c r="H701" s="4090"/>
      <c r="I701" s="4091"/>
      <c r="J701" s="4091"/>
      <c r="K701" s="4091"/>
      <c r="L701" s="4091"/>
      <c r="M701" s="3354"/>
      <c r="N701" s="3354"/>
      <c r="O701" s="3355"/>
      <c r="V701" s="47" t="str">
        <f>B701</f>
        <v>Demand Controlled Ventillation</v>
      </c>
      <c r="W701" s="48"/>
      <c r="X701" s="48"/>
      <c r="Y701" s="48"/>
      <c r="Z701" s="48"/>
      <c r="AA701" s="48"/>
      <c r="AB701" s="48"/>
      <c r="AC701" s="48"/>
      <c r="AD701" s="48"/>
      <c r="AE701" s="48"/>
      <c r="AF701" s="48"/>
      <c r="AG701" s="48"/>
      <c r="AH701" s="48"/>
      <c r="AI701" s="49"/>
      <c r="AJ701" s="26"/>
      <c r="AK701" s="26"/>
      <c r="AL701" s="26"/>
      <c r="AM701" s="26"/>
      <c r="AN701" s="26"/>
      <c r="AO701" s="26"/>
      <c r="AP701" s="26"/>
      <c r="AQ701" s="26"/>
      <c r="AR701" s="26"/>
      <c r="AS701" s="26"/>
      <c r="AT701" s="26"/>
      <c r="AU701" s="26"/>
      <c r="DB701" s="98"/>
      <c r="DG701" s="2282"/>
      <c r="DH701" s="2282"/>
    </row>
    <row r="702" spans="2:112" x14ac:dyDescent="0.25">
      <c r="D702" s="1478"/>
      <c r="E702" s="1473"/>
      <c r="F702" s="1473"/>
      <c r="G702" s="1473"/>
      <c r="H702" s="1479"/>
      <c r="I702" s="1473"/>
      <c r="J702" s="1473"/>
      <c r="K702" s="1473"/>
      <c r="L702" s="1473"/>
      <c r="P702" s="1473"/>
      <c r="Q702" s="1473"/>
      <c r="R702" s="1473"/>
      <c r="S702" s="1473"/>
      <c r="T702" s="1473"/>
      <c r="U702" s="1473"/>
      <c r="V702"/>
      <c r="W702"/>
      <c r="X702"/>
      <c r="Y702"/>
      <c r="Z702"/>
      <c r="AA702"/>
      <c r="AB702"/>
      <c r="AC702"/>
      <c r="AD702"/>
      <c r="AE702"/>
      <c r="AF702"/>
      <c r="AG702"/>
      <c r="AH702"/>
      <c r="AI702"/>
      <c r="AJ702" s="44"/>
      <c r="AK702" s="44"/>
      <c r="AL702" s="44"/>
      <c r="AM702" s="44"/>
      <c r="AN702" s="44"/>
      <c r="AO702" s="44"/>
      <c r="AP702" s="44"/>
      <c r="AQ702" s="44"/>
      <c r="AR702" s="44"/>
      <c r="AS702" s="44"/>
      <c r="AT702" s="44"/>
      <c r="AU702" s="44"/>
    </row>
    <row r="703" spans="2:112" s="50" customFormat="1" ht="30" x14ac:dyDescent="0.25">
      <c r="B703" s="51"/>
      <c r="C703" s="52" t="s">
        <v>17</v>
      </c>
      <c r="D703" s="52" t="s">
        <v>18</v>
      </c>
      <c r="E703" s="1435" t="s">
        <v>19</v>
      </c>
      <c r="F703" s="1435" t="s">
        <v>462</v>
      </c>
      <c r="G703" s="1435" t="s">
        <v>21</v>
      </c>
      <c r="H703" s="53" t="s">
        <v>22</v>
      </c>
      <c r="I703" s="1435" t="s">
        <v>23</v>
      </c>
      <c r="J703" s="1435" t="s">
        <v>24</v>
      </c>
      <c r="K703" s="52" t="s">
        <v>25</v>
      </c>
      <c r="L703" s="52" t="s">
        <v>26</v>
      </c>
      <c r="M703" s="1470"/>
      <c r="N703" s="1587"/>
      <c r="O703" s="1562"/>
      <c r="P703" s="1563"/>
      <c r="Q703" s="1480"/>
      <c r="R703" s="1480"/>
      <c r="S703" s="1480"/>
      <c r="T703" s="1480"/>
      <c r="U703" s="1480"/>
      <c r="V703" s="55" t="s">
        <v>27</v>
      </c>
      <c r="W703" s="56">
        <f>$W$8</f>
        <v>43252</v>
      </c>
      <c r="X703" s="56">
        <f>$X$8</f>
        <v>43465</v>
      </c>
      <c r="Y703" s="56">
        <f>$Y$8</f>
        <v>43800</v>
      </c>
      <c r="Z703" s="56">
        <f>$Z$8</f>
        <v>43862</v>
      </c>
      <c r="AA703" s="56">
        <f>$AA$8</f>
        <v>44013</v>
      </c>
      <c r="AB703" s="56">
        <v>44166</v>
      </c>
      <c r="AC703" s="56" t="str">
        <f>$AC$8</f>
        <v>-</v>
      </c>
      <c r="AD703" s="56" t="str">
        <f>$AD$8</f>
        <v>-</v>
      </c>
      <c r="AE703" s="56" t="str">
        <f>$AE$8</f>
        <v>-</v>
      </c>
      <c r="AF703" s="56" t="str">
        <f>$AF$8</f>
        <v>-</v>
      </c>
      <c r="AG703" s="56" t="str">
        <f>$AG$8</f>
        <v>-</v>
      </c>
      <c r="AH703"/>
      <c r="AI703" s="55" t="s">
        <v>27</v>
      </c>
      <c r="AJ703" s="56">
        <v>43252</v>
      </c>
      <c r="AK703" s="56">
        <f>$X$8</f>
        <v>43465</v>
      </c>
      <c r="AL703" s="56">
        <f>$Y$8</f>
        <v>43800</v>
      </c>
      <c r="AM703" s="56">
        <f>$Z$8</f>
        <v>43862</v>
      </c>
      <c r="AN703" s="56">
        <f>$AA$8</f>
        <v>44013</v>
      </c>
      <c r="AO703" s="56">
        <f>$AB$8</f>
        <v>44166</v>
      </c>
      <c r="AP703" s="56" t="str">
        <f>$AC$8</f>
        <v>-</v>
      </c>
      <c r="AQ703" s="56" t="str">
        <f>$AD$8</f>
        <v>-</v>
      </c>
      <c r="AR703" s="56" t="str">
        <f>$AE$8</f>
        <v>-</v>
      </c>
      <c r="AS703" s="56" t="str">
        <f>$AF$8</f>
        <v>-</v>
      </c>
      <c r="AT703" s="29"/>
      <c r="AU703" s="55" t="s">
        <v>27</v>
      </c>
      <c r="AV703" s="56">
        <v>43252</v>
      </c>
      <c r="AW703" s="56">
        <f>$X$8</f>
        <v>43465</v>
      </c>
      <c r="AX703" s="56">
        <f>$Y$8</f>
        <v>43800</v>
      </c>
      <c r="AY703" s="56">
        <f>$Z$8</f>
        <v>43862</v>
      </c>
      <c r="AZ703" s="56">
        <f>$AA$8</f>
        <v>44013</v>
      </c>
      <c r="BA703" s="56">
        <v>44166</v>
      </c>
      <c r="BB703" s="56" t="str">
        <f>$AC$8</f>
        <v>-</v>
      </c>
      <c r="BC703" s="56" t="str">
        <f>$AD$8</f>
        <v>-</v>
      </c>
      <c r="BD703" s="56" t="str">
        <f>$AE$8</f>
        <v>-</v>
      </c>
      <c r="BE703" s="56" t="str">
        <f>$AF$8</f>
        <v>-</v>
      </c>
      <c r="DB703" s="57" t="str">
        <f>$DB$8</f>
        <v>TRC (2020)</v>
      </c>
      <c r="DC703" s="93" t="str">
        <f>$DC$8</f>
        <v>Benefit Lookup</v>
      </c>
      <c r="DD703" s="93" t="str">
        <f>$DD$8</f>
        <v>Benefits (2019 $)</v>
      </c>
      <c r="DE703" s="93" t="str">
        <f>$DE$8</f>
        <v>Incremental Cost (2019 $)</v>
      </c>
    </row>
    <row r="704" spans="2:112" x14ac:dyDescent="0.25">
      <c r="C704" s="2969" t="s">
        <v>469</v>
      </c>
      <c r="D704" s="1558" t="s">
        <v>34</v>
      </c>
      <c r="E704" s="1501" t="s">
        <v>470</v>
      </c>
      <c r="F704" s="183">
        <f>ROUND((F716/1000)*G716+(F716/1000)*H716,2)</f>
        <v>0.67</v>
      </c>
      <c r="G704" s="1482" t="s">
        <v>246</v>
      </c>
      <c r="H704" s="1483">
        <f>VLOOKUP(G704,'CP FACTORS'!$A$26:$B$38,2,FALSE)</f>
        <v>9.1068400000000004E-4</v>
      </c>
      <c r="I704" s="1502">
        <f>ROUND(H704*F704,6)</f>
        <v>6.0999999999999997E-4</v>
      </c>
      <c r="J704" s="1548">
        <v>10</v>
      </c>
      <c r="K704" s="1503" t="s">
        <v>471</v>
      </c>
      <c r="L704" s="1569" t="s">
        <v>472</v>
      </c>
      <c r="V704" s="60" t="str">
        <f>F703</f>
        <v>kWh Annual Savings (per sqft)</v>
      </c>
      <c r="W704" s="70">
        <v>0.66500000000000004</v>
      </c>
      <c r="X704" s="163">
        <v>0.66500000000000004</v>
      </c>
      <c r="Y704" s="163">
        <v>0.66500000000000004</v>
      </c>
      <c r="Z704" s="163">
        <v>0.66500000000000004</v>
      </c>
      <c r="AA704" s="163">
        <v>0.66500000000000004</v>
      </c>
      <c r="AB704" s="2116">
        <v>0.67</v>
      </c>
      <c r="AC704" s="2510"/>
      <c r="AD704" s="2510"/>
      <c r="AE704" s="2510"/>
      <c r="AF704" s="2510"/>
      <c r="AG704" s="2510"/>
      <c r="AH704" s="2511"/>
      <c r="AI704" s="2434" t="s">
        <v>24</v>
      </c>
      <c r="AJ704" s="87">
        <v>10</v>
      </c>
      <c r="AK704" s="87">
        <v>10</v>
      </c>
      <c r="AL704" s="87">
        <v>10</v>
      </c>
      <c r="AM704" s="87">
        <v>10</v>
      </c>
      <c r="AN704" s="87">
        <v>10</v>
      </c>
      <c r="AO704" s="2372">
        <f>J704</f>
        <v>10</v>
      </c>
      <c r="AP704" s="2510"/>
      <c r="AQ704" s="2510"/>
      <c r="AR704" s="2510"/>
      <c r="AS704" s="2510"/>
      <c r="AT704" s="2280"/>
      <c r="AU704" s="2434" t="s">
        <v>25</v>
      </c>
      <c r="AV704" s="2513" t="s">
        <v>471</v>
      </c>
      <c r="AW704" s="2513" t="s">
        <v>471</v>
      </c>
      <c r="AX704" s="2513" t="s">
        <v>471</v>
      </c>
      <c r="AY704" s="2513" t="s">
        <v>471</v>
      </c>
      <c r="AZ704" s="2513" t="s">
        <v>471</v>
      </c>
      <c r="BA704" s="2514" t="s">
        <v>471</v>
      </c>
      <c r="BB704" s="2510"/>
      <c r="BC704" s="2510"/>
      <c r="BD704" s="2510"/>
      <c r="BE704" s="2510"/>
      <c r="BF704" s="2280"/>
      <c r="BG704" s="2280"/>
      <c r="BH704" s="2280"/>
      <c r="BI704" s="2280"/>
      <c r="BJ704" s="2280"/>
      <c r="BK704" s="2280"/>
      <c r="BL704" s="2280"/>
      <c r="BM704" s="2280"/>
      <c r="BN704" s="2280"/>
      <c r="DB704" s="3323" t="e">
        <f>(DD704)/(DE704)</f>
        <v>#VALUE!</v>
      </c>
      <c r="DC704" s="68" t="str">
        <f>CONCATENATE(G704," ",J704," Year EUL")</f>
        <v>Cooling BUS 10 Year EUL</v>
      </c>
      <c r="DD704" s="94">
        <f>(INDEX('Avoided Cost Benefits'!$C$4:$C$857,MATCH(DC704,'Avoided Cost Benefits'!$A$4:$A$857,0)))*F704</f>
        <v>0.64473631483919813</v>
      </c>
      <c r="DE704" s="69" t="e">
        <f>K704/(1.0595^(2020-2019))</f>
        <v>#VALUE!</v>
      </c>
    </row>
    <row r="705" spans="3:109" x14ac:dyDescent="0.25">
      <c r="C705" s="2969" t="s">
        <v>473</v>
      </c>
      <c r="D705" s="1558" t="s">
        <v>34</v>
      </c>
      <c r="E705" s="1501" t="s">
        <v>474</v>
      </c>
      <c r="F705" s="183">
        <f>ROUND((F717/1000)*G717+(F717/1000)*H717,2)</f>
        <v>1.9</v>
      </c>
      <c r="G705" s="1482" t="s">
        <v>246</v>
      </c>
      <c r="H705" s="1483">
        <f>VLOOKUP(G705,'CP FACTORS'!$A$26:$B$38,2,FALSE)</f>
        <v>9.1068400000000004E-4</v>
      </c>
      <c r="I705" s="1502">
        <f>ROUND(H705*F705,6)</f>
        <v>1.73E-3</v>
      </c>
      <c r="J705" s="1548">
        <v>10</v>
      </c>
      <c r="K705" s="1503" t="s">
        <v>471</v>
      </c>
      <c r="L705" s="1569" t="s">
        <v>472</v>
      </c>
      <c r="V705" s="60" t="str">
        <f>V704</f>
        <v>kWh Annual Savings (per sqft)</v>
      </c>
      <c r="W705" s="70">
        <v>1.895</v>
      </c>
      <c r="X705" s="163">
        <v>1.895</v>
      </c>
      <c r="Y705" s="163">
        <v>1.895</v>
      </c>
      <c r="Z705" s="163">
        <v>1.895</v>
      </c>
      <c r="AA705" s="163">
        <v>1.895</v>
      </c>
      <c r="AB705" s="2116">
        <v>1.9</v>
      </c>
      <c r="AC705" s="2510"/>
      <c r="AD705" s="2510"/>
      <c r="AE705" s="2510"/>
      <c r="AF705" s="2510"/>
      <c r="AG705" s="2510"/>
      <c r="AH705" s="2511"/>
      <c r="AI705" s="2434" t="s">
        <v>24</v>
      </c>
      <c r="AJ705" s="87">
        <v>10</v>
      </c>
      <c r="AK705" s="87">
        <v>10</v>
      </c>
      <c r="AL705" s="87">
        <v>10</v>
      </c>
      <c r="AM705" s="87">
        <v>10</v>
      </c>
      <c r="AN705" s="87">
        <v>10</v>
      </c>
      <c r="AO705" s="2372">
        <f t="shared" ref="AO705:AO706" si="160">J705</f>
        <v>10</v>
      </c>
      <c r="AP705" s="2510"/>
      <c r="AQ705" s="2510"/>
      <c r="AR705" s="2510"/>
      <c r="AS705" s="2510"/>
      <c r="AT705" s="2280"/>
      <c r="AU705" s="2434" t="s">
        <v>25</v>
      </c>
      <c r="AV705" s="2513" t="s">
        <v>471</v>
      </c>
      <c r="AW705" s="2513" t="s">
        <v>471</v>
      </c>
      <c r="AX705" s="2513" t="s">
        <v>471</v>
      </c>
      <c r="AY705" s="2513" t="s">
        <v>471</v>
      </c>
      <c r="AZ705" s="2513" t="s">
        <v>471</v>
      </c>
      <c r="BA705" s="2514" t="s">
        <v>471</v>
      </c>
      <c r="BB705" s="2510"/>
      <c r="BC705" s="2510"/>
      <c r="BD705" s="2510"/>
      <c r="BE705" s="2510"/>
      <c r="BF705" s="2280"/>
      <c r="BG705" s="2280"/>
      <c r="BH705" s="2280"/>
      <c r="BI705" s="2280"/>
      <c r="BJ705" s="2280"/>
      <c r="BK705" s="2280"/>
      <c r="BL705" s="2280"/>
      <c r="BM705" s="2280"/>
      <c r="BN705" s="2280"/>
      <c r="DB705" s="3324" t="e">
        <f>(DD705)/(DE705)</f>
        <v>#VALUE!</v>
      </c>
      <c r="DC705" s="72" t="str">
        <f>CONCATENATE(G705," ",J705," Year EUL")</f>
        <v>Cooling BUS 10 Year EUL</v>
      </c>
      <c r="DD705" s="95">
        <f>(INDEX('Avoided Cost Benefits'!$C$4:$C$857,MATCH(DC705,'Avoided Cost Benefits'!$A$4:$A$857,0)))*F705</f>
        <v>1.8283567137230989</v>
      </c>
      <c r="DE705" s="73" t="e">
        <f>K705/(1.0595^(2020-2019))</f>
        <v>#VALUE!</v>
      </c>
    </row>
    <row r="706" spans="3:109" x14ac:dyDescent="0.25">
      <c r="C706" s="2969" t="s">
        <v>475</v>
      </c>
      <c r="D706" s="1558" t="s">
        <v>34</v>
      </c>
      <c r="E706" s="1501" t="s">
        <v>476</v>
      </c>
      <c r="F706" s="183">
        <f>ROUND((F718/1000)*G718+(F718/1000)*H718,2)</f>
        <v>1.08</v>
      </c>
      <c r="G706" s="1482" t="s">
        <v>246</v>
      </c>
      <c r="H706" s="1483">
        <f>VLOOKUP(G706,'CP FACTORS'!$A$26:$B$38,2,FALSE)</f>
        <v>9.1068400000000004E-4</v>
      </c>
      <c r="I706" s="1502">
        <f>ROUND(H706*F706,6)</f>
        <v>9.8400000000000007E-4</v>
      </c>
      <c r="J706" s="1548">
        <v>10</v>
      </c>
      <c r="K706" s="1503" t="s">
        <v>471</v>
      </c>
      <c r="L706" s="1569" t="s">
        <v>472</v>
      </c>
      <c r="V706" s="60" t="str">
        <f>V705</f>
        <v>kWh Annual Savings (per sqft)</v>
      </c>
      <c r="W706" s="70">
        <v>1.0750000000000002</v>
      </c>
      <c r="X706" s="163">
        <v>1.0750000000000002</v>
      </c>
      <c r="Y706" s="163">
        <v>1.0750000000000002</v>
      </c>
      <c r="Z706" s="163">
        <v>1.0750000000000002</v>
      </c>
      <c r="AA706" s="163">
        <v>1.0750000000000002</v>
      </c>
      <c r="AB706" s="2116">
        <v>1.08</v>
      </c>
      <c r="AC706" s="2510"/>
      <c r="AD706" s="2510"/>
      <c r="AE706" s="2510"/>
      <c r="AF706" s="2510"/>
      <c r="AG706" s="2510"/>
      <c r="AH706" s="2511"/>
      <c r="AI706" s="2434" t="s">
        <v>24</v>
      </c>
      <c r="AJ706" s="87">
        <v>10</v>
      </c>
      <c r="AK706" s="87">
        <v>10</v>
      </c>
      <c r="AL706" s="87">
        <v>10</v>
      </c>
      <c r="AM706" s="87">
        <v>10</v>
      </c>
      <c r="AN706" s="87">
        <v>10</v>
      </c>
      <c r="AO706" s="2372">
        <f t="shared" si="160"/>
        <v>10</v>
      </c>
      <c r="AP706" s="2510"/>
      <c r="AQ706" s="2510"/>
      <c r="AR706" s="2510"/>
      <c r="AS706" s="2510"/>
      <c r="AT706" s="2280"/>
      <c r="AU706" s="2434" t="s">
        <v>25</v>
      </c>
      <c r="AV706" s="2513" t="s">
        <v>471</v>
      </c>
      <c r="AW706" s="2513" t="s">
        <v>471</v>
      </c>
      <c r="AX706" s="2513" t="s">
        <v>471</v>
      </c>
      <c r="AY706" s="2513" t="s">
        <v>471</v>
      </c>
      <c r="AZ706" s="2513" t="s">
        <v>471</v>
      </c>
      <c r="BA706" s="2514" t="s">
        <v>471</v>
      </c>
      <c r="BB706" s="2510"/>
      <c r="BC706" s="2510"/>
      <c r="BD706" s="2510"/>
      <c r="BE706" s="2510"/>
      <c r="BF706" s="2280"/>
      <c r="BG706" s="2280"/>
      <c r="BH706" s="2280"/>
      <c r="BI706" s="2280"/>
      <c r="BJ706" s="2280"/>
      <c r="BK706" s="2280"/>
      <c r="BL706" s="2280"/>
      <c r="BM706" s="2280"/>
      <c r="BN706" s="2280"/>
      <c r="DB706" s="3322" t="e">
        <f>(DD706)/(DE706)</f>
        <v>#VALUE!</v>
      </c>
      <c r="DC706" s="72" t="str">
        <f>CONCATENATE(G706," ",J706," Year EUL")</f>
        <v>Cooling BUS 10 Year EUL</v>
      </c>
      <c r="DD706" s="96">
        <f>(INDEX('Avoided Cost Benefits'!$C$4:$C$857,MATCH(DC706,'Avoided Cost Benefits'!$A$4:$A$857,0)))*F706</f>
        <v>1.0392764478004985</v>
      </c>
      <c r="DE706" s="75" t="e">
        <f>K706/(1.0595^(2020-2019))</f>
        <v>#VALUE!</v>
      </c>
    </row>
    <row r="707" spans="3:109" outlineLevel="1" x14ac:dyDescent="0.25">
      <c r="E707" s="1473"/>
      <c r="F707" s="1473"/>
      <c r="G707" s="1473"/>
      <c r="H707" s="1491"/>
      <c r="I707" s="1473"/>
      <c r="J707" s="1473"/>
      <c r="K707" s="1473"/>
    </row>
    <row r="708" spans="3:109" outlineLevel="1" x14ac:dyDescent="0.25">
      <c r="D708" s="1473" t="s">
        <v>70</v>
      </c>
      <c r="E708" s="1473"/>
      <c r="F708" s="1473"/>
      <c r="G708" s="1473"/>
      <c r="H708" s="1491"/>
      <c r="I708" s="1473"/>
      <c r="J708" s="1473"/>
      <c r="K708" s="1473"/>
    </row>
    <row r="709" spans="3:109" outlineLevel="1" x14ac:dyDescent="0.25">
      <c r="D709" s="1614"/>
      <c r="G709" s="1515"/>
      <c r="H709" s="1516"/>
    </row>
    <row r="710" spans="3:109" outlineLevel="1" x14ac:dyDescent="0.25">
      <c r="D710" s="1614"/>
      <c r="E710" s="973"/>
      <c r="G710" s="1515"/>
      <c r="H710" s="1516"/>
    </row>
    <row r="711" spans="3:109" outlineLevel="1" x14ac:dyDescent="0.25">
      <c r="D711" s="1614"/>
      <c r="E711" s="973"/>
      <c r="G711" s="1470"/>
      <c r="H711" s="1493"/>
      <c r="M711" s="1473"/>
    </row>
    <row r="712" spans="3:109" outlineLevel="1" x14ac:dyDescent="0.25">
      <c r="D712" s="1614"/>
      <c r="G712" s="1470"/>
      <c r="H712" s="1493"/>
      <c r="M712" s="1473"/>
    </row>
    <row r="713" spans="3:109" outlineLevel="1" x14ac:dyDescent="0.25">
      <c r="D713" s="1492"/>
      <c r="G713" s="1470"/>
      <c r="H713" s="1493"/>
      <c r="M713" s="1473"/>
    </row>
    <row r="714" spans="3:109" outlineLevel="1" x14ac:dyDescent="0.25">
      <c r="D714" s="1492"/>
      <c r="G714" s="1470"/>
      <c r="H714" s="1493"/>
    </row>
    <row r="715" spans="3:109" s="77" customFormat="1" outlineLevel="1" x14ac:dyDescent="0.25">
      <c r="C715" s="198"/>
      <c r="D715" s="1406" t="s">
        <v>17</v>
      </c>
      <c r="E715" s="1406" t="s">
        <v>119</v>
      </c>
      <c r="F715" s="112" t="s">
        <v>477</v>
      </c>
      <c r="G715" s="1406" t="s">
        <v>478</v>
      </c>
      <c r="H715" s="1406" t="s">
        <v>479</v>
      </c>
      <c r="I715" s="463"/>
      <c r="J715" s="463"/>
      <c r="K715" s="463"/>
      <c r="L715" s="463"/>
      <c r="M715" s="463"/>
      <c r="N715" s="463"/>
      <c r="O715" s="463"/>
      <c r="P715" s="463"/>
      <c r="Q715" s="463"/>
      <c r="R715" s="463"/>
      <c r="S715" s="463"/>
      <c r="T715" s="463"/>
      <c r="U715" s="463"/>
      <c r="DB715" s="97"/>
    </row>
    <row r="716" spans="3:109" outlineLevel="1" x14ac:dyDescent="0.25">
      <c r="D716" s="1494" t="str">
        <f>C704</f>
        <v>805650_2019_12_</v>
      </c>
      <c r="E716" s="1494" t="str">
        <f>E704</f>
        <v>Demand Controlled Ventillation (Gas Heat)</v>
      </c>
      <c r="F716" s="1551">
        <v>1</v>
      </c>
      <c r="G716" s="117">
        <v>665</v>
      </c>
      <c r="H716" s="1589">
        <v>0</v>
      </c>
    </row>
    <row r="717" spans="3:109" outlineLevel="1" x14ac:dyDescent="0.25">
      <c r="D717" s="1494" t="str">
        <f>C705</f>
        <v>805700_2019_12_</v>
      </c>
      <c r="E717" s="1494" t="str">
        <f>E705</f>
        <v>Demand Controlled Ventillation (Electric Heat)</v>
      </c>
      <c r="F717" s="1551">
        <v>1</v>
      </c>
      <c r="G717" s="117">
        <v>665</v>
      </c>
      <c r="H717" s="1589">
        <v>1230</v>
      </c>
    </row>
    <row r="718" spans="3:109" outlineLevel="1" x14ac:dyDescent="0.25">
      <c r="D718" s="1494" t="str">
        <f>C706</f>
        <v>805750_2019_12_</v>
      </c>
      <c r="E718" s="1494" t="str">
        <f>E706</f>
        <v>Demand Controlled Ventillation (Heat Pump)</v>
      </c>
      <c r="F718" s="1551">
        <v>1</v>
      </c>
      <c r="G718" s="117">
        <v>665</v>
      </c>
      <c r="H718" s="1589">
        <v>410</v>
      </c>
    </row>
    <row r="721" spans="2:112" s="46" customFormat="1" x14ac:dyDescent="0.25">
      <c r="B721" s="4089" t="s">
        <v>480</v>
      </c>
      <c r="C721" s="4090"/>
      <c r="D721" s="4090"/>
      <c r="E721" s="4090"/>
      <c r="F721" s="4090"/>
      <c r="G721" s="4090"/>
      <c r="H721" s="4090"/>
      <c r="I721" s="4091"/>
      <c r="J721" s="4091"/>
      <c r="K721" s="4091"/>
      <c r="L721" s="4091"/>
      <c r="M721" s="3354"/>
      <c r="N721" s="3354"/>
      <c r="O721" s="3355"/>
      <c r="V721" s="47" t="str">
        <f>B721</f>
        <v>Advanced RTU Controls</v>
      </c>
      <c r="W721" s="48"/>
      <c r="X721" s="48"/>
      <c r="Y721" s="48"/>
      <c r="Z721" s="48"/>
      <c r="AA721" s="48"/>
      <c r="AB721" s="48"/>
      <c r="AC721" s="48"/>
      <c r="AD721" s="48"/>
      <c r="AE721" s="48"/>
      <c r="AF721" s="48"/>
      <c r="AG721" s="48"/>
      <c r="AH721" s="48"/>
      <c r="AI721" s="49"/>
      <c r="AJ721" s="26"/>
      <c r="AK721" s="26"/>
      <c r="AL721" s="26"/>
      <c r="AM721" s="26"/>
      <c r="AN721" s="26"/>
      <c r="AO721" s="26"/>
      <c r="AP721" s="26"/>
      <c r="AQ721" s="26"/>
      <c r="AR721" s="26"/>
      <c r="AS721" s="26"/>
      <c r="AT721" s="26"/>
      <c r="AU721" s="26"/>
      <c r="DB721" s="98"/>
      <c r="DG721" s="2282"/>
      <c r="DH721" s="2282"/>
    </row>
    <row r="722" spans="2:112" x14ac:dyDescent="0.25">
      <c r="D722" s="1478"/>
      <c r="E722" s="1473"/>
      <c r="F722" s="1473"/>
      <c r="G722" s="1473"/>
      <c r="H722" s="1479"/>
      <c r="I722" s="1473"/>
      <c r="J722" s="1473"/>
      <c r="K722" s="1473"/>
      <c r="L722" s="1473"/>
      <c r="P722" s="1473"/>
      <c r="Q722" s="1473"/>
      <c r="R722" s="1473"/>
      <c r="S722" s="1473"/>
      <c r="T722" s="1473"/>
      <c r="U722" s="1473"/>
      <c r="V722"/>
      <c r="W722"/>
      <c r="X722"/>
      <c r="Y722"/>
      <c r="Z722"/>
      <c r="AA722"/>
      <c r="AB722"/>
      <c r="AC722"/>
      <c r="AD722"/>
      <c r="AE722"/>
      <c r="AF722"/>
      <c r="AG722"/>
      <c r="AH722"/>
      <c r="AI722"/>
      <c r="AJ722" s="44"/>
      <c r="AK722" s="44"/>
      <c r="AL722" s="44"/>
      <c r="AM722" s="44"/>
      <c r="AN722" s="44"/>
      <c r="AO722" s="44"/>
      <c r="AP722" s="44"/>
      <c r="AQ722" s="44"/>
      <c r="AR722" s="44"/>
      <c r="AS722" s="44"/>
      <c r="AT722" s="44"/>
      <c r="AU722" s="44"/>
    </row>
    <row r="723" spans="2:112" s="50" customFormat="1" ht="30" x14ac:dyDescent="0.25">
      <c r="B723" s="51"/>
      <c r="C723" s="52" t="s">
        <v>17</v>
      </c>
      <c r="D723" s="52" t="s">
        <v>18</v>
      </c>
      <c r="E723" s="1435" t="s">
        <v>19</v>
      </c>
      <c r="F723" s="1435" t="s">
        <v>197</v>
      </c>
      <c r="G723" s="1435" t="s">
        <v>21</v>
      </c>
      <c r="H723" s="53" t="s">
        <v>22</v>
      </c>
      <c r="I723" s="1435" t="s">
        <v>23</v>
      </c>
      <c r="J723" s="1435" t="s">
        <v>24</v>
      </c>
      <c r="K723" s="52" t="s">
        <v>185</v>
      </c>
      <c r="L723" s="52" t="s">
        <v>26</v>
      </c>
      <c r="M723" s="1470"/>
      <c r="N723" s="1470"/>
      <c r="O723" s="1470"/>
      <c r="P723" s="1480"/>
      <c r="Q723" s="1480"/>
      <c r="R723" s="1480"/>
      <c r="S723" s="1480"/>
      <c r="T723" s="1480"/>
      <c r="U723" s="1480"/>
      <c r="V723" s="55" t="s">
        <v>27</v>
      </c>
      <c r="W723" s="56">
        <f>$W$8</f>
        <v>43252</v>
      </c>
      <c r="X723" s="56">
        <f>$X$8</f>
        <v>43465</v>
      </c>
      <c r="Y723" s="56">
        <f>$Y$8</f>
        <v>43800</v>
      </c>
      <c r="Z723" s="56">
        <f>$Z$8</f>
        <v>43862</v>
      </c>
      <c r="AA723" s="56">
        <f>$AA$8</f>
        <v>44013</v>
      </c>
      <c r="AB723" s="56">
        <v>44166</v>
      </c>
      <c r="AC723" s="56" t="str">
        <f>$AC$8</f>
        <v>-</v>
      </c>
      <c r="AD723" s="56" t="str">
        <f>$AD$8</f>
        <v>-</v>
      </c>
      <c r="AE723" s="56" t="str">
        <f>$AE$8</f>
        <v>-</v>
      </c>
      <c r="AF723" s="56" t="str">
        <f>$AF$8</f>
        <v>-</v>
      </c>
      <c r="AG723" s="56" t="str">
        <f>$AG$8</f>
        <v>-</v>
      </c>
      <c r="AH723"/>
      <c r="AI723" s="55" t="s">
        <v>27</v>
      </c>
      <c r="AJ723" s="56">
        <v>43252</v>
      </c>
      <c r="AK723" s="56">
        <f>$X$8</f>
        <v>43465</v>
      </c>
      <c r="AL723" s="56">
        <f>$Y$8</f>
        <v>43800</v>
      </c>
      <c r="AM723" s="56">
        <f>$Z$8</f>
        <v>43862</v>
      </c>
      <c r="AN723" s="56">
        <f>$AA$8</f>
        <v>44013</v>
      </c>
      <c r="AO723" s="56">
        <f>$AB$8</f>
        <v>44166</v>
      </c>
      <c r="AP723" s="56" t="str">
        <f>$AC$8</f>
        <v>-</v>
      </c>
      <c r="AQ723" s="56" t="str">
        <f>$AD$8</f>
        <v>-</v>
      </c>
      <c r="AR723" s="56" t="str">
        <f>$AE$8</f>
        <v>-</v>
      </c>
      <c r="AS723" s="56" t="str">
        <f>$AF$8</f>
        <v>-</v>
      </c>
      <c r="AT723" s="29"/>
      <c r="AU723" s="55" t="s">
        <v>27</v>
      </c>
      <c r="AV723" s="56">
        <v>43252</v>
      </c>
      <c r="AW723" s="56">
        <f>$X$8</f>
        <v>43465</v>
      </c>
      <c r="AX723" s="56">
        <f>$Y$8</f>
        <v>43800</v>
      </c>
      <c r="AY723" s="56">
        <f>$Z$8</f>
        <v>43862</v>
      </c>
      <c r="AZ723" s="56">
        <f>$AA$8</f>
        <v>44013</v>
      </c>
      <c r="BA723" s="56">
        <v>44166</v>
      </c>
      <c r="BB723" s="56" t="str">
        <f>$AC$8</f>
        <v>-</v>
      </c>
      <c r="BC723" s="56" t="str">
        <f>$AD$8</f>
        <v>-</v>
      </c>
      <c r="BD723" s="56" t="str">
        <f>$AE$8</f>
        <v>-</v>
      </c>
      <c r="BE723" s="56" t="str">
        <f>$AF$8</f>
        <v>-</v>
      </c>
      <c r="DB723" s="57" t="str">
        <f>$DB$8</f>
        <v>TRC (2020)</v>
      </c>
      <c r="DC723" s="93" t="str">
        <f>$DC$8</f>
        <v>Benefit Lookup</v>
      </c>
      <c r="DD723" s="93" t="str">
        <f>$DD$8</f>
        <v>Benefits (2019 $)</v>
      </c>
      <c r="DE723" s="93" t="str">
        <f>$DE$8</f>
        <v>Incremental Cost (2019 $)</v>
      </c>
    </row>
    <row r="724" spans="2:112" x14ac:dyDescent="0.25">
      <c r="C724" s="2356" t="s">
        <v>481</v>
      </c>
      <c r="D724" s="1558" t="s">
        <v>34</v>
      </c>
      <c r="E724" s="1501" t="s">
        <v>480</v>
      </c>
      <c r="F724" s="183">
        <f>ROUND(F734*G734*H734,2)</f>
        <v>3779.33</v>
      </c>
      <c r="G724" s="1482" t="s">
        <v>258</v>
      </c>
      <c r="H724" s="1483">
        <f>VLOOKUP(G724,'CP FACTORS'!$A$26:$B$38,2,FALSE)</f>
        <v>4.4398300000000001E-4</v>
      </c>
      <c r="I724" s="1502">
        <f>ROUND(H724*F724,6)</f>
        <v>1.6779580000000001</v>
      </c>
      <c r="J724" s="382">
        <v>15</v>
      </c>
      <c r="K724" s="1523">
        <v>4038</v>
      </c>
      <c r="L724" s="1569" t="s">
        <v>37</v>
      </c>
      <c r="V724" s="60" t="str">
        <f>F723</f>
        <v>kWh Annual Savings (per HP)</v>
      </c>
      <c r="W724" s="70">
        <v>3779.3340000000003</v>
      </c>
      <c r="X724" s="70">
        <v>3779.3340000000003</v>
      </c>
      <c r="Y724" s="163">
        <v>3779.3340000000003</v>
      </c>
      <c r="Z724" s="163">
        <v>3779.3340000000003</v>
      </c>
      <c r="AA724" s="163">
        <v>3779.3340000000003</v>
      </c>
      <c r="AB724" s="2116">
        <v>3779.33</v>
      </c>
      <c r="AC724" s="2510"/>
      <c r="AD724" s="2510"/>
      <c r="AE724" s="2510"/>
      <c r="AF724" s="2510"/>
      <c r="AG724" s="2510"/>
      <c r="AH724" s="2511"/>
      <c r="AI724" s="2434" t="s">
        <v>24</v>
      </c>
      <c r="AJ724" s="87">
        <v>15</v>
      </c>
      <c r="AK724" s="87">
        <v>15</v>
      </c>
      <c r="AL724" s="87">
        <v>15</v>
      </c>
      <c r="AM724" s="87">
        <v>15</v>
      </c>
      <c r="AN724" s="87">
        <v>15</v>
      </c>
      <c r="AO724" s="2286">
        <f>J724</f>
        <v>15</v>
      </c>
      <c r="AP724" s="2510"/>
      <c r="AQ724" s="2510"/>
      <c r="AR724" s="2510"/>
      <c r="AS724" s="2510"/>
      <c r="AT724" s="2280"/>
      <c r="AU724" s="2434" t="s">
        <v>25</v>
      </c>
      <c r="AV724" s="2513">
        <v>4038</v>
      </c>
      <c r="AW724" s="2513">
        <v>4038</v>
      </c>
      <c r="AX724" s="2513">
        <v>4038</v>
      </c>
      <c r="AY724" s="2513">
        <v>4038</v>
      </c>
      <c r="AZ724" s="2513">
        <v>4038</v>
      </c>
      <c r="BA724" s="2514">
        <v>4038</v>
      </c>
      <c r="BB724" s="2510"/>
      <c r="BC724" s="2510"/>
      <c r="BD724" s="2510"/>
      <c r="BE724" s="2510"/>
      <c r="BF724" s="2280"/>
      <c r="BG724" s="2280"/>
      <c r="BH724" s="2280"/>
      <c r="BI724" s="2280"/>
      <c r="DB724" s="107">
        <f>(DD724)/(DE724)</f>
        <v>0.89697006475682783</v>
      </c>
      <c r="DC724" s="68" t="str">
        <f>CONCATENATE(G724," ",J724," Year EUL")</f>
        <v>HVAC BUS 15 Year EUL</v>
      </c>
      <c r="DD724" s="108">
        <f>(INDEX('Avoided Cost Benefits'!$C$4:$C$857,MATCH(DC724,'Avoided Cost Benefits'!$A$4:$A$857,0)))*F724</f>
        <v>3418.5607564776501</v>
      </c>
      <c r="DE724" s="109">
        <f>K724/(1.0595^(2020-2019))</f>
        <v>3811.2317130722035</v>
      </c>
    </row>
    <row r="725" spans="2:112" outlineLevel="1" x14ac:dyDescent="0.25">
      <c r="E725" s="1473"/>
      <c r="F725" s="1473"/>
      <c r="G725" s="1473"/>
      <c r="H725" s="1491"/>
      <c r="I725" s="1473"/>
      <c r="J725" s="1473"/>
      <c r="K725" s="1473"/>
      <c r="V725" s="60" t="str">
        <f>V724</f>
        <v>kWh Annual Savings (per HP)</v>
      </c>
      <c r="W725" s="70">
        <v>3779.3340000000003</v>
      </c>
      <c r="X725" s="70">
        <v>3779.3340000000003</v>
      </c>
      <c r="Y725" s="163">
        <v>3779.3340000000003</v>
      </c>
      <c r="Z725" s="163">
        <v>3779.3340000000003</v>
      </c>
      <c r="AA725" s="163">
        <v>3779.3340000000003</v>
      </c>
      <c r="AB725" s="2116">
        <v>0</v>
      </c>
      <c r="AC725" s="2510"/>
      <c r="AD725" s="2510"/>
      <c r="AE725" s="2510"/>
      <c r="AF725" s="2510"/>
      <c r="AG725" s="2510"/>
      <c r="AH725" s="2511"/>
      <c r="AI725" s="2511"/>
      <c r="AJ725" s="2511"/>
      <c r="AK725" s="2511"/>
      <c r="AL725" s="2511"/>
      <c r="AM725" s="2511"/>
      <c r="AN725" s="2511"/>
      <c r="AO725" s="2511"/>
      <c r="AP725" s="2511"/>
      <c r="AQ725" s="2511"/>
      <c r="AR725" s="2511"/>
      <c r="AS725" s="2511"/>
      <c r="AT725" s="2511"/>
      <c r="AU725" s="2511"/>
      <c r="AV725" s="2511"/>
      <c r="AW725" s="2511"/>
      <c r="AX725" s="2511"/>
      <c r="AY725" s="2511"/>
      <c r="AZ725" s="2511"/>
      <c r="BA725" s="2511"/>
      <c r="BB725" s="2511"/>
      <c r="BC725" s="2511"/>
      <c r="BD725" s="2511"/>
      <c r="BE725" s="2511"/>
      <c r="BF725" s="2511"/>
      <c r="BG725" s="2511"/>
      <c r="BH725" s="2511"/>
      <c r="BI725" s="2511"/>
      <c r="BJ725" s="2511"/>
      <c r="BK725" s="2511"/>
    </row>
    <row r="726" spans="2:112" outlineLevel="1" x14ac:dyDescent="0.25">
      <c r="D726" s="1473" t="s">
        <v>70</v>
      </c>
      <c r="E726" s="198"/>
      <c r="F726" s="1473"/>
      <c r="G726" s="1473"/>
      <c r="H726" s="1491"/>
      <c r="I726" s="1473"/>
      <c r="J726" s="1473"/>
      <c r="K726" s="198"/>
      <c r="Y726" s="2280"/>
      <c r="Z726" s="2280"/>
      <c r="AA726" s="2280"/>
      <c r="AB726" s="2280"/>
      <c r="AC726" s="2280"/>
      <c r="AD726" s="2280"/>
      <c r="AE726" s="2280"/>
      <c r="AF726" s="2280"/>
      <c r="AG726" s="2280"/>
      <c r="AH726" s="2280"/>
      <c r="AI726" s="2280"/>
      <c r="AJ726" s="2280"/>
      <c r="AK726" s="2280"/>
      <c r="AL726" s="2280"/>
      <c r="AM726" s="2280"/>
      <c r="AN726" s="2280"/>
      <c r="AO726" s="2280"/>
      <c r="AP726" s="2280"/>
      <c r="AQ726" s="2280"/>
      <c r="AR726" s="2280"/>
      <c r="AS726" s="2280"/>
      <c r="AT726" s="2280"/>
      <c r="AU726" s="2280"/>
      <c r="AV726" s="2280"/>
      <c r="AW726" s="2280"/>
      <c r="AX726" s="2280"/>
      <c r="AY726" s="2280"/>
      <c r="AZ726" s="2280"/>
      <c r="BA726" s="2280"/>
      <c r="BB726" s="2280"/>
      <c r="BC726" s="2280"/>
      <c r="BD726" s="2280"/>
      <c r="BE726" s="2280"/>
      <c r="BF726" s="2280"/>
      <c r="BG726" s="2280"/>
      <c r="BH726" s="2280"/>
      <c r="BI726" s="2280"/>
    </row>
    <row r="727" spans="2:112" ht="18" customHeight="1" outlineLevel="1" x14ac:dyDescent="0.25">
      <c r="D727" s="1492"/>
      <c r="E727" s="198"/>
      <c r="F727" s="198"/>
      <c r="G727" s="1515"/>
      <c r="H727" s="1516"/>
      <c r="Y727" s="2280"/>
      <c r="Z727" s="2280"/>
      <c r="AA727" s="2280"/>
      <c r="AB727" s="2280"/>
      <c r="AC727" s="2280"/>
      <c r="AD727" s="2280"/>
      <c r="AE727" s="2280"/>
      <c r="AF727" s="2280"/>
      <c r="AG727" s="2280"/>
      <c r="AH727" s="2280"/>
      <c r="AI727" s="2280"/>
      <c r="AJ727" s="2280"/>
      <c r="AK727" s="2280"/>
      <c r="AL727" s="2280"/>
      <c r="AM727" s="2280"/>
      <c r="AN727" s="2280"/>
      <c r="AO727" s="2280"/>
      <c r="AP727" s="2280"/>
      <c r="AQ727" s="2280"/>
      <c r="AR727" s="2280"/>
      <c r="AS727" s="2280"/>
      <c r="AT727" s="2280"/>
      <c r="AU727" s="2280"/>
      <c r="AV727" s="2280"/>
      <c r="AW727" s="2280"/>
      <c r="AX727" s="2280"/>
      <c r="AY727" s="2280"/>
      <c r="AZ727" s="2280"/>
      <c r="BA727" s="2280"/>
      <c r="BB727" s="2280"/>
      <c r="BC727" s="2280"/>
      <c r="BD727" s="2280"/>
      <c r="BE727" s="2280"/>
      <c r="BF727" s="2280"/>
      <c r="BG727" s="2280"/>
      <c r="BH727" s="2280"/>
      <c r="BI727" s="2280"/>
    </row>
    <row r="728" spans="2:112" outlineLevel="1" x14ac:dyDescent="0.25">
      <c r="D728" s="1492"/>
      <c r="G728" s="1515"/>
      <c r="H728" s="1516"/>
      <c r="P728" s="4104"/>
      <c r="Q728" s="4104"/>
      <c r="Y728" s="2280"/>
      <c r="Z728" s="2280"/>
      <c r="AA728" s="2280"/>
      <c r="AB728" s="2280"/>
      <c r="AC728" s="2280"/>
      <c r="AD728" s="2280"/>
      <c r="AE728" s="2280"/>
      <c r="AF728" s="2280"/>
      <c r="AG728" s="2280"/>
      <c r="AH728" s="2280"/>
      <c r="AI728" s="2280"/>
      <c r="AJ728" s="2280"/>
      <c r="AK728" s="2280"/>
      <c r="AL728" s="2280"/>
      <c r="AM728" s="2280"/>
      <c r="AN728" s="2280"/>
      <c r="AO728" s="2280"/>
      <c r="AP728" s="2280"/>
      <c r="AQ728" s="2280"/>
      <c r="AR728" s="2280"/>
      <c r="AS728" s="2280"/>
      <c r="AT728" s="2280"/>
      <c r="AU728" s="2280"/>
      <c r="AV728" s="2280"/>
      <c r="AW728" s="2280"/>
      <c r="AX728" s="2280"/>
      <c r="AY728" s="2280"/>
      <c r="AZ728" s="2280"/>
      <c r="BA728" s="2280"/>
      <c r="BB728" s="2280"/>
      <c r="BC728" s="2280"/>
      <c r="BD728" s="2280"/>
      <c r="BE728" s="2280"/>
      <c r="BF728" s="2280"/>
      <c r="BG728" s="2280"/>
      <c r="BH728" s="2280"/>
      <c r="BI728" s="2280"/>
    </row>
    <row r="729" spans="2:112" outlineLevel="1" x14ac:dyDescent="0.25">
      <c r="D729" s="1492"/>
      <c r="G729" s="1470"/>
      <c r="H729" s="1493"/>
      <c r="M729" s="1473"/>
      <c r="P729" s="4104"/>
      <c r="Q729" s="4104"/>
      <c r="Y729" s="2280"/>
      <c r="Z729" s="2280"/>
      <c r="AA729" s="2280"/>
      <c r="AB729" s="2280"/>
      <c r="AC729" s="2280"/>
      <c r="AD729" s="2280"/>
      <c r="AE729" s="2280"/>
      <c r="AF729" s="2280"/>
      <c r="AG729" s="2280"/>
      <c r="AH729" s="2280"/>
      <c r="AI729" s="2280"/>
      <c r="AJ729" s="2280"/>
      <c r="AK729" s="2280"/>
      <c r="AL729" s="2280"/>
      <c r="AM729" s="2280"/>
      <c r="AN729" s="2280"/>
      <c r="AO729" s="2280"/>
      <c r="AP729" s="2280"/>
      <c r="AQ729" s="2280"/>
      <c r="AR729" s="2280"/>
      <c r="AS729" s="2280"/>
      <c r="AT729" s="2280"/>
      <c r="AU729" s="2280"/>
      <c r="AV729" s="2280"/>
      <c r="AW729" s="2280"/>
      <c r="AX729" s="2280"/>
      <c r="AY729" s="2280"/>
      <c r="AZ729" s="2280"/>
      <c r="BA729" s="2280"/>
      <c r="BB729" s="2280"/>
      <c r="BC729" s="2280"/>
      <c r="BD729" s="2280"/>
      <c r="BE729" s="2280"/>
      <c r="BF729" s="2280"/>
      <c r="BG729" s="2280"/>
      <c r="BH729" s="2280"/>
      <c r="BI729" s="2280"/>
    </row>
    <row r="730" spans="2:112" outlineLevel="1" x14ac:dyDescent="0.25">
      <c r="D730" s="1492"/>
      <c r="G730" s="1470"/>
      <c r="H730" s="1493"/>
      <c r="M730" s="1473"/>
      <c r="P730" s="4104"/>
      <c r="Q730" s="4104"/>
    </row>
    <row r="731" spans="2:112" outlineLevel="1" x14ac:dyDescent="0.25">
      <c r="D731" s="1492"/>
      <c r="G731" s="1470"/>
      <c r="H731" s="1493"/>
      <c r="M731" s="1473"/>
    </row>
    <row r="732" spans="2:112" outlineLevel="1" x14ac:dyDescent="0.25">
      <c r="D732" s="1492"/>
      <c r="G732" s="1470"/>
      <c r="H732" s="1493"/>
    </row>
    <row r="733" spans="2:112" s="77" customFormat="1" outlineLevel="1" x14ac:dyDescent="0.25">
      <c r="C733" s="198"/>
      <c r="D733" s="1406" t="s">
        <v>17</v>
      </c>
      <c r="E733" s="1406" t="s">
        <v>119</v>
      </c>
      <c r="F733" s="110" t="s">
        <v>482</v>
      </c>
      <c r="G733" s="1406" t="s">
        <v>483</v>
      </c>
      <c r="H733" s="1406" t="s">
        <v>484</v>
      </c>
      <c r="I733" s="463"/>
      <c r="J733" s="463"/>
      <c r="K733" s="463"/>
      <c r="L733" s="463"/>
      <c r="M733" s="463"/>
      <c r="N733" s="463"/>
      <c r="O733" s="463"/>
      <c r="P733" s="463"/>
      <c r="Q733" s="463"/>
      <c r="R733" s="463"/>
      <c r="S733" s="463"/>
      <c r="T733" s="463"/>
      <c r="U733" s="463"/>
      <c r="DB733" s="97"/>
    </row>
    <row r="734" spans="2:112" outlineLevel="1" x14ac:dyDescent="0.25">
      <c r="D734" s="1494" t="str">
        <f>C724</f>
        <v>805800_2019_12_</v>
      </c>
      <c r="E734" s="1494" t="str">
        <f>E724</f>
        <v>Advanced RTU Controls</v>
      </c>
      <c r="F734" s="1551">
        <v>1</v>
      </c>
      <c r="G734" s="1615">
        <v>0.55800000000000005</v>
      </c>
      <c r="H734" s="121">
        <v>6773</v>
      </c>
    </row>
    <row r="737" spans="2:112" s="46" customFormat="1" x14ac:dyDescent="0.25">
      <c r="B737" s="4089" t="s">
        <v>485</v>
      </c>
      <c r="C737" s="4090"/>
      <c r="D737" s="4090"/>
      <c r="E737" s="4090"/>
      <c r="F737" s="4090"/>
      <c r="G737" s="4090"/>
      <c r="H737" s="4090"/>
      <c r="I737" s="4091"/>
      <c r="J737" s="4091"/>
      <c r="K737" s="4091"/>
      <c r="L737" s="4091"/>
      <c r="M737" s="3354"/>
      <c r="N737" s="3354"/>
      <c r="O737" s="3355"/>
      <c r="V737" s="47" t="str">
        <f>B737</f>
        <v>PTAC &amp; PTHP</v>
      </c>
      <c r="W737" s="48"/>
      <c r="X737" s="48"/>
      <c r="Y737" s="48"/>
      <c r="Z737" s="48"/>
      <c r="AA737" s="48"/>
      <c r="AB737" s="48"/>
      <c r="AC737" s="48"/>
      <c r="AD737" s="48"/>
      <c r="AE737" s="48"/>
      <c r="AF737" s="48"/>
      <c r="AG737" s="48"/>
      <c r="AH737" s="48"/>
      <c r="AI737" s="49"/>
      <c r="AJ737" s="26"/>
      <c r="AK737" s="26"/>
      <c r="AL737" s="26"/>
      <c r="AM737" s="26"/>
      <c r="AN737" s="26"/>
      <c r="AO737" s="26"/>
      <c r="AP737" s="26"/>
      <c r="AQ737" s="26"/>
      <c r="AR737" s="26"/>
      <c r="AS737" s="26"/>
      <c r="AT737" s="26"/>
      <c r="AU737" s="26"/>
      <c r="DB737" s="98"/>
      <c r="DG737" s="2282"/>
      <c r="DH737" s="2282"/>
    </row>
    <row r="738" spans="2:112" x14ac:dyDescent="0.25">
      <c r="D738" s="1478"/>
      <c r="E738" s="1473"/>
      <c r="F738" s="1473"/>
      <c r="G738" s="1473"/>
      <c r="H738" s="1479"/>
      <c r="I738" s="1473"/>
      <c r="J738" s="1473"/>
      <c r="K738" s="1473"/>
      <c r="L738" s="1473"/>
      <c r="P738" s="1473"/>
      <c r="Q738" s="1473"/>
      <c r="R738" s="1473"/>
      <c r="S738" s="1473"/>
      <c r="T738" s="1473"/>
      <c r="U738" s="1473"/>
      <c r="V738"/>
      <c r="W738"/>
      <c r="X738"/>
      <c r="Y738"/>
      <c r="Z738"/>
      <c r="AA738"/>
      <c r="AB738"/>
      <c r="AC738"/>
      <c r="AD738"/>
      <c r="AE738"/>
      <c r="AF738"/>
      <c r="AG738"/>
      <c r="AH738"/>
      <c r="AI738"/>
      <c r="AJ738" s="44"/>
      <c r="AK738" s="44"/>
      <c r="AL738" s="44"/>
      <c r="AM738" s="44"/>
      <c r="AN738" s="44"/>
      <c r="AO738" s="44"/>
      <c r="AP738" s="44"/>
      <c r="AQ738" s="44"/>
      <c r="AR738" s="44"/>
      <c r="AS738" s="44"/>
      <c r="AT738" s="44"/>
      <c r="AU738" s="44"/>
    </row>
    <row r="739" spans="2:112" s="50" customFormat="1" ht="45" x14ac:dyDescent="0.25">
      <c r="B739" s="51"/>
      <c r="C739" s="52" t="s">
        <v>17</v>
      </c>
      <c r="D739" s="52" t="s">
        <v>18</v>
      </c>
      <c r="E739" s="1435" t="s">
        <v>19</v>
      </c>
      <c r="F739" s="1435" t="s">
        <v>486</v>
      </c>
      <c r="G739" s="1435" t="s">
        <v>487</v>
      </c>
      <c r="H739" s="1435" t="s">
        <v>21</v>
      </c>
      <c r="I739" s="53" t="s">
        <v>22</v>
      </c>
      <c r="J739" s="1435" t="s">
        <v>488</v>
      </c>
      <c r="K739" s="1435" t="s">
        <v>489</v>
      </c>
      <c r="L739" s="1435" t="s">
        <v>24</v>
      </c>
      <c r="M739" s="52" t="s">
        <v>294</v>
      </c>
      <c r="N739" s="52" t="s">
        <v>26</v>
      </c>
      <c r="O739" s="1470"/>
      <c r="P739" s="1470"/>
      <c r="Q739" s="1470"/>
      <c r="R739" s="1480"/>
      <c r="S739" s="1480"/>
      <c r="T739" s="1480"/>
      <c r="U739" s="1480"/>
      <c r="V739" s="55" t="s">
        <v>27</v>
      </c>
      <c r="W739" s="56">
        <f>$W$8</f>
        <v>43252</v>
      </c>
      <c r="X739" s="56">
        <f>$X$8</f>
        <v>43465</v>
      </c>
      <c r="Y739" s="56">
        <f>$Y$8</f>
        <v>43800</v>
      </c>
      <c r="Z739" s="56">
        <f>$Z$8</f>
        <v>43862</v>
      </c>
      <c r="AA739" s="56">
        <f>$AA$8</f>
        <v>44013</v>
      </c>
      <c r="AB739" s="56">
        <v>44166</v>
      </c>
      <c r="AC739" s="56" t="str">
        <f>$AC$8</f>
        <v>-</v>
      </c>
      <c r="AD739" s="56" t="str">
        <f>$AD$8</f>
        <v>-</v>
      </c>
      <c r="AE739" s="56" t="str">
        <f>$AE$8</f>
        <v>-</v>
      </c>
      <c r="AF739" s="56" t="str">
        <f>$AF$8</f>
        <v>-</v>
      </c>
      <c r="AG739" s="56" t="str">
        <f>$AG$8</f>
        <v>-</v>
      </c>
      <c r="AH739"/>
      <c r="AI739" s="55" t="s">
        <v>27</v>
      </c>
      <c r="AJ739" s="56">
        <v>43252</v>
      </c>
      <c r="AK739" s="56">
        <f>$X$8</f>
        <v>43465</v>
      </c>
      <c r="AL739" s="56">
        <f>$Y$8</f>
        <v>43800</v>
      </c>
      <c r="AM739" s="56">
        <f>$Z$8</f>
        <v>43862</v>
      </c>
      <c r="AN739" s="56">
        <f>$AA$8</f>
        <v>44013</v>
      </c>
      <c r="AO739" s="56">
        <f>$AB$8</f>
        <v>44166</v>
      </c>
      <c r="AP739" s="56" t="str">
        <f>$AC$8</f>
        <v>-</v>
      </c>
      <c r="AQ739" s="56" t="str">
        <f>$AD$8</f>
        <v>-</v>
      </c>
      <c r="AR739" s="56" t="str">
        <f>$AE$8</f>
        <v>-</v>
      </c>
      <c r="AS739" s="56" t="str">
        <f>$AF$8</f>
        <v>-</v>
      </c>
      <c r="AT739"/>
      <c r="AU739" s="55" t="s">
        <v>27</v>
      </c>
      <c r="AV739" s="56">
        <v>43252</v>
      </c>
      <c r="AW739" s="56">
        <f>$X$8</f>
        <v>43465</v>
      </c>
      <c r="AX739" s="56">
        <f>$Y$8</f>
        <v>43800</v>
      </c>
      <c r="AY739" s="56">
        <f>$Z$8</f>
        <v>43862</v>
      </c>
      <c r="AZ739" s="56">
        <f>$AA$8</f>
        <v>44013</v>
      </c>
      <c r="BA739" s="56">
        <v>44166</v>
      </c>
      <c r="BB739" s="56" t="str">
        <f>$AC$8</f>
        <v>-</v>
      </c>
      <c r="BC739" s="56" t="str">
        <f>$AD$8</f>
        <v>-</v>
      </c>
      <c r="BD739" s="56" t="str">
        <f>$AE$8</f>
        <v>-</v>
      </c>
      <c r="BE739" s="56" t="str">
        <f>$AF$8</f>
        <v>-</v>
      </c>
      <c r="BF739" s="29"/>
      <c r="BG739" s="55" t="s">
        <v>27</v>
      </c>
      <c r="BH739" s="56">
        <v>43252</v>
      </c>
      <c r="BI739" s="56">
        <f>$X$8</f>
        <v>43465</v>
      </c>
      <c r="BJ739" s="56">
        <f>$Y$8</f>
        <v>43800</v>
      </c>
      <c r="BK739" s="56">
        <f>$Z$8</f>
        <v>43862</v>
      </c>
      <c r="BL739" s="56">
        <f>$AA$8</f>
        <v>44013</v>
      </c>
      <c r="BM739" s="56">
        <v>44166</v>
      </c>
      <c r="BN739" s="56" t="str">
        <f>$AC$8</f>
        <v>-</v>
      </c>
      <c r="BO739" s="56" t="str">
        <f>$AD$8</f>
        <v>-</v>
      </c>
      <c r="BP739" s="56" t="str">
        <f>$AE$8</f>
        <v>-</v>
      </c>
      <c r="BQ739" s="56" t="str">
        <f>$AF$8</f>
        <v>-</v>
      </c>
      <c r="DB739" s="57" t="str">
        <f>$DB$8</f>
        <v>TRC (2020)</v>
      </c>
      <c r="DC739" s="93" t="str">
        <f>$DC$8</f>
        <v>Benefit Lookup</v>
      </c>
      <c r="DD739" s="93" t="str">
        <f>$DD$8</f>
        <v>Benefits (2019 $)</v>
      </c>
      <c r="DE739" s="93" t="str">
        <f>$DE$8</f>
        <v>Incremental Cost (2019 $)</v>
      </c>
    </row>
    <row r="740" spans="2:112" x14ac:dyDescent="0.25">
      <c r="C740" s="2356" t="s">
        <v>490</v>
      </c>
      <c r="D740" s="1558" t="s">
        <v>34</v>
      </c>
      <c r="E740" s="1501" t="s">
        <v>491</v>
      </c>
      <c r="F740" s="183">
        <f>ROUND((F751*(1/I751-1/K751)*G751)+((L751/3.412)*(1/M751-1/O751)*H751),2)</f>
        <v>411.27</v>
      </c>
      <c r="G740" s="87">
        <f>(F751*(1/J751-1/K751)*G751)+((L751/3.412)*(1/N751-1/O751)*H751)</f>
        <v>10.53878231859869</v>
      </c>
      <c r="H740" s="1482" t="s">
        <v>246</v>
      </c>
      <c r="I740" s="1483">
        <v>9.1068395835808389E-4</v>
      </c>
      <c r="J740" s="1616">
        <f>ROUND(I740*(F740-((L751/3.412)*(1/M751-1/O751)*H751)),6)</f>
        <v>0.37453700000000001</v>
      </c>
      <c r="K740" s="1617">
        <f>ROUND(I740*(G740-((L751/3.412)*(1/N751-1/O751)*H751)),6)</f>
        <v>9.5969999999999996E-3</v>
      </c>
      <c r="L740" s="1594">
        <v>15</v>
      </c>
      <c r="M740" s="1503">
        <v>1047</v>
      </c>
      <c r="N740" s="1569" t="s">
        <v>282</v>
      </c>
      <c r="V740" s="60" t="str">
        <f>F739</f>
        <v>kWh Annual Savings (per ton) first 5 years</v>
      </c>
      <c r="W740" s="70">
        <v>411.27272727272731</v>
      </c>
      <c r="X740" s="70">
        <v>411.27272727272731</v>
      </c>
      <c r="Y740" s="163">
        <v>411.27272727272731</v>
      </c>
      <c r="Z740" s="163">
        <v>411.27272727272731</v>
      </c>
      <c r="AA740" s="163">
        <v>411.27272727272731</v>
      </c>
      <c r="AB740" s="2116">
        <v>411.27</v>
      </c>
      <c r="AC740" s="2510"/>
      <c r="AD740" s="2510"/>
      <c r="AE740" s="2510"/>
      <c r="AF740" s="2510"/>
      <c r="AG740" s="2510"/>
      <c r="AH740" s="2511"/>
      <c r="AI740" s="2434" t="str">
        <f>G739</f>
        <v>kWh Annual Savings (per ton) next ten years</v>
      </c>
      <c r="AJ740" s="163">
        <v>10.53878231859869</v>
      </c>
      <c r="AK740" s="163">
        <v>10.53878231859869</v>
      </c>
      <c r="AL740" s="163">
        <v>10.53878231859869</v>
      </c>
      <c r="AM740" s="163">
        <v>10.53878231859869</v>
      </c>
      <c r="AN740" s="163">
        <v>10.53878231859869</v>
      </c>
      <c r="AO740" s="2286">
        <f>G740</f>
        <v>10.53878231859869</v>
      </c>
      <c r="AP740" s="2510"/>
      <c r="AQ740" s="2510"/>
      <c r="AR740" s="2510"/>
      <c r="AS740" s="2510"/>
      <c r="AT740" s="2511"/>
      <c r="AU740" s="2434" t="s">
        <v>24</v>
      </c>
      <c r="AV740" s="122">
        <v>15</v>
      </c>
      <c r="AW740" s="122">
        <v>15</v>
      </c>
      <c r="AX740" s="122">
        <v>15</v>
      </c>
      <c r="AY740" s="122">
        <v>15</v>
      </c>
      <c r="AZ740" s="122">
        <v>15</v>
      </c>
      <c r="BA740" s="2514">
        <v>15</v>
      </c>
      <c r="BB740" s="2510"/>
      <c r="BC740" s="2510"/>
      <c r="BD740" s="2510"/>
      <c r="BE740" s="2510"/>
      <c r="BF740" s="2280"/>
      <c r="BG740" s="2434" t="s">
        <v>25</v>
      </c>
      <c r="BH740" s="2517">
        <v>1047</v>
      </c>
      <c r="BI740" s="2517">
        <v>1047</v>
      </c>
      <c r="BJ740" s="2517">
        <v>1047</v>
      </c>
      <c r="BK740" s="2517">
        <v>1047</v>
      </c>
      <c r="BL740" s="2517">
        <v>1047</v>
      </c>
      <c r="BM740" s="2517">
        <v>1047</v>
      </c>
      <c r="BN740" s="2517"/>
      <c r="BO740" s="2517"/>
      <c r="BP740" s="2517"/>
      <c r="BQ740" s="2517"/>
      <c r="BR740" s="2280"/>
      <c r="BS740" s="2280"/>
      <c r="BT740" s="2280"/>
      <c r="BU740" s="2280"/>
      <c r="DB740" s="67">
        <f>(DD740)/(DE740)</f>
        <v>0.59328732895135117</v>
      </c>
      <c r="DC740" s="68" t="str">
        <f>CONCATENATE(H740," ",L740," Year EUL")</f>
        <v>Cooling BUS 15 Year EUL</v>
      </c>
      <c r="DD740" s="94">
        <f>(INDEX('Avoided Cost Benefits'!$C$4:$C$857,MATCH(DC740,'Avoided Cost Benefits'!$A$4:$A$857,0)))*F740</f>
        <v>586.28771440496894</v>
      </c>
      <c r="DE740" s="69">
        <f>M740/(1.0595^(2020-2019))</f>
        <v>988.20198206701264</v>
      </c>
    </row>
    <row r="741" spans="2:112" x14ac:dyDescent="0.25">
      <c r="C741" s="2356" t="s">
        <v>492</v>
      </c>
      <c r="D741" s="1558" t="s">
        <v>34</v>
      </c>
      <c r="E741" s="1501" t="s">
        <v>493</v>
      </c>
      <c r="F741" s="183">
        <f>ROUND((F752*(1/I752-1/K752)*G752)+((L752/3.412)*(1/M752-1/O752)*H752),2)</f>
        <v>715.42</v>
      </c>
      <c r="G741" s="87">
        <f>(F752*(1/J752-1/K752)*G752)+((L752/3.412)*(1/N752-1/O752)*H752)</f>
        <v>177.09378296037951</v>
      </c>
      <c r="H741" s="1482" t="s">
        <v>246</v>
      </c>
      <c r="I741" s="1483">
        <v>9.1068395835808389E-4</v>
      </c>
      <c r="J741" s="1616">
        <f>ROUND(I741*(F741-((L752/3.412)*(1/M752-1/O752)*H752)),6)</f>
        <v>0.37453599999999998</v>
      </c>
      <c r="K741" s="1617">
        <f>ROUND(I741*(G741-((L752/3.412)*(1/N752-1/O752)*H752)),6)</f>
        <v>1.9373000000000001E-2</v>
      </c>
      <c r="L741" s="382">
        <v>15</v>
      </c>
      <c r="M741" s="1503">
        <v>1047</v>
      </c>
      <c r="N741" s="1569" t="s">
        <v>282</v>
      </c>
      <c r="V741" s="60" t="str">
        <f>F739</f>
        <v>kWh Annual Savings (per ton) first 5 years</v>
      </c>
      <c r="W741" s="70">
        <v>715.42344173997162</v>
      </c>
      <c r="X741" s="70">
        <v>715.42344173997162</v>
      </c>
      <c r="Y741" s="163">
        <v>715.42344173997162</v>
      </c>
      <c r="Z741" s="163">
        <v>715.42344173997162</v>
      </c>
      <c r="AA741" s="163">
        <v>715.42344173997162</v>
      </c>
      <c r="AB741" s="2116">
        <v>715.42</v>
      </c>
      <c r="AC741" s="2510"/>
      <c r="AD741" s="2510"/>
      <c r="AE741" s="2510"/>
      <c r="AF741" s="2510"/>
      <c r="AG741" s="2510"/>
      <c r="AH741" s="2511"/>
      <c r="AI741" s="2434" t="str">
        <f>AI740</f>
        <v>kWh Annual Savings (per ton) next ten years</v>
      </c>
      <c r="AJ741" s="163">
        <v>177.09378296037951</v>
      </c>
      <c r="AK741" s="163">
        <v>177.09378296037951</v>
      </c>
      <c r="AL741" s="163">
        <v>177.09378296037951</v>
      </c>
      <c r="AM741" s="163">
        <v>177.09378296037951</v>
      </c>
      <c r="AN741" s="163">
        <v>177.09378296037951</v>
      </c>
      <c r="AO741" s="2286">
        <f>G741</f>
        <v>177.09378296037951</v>
      </c>
      <c r="AP741" s="2510"/>
      <c r="AQ741" s="2510"/>
      <c r="AR741" s="2510"/>
      <c r="AS741" s="2510"/>
      <c r="AT741" s="2511"/>
      <c r="AU741" s="2434" t="s">
        <v>24</v>
      </c>
      <c r="AV741" s="116">
        <v>15</v>
      </c>
      <c r="AW741" s="116">
        <v>15</v>
      </c>
      <c r="AX741" s="116">
        <v>15</v>
      </c>
      <c r="AY741" s="116">
        <v>15</v>
      </c>
      <c r="AZ741" s="116">
        <v>15</v>
      </c>
      <c r="BA741" s="2514">
        <v>15</v>
      </c>
      <c r="BB741" s="2510"/>
      <c r="BC741" s="2510"/>
      <c r="BD741" s="2510"/>
      <c r="BE741" s="2510"/>
      <c r="BF741" s="2280"/>
      <c r="BG741" s="2434" t="s">
        <v>25</v>
      </c>
      <c r="BH741" s="2517">
        <v>1047</v>
      </c>
      <c r="BI741" s="2517">
        <v>1047</v>
      </c>
      <c r="BJ741" s="2517">
        <v>1047</v>
      </c>
      <c r="BK741" s="2517">
        <v>1047</v>
      </c>
      <c r="BL741" s="2517">
        <v>1047</v>
      </c>
      <c r="BM741" s="2517">
        <v>1047</v>
      </c>
      <c r="BN741" s="2517"/>
      <c r="BO741" s="2517"/>
      <c r="BP741" s="2517"/>
      <c r="BQ741" s="2517"/>
      <c r="BR741" s="2280"/>
      <c r="BS741" s="2280"/>
      <c r="BT741" s="2280"/>
      <c r="BU741" s="2280"/>
      <c r="DB741" s="74">
        <f>(DD741)/(DE741)</f>
        <v>1.032046151867084</v>
      </c>
      <c r="DC741" s="72" t="str">
        <f>CONCATENATE(H741," ",L741," Year EUL")</f>
        <v>Cooling BUS 15 Year EUL</v>
      </c>
      <c r="DD741" s="96">
        <f>(INDEX('Avoided Cost Benefits'!$C$4:$C$857,MATCH(DC741,'Avoided Cost Benefits'!$A$4:$A$857,0)))*F741</f>
        <v>1019.8700528596855</v>
      </c>
      <c r="DE741" s="75">
        <f>M741/(1.0595^(2020-2019))</f>
        <v>988.20198206701264</v>
      </c>
    </row>
    <row r="742" spans="2:112" outlineLevel="1" x14ac:dyDescent="0.25">
      <c r="E742" s="1473"/>
      <c r="F742" s="1473"/>
      <c r="G742" s="1473"/>
      <c r="H742" s="1491"/>
      <c r="I742" s="1473"/>
      <c r="J742" s="1473"/>
      <c r="K742" s="1473"/>
    </row>
    <row r="743" spans="2:112" outlineLevel="1" x14ac:dyDescent="0.25">
      <c r="D743" s="1473" t="s">
        <v>70</v>
      </c>
      <c r="E743" s="198"/>
      <c r="F743" s="1473"/>
      <c r="G743" s="1473"/>
      <c r="H743" s="1491"/>
      <c r="I743" s="1473"/>
      <c r="J743" s="1473"/>
      <c r="K743" s="198"/>
    </row>
    <row r="744" spans="2:112" outlineLevel="1" x14ac:dyDescent="0.25">
      <c r="D744" s="1492"/>
      <c r="E744" s="198"/>
      <c r="F744" s="198"/>
      <c r="G744" s="1515"/>
      <c r="H744" s="1516"/>
    </row>
    <row r="745" spans="2:112" outlineLevel="1" x14ac:dyDescent="0.25">
      <c r="D745" s="1492"/>
      <c r="G745" s="1515"/>
      <c r="H745" s="1516"/>
      <c r="P745" s="4104"/>
      <c r="Q745" s="4104"/>
    </row>
    <row r="746" spans="2:112" outlineLevel="1" x14ac:dyDescent="0.25">
      <c r="D746" s="1492"/>
      <c r="G746" s="1470"/>
      <c r="H746" s="1493"/>
      <c r="M746" s="1473"/>
      <c r="P746" s="4104"/>
      <c r="Q746" s="4104"/>
    </row>
    <row r="747" spans="2:112" outlineLevel="1" x14ac:dyDescent="0.25">
      <c r="D747" s="1492"/>
      <c r="G747" s="1470"/>
      <c r="H747" s="1493"/>
      <c r="M747" s="1473"/>
      <c r="P747" s="4104"/>
      <c r="Q747" s="4104"/>
    </row>
    <row r="748" spans="2:112" outlineLevel="1" x14ac:dyDescent="0.25">
      <c r="D748" s="1492"/>
      <c r="G748" s="1470"/>
      <c r="H748" s="1493"/>
      <c r="M748" s="1473"/>
    </row>
    <row r="749" spans="2:112" outlineLevel="1" x14ac:dyDescent="0.25">
      <c r="D749" s="1492"/>
      <c r="G749" s="1470"/>
      <c r="H749" s="1493"/>
    </row>
    <row r="750" spans="2:112" s="77" customFormat="1" outlineLevel="1" x14ac:dyDescent="0.25">
      <c r="C750" s="198"/>
      <c r="D750" s="1406" t="s">
        <v>17</v>
      </c>
      <c r="E750" s="1406" t="s">
        <v>119</v>
      </c>
      <c r="F750" s="110" t="s">
        <v>494</v>
      </c>
      <c r="G750" s="1406" t="s">
        <v>495</v>
      </c>
      <c r="H750" s="1406" t="s">
        <v>496</v>
      </c>
      <c r="I750" s="1406" t="s">
        <v>465</v>
      </c>
      <c r="J750" s="1406" t="s">
        <v>497</v>
      </c>
      <c r="K750" s="1406" t="s">
        <v>290</v>
      </c>
      <c r="L750" s="1406" t="s">
        <v>498</v>
      </c>
      <c r="M750" s="1406" t="s">
        <v>499</v>
      </c>
      <c r="N750" s="1403" t="s">
        <v>303</v>
      </c>
      <c r="O750" s="1403" t="s">
        <v>304</v>
      </c>
      <c r="P750" s="463"/>
      <c r="Q750" s="463"/>
      <c r="R750" s="463"/>
      <c r="S750" s="463"/>
      <c r="T750" s="463"/>
      <c r="U750" s="463"/>
      <c r="DB750" s="97"/>
    </row>
    <row r="751" spans="2:112" outlineLevel="1" x14ac:dyDescent="0.25">
      <c r="D751" s="1494" t="str">
        <f>C740</f>
        <v>805850_2019_12_</v>
      </c>
      <c r="E751" s="1494" t="str">
        <f>E740</f>
        <v>PTAC</v>
      </c>
      <c r="F751" s="1551">
        <v>12</v>
      </c>
      <c r="G751" s="1556">
        <v>1053</v>
      </c>
      <c r="H751" s="1607">
        <v>0</v>
      </c>
      <c r="I751" s="1618">
        <v>8.1</v>
      </c>
      <c r="J751" s="1596">
        <v>10.9</v>
      </c>
      <c r="K751" s="121">
        <v>11</v>
      </c>
      <c r="L751" s="121">
        <v>12</v>
      </c>
      <c r="M751" s="1618">
        <v>2.6</v>
      </c>
      <c r="N751" s="1094">
        <v>2.9</v>
      </c>
      <c r="O751" s="1619">
        <v>3.3</v>
      </c>
    </row>
    <row r="752" spans="2:112" outlineLevel="1" x14ac:dyDescent="0.25">
      <c r="D752" s="1494" t="str">
        <f>C741</f>
        <v>805900_2019_12_</v>
      </c>
      <c r="E752" s="1494" t="str">
        <f>E741</f>
        <v>PTHP</v>
      </c>
      <c r="F752" s="1551">
        <v>12</v>
      </c>
      <c r="G752" s="1556">
        <v>1053</v>
      </c>
      <c r="H752" s="1607">
        <v>1060</v>
      </c>
      <c r="I752" s="1618">
        <v>8.1</v>
      </c>
      <c r="J752" s="1607">
        <v>10.8</v>
      </c>
      <c r="K752" s="121">
        <v>11</v>
      </c>
      <c r="L752" s="121">
        <v>12</v>
      </c>
      <c r="M752" s="1618">
        <v>2.6</v>
      </c>
      <c r="N752" s="1094">
        <v>2.9</v>
      </c>
      <c r="O752" s="1619">
        <v>3.3</v>
      </c>
    </row>
    <row r="755" spans="2:112" s="46" customFormat="1" x14ac:dyDescent="0.25">
      <c r="B755" s="4089" t="s">
        <v>500</v>
      </c>
      <c r="C755" s="4090"/>
      <c r="D755" s="4090"/>
      <c r="E755" s="4090"/>
      <c r="F755" s="4090"/>
      <c r="G755" s="4090"/>
      <c r="H755" s="4090"/>
      <c r="I755" s="4091"/>
      <c r="J755" s="4091"/>
      <c r="K755" s="4091"/>
      <c r="L755" s="4091"/>
      <c r="M755" s="3354"/>
      <c r="N755" s="3354"/>
      <c r="O755" s="3355"/>
      <c r="V755" s="47" t="str">
        <f>B755</f>
        <v>Refrigerated Beverage Vending Machine</v>
      </c>
      <c r="W755" s="48"/>
      <c r="X755" s="48"/>
      <c r="Y755" s="48"/>
      <c r="Z755" s="48"/>
      <c r="AA755" s="48"/>
      <c r="AB755" s="48"/>
      <c r="AC755" s="48"/>
      <c r="AD755" s="48"/>
      <c r="AE755" s="48"/>
      <c r="AF755" s="48"/>
      <c r="AG755" s="48"/>
      <c r="AH755" s="48"/>
      <c r="AI755" s="49"/>
      <c r="AJ755" s="26"/>
      <c r="AK755" s="26"/>
      <c r="AL755" s="26"/>
      <c r="AM755" s="26"/>
      <c r="AN755" s="26"/>
      <c r="AO755" s="26"/>
      <c r="AP755" s="26"/>
      <c r="AQ755" s="26"/>
      <c r="AR755" s="26"/>
      <c r="AS755" s="26"/>
      <c r="AT755" s="26"/>
      <c r="AU755" s="26"/>
      <c r="DB755" s="98"/>
      <c r="DG755" s="2282"/>
      <c r="DH755" s="2282"/>
    </row>
    <row r="756" spans="2:112" x14ac:dyDescent="0.25">
      <c r="D756" s="1478"/>
      <c r="E756" s="1473"/>
      <c r="F756" s="1473"/>
      <c r="G756" s="1473"/>
      <c r="H756" s="1479"/>
      <c r="I756" s="1473"/>
      <c r="J756" s="1473"/>
      <c r="K756" s="1473"/>
      <c r="L756" s="1473"/>
      <c r="P756" s="1473"/>
      <c r="Q756" s="1473"/>
      <c r="R756" s="1473"/>
      <c r="S756" s="1473"/>
      <c r="T756" s="1473"/>
      <c r="U756" s="1473"/>
      <c r="V756"/>
      <c r="W756"/>
      <c r="X756"/>
      <c r="Y756"/>
      <c r="Z756"/>
      <c r="AA756"/>
      <c r="AB756"/>
      <c r="AC756"/>
      <c r="AD756"/>
      <c r="AE756"/>
      <c r="AF756"/>
      <c r="AG756"/>
      <c r="AH756"/>
      <c r="AI756"/>
      <c r="AJ756" s="44"/>
      <c r="AK756" s="44"/>
      <c r="AL756" s="44"/>
      <c r="AM756" s="44"/>
      <c r="AN756" s="44"/>
      <c r="AO756" s="44"/>
      <c r="AP756" s="44"/>
      <c r="AQ756" s="44"/>
      <c r="AR756" s="44"/>
      <c r="AS756" s="44"/>
      <c r="AT756" s="44"/>
      <c r="AU756" s="44"/>
    </row>
    <row r="757" spans="2:112" s="50" customFormat="1" ht="30" x14ac:dyDescent="0.25">
      <c r="B757" s="51"/>
      <c r="C757" s="52" t="s">
        <v>17</v>
      </c>
      <c r="D757" s="52" t="s">
        <v>18</v>
      </c>
      <c r="E757" s="1435" t="s">
        <v>19</v>
      </c>
      <c r="F757" s="1435" t="s">
        <v>501</v>
      </c>
      <c r="G757" s="1435" t="s">
        <v>21</v>
      </c>
      <c r="H757" s="53" t="s">
        <v>22</v>
      </c>
      <c r="I757" s="1435" t="s">
        <v>23</v>
      </c>
      <c r="J757" s="1435" t="s">
        <v>24</v>
      </c>
      <c r="K757" s="52" t="s">
        <v>25</v>
      </c>
      <c r="L757" s="52" t="s">
        <v>26</v>
      </c>
      <c r="M757" s="1470"/>
      <c r="N757" s="1470"/>
      <c r="O757" s="1470"/>
      <c r="P757" s="1480"/>
      <c r="Q757" s="1480"/>
      <c r="R757" s="1480"/>
      <c r="S757" s="1480"/>
      <c r="T757" s="1480"/>
      <c r="U757" s="1480"/>
      <c r="V757" s="55" t="s">
        <v>27</v>
      </c>
      <c r="W757" s="56">
        <f>$W$8</f>
        <v>43252</v>
      </c>
      <c r="X757" s="56">
        <f>$X$8</f>
        <v>43465</v>
      </c>
      <c r="Y757" s="56">
        <f>$Y$8</f>
        <v>43800</v>
      </c>
      <c r="Z757" s="56">
        <f>$Z$8</f>
        <v>43862</v>
      </c>
      <c r="AA757" s="56">
        <f>$AA$8</f>
        <v>44013</v>
      </c>
      <c r="AB757" s="56">
        <v>44166</v>
      </c>
      <c r="AC757" s="56" t="str">
        <f>$AC$8</f>
        <v>-</v>
      </c>
      <c r="AD757" s="56" t="str">
        <f>$AD$8</f>
        <v>-</v>
      </c>
      <c r="AE757" s="56" t="str">
        <f>$AE$8</f>
        <v>-</v>
      </c>
      <c r="AF757" s="56" t="str">
        <f>$AF$8</f>
        <v>-</v>
      </c>
      <c r="AG757" s="56" t="str">
        <f>$AG$8</f>
        <v>-</v>
      </c>
      <c r="AH757"/>
      <c r="AI757" s="55" t="s">
        <v>27</v>
      </c>
      <c r="AJ757" s="56">
        <v>43252</v>
      </c>
      <c r="AK757" s="56">
        <f>$X$8</f>
        <v>43465</v>
      </c>
      <c r="AL757" s="56">
        <f>$Y$8</f>
        <v>43800</v>
      </c>
      <c r="AM757" s="56">
        <f>$Z$8</f>
        <v>43862</v>
      </c>
      <c r="AN757" s="56">
        <f>$AA$8</f>
        <v>44013</v>
      </c>
      <c r="AO757" s="56">
        <f>$AB$8</f>
        <v>44166</v>
      </c>
      <c r="AP757" s="56" t="str">
        <f>$AC$8</f>
        <v>-</v>
      </c>
      <c r="AQ757" s="56" t="str">
        <f>$AD$8</f>
        <v>-</v>
      </c>
      <c r="AR757" s="56" t="str">
        <f>$AE$8</f>
        <v>-</v>
      </c>
      <c r="AS757" s="56" t="str">
        <f>$AF$8</f>
        <v>-</v>
      </c>
      <c r="AT757" s="29"/>
      <c r="AU757" s="55" t="s">
        <v>27</v>
      </c>
      <c r="AV757" s="56">
        <v>43252</v>
      </c>
      <c r="AW757" s="56">
        <f>$X$8</f>
        <v>43465</v>
      </c>
      <c r="AX757" s="56">
        <f>$Y$8</f>
        <v>43800</v>
      </c>
      <c r="AY757" s="56">
        <f>$Z$8</f>
        <v>43862</v>
      </c>
      <c r="AZ757" s="56">
        <f>$AA$8</f>
        <v>44013</v>
      </c>
      <c r="BA757" s="56">
        <v>44166</v>
      </c>
      <c r="BB757" s="56" t="str">
        <f>$AC$8</f>
        <v>-</v>
      </c>
      <c r="BC757" s="56" t="str">
        <f>$AD$8</f>
        <v>-</v>
      </c>
      <c r="BD757" s="56" t="str">
        <f>$AE$8</f>
        <v>-</v>
      </c>
      <c r="BE757" s="56" t="str">
        <f>$AF$8</f>
        <v>-</v>
      </c>
      <c r="DB757" s="57" t="str">
        <f>$DB$8</f>
        <v>TRC (2020)</v>
      </c>
      <c r="DC757" s="93" t="str">
        <f>$DC$8</f>
        <v>Benefit Lookup</v>
      </c>
      <c r="DD757" s="93" t="str">
        <f>$DD$8</f>
        <v>Benefits (2019 $)</v>
      </c>
      <c r="DE757" s="93" t="str">
        <f>$DE$8</f>
        <v>Incremental Cost (2019 $)</v>
      </c>
    </row>
    <row r="758" spans="2:112" x14ac:dyDescent="0.25">
      <c r="C758" s="2356" t="s">
        <v>502</v>
      </c>
      <c r="D758" s="1558" t="s">
        <v>34</v>
      </c>
      <c r="E758" s="1501" t="s">
        <v>503</v>
      </c>
      <c r="F758" s="183">
        <f>ROUND((F769-G769)*H769,2)</f>
        <v>0.13</v>
      </c>
      <c r="G758" s="1482" t="s">
        <v>83</v>
      </c>
      <c r="H758" s="1483">
        <f>VLOOKUP(G758,'CP FACTORS'!$A$26:$B$38,2,FALSE)</f>
        <v>1.3573829999999999E-4</v>
      </c>
      <c r="I758" s="1502">
        <f>ROUND(H758*F758,6)</f>
        <v>1.8E-5</v>
      </c>
      <c r="J758" s="1594">
        <v>12</v>
      </c>
      <c r="K758" s="1503">
        <v>140</v>
      </c>
      <c r="L758" s="1569" t="s">
        <v>37</v>
      </c>
      <c r="V758" s="60" t="s">
        <v>501</v>
      </c>
      <c r="W758" s="70">
        <v>0.13070000000000048</v>
      </c>
      <c r="X758" s="70">
        <v>0.13070000000000048</v>
      </c>
      <c r="Y758" s="163">
        <v>0.13070000000000048</v>
      </c>
      <c r="Z758" s="163">
        <v>0.13070000000000048</v>
      </c>
      <c r="AA758" s="163">
        <v>0.13070000000000048</v>
      </c>
      <c r="AB758" s="2116">
        <v>0.13</v>
      </c>
      <c r="AC758" s="2510"/>
      <c r="AD758" s="2510"/>
      <c r="AE758" s="2510"/>
      <c r="AF758" s="2510"/>
      <c r="AG758" s="2510"/>
      <c r="AH758" s="2511"/>
      <c r="AI758" s="2434" t="s">
        <v>24</v>
      </c>
      <c r="AJ758" s="87">
        <v>12</v>
      </c>
      <c r="AK758" s="87">
        <v>12</v>
      </c>
      <c r="AL758" s="87">
        <v>12</v>
      </c>
      <c r="AM758" s="87">
        <v>12</v>
      </c>
      <c r="AN758" s="87">
        <v>12</v>
      </c>
      <c r="AO758" s="2873">
        <f>J758</f>
        <v>12</v>
      </c>
      <c r="AP758" s="2510"/>
      <c r="AQ758" s="2510"/>
      <c r="AR758" s="2510"/>
      <c r="AS758" s="2510"/>
      <c r="AT758" s="2280"/>
      <c r="AU758" s="2434" t="s">
        <v>25</v>
      </c>
      <c r="AV758" s="2513">
        <v>140</v>
      </c>
      <c r="AW758" s="2513">
        <v>140</v>
      </c>
      <c r="AX758" s="2513">
        <v>140</v>
      </c>
      <c r="AY758" s="2513">
        <v>140</v>
      </c>
      <c r="AZ758" s="2513">
        <v>140</v>
      </c>
      <c r="BA758" s="2514">
        <v>140</v>
      </c>
      <c r="BB758" s="2510"/>
      <c r="BC758" s="2510"/>
      <c r="BD758" s="2510"/>
      <c r="BE758" s="2510"/>
      <c r="BF758" s="2280"/>
      <c r="BG758" s="2280"/>
      <c r="BH758" s="2280"/>
      <c r="BI758" s="2280"/>
      <c r="BJ758" s="2280"/>
      <c r="DB758" s="67">
        <f>(DD758)/(DE758)</f>
        <v>4.2764848841657214E-4</v>
      </c>
      <c r="DC758" s="68" t="str">
        <f>CONCATENATE(G758," ",J758," Year EUL")</f>
        <v>Refrigeration BUS 12 Year EUL</v>
      </c>
      <c r="DD758" s="94">
        <f>(INDEX('Avoided Cost Benefits'!$C$4:$C$857,MATCH(DC758,'Avoided Cost Benefits'!$A$4:$A$857,0)))*F758</f>
        <v>5.6508530795960445E-2</v>
      </c>
      <c r="DE758" s="69">
        <f>K758/(1.0595^(2020-2019))</f>
        <v>132.13780084945728</v>
      </c>
    </row>
    <row r="759" spans="2:112" x14ac:dyDescent="0.25">
      <c r="C759" s="2356" t="s">
        <v>504</v>
      </c>
      <c r="D759" s="1558" t="s">
        <v>34</v>
      </c>
      <c r="E759" s="1501" t="s">
        <v>505</v>
      </c>
      <c r="F759" s="183">
        <f>ROUND((F770-G770)*H770,2)</f>
        <v>0.32</v>
      </c>
      <c r="G759" s="1482" t="s">
        <v>83</v>
      </c>
      <c r="H759" s="1483">
        <f>VLOOKUP(G759,'CP FACTORS'!$A$26:$B$38,2,FALSE)</f>
        <v>1.3573829999999999E-4</v>
      </c>
      <c r="I759" s="1502">
        <f>ROUND(H759*F759,6)</f>
        <v>4.3000000000000002E-5</v>
      </c>
      <c r="J759" s="382">
        <v>12</v>
      </c>
      <c r="K759" s="1503">
        <v>140</v>
      </c>
      <c r="L759" s="1569" t="s">
        <v>37</v>
      </c>
      <c r="V759" s="60" t="s">
        <v>501</v>
      </c>
      <c r="W759" s="70">
        <v>0.32330000000000014</v>
      </c>
      <c r="X759" s="70">
        <v>0.32330000000000014</v>
      </c>
      <c r="Y759" s="163">
        <v>0.32330000000000014</v>
      </c>
      <c r="Z759" s="163">
        <v>0.32330000000000014</v>
      </c>
      <c r="AA759" s="163">
        <v>0.32330000000000014</v>
      </c>
      <c r="AB759" s="2116">
        <v>0.32</v>
      </c>
      <c r="AC759" s="2510"/>
      <c r="AD759" s="2510"/>
      <c r="AE759" s="2510"/>
      <c r="AF759" s="2510"/>
      <c r="AG759" s="2510"/>
      <c r="AH759" s="2511"/>
      <c r="AI759" s="2434" t="s">
        <v>24</v>
      </c>
      <c r="AJ759" s="87">
        <v>12</v>
      </c>
      <c r="AK759" s="87">
        <v>12</v>
      </c>
      <c r="AL759" s="87">
        <v>12</v>
      </c>
      <c r="AM759" s="87">
        <v>12</v>
      </c>
      <c r="AN759" s="87">
        <v>12</v>
      </c>
      <c r="AO759" s="2873">
        <f>J759</f>
        <v>12</v>
      </c>
      <c r="AP759" s="2510"/>
      <c r="AQ759" s="2510"/>
      <c r="AR759" s="2510"/>
      <c r="AS759" s="2510"/>
      <c r="AT759" s="2280"/>
      <c r="AU759" s="2434" t="s">
        <v>25</v>
      </c>
      <c r="AV759" s="2513">
        <v>140</v>
      </c>
      <c r="AW759" s="2513">
        <v>140</v>
      </c>
      <c r="AX759" s="2513">
        <v>140</v>
      </c>
      <c r="AY759" s="2513">
        <v>140</v>
      </c>
      <c r="AZ759" s="2513">
        <v>140</v>
      </c>
      <c r="BA759" s="2514">
        <v>140</v>
      </c>
      <c r="BB759" s="2510"/>
      <c r="BC759" s="2510"/>
      <c r="BD759" s="2510"/>
      <c r="BE759" s="2510"/>
      <c r="BF759" s="2280"/>
      <c r="BG759" s="2280"/>
      <c r="BH759" s="2280"/>
      <c r="BI759" s="2280"/>
      <c r="BJ759" s="2280"/>
      <c r="DB759" s="74">
        <f>(DD759)/(DE759)</f>
        <v>1.0526732022561776E-3</v>
      </c>
      <c r="DC759" s="72" t="str">
        <f>CONCATENATE(G759," ",J759," Year EUL")</f>
        <v>Refrigeration BUS 12 Year EUL</v>
      </c>
      <c r="DD759" s="96">
        <f>(INDEX('Avoided Cost Benefits'!$C$4:$C$857,MATCH(DC759,'Avoided Cost Benefits'!$A$4:$A$857,0)))*F759</f>
        <v>0.13909792195928725</v>
      </c>
      <c r="DE759" s="75">
        <f>K759/(1.0595^(2020-2019))</f>
        <v>132.13780084945728</v>
      </c>
    </row>
    <row r="760" spans="2:112" outlineLevel="1" x14ac:dyDescent="0.25">
      <c r="B760" s="29"/>
      <c r="C760" s="1620"/>
      <c r="D760" s="1620"/>
      <c r="E760" s="1620"/>
      <c r="F760" s="1473"/>
      <c r="G760" s="1473"/>
      <c r="H760" s="1491"/>
      <c r="I760" s="1473"/>
      <c r="J760" s="1473"/>
      <c r="K760" s="1473"/>
      <c r="Y760" s="2280"/>
      <c r="Z760" s="2280"/>
      <c r="AA760" s="2280"/>
      <c r="AB760" s="2280"/>
      <c r="AC760" s="2280"/>
      <c r="AD760" s="2280"/>
      <c r="AE760" s="2280"/>
      <c r="AF760" s="2280"/>
      <c r="AG760" s="2280"/>
      <c r="AH760" s="2280"/>
      <c r="AI760" s="2280"/>
      <c r="AJ760" s="2280"/>
      <c r="AK760" s="2280"/>
      <c r="AL760" s="2280"/>
      <c r="AM760" s="2280"/>
      <c r="AN760" s="2280"/>
      <c r="AO760" s="2280"/>
      <c r="AP760" s="2280"/>
      <c r="AQ760" s="2280"/>
      <c r="AR760" s="2280"/>
      <c r="AS760" s="2280"/>
      <c r="AT760" s="2280"/>
      <c r="AU760" s="2280"/>
      <c r="AV760" s="2280"/>
      <c r="AW760" s="2280"/>
      <c r="AX760" s="2280"/>
      <c r="AY760" s="2280"/>
      <c r="AZ760" s="2280"/>
      <c r="BA760" s="2280"/>
      <c r="BB760" s="2280"/>
      <c r="BC760" s="2280"/>
      <c r="BD760" s="2280"/>
      <c r="BE760" s="2280"/>
      <c r="BF760" s="2280"/>
      <c r="BG760" s="2280"/>
      <c r="BH760" s="2280"/>
      <c r="BI760" s="2280"/>
      <c r="BJ760" s="2280"/>
    </row>
    <row r="761" spans="2:112" outlineLevel="1" x14ac:dyDescent="0.25">
      <c r="B761" s="29"/>
      <c r="C761" s="1620"/>
      <c r="D761" s="1620" t="s">
        <v>70</v>
      </c>
      <c r="E761" s="272"/>
      <c r="F761" s="1473"/>
      <c r="G761" s="1473"/>
      <c r="H761" s="1491"/>
      <c r="I761" s="1473"/>
      <c r="J761" s="1473"/>
      <c r="K761" s="198"/>
      <c r="Y761" s="2280"/>
      <c r="Z761" s="2280"/>
      <c r="AA761" s="2280"/>
      <c r="AB761" s="2280"/>
      <c r="AC761" s="2280"/>
      <c r="AD761" s="2280"/>
      <c r="AE761" s="2280"/>
      <c r="AF761" s="2280"/>
      <c r="AG761" s="2280"/>
      <c r="AH761" s="2280"/>
      <c r="AI761" s="2280"/>
      <c r="AJ761" s="2280"/>
      <c r="AK761" s="2280"/>
      <c r="AL761" s="2280"/>
      <c r="AM761" s="2280"/>
      <c r="AN761" s="2280"/>
      <c r="AO761" s="2280"/>
      <c r="AP761" s="2280"/>
      <c r="AQ761" s="2280"/>
      <c r="AR761" s="2280"/>
      <c r="AS761" s="2280"/>
      <c r="AT761" s="2280"/>
      <c r="AU761" s="2280"/>
      <c r="AV761" s="2280"/>
      <c r="AW761" s="2280"/>
      <c r="AX761" s="2280"/>
      <c r="AY761" s="2280"/>
      <c r="AZ761" s="2280"/>
      <c r="BA761" s="2280"/>
      <c r="BB761" s="2280"/>
      <c r="BC761" s="2280"/>
      <c r="BD761" s="2280"/>
      <c r="BE761" s="2280"/>
      <c r="BF761" s="2280"/>
      <c r="BG761" s="2280"/>
      <c r="BH761" s="2280"/>
      <c r="BI761" s="2280"/>
      <c r="BJ761" s="2280"/>
    </row>
    <row r="762" spans="2:112" outlineLevel="1" x14ac:dyDescent="0.25">
      <c r="B762" s="29"/>
      <c r="C762" s="1620"/>
      <c r="D762" s="1549"/>
      <c r="E762" s="272"/>
      <c r="F762" s="198"/>
      <c r="G762" s="1515"/>
      <c r="H762" s="1516"/>
      <c r="Y762" s="2280"/>
      <c r="Z762" s="2280"/>
      <c r="AA762" s="2280"/>
      <c r="AB762" s="2280"/>
      <c r="AC762" s="2280"/>
      <c r="AD762" s="2280"/>
      <c r="AE762" s="2280"/>
      <c r="AF762" s="2280"/>
      <c r="AG762" s="2280"/>
      <c r="AH762" s="2280"/>
      <c r="AI762" s="2280"/>
      <c r="AJ762" s="2280"/>
      <c r="AK762" s="2280"/>
      <c r="AL762" s="2280"/>
      <c r="AM762" s="2280"/>
      <c r="AN762" s="2280"/>
      <c r="AO762" s="2280"/>
      <c r="AP762" s="2280"/>
      <c r="AQ762" s="2280"/>
      <c r="AR762" s="2280"/>
      <c r="AS762" s="2280"/>
      <c r="AT762" s="2280"/>
      <c r="AU762" s="2280"/>
      <c r="AV762" s="2280"/>
      <c r="AW762" s="2280"/>
      <c r="AX762" s="2280"/>
      <c r="AY762" s="2280"/>
      <c r="AZ762" s="2280"/>
      <c r="BA762" s="2280"/>
      <c r="BB762" s="2280"/>
      <c r="BC762" s="2280"/>
      <c r="BD762" s="2280"/>
      <c r="BE762" s="2280"/>
      <c r="BF762" s="2280"/>
      <c r="BG762" s="2280"/>
      <c r="BH762" s="2280"/>
      <c r="BI762" s="2280"/>
      <c r="BJ762" s="2280"/>
    </row>
    <row r="763" spans="2:112" outlineLevel="1" x14ac:dyDescent="0.25">
      <c r="B763" s="29"/>
      <c r="C763" s="1620"/>
      <c r="D763" s="1549"/>
      <c r="E763" s="973"/>
      <c r="G763" s="1515"/>
      <c r="H763" s="1516"/>
      <c r="P763" s="4104"/>
      <c r="Q763" s="4104"/>
    </row>
    <row r="764" spans="2:112" outlineLevel="1" x14ac:dyDescent="0.25">
      <c r="B764" s="29"/>
      <c r="C764" s="1620"/>
      <c r="D764" s="1549"/>
      <c r="E764" s="973"/>
      <c r="G764" s="1470"/>
      <c r="H764" s="1493"/>
      <c r="M764" s="1473"/>
      <c r="P764" s="4104"/>
      <c r="Q764" s="4104"/>
    </row>
    <row r="765" spans="2:112" outlineLevel="1" x14ac:dyDescent="0.25">
      <c r="B765" s="29"/>
      <c r="C765" s="1620"/>
      <c r="D765" s="1549"/>
      <c r="E765" s="973"/>
      <c r="G765" s="1470"/>
      <c r="H765" s="1493"/>
      <c r="M765" s="1473"/>
      <c r="P765" s="4104"/>
      <c r="Q765" s="4104"/>
    </row>
    <row r="766" spans="2:112" outlineLevel="1" x14ac:dyDescent="0.25">
      <c r="B766" s="29"/>
      <c r="C766" s="1620"/>
      <c r="D766" s="1549"/>
      <c r="E766" s="973"/>
      <c r="G766" s="1470"/>
      <c r="H766" s="1493"/>
      <c r="M766" s="1473"/>
    </row>
    <row r="767" spans="2:112" outlineLevel="1" x14ac:dyDescent="0.25">
      <c r="B767" s="29"/>
      <c r="C767" s="1620"/>
      <c r="D767" s="1549"/>
      <c r="E767" s="973"/>
      <c r="G767" s="1470"/>
      <c r="H767" s="1493"/>
    </row>
    <row r="768" spans="2:112" s="77" customFormat="1" outlineLevel="1" x14ac:dyDescent="0.25">
      <c r="C768" s="198"/>
      <c r="D768" s="1406" t="s">
        <v>17</v>
      </c>
      <c r="E768" s="1406" t="s">
        <v>119</v>
      </c>
      <c r="F768" s="110" t="s">
        <v>131</v>
      </c>
      <c r="G768" s="1406" t="s">
        <v>136</v>
      </c>
      <c r="H768" s="1406" t="s">
        <v>126</v>
      </c>
      <c r="I768" s="1406" t="s">
        <v>218</v>
      </c>
      <c r="J768" s="463"/>
      <c r="K768" s="463"/>
      <c r="L768" s="463"/>
      <c r="M768" s="463"/>
      <c r="N768" s="463"/>
      <c r="O768" s="463"/>
      <c r="P768" s="463"/>
      <c r="Q768" s="463"/>
      <c r="R768" s="463"/>
      <c r="S768" s="463"/>
      <c r="T768" s="463"/>
      <c r="U768" s="463"/>
      <c r="DB768" s="97"/>
    </row>
    <row r="769" spans="2:112" outlineLevel="1" x14ac:dyDescent="0.25">
      <c r="D769" s="1494" t="str">
        <f>C758</f>
        <v>805950_2019_12_</v>
      </c>
      <c r="E769" s="1494" t="str">
        <f>E758</f>
        <v>Refrigerated Beverage Vending Machine (Class A)</v>
      </c>
      <c r="F769" s="1544">
        <f>0.055*H769+2.56</f>
        <v>2.6150000000000002</v>
      </c>
      <c r="G769" s="1621">
        <f>0.0523*H769+2.432</f>
        <v>2.4842999999999997</v>
      </c>
      <c r="H769" s="121">
        <v>1</v>
      </c>
      <c r="I769" s="1596">
        <v>365.25</v>
      </c>
    </row>
    <row r="770" spans="2:112" outlineLevel="1" x14ac:dyDescent="0.25">
      <c r="D770" s="1494" t="str">
        <f>C759</f>
        <v>806000_2019_12_</v>
      </c>
      <c r="E770" s="1494" t="str">
        <f>E759</f>
        <v>Refrigerated Beverage Vending Machine (Class B)</v>
      </c>
      <c r="F770" s="1544">
        <f>0.073*H770+3.16</f>
        <v>3.2330000000000001</v>
      </c>
      <c r="G770" s="1621">
        <f>0.0657*H770+2.844</f>
        <v>2.9097</v>
      </c>
      <c r="H770" s="121">
        <v>1</v>
      </c>
      <c r="I770" s="1596">
        <v>365.25</v>
      </c>
    </row>
    <row r="773" spans="2:112" s="46" customFormat="1" x14ac:dyDescent="0.25">
      <c r="B773" s="4089" t="s">
        <v>506</v>
      </c>
      <c r="C773" s="4090"/>
      <c r="D773" s="4090"/>
      <c r="E773" s="4090"/>
      <c r="F773" s="4090"/>
      <c r="G773" s="4090"/>
      <c r="H773" s="4090"/>
      <c r="I773" s="4091"/>
      <c r="J773" s="4091"/>
      <c r="K773" s="4091"/>
      <c r="L773" s="4091"/>
      <c r="M773" s="3354"/>
      <c r="N773" s="3354"/>
      <c r="O773" s="3355"/>
      <c r="V773" s="47" t="str">
        <f>B773</f>
        <v>ECM for Walk-in &amp; Reach-in Coolers/Freezers</v>
      </c>
      <c r="W773" s="48"/>
      <c r="X773" s="48"/>
      <c r="Y773" s="48"/>
      <c r="Z773" s="48"/>
      <c r="AA773" s="48"/>
      <c r="AB773" s="48"/>
      <c r="AC773" s="48"/>
      <c r="AD773" s="48"/>
      <c r="AE773" s="48"/>
      <c r="AF773" s="48"/>
      <c r="AG773" s="48"/>
      <c r="AH773" s="48"/>
      <c r="AI773" s="49"/>
      <c r="AJ773" s="26"/>
      <c r="AK773" s="26"/>
      <c r="AL773" s="26"/>
      <c r="AM773" s="26"/>
      <c r="AN773" s="26"/>
      <c r="AO773" s="26"/>
      <c r="AP773" s="26"/>
      <c r="AQ773" s="26"/>
      <c r="AR773" s="26"/>
      <c r="AS773" s="26"/>
      <c r="AT773" s="26"/>
      <c r="AU773" s="26"/>
      <c r="DB773" s="98"/>
      <c r="DG773" s="2282"/>
      <c r="DH773" s="2282"/>
    </row>
    <row r="774" spans="2:112" x14ac:dyDescent="0.25">
      <c r="D774" s="1478"/>
      <c r="E774" s="1473"/>
      <c r="F774" s="1473"/>
      <c r="G774" s="1473"/>
      <c r="H774" s="1479"/>
      <c r="I774" s="1473"/>
      <c r="J774" s="1473"/>
      <c r="K774" s="1473"/>
      <c r="L774" s="1473"/>
      <c r="P774" s="1473"/>
      <c r="Q774" s="1473"/>
      <c r="R774" s="1473"/>
      <c r="S774" s="1473"/>
      <c r="T774" s="1473"/>
      <c r="U774" s="1473"/>
      <c r="V774"/>
      <c r="W774"/>
      <c r="X774"/>
      <c r="Y774"/>
      <c r="Z774"/>
      <c r="AA774"/>
      <c r="AB774"/>
      <c r="AC774"/>
      <c r="AD774"/>
      <c r="AE774"/>
      <c r="AF774"/>
      <c r="AG774"/>
      <c r="AH774"/>
      <c r="AI774"/>
      <c r="AJ774" s="44"/>
      <c r="AK774" s="44"/>
      <c r="AL774" s="44"/>
      <c r="AM774" s="44"/>
      <c r="AN774" s="44"/>
      <c r="AO774" s="44"/>
      <c r="AP774" s="44"/>
      <c r="AQ774" s="44"/>
      <c r="AR774" s="44"/>
      <c r="AS774" s="44"/>
      <c r="AT774" s="44"/>
      <c r="AU774" s="44"/>
    </row>
    <row r="775" spans="2:112" s="50" customFormat="1" ht="30" x14ac:dyDescent="0.25">
      <c r="B775" s="51"/>
      <c r="C775" s="52" t="s">
        <v>17</v>
      </c>
      <c r="D775" s="52" t="s">
        <v>18</v>
      </c>
      <c r="E775" s="1435" t="s">
        <v>19</v>
      </c>
      <c r="F775" s="1435" t="s">
        <v>507</v>
      </c>
      <c r="G775" s="1435" t="s">
        <v>21</v>
      </c>
      <c r="H775" s="53" t="s">
        <v>22</v>
      </c>
      <c r="I775" s="1435" t="s">
        <v>23</v>
      </c>
      <c r="J775" s="1435" t="s">
        <v>24</v>
      </c>
      <c r="K775" s="52" t="s">
        <v>508</v>
      </c>
      <c r="L775" s="52" t="s">
        <v>26</v>
      </c>
      <c r="M775" s="1470"/>
      <c r="N775" s="1470"/>
      <c r="O775" s="1470"/>
      <c r="P775" s="1480"/>
      <c r="Q775" s="1480"/>
      <c r="R775" s="1480"/>
      <c r="S775" s="1480"/>
      <c r="T775" s="1480"/>
      <c r="U775" s="1480"/>
      <c r="V775" s="55" t="s">
        <v>27</v>
      </c>
      <c r="W775" s="56">
        <f>$W$8</f>
        <v>43252</v>
      </c>
      <c r="X775" s="56">
        <f>$X$8</f>
        <v>43465</v>
      </c>
      <c r="Y775" s="56">
        <f>$Y$8</f>
        <v>43800</v>
      </c>
      <c r="Z775" s="56">
        <f>$Z$8</f>
        <v>43862</v>
      </c>
      <c r="AA775" s="56">
        <f>$AA$8</f>
        <v>44013</v>
      </c>
      <c r="AB775" s="56">
        <v>44166</v>
      </c>
      <c r="AC775" s="56" t="str">
        <f>$AC$8</f>
        <v>-</v>
      </c>
      <c r="AD775" s="56" t="str">
        <f>$AD$8</f>
        <v>-</v>
      </c>
      <c r="AE775" s="56" t="str">
        <f>$AE$8</f>
        <v>-</v>
      </c>
      <c r="AF775" s="56" t="str">
        <f>$AF$8</f>
        <v>-</v>
      </c>
      <c r="AG775" s="56" t="str">
        <f>$AG$8</f>
        <v>-</v>
      </c>
      <c r="AH775"/>
      <c r="AI775" s="55" t="s">
        <v>27</v>
      </c>
      <c r="AJ775" s="56">
        <v>43252</v>
      </c>
      <c r="AK775" s="56">
        <f>$X$8</f>
        <v>43465</v>
      </c>
      <c r="AL775" s="56">
        <f>$Y$8</f>
        <v>43800</v>
      </c>
      <c r="AM775" s="56">
        <f>$Z$8</f>
        <v>43862</v>
      </c>
      <c r="AN775" s="56">
        <f>$AA$8</f>
        <v>44013</v>
      </c>
      <c r="AO775" s="56">
        <f>$AB$8</f>
        <v>44166</v>
      </c>
      <c r="AP775" s="56" t="str">
        <f>$AC$8</f>
        <v>-</v>
      </c>
      <c r="AQ775" s="56" t="str">
        <f>$AD$8</f>
        <v>-</v>
      </c>
      <c r="AR775" s="56" t="str">
        <f>$AE$8</f>
        <v>-</v>
      </c>
      <c r="AS775" s="56" t="str">
        <f>$AF$8</f>
        <v>-</v>
      </c>
      <c r="AT775" s="29"/>
      <c r="AU775" s="55" t="s">
        <v>27</v>
      </c>
      <c r="AV775" s="56">
        <v>43252</v>
      </c>
      <c r="AW775" s="56">
        <f>$X$8</f>
        <v>43465</v>
      </c>
      <c r="AX775" s="56">
        <f>$Y$8</f>
        <v>43800</v>
      </c>
      <c r="AY775" s="56">
        <f>$Z$8</f>
        <v>43862</v>
      </c>
      <c r="AZ775" s="56">
        <f>$AA$8</f>
        <v>44013</v>
      </c>
      <c r="BA775" s="56">
        <v>44166</v>
      </c>
      <c r="BB775" s="56" t="str">
        <f>$AC$8</f>
        <v>-</v>
      </c>
      <c r="BC775" s="56" t="str">
        <f>$AD$8</f>
        <v>-</v>
      </c>
      <c r="BD775" s="56" t="str">
        <f>$AE$8</f>
        <v>-</v>
      </c>
      <c r="BE775" s="56" t="str">
        <f>$AF$8</f>
        <v>-</v>
      </c>
      <c r="DB775" s="57" t="str">
        <f>$DB$8</f>
        <v>TRC (2020)</v>
      </c>
      <c r="DC775" s="93" t="str">
        <f>$DC$8</f>
        <v>Benefit Lookup</v>
      </c>
      <c r="DD775" s="93" t="str">
        <f>$DD$8</f>
        <v>Benefits (2019 $)</v>
      </c>
      <c r="DE775" s="93" t="str">
        <f>$DE$8</f>
        <v>Incremental Cost (2019 $)</v>
      </c>
    </row>
    <row r="776" spans="2:112" x14ac:dyDescent="0.25">
      <c r="C776" s="2356" t="s">
        <v>509</v>
      </c>
      <c r="D776" s="1558" t="s">
        <v>34</v>
      </c>
      <c r="E776" s="1501" t="s">
        <v>506</v>
      </c>
      <c r="F776" s="183">
        <f>ROUND(F786*G786,2)</f>
        <v>1409</v>
      </c>
      <c r="G776" s="1482" t="s">
        <v>61</v>
      </c>
      <c r="H776" s="1483">
        <f>VLOOKUP(G776,'CP FACTORS'!$A$26:$B$38,2,FALSE)</f>
        <v>1.379439E-4</v>
      </c>
      <c r="I776" s="1502">
        <f>ROUND(H776*F776,6)</f>
        <v>0.19436300000000001</v>
      </c>
      <c r="J776" s="382">
        <v>15</v>
      </c>
      <c r="K776" s="1503">
        <v>177</v>
      </c>
      <c r="L776" s="1569" t="s">
        <v>510</v>
      </c>
      <c r="V776" s="60" t="s">
        <v>20</v>
      </c>
      <c r="W776" s="70">
        <v>1409</v>
      </c>
      <c r="X776" s="70">
        <v>1409</v>
      </c>
      <c r="Y776" s="163">
        <v>1409</v>
      </c>
      <c r="Z776" s="163">
        <v>1409</v>
      </c>
      <c r="AA776" s="163">
        <v>1409</v>
      </c>
      <c r="AB776" s="2116">
        <v>1409</v>
      </c>
      <c r="AC776" s="2510"/>
      <c r="AD776" s="2510"/>
      <c r="AE776" s="2510"/>
      <c r="AF776" s="2510"/>
      <c r="AG776" s="2510"/>
      <c r="AH776" s="2511"/>
      <c r="AI776" s="2434" t="s">
        <v>24</v>
      </c>
      <c r="AJ776" s="87">
        <v>15</v>
      </c>
      <c r="AK776" s="87">
        <v>15</v>
      </c>
      <c r="AL776" s="87">
        <v>15</v>
      </c>
      <c r="AM776" s="87">
        <v>15</v>
      </c>
      <c r="AN776" s="87">
        <v>15</v>
      </c>
      <c r="AO776" s="2873">
        <f>J776</f>
        <v>15</v>
      </c>
      <c r="AP776" s="2510"/>
      <c r="AQ776" s="2510"/>
      <c r="AR776" s="2510"/>
      <c r="AS776" s="2510"/>
      <c r="AT776" s="2280"/>
      <c r="AU776" s="2434" t="s">
        <v>25</v>
      </c>
      <c r="AV776" s="2513">
        <v>177</v>
      </c>
      <c r="AW776" s="2513">
        <v>177</v>
      </c>
      <c r="AX776" s="2513">
        <v>177</v>
      </c>
      <c r="AY776" s="2513">
        <v>177</v>
      </c>
      <c r="AZ776" s="2513">
        <v>177</v>
      </c>
      <c r="BA776" s="2514">
        <v>177</v>
      </c>
      <c r="BB776" s="2510"/>
      <c r="BC776" s="2510"/>
      <c r="BD776" s="2510"/>
      <c r="BE776" s="2510"/>
      <c r="BF776" s="2280"/>
      <c r="BG776" s="2280"/>
      <c r="BH776" s="2280"/>
      <c r="BI776" s="2280"/>
      <c r="BJ776" s="2280"/>
      <c r="BK776" s="2280"/>
      <c r="BL776" s="2280"/>
      <c r="BM776" s="2280"/>
      <c r="BN776" s="2280"/>
      <c r="BO776" s="2280"/>
      <c r="BP776" s="2280"/>
      <c r="DB776" s="107">
        <f>(DD776)/(DE776)</f>
        <v>4.5216913705641595</v>
      </c>
      <c r="DC776" s="68" t="str">
        <f>CONCATENATE(G776," ",J776," Year EUL")</f>
        <v>Miscellaneous BUS 15 Year EUL</v>
      </c>
      <c r="DD776" s="108">
        <f>(INDEX('Avoided Cost Benefits'!$C$4:$C$857,MATCH(DC776,'Avoided Cost Benefits'!$A$4:$A$857,0)))*F776</f>
        <v>755.39346162327149</v>
      </c>
      <c r="DE776" s="109">
        <f>K776/(1.0595^(2020-2019))</f>
        <v>167.05993393109955</v>
      </c>
    </row>
    <row r="777" spans="2:112" outlineLevel="1" x14ac:dyDescent="0.25">
      <c r="E777" s="1473"/>
      <c r="F777" s="1473"/>
      <c r="G777" s="1473"/>
      <c r="H777" s="1491"/>
      <c r="I777" s="1473"/>
      <c r="J777" s="1473"/>
      <c r="Y777" s="2280"/>
      <c r="Z777" s="2280"/>
      <c r="AA777" s="2280"/>
      <c r="AB777" s="2280"/>
      <c r="AC777" s="2280"/>
      <c r="AD777" s="2280"/>
      <c r="AE777" s="2280"/>
      <c r="AF777" s="2280"/>
      <c r="AG777" s="2280"/>
      <c r="AH777" s="2280"/>
      <c r="AI777" s="2280"/>
      <c r="AJ777" s="2280"/>
      <c r="AK777" s="2280"/>
      <c r="AL777" s="2280"/>
      <c r="AM777" s="2280"/>
      <c r="AN777" s="2280"/>
      <c r="AO777" s="2280"/>
      <c r="AP777" s="2280"/>
      <c r="AQ777" s="2280"/>
      <c r="AR777" s="2280"/>
      <c r="AS777" s="2280"/>
      <c r="AT777" s="2280"/>
      <c r="AU777" s="2280"/>
      <c r="AV777" s="2280"/>
      <c r="AW777" s="2280"/>
      <c r="AX777" s="2280"/>
      <c r="AY777" s="2280"/>
      <c r="AZ777" s="2280"/>
      <c r="BA777" s="2280"/>
      <c r="BB777" s="2280"/>
      <c r="BC777" s="2280"/>
      <c r="BD777" s="2280"/>
      <c r="BE777" s="2280"/>
      <c r="BF777" s="2280"/>
      <c r="BG777" s="2280"/>
      <c r="BH777" s="2280"/>
      <c r="BI777" s="2280"/>
      <c r="BJ777" s="2280"/>
      <c r="BK777" s="2280"/>
      <c r="BL777" s="2280"/>
      <c r="BM777" s="2280"/>
      <c r="BN777" s="2280"/>
      <c r="BO777" s="2280"/>
      <c r="BP777" s="2280"/>
    </row>
    <row r="778" spans="2:112" outlineLevel="1" x14ac:dyDescent="0.25">
      <c r="D778" s="1473" t="s">
        <v>70</v>
      </c>
      <c r="E778" s="198"/>
      <c r="F778" s="1473"/>
      <c r="G778" s="1473"/>
      <c r="H778" s="1491"/>
      <c r="I778" s="1473"/>
      <c r="J778" s="1473"/>
      <c r="K778" s="198"/>
      <c r="Y778" s="2280"/>
      <c r="Z778" s="2280"/>
      <c r="AA778" s="2280"/>
      <c r="AB778" s="2280"/>
      <c r="AC778" s="2280"/>
      <c r="AD778" s="2280"/>
      <c r="AE778" s="2280"/>
      <c r="AF778" s="2280"/>
      <c r="AG778" s="2280"/>
      <c r="AH778" s="2280"/>
      <c r="AI778" s="2280"/>
      <c r="AJ778" s="2280"/>
      <c r="AK778" s="2280"/>
      <c r="AL778" s="2280"/>
      <c r="AM778" s="2280"/>
      <c r="AN778" s="2280"/>
      <c r="AO778" s="2280"/>
      <c r="AP778" s="2280"/>
      <c r="AQ778" s="2280"/>
      <c r="AR778" s="2280"/>
      <c r="AS778" s="2280"/>
      <c r="AT778" s="2280"/>
      <c r="AU778" s="2280"/>
      <c r="AV778" s="2280"/>
      <c r="AW778" s="2280"/>
      <c r="AX778" s="2280"/>
      <c r="AY778" s="2280"/>
      <c r="AZ778" s="2280"/>
      <c r="BA778" s="2280"/>
      <c r="BB778" s="2280"/>
      <c r="BC778" s="2280"/>
      <c r="BD778" s="2280"/>
      <c r="BE778" s="2280"/>
      <c r="BF778" s="2280"/>
      <c r="BG778" s="2280"/>
      <c r="BH778" s="2280"/>
      <c r="BI778" s="2280"/>
      <c r="BJ778" s="2280"/>
      <c r="BK778" s="2280"/>
      <c r="BL778" s="2280"/>
      <c r="BM778" s="2280"/>
      <c r="BN778" s="2280"/>
      <c r="BO778" s="2280"/>
      <c r="BP778" s="2280"/>
    </row>
    <row r="779" spans="2:112" outlineLevel="1" x14ac:dyDescent="0.25">
      <c r="D779" s="1492"/>
      <c r="E779" s="198"/>
      <c r="F779" s="198"/>
      <c r="G779" s="1515"/>
      <c r="H779" s="1516"/>
      <c r="Y779" s="2280"/>
      <c r="Z779" s="2280"/>
      <c r="AA779" s="2280"/>
      <c r="AB779" s="2280"/>
      <c r="AC779" s="2280"/>
      <c r="AD779" s="2280"/>
      <c r="AE779" s="2280"/>
      <c r="AF779" s="2280"/>
      <c r="AG779" s="2280"/>
      <c r="AH779" s="2280"/>
      <c r="AI779" s="2280"/>
      <c r="AJ779" s="2280"/>
      <c r="AK779" s="2280"/>
      <c r="AL779" s="2280"/>
      <c r="AM779" s="2280"/>
      <c r="AN779" s="2280"/>
      <c r="AO779" s="2280"/>
      <c r="AP779" s="2280"/>
      <c r="AQ779" s="2280"/>
      <c r="AR779" s="2280"/>
      <c r="AS779" s="2280"/>
      <c r="AT779" s="2280"/>
      <c r="AU779" s="2280"/>
      <c r="AV779" s="2280"/>
      <c r="AW779" s="2280"/>
      <c r="AX779" s="2280"/>
      <c r="AY779" s="2280"/>
      <c r="AZ779" s="2280"/>
      <c r="BA779" s="2280"/>
      <c r="BB779" s="2280"/>
      <c r="BC779" s="2280"/>
      <c r="BD779" s="2280"/>
      <c r="BE779" s="2280"/>
      <c r="BF779" s="2280"/>
      <c r="BG779" s="2280"/>
      <c r="BH779" s="2280"/>
      <c r="BI779" s="2280"/>
      <c r="BJ779" s="2280"/>
      <c r="BK779" s="2280"/>
      <c r="BL779" s="2280"/>
      <c r="BM779" s="2280"/>
      <c r="BN779" s="2280"/>
      <c r="BO779" s="2280"/>
      <c r="BP779" s="2280"/>
    </row>
    <row r="780" spans="2:112" outlineLevel="1" x14ac:dyDescent="0.25">
      <c r="D780" s="1492"/>
      <c r="G780" s="1515"/>
      <c r="H780" s="1516"/>
      <c r="P780" s="4104"/>
      <c r="Q780" s="4104"/>
      <c r="Y780" s="2280"/>
      <c r="Z780" s="2280"/>
      <c r="AA780" s="2280"/>
      <c r="AB780" s="2280"/>
      <c r="AC780" s="2280"/>
      <c r="AD780" s="2280"/>
      <c r="AE780" s="2280"/>
      <c r="AF780" s="2280"/>
      <c r="AG780" s="2280"/>
      <c r="AH780" s="2280"/>
      <c r="AI780" s="2280"/>
      <c r="AJ780" s="2280"/>
      <c r="AK780" s="2280"/>
      <c r="AL780" s="2280"/>
      <c r="AM780" s="2280"/>
      <c r="AN780" s="2280"/>
      <c r="AO780" s="2280"/>
      <c r="AP780" s="2280"/>
      <c r="AQ780" s="2280"/>
      <c r="AR780" s="2280"/>
      <c r="AS780" s="2280"/>
      <c r="AT780" s="2280"/>
      <c r="AU780" s="2280"/>
      <c r="AV780" s="2280"/>
      <c r="AW780" s="2280"/>
      <c r="AX780" s="2280"/>
      <c r="AY780" s="2280"/>
      <c r="AZ780" s="2280"/>
      <c r="BA780" s="2280"/>
      <c r="BB780" s="2280"/>
      <c r="BC780" s="2280"/>
      <c r="BD780" s="2280"/>
      <c r="BE780" s="2280"/>
      <c r="BF780" s="2280"/>
      <c r="BG780" s="2280"/>
      <c r="BH780" s="2280"/>
      <c r="BI780" s="2280"/>
      <c r="BJ780" s="2280"/>
      <c r="BK780" s="2280"/>
      <c r="BL780" s="2280"/>
      <c r="BM780" s="2280"/>
      <c r="BN780" s="2280"/>
      <c r="BO780" s="2280"/>
      <c r="BP780" s="2280"/>
    </row>
    <row r="781" spans="2:112" outlineLevel="1" x14ac:dyDescent="0.25">
      <c r="D781" s="1492"/>
      <c r="G781" s="1470"/>
      <c r="H781" s="1493"/>
      <c r="M781" s="1473"/>
      <c r="P781" s="4104"/>
      <c r="Q781" s="4104"/>
      <c r="Y781" s="2280"/>
      <c r="Z781" s="2280"/>
      <c r="AA781" s="2280"/>
      <c r="AB781" s="2280"/>
      <c r="AC781" s="2280"/>
      <c r="AD781" s="2280"/>
      <c r="AE781" s="2280"/>
      <c r="AF781" s="2280"/>
      <c r="AG781" s="2280"/>
      <c r="AH781" s="2280"/>
      <c r="AI781" s="2280"/>
      <c r="AJ781" s="2280"/>
      <c r="AK781" s="2280"/>
      <c r="AL781" s="2280"/>
      <c r="AM781" s="2280"/>
      <c r="AN781" s="2280"/>
      <c r="AO781" s="2280"/>
      <c r="AP781" s="2280"/>
      <c r="AQ781" s="2280"/>
      <c r="AR781" s="2280"/>
      <c r="AS781" s="2280"/>
      <c r="AT781" s="2280"/>
      <c r="AU781" s="2280"/>
      <c r="AV781" s="2280"/>
      <c r="AW781" s="2280"/>
      <c r="AX781" s="2280"/>
      <c r="AY781" s="2280"/>
      <c r="AZ781" s="2280"/>
      <c r="BA781" s="2280"/>
      <c r="BB781" s="2280"/>
      <c r="BC781" s="2280"/>
      <c r="BD781" s="2280"/>
      <c r="BE781" s="2280"/>
      <c r="BF781" s="2280"/>
      <c r="BG781" s="2280"/>
      <c r="BH781" s="2280"/>
      <c r="BI781" s="2280"/>
      <c r="BJ781" s="2280"/>
      <c r="BK781" s="2280"/>
      <c r="BL781" s="2280"/>
      <c r="BM781" s="2280"/>
      <c r="BN781" s="2280"/>
      <c r="BO781" s="2280"/>
      <c r="BP781" s="2280"/>
    </row>
    <row r="782" spans="2:112" outlineLevel="1" x14ac:dyDescent="0.25">
      <c r="D782" s="1492"/>
      <c r="G782" s="1470"/>
      <c r="H782" s="1493"/>
      <c r="M782" s="1473"/>
      <c r="P782" s="4104"/>
      <c r="Q782" s="4104"/>
    </row>
    <row r="783" spans="2:112" outlineLevel="1" x14ac:dyDescent="0.25">
      <c r="D783" s="1492"/>
      <c r="G783" s="1470"/>
      <c r="H783" s="1493"/>
      <c r="M783" s="1473"/>
    </row>
    <row r="784" spans="2:112" outlineLevel="1" x14ac:dyDescent="0.25">
      <c r="D784" s="1492"/>
      <c r="G784" s="1470"/>
      <c r="H784" s="1493"/>
    </row>
    <row r="785" spans="2:109" s="77" customFormat="1" ht="30" outlineLevel="1" x14ac:dyDescent="0.25">
      <c r="C785" s="198"/>
      <c r="D785" s="1406" t="s">
        <v>17</v>
      </c>
      <c r="E785" s="1406" t="s">
        <v>119</v>
      </c>
      <c r="F785" s="110" t="s">
        <v>511</v>
      </c>
      <c r="G785" s="1406" t="s">
        <v>512</v>
      </c>
      <c r="H785" s="463"/>
      <c r="I785" s="463"/>
      <c r="J785" s="463"/>
      <c r="K785" s="463"/>
      <c r="L785" s="463"/>
      <c r="M785" s="463"/>
      <c r="N785" s="463"/>
      <c r="O785" s="463"/>
      <c r="P785" s="463"/>
      <c r="Q785" s="463"/>
      <c r="R785" s="463"/>
      <c r="S785" s="463"/>
      <c r="T785" s="463"/>
      <c r="U785" s="463"/>
      <c r="DB785" s="97"/>
    </row>
    <row r="786" spans="2:109" outlineLevel="1" x14ac:dyDescent="0.25">
      <c r="D786" s="1494" t="str">
        <f>C776</f>
        <v>806050_2019_12_</v>
      </c>
      <c r="E786" s="1494" t="str">
        <f>E776</f>
        <v>ECM for Walk-in &amp; Reach-in Coolers/Freezers</v>
      </c>
      <c r="F786" s="1551">
        <v>1409</v>
      </c>
      <c r="G786" s="1556">
        <v>1</v>
      </c>
      <c r="H786" s="1470"/>
    </row>
    <row r="788" spans="2:109" s="2278" customFormat="1" x14ac:dyDescent="0.25">
      <c r="C788" s="2313"/>
      <c r="D788" s="2313"/>
      <c r="E788" s="2312"/>
      <c r="F788" s="2312"/>
      <c r="G788" s="2315"/>
      <c r="H788" s="2316"/>
      <c r="I788" s="2312"/>
      <c r="J788" s="2312"/>
      <c r="K788" s="2312"/>
      <c r="L788" s="2312"/>
      <c r="M788" s="2312"/>
      <c r="N788" s="2312"/>
      <c r="O788" s="2312"/>
      <c r="P788" s="2312"/>
      <c r="Q788" s="2312"/>
      <c r="R788" s="2312"/>
      <c r="S788" s="2312"/>
      <c r="T788" s="2312"/>
      <c r="U788" s="2312"/>
      <c r="CE788" s="2277"/>
      <c r="CF788" s="2277"/>
      <c r="CG788" s="2277"/>
      <c r="CH788" s="2277"/>
      <c r="CT788" s="2277"/>
      <c r="CU788" s="2277"/>
      <c r="CV788" s="2277"/>
      <c r="CW788" s="2277"/>
      <c r="DB788" s="2279"/>
    </row>
    <row r="789" spans="2:109" s="2278" customFormat="1" x14ac:dyDescent="0.25">
      <c r="B789" s="4106" t="s">
        <v>3433</v>
      </c>
      <c r="C789" s="4107"/>
      <c r="D789" s="4107"/>
      <c r="E789" s="4107"/>
      <c r="F789" s="4107"/>
      <c r="G789" s="4107"/>
      <c r="H789" s="4107"/>
      <c r="I789" s="4107"/>
      <c r="J789" s="4107"/>
      <c r="K789" s="4107"/>
      <c r="L789" s="4107"/>
      <c r="M789" s="4107"/>
      <c r="N789" s="4107"/>
      <c r="O789" s="4108"/>
      <c r="P789" s="2312"/>
      <c r="Q789" s="2312"/>
      <c r="R789" s="2312"/>
      <c r="S789" s="2312"/>
      <c r="T789" s="2312"/>
      <c r="U789" s="2312"/>
      <c r="V789" s="2328" t="str">
        <f>B789</f>
        <v>High Volume Low Speed Fans</v>
      </c>
      <c r="W789" s="2329"/>
      <c r="X789" s="2329"/>
      <c r="Y789" s="2329"/>
      <c r="Z789" s="2329"/>
      <c r="AA789" s="2329"/>
      <c r="AB789" s="2329"/>
      <c r="AC789" s="2329"/>
      <c r="AD789" s="2329"/>
      <c r="AE789" s="2329"/>
      <c r="AF789" s="2329"/>
      <c r="AG789" s="2329"/>
      <c r="AH789" s="2329"/>
      <c r="AI789" s="2330"/>
      <c r="AV789" s="2282"/>
      <c r="AW789" s="2282"/>
      <c r="AX789" s="2282"/>
      <c r="AY789" s="2282"/>
      <c r="AZ789" s="2282"/>
      <c r="BA789" s="2282"/>
      <c r="BB789" s="2282"/>
      <c r="BC789" s="2282"/>
      <c r="BD789" s="2282"/>
      <c r="BE789" s="2282"/>
      <c r="CE789" s="2277"/>
      <c r="CF789" s="2277"/>
      <c r="CG789" s="2277"/>
      <c r="CH789" s="2277"/>
      <c r="CT789" s="2277"/>
      <c r="CU789" s="2277"/>
      <c r="CV789" s="2277"/>
      <c r="CW789" s="2277"/>
      <c r="DB789" s="2279"/>
    </row>
    <row r="790" spans="2:109" s="2278" customFormat="1" x14ac:dyDescent="0.25">
      <c r="B790" s="2312"/>
      <c r="C790" s="2313"/>
      <c r="D790" s="2313"/>
      <c r="E790" s="2312"/>
      <c r="F790" s="2312"/>
      <c r="G790" s="2315"/>
      <c r="H790" s="2316"/>
      <c r="I790" s="2312"/>
      <c r="J790" s="2312"/>
      <c r="K790" s="2312"/>
      <c r="L790" s="2312"/>
      <c r="M790" s="2312"/>
      <c r="N790" s="2312"/>
      <c r="O790" s="2312"/>
      <c r="P790" s="2312"/>
      <c r="Q790" s="2312"/>
      <c r="R790" s="2312"/>
      <c r="S790" s="2312"/>
      <c r="T790" s="2312"/>
      <c r="U790" s="2312"/>
      <c r="V790" s="2277"/>
      <c r="W790" s="2277"/>
      <c r="X790" s="2277"/>
      <c r="Y790" s="2277"/>
      <c r="Z790" s="2277"/>
      <c r="AA790" s="2277"/>
      <c r="AB790" s="2277"/>
      <c r="AC790" s="2277"/>
      <c r="AD790" s="2277"/>
      <c r="AE790" s="2277"/>
      <c r="AF790" s="2277"/>
      <c r="AG790" s="2277"/>
      <c r="AH790" s="2277"/>
      <c r="AI790" s="2277"/>
      <c r="AJ790" s="2281"/>
      <c r="AK790" s="2281"/>
      <c r="AL790" s="2281"/>
      <c r="AM790" s="2281"/>
      <c r="AN790" s="2281"/>
      <c r="AO790" s="2281"/>
      <c r="AP790" s="2281"/>
      <c r="AQ790" s="2281"/>
      <c r="AR790" s="2281"/>
      <c r="AS790" s="2281"/>
      <c r="AT790" s="2281"/>
      <c r="AU790" s="2281"/>
      <c r="CE790" s="2277"/>
      <c r="CF790" s="2277"/>
      <c r="CG790" s="2277"/>
      <c r="CH790" s="2277"/>
      <c r="CT790" s="2277"/>
      <c r="CU790" s="2277"/>
      <c r="CV790" s="2277"/>
      <c r="CW790" s="2277"/>
      <c r="DB790" s="2279"/>
    </row>
    <row r="791" spans="2:109" s="2278" customFormat="1" ht="30" x14ac:dyDescent="0.25">
      <c r="B791" s="2312"/>
      <c r="C791" s="52" t="s">
        <v>17</v>
      </c>
      <c r="D791" s="52" t="s">
        <v>18</v>
      </c>
      <c r="E791" s="2339" t="s">
        <v>19</v>
      </c>
      <c r="F791" s="2339" t="s">
        <v>3434</v>
      </c>
      <c r="G791" s="2339" t="s">
        <v>21</v>
      </c>
      <c r="H791" s="53" t="s">
        <v>22</v>
      </c>
      <c r="I791" s="2339" t="s">
        <v>23</v>
      </c>
      <c r="J791" s="2339" t="s">
        <v>24</v>
      </c>
      <c r="K791" s="52" t="s">
        <v>25</v>
      </c>
      <c r="L791" s="52" t="s">
        <v>26</v>
      </c>
      <c r="M791" s="2312"/>
      <c r="N791" s="2312"/>
      <c r="O791" s="2312"/>
      <c r="P791" s="2312"/>
      <c r="Q791" s="2312"/>
      <c r="R791" s="2312"/>
      <c r="S791" s="2312"/>
      <c r="T791" s="2312"/>
      <c r="U791" s="2312"/>
      <c r="V791" s="2283" t="s">
        <v>27</v>
      </c>
      <c r="W791" s="2284">
        <f>$W$8</f>
        <v>43252</v>
      </c>
      <c r="X791" s="2284">
        <f>$X$8</f>
        <v>43465</v>
      </c>
      <c r="Y791" s="2284">
        <f>$Y$8</f>
        <v>43800</v>
      </c>
      <c r="Z791" s="2284">
        <f>$Z$8</f>
        <v>43862</v>
      </c>
      <c r="AA791" s="2284">
        <f>$AA$8</f>
        <v>44013</v>
      </c>
      <c r="AB791" s="2284">
        <v>44166</v>
      </c>
      <c r="AC791" s="2284" t="str">
        <f>$AC$8</f>
        <v>-</v>
      </c>
      <c r="AD791" s="2284" t="str">
        <f>$AD$8</f>
        <v>-</v>
      </c>
      <c r="AE791" s="2284" t="str">
        <f>$AE$8</f>
        <v>-</v>
      </c>
      <c r="AF791" s="2284" t="str">
        <f>$AF$8</f>
        <v>-</v>
      </c>
      <c r="AG791" s="2284" t="str">
        <f>$AG$8</f>
        <v>-</v>
      </c>
      <c r="AH791" s="2277"/>
      <c r="AI791" s="2283" t="s">
        <v>27</v>
      </c>
      <c r="AJ791" s="2284">
        <v>43252</v>
      </c>
      <c r="AK791" s="2284">
        <f>$X$8</f>
        <v>43465</v>
      </c>
      <c r="AL791" s="2284">
        <f>$Y$8</f>
        <v>43800</v>
      </c>
      <c r="AM791" s="2284">
        <f>$Z$8</f>
        <v>43862</v>
      </c>
      <c r="AN791" s="2284">
        <f>$AA$8</f>
        <v>44013</v>
      </c>
      <c r="AO791" s="2284">
        <f>$AB$8</f>
        <v>44166</v>
      </c>
      <c r="AP791" s="2284" t="str">
        <f>$AC$8</f>
        <v>-</v>
      </c>
      <c r="AQ791" s="2284" t="str">
        <f>$AD$8</f>
        <v>-</v>
      </c>
      <c r="AR791" s="2284" t="str">
        <f>$AE$8</f>
        <v>-</v>
      </c>
      <c r="AS791" s="2284" t="str">
        <f>$AF$8</f>
        <v>-</v>
      </c>
      <c r="AT791" s="2280"/>
      <c r="AU791" s="2283" t="s">
        <v>27</v>
      </c>
      <c r="AV791" s="2284">
        <v>43252</v>
      </c>
      <c r="AW791" s="2284">
        <f>$X$8</f>
        <v>43465</v>
      </c>
      <c r="AX791" s="2284">
        <f>$Y$8</f>
        <v>43800</v>
      </c>
      <c r="AY791" s="2284">
        <f>$Z$8</f>
        <v>43862</v>
      </c>
      <c r="AZ791" s="2284">
        <f>$AA$8</f>
        <v>44013</v>
      </c>
      <c r="BA791" s="2284">
        <v>44166</v>
      </c>
      <c r="BB791" s="2284" t="str">
        <f>$AC$8</f>
        <v>-</v>
      </c>
      <c r="BC791" s="2284" t="str">
        <f>$AD$8</f>
        <v>-</v>
      </c>
      <c r="BD791" s="2284" t="str">
        <f>$AE$8</f>
        <v>-</v>
      </c>
      <c r="BE791" s="2284" t="str">
        <f>$AF$8</f>
        <v>-</v>
      </c>
      <c r="CE791" s="2277"/>
      <c r="CF791" s="2277"/>
      <c r="CG791" s="2277"/>
      <c r="CH791" s="2277"/>
      <c r="CT791" s="2277"/>
      <c r="CU791" s="2277"/>
      <c r="CV791" s="2277"/>
      <c r="CW791" s="2277"/>
      <c r="DB791" s="2285" t="str">
        <f>$DB$8</f>
        <v>TRC (2020)</v>
      </c>
      <c r="DC791" s="2300" t="str">
        <f>$DC$8</f>
        <v>Benefit Lookup</v>
      </c>
      <c r="DD791" s="2300" t="str">
        <f>$DD$8</f>
        <v>Benefits (2019 $)</v>
      </c>
      <c r="DE791" s="2300" t="str">
        <f>$DE$8</f>
        <v>Incremental Cost (2019 $)</v>
      </c>
    </row>
    <row r="792" spans="2:109" s="2278" customFormat="1" x14ac:dyDescent="0.25">
      <c r="B792" s="2312"/>
      <c r="C792" s="2356" t="s">
        <v>3463</v>
      </c>
      <c r="D792" s="2350" t="s">
        <v>34</v>
      </c>
      <c r="E792" s="1501" t="s">
        <v>3435</v>
      </c>
      <c r="F792" s="1256">
        <f>F800*G800</f>
        <v>6577</v>
      </c>
      <c r="G792" s="1481" t="s">
        <v>258</v>
      </c>
      <c r="H792" s="1483">
        <f>VLOOKUP(G792,'CP FACTORS'!$A$26:$B$38,2,FALSE)</f>
        <v>4.4398300000000001E-4</v>
      </c>
      <c r="I792" s="2351">
        <f>F792*H792</f>
        <v>2.9200761910000002</v>
      </c>
      <c r="J792" s="2348">
        <v>10</v>
      </c>
      <c r="K792" s="1503">
        <v>4150</v>
      </c>
      <c r="L792" s="2352" t="s">
        <v>37</v>
      </c>
      <c r="M792" s="2312"/>
      <c r="N792" s="2312"/>
      <c r="O792" s="2312"/>
      <c r="P792" s="2312"/>
      <c r="Q792" s="2312"/>
      <c r="R792" s="2312"/>
      <c r="S792" s="2312"/>
      <c r="T792" s="2312"/>
      <c r="U792" s="2312"/>
      <c r="V792" s="2332" t="s">
        <v>20</v>
      </c>
      <c r="W792" s="2294"/>
      <c r="X792" s="2294"/>
      <c r="Y792" s="2294"/>
      <c r="Z792" s="2288"/>
      <c r="AA792" s="2308">
        <v>6577</v>
      </c>
      <c r="AB792" s="2116">
        <v>6577</v>
      </c>
      <c r="AC792" s="2288"/>
      <c r="AD792" s="2288"/>
      <c r="AE792" s="2288"/>
      <c r="AF792" s="2288"/>
      <c r="AG792" s="2288"/>
      <c r="AH792" s="2289"/>
      <c r="AI792" s="2332" t="s">
        <v>24</v>
      </c>
      <c r="AJ792" s="2290"/>
      <c r="AK792" s="2290"/>
      <c r="AL792" s="2290"/>
      <c r="AM792" s="2288"/>
      <c r="AN792" s="2322">
        <v>10</v>
      </c>
      <c r="AO792" s="2873">
        <f>J792</f>
        <v>10</v>
      </c>
      <c r="AP792" s="2288"/>
      <c r="AQ792" s="2288"/>
      <c r="AR792" s="2288"/>
      <c r="AS792" s="2288"/>
      <c r="AT792" s="2280"/>
      <c r="AU792" s="2332" t="s">
        <v>25</v>
      </c>
      <c r="AV792" s="2291"/>
      <c r="AW792" s="2291"/>
      <c r="AX792" s="2291"/>
      <c r="AY792" s="2288"/>
      <c r="AZ792" s="2334">
        <v>4150</v>
      </c>
      <c r="BA792" s="2357">
        <v>4150</v>
      </c>
      <c r="BB792" s="2288"/>
      <c r="BC792" s="2288"/>
      <c r="BD792" s="2288"/>
      <c r="BE792" s="2288"/>
      <c r="CE792" s="2277"/>
      <c r="CF792" s="2277"/>
      <c r="CG792" s="2277"/>
      <c r="CH792" s="2277"/>
      <c r="CT792" s="2277"/>
      <c r="CU792" s="2277"/>
      <c r="CV792" s="2277"/>
      <c r="CW792" s="2277"/>
      <c r="DB792" s="2292">
        <f>(DD792)/(DE792)</f>
        <v>1.0290050862607221</v>
      </c>
      <c r="DC792" s="2331" t="str">
        <f>CONCATENATE(G792," ",J792," Year EUL")</f>
        <v>HVAC BUS 10 Year EUL</v>
      </c>
      <c r="DD792" s="2337">
        <f>(INDEX('Avoided Cost Benefits'!$C$4:$C$857,MATCH(DC792,'Avoided Cost Benefits'!$A$4:$A$857,0)))*F792</f>
        <v>4030.5531929985805</v>
      </c>
      <c r="DE792" s="2293">
        <f>K792/(1.0595^(2020-2019))</f>
        <v>3916.9419537517692</v>
      </c>
    </row>
    <row r="793" spans="2:109" s="2278" customFormat="1" x14ac:dyDescent="0.25">
      <c r="B793" s="2312"/>
      <c r="C793" s="2356" t="s">
        <v>3464</v>
      </c>
      <c r="D793" s="2350" t="s">
        <v>34</v>
      </c>
      <c r="E793" s="1501" t="s">
        <v>3436</v>
      </c>
      <c r="F793" s="1256">
        <f t="shared" ref="F793:F794" si="161">F801*G801</f>
        <v>8543</v>
      </c>
      <c r="G793" s="1481" t="s">
        <v>258</v>
      </c>
      <c r="H793" s="1483">
        <f>VLOOKUP(G793,'CP FACTORS'!$A$26:$B$38,2,FALSE)</f>
        <v>4.4398300000000001E-4</v>
      </c>
      <c r="I793" s="2351">
        <f>F793*H793</f>
        <v>3.7929467690000003</v>
      </c>
      <c r="J793" s="2348">
        <v>10</v>
      </c>
      <c r="K793" s="1503">
        <v>4180</v>
      </c>
      <c r="L793" s="2352" t="s">
        <v>37</v>
      </c>
      <c r="M793" s="2312"/>
      <c r="N793" s="2312"/>
      <c r="O793" s="2312"/>
      <c r="P793" s="2312"/>
      <c r="Q793" s="2312"/>
      <c r="R793" s="2312"/>
      <c r="S793" s="2312"/>
      <c r="T793" s="2312"/>
      <c r="U793" s="2312"/>
      <c r="V793" s="2332" t="s">
        <v>20</v>
      </c>
      <c r="W793" s="2294"/>
      <c r="X793" s="2294"/>
      <c r="Y793" s="2294"/>
      <c r="Z793" s="2288"/>
      <c r="AA793" s="2308">
        <v>8543</v>
      </c>
      <c r="AB793" s="2116">
        <v>8543</v>
      </c>
      <c r="AC793" s="2288"/>
      <c r="AD793" s="2288"/>
      <c r="AE793" s="2288"/>
      <c r="AF793" s="2288"/>
      <c r="AG793" s="2288"/>
      <c r="AH793" s="2289"/>
      <c r="AI793" s="2332" t="s">
        <v>24</v>
      </c>
      <c r="AJ793" s="2290"/>
      <c r="AK793" s="2290"/>
      <c r="AL793" s="2290"/>
      <c r="AM793" s="2288"/>
      <c r="AN793" s="2322">
        <v>10</v>
      </c>
      <c r="AO793" s="2873">
        <f t="shared" ref="AO793:AO794" si="162">J793</f>
        <v>10</v>
      </c>
      <c r="AP793" s="2288"/>
      <c r="AQ793" s="2288"/>
      <c r="AR793" s="2288"/>
      <c r="AS793" s="2288"/>
      <c r="AT793" s="2280"/>
      <c r="AU793" s="2332" t="s">
        <v>25</v>
      </c>
      <c r="AV793" s="2291"/>
      <c r="AW793" s="2291"/>
      <c r="AX793" s="2291"/>
      <c r="AY793" s="2288"/>
      <c r="AZ793" s="2334">
        <v>4180</v>
      </c>
      <c r="BA793" s="2357">
        <v>4180</v>
      </c>
      <c r="BB793" s="2288"/>
      <c r="BC793" s="2288"/>
      <c r="BD793" s="2288"/>
      <c r="BE793" s="2288"/>
      <c r="CE793" s="2277"/>
      <c r="CF793" s="2277"/>
      <c r="CG793" s="2277"/>
      <c r="CH793" s="2277"/>
      <c r="CT793" s="2277"/>
      <c r="CU793" s="2277"/>
      <c r="CV793" s="2277"/>
      <c r="CW793" s="2277"/>
      <c r="DB793" s="2326">
        <f>(DD793)/(DE793)</f>
        <v>1.3270029883569243</v>
      </c>
      <c r="DC793" s="2295" t="str">
        <f>CONCATENATE(G793," ",J793," Year EUL")</f>
        <v>HVAC BUS 10 Year EUL</v>
      </c>
      <c r="DD793" s="2337">
        <f>(INDEX('Avoided Cost Benefits'!$C$4:$C$857,MATCH(DC793,'Avoided Cost Benefits'!$A$4:$A$857,0)))*F793</f>
        <v>5235.3680899782385</v>
      </c>
      <c r="DE793" s="2296">
        <f>K793/(1.0595^(2020-2019))</f>
        <v>3945.2571967909389</v>
      </c>
    </row>
    <row r="794" spans="2:109" s="2278" customFormat="1" x14ac:dyDescent="0.25">
      <c r="B794" s="2312"/>
      <c r="C794" s="2356" t="s">
        <v>3465</v>
      </c>
      <c r="D794" s="2350" t="s">
        <v>34</v>
      </c>
      <c r="E794" s="1501" t="s">
        <v>3437</v>
      </c>
      <c r="F794" s="1256">
        <f t="shared" si="161"/>
        <v>10018</v>
      </c>
      <c r="G794" s="1481" t="s">
        <v>258</v>
      </c>
      <c r="H794" s="1483">
        <f>VLOOKUP(G794,'CP FACTORS'!$A$26:$B$38,2,FALSE)</f>
        <v>4.4398300000000001E-4</v>
      </c>
      <c r="I794" s="2351">
        <f>F794*H794</f>
        <v>4.4478216939999999</v>
      </c>
      <c r="J794" s="2348">
        <v>10</v>
      </c>
      <c r="K794" s="1503">
        <v>4225</v>
      </c>
      <c r="L794" s="2352" t="s">
        <v>37</v>
      </c>
      <c r="M794" s="2312"/>
      <c r="N794" s="2312"/>
      <c r="O794" s="2312"/>
      <c r="P794" s="2312"/>
      <c r="Q794" s="2312"/>
      <c r="R794" s="2312"/>
      <c r="S794" s="2312"/>
      <c r="T794" s="2312"/>
      <c r="U794" s="2312"/>
      <c r="V794" s="2332" t="s">
        <v>20</v>
      </c>
      <c r="W794" s="2294"/>
      <c r="X794" s="2294"/>
      <c r="Y794" s="2294"/>
      <c r="Z794" s="2288"/>
      <c r="AA794" s="2308">
        <v>10018</v>
      </c>
      <c r="AB794" s="2116">
        <v>10018</v>
      </c>
      <c r="AC794" s="2288"/>
      <c r="AD794" s="2288"/>
      <c r="AE794" s="2288"/>
      <c r="AF794" s="2288"/>
      <c r="AG794" s="2288"/>
      <c r="AH794" s="2289"/>
      <c r="AI794" s="2332" t="s">
        <v>24</v>
      </c>
      <c r="AJ794" s="2290"/>
      <c r="AK794" s="2290"/>
      <c r="AL794" s="2290"/>
      <c r="AM794" s="2288"/>
      <c r="AN794" s="2322">
        <v>10</v>
      </c>
      <c r="AO794" s="2873">
        <f t="shared" si="162"/>
        <v>10</v>
      </c>
      <c r="AP794" s="2288"/>
      <c r="AQ794" s="2288"/>
      <c r="AR794" s="2288"/>
      <c r="AS794" s="2288"/>
      <c r="AT794" s="2280"/>
      <c r="AU794" s="2332" t="s">
        <v>25</v>
      </c>
      <c r="AV794" s="2291"/>
      <c r="AW794" s="2291"/>
      <c r="AX794" s="2291"/>
      <c r="AY794" s="2288"/>
      <c r="AZ794" s="2334">
        <v>4225</v>
      </c>
      <c r="BA794" s="2357">
        <v>4225</v>
      </c>
      <c r="BB794" s="2288"/>
      <c r="BC794" s="2288"/>
      <c r="BD794" s="2288"/>
      <c r="BE794" s="2288"/>
      <c r="CE794" s="2277"/>
      <c r="CF794" s="2277"/>
      <c r="CG794" s="2277"/>
      <c r="CH794" s="2277"/>
      <c r="CT794" s="2277"/>
      <c r="CU794" s="2277"/>
      <c r="CV794" s="2277"/>
      <c r="CW794" s="2277"/>
      <c r="DB794" s="2327">
        <f>(DD794)/(DE794)</f>
        <v>1.5395439463061122</v>
      </c>
      <c r="DC794" s="2295" t="str">
        <f>CONCATENATE(G794," ",J794," Year EUL")</f>
        <v>HVAC BUS 10 Year EUL</v>
      </c>
      <c r="DD794" s="2337">
        <f>(INDEX('Avoided Cost Benefits'!$C$4:$C$857,MATCH(DC794,'Avoided Cost Benefits'!$A$4:$A$857,0)))*F794</f>
        <v>6139.2856754538207</v>
      </c>
      <c r="DE794" s="2297">
        <f>K794/(1.0595^(2020-2019))</f>
        <v>3987.7300613496927</v>
      </c>
    </row>
    <row r="795" spans="2:109" s="2278" customFormat="1" x14ac:dyDescent="0.25">
      <c r="B795" s="2312"/>
      <c r="C795" s="2313"/>
      <c r="D795" s="2313"/>
      <c r="E795" s="2312"/>
      <c r="F795" s="2312"/>
      <c r="G795" s="2315"/>
      <c r="H795" s="2316"/>
      <c r="I795" s="2312"/>
      <c r="J795" s="2312"/>
      <c r="K795" s="2312"/>
      <c r="L795" s="2312"/>
      <c r="M795" s="2312"/>
      <c r="N795" s="2312"/>
      <c r="O795" s="2312"/>
      <c r="P795" s="2312"/>
      <c r="Q795" s="2312"/>
      <c r="R795" s="2312"/>
      <c r="S795" s="2312"/>
      <c r="T795" s="2312"/>
      <c r="U795" s="2312"/>
      <c r="CE795" s="2277"/>
      <c r="CF795" s="2277"/>
      <c r="CG795" s="2277"/>
      <c r="CH795" s="2277"/>
      <c r="CT795" s="2277"/>
      <c r="CU795" s="2277"/>
      <c r="CV795" s="2277"/>
      <c r="CW795" s="2277"/>
      <c r="DB795" s="2279"/>
    </row>
    <row r="796" spans="2:109" s="2278" customFormat="1" outlineLevel="1" x14ac:dyDescent="0.25">
      <c r="B796" s="2312"/>
      <c r="C796" s="2313"/>
      <c r="D796" s="2313"/>
      <c r="E796" s="2312"/>
      <c r="F796" s="2312"/>
      <c r="G796" s="2315"/>
      <c r="H796" s="2316"/>
      <c r="I796" s="2312"/>
      <c r="J796" s="2312"/>
      <c r="K796" s="2312"/>
      <c r="L796" s="2312"/>
      <c r="M796" s="2312"/>
      <c r="N796" s="2312"/>
      <c r="O796" s="2312"/>
      <c r="P796" s="2312"/>
      <c r="Q796" s="2312"/>
      <c r="R796" s="2312"/>
      <c r="S796" s="2312"/>
      <c r="T796" s="2312"/>
      <c r="U796" s="2312"/>
      <c r="CE796" s="2277"/>
      <c r="CF796" s="2277"/>
      <c r="CG796" s="2277"/>
      <c r="CH796" s="2277"/>
      <c r="CT796" s="2277"/>
      <c r="CU796" s="2277"/>
      <c r="CV796" s="2277"/>
      <c r="CW796" s="2277"/>
      <c r="DB796" s="2279"/>
    </row>
    <row r="797" spans="2:109" s="2278" customFormat="1" outlineLevel="1" x14ac:dyDescent="0.25">
      <c r="B797" s="2312"/>
      <c r="C797" s="2313"/>
      <c r="D797" s="2313"/>
      <c r="E797" s="2312"/>
      <c r="F797" s="2312"/>
      <c r="G797" s="2315"/>
      <c r="H797" s="2316"/>
      <c r="I797" s="2312"/>
      <c r="J797" s="2312"/>
      <c r="K797" s="2312"/>
      <c r="L797" s="2312"/>
      <c r="M797" s="2312"/>
      <c r="N797" s="2312"/>
      <c r="O797" s="2312"/>
      <c r="P797" s="2312"/>
      <c r="Q797" s="2312"/>
      <c r="R797" s="2312"/>
      <c r="S797" s="2312"/>
      <c r="T797" s="2312"/>
      <c r="U797" s="2312"/>
      <c r="CE797" s="2277"/>
      <c r="CF797" s="2277"/>
      <c r="CG797" s="2277"/>
      <c r="CH797" s="2277"/>
      <c r="CT797" s="2277"/>
      <c r="CU797" s="2277"/>
      <c r="CV797" s="2277"/>
      <c r="CW797" s="2277"/>
      <c r="DB797" s="2279"/>
    </row>
    <row r="798" spans="2:109" s="2278" customFormat="1" outlineLevel="1" x14ac:dyDescent="0.25">
      <c r="B798" s="2312"/>
      <c r="C798" s="2313"/>
      <c r="D798" s="2313"/>
      <c r="E798" s="2312"/>
      <c r="F798" s="2312"/>
      <c r="G798" s="2315"/>
      <c r="H798" s="2316"/>
      <c r="I798" s="2312"/>
      <c r="J798" s="2312"/>
      <c r="K798" s="2312"/>
      <c r="L798" s="2312"/>
      <c r="M798" s="2312"/>
      <c r="N798" s="2312"/>
      <c r="O798" s="2312"/>
      <c r="P798" s="2312"/>
      <c r="Q798" s="2312"/>
      <c r="R798" s="2312"/>
      <c r="S798" s="2312"/>
      <c r="T798" s="2312"/>
      <c r="U798" s="2312"/>
      <c r="CE798" s="2277"/>
      <c r="CF798" s="2277"/>
      <c r="CG798" s="2277"/>
      <c r="CH798" s="2277"/>
      <c r="CT798" s="2277"/>
      <c r="CU798" s="2277"/>
      <c r="CV798" s="2277"/>
      <c r="CW798" s="2277"/>
      <c r="DB798" s="2279"/>
    </row>
    <row r="799" spans="2:109" s="2278" customFormat="1" ht="30" outlineLevel="1" x14ac:dyDescent="0.25">
      <c r="B799" s="2312"/>
      <c r="C799" s="2313"/>
      <c r="D799" s="2338" t="s">
        <v>17</v>
      </c>
      <c r="E799" s="2338" t="s">
        <v>119</v>
      </c>
      <c r="F799" s="110" t="s">
        <v>3438</v>
      </c>
      <c r="G799" s="2338" t="s">
        <v>3439</v>
      </c>
      <c r="H799" s="2316"/>
      <c r="I799" s="2312"/>
      <c r="J799" s="2312"/>
      <c r="K799" s="2312"/>
      <c r="L799" s="2312"/>
      <c r="M799" s="2312"/>
      <c r="N799" s="2312"/>
      <c r="O799" s="2312"/>
      <c r="P799" s="2312"/>
      <c r="Q799" s="2312"/>
      <c r="R799" s="2312"/>
      <c r="S799" s="2312"/>
      <c r="T799" s="2312"/>
      <c r="U799" s="2312"/>
      <c r="CE799" s="2277"/>
      <c r="CF799" s="2277"/>
      <c r="CG799" s="2277"/>
      <c r="CH799" s="2277"/>
      <c r="CT799" s="2277"/>
      <c r="CU799" s="2277"/>
      <c r="CV799" s="2277"/>
      <c r="CW799" s="2277"/>
      <c r="DB799" s="2279"/>
    </row>
    <row r="800" spans="2:109" s="2278" customFormat="1" outlineLevel="1" x14ac:dyDescent="0.25">
      <c r="B800" s="2312"/>
      <c r="C800" s="2313"/>
      <c r="D800" s="2314" t="str">
        <f>C792</f>
        <v>806100_2020_07_</v>
      </c>
      <c r="E800" s="1501" t="s">
        <v>3435</v>
      </c>
      <c r="F800" s="1256">
        <v>6577</v>
      </c>
      <c r="G800" s="1556">
        <v>1</v>
      </c>
      <c r="H800" s="2316"/>
      <c r="I800" s="2312"/>
      <c r="J800" s="2312"/>
      <c r="K800" s="2312"/>
      <c r="L800" s="2312"/>
      <c r="M800" s="2312"/>
      <c r="N800" s="2312"/>
      <c r="O800" s="2312"/>
      <c r="P800" s="2312"/>
      <c r="Q800" s="2312"/>
      <c r="R800" s="2312"/>
      <c r="S800" s="2312"/>
      <c r="T800" s="2312"/>
      <c r="U800" s="2312"/>
      <c r="CE800" s="2277"/>
      <c r="CF800" s="2277"/>
      <c r="CG800" s="2277"/>
      <c r="CH800" s="2277"/>
      <c r="CT800" s="2277"/>
      <c r="CU800" s="2277"/>
      <c r="CV800" s="2277"/>
      <c r="CW800" s="2277"/>
      <c r="DB800" s="2279"/>
    </row>
    <row r="801" spans="2:112" s="2278" customFormat="1" outlineLevel="1" x14ac:dyDescent="0.25">
      <c r="B801" s="2312"/>
      <c r="C801" s="2313"/>
      <c r="D801" s="2314" t="str">
        <f t="shared" ref="D801:D802" si="163">C793</f>
        <v>806110_2020_07_</v>
      </c>
      <c r="E801" s="1501" t="s">
        <v>3436</v>
      </c>
      <c r="F801" s="1256">
        <v>8543</v>
      </c>
      <c r="G801" s="1556">
        <v>1</v>
      </c>
      <c r="H801" s="2316"/>
      <c r="I801" s="2312"/>
      <c r="J801" s="2312"/>
      <c r="K801" s="2312"/>
      <c r="L801" s="2312"/>
      <c r="M801" s="2312"/>
      <c r="N801" s="2312"/>
      <c r="O801" s="2312"/>
      <c r="P801" s="2312"/>
      <c r="Q801" s="2312"/>
      <c r="R801" s="2312"/>
      <c r="S801" s="2312"/>
      <c r="T801" s="2312"/>
      <c r="U801" s="2312"/>
      <c r="CE801" s="2277"/>
      <c r="CF801" s="2277"/>
      <c r="CG801" s="2277"/>
      <c r="CH801" s="2277"/>
      <c r="CT801" s="2277"/>
      <c r="CU801" s="2277"/>
      <c r="CV801" s="2277"/>
      <c r="CW801" s="2277"/>
      <c r="DB801" s="2279"/>
    </row>
    <row r="802" spans="2:112" s="2278" customFormat="1" outlineLevel="1" x14ac:dyDescent="0.25">
      <c r="B802" s="2312"/>
      <c r="C802" s="2313"/>
      <c r="D802" s="2314" t="str">
        <f t="shared" si="163"/>
        <v>806120_2020_07_</v>
      </c>
      <c r="E802" s="1501" t="s">
        <v>3437</v>
      </c>
      <c r="F802" s="1256">
        <v>10018</v>
      </c>
      <c r="G802" s="1556">
        <v>1</v>
      </c>
      <c r="H802" s="2316"/>
      <c r="I802" s="2312"/>
      <c r="J802" s="2312"/>
      <c r="K802" s="2312"/>
      <c r="L802" s="2312"/>
      <c r="M802" s="2312"/>
      <c r="N802" s="2312"/>
      <c r="O802" s="2312"/>
      <c r="P802" s="2312"/>
      <c r="Q802" s="2312"/>
      <c r="R802" s="2312"/>
      <c r="S802" s="2312"/>
      <c r="T802" s="2312"/>
      <c r="U802" s="2312"/>
      <c r="CE802" s="2277"/>
      <c r="CF802" s="2277"/>
      <c r="CG802" s="2277"/>
      <c r="CH802" s="2277"/>
      <c r="CT802" s="2277"/>
      <c r="CU802" s="2277"/>
      <c r="CV802" s="2277"/>
      <c r="CW802" s="2277"/>
      <c r="DB802" s="2279"/>
    </row>
    <row r="803" spans="2:112" s="2278" customFormat="1" x14ac:dyDescent="0.25">
      <c r="B803" s="2312"/>
      <c r="C803" s="2313"/>
      <c r="D803" s="2313"/>
      <c r="E803" s="2312"/>
      <c r="F803" s="2312"/>
      <c r="G803" s="2315"/>
      <c r="H803" s="2316"/>
      <c r="I803" s="2312"/>
      <c r="J803" s="2312"/>
      <c r="K803" s="2312"/>
      <c r="L803" s="2312"/>
      <c r="M803" s="2312"/>
      <c r="N803" s="2312"/>
      <c r="O803" s="2312"/>
      <c r="P803" s="2312"/>
      <c r="Q803" s="2312"/>
      <c r="R803" s="2312"/>
      <c r="S803" s="2312"/>
      <c r="T803" s="2312"/>
      <c r="U803" s="2312"/>
      <c r="CE803" s="2277"/>
      <c r="CF803" s="2277"/>
      <c r="CG803" s="2277"/>
      <c r="CH803" s="2277"/>
      <c r="CT803" s="2277"/>
      <c r="CU803" s="2277"/>
      <c r="CV803" s="2277"/>
      <c r="CW803" s="2277"/>
      <c r="DB803" s="2279"/>
    </row>
    <row r="804" spans="2:112" s="46" customFormat="1" x14ac:dyDescent="0.25">
      <c r="B804" s="4089" t="s">
        <v>513</v>
      </c>
      <c r="C804" s="4090"/>
      <c r="D804" s="4090"/>
      <c r="E804" s="4090"/>
      <c r="F804" s="4090"/>
      <c r="G804" s="4090"/>
      <c r="H804" s="4090"/>
      <c r="I804" s="4091"/>
      <c r="J804" s="4091"/>
      <c r="K804" s="4091"/>
      <c r="L804" s="4091"/>
      <c r="M804" s="3354"/>
      <c r="N804" s="3354"/>
      <c r="O804" s="3355"/>
      <c r="V804" s="47" t="str">
        <f>B804</f>
        <v>Custom Measure</v>
      </c>
      <c r="W804" s="48"/>
      <c r="X804" s="48"/>
      <c r="Y804" s="48"/>
      <c r="Z804" s="48"/>
      <c r="AA804" s="48"/>
      <c r="AB804" s="48"/>
      <c r="AC804" s="48"/>
      <c r="AD804" s="48"/>
      <c r="AE804" s="48"/>
      <c r="AF804" s="48"/>
      <c r="AG804" s="48"/>
      <c r="AH804" s="48"/>
      <c r="AI804" s="49"/>
      <c r="AJ804" s="26"/>
      <c r="AK804" s="26"/>
      <c r="AL804" s="26"/>
      <c r="AM804" s="26"/>
      <c r="AN804" s="26"/>
      <c r="AO804" s="26"/>
      <c r="AP804" s="26"/>
      <c r="AQ804" s="26"/>
      <c r="AR804" s="26"/>
      <c r="AS804" s="26"/>
      <c r="AT804" s="26"/>
      <c r="AU804" s="26"/>
      <c r="DB804" s="98"/>
      <c r="DG804" s="2282"/>
      <c r="DH804" s="2282"/>
    </row>
    <row r="805" spans="2:112" x14ac:dyDescent="0.25">
      <c r="D805" s="1478"/>
      <c r="E805" s="1473"/>
      <c r="F805" s="1473"/>
      <c r="G805" s="1473"/>
      <c r="H805" s="1479"/>
      <c r="I805" s="1473"/>
      <c r="J805" s="1473"/>
      <c r="K805" s="1473"/>
      <c r="L805" s="1473"/>
      <c r="P805" s="1473"/>
      <c r="Q805" s="1473"/>
      <c r="R805" s="1473"/>
      <c r="S805" s="1473"/>
      <c r="T805" s="1473"/>
      <c r="U805" s="1473"/>
      <c r="V805"/>
      <c r="W805"/>
      <c r="X805"/>
      <c r="Y805"/>
      <c r="Z805"/>
      <c r="AA805"/>
      <c r="AB805"/>
      <c r="AC805"/>
      <c r="AD805"/>
      <c r="AE805"/>
      <c r="AF805"/>
      <c r="AG805"/>
      <c r="AH805"/>
      <c r="AI805"/>
      <c r="AJ805" s="44"/>
      <c r="AK805" s="44"/>
      <c r="AL805" s="44"/>
      <c r="AM805" s="44"/>
      <c r="AN805" s="44"/>
      <c r="AO805" s="44"/>
      <c r="AP805" s="44"/>
      <c r="AQ805" s="44"/>
      <c r="AR805" s="44"/>
      <c r="AS805" s="44"/>
      <c r="AT805" s="44"/>
      <c r="AU805" s="44"/>
    </row>
    <row r="806" spans="2:112" s="50" customFormat="1" ht="30" x14ac:dyDescent="0.25">
      <c r="B806" s="51"/>
      <c r="C806" s="52" t="s">
        <v>17</v>
      </c>
      <c r="D806" s="52" t="s">
        <v>18</v>
      </c>
      <c r="E806" s="1435" t="s">
        <v>19</v>
      </c>
      <c r="F806" s="1435" t="s">
        <v>507</v>
      </c>
      <c r="G806" s="1435" t="s">
        <v>21</v>
      </c>
      <c r="H806" s="53" t="s">
        <v>22</v>
      </c>
      <c r="I806" s="1435" t="s">
        <v>23</v>
      </c>
      <c r="J806" s="1435" t="s">
        <v>24</v>
      </c>
      <c r="K806" s="52" t="s">
        <v>508</v>
      </c>
      <c r="L806" s="52" t="s">
        <v>26</v>
      </c>
      <c r="M806" s="1470"/>
      <c r="N806" s="1470"/>
      <c r="O806" s="1470"/>
      <c r="P806" s="1480"/>
      <c r="Q806" s="1480"/>
      <c r="R806" s="1480"/>
      <c r="S806" s="1480"/>
      <c r="T806" s="1480"/>
      <c r="U806" s="1480"/>
      <c r="V806" s="55" t="s">
        <v>27</v>
      </c>
      <c r="W806" s="56">
        <f>$W$8</f>
        <v>43252</v>
      </c>
      <c r="X806" s="56">
        <f>$X$8</f>
        <v>43465</v>
      </c>
      <c r="Y806" s="56">
        <f>$Y$8</f>
        <v>43800</v>
      </c>
      <c r="Z806" s="56">
        <f>$Z$8</f>
        <v>43862</v>
      </c>
      <c r="AA806" s="56">
        <f>$AA$8</f>
        <v>44013</v>
      </c>
      <c r="AB806" s="56">
        <v>44166</v>
      </c>
      <c r="AC806" s="56" t="str">
        <f>$AC$8</f>
        <v>-</v>
      </c>
      <c r="AD806" s="56" t="str">
        <f>$AD$8</f>
        <v>-</v>
      </c>
      <c r="AE806" s="56" t="str">
        <f>$AE$8</f>
        <v>-</v>
      </c>
      <c r="AF806" s="56" t="str">
        <f>$AF$8</f>
        <v>-</v>
      </c>
      <c r="AG806" s="56" t="str">
        <f>$AG$8</f>
        <v>-</v>
      </c>
      <c r="AH806"/>
      <c r="AI806" s="55" t="s">
        <v>27</v>
      </c>
      <c r="AJ806" s="56">
        <v>43252</v>
      </c>
      <c r="AK806" s="56">
        <f>$X$8</f>
        <v>43465</v>
      </c>
      <c r="AL806" s="56">
        <f>$Y$8</f>
        <v>43800</v>
      </c>
      <c r="AM806" s="56">
        <f>$Z$8</f>
        <v>43862</v>
      </c>
      <c r="AN806" s="56">
        <f>$AA$8</f>
        <v>44013</v>
      </c>
      <c r="AO806" s="56">
        <f>$AB$8</f>
        <v>44166</v>
      </c>
      <c r="AP806" s="56" t="str">
        <f>$AC$8</f>
        <v>-</v>
      </c>
      <c r="AQ806" s="56" t="str">
        <f>$AD$8</f>
        <v>-</v>
      </c>
      <c r="AR806" s="56" t="str">
        <f>$AE$8</f>
        <v>-</v>
      </c>
      <c r="AS806" s="56" t="str">
        <f>$AF$8</f>
        <v>-</v>
      </c>
      <c r="AT806" s="29"/>
      <c r="AU806" s="55" t="s">
        <v>27</v>
      </c>
      <c r="AV806" s="56">
        <v>43252</v>
      </c>
      <c r="AW806" s="56">
        <f>$X$8</f>
        <v>43465</v>
      </c>
      <c r="AX806" s="56">
        <f>$Y$8</f>
        <v>43800</v>
      </c>
      <c r="AY806" s="56">
        <f>$Z$8</f>
        <v>43862</v>
      </c>
      <c r="AZ806" s="56">
        <f>$AA$8</f>
        <v>44013</v>
      </c>
      <c r="BA806" s="56">
        <v>44166</v>
      </c>
      <c r="BB806" s="56" t="str">
        <f>$AC$8</f>
        <v>-</v>
      </c>
      <c r="BC806" s="56" t="str">
        <f>$AD$8</f>
        <v>-</v>
      </c>
      <c r="BD806" s="56" t="str">
        <f>$AE$8</f>
        <v>-</v>
      </c>
      <c r="BE806" s="56" t="str">
        <f>$AF$8</f>
        <v>-</v>
      </c>
      <c r="DB806" s="57" t="str">
        <f>$DB$8</f>
        <v>TRC (2020)</v>
      </c>
      <c r="DC806" s="93" t="str">
        <f>$DC$8</f>
        <v>Benefit Lookup</v>
      </c>
      <c r="DD806" s="93" t="str">
        <f>$DD$8</f>
        <v>Benefits (2019 $)</v>
      </c>
      <c r="DE806" s="93" t="str">
        <f>$DE$8</f>
        <v>Incremental Cost (2019 $)</v>
      </c>
    </row>
    <row r="807" spans="2:112" x14ac:dyDescent="0.25">
      <c r="C807" s="2356" t="s">
        <v>514</v>
      </c>
      <c r="D807" s="1558" t="s">
        <v>34</v>
      </c>
      <c r="E807" s="1501" t="s">
        <v>515</v>
      </c>
      <c r="F807" s="87" t="s">
        <v>515</v>
      </c>
      <c r="G807" s="1482" t="s">
        <v>516</v>
      </c>
      <c r="H807" s="1483" t="s">
        <v>516</v>
      </c>
      <c r="I807" s="1616" t="s">
        <v>515</v>
      </c>
      <c r="J807" s="382" t="s">
        <v>515</v>
      </c>
      <c r="K807" s="1503" t="s">
        <v>515</v>
      </c>
      <c r="L807" s="1569" t="s">
        <v>515</v>
      </c>
      <c r="V807" s="130" t="s">
        <v>20</v>
      </c>
      <c r="W807" s="62" t="s">
        <v>515</v>
      </c>
      <c r="X807" s="62" t="s">
        <v>515</v>
      </c>
      <c r="Y807" s="2509" t="s">
        <v>515</v>
      </c>
      <c r="Z807" s="163" t="s">
        <v>515</v>
      </c>
      <c r="AA807" s="163" t="s">
        <v>515</v>
      </c>
      <c r="AB807" s="2116" t="s">
        <v>515</v>
      </c>
      <c r="AC807" s="2373"/>
      <c r="AD807" s="2373"/>
      <c r="AE807" s="2373"/>
      <c r="AF807" s="2373"/>
      <c r="AG807" s="2373"/>
      <c r="AH807" s="2137"/>
      <c r="AI807" s="609" t="s">
        <v>24</v>
      </c>
      <c r="AJ807" s="2269" t="s">
        <v>515</v>
      </c>
      <c r="AK807" s="2269" t="s">
        <v>515</v>
      </c>
      <c r="AL807" s="2269" t="s">
        <v>515</v>
      </c>
      <c r="AM807" s="87" t="s">
        <v>515</v>
      </c>
      <c r="AN807" s="87" t="s">
        <v>515</v>
      </c>
      <c r="AO807" s="1670" t="s">
        <v>515</v>
      </c>
      <c r="AP807" s="2373"/>
      <c r="AQ807" s="2373"/>
      <c r="AR807" s="2373"/>
      <c r="AS807" s="2373"/>
      <c r="AT807" s="127"/>
      <c r="AU807" s="609" t="s">
        <v>25</v>
      </c>
      <c r="AV807" s="2496" t="s">
        <v>515</v>
      </c>
      <c r="AW807" s="2496" t="s">
        <v>515</v>
      </c>
      <c r="AX807" s="2496" t="s">
        <v>515</v>
      </c>
      <c r="AY807" s="87" t="s">
        <v>515</v>
      </c>
      <c r="AZ807" s="87" t="s">
        <v>515</v>
      </c>
      <c r="BA807" s="2357" t="s">
        <v>515</v>
      </c>
      <c r="BB807" s="2373"/>
      <c r="BC807" s="2373"/>
      <c r="BD807" s="2373"/>
      <c r="BE807" s="2373"/>
      <c r="BF807" s="2280"/>
      <c r="BG807" s="2280"/>
      <c r="BH807" s="2280"/>
      <c r="BI807" s="2280"/>
      <c r="BJ807" s="2280"/>
      <c r="BK807" s="2280"/>
      <c r="BL807" s="2280"/>
      <c r="BM807" s="2280"/>
      <c r="BN807" s="2280"/>
      <c r="BO807" s="2280"/>
      <c r="BP807" s="2280"/>
      <c r="DB807" s="3325" t="s">
        <v>515</v>
      </c>
      <c r="DC807" s="1090" t="str">
        <f>CONCATENATE(G807," ",J807," Year EUL")</f>
        <v>Variable Custom Year EUL</v>
      </c>
      <c r="DD807" s="2302" t="s">
        <v>515</v>
      </c>
      <c r="DE807" s="2303" t="s">
        <v>515</v>
      </c>
    </row>
    <row r="808" spans="2:112" x14ac:dyDescent="0.25">
      <c r="Y808" s="2280"/>
      <c r="Z808" s="2280"/>
      <c r="AA808" s="2280"/>
      <c r="AB808" s="2280"/>
      <c r="AC808" s="2280"/>
      <c r="AD808" s="2280"/>
      <c r="AE808" s="2280"/>
      <c r="AF808" s="2280"/>
      <c r="AG808" s="2280"/>
      <c r="AH808" s="2280"/>
      <c r="AI808" s="2280"/>
      <c r="AJ808" s="2280"/>
      <c r="AK808" s="2280"/>
      <c r="AL808" s="2280"/>
      <c r="AM808" s="2280"/>
      <c r="AN808" s="2280"/>
      <c r="AO808" s="2280"/>
      <c r="AP808" s="2280"/>
      <c r="AQ808" s="2280"/>
      <c r="AR808" s="2280"/>
      <c r="AS808" s="2280"/>
      <c r="AT808" s="2280"/>
      <c r="AU808" s="2280"/>
      <c r="AV808" s="2280"/>
      <c r="AW808" s="2280"/>
      <c r="AX808" s="2280"/>
      <c r="AY808" s="2280"/>
      <c r="AZ808" s="2280"/>
      <c r="BA808" s="2280"/>
      <c r="BB808" s="2280"/>
      <c r="BC808" s="2280"/>
      <c r="BD808" s="2280"/>
      <c r="BE808" s="2280"/>
      <c r="BF808" s="2280"/>
      <c r="BG808" s="2280"/>
      <c r="BH808" s="2280"/>
      <c r="BI808" s="2280"/>
      <c r="BJ808" s="2280"/>
      <c r="BK808" s="2280"/>
      <c r="BL808" s="2280"/>
      <c r="BM808" s="2280"/>
      <c r="BN808" s="2280"/>
      <c r="BO808" s="2280"/>
      <c r="BP808" s="2280"/>
    </row>
    <row r="809" spans="2:112" x14ac:dyDescent="0.25">
      <c r="Y809" s="2280"/>
      <c r="Z809" s="2280"/>
      <c r="AA809" s="2280"/>
      <c r="AB809" s="2280"/>
      <c r="AC809" s="2280"/>
      <c r="AD809" s="2280"/>
      <c r="AE809" s="2280"/>
      <c r="AF809" s="2280"/>
      <c r="AG809" s="2280"/>
      <c r="AH809" s="2280"/>
      <c r="AI809" s="2280"/>
      <c r="AJ809" s="2280"/>
      <c r="AK809" s="2280"/>
      <c r="AL809" s="2280"/>
      <c r="AM809" s="2280"/>
      <c r="AN809" s="2280"/>
      <c r="AO809" s="2280"/>
      <c r="AP809" s="2280"/>
      <c r="AQ809" s="2280"/>
      <c r="AR809" s="2280"/>
      <c r="AS809" s="2280"/>
      <c r="AT809" s="2280"/>
      <c r="AU809" s="2280"/>
      <c r="AV809" s="2280"/>
      <c r="AW809" s="2280"/>
      <c r="AX809" s="2280"/>
      <c r="AY809" s="2280"/>
      <c r="AZ809" s="2280"/>
      <c r="BA809" s="2280"/>
      <c r="BB809" s="2280"/>
      <c r="BC809" s="2280"/>
      <c r="BD809" s="2280"/>
      <c r="BE809" s="2280"/>
      <c r="BF809" s="2280"/>
      <c r="BG809" s="2280"/>
      <c r="BH809" s="2280"/>
      <c r="BI809" s="2280"/>
      <c r="BJ809" s="2280"/>
      <c r="BK809" s="2280"/>
      <c r="BL809" s="2280"/>
      <c r="BM809" s="2280"/>
      <c r="BN809" s="2280"/>
      <c r="BO809" s="2280"/>
      <c r="BP809" s="2280"/>
    </row>
    <row r="810" spans="2:112" x14ac:dyDescent="0.25">
      <c r="Y810" s="2280"/>
      <c r="Z810" s="2280"/>
      <c r="AA810" s="2280"/>
      <c r="AB810" s="2280"/>
      <c r="AC810" s="2280"/>
      <c r="AD810" s="2280"/>
      <c r="AE810" s="2280"/>
      <c r="AF810" s="2280"/>
      <c r="AG810" s="2280"/>
      <c r="AH810" s="2280"/>
      <c r="AI810" s="2280"/>
      <c r="AJ810" s="2280"/>
      <c r="AK810" s="2280"/>
      <c r="AL810" s="2280"/>
      <c r="AM810" s="2280"/>
      <c r="AN810" s="2280"/>
      <c r="AO810" s="2280"/>
      <c r="AP810" s="2280"/>
      <c r="AQ810" s="2280"/>
      <c r="AR810" s="2280"/>
      <c r="AS810" s="2280"/>
      <c r="AT810" s="2280"/>
      <c r="AU810" s="2280"/>
      <c r="AV810" s="2280"/>
      <c r="AW810" s="2280"/>
      <c r="AX810" s="2280"/>
      <c r="AY810" s="2280"/>
      <c r="AZ810" s="2280"/>
      <c r="BA810" s="2280"/>
      <c r="BB810" s="2280"/>
      <c r="BC810" s="2280"/>
      <c r="BD810" s="2280"/>
      <c r="BE810" s="2280"/>
      <c r="BF810" s="2280"/>
      <c r="BG810" s="2280"/>
      <c r="BH810" s="2280"/>
      <c r="BI810" s="2280"/>
      <c r="BJ810" s="2280"/>
      <c r="BK810" s="2280"/>
      <c r="BL810" s="2280"/>
      <c r="BM810" s="2280"/>
      <c r="BN810" s="2280"/>
      <c r="BO810" s="2280"/>
      <c r="BP810" s="2280"/>
    </row>
    <row r="811" spans="2:112" x14ac:dyDescent="0.25">
      <c r="Y811" s="2280"/>
      <c r="Z811" s="2280"/>
      <c r="AA811" s="2280"/>
      <c r="AB811" s="2280"/>
      <c r="AC811" s="2280"/>
      <c r="AD811" s="2280"/>
      <c r="AE811" s="2280"/>
      <c r="AF811" s="2280"/>
      <c r="AG811" s="2280"/>
      <c r="AH811" s="2280"/>
      <c r="AI811" s="2280"/>
      <c r="AJ811" s="2280"/>
      <c r="AK811" s="2280"/>
      <c r="AL811" s="2280"/>
      <c r="AM811" s="2280"/>
      <c r="AN811" s="2280"/>
      <c r="AO811" s="2280"/>
      <c r="AP811" s="2280"/>
      <c r="AQ811" s="2280"/>
      <c r="AR811" s="2280"/>
      <c r="AS811" s="2280"/>
      <c r="AT811" s="2280"/>
      <c r="AU811" s="2280"/>
      <c r="AV811" s="2280"/>
      <c r="AW811" s="2280"/>
      <c r="AX811" s="2280"/>
      <c r="AY811" s="2280"/>
      <c r="AZ811" s="2280"/>
      <c r="BA811" s="2280"/>
      <c r="BB811" s="2280"/>
      <c r="BC811" s="2280"/>
      <c r="BD811" s="2280"/>
      <c r="BE811" s="2280"/>
      <c r="BF811" s="2280"/>
      <c r="BG811" s="2280"/>
      <c r="BH811" s="2280"/>
      <c r="BI811" s="2280"/>
      <c r="BJ811" s="2280"/>
      <c r="BK811" s="2280"/>
      <c r="BL811" s="2280"/>
      <c r="BM811" s="2280"/>
      <c r="BN811" s="2280"/>
      <c r="BO811" s="2280"/>
      <c r="BP811" s="2280"/>
    </row>
  </sheetData>
  <mergeCells count="61">
    <mergeCell ref="P780:Q782"/>
    <mergeCell ref="B804:O804"/>
    <mergeCell ref="P728:Q730"/>
    <mergeCell ref="B737:O737"/>
    <mergeCell ref="P745:Q747"/>
    <mergeCell ref="B755:O755"/>
    <mergeCell ref="P763:Q765"/>
    <mergeCell ref="B773:O773"/>
    <mergeCell ref="B789:O789"/>
    <mergeCell ref="B721:O721"/>
    <mergeCell ref="B619:O619"/>
    <mergeCell ref="P627:Q629"/>
    <mergeCell ref="B637:O637"/>
    <mergeCell ref="P644:Q646"/>
    <mergeCell ref="B653:O653"/>
    <mergeCell ref="P660:Q662"/>
    <mergeCell ref="B669:O669"/>
    <mergeCell ref="P676:Q678"/>
    <mergeCell ref="B685:O685"/>
    <mergeCell ref="P692:Q694"/>
    <mergeCell ref="B701:O701"/>
    <mergeCell ref="B285:O285"/>
    <mergeCell ref="B305:O305"/>
    <mergeCell ref="P610:Q612"/>
    <mergeCell ref="M374:P378"/>
    <mergeCell ref="M419:O421"/>
    <mergeCell ref="B432:O432"/>
    <mergeCell ref="B476:O476"/>
    <mergeCell ref="B544:O544"/>
    <mergeCell ref="P554:Q556"/>
    <mergeCell ref="B567:O567"/>
    <mergeCell ref="P575:Q577"/>
    <mergeCell ref="B585:O585"/>
    <mergeCell ref="P593:Q595"/>
    <mergeCell ref="B603:O603"/>
    <mergeCell ref="B233:O233"/>
    <mergeCell ref="M236:O240"/>
    <mergeCell ref="M250:O254"/>
    <mergeCell ref="B263:O263"/>
    <mergeCell ref="P273:Q275"/>
    <mergeCell ref="E1:Q1"/>
    <mergeCell ref="E3:G3"/>
    <mergeCell ref="H3:J3"/>
    <mergeCell ref="D4:J4"/>
    <mergeCell ref="B6:O6"/>
    <mergeCell ref="DD392:DE392"/>
    <mergeCell ref="DF392:DG392"/>
    <mergeCell ref="B87:O87"/>
    <mergeCell ref="B66:O66"/>
    <mergeCell ref="B171:O171"/>
    <mergeCell ref="B120:O120"/>
    <mergeCell ref="H155:I155"/>
    <mergeCell ref="J155:K155"/>
    <mergeCell ref="H156:I156"/>
    <mergeCell ref="J156:K156"/>
    <mergeCell ref="L165:N168"/>
    <mergeCell ref="M343:P347"/>
    <mergeCell ref="M174:O178"/>
    <mergeCell ref="B191:O191"/>
    <mergeCell ref="B215:O215"/>
    <mergeCell ref="M218:O222"/>
  </mergeCells>
  <conditionalFormatting sqref="AB372:AB376 AO372:AO376 BA372:BA376 AO394:AO399 BA394:BA399 BM394:BM399 BY394:BY399 AB394:AB399">
    <cfRule type="cellIs" dxfId="230" priority="34" operator="notEqual">
      <formula>AA372</formula>
    </cfRule>
  </conditionalFormatting>
  <conditionalFormatting sqref="BA9:BA30">
    <cfRule type="cellIs" dxfId="229" priority="26" operator="notEqual">
      <formula>AZ9</formula>
    </cfRule>
  </conditionalFormatting>
  <conditionalFormatting sqref="AO9:AO30">
    <cfRule type="cellIs" dxfId="228" priority="25" operator="notEqual">
      <formula>AN9</formula>
    </cfRule>
  </conditionalFormatting>
  <conditionalFormatting sqref="AB9:AB30">
    <cfRule type="cellIs" dxfId="227" priority="24" operator="notEqual">
      <formula>AA9</formula>
    </cfRule>
  </conditionalFormatting>
  <conditionalFormatting sqref="AB42:AB63">
    <cfRule type="cellIs" dxfId="226" priority="23" operator="notEqual">
      <formula>AA42</formula>
    </cfRule>
  </conditionalFormatting>
  <conditionalFormatting sqref="AO42:AO63">
    <cfRule type="cellIs" dxfId="225" priority="22" operator="notEqual">
      <formula>AN42</formula>
    </cfRule>
  </conditionalFormatting>
  <conditionalFormatting sqref="BA42:BA63">
    <cfRule type="cellIs" dxfId="224" priority="21" operator="notEqual">
      <formula>AZ42</formula>
    </cfRule>
  </conditionalFormatting>
  <conditionalFormatting sqref="BM42:BM63">
    <cfRule type="cellIs" dxfId="223" priority="20" operator="notEqual">
      <formula>BL42</formula>
    </cfRule>
  </conditionalFormatting>
  <conditionalFormatting sqref="BY42:BY63">
    <cfRule type="cellIs" dxfId="222" priority="19" operator="notEqual">
      <formula>BX42</formula>
    </cfRule>
  </conditionalFormatting>
  <conditionalFormatting sqref="CK42:CK63">
    <cfRule type="cellIs" dxfId="221" priority="18" operator="notEqual">
      <formula>CJ42</formula>
    </cfRule>
  </conditionalFormatting>
  <conditionalFormatting sqref="AB123:AB146">
    <cfRule type="cellIs" dxfId="220" priority="13" operator="notEqual">
      <formula>AA123</formula>
    </cfRule>
  </conditionalFormatting>
  <conditionalFormatting sqref="AB69:AB70">
    <cfRule type="cellIs" dxfId="219" priority="11" operator="notEqual">
      <formula>AA69</formula>
    </cfRule>
  </conditionalFormatting>
  <conditionalFormatting sqref="AB82:AB83">
    <cfRule type="cellIs" dxfId="218" priority="10" operator="notEqual">
      <formula>AA82</formula>
    </cfRule>
  </conditionalFormatting>
  <conditionalFormatting sqref="AB419">
    <cfRule type="cellIs" dxfId="217" priority="7" operator="notEqual">
      <formula>AA419</formula>
    </cfRule>
  </conditionalFormatting>
  <conditionalFormatting sqref="AB109:AB110">
    <cfRule type="cellIs" dxfId="216" priority="3" operator="notEqual">
      <formula>AA109</formula>
    </cfRule>
  </conditionalFormatting>
  <conditionalFormatting sqref="AB90:AB91">
    <cfRule type="cellIs" dxfId="215" priority="2" operator="notEqual">
      <formula>AA90</formula>
    </cfRule>
  </conditionalFormatting>
  <conditionalFormatting sqref="AB92:AB97">
    <cfRule type="cellIs" dxfId="214" priority="1" operator="notEqual">
      <formula>AA92</formula>
    </cfRule>
  </conditionalFormatting>
  <pageMargins left="0.7" right="0.7" top="0.75" bottom="0.75" header="0.3" footer="0.3"/>
  <pageSetup scale="11" fitToHeight="0" orientation="portrait" r:id="rId1"/>
  <rowBreaks count="7" manualBreakCount="7">
    <brk id="154" max="110" man="1"/>
    <brk id="183" max="16383" man="1"/>
    <brk id="284" max="16383" man="1"/>
    <brk id="417" max="16383" man="1"/>
    <brk id="565" max="16383" man="1"/>
    <brk id="667" max="110" man="1"/>
    <brk id="719"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85" customWidth="1"/>
    <col min="2" max="9" width="9.140625" style="485"/>
  </cols>
  <sheetData>
    <row r="1" spans="1:32" x14ac:dyDescent="0.25">
      <c r="A1" s="3330"/>
      <c r="B1" s="3330"/>
      <c r="C1" s="3330"/>
      <c r="D1" s="3330"/>
      <c r="E1" s="3330"/>
      <c r="F1" s="3330"/>
      <c r="G1" s="3330"/>
      <c r="H1" s="3330"/>
      <c r="I1"/>
      <c r="J1" s="135"/>
      <c r="K1" s="485" t="s">
        <v>1117</v>
      </c>
      <c r="AF1" s="1381"/>
    </row>
    <row r="2" spans="1:32" s="485" customFormat="1" x14ac:dyDescent="0.25">
      <c r="A2" s="485" t="s">
        <v>908</v>
      </c>
      <c r="B2" s="4109" t="s">
        <v>2354</v>
      </c>
      <c r="C2" s="4109"/>
      <c r="D2" s="4109"/>
      <c r="E2" s="4109"/>
      <c r="F2" s="4109"/>
      <c r="G2" s="4109"/>
      <c r="K2" s="1390">
        <v>1.0595E-2</v>
      </c>
    </row>
    <row r="3" spans="1:32" s="485" customFormat="1" x14ac:dyDescent="0.25">
      <c r="B3" s="485">
        <v>2019</v>
      </c>
      <c r="C3" s="485">
        <v>2020</v>
      </c>
      <c r="D3" s="485">
        <v>2021</v>
      </c>
      <c r="E3" s="485">
        <v>2022</v>
      </c>
      <c r="F3" s="485">
        <v>2023</v>
      </c>
      <c r="G3" s="485">
        <v>2024</v>
      </c>
    </row>
    <row r="4" spans="1:32" s="485" customFormat="1" x14ac:dyDescent="0.25">
      <c r="A4" s="1391" t="s">
        <v>2355</v>
      </c>
      <c r="B4" s="485">
        <v>3.5014999700269167E-2</v>
      </c>
      <c r="C4" s="485">
        <v>3.5102422286076608E-2</v>
      </c>
      <c r="D4" s="485">
        <v>3.5109104017373043E-2</v>
      </c>
      <c r="E4" s="485">
        <v>3.5730994133360415E-2</v>
      </c>
      <c r="F4" s="485">
        <v>3.6692248129435182E-2</v>
      </c>
      <c r="G4" s="485">
        <v>3.6765213204623164E-2</v>
      </c>
    </row>
    <row r="5" spans="1:32" s="485" customFormat="1" x14ac:dyDescent="0.25">
      <c r="A5" s="1391" t="s">
        <v>2356</v>
      </c>
      <c r="B5" s="485">
        <v>0.3639934789573992</v>
      </c>
      <c r="C5" s="485">
        <v>0.36534163510475237</v>
      </c>
      <c r="D5" s="485">
        <v>0.36624340227805086</v>
      </c>
      <c r="E5" s="485">
        <v>0.3671115602459194</v>
      </c>
      <c r="F5" s="485">
        <v>0.36576290998144079</v>
      </c>
      <c r="G5" s="485">
        <v>0.36186476173270998</v>
      </c>
    </row>
    <row r="6" spans="1:32" s="485" customFormat="1" x14ac:dyDescent="0.25">
      <c r="A6" s="1391" t="s">
        <v>2357</v>
      </c>
      <c r="B6" s="485">
        <v>0.40035663480502154</v>
      </c>
      <c r="C6" s="485">
        <v>0.40134582456412754</v>
      </c>
      <c r="D6" s="485">
        <v>0.4022206642632925</v>
      </c>
      <c r="E6" s="485">
        <v>0.40149390411480129</v>
      </c>
      <c r="F6" s="485">
        <v>0.39855700986214526</v>
      </c>
      <c r="G6" s="485">
        <v>0.39348550228064694</v>
      </c>
    </row>
    <row r="7" spans="1:32" s="485" customFormat="1" x14ac:dyDescent="0.25">
      <c r="A7" s="1391" t="s">
        <v>2358</v>
      </c>
      <c r="B7" s="485">
        <v>0.43636082426439682</v>
      </c>
      <c r="C7" s="485">
        <v>0.43732308654936936</v>
      </c>
      <c r="D7" s="485">
        <v>0.43660300813217434</v>
      </c>
      <c r="E7" s="485">
        <v>0.43428800399550566</v>
      </c>
      <c r="F7" s="485">
        <v>0.43017775041008216</v>
      </c>
      <c r="G7" s="485">
        <v>0.42397793006072676</v>
      </c>
    </row>
    <row r="8" spans="1:32" s="485" customFormat="1" x14ac:dyDescent="0.25">
      <c r="A8" s="1391" t="s">
        <v>2359</v>
      </c>
      <c r="B8" s="485">
        <v>0.47233808624963858</v>
      </c>
      <c r="C8" s="485">
        <v>0.47170543041825108</v>
      </c>
      <c r="D8" s="485">
        <v>0.46939710801287859</v>
      </c>
      <c r="E8" s="485">
        <v>0.4659087445434425</v>
      </c>
      <c r="F8" s="485">
        <v>0.46067017819016187</v>
      </c>
      <c r="G8" s="485">
        <v>0.45331397875642143</v>
      </c>
    </row>
    <row r="9" spans="1:32" s="485" customFormat="1" x14ac:dyDescent="0.25">
      <c r="A9" s="1391" t="s">
        <v>2360</v>
      </c>
      <c r="B9" s="485">
        <v>0.50672043011852042</v>
      </c>
      <c r="C9" s="485">
        <v>0.50449953029895567</v>
      </c>
      <c r="D9" s="485">
        <v>0.50101784856081555</v>
      </c>
      <c r="E9" s="485">
        <v>0.49640117232352232</v>
      </c>
      <c r="F9" s="485">
        <v>0.49000622688585671</v>
      </c>
      <c r="G9" s="485">
        <v>0.48164200473963714</v>
      </c>
    </row>
    <row r="10" spans="1:32" s="485" customFormat="1" x14ac:dyDescent="0.25">
      <c r="A10" s="1391" t="s">
        <v>2361</v>
      </c>
      <c r="B10" s="485">
        <v>0.53951452999922478</v>
      </c>
      <c r="C10" s="485">
        <v>0.53612027084689251</v>
      </c>
      <c r="D10" s="485">
        <v>0.53151027634089532</v>
      </c>
      <c r="E10" s="485">
        <v>0.52573722101921705</v>
      </c>
      <c r="F10" s="485">
        <v>0.51833425286907242</v>
      </c>
      <c r="G10" s="485">
        <v>0.50899876952210266</v>
      </c>
    </row>
    <row r="11" spans="1:32" s="485" customFormat="1" x14ac:dyDescent="0.25">
      <c r="A11" s="1391" t="s">
        <v>2362</v>
      </c>
      <c r="B11" s="485">
        <v>0.57113527054716173</v>
      </c>
      <c r="C11" s="485">
        <v>0.56661269862697239</v>
      </c>
      <c r="D11" s="485">
        <v>0.56084632503659015</v>
      </c>
      <c r="E11" s="485">
        <v>0.55406524700243276</v>
      </c>
      <c r="F11" s="485">
        <v>0.54569101765153794</v>
      </c>
      <c r="G11" s="485">
        <v>0.53541960218170159</v>
      </c>
    </row>
    <row r="12" spans="1:32" s="485" customFormat="1" x14ac:dyDescent="0.25">
      <c r="A12" s="1391" t="s">
        <v>2363</v>
      </c>
      <c r="B12" s="485">
        <v>0.60162769832724172</v>
      </c>
      <c r="C12" s="485">
        <v>0.59594874732266723</v>
      </c>
      <c r="D12" s="485">
        <v>0.58917435101980575</v>
      </c>
      <c r="E12" s="485">
        <v>0.58142201178489827</v>
      </c>
      <c r="F12" s="485">
        <v>0.57211185031113665</v>
      </c>
      <c r="G12" s="485">
        <v>0.56093845893074112</v>
      </c>
    </row>
    <row r="13" spans="1:32" s="485" customFormat="1" x14ac:dyDescent="0.25">
      <c r="A13" s="1391" t="s">
        <v>2364</v>
      </c>
      <c r="B13" s="485">
        <v>0.63096374702293623</v>
      </c>
      <c r="C13" s="485">
        <v>0.62427677330588272</v>
      </c>
      <c r="D13" s="485">
        <v>0.61653111580227149</v>
      </c>
      <c r="E13" s="485">
        <v>0.60784284444449721</v>
      </c>
      <c r="F13" s="485">
        <v>0.59763070706017662</v>
      </c>
      <c r="G13" s="485">
        <v>0.58558798006281754</v>
      </c>
    </row>
    <row r="14" spans="1:32" s="485" customFormat="1" x14ac:dyDescent="0.25">
      <c r="A14" s="1391" t="s">
        <v>2365</v>
      </c>
      <c r="B14" s="485">
        <v>0.65929177300615205</v>
      </c>
      <c r="C14" s="485">
        <v>0.65163353808834845</v>
      </c>
      <c r="D14" s="485">
        <v>0.6429519484618702</v>
      </c>
      <c r="E14" s="485">
        <v>0.63336170119353685</v>
      </c>
      <c r="F14" s="485">
        <v>0.62228022819225259</v>
      </c>
      <c r="G14" s="485">
        <v>0.60939954439885236</v>
      </c>
    </row>
    <row r="15" spans="1:32" s="485" customFormat="1" x14ac:dyDescent="0.25">
      <c r="A15" s="1391" t="s">
        <v>2366</v>
      </c>
      <c r="B15" s="485">
        <v>7.0117421986345782E-2</v>
      </c>
      <c r="C15" s="485">
        <v>7.0211526303449664E-2</v>
      </c>
      <c r="D15" s="485">
        <v>7.0840098150733485E-2</v>
      </c>
      <c r="E15" s="485">
        <v>7.242324226279559E-2</v>
      </c>
      <c r="F15" s="485">
        <v>7.3457461334058338E-2</v>
      </c>
      <c r="G15" s="485">
        <v>7.44997656753595E-2</v>
      </c>
    </row>
    <row r="16" spans="1:32" s="485" customFormat="1" x14ac:dyDescent="0.25">
      <c r="A16" s="1391" t="s">
        <v>2367</v>
      </c>
      <c r="B16" s="485">
        <v>0.68664853778861767</v>
      </c>
      <c r="C16" s="485">
        <v>0.67805437074794728</v>
      </c>
      <c r="D16" s="485">
        <v>0.66847080521090985</v>
      </c>
      <c r="E16" s="485">
        <v>0.65801122232561315</v>
      </c>
      <c r="F16" s="485">
        <v>0.64609179252828741</v>
      </c>
      <c r="G16" s="485">
        <v>0.63240332134715693</v>
      </c>
    </row>
    <row r="17" spans="1:7" s="485" customFormat="1" x14ac:dyDescent="0.25">
      <c r="A17" s="1391" t="s">
        <v>2368</v>
      </c>
      <c r="B17" s="485">
        <v>0.71306937044821639</v>
      </c>
      <c r="C17" s="485">
        <v>0.70357322749698692</v>
      </c>
      <c r="D17" s="485">
        <v>0.69312032634298604</v>
      </c>
      <c r="E17" s="485">
        <v>0.68182278666164786</v>
      </c>
      <c r="F17" s="485">
        <v>0.6690955694765921</v>
      </c>
      <c r="G17" s="485">
        <v>0.65411523918415981</v>
      </c>
    </row>
    <row r="18" spans="1:7" s="485" customFormat="1" x14ac:dyDescent="0.25">
      <c r="A18" s="1391" t="s">
        <v>2369</v>
      </c>
      <c r="B18" s="485">
        <v>0.73858822719725603</v>
      </c>
      <c r="C18" s="485">
        <v>0.72822274862906344</v>
      </c>
      <c r="D18" s="485">
        <v>0.71693189067902097</v>
      </c>
      <c r="E18" s="485">
        <v>0.70482656360995255</v>
      </c>
      <c r="F18" s="485">
        <v>0.69080748731359487</v>
      </c>
      <c r="G18" s="485">
        <v>0.67460784686420039</v>
      </c>
    </row>
    <row r="19" spans="1:7" s="485" customFormat="1" x14ac:dyDescent="0.25">
      <c r="A19" s="1391" t="s">
        <v>2370</v>
      </c>
      <c r="B19" s="485">
        <v>0.76323774832933233</v>
      </c>
      <c r="C19" s="485">
        <v>0.75203431296509815</v>
      </c>
      <c r="D19" s="485">
        <v>0.73993566762732554</v>
      </c>
      <c r="E19" s="485">
        <v>0.72653848144695543</v>
      </c>
      <c r="F19" s="485">
        <v>0.71130009499363567</v>
      </c>
      <c r="G19" s="485">
        <v>0.69394961909642372</v>
      </c>
    </row>
    <row r="20" spans="1:7" s="485" customFormat="1" x14ac:dyDescent="0.25">
      <c r="A20" s="1391" t="s">
        <v>2371</v>
      </c>
      <c r="B20" s="485">
        <v>0.78704931266536726</v>
      </c>
      <c r="C20" s="485">
        <v>0.77503808991340262</v>
      </c>
      <c r="D20" s="485">
        <v>0.76164758546432854</v>
      </c>
      <c r="E20" s="485">
        <v>0.74703108912699612</v>
      </c>
      <c r="F20" s="485">
        <v>0.730641867225859</v>
      </c>
      <c r="G20" s="485">
        <v>0.71220518514854569</v>
      </c>
    </row>
    <row r="21" spans="1:7" s="485" customFormat="1" x14ac:dyDescent="0.25">
      <c r="A21" s="1391" t="s">
        <v>2372</v>
      </c>
      <c r="B21" s="485">
        <v>0.81005308961367184</v>
      </c>
      <c r="C21" s="485">
        <v>0.79675000775040572</v>
      </c>
      <c r="D21" s="485">
        <v>0.782140193144369</v>
      </c>
      <c r="E21" s="485">
        <v>0.76637286135921945</v>
      </c>
      <c r="F21" s="485">
        <v>0.74889743327798086</v>
      </c>
      <c r="G21" s="485">
        <v>0.72943554480132711</v>
      </c>
    </row>
    <row r="22" spans="1:7" s="485" customFormat="1" x14ac:dyDescent="0.25">
      <c r="A22" s="1391" t="s">
        <v>2373</v>
      </c>
      <c r="B22" s="485">
        <v>0.83176500745067472</v>
      </c>
      <c r="C22" s="485">
        <v>0.81724261543044641</v>
      </c>
      <c r="D22" s="485">
        <v>0.80148196537659211</v>
      </c>
      <c r="E22" s="485">
        <v>0.78462842741134131</v>
      </c>
      <c r="F22" s="485">
        <v>0.76612779293076227</v>
      </c>
      <c r="G22" s="485">
        <v>0.74569827217535378</v>
      </c>
    </row>
    <row r="23" spans="1:7" s="485" customFormat="1" x14ac:dyDescent="0.25">
      <c r="A23" s="1391" t="s">
        <v>2374</v>
      </c>
      <c r="B23" s="485">
        <v>0.85225761513071552</v>
      </c>
      <c r="C23" s="485">
        <v>0.83658438766266952</v>
      </c>
      <c r="D23" s="485">
        <v>0.81973753142871408</v>
      </c>
      <c r="E23" s="485">
        <v>0.80185878706412284</v>
      </c>
      <c r="F23" s="485">
        <v>0.78239052030478906</v>
      </c>
      <c r="G23" s="485">
        <v>0.76104770811119804</v>
      </c>
    </row>
    <row r="24" spans="1:7" s="485" customFormat="1" x14ac:dyDescent="0.25">
      <c r="A24" s="1391" t="s">
        <v>2375</v>
      </c>
      <c r="B24" s="485">
        <v>0.87159938736293863</v>
      </c>
      <c r="C24" s="485">
        <v>0.85483995371479149</v>
      </c>
      <c r="D24" s="485">
        <v>0.83696789108149583</v>
      </c>
      <c r="E24" s="485">
        <v>0.8181215144381494</v>
      </c>
      <c r="F24" s="485">
        <v>0.79773995624063332</v>
      </c>
      <c r="G24" s="485">
        <v>0.77553514174578453</v>
      </c>
    </row>
    <row r="25" spans="1:7" s="485" customFormat="1" x14ac:dyDescent="0.25">
      <c r="A25" s="1391" t="s">
        <v>2376</v>
      </c>
      <c r="B25" s="485">
        <v>0.88985495341506049</v>
      </c>
      <c r="C25" s="485">
        <v>0.8720703133675729</v>
      </c>
      <c r="D25" s="485">
        <v>0.85323061845552273</v>
      </c>
      <c r="E25" s="485">
        <v>0.83347095037399377</v>
      </c>
      <c r="F25" s="485">
        <v>0.8122273898752197</v>
      </c>
      <c r="G25" s="485">
        <v>0.78920898189168953</v>
      </c>
    </row>
    <row r="26" spans="1:7" s="485" customFormat="1" x14ac:dyDescent="0.25">
      <c r="A26" s="1391" t="s">
        <v>2377</v>
      </c>
      <c r="B26" s="485">
        <v>0.10522652600371882</v>
      </c>
      <c r="C26" s="485">
        <v>0.10594252043681002</v>
      </c>
      <c r="D26" s="485">
        <v>0.10753234628016867</v>
      </c>
      <c r="E26" s="485">
        <v>0.1091884554674188</v>
      </c>
      <c r="F26" s="485">
        <v>0.11119201380479471</v>
      </c>
      <c r="G26" s="485">
        <v>0.11208641015990928</v>
      </c>
    </row>
    <row r="27" spans="1:7" s="485" customFormat="1" x14ac:dyDescent="0.25">
      <c r="A27" s="1391" t="s">
        <v>2378</v>
      </c>
      <c r="B27" s="485">
        <v>0.90708531306784213</v>
      </c>
      <c r="C27" s="485">
        <v>0.8883330407415998</v>
      </c>
      <c r="D27" s="485">
        <v>0.86858005439136687</v>
      </c>
      <c r="E27" s="485">
        <v>0.84795838400857992</v>
      </c>
      <c r="F27" s="485">
        <v>0.82590123002112459</v>
      </c>
      <c r="G27" s="485">
        <v>0.80211491879202435</v>
      </c>
    </row>
    <row r="28" spans="1:7" s="485" customFormat="1" x14ac:dyDescent="0.25">
      <c r="A28" s="1391" t="s">
        <v>2379</v>
      </c>
      <c r="B28" s="485">
        <v>0.14095752013707916</v>
      </c>
      <c r="C28" s="485">
        <v>0.14263476856624518</v>
      </c>
      <c r="D28" s="485">
        <v>0.14429755948479178</v>
      </c>
      <c r="E28" s="485">
        <v>0.1469230079381551</v>
      </c>
      <c r="F28" s="485">
        <v>0.14877865828934445</v>
      </c>
      <c r="G28" s="485">
        <v>0.14938848076454975</v>
      </c>
    </row>
    <row r="29" spans="1:7" s="485" customFormat="1" x14ac:dyDescent="0.25">
      <c r="A29" s="1391" t="s">
        <v>2380</v>
      </c>
      <c r="B29" s="485">
        <v>0.17764976826651435</v>
      </c>
      <c r="C29" s="485">
        <v>0.17939998177086824</v>
      </c>
      <c r="D29" s="485">
        <v>0.18203211195552818</v>
      </c>
      <c r="E29" s="485">
        <v>0.1845096524227049</v>
      </c>
      <c r="F29" s="485">
        <v>0.18608072889398491</v>
      </c>
      <c r="G29" s="485">
        <v>0.18634371069088468</v>
      </c>
    </row>
    <row r="30" spans="1:7" s="485" customFormat="1" x14ac:dyDescent="0.25">
      <c r="A30" s="1391" t="s">
        <v>2381</v>
      </c>
      <c r="B30" s="485">
        <v>0.21441498147113744</v>
      </c>
      <c r="C30" s="485">
        <v>0.21713453424160467</v>
      </c>
      <c r="D30" s="485">
        <v>0.21961875644007792</v>
      </c>
      <c r="E30" s="485">
        <v>0.22181172302734531</v>
      </c>
      <c r="F30" s="485">
        <v>0.22303595882031985</v>
      </c>
      <c r="G30" s="485">
        <v>0.2227068665385068</v>
      </c>
    </row>
    <row r="31" spans="1:7" s="485" customFormat="1" x14ac:dyDescent="0.25">
      <c r="A31" s="1391" t="s">
        <v>2382</v>
      </c>
      <c r="B31" s="485">
        <v>0.25214953394187384</v>
      </c>
      <c r="C31" s="485">
        <v>0.25472117872615457</v>
      </c>
      <c r="D31" s="485">
        <v>0.25692082704471841</v>
      </c>
      <c r="E31" s="485">
        <v>0.2587669529536803</v>
      </c>
      <c r="F31" s="485">
        <v>0.25939911466794202</v>
      </c>
      <c r="G31" s="485">
        <v>0.25871105599788213</v>
      </c>
    </row>
    <row r="32" spans="1:7" s="485" customFormat="1" x14ac:dyDescent="0.25">
      <c r="A32" s="1391" t="s">
        <v>2383</v>
      </c>
      <c r="B32" s="485">
        <v>0.28973617842642374</v>
      </c>
      <c r="C32" s="485">
        <v>0.2920232493307951</v>
      </c>
      <c r="D32" s="485">
        <v>0.29387605697105329</v>
      </c>
      <c r="E32" s="485">
        <v>0.29513010880130247</v>
      </c>
      <c r="F32" s="485">
        <v>0.2954033041273173</v>
      </c>
      <c r="G32" s="485">
        <v>0.29468831798312378</v>
      </c>
    </row>
    <row r="33" spans="1:7" s="485" customFormat="1" x14ac:dyDescent="0.25">
      <c r="A33" s="1391" t="s">
        <v>2384</v>
      </c>
      <c r="B33" s="485">
        <v>0.32703824903106427</v>
      </c>
      <c r="C33" s="485">
        <v>0.32897847925713014</v>
      </c>
      <c r="D33" s="485">
        <v>0.33023921281867546</v>
      </c>
      <c r="E33" s="485">
        <v>0.3311342982606777</v>
      </c>
      <c r="F33" s="485">
        <v>0.33138056611255901</v>
      </c>
      <c r="G33" s="485">
        <v>0.32907066185200567</v>
      </c>
    </row>
    <row r="34" spans="1:7" s="485" customFormat="1" x14ac:dyDescent="0.25">
      <c r="A34" s="1391" t="s">
        <v>2385</v>
      </c>
      <c r="B34" s="485">
        <v>3.3438309176011372E-2</v>
      </c>
      <c r="C34" s="485">
        <v>3.3456327221288204E-2</v>
      </c>
      <c r="D34" s="485">
        <v>3.3400128686320647E-2</v>
      </c>
      <c r="E34" s="485">
        <v>3.3860491055699923E-2</v>
      </c>
      <c r="F34" s="485">
        <v>3.4672211900371966E-2</v>
      </c>
      <c r="G34" s="485">
        <v>3.4646614766468235E-2</v>
      </c>
    </row>
    <row r="35" spans="1:7" s="485" customFormat="1" x14ac:dyDescent="0.25">
      <c r="A35" s="1391" t="s">
        <v>2386</v>
      </c>
      <c r="B35" s="485">
        <v>0.3441075622907816</v>
      </c>
      <c r="C35" s="485">
        <v>0.34483538449492207</v>
      </c>
      <c r="D35" s="485">
        <v>0.34524136521337867</v>
      </c>
      <c r="E35" s="485">
        <v>0.34573540875181619</v>
      </c>
      <c r="F35" s="485">
        <v>0.34427037989480286</v>
      </c>
      <c r="G35" s="485">
        <v>0.34050294590337671</v>
      </c>
    </row>
    <row r="36" spans="1:7" s="485" customFormat="1" x14ac:dyDescent="0.25">
      <c r="A36" s="1391" t="s">
        <v>2387</v>
      </c>
      <c r="B36" s="485">
        <v>0.37827369367093355</v>
      </c>
      <c r="C36" s="485">
        <v>0.37869769243466694</v>
      </c>
      <c r="D36" s="485">
        <v>0.37913553743813688</v>
      </c>
      <c r="E36" s="485">
        <v>0.37813087095050268</v>
      </c>
      <c r="F36" s="485">
        <v>0.37517515780374866</v>
      </c>
      <c r="G36" s="485">
        <v>0.37032190793101255</v>
      </c>
    </row>
    <row r="37" spans="1:7" s="485" customFormat="1" x14ac:dyDescent="0.25">
      <c r="A37" s="1391" t="s">
        <v>2388</v>
      </c>
      <c r="B37" s="485">
        <v>0.41213600161067826</v>
      </c>
      <c r="C37" s="485">
        <v>0.4125918646594251</v>
      </c>
      <c r="D37" s="485">
        <v>0.41153099963682338</v>
      </c>
      <c r="E37" s="485">
        <v>0.40903564885944849</v>
      </c>
      <c r="F37" s="485">
        <v>0.4049941198313845</v>
      </c>
      <c r="G37" s="485">
        <v>0.39909549705204023</v>
      </c>
    </row>
    <row r="38" spans="1:7" s="485" customFormat="1" x14ac:dyDescent="0.25">
      <c r="A38" s="1391" t="s">
        <v>2389</v>
      </c>
      <c r="B38" s="485">
        <v>0.44603017383543647</v>
      </c>
      <c r="C38" s="485">
        <v>0.4449873268581116</v>
      </c>
      <c r="D38" s="485">
        <v>0.44243577754576929</v>
      </c>
      <c r="E38" s="485">
        <v>0.43885461088708444</v>
      </c>
      <c r="F38" s="485">
        <v>0.43376770895241218</v>
      </c>
      <c r="G38" s="485">
        <v>0.42679128770801916</v>
      </c>
    </row>
    <row r="39" spans="1:7" s="485" customFormat="1" x14ac:dyDescent="0.25">
      <c r="A39" s="1391" t="s">
        <v>2390</v>
      </c>
      <c r="B39" s="485">
        <v>0.47842563603412297</v>
      </c>
      <c r="C39" s="485">
        <v>0.47589210476705757</v>
      </c>
      <c r="D39" s="485">
        <v>0.47225473957340514</v>
      </c>
      <c r="E39" s="485">
        <v>0.46762820000811206</v>
      </c>
      <c r="F39" s="485">
        <v>0.46146349960839117</v>
      </c>
      <c r="G39" s="485">
        <v>0.45354919387381853</v>
      </c>
    </row>
    <row r="40" spans="1:7" s="485" customFormat="1" x14ac:dyDescent="0.25">
      <c r="A40" s="1391" t="s">
        <v>2391</v>
      </c>
      <c r="B40" s="485">
        <v>0.50933041394306877</v>
      </c>
      <c r="C40" s="485">
        <v>0.50571106679469324</v>
      </c>
      <c r="D40" s="485">
        <v>0.5010283286944327</v>
      </c>
      <c r="E40" s="485">
        <v>0.49532399066409105</v>
      </c>
      <c r="F40" s="485">
        <v>0.48822140577419049</v>
      </c>
      <c r="G40" s="485">
        <v>0.47940283772104697</v>
      </c>
    </row>
    <row r="41" spans="1:7" s="485" customFormat="1" x14ac:dyDescent="0.25">
      <c r="A41" s="1391" t="s">
        <v>2392</v>
      </c>
      <c r="B41" s="485">
        <v>0.53914937597070456</v>
      </c>
      <c r="C41" s="485">
        <v>0.53448465591572092</v>
      </c>
      <c r="D41" s="485">
        <v>0.52872411935041186</v>
      </c>
      <c r="E41" s="485">
        <v>0.52208189682989037</v>
      </c>
      <c r="F41" s="485">
        <v>0.51407504962141903</v>
      </c>
      <c r="G41" s="485">
        <v>0.50438455457787157</v>
      </c>
    </row>
    <row r="42" spans="1:7" s="485" customFormat="1" x14ac:dyDescent="0.25">
      <c r="A42" s="1391" t="s">
        <v>2393</v>
      </c>
      <c r="B42" s="485">
        <v>0.56792296509173235</v>
      </c>
      <c r="C42" s="485">
        <v>0.56218044657169997</v>
      </c>
      <c r="D42" s="485">
        <v>0.55548202551621106</v>
      </c>
      <c r="E42" s="485">
        <v>0.54793554067711892</v>
      </c>
      <c r="F42" s="485">
        <v>0.53905676647824341</v>
      </c>
      <c r="G42" s="485">
        <v>0.52852544556765302</v>
      </c>
    </row>
    <row r="43" spans="1:7" s="485" customFormat="1" x14ac:dyDescent="0.25">
      <c r="A43" s="1391" t="s">
        <v>2394</v>
      </c>
      <c r="B43" s="485">
        <v>0.59561875574771128</v>
      </c>
      <c r="C43" s="485">
        <v>0.58893835273749928</v>
      </c>
      <c r="D43" s="485">
        <v>0.58133566936343961</v>
      </c>
      <c r="E43" s="485">
        <v>0.5729172575339434</v>
      </c>
      <c r="F43" s="485">
        <v>0.56319765746802497</v>
      </c>
      <c r="G43" s="485">
        <v>0.55185542796208786</v>
      </c>
    </row>
    <row r="44" spans="1:7" s="485" customFormat="1" x14ac:dyDescent="0.25">
      <c r="A44" s="1391" t="s">
        <v>2395</v>
      </c>
      <c r="B44" s="485">
        <v>0.62237666191351071</v>
      </c>
      <c r="C44" s="485">
        <v>0.61479199658472794</v>
      </c>
      <c r="D44" s="485">
        <v>0.6063173862202641</v>
      </c>
      <c r="E44" s="485">
        <v>0.59705814852372485</v>
      </c>
      <c r="F44" s="485">
        <v>0.58652763986245982</v>
      </c>
      <c r="G44" s="485">
        <v>0.57440328335294677</v>
      </c>
    </row>
    <row r="45" spans="1:7" s="485" customFormat="1" x14ac:dyDescent="0.25">
      <c r="A45" s="1391" t="s">
        <v>2396</v>
      </c>
      <c r="B45" s="485">
        <v>6.6894636397299589E-2</v>
      </c>
      <c r="C45" s="485">
        <v>6.6856455907608858E-2</v>
      </c>
      <c r="D45" s="485">
        <v>6.7260619742020578E-2</v>
      </c>
      <c r="E45" s="485">
        <v>6.8532702956071889E-2</v>
      </c>
      <c r="F45" s="485">
        <v>6.931882666684018E-2</v>
      </c>
      <c r="G45" s="485">
        <v>7.0181337018230414E-2</v>
      </c>
    </row>
    <row r="46" spans="1:7" s="485" customFormat="1" x14ac:dyDescent="0.25">
      <c r="A46" s="1391" t="s">
        <v>2397</v>
      </c>
      <c r="B46" s="485">
        <v>0.64823030576073903</v>
      </c>
      <c r="C46" s="485">
        <v>0.63977371344155232</v>
      </c>
      <c r="D46" s="485">
        <v>0.63045827721004566</v>
      </c>
      <c r="E46" s="485">
        <v>0.6203881309181597</v>
      </c>
      <c r="F46" s="485">
        <v>0.6090754952533185</v>
      </c>
      <c r="G46" s="485">
        <v>0.5961967037415864</v>
      </c>
    </row>
    <row r="47" spans="1:7" s="485" customFormat="1" x14ac:dyDescent="0.25">
      <c r="A47" s="1391" t="s">
        <v>2398</v>
      </c>
      <c r="B47" s="485">
        <v>0.67321202261756374</v>
      </c>
      <c r="C47" s="485">
        <v>0.66391460443133388</v>
      </c>
      <c r="D47" s="485">
        <v>0.65378825960448017</v>
      </c>
      <c r="E47" s="485">
        <v>0.64293598630901849</v>
      </c>
      <c r="F47" s="485">
        <v>0.63086891564195835</v>
      </c>
      <c r="G47" s="485">
        <v>0.61676623690689059</v>
      </c>
    </row>
    <row r="48" spans="1:7" s="485" customFormat="1" x14ac:dyDescent="0.25">
      <c r="A48" s="1391" t="s">
        <v>2399</v>
      </c>
      <c r="B48" s="485">
        <v>0.69735291360734497</v>
      </c>
      <c r="C48" s="485">
        <v>0.68724458682576861</v>
      </c>
      <c r="D48" s="485">
        <v>0.67633611499533919</v>
      </c>
      <c r="E48" s="485">
        <v>0.66472940669765823</v>
      </c>
      <c r="F48" s="485">
        <v>0.65143844880726254</v>
      </c>
      <c r="G48" s="485">
        <v>0.63618061459948549</v>
      </c>
    </row>
    <row r="49" spans="1:7" s="485" customFormat="1" x14ac:dyDescent="0.25">
      <c r="A49" s="1391" t="s">
        <v>2400</v>
      </c>
      <c r="B49" s="485">
        <v>0.72068289600177993</v>
      </c>
      <c r="C49" s="485">
        <v>0.70979244221662741</v>
      </c>
      <c r="D49" s="485">
        <v>0.69812953538397893</v>
      </c>
      <c r="E49" s="485">
        <v>0.68529893986296231</v>
      </c>
      <c r="F49" s="485">
        <v>0.67085282649985722</v>
      </c>
      <c r="G49" s="485">
        <v>0.65450470869348698</v>
      </c>
    </row>
    <row r="50" spans="1:7" s="485" customFormat="1" x14ac:dyDescent="0.25">
      <c r="A50" s="1391" t="s">
        <v>2401</v>
      </c>
      <c r="B50" s="485">
        <v>0.74323075139263894</v>
      </c>
      <c r="C50" s="485">
        <v>0.73158586260526703</v>
      </c>
      <c r="D50" s="485">
        <v>0.71869906854928312</v>
      </c>
      <c r="E50" s="485">
        <v>0.70471331755555722</v>
      </c>
      <c r="F50" s="485">
        <v>0.68917692059385882</v>
      </c>
      <c r="G50" s="485">
        <v>0.67179974795162922</v>
      </c>
    </row>
    <row r="51" spans="1:7" s="485" customFormat="1" x14ac:dyDescent="0.25">
      <c r="A51" s="1391" t="s">
        <v>2402</v>
      </c>
      <c r="B51" s="485">
        <v>0.76502417178127868</v>
      </c>
      <c r="C51" s="485">
        <v>0.75215539577057122</v>
      </c>
      <c r="D51" s="485">
        <v>0.73811344624187769</v>
      </c>
      <c r="E51" s="485">
        <v>0.72303741164955881</v>
      </c>
      <c r="F51" s="485">
        <v>0.70647195985200117</v>
      </c>
      <c r="G51" s="485">
        <v>0.68812352261717158</v>
      </c>
    </row>
    <row r="52" spans="1:7" s="485" customFormat="1" x14ac:dyDescent="0.25">
      <c r="A52" s="1391" t="s">
        <v>2403</v>
      </c>
      <c r="B52" s="485">
        <v>0.10029476508362022</v>
      </c>
      <c r="C52" s="485">
        <v>0.10071694696330878</v>
      </c>
      <c r="D52" s="485">
        <v>0.10193283164239253</v>
      </c>
      <c r="E52" s="485">
        <v>0.10317931772254012</v>
      </c>
      <c r="F52" s="485">
        <v>0.10485354891860241</v>
      </c>
      <c r="G52" s="485">
        <v>0.10552170156561409</v>
      </c>
    </row>
    <row r="53" spans="1:7" s="485" customFormat="1" x14ac:dyDescent="0.25">
      <c r="A53" s="1391" t="s">
        <v>2404</v>
      </c>
      <c r="B53" s="485">
        <v>0.13415525613932014</v>
      </c>
      <c r="C53" s="485">
        <v>0.13538915886368075</v>
      </c>
      <c r="D53" s="485">
        <v>0.13657944640886077</v>
      </c>
      <c r="E53" s="485">
        <v>0.13871403997430234</v>
      </c>
      <c r="F53" s="485">
        <v>0.14019391346598606</v>
      </c>
      <c r="G53" s="485">
        <v>0.14056579402639685</v>
      </c>
    </row>
    <row r="54" spans="1:7" s="485" customFormat="1" x14ac:dyDescent="0.25">
      <c r="A54" s="1391" t="s">
        <v>2405</v>
      </c>
      <c r="B54" s="485">
        <v>0.16882746803969206</v>
      </c>
      <c r="C54" s="485">
        <v>0.17003577363014899</v>
      </c>
      <c r="D54" s="485">
        <v>0.17211416866062296</v>
      </c>
      <c r="E54" s="485">
        <v>0.174054404521686</v>
      </c>
      <c r="F54" s="485">
        <v>0.17523800592676886</v>
      </c>
      <c r="G54" s="485">
        <v>0.17528009425108945</v>
      </c>
    </row>
    <row r="55" spans="1:7" s="485" customFormat="1" x14ac:dyDescent="0.25">
      <c r="A55" s="1391" t="s">
        <v>2406</v>
      </c>
      <c r="B55" s="485">
        <v>0.20347408280616033</v>
      </c>
      <c r="C55" s="485">
        <v>0.2055704958819112</v>
      </c>
      <c r="D55" s="485">
        <v>0.20745453320800664</v>
      </c>
      <c r="E55" s="485">
        <v>0.20909849698246874</v>
      </c>
      <c r="F55" s="485">
        <v>0.20995230615146143</v>
      </c>
      <c r="G55" s="485">
        <v>0.2094462256312413</v>
      </c>
    </row>
    <row r="56" spans="1:7" s="485" customFormat="1" x14ac:dyDescent="0.25">
      <c r="A56" s="1391" t="s">
        <v>2407</v>
      </c>
      <c r="B56" s="485">
        <v>0.2390088050579226</v>
      </c>
      <c r="C56" s="485">
        <v>0.24091086042929485</v>
      </c>
      <c r="D56" s="485">
        <v>0.24249862566878938</v>
      </c>
      <c r="E56" s="485">
        <v>0.24381279720716137</v>
      </c>
      <c r="F56" s="485">
        <v>0.24411843753161333</v>
      </c>
      <c r="G56" s="485">
        <v>0.24330853357098611</v>
      </c>
    </row>
    <row r="57" spans="1:7" s="485" customFormat="1" x14ac:dyDescent="0.25">
      <c r="A57" s="1391" t="s">
        <v>2408</v>
      </c>
      <c r="B57" s="485">
        <v>0.27434916960530625</v>
      </c>
      <c r="C57" s="485">
        <v>0.27595495289007765</v>
      </c>
      <c r="D57" s="485">
        <v>0.27721292589348207</v>
      </c>
      <c r="E57" s="485">
        <v>0.27797892858731316</v>
      </c>
      <c r="F57" s="485">
        <v>0.27798074547135815</v>
      </c>
      <c r="G57" s="485">
        <v>0.2772027057957443</v>
      </c>
    </row>
    <row r="58" spans="1:7" s="485" customFormat="1" x14ac:dyDescent="0.25">
      <c r="A58" s="1391" t="s">
        <v>2409</v>
      </c>
      <c r="B58" s="485">
        <v>0.30939326206608897</v>
      </c>
      <c r="C58" s="485">
        <v>0.31066925311477023</v>
      </c>
      <c r="D58" s="485">
        <v>0.31137905727363385</v>
      </c>
      <c r="E58" s="485">
        <v>0.31184123652705803</v>
      </c>
      <c r="F58" s="485">
        <v>0.31187491769611625</v>
      </c>
      <c r="G58" s="485">
        <v>0.30959816799443096</v>
      </c>
    </row>
    <row r="59" spans="1:7" s="485" customFormat="1" x14ac:dyDescent="0.25">
      <c r="A59" s="1391" t="s">
        <v>2410</v>
      </c>
      <c r="B59" s="485">
        <v>5.2302450723593706E-2</v>
      </c>
      <c r="C59" s="485">
        <v>5.3516434947454998E-2</v>
      </c>
      <c r="D59" s="485">
        <v>5.4562013278680065E-2</v>
      </c>
      <c r="E59" s="485">
        <v>5.7700578563194146E-2</v>
      </c>
      <c r="F59" s="485">
        <v>6.0894682043841263E-2</v>
      </c>
      <c r="G59" s="485">
        <v>6.2580360976253677E-2</v>
      </c>
    </row>
    <row r="60" spans="1:7" s="485" customFormat="1" x14ac:dyDescent="0.25">
      <c r="A60" s="1391" t="s">
        <v>2411</v>
      </c>
      <c r="B60" s="485">
        <v>0.60155069553984886</v>
      </c>
      <c r="C60" s="485">
        <v>0.61282548167836104</v>
      </c>
      <c r="D60" s="485">
        <v>0.62170504347935851</v>
      </c>
      <c r="E60" s="485">
        <v>0.62854595247265532</v>
      </c>
      <c r="F60" s="485">
        <v>0.6294623146341648</v>
      </c>
      <c r="G60" s="485">
        <v>0.62438122055082956</v>
      </c>
    </row>
    <row r="61" spans="1:7" s="485" customFormat="1" x14ac:dyDescent="0.25">
      <c r="A61" s="1391" t="s">
        <v>2412</v>
      </c>
      <c r="B61" s="485">
        <v>0.66512793240195489</v>
      </c>
      <c r="C61" s="485">
        <v>0.67522147842681346</v>
      </c>
      <c r="D61" s="485">
        <v>0.68310796575133537</v>
      </c>
      <c r="E61" s="485">
        <v>0.68716289319735879</v>
      </c>
      <c r="F61" s="485">
        <v>0.68527590259467086</v>
      </c>
      <c r="G61" s="485">
        <v>0.67786777245521912</v>
      </c>
    </row>
    <row r="62" spans="1:7" s="485" customFormat="1" x14ac:dyDescent="0.25">
      <c r="A62" s="1391" t="s">
        <v>2413</v>
      </c>
      <c r="B62" s="485">
        <v>0.7275239291504072</v>
      </c>
      <c r="C62" s="485">
        <v>0.73662440069879043</v>
      </c>
      <c r="D62" s="485">
        <v>0.74172490647603895</v>
      </c>
      <c r="E62" s="485">
        <v>0.74297648115786497</v>
      </c>
      <c r="F62" s="485">
        <v>0.73876245449906031</v>
      </c>
      <c r="G62" s="485">
        <v>0.72913719067073757</v>
      </c>
    </row>
    <row r="63" spans="1:7" s="485" customFormat="1" x14ac:dyDescent="0.25">
      <c r="A63" s="1391" t="s">
        <v>2414</v>
      </c>
      <c r="B63" s="485">
        <v>0.78892685142238417</v>
      </c>
      <c r="C63" s="485">
        <v>0.7952413414234939</v>
      </c>
      <c r="D63" s="485">
        <v>0.79753849443654512</v>
      </c>
      <c r="E63" s="485">
        <v>0.79646303306225463</v>
      </c>
      <c r="F63" s="485">
        <v>0.79003187271457864</v>
      </c>
      <c r="G63" s="485">
        <v>0.7782406052180092</v>
      </c>
    </row>
    <row r="64" spans="1:7" s="485" customFormat="1" x14ac:dyDescent="0.25">
      <c r="A64" s="1391" t="s">
        <v>2415</v>
      </c>
      <c r="B64" s="485">
        <v>0.84754379214708753</v>
      </c>
      <c r="C64" s="485">
        <v>0.85105492938400007</v>
      </c>
      <c r="D64" s="485">
        <v>0.85102504634093468</v>
      </c>
      <c r="E64" s="485">
        <v>0.84773245127777275</v>
      </c>
      <c r="F64" s="485">
        <v>0.83913528726185049</v>
      </c>
      <c r="G64" s="485">
        <v>0.82542877780438428</v>
      </c>
    </row>
    <row r="65" spans="1:7" s="485" customFormat="1" x14ac:dyDescent="0.25">
      <c r="A65" s="1391" t="s">
        <v>2416</v>
      </c>
      <c r="B65" s="485">
        <v>0.90335738010759381</v>
      </c>
      <c r="C65" s="485">
        <v>0.90454148128838974</v>
      </c>
      <c r="D65" s="485">
        <v>0.90229446455645279</v>
      </c>
      <c r="E65" s="485">
        <v>0.89683586582504438</v>
      </c>
      <c r="F65" s="485">
        <v>0.88632345984822536</v>
      </c>
      <c r="G65" s="485">
        <v>0.87078117780645814</v>
      </c>
    </row>
    <row r="66" spans="1:7" s="485" customFormat="1" x14ac:dyDescent="0.25">
      <c r="A66" s="1391" t="s">
        <v>2417</v>
      </c>
      <c r="B66" s="485">
        <v>0.95684393201198348</v>
      </c>
      <c r="C66" s="485">
        <v>0.95581089950390785</v>
      </c>
      <c r="D66" s="485">
        <v>0.95139787910372442</v>
      </c>
      <c r="E66" s="485">
        <v>0.9440240384114198</v>
      </c>
      <c r="F66" s="485">
        <v>0.93167585985029933</v>
      </c>
      <c r="G66" s="485">
        <v>0.91437379304180677</v>
      </c>
    </row>
    <row r="67" spans="1:7" s="485" customFormat="1" x14ac:dyDescent="0.25">
      <c r="A67" s="1391" t="s">
        <v>2418</v>
      </c>
      <c r="B67" s="485">
        <v>1.0081133502275017</v>
      </c>
      <c r="C67" s="485">
        <v>1.0049143140511796</v>
      </c>
      <c r="D67" s="485">
        <v>0.99858605169009973</v>
      </c>
      <c r="E67" s="485">
        <v>0.98937643841349354</v>
      </c>
      <c r="F67" s="485">
        <v>0.97526847508564818</v>
      </c>
      <c r="G67" s="485">
        <v>0.95627928903422388</v>
      </c>
    </row>
    <row r="68" spans="1:7" s="485" customFormat="1" x14ac:dyDescent="0.25">
      <c r="A68" s="1391" t="s">
        <v>2419</v>
      </c>
      <c r="B68" s="485">
        <v>1.0572167647747732</v>
      </c>
      <c r="C68" s="485">
        <v>1.0521024866375548</v>
      </c>
      <c r="D68" s="485">
        <v>1.0439384516921737</v>
      </c>
      <c r="E68" s="485">
        <v>1.0329690536488423</v>
      </c>
      <c r="F68" s="485">
        <v>1.0171739710780652</v>
      </c>
      <c r="G68" s="485">
        <v>0.99656716075785778</v>
      </c>
    </row>
    <row r="69" spans="1:7" s="485" customFormat="1" x14ac:dyDescent="0.25">
      <c r="A69" s="1391" t="s">
        <v>2420</v>
      </c>
      <c r="B69" s="485">
        <v>1.1044049373611484</v>
      </c>
      <c r="C69" s="485">
        <v>1.0974548866396285</v>
      </c>
      <c r="D69" s="485">
        <v>1.0875310669275224</v>
      </c>
      <c r="E69" s="485">
        <v>1.0748745496412593</v>
      </c>
      <c r="F69" s="485">
        <v>1.0574618428016991</v>
      </c>
      <c r="G69" s="485">
        <v>1.0353038772233758</v>
      </c>
    </row>
    <row r="70" spans="1:7" s="485" customFormat="1" x14ac:dyDescent="0.25">
      <c r="A70" s="1391" t="s">
        <v>2421</v>
      </c>
      <c r="B70" s="485">
        <v>0.1058188856710487</v>
      </c>
      <c r="C70" s="485">
        <v>0.10807844822613502</v>
      </c>
      <c r="D70" s="485">
        <v>0.1122625918418742</v>
      </c>
      <c r="E70" s="485">
        <v>0.1185952606070354</v>
      </c>
      <c r="F70" s="485">
        <v>0.12347504302009493</v>
      </c>
      <c r="G70" s="485">
        <v>0.12723058958792277</v>
      </c>
    </row>
    <row r="71" spans="1:7" s="485" customFormat="1" x14ac:dyDescent="0.25">
      <c r="A71" s="1391" t="s">
        <v>2422</v>
      </c>
      <c r="B71" s="485">
        <v>1.1497573373632222</v>
      </c>
      <c r="C71" s="485">
        <v>1.1410475018749775</v>
      </c>
      <c r="D71" s="485">
        <v>1.1294365629199394</v>
      </c>
      <c r="E71" s="485">
        <v>1.115162421364893</v>
      </c>
      <c r="F71" s="485">
        <v>1.096198559267217</v>
      </c>
      <c r="G71" s="485">
        <v>1.0725530192514849</v>
      </c>
    </row>
    <row r="72" spans="1:7" s="485" customFormat="1" x14ac:dyDescent="0.25">
      <c r="A72" s="1391" t="s">
        <v>2423</v>
      </c>
      <c r="B72" s="485">
        <v>1.1933499525985711</v>
      </c>
      <c r="C72" s="485">
        <v>1.1829529978673945</v>
      </c>
      <c r="D72" s="485">
        <v>1.1697244346435731</v>
      </c>
      <c r="E72" s="485">
        <v>1.1538991378304113</v>
      </c>
      <c r="F72" s="485">
        <v>1.1334477012953259</v>
      </c>
      <c r="G72" s="485">
        <v>1.1077103029023665</v>
      </c>
    </row>
    <row r="73" spans="1:7" s="485" customFormat="1" x14ac:dyDescent="0.25">
      <c r="A73" s="1391" t="s">
        <v>2424</v>
      </c>
      <c r="B73" s="485">
        <v>1.2352554485909883</v>
      </c>
      <c r="C73" s="485">
        <v>1.2232408695910282</v>
      </c>
      <c r="D73" s="485">
        <v>1.2084611511090912</v>
      </c>
      <c r="E73" s="485">
        <v>1.19114827985852</v>
      </c>
      <c r="F73" s="485">
        <v>1.1686049849462075</v>
      </c>
      <c r="G73" s="485">
        <v>1.1408932039414241</v>
      </c>
    </row>
    <row r="74" spans="1:7" s="485" customFormat="1" x14ac:dyDescent="0.25">
      <c r="A74" s="1391" t="s">
        <v>2425</v>
      </c>
      <c r="B74" s="485">
        <v>1.275543320314622</v>
      </c>
      <c r="C74" s="485">
        <v>1.2619775860565463</v>
      </c>
      <c r="D74" s="485">
        <v>1.2457102931372002</v>
      </c>
      <c r="E74" s="485">
        <v>1.2263055635094018</v>
      </c>
      <c r="F74" s="485">
        <v>1.2017878859852655</v>
      </c>
      <c r="G74" s="485">
        <v>1.1722126008636116</v>
      </c>
    </row>
    <row r="75" spans="1:7" s="485" customFormat="1" x14ac:dyDescent="0.25">
      <c r="A75" s="1391" t="s">
        <v>2426</v>
      </c>
      <c r="B75" s="485">
        <v>1.3142800367801399</v>
      </c>
      <c r="C75" s="485">
        <v>1.2992267280846554</v>
      </c>
      <c r="D75" s="485">
        <v>1.2808675767880819</v>
      </c>
      <c r="E75" s="485">
        <v>1.2594884645484596</v>
      </c>
      <c r="F75" s="485">
        <v>1.233107282907453</v>
      </c>
      <c r="G75" s="485">
        <v>1.2017731453866769</v>
      </c>
    </row>
    <row r="76" spans="1:7" s="485" customFormat="1" x14ac:dyDescent="0.25">
      <c r="A76" s="1391" t="s">
        <v>2427</v>
      </c>
      <c r="B76" s="485">
        <v>1.3515291788082491</v>
      </c>
      <c r="C76" s="485">
        <v>1.3343840117355372</v>
      </c>
      <c r="D76" s="485">
        <v>1.3140504778271396</v>
      </c>
      <c r="E76" s="485">
        <v>1.2908078614706471</v>
      </c>
      <c r="F76" s="485">
        <v>1.2626678274305183</v>
      </c>
      <c r="G76" s="485">
        <v>1.2296736121380365</v>
      </c>
    </row>
    <row r="77" spans="1:7" s="485" customFormat="1" x14ac:dyDescent="0.25">
      <c r="A77" s="1391" t="s">
        <v>2428</v>
      </c>
      <c r="B77" s="485">
        <v>1.3866864624591311</v>
      </c>
      <c r="C77" s="485">
        <v>1.3675669127745949</v>
      </c>
      <c r="D77" s="485">
        <v>1.3453698747493275</v>
      </c>
      <c r="E77" s="485">
        <v>1.3203684059937124</v>
      </c>
      <c r="F77" s="485">
        <v>1.2905682941818775</v>
      </c>
      <c r="G77" s="485">
        <v>1.256007228703736</v>
      </c>
    </row>
    <row r="78" spans="1:7" s="485" customFormat="1" x14ac:dyDescent="0.25">
      <c r="A78" s="1391" t="s">
        <v>2429</v>
      </c>
      <c r="B78" s="485">
        <v>1.4198693634981883</v>
      </c>
      <c r="C78" s="485">
        <v>1.3988863096967821</v>
      </c>
      <c r="D78" s="485">
        <v>1.3749304192723923</v>
      </c>
      <c r="E78" s="485">
        <v>1.3482688727450713</v>
      </c>
      <c r="F78" s="485">
        <v>1.3169019107475775</v>
      </c>
      <c r="G78" s="485">
        <v>1.2808619871423395</v>
      </c>
    </row>
    <row r="79" spans="1:7" s="485" customFormat="1" x14ac:dyDescent="0.25">
      <c r="A79" s="1391" t="s">
        <v>2430</v>
      </c>
      <c r="B79" s="485">
        <v>1.4511887604203759</v>
      </c>
      <c r="C79" s="485">
        <v>1.4284468542198472</v>
      </c>
      <c r="D79" s="485">
        <v>1.4028308860237515</v>
      </c>
      <c r="E79" s="485">
        <v>1.3746024893107718</v>
      </c>
      <c r="F79" s="485">
        <v>1.3417566691861809</v>
      </c>
      <c r="G79" s="485">
        <v>1.3043209380046363</v>
      </c>
    </row>
    <row r="80" spans="1:7" s="485" customFormat="1" x14ac:dyDescent="0.25">
      <c r="A80" s="1391" t="s">
        <v>2431</v>
      </c>
      <c r="B80" s="485">
        <v>1.480749304943441</v>
      </c>
      <c r="C80" s="485">
        <v>1.4563473209712066</v>
      </c>
      <c r="D80" s="485">
        <v>1.4291645025894519</v>
      </c>
      <c r="E80" s="485">
        <v>1.399457247749375</v>
      </c>
      <c r="F80" s="485">
        <v>1.3652156200484775</v>
      </c>
      <c r="G80" s="485">
        <v>1.3264624678416315</v>
      </c>
    </row>
    <row r="81" spans="1:7" s="485" customFormat="1" x14ac:dyDescent="0.25">
      <c r="A81" s="1391" t="s">
        <v>2432</v>
      </c>
      <c r="B81" s="485">
        <v>0.16038089894972868</v>
      </c>
      <c r="C81" s="485">
        <v>0.1657790267893291</v>
      </c>
      <c r="D81" s="485">
        <v>0.17315727388571547</v>
      </c>
      <c r="E81" s="485">
        <v>0.18117562158328909</v>
      </c>
      <c r="F81" s="485">
        <v>0.18812527163176401</v>
      </c>
      <c r="G81" s="485">
        <v>0.19253877659377019</v>
      </c>
    </row>
    <row r="82" spans="1:7" s="485" customFormat="1" x14ac:dyDescent="0.25">
      <c r="A82" s="1391" t="s">
        <v>2433</v>
      </c>
      <c r="B82" s="485">
        <v>1.5086497716948006</v>
      </c>
      <c r="C82" s="485">
        <v>1.482680937536907</v>
      </c>
      <c r="D82" s="485">
        <v>1.4540192610280549</v>
      </c>
      <c r="E82" s="485">
        <v>1.4229161986116714</v>
      </c>
      <c r="F82" s="485">
        <v>1.3873571498854729</v>
      </c>
      <c r="G82" s="485">
        <v>1.3473605611280832</v>
      </c>
    </row>
    <row r="83" spans="1:7" s="485" customFormat="1" x14ac:dyDescent="0.25">
      <c r="A83" s="1391" t="s">
        <v>2434</v>
      </c>
      <c r="B83" s="485">
        <v>0.21808147751292284</v>
      </c>
      <c r="C83" s="485">
        <v>0.22667370883317028</v>
      </c>
      <c r="D83" s="485">
        <v>0.23573763486196914</v>
      </c>
      <c r="E83" s="485">
        <v>0.24582585019495815</v>
      </c>
      <c r="F83" s="485">
        <v>0.25343345863761141</v>
      </c>
      <c r="G83" s="485">
        <v>0.25782753372878886</v>
      </c>
    </row>
    <row r="84" spans="1:7" s="485" customFormat="1" x14ac:dyDescent="0.25">
      <c r="A84" s="1391" t="s">
        <v>2435</v>
      </c>
      <c r="B84" s="485">
        <v>0.27897615955676403</v>
      </c>
      <c r="C84" s="485">
        <v>0.28925406980942386</v>
      </c>
      <c r="D84" s="485">
        <v>0.30038786347363822</v>
      </c>
      <c r="E84" s="485">
        <v>0.31113403720080557</v>
      </c>
      <c r="F84" s="485">
        <v>0.31872221577263016</v>
      </c>
      <c r="G84" s="485">
        <v>0.32257453598308466</v>
      </c>
    </row>
    <row r="85" spans="1:7" s="485" customFormat="1" x14ac:dyDescent="0.25">
      <c r="A85" s="1391" t="s">
        <v>2436</v>
      </c>
      <c r="B85" s="485">
        <v>0.34155652053301766</v>
      </c>
      <c r="C85" s="485">
        <v>0.35390429842109306</v>
      </c>
      <c r="D85" s="485">
        <v>0.36569605047948561</v>
      </c>
      <c r="E85" s="485">
        <v>0.37642279433582426</v>
      </c>
      <c r="F85" s="485">
        <v>0.38346921802692591</v>
      </c>
      <c r="G85" s="485">
        <v>0.38615177284519064</v>
      </c>
    </row>
    <row r="86" spans="1:7" s="485" customFormat="1" x14ac:dyDescent="0.25">
      <c r="A86" s="1391" t="s">
        <v>2437</v>
      </c>
      <c r="B86" s="485">
        <v>0.40620674914468674</v>
      </c>
      <c r="C86" s="485">
        <v>0.41921248542694051</v>
      </c>
      <c r="D86" s="485">
        <v>0.43098480761450442</v>
      </c>
      <c r="E86" s="485">
        <v>0.44116979659012001</v>
      </c>
      <c r="F86" s="485">
        <v>0.44704645488903194</v>
      </c>
      <c r="G86" s="485">
        <v>0.44854776959364301</v>
      </c>
    </row>
    <row r="87" spans="1:7" s="485" customFormat="1" x14ac:dyDescent="0.25">
      <c r="A87" s="1391" t="s">
        <v>2438</v>
      </c>
      <c r="B87" s="485">
        <v>0.47151493615053425</v>
      </c>
      <c r="C87" s="485">
        <v>0.48450124256195926</v>
      </c>
      <c r="D87" s="485">
        <v>0.49573180986880017</v>
      </c>
      <c r="E87" s="485">
        <v>0.50474703345222605</v>
      </c>
      <c r="F87" s="485">
        <v>0.50944245163748425</v>
      </c>
      <c r="G87" s="485">
        <v>0.50995069186561981</v>
      </c>
    </row>
    <row r="88" spans="1:7" s="485" customFormat="1" x14ac:dyDescent="0.25">
      <c r="A88" s="1391" t="s">
        <v>2439</v>
      </c>
      <c r="B88" s="485">
        <v>0.536803693285553</v>
      </c>
      <c r="C88" s="485">
        <v>0.54924824481625512</v>
      </c>
      <c r="D88" s="485">
        <v>0.5593090467309062</v>
      </c>
      <c r="E88" s="485">
        <v>0.56714303020067847</v>
      </c>
      <c r="F88" s="485">
        <v>0.57084537390946111</v>
      </c>
      <c r="G88" s="485">
        <v>0.5685676325903235</v>
      </c>
    </row>
    <row r="89" spans="1:7" s="485" customFormat="1" x14ac:dyDescent="0.25">
      <c r="A89" s="1391" t="s">
        <v>2440</v>
      </c>
      <c r="B89" s="485">
        <v>5.4354218725356576E-2</v>
      </c>
      <c r="C89" s="485">
        <v>5.5654468775423134E-2</v>
      </c>
      <c r="D89" s="485">
        <v>5.6778001557869384E-2</v>
      </c>
      <c r="E89" s="485">
        <v>6.0118502402044444E-2</v>
      </c>
      <c r="F89" s="485">
        <v>6.3500620567258331E-2</v>
      </c>
      <c r="G89" s="485">
        <v>6.5308663997247496E-2</v>
      </c>
    </row>
    <row r="90" spans="1:7" s="485" customFormat="1" x14ac:dyDescent="0.25">
      <c r="A90" s="1391" t="s">
        <v>2441</v>
      </c>
      <c r="B90" s="485">
        <v>0.62721218525158584</v>
      </c>
      <c r="C90" s="485">
        <v>0.63925958985862807</v>
      </c>
      <c r="D90" s="485">
        <v>0.64875615811663234</v>
      </c>
      <c r="E90" s="485">
        <v>0.65606317567893235</v>
      </c>
      <c r="F90" s="485">
        <v>0.65712002330777652</v>
      </c>
      <c r="G90" s="485">
        <v>0.65186605583539525</v>
      </c>
    </row>
    <row r="91" spans="1:7" s="485" customFormat="1" x14ac:dyDescent="0.25">
      <c r="A91" s="1391" t="s">
        <v>2442</v>
      </c>
      <c r="B91" s="485">
        <v>0.69361380858398469</v>
      </c>
      <c r="C91" s="485">
        <v>0.70441062689205547</v>
      </c>
      <c r="D91" s="485">
        <v>0.71284117723680196</v>
      </c>
      <c r="E91" s="485">
        <v>0.71723852570982105</v>
      </c>
      <c r="F91" s="485">
        <v>0.7153666764026535</v>
      </c>
      <c r="G91" s="485">
        <v>0.70767389920934209</v>
      </c>
    </row>
    <row r="92" spans="1:7" s="485" customFormat="1" x14ac:dyDescent="0.25">
      <c r="A92" s="1391" t="s">
        <v>2443</v>
      </c>
      <c r="B92" s="485">
        <v>0.75876484561741186</v>
      </c>
      <c r="C92" s="485">
        <v>0.76849564601222509</v>
      </c>
      <c r="D92" s="485">
        <v>0.77401652726769044</v>
      </c>
      <c r="E92" s="485">
        <v>0.77548517880469769</v>
      </c>
      <c r="F92" s="485">
        <v>0.77117451977660034</v>
      </c>
      <c r="G92" s="485">
        <v>0.76115866658709597</v>
      </c>
    </row>
    <row r="93" spans="1:7" s="485" customFormat="1" x14ac:dyDescent="0.25">
      <c r="A93" s="1391" t="s">
        <v>2444</v>
      </c>
      <c r="B93" s="485">
        <v>0.82284986473758159</v>
      </c>
      <c r="C93" s="485">
        <v>0.82967099604311367</v>
      </c>
      <c r="D93" s="485">
        <v>0.83226318036256719</v>
      </c>
      <c r="E93" s="485">
        <v>0.83129302217864487</v>
      </c>
      <c r="F93" s="485">
        <v>0.82465928715435433</v>
      </c>
      <c r="G93" s="485">
        <v>0.8123768127696912</v>
      </c>
    </row>
    <row r="94" spans="1:7" s="485" customFormat="1" x14ac:dyDescent="0.25">
      <c r="A94" s="1391" t="s">
        <v>2445</v>
      </c>
      <c r="B94" s="485">
        <v>0.88402521476847018</v>
      </c>
      <c r="C94" s="485">
        <v>0.88791764913799043</v>
      </c>
      <c r="D94" s="485">
        <v>0.88807102373651414</v>
      </c>
      <c r="E94" s="485">
        <v>0.88477778955639885</v>
      </c>
      <c r="F94" s="485">
        <v>0.87587743333694978</v>
      </c>
      <c r="G94" s="485">
        <v>0.86158997662867232</v>
      </c>
    </row>
    <row r="95" spans="1:7" s="485" customFormat="1" x14ac:dyDescent="0.25">
      <c r="A95" s="1391" t="s">
        <v>2446</v>
      </c>
      <c r="B95" s="485">
        <v>0.94227186786334705</v>
      </c>
      <c r="C95" s="485">
        <v>0.94372549251193749</v>
      </c>
      <c r="D95" s="485">
        <v>0.94155579111426835</v>
      </c>
      <c r="E95" s="485">
        <v>0.93599593573899431</v>
      </c>
      <c r="F95" s="485">
        <v>0.92509059719593068</v>
      </c>
      <c r="G95" s="485">
        <v>0.90888162097355174</v>
      </c>
    </row>
    <row r="96" spans="1:7" s="485" customFormat="1" x14ac:dyDescent="0.25">
      <c r="A96" s="1391" t="s">
        <v>2447</v>
      </c>
      <c r="B96" s="485">
        <v>0.99807971123729389</v>
      </c>
      <c r="C96" s="485">
        <v>0.99721025988969125</v>
      </c>
      <c r="D96" s="485">
        <v>0.99277393729686347</v>
      </c>
      <c r="E96" s="485">
        <v>0.9852090995979752</v>
      </c>
      <c r="F96" s="485">
        <v>0.97238224154080999</v>
      </c>
      <c r="G96" s="485">
        <v>0.95433154261399855</v>
      </c>
    </row>
    <row r="97" spans="1:7" s="485" customFormat="1" x14ac:dyDescent="0.25">
      <c r="A97" s="1391" t="s">
        <v>2448</v>
      </c>
      <c r="B97" s="485">
        <v>1.051564478615048</v>
      </c>
      <c r="C97" s="485">
        <v>1.0484284060722866</v>
      </c>
      <c r="D97" s="485">
        <v>1.0419871011558446</v>
      </c>
      <c r="E97" s="485">
        <v>1.0325007439428546</v>
      </c>
      <c r="F97" s="485">
        <v>1.0178321631812568</v>
      </c>
      <c r="G97" s="485">
        <v>0.99801604037986824</v>
      </c>
    </row>
    <row r="98" spans="1:7" s="485" customFormat="1" x14ac:dyDescent="0.25">
      <c r="A98" s="1391" t="s">
        <v>2449</v>
      </c>
      <c r="B98" s="485">
        <v>1.1027826247976433</v>
      </c>
      <c r="C98" s="485">
        <v>1.0976415699312678</v>
      </c>
      <c r="D98" s="485">
        <v>1.089278745500724</v>
      </c>
      <c r="E98" s="485">
        <v>1.0779506655833015</v>
      </c>
      <c r="F98" s="485">
        <v>1.0615166609471267</v>
      </c>
      <c r="G98" s="485">
        <v>1.0400080751964915</v>
      </c>
    </row>
    <row r="99" spans="1:7" s="485" customFormat="1" x14ac:dyDescent="0.25">
      <c r="A99" s="1391" t="s">
        <v>2450</v>
      </c>
      <c r="B99" s="485">
        <v>1.1519957886566243</v>
      </c>
      <c r="C99" s="485">
        <v>1.144933214276147</v>
      </c>
      <c r="D99" s="485">
        <v>1.1347286671411707</v>
      </c>
      <c r="E99" s="485">
        <v>1.121635163349171</v>
      </c>
      <c r="F99" s="485">
        <v>1.1035086957637499</v>
      </c>
      <c r="G99" s="485">
        <v>1.0803774225991196</v>
      </c>
    </row>
    <row r="100" spans="1:7" s="485" customFormat="1" x14ac:dyDescent="0.25">
      <c r="A100" s="1391" t="s">
        <v>2451</v>
      </c>
      <c r="B100" s="485">
        <v>0.11000868750077969</v>
      </c>
      <c r="C100" s="485">
        <v>0.11243247033329253</v>
      </c>
      <c r="D100" s="485">
        <v>0.11689650395991383</v>
      </c>
      <c r="E100" s="485">
        <v>0.12361912296930279</v>
      </c>
      <c r="F100" s="485">
        <v>0.12880928456450585</v>
      </c>
      <c r="G100" s="485">
        <v>0.13279057791867291</v>
      </c>
    </row>
    <row r="101" spans="1:7" s="485" customFormat="1" x14ac:dyDescent="0.25">
      <c r="A101" s="1391" t="s">
        <v>2452</v>
      </c>
      <c r="B101" s="485">
        <v>1.1992874330015035</v>
      </c>
      <c r="C101" s="485">
        <v>1.1903831359165937</v>
      </c>
      <c r="D101" s="485">
        <v>1.1784131649070404</v>
      </c>
      <c r="E101" s="485">
        <v>1.1636271981657942</v>
      </c>
      <c r="F101" s="485">
        <v>1.143878043166378</v>
      </c>
      <c r="G101" s="485">
        <v>1.1191908180515968</v>
      </c>
    </row>
    <row r="102" spans="1:7" s="485" customFormat="1" x14ac:dyDescent="0.25">
      <c r="A102" s="1391" t="s">
        <v>2453</v>
      </c>
      <c r="B102" s="485">
        <v>1.2447373546419505</v>
      </c>
      <c r="C102" s="485">
        <v>1.2340676336824634</v>
      </c>
      <c r="D102" s="485">
        <v>1.220405199723664</v>
      </c>
      <c r="E102" s="485">
        <v>1.2039965455684223</v>
      </c>
      <c r="F102" s="485">
        <v>1.1826914386188552</v>
      </c>
      <c r="G102" s="485">
        <v>1.1558245088986727</v>
      </c>
    </row>
    <row r="103" spans="1:7" s="485" customFormat="1" x14ac:dyDescent="0.25">
      <c r="A103" s="1391" t="s">
        <v>2454</v>
      </c>
      <c r="B103" s="485">
        <v>1.2884218524078201</v>
      </c>
      <c r="C103" s="485">
        <v>1.2760596684990868</v>
      </c>
      <c r="D103" s="485">
        <v>1.2607745471262919</v>
      </c>
      <c r="E103" s="485">
        <v>1.2428099410208997</v>
      </c>
      <c r="F103" s="485">
        <v>1.2193251294659313</v>
      </c>
      <c r="G103" s="485">
        <v>1.1904009042238981</v>
      </c>
    </row>
    <row r="104" spans="1:7" s="485" customFormat="1" x14ac:dyDescent="0.25">
      <c r="A104" s="1391" t="s">
        <v>2455</v>
      </c>
      <c r="B104" s="485">
        <v>1.3304138872244435</v>
      </c>
      <c r="C104" s="485">
        <v>1.3164290159017149</v>
      </c>
      <c r="D104" s="485">
        <v>1.2995879425787691</v>
      </c>
      <c r="E104" s="485">
        <v>1.2794436318679758</v>
      </c>
      <c r="F104" s="485">
        <v>1.2539015247911565</v>
      </c>
      <c r="G104" s="485">
        <v>1.2230355387923033</v>
      </c>
    </row>
    <row r="105" spans="1:7" s="485" customFormat="1" x14ac:dyDescent="0.25">
      <c r="A105" s="1391" t="s">
        <v>2456</v>
      </c>
      <c r="B105" s="485">
        <v>1.3707832346270716</v>
      </c>
      <c r="C105" s="485">
        <v>1.3552424113541923</v>
      </c>
      <c r="D105" s="485">
        <v>1.3362216334258448</v>
      </c>
      <c r="E105" s="485">
        <v>1.3140200271932008</v>
      </c>
      <c r="F105" s="485">
        <v>1.2865361593595614</v>
      </c>
      <c r="G105" s="485">
        <v>1.2538374591022652</v>
      </c>
    </row>
    <row r="106" spans="1:7" s="485" customFormat="1" x14ac:dyDescent="0.25">
      <c r="A106" s="1391" t="s">
        <v>2457</v>
      </c>
      <c r="B106" s="485">
        <v>1.4095966300795486</v>
      </c>
      <c r="C106" s="485">
        <v>1.391876102201268</v>
      </c>
      <c r="D106" s="485">
        <v>1.3707980287510704</v>
      </c>
      <c r="E106" s="485">
        <v>1.346654661761606</v>
      </c>
      <c r="F106" s="485">
        <v>1.3173380796695238</v>
      </c>
      <c r="G106" s="485">
        <v>1.2829095877572558</v>
      </c>
    </row>
    <row r="107" spans="1:7" s="485" customFormat="1" x14ac:dyDescent="0.25">
      <c r="A107" s="1391" t="s">
        <v>2458</v>
      </c>
      <c r="B107" s="485">
        <v>0.16678668905864907</v>
      </c>
      <c r="C107" s="485">
        <v>0.17255097273533698</v>
      </c>
      <c r="D107" s="485">
        <v>0.18039712452717216</v>
      </c>
      <c r="E107" s="485">
        <v>0.18892778696655027</v>
      </c>
      <c r="F107" s="485">
        <v>0.19629119848593124</v>
      </c>
      <c r="G107" s="485">
        <v>0.20098760938011298</v>
      </c>
    </row>
    <row r="108" spans="1:7" s="485" customFormat="1" x14ac:dyDescent="0.25">
      <c r="A108" s="1391" t="s">
        <v>2459</v>
      </c>
      <c r="B108" s="485">
        <v>0.22690519146069354</v>
      </c>
      <c r="C108" s="485">
        <v>0.23605159330259531</v>
      </c>
      <c r="D108" s="485">
        <v>0.24570578852441965</v>
      </c>
      <c r="E108" s="485">
        <v>0.25640970088797571</v>
      </c>
      <c r="F108" s="485">
        <v>0.26448822994737131</v>
      </c>
      <c r="G108" s="485">
        <v>0.2691789171608106</v>
      </c>
    </row>
    <row r="109" spans="1:7" s="485" customFormat="1" x14ac:dyDescent="0.25">
      <c r="A109" s="1391" t="s">
        <v>2460</v>
      </c>
      <c r="B109" s="485">
        <v>0.2904058120279519</v>
      </c>
      <c r="C109" s="485">
        <v>0.30136025729984284</v>
      </c>
      <c r="D109" s="485">
        <v>0.31318770244584504</v>
      </c>
      <c r="E109" s="485">
        <v>0.32460673234941584</v>
      </c>
      <c r="F109" s="485">
        <v>0.33267953772806891</v>
      </c>
      <c r="G109" s="485">
        <v>0.33680637322363394</v>
      </c>
    </row>
    <row r="110" spans="1:7" s="485" customFormat="1" x14ac:dyDescent="0.25">
      <c r="A110" s="1391" t="s">
        <v>2461</v>
      </c>
      <c r="B110" s="485">
        <v>0.35571447602519934</v>
      </c>
      <c r="C110" s="485">
        <v>0.36884217122126828</v>
      </c>
      <c r="D110" s="485">
        <v>0.38138473390728506</v>
      </c>
      <c r="E110" s="485">
        <v>0.39279804013011338</v>
      </c>
      <c r="F110" s="485">
        <v>0.40030699379089241</v>
      </c>
      <c r="G110" s="485">
        <v>0.40320799655603273</v>
      </c>
    </row>
    <row r="111" spans="1:7" s="485" customFormat="1" x14ac:dyDescent="0.25">
      <c r="A111" s="1391" t="s">
        <v>2462</v>
      </c>
      <c r="B111" s="485">
        <v>0.42319638994662484</v>
      </c>
      <c r="C111" s="485">
        <v>0.43703920268270829</v>
      </c>
      <c r="D111" s="485">
        <v>0.44957604168798271</v>
      </c>
      <c r="E111" s="485">
        <v>0.46042549619293677</v>
      </c>
      <c r="F111" s="485">
        <v>0.46670861712329109</v>
      </c>
      <c r="G111" s="485">
        <v>0.46835903358946002</v>
      </c>
    </row>
    <row r="112" spans="1:7" s="485" customFormat="1" x14ac:dyDescent="0.25">
      <c r="A112" s="1391" t="s">
        <v>2463</v>
      </c>
      <c r="B112" s="485">
        <v>0.49139342140806486</v>
      </c>
      <c r="C112" s="485">
        <v>0.50523051046340595</v>
      </c>
      <c r="D112" s="485">
        <v>0.5172034977508061</v>
      </c>
      <c r="E112" s="485">
        <v>0.52682711952533567</v>
      </c>
      <c r="F112" s="485">
        <v>0.53185965415671843</v>
      </c>
      <c r="G112" s="485">
        <v>0.53244405270962969</v>
      </c>
    </row>
    <row r="113" spans="1:7" s="485" customFormat="1" x14ac:dyDescent="0.25">
      <c r="A113" s="1391" t="s">
        <v>2464</v>
      </c>
      <c r="B113" s="485">
        <v>0.55958472918876256</v>
      </c>
      <c r="C113" s="485">
        <v>0.57285796652622933</v>
      </c>
      <c r="D113" s="485">
        <v>0.58360512108320495</v>
      </c>
      <c r="E113" s="485">
        <v>0.59197815655876285</v>
      </c>
      <c r="F113" s="485">
        <v>0.59594467327688805</v>
      </c>
      <c r="G113" s="485">
        <v>0.59361940274051828</v>
      </c>
    </row>
    <row r="114" spans="1:7" s="485" customFormat="1" x14ac:dyDescent="0.25">
      <c r="A114" s="1391" t="s">
        <v>2465</v>
      </c>
      <c r="B114" s="485">
        <v>3.91956813789721E-2</v>
      </c>
      <c r="C114" s="485">
        <v>3.937304636582889E-2</v>
      </c>
      <c r="D114" s="485">
        <v>3.945652237943411E-2</v>
      </c>
      <c r="E114" s="485">
        <v>4.0314816762107873E-2</v>
      </c>
      <c r="F114" s="485">
        <v>4.1519870228215142E-2</v>
      </c>
      <c r="G114" s="485">
        <v>4.1717251220526781E-2</v>
      </c>
    </row>
    <row r="115" spans="1:7" s="485" customFormat="1" x14ac:dyDescent="0.25">
      <c r="A115" s="1391" t="s">
        <v>2466</v>
      </c>
      <c r="B115" s="485">
        <v>0.41169829046887413</v>
      </c>
      <c r="C115" s="485">
        <v>0.41388702505649649</v>
      </c>
      <c r="D115" s="485">
        <v>0.41544923259055555</v>
      </c>
      <c r="E115" s="485">
        <v>0.41682789726854408</v>
      </c>
      <c r="F115" s="485">
        <v>0.41553330132338623</v>
      </c>
      <c r="G115" s="485">
        <v>0.41122415031182757</v>
      </c>
    </row>
    <row r="116" spans="1:7" s="485" customFormat="1" x14ac:dyDescent="0.25">
      <c r="A116" s="1391" t="s">
        <v>2467</v>
      </c>
      <c r="B116" s="485">
        <v>0.45308270643546861</v>
      </c>
      <c r="C116" s="485">
        <v>0.45482227895638461</v>
      </c>
      <c r="D116" s="485">
        <v>0.45628441964797811</v>
      </c>
      <c r="E116" s="485">
        <v>0.45584811808549408</v>
      </c>
      <c r="F116" s="485">
        <v>0.45274402054004259</v>
      </c>
      <c r="G116" s="485">
        <v>0.44707926500537787</v>
      </c>
    </row>
    <row r="117" spans="1:7" s="485" customFormat="1" x14ac:dyDescent="0.25">
      <c r="A117" s="1391" t="s">
        <v>2468</v>
      </c>
      <c r="B117" s="485">
        <v>0.49401796033535661</v>
      </c>
      <c r="C117" s="485">
        <v>0.49565746601380695</v>
      </c>
      <c r="D117" s="485">
        <v>0.49530464046492817</v>
      </c>
      <c r="E117" s="485">
        <v>0.4930588373021505</v>
      </c>
      <c r="F117" s="485">
        <v>0.488599135233593</v>
      </c>
      <c r="G117" s="485">
        <v>0.48163232747227369</v>
      </c>
    </row>
    <row r="118" spans="1:7" s="485" customFormat="1" x14ac:dyDescent="0.25">
      <c r="A118" s="1391" t="s">
        <v>2469</v>
      </c>
      <c r="B118" s="485">
        <v>0.53485314739277912</v>
      </c>
      <c r="C118" s="485">
        <v>0.53467768683075712</v>
      </c>
      <c r="D118" s="485">
        <v>0.53251535968158459</v>
      </c>
      <c r="E118" s="485">
        <v>0.5289139519957009</v>
      </c>
      <c r="F118" s="485">
        <v>0.52315219770048882</v>
      </c>
      <c r="G118" s="485">
        <v>0.5148587489932428</v>
      </c>
    </row>
    <row r="119" spans="1:7" s="485" customFormat="1" x14ac:dyDescent="0.25">
      <c r="A119" s="1391" t="s">
        <v>2470</v>
      </c>
      <c r="B119" s="485">
        <v>0.57387336820972912</v>
      </c>
      <c r="C119" s="485">
        <v>0.57188840604741364</v>
      </c>
      <c r="D119" s="485">
        <v>0.5683704743751351</v>
      </c>
      <c r="E119" s="485">
        <v>0.56346701446259673</v>
      </c>
      <c r="F119" s="485">
        <v>0.55637861922145804</v>
      </c>
      <c r="G119" s="485">
        <v>0.54692673907309586</v>
      </c>
    </row>
    <row r="120" spans="1:7" s="485" customFormat="1" x14ac:dyDescent="0.25">
      <c r="A120" s="1391" t="s">
        <v>2471</v>
      </c>
      <c r="B120" s="485">
        <v>0.61108408742638565</v>
      </c>
      <c r="C120" s="485">
        <v>0.60774352074096383</v>
      </c>
      <c r="D120" s="485">
        <v>0.60292353684203093</v>
      </c>
      <c r="E120" s="485">
        <v>0.59669343598356595</v>
      </c>
      <c r="F120" s="485">
        <v>0.5884466093013111</v>
      </c>
      <c r="G120" s="485">
        <v>0.57787925061217049</v>
      </c>
    </row>
    <row r="121" spans="1:7" s="485" customFormat="1" x14ac:dyDescent="0.25">
      <c r="A121" s="1391" t="s">
        <v>2472</v>
      </c>
      <c r="B121" s="485">
        <v>0.64693920211993594</v>
      </c>
      <c r="C121" s="485">
        <v>0.64229658320785965</v>
      </c>
      <c r="D121" s="485">
        <v>0.63614995836300003</v>
      </c>
      <c r="E121" s="485">
        <v>0.628761426063419</v>
      </c>
      <c r="F121" s="485">
        <v>0.61939912084038573</v>
      </c>
      <c r="G121" s="485">
        <v>0.6077575345738262</v>
      </c>
    </row>
    <row r="122" spans="1:7" s="485" customFormat="1" x14ac:dyDescent="0.25">
      <c r="A122" s="1391" t="s">
        <v>2473</v>
      </c>
      <c r="B122" s="485">
        <v>0.68149226458683165</v>
      </c>
      <c r="C122" s="485">
        <v>0.67552300472882898</v>
      </c>
      <c r="D122" s="485">
        <v>0.66821794844285298</v>
      </c>
      <c r="E122" s="485">
        <v>0.65971393760249353</v>
      </c>
      <c r="F122" s="485">
        <v>0.64927740480204121</v>
      </c>
      <c r="G122" s="485">
        <v>0.63660121182294571</v>
      </c>
    </row>
    <row r="123" spans="1:7" s="485" customFormat="1" x14ac:dyDescent="0.25">
      <c r="A123" s="1391" t="s">
        <v>2474</v>
      </c>
      <c r="B123" s="485">
        <v>0.7147186861078012</v>
      </c>
      <c r="C123" s="485">
        <v>0.70759099480868204</v>
      </c>
      <c r="D123" s="485">
        <v>0.69917045998192762</v>
      </c>
      <c r="E123" s="485">
        <v>0.68959222156414912</v>
      </c>
      <c r="F123" s="485">
        <v>0.67812108205116084</v>
      </c>
      <c r="G123" s="485">
        <v>0.66444834176546363</v>
      </c>
    </row>
    <row r="124" spans="1:7" s="485" customFormat="1" x14ac:dyDescent="0.25">
      <c r="A124" s="1391" t="s">
        <v>2475</v>
      </c>
      <c r="B124" s="485">
        <v>0.74678667618765404</v>
      </c>
      <c r="C124" s="485">
        <v>0.73854350634775678</v>
      </c>
      <c r="D124" s="485">
        <v>0.7290487439435831</v>
      </c>
      <c r="E124" s="485">
        <v>0.71843589881326897</v>
      </c>
      <c r="F124" s="485">
        <v>0.70596821199367887</v>
      </c>
      <c r="G124" s="485">
        <v>0.69133548793732025</v>
      </c>
    </row>
    <row r="125" spans="1:7" s="485" customFormat="1" x14ac:dyDescent="0.25">
      <c r="A125" s="1391" t="s">
        <v>2476</v>
      </c>
      <c r="B125" s="485">
        <v>7.8568727744800976E-2</v>
      </c>
      <c r="C125" s="485">
        <v>7.8829568745263007E-2</v>
      </c>
      <c r="D125" s="485">
        <v>7.9771339141541983E-2</v>
      </c>
      <c r="E125" s="485">
        <v>8.1834686990323036E-2</v>
      </c>
      <c r="F125" s="485">
        <v>8.323712144874193E-2</v>
      </c>
      <c r="G125" s="485">
        <v>8.4565219123947266E-2</v>
      </c>
    </row>
    <row r="126" spans="1:7" s="485" customFormat="1" x14ac:dyDescent="0.25">
      <c r="A126" s="1391" t="s">
        <v>2477</v>
      </c>
      <c r="B126" s="485">
        <v>0.77773918772672868</v>
      </c>
      <c r="C126" s="485">
        <v>0.76842179030941193</v>
      </c>
      <c r="D126" s="485">
        <v>0.75789242119270284</v>
      </c>
      <c r="E126" s="485">
        <v>0.74628302875578667</v>
      </c>
      <c r="F126" s="485">
        <v>0.73285535816553538</v>
      </c>
      <c r="G126" s="485">
        <v>0.71729778068416283</v>
      </c>
    </row>
    <row r="127" spans="1:7" s="485" customFormat="1" x14ac:dyDescent="0.25">
      <c r="A127" s="1391" t="s">
        <v>2478</v>
      </c>
      <c r="B127" s="485">
        <v>0.80761747168838416</v>
      </c>
      <c r="C127" s="485">
        <v>0.79726546755853167</v>
      </c>
      <c r="D127" s="485">
        <v>0.78573955113522076</v>
      </c>
      <c r="E127" s="485">
        <v>0.77317017492764328</v>
      </c>
      <c r="F127" s="485">
        <v>0.75881765091237807</v>
      </c>
      <c r="G127" s="485">
        <v>0.74180206831686035</v>
      </c>
    </row>
    <row r="128" spans="1:7" s="485" customFormat="1" x14ac:dyDescent="0.25">
      <c r="A128" s="1391" t="s">
        <v>2479</v>
      </c>
      <c r="B128" s="485">
        <v>0.83646114893750378</v>
      </c>
      <c r="C128" s="485">
        <v>0.82511259750104959</v>
      </c>
      <c r="D128" s="485">
        <v>0.81262669730707726</v>
      </c>
      <c r="E128" s="485">
        <v>0.79913246767448598</v>
      </c>
      <c r="F128" s="485">
        <v>0.78332193854507537</v>
      </c>
      <c r="G128" s="485">
        <v>0.76493023031091145</v>
      </c>
    </row>
    <row r="129" spans="1:7" s="485" customFormat="1" x14ac:dyDescent="0.25">
      <c r="A129" s="1391" t="s">
        <v>2480</v>
      </c>
      <c r="B129" s="485">
        <v>0.86430827888002193</v>
      </c>
      <c r="C129" s="485">
        <v>0.85199974367290632</v>
      </c>
      <c r="D129" s="485">
        <v>0.83858899005392029</v>
      </c>
      <c r="E129" s="485">
        <v>0.8236367553071835</v>
      </c>
      <c r="F129" s="485">
        <v>0.8064501005391268</v>
      </c>
      <c r="G129" s="485">
        <v>0.78675954790793956</v>
      </c>
    </row>
    <row r="130" spans="1:7" s="485" customFormat="1" x14ac:dyDescent="0.25">
      <c r="A130" s="1391" t="s">
        <v>2481</v>
      </c>
      <c r="B130" s="485">
        <v>0.8911954250518781</v>
      </c>
      <c r="C130" s="485">
        <v>0.87796203641974901</v>
      </c>
      <c r="D130" s="485">
        <v>0.86309327768661737</v>
      </c>
      <c r="E130" s="485">
        <v>0.8467649173012346</v>
      </c>
      <c r="F130" s="485">
        <v>0.82827941813615458</v>
      </c>
      <c r="G130" s="485">
        <v>0.80736296234590843</v>
      </c>
    </row>
    <row r="131" spans="1:7" s="485" customFormat="1" x14ac:dyDescent="0.25">
      <c r="A131" s="1391" t="s">
        <v>2482</v>
      </c>
      <c r="B131" s="485">
        <v>0.91715771779872124</v>
      </c>
      <c r="C131" s="485">
        <v>0.90246632405244631</v>
      </c>
      <c r="D131" s="485">
        <v>0.88622143968066858</v>
      </c>
      <c r="E131" s="485">
        <v>0.86859423489826248</v>
      </c>
      <c r="F131" s="485">
        <v>0.84888283257412334</v>
      </c>
      <c r="G131" s="485">
        <v>0.8268093185875024</v>
      </c>
    </row>
    <row r="132" spans="1:7" s="485" customFormat="1" x14ac:dyDescent="0.25">
      <c r="A132" s="1391" t="s">
        <v>2483</v>
      </c>
      <c r="B132" s="485">
        <v>0.11802525012423508</v>
      </c>
      <c r="C132" s="485">
        <v>0.11914438550737085</v>
      </c>
      <c r="D132" s="485">
        <v>0.12129120936975714</v>
      </c>
      <c r="E132" s="485">
        <v>0.12355193821084981</v>
      </c>
      <c r="F132" s="485">
        <v>0.12608508935216239</v>
      </c>
      <c r="G132" s="485">
        <v>0.12731211598657674</v>
      </c>
    </row>
    <row r="133" spans="1:7" s="485" customFormat="1" x14ac:dyDescent="0.25">
      <c r="A133" s="1391" t="s">
        <v>2484</v>
      </c>
      <c r="B133" s="485">
        <v>0.15834006688634297</v>
      </c>
      <c r="C133" s="485">
        <v>0.16066425573558599</v>
      </c>
      <c r="D133" s="485">
        <v>0.16300846059028393</v>
      </c>
      <c r="E133" s="485">
        <v>0.16639990611427022</v>
      </c>
      <c r="F133" s="485">
        <v>0.1688319862147919</v>
      </c>
      <c r="G133" s="485">
        <v>0.16977022948918605</v>
      </c>
    </row>
    <row r="134" spans="1:7" s="485" customFormat="1" x14ac:dyDescent="0.25">
      <c r="A134" s="1391" t="s">
        <v>2485</v>
      </c>
      <c r="B134" s="485">
        <v>0.19985993711455813</v>
      </c>
      <c r="C134" s="485">
        <v>0.20238150695611282</v>
      </c>
      <c r="D134" s="485">
        <v>0.20585642849370434</v>
      </c>
      <c r="E134" s="485">
        <v>0.20914680297689972</v>
      </c>
      <c r="F134" s="485">
        <v>0.21129009971740118</v>
      </c>
      <c r="G134" s="485">
        <v>0.21183835335431597</v>
      </c>
    </row>
    <row r="135" spans="1:7" s="485" customFormat="1" x14ac:dyDescent="0.25">
      <c r="A135" s="1391" t="s">
        <v>2486</v>
      </c>
      <c r="B135" s="485">
        <v>0.2415771883350849</v>
      </c>
      <c r="C135" s="485">
        <v>0.24522947485953325</v>
      </c>
      <c r="D135" s="485">
        <v>0.24860332535633384</v>
      </c>
      <c r="E135" s="485">
        <v>0.25160491647950911</v>
      </c>
      <c r="F135" s="485">
        <v>0.25335822358253113</v>
      </c>
      <c r="G135" s="485">
        <v>0.25322276932091048</v>
      </c>
    </row>
    <row r="136" spans="1:7" s="485" customFormat="1" x14ac:dyDescent="0.25">
      <c r="A136" s="1391" t="s">
        <v>2487</v>
      </c>
      <c r="B136" s="485">
        <v>0.28442515623850539</v>
      </c>
      <c r="C136" s="485">
        <v>0.28797637172216278</v>
      </c>
      <c r="D136" s="485">
        <v>0.2910614388589432</v>
      </c>
      <c r="E136" s="485">
        <v>0.29367304034463904</v>
      </c>
      <c r="F136" s="485">
        <v>0.29474263954912561</v>
      </c>
      <c r="G136" s="485">
        <v>0.29415802322079854</v>
      </c>
    </row>
    <row r="137" spans="1:7" s="485" customFormat="1" x14ac:dyDescent="0.25">
      <c r="A137" s="1391" t="s">
        <v>2488</v>
      </c>
      <c r="B137" s="485">
        <v>0.3271720531011349</v>
      </c>
      <c r="C137" s="485">
        <v>0.33043448522477203</v>
      </c>
      <c r="D137" s="485">
        <v>0.33312956272407307</v>
      </c>
      <c r="E137" s="485">
        <v>0.33505745631123346</v>
      </c>
      <c r="F137" s="485">
        <v>0.33567789344901366</v>
      </c>
      <c r="G137" s="485">
        <v>0.33499321027822099</v>
      </c>
    </row>
    <row r="138" spans="1:7" s="485" customFormat="1" x14ac:dyDescent="0.25">
      <c r="A138" s="1391" t="s">
        <v>2489</v>
      </c>
      <c r="B138" s="485">
        <v>0.36963016660374426</v>
      </c>
      <c r="C138" s="485">
        <v>0.37250260908990196</v>
      </c>
      <c r="D138" s="485">
        <v>0.3745139786906676</v>
      </c>
      <c r="E138" s="485">
        <v>0.37599271021112152</v>
      </c>
      <c r="F138" s="485">
        <v>0.37651308050643623</v>
      </c>
      <c r="G138" s="485">
        <v>0.37401343109517099</v>
      </c>
    </row>
    <row r="139" spans="1:7" s="485" customFormat="1" x14ac:dyDescent="0.25">
      <c r="A139" s="1391" t="s">
        <v>2490</v>
      </c>
      <c r="B139" s="485">
        <v>3.717270026740057E-2</v>
      </c>
      <c r="C139" s="485">
        <v>3.7260788802700673E-2</v>
      </c>
      <c r="D139" s="485">
        <v>3.7263369366945936E-2</v>
      </c>
      <c r="E139" s="485">
        <v>3.7913952583004541E-2</v>
      </c>
      <c r="F139" s="485">
        <v>3.8926779014634247E-2</v>
      </c>
      <c r="G139" s="485">
        <v>3.8997369484853335E-2</v>
      </c>
    </row>
    <row r="140" spans="1:7" s="485" customFormat="1" x14ac:dyDescent="0.25">
      <c r="A140" s="1391" t="s">
        <v>2491</v>
      </c>
      <c r="B140" s="485">
        <v>0.3861714612897893</v>
      </c>
      <c r="C140" s="485">
        <v>0.38756233622430547</v>
      </c>
      <c r="D140" s="485">
        <v>0.3884868469165455</v>
      </c>
      <c r="E140" s="485">
        <v>0.38938434256491317</v>
      </c>
      <c r="F140" s="485">
        <v>0.38793981347271622</v>
      </c>
      <c r="G140" s="485">
        <v>0.38379822097069716</v>
      </c>
    </row>
    <row r="141" spans="1:7" s="485" customFormat="1" x14ac:dyDescent="0.25">
      <c r="A141" s="1391" t="s">
        <v>2492</v>
      </c>
      <c r="B141" s="485">
        <v>0.42473503649170596</v>
      </c>
      <c r="C141" s="485">
        <v>0.42574763571924618</v>
      </c>
      <c r="D141" s="485">
        <v>0.42664771193185913</v>
      </c>
      <c r="E141" s="485">
        <v>0.42585376605572084</v>
      </c>
      <c r="F141" s="485">
        <v>0.42272499998533136</v>
      </c>
      <c r="G141" s="485">
        <v>0.41734024617586168</v>
      </c>
    </row>
    <row r="142" spans="1:7" s="485" customFormat="1" x14ac:dyDescent="0.25">
      <c r="A142" s="1391" t="s">
        <v>2493</v>
      </c>
      <c r="B142" s="485">
        <v>0.46292033598664667</v>
      </c>
      <c r="C142" s="485">
        <v>0.46390850073455975</v>
      </c>
      <c r="D142" s="485">
        <v>0.46311713542266691</v>
      </c>
      <c r="E142" s="485">
        <v>0.46063895256833587</v>
      </c>
      <c r="F142" s="485">
        <v>0.456267025190496</v>
      </c>
      <c r="G142" s="485">
        <v>0.44968674679638199</v>
      </c>
    </row>
    <row r="143" spans="1:7" s="485" customFormat="1" x14ac:dyDescent="0.25">
      <c r="A143" s="1391" t="s">
        <v>2494</v>
      </c>
      <c r="B143" s="485">
        <v>0.5010812010019603</v>
      </c>
      <c r="C143" s="485">
        <v>0.50037792422536753</v>
      </c>
      <c r="D143" s="485">
        <v>0.49790232193528189</v>
      </c>
      <c r="E143" s="485">
        <v>0.49418097777350051</v>
      </c>
      <c r="F143" s="485">
        <v>0.48861352581101619</v>
      </c>
      <c r="G143" s="485">
        <v>0.48080752150290035</v>
      </c>
    </row>
    <row r="144" spans="1:7" s="485" customFormat="1" x14ac:dyDescent="0.25">
      <c r="A144" s="1391" t="s">
        <v>2495</v>
      </c>
      <c r="B144" s="485">
        <v>0.53755062449276803</v>
      </c>
      <c r="C144" s="485">
        <v>0.53516311073798262</v>
      </c>
      <c r="D144" s="485">
        <v>0.53144434714044642</v>
      </c>
      <c r="E144" s="485">
        <v>0.5265274783940207</v>
      </c>
      <c r="F144" s="485">
        <v>0.51973430051753466</v>
      </c>
      <c r="G144" s="485">
        <v>0.51085994163948656</v>
      </c>
    </row>
    <row r="145" spans="1:7" x14ac:dyDescent="0.25">
      <c r="A145" s="1391" t="s">
        <v>2496</v>
      </c>
      <c r="B145" s="485">
        <v>0.57233581100538333</v>
      </c>
      <c r="C145" s="485">
        <v>0.56870513594314709</v>
      </c>
      <c r="D145" s="485">
        <v>0.56379084776096666</v>
      </c>
      <c r="E145" s="485">
        <v>0.55764825310053912</v>
      </c>
      <c r="F145" s="485">
        <v>0.54978672065412093</v>
      </c>
      <c r="G145" s="485">
        <v>0.53988292702330209</v>
      </c>
    </row>
    <row r="146" spans="1:7" x14ac:dyDescent="0.25">
      <c r="A146" s="1391" t="s">
        <v>2497</v>
      </c>
      <c r="B146" s="485">
        <v>0.6058778362105478</v>
      </c>
      <c r="C146" s="485">
        <v>0.60105163656366745</v>
      </c>
      <c r="D146" s="485">
        <v>0.59491162246748508</v>
      </c>
      <c r="E146" s="485">
        <v>0.58770067323712538</v>
      </c>
      <c r="F146" s="485">
        <v>0.57880970603793647</v>
      </c>
      <c r="G146" s="485">
        <v>0.56791388261572229</v>
      </c>
    </row>
    <row r="147" spans="1:7" x14ac:dyDescent="0.25">
      <c r="A147" s="1391" t="s">
        <v>2498</v>
      </c>
      <c r="B147" s="485">
        <v>0.63822433683106805</v>
      </c>
      <c r="C147" s="485">
        <v>0.63217241127018586</v>
      </c>
      <c r="D147" s="485">
        <v>0.62496404260407135</v>
      </c>
      <c r="E147" s="485">
        <v>0.61672365862094092</v>
      </c>
      <c r="F147" s="485">
        <v>0.60684066163035666</v>
      </c>
      <c r="G147" s="485">
        <v>0.5949887614550351</v>
      </c>
    </row>
    <row r="148" spans="1:7" x14ac:dyDescent="0.25">
      <c r="A148" s="1391" t="s">
        <v>2499</v>
      </c>
      <c r="B148" s="485">
        <v>0.66934511153758625</v>
      </c>
      <c r="C148" s="485">
        <v>0.66222483140677191</v>
      </c>
      <c r="D148" s="485">
        <v>0.65398702798788677</v>
      </c>
      <c r="E148" s="485">
        <v>0.644754614213361</v>
      </c>
      <c r="F148" s="485">
        <v>0.63391554046966936</v>
      </c>
      <c r="G148" s="485">
        <v>0.621142124821912</v>
      </c>
    </row>
    <row r="149" spans="1:7" x14ac:dyDescent="0.25">
      <c r="A149" s="1391" t="s">
        <v>2500</v>
      </c>
      <c r="B149" s="485">
        <v>0.69939753167417273</v>
      </c>
      <c r="C149" s="485">
        <v>0.69124781679058778</v>
      </c>
      <c r="D149" s="485">
        <v>0.68201798358030696</v>
      </c>
      <c r="E149" s="485">
        <v>0.67182949305267381</v>
      </c>
      <c r="F149" s="485">
        <v>0.66006890383654637</v>
      </c>
      <c r="G149" s="485">
        <v>0.64640719976485861</v>
      </c>
    </row>
    <row r="150" spans="1:7" x14ac:dyDescent="0.25">
      <c r="A150" s="1391" t="s">
        <v>2501</v>
      </c>
      <c r="B150" s="485">
        <v>7.4433489070101222E-2</v>
      </c>
      <c r="C150" s="485">
        <v>7.4524158169646623E-2</v>
      </c>
      <c r="D150" s="485">
        <v>7.5177321949950485E-2</v>
      </c>
      <c r="E150" s="485">
        <v>7.6840731597638795E-2</v>
      </c>
      <c r="F150" s="485">
        <v>7.7924148499487575E-2</v>
      </c>
      <c r="G150" s="485">
        <v>7.9021100708241657E-2</v>
      </c>
    </row>
    <row r="151" spans="1:7" x14ac:dyDescent="0.25">
      <c r="A151" s="1391" t="s">
        <v>2502</v>
      </c>
      <c r="B151" s="485">
        <v>0.72842051705798827</v>
      </c>
      <c r="C151" s="485">
        <v>0.71927877238300764</v>
      </c>
      <c r="D151" s="485">
        <v>0.70909286241961988</v>
      </c>
      <c r="E151" s="485">
        <v>0.69798285641955082</v>
      </c>
      <c r="F151" s="485">
        <v>0.68533397877949287</v>
      </c>
      <c r="G151" s="485">
        <v>0.67081593410681906</v>
      </c>
    </row>
    <row r="152" spans="1:7" x14ac:dyDescent="0.25">
      <c r="A152" s="1391" t="s">
        <v>2503</v>
      </c>
      <c r="B152" s="485">
        <v>0.75645147265040824</v>
      </c>
      <c r="C152" s="485">
        <v>0.74635365122232056</v>
      </c>
      <c r="D152" s="485">
        <v>0.73524622578649668</v>
      </c>
      <c r="E152" s="485">
        <v>0.72324793136249765</v>
      </c>
      <c r="F152" s="485">
        <v>0.70974271312145332</v>
      </c>
      <c r="G152" s="485">
        <v>0.69385390894585697</v>
      </c>
    </row>
    <row r="153" spans="1:7" x14ac:dyDescent="0.25">
      <c r="A153" s="1391" t="s">
        <v>2504</v>
      </c>
      <c r="B153" s="485">
        <v>0.78352635148972105</v>
      </c>
      <c r="C153" s="485">
        <v>0.77250701458919735</v>
      </c>
      <c r="D153" s="485">
        <v>0.76051130072944328</v>
      </c>
      <c r="E153" s="485">
        <v>0.7476566657044581</v>
      </c>
      <c r="F153" s="485">
        <v>0.73278068796049112</v>
      </c>
      <c r="G153" s="485">
        <v>0.71559810416911107</v>
      </c>
    </row>
    <row r="154" spans="1:7" x14ac:dyDescent="0.25">
      <c r="A154" s="1391" t="s">
        <v>2505</v>
      </c>
      <c r="B154" s="485">
        <v>0.80967971485659784</v>
      </c>
      <c r="C154" s="485">
        <v>0.79777208953214385</v>
      </c>
      <c r="D154" s="485">
        <v>0.78492003507140373</v>
      </c>
      <c r="E154" s="485">
        <v>0.77069464054349546</v>
      </c>
      <c r="F154" s="485">
        <v>0.75452488318374522</v>
      </c>
      <c r="G154" s="485">
        <v>0.73612117658369736</v>
      </c>
    </row>
    <row r="155" spans="1:7" x14ac:dyDescent="0.25">
      <c r="A155" s="1391" t="s">
        <v>2506</v>
      </c>
      <c r="B155" s="485">
        <v>0.83494478979954445</v>
      </c>
      <c r="C155" s="485">
        <v>0.82218082387410441</v>
      </c>
      <c r="D155" s="485">
        <v>0.80795800991044153</v>
      </c>
      <c r="E155" s="485">
        <v>0.79243883576674967</v>
      </c>
      <c r="F155" s="485">
        <v>0.7750479555983314</v>
      </c>
      <c r="G155" s="485">
        <v>0.75549170269468002</v>
      </c>
    </row>
    <row r="156" spans="1:7" x14ac:dyDescent="0.25">
      <c r="A156" s="1391" t="s">
        <v>2507</v>
      </c>
      <c r="B156" s="485">
        <v>0.85935352414150512</v>
      </c>
      <c r="C156" s="485">
        <v>0.84521879871314221</v>
      </c>
      <c r="D156" s="485">
        <v>0.82970220513369575</v>
      </c>
      <c r="E156" s="485">
        <v>0.81296190818133596</v>
      </c>
      <c r="F156" s="485">
        <v>0.79441848170931428</v>
      </c>
      <c r="G156" s="485">
        <v>0.77377440784898199</v>
      </c>
    </row>
    <row r="157" spans="1:7" x14ac:dyDescent="0.25">
      <c r="A157" s="1391" t="s">
        <v>2508</v>
      </c>
      <c r="B157" s="485">
        <v>0.11169685843704717</v>
      </c>
      <c r="C157" s="485">
        <v>0.11243811075265117</v>
      </c>
      <c r="D157" s="485">
        <v>0.11410410096458473</v>
      </c>
      <c r="E157" s="485">
        <v>0.1158381010824921</v>
      </c>
      <c r="F157" s="485">
        <v>0.11794787972287593</v>
      </c>
      <c r="G157" s="485">
        <v>0.11888397951768309</v>
      </c>
    </row>
    <row r="158" spans="1:7" x14ac:dyDescent="0.25">
      <c r="A158" s="1391" t="s">
        <v>2509</v>
      </c>
      <c r="B158" s="485">
        <v>0.14961081102005172</v>
      </c>
      <c r="C158" s="485">
        <v>0.15136488976728543</v>
      </c>
      <c r="D158" s="485">
        <v>0.15310147044943806</v>
      </c>
      <c r="E158" s="485">
        <v>0.15586183230588047</v>
      </c>
      <c r="F158" s="485">
        <v>0.15781075853231735</v>
      </c>
      <c r="G158" s="485">
        <v>0.15844298068256429</v>
      </c>
    </row>
    <row r="159" spans="1:7" x14ac:dyDescent="0.25">
      <c r="A159" s="1391" t="s">
        <v>2510</v>
      </c>
      <c r="B159" s="485">
        <v>0.18853759003468595</v>
      </c>
      <c r="C159" s="485">
        <v>0.19036225925213873</v>
      </c>
      <c r="D159" s="485">
        <v>0.19312520167282637</v>
      </c>
      <c r="E159" s="485">
        <v>0.19572471111532189</v>
      </c>
      <c r="F159" s="485">
        <v>0.19736975969719855</v>
      </c>
      <c r="G159" s="485">
        <v>0.19763387125510329</v>
      </c>
    </row>
    <row r="160" spans="1:7" x14ac:dyDescent="0.25">
      <c r="A160" s="1391" t="s">
        <v>2511</v>
      </c>
      <c r="B160" s="485">
        <v>0.22753495951953934</v>
      </c>
      <c r="C160" s="485">
        <v>0.23038599047552705</v>
      </c>
      <c r="D160" s="485">
        <v>0.23298808048226788</v>
      </c>
      <c r="E160" s="485">
        <v>0.23528371228020312</v>
      </c>
      <c r="F160" s="485">
        <v>0.23656065026973755</v>
      </c>
      <c r="G160" s="485">
        <v>0.23619744645701998</v>
      </c>
    </row>
    <row r="161" spans="1:8" x14ac:dyDescent="0.25">
      <c r="A161" s="1391" t="s">
        <v>2512</v>
      </c>
      <c r="B161" s="485">
        <v>0.26755869074292765</v>
      </c>
      <c r="C161" s="485">
        <v>0.27024886928496861</v>
      </c>
      <c r="D161" s="485">
        <v>0.27254708164714903</v>
      </c>
      <c r="E161" s="485">
        <v>0.27447460285274217</v>
      </c>
      <c r="F161" s="485">
        <v>0.27512422547165422</v>
      </c>
      <c r="G161" s="485">
        <v>0.27438274595196077</v>
      </c>
    </row>
    <row r="162" spans="1:8" x14ac:dyDescent="0.25">
      <c r="A162" s="1391" t="s">
        <v>2513</v>
      </c>
      <c r="B162" s="485">
        <v>0.3074215695523691</v>
      </c>
      <c r="C162" s="485">
        <v>0.3098078704498497</v>
      </c>
      <c r="D162" s="485">
        <v>0.31173797221968808</v>
      </c>
      <c r="E162" s="485">
        <v>0.31303817805465872</v>
      </c>
      <c r="F162" s="485">
        <v>0.31330952496659503</v>
      </c>
      <c r="G162" s="485">
        <v>0.3125436109672744</v>
      </c>
    </row>
    <row r="163" spans="1:8" x14ac:dyDescent="0.25">
      <c r="A163" s="1391" t="s">
        <v>2514</v>
      </c>
      <c r="B163" s="485">
        <v>0.34698057071725025</v>
      </c>
      <c r="C163" s="485">
        <v>0.34899876102238869</v>
      </c>
      <c r="D163" s="485">
        <v>0.35030154742160469</v>
      </c>
      <c r="E163" s="485">
        <v>0.35122347754959954</v>
      </c>
      <c r="F163" s="485">
        <v>0.3514703899819086</v>
      </c>
      <c r="G163" s="485">
        <v>0.34901303445808202</v>
      </c>
    </row>
    <row r="164" spans="1:8" x14ac:dyDescent="0.25">
      <c r="A164" s="1392" t="s">
        <v>2515</v>
      </c>
      <c r="B164" s="1393">
        <v>3.4451814216411712E-2</v>
      </c>
      <c r="C164" s="1393">
        <v>3.450926719767191E-2</v>
      </c>
      <c r="D164" s="1393">
        <v>3.4488538255103847E-2</v>
      </c>
      <c r="E164" s="1393">
        <v>3.5042169404842165E-2</v>
      </c>
      <c r="F164" s="1393">
        <v>3.5941606421003816E-2</v>
      </c>
      <c r="G164" s="1393">
        <v>3.5971828991200987E-2</v>
      </c>
      <c r="H164" s="1393"/>
    </row>
    <row r="165" spans="1:8" x14ac:dyDescent="0.25">
      <c r="A165" s="1391" t="s">
        <v>2516</v>
      </c>
      <c r="B165" s="485">
        <v>0.35661382075334941</v>
      </c>
      <c r="C165" s="485">
        <v>0.35769612903942405</v>
      </c>
      <c r="D165" s="485">
        <v>0.35838479805823353</v>
      </c>
      <c r="E165" s="485">
        <v>0.35909282330252068</v>
      </c>
      <c r="F165" s="485">
        <v>0.35768859364680061</v>
      </c>
      <c r="G165" s="485">
        <v>0.35383359082802979</v>
      </c>
    </row>
    <row r="166" spans="1:8" x14ac:dyDescent="0.25">
      <c r="A166" s="1391" t="s">
        <v>2517</v>
      </c>
      <c r="B166" s="485">
        <v>0.39214794325583574</v>
      </c>
      <c r="C166" s="485">
        <v>0.39289406525590542</v>
      </c>
      <c r="D166" s="485">
        <v>0.39358136155762441</v>
      </c>
      <c r="E166" s="485">
        <v>0.39273076305164278</v>
      </c>
      <c r="F166" s="485">
        <v>0.38977519724903359</v>
      </c>
      <c r="G166" s="485">
        <v>0.38478085065742612</v>
      </c>
    </row>
    <row r="167" spans="1:8" x14ac:dyDescent="0.25">
      <c r="A167" s="1391" t="s">
        <v>2518</v>
      </c>
      <c r="B167" s="485">
        <v>0.42734587947231717</v>
      </c>
      <c r="C167" s="485">
        <v>0.42809062875529635</v>
      </c>
      <c r="D167" s="485">
        <v>0.42721930130674657</v>
      </c>
      <c r="E167" s="485">
        <v>0.42481736665387571</v>
      </c>
      <c r="F167" s="485">
        <v>0.42072245707842998</v>
      </c>
      <c r="G167" s="485">
        <v>0.41463196519749235</v>
      </c>
    </row>
    <row r="168" spans="1:8" x14ac:dyDescent="0.25">
      <c r="A168" s="1391" t="s">
        <v>2519</v>
      </c>
      <c r="B168" s="485">
        <v>0.4625424429717081</v>
      </c>
      <c r="C168" s="485">
        <v>0.46172856850441851</v>
      </c>
      <c r="D168" s="485">
        <v>0.4593059049089796</v>
      </c>
      <c r="E168" s="485">
        <v>0.45576462648327204</v>
      </c>
      <c r="F168" s="485">
        <v>0.45057357161849637</v>
      </c>
      <c r="G168" s="485">
        <v>0.4433568662379942</v>
      </c>
    </row>
    <row r="169" spans="1:8" x14ac:dyDescent="0.25">
      <c r="A169" s="1391" t="s">
        <v>2520</v>
      </c>
      <c r="B169" s="485">
        <v>0.49618038272083015</v>
      </c>
      <c r="C169" s="485">
        <v>0.49381517210665155</v>
      </c>
      <c r="D169" s="485">
        <v>0.49025316473837588</v>
      </c>
      <c r="E169" s="485">
        <v>0.48561574102333843</v>
      </c>
      <c r="F169" s="485">
        <v>0.47929847265899805</v>
      </c>
      <c r="G169" s="485">
        <v>0.47110075518856426</v>
      </c>
    </row>
    <row r="170" spans="1:8" x14ac:dyDescent="0.25">
      <c r="A170" s="1391" t="s">
        <v>2521</v>
      </c>
      <c r="B170" s="485">
        <v>0.52826698632306313</v>
      </c>
      <c r="C170" s="485">
        <v>0.52476243193604788</v>
      </c>
      <c r="D170" s="485">
        <v>0.52010427927844227</v>
      </c>
      <c r="E170" s="485">
        <v>0.51434064206384011</v>
      </c>
      <c r="F170" s="485">
        <v>0.50704236160956806</v>
      </c>
      <c r="G170" s="485">
        <v>0.49789915481696817</v>
      </c>
    </row>
    <row r="171" spans="1:8" x14ac:dyDescent="0.25">
      <c r="A171" s="1391" t="s">
        <v>2522</v>
      </c>
      <c r="B171" s="485">
        <v>0.55921424615245952</v>
      </c>
      <c r="C171" s="485">
        <v>0.55461354647611438</v>
      </c>
      <c r="D171" s="485">
        <v>0.54882918031894401</v>
      </c>
      <c r="E171" s="485">
        <v>0.54208453101441034</v>
      </c>
      <c r="F171" s="485">
        <v>0.53384076123797186</v>
      </c>
      <c r="G171" s="485">
        <v>0.52378621387560098</v>
      </c>
    </row>
    <row r="172" spans="1:8" x14ac:dyDescent="0.25">
      <c r="A172" s="1391" t="s">
        <v>2523</v>
      </c>
      <c r="B172" s="485">
        <v>0.58906536069252591</v>
      </c>
      <c r="C172" s="485">
        <v>0.58333844751661612</v>
      </c>
      <c r="D172" s="485">
        <v>0.57657306926951413</v>
      </c>
      <c r="E172" s="485">
        <v>0.56888293064281392</v>
      </c>
      <c r="F172" s="485">
        <v>0.55972782029660473</v>
      </c>
      <c r="G172" s="485">
        <v>0.54879476385855519</v>
      </c>
    </row>
    <row r="173" spans="1:8" x14ac:dyDescent="0.25">
      <c r="A173" s="1391" t="s">
        <v>2524</v>
      </c>
      <c r="B173" s="485">
        <v>0.61779026173302753</v>
      </c>
      <c r="C173" s="485">
        <v>0.61108233646718579</v>
      </c>
      <c r="D173" s="485">
        <v>0.60337146889791793</v>
      </c>
      <c r="E173" s="485">
        <v>0.59476998970144701</v>
      </c>
      <c r="F173" s="485">
        <v>0.58473637027955894</v>
      </c>
      <c r="G173" s="485">
        <v>0.57295637327450188</v>
      </c>
    </row>
    <row r="174" spans="1:8" x14ac:dyDescent="0.25">
      <c r="A174" s="1391" t="s">
        <v>2525</v>
      </c>
      <c r="B174" s="485">
        <v>0.64553415068359787</v>
      </c>
      <c r="C174" s="485">
        <v>0.63788073609558982</v>
      </c>
      <c r="D174" s="485">
        <v>0.62925852795655079</v>
      </c>
      <c r="E174" s="485">
        <v>0.61977853968440122</v>
      </c>
      <c r="F174" s="485">
        <v>0.60889797969550563</v>
      </c>
      <c r="G174" s="485">
        <v>0.59630139954920203</v>
      </c>
    </row>
    <row r="175" spans="1:8" x14ac:dyDescent="0.25">
      <c r="A175" s="1391" t="s">
        <v>2526</v>
      </c>
      <c r="B175" s="485">
        <v>6.8961081414083608E-2</v>
      </c>
      <c r="C175" s="485">
        <v>6.8997805452775743E-2</v>
      </c>
      <c r="D175" s="485">
        <v>6.9530707659946026E-2</v>
      </c>
      <c r="E175" s="485">
        <v>7.0983775825845988E-2</v>
      </c>
      <c r="F175" s="485">
        <v>7.191343541220481E-2</v>
      </c>
      <c r="G175" s="485">
        <v>7.288100875276475E-2</v>
      </c>
    </row>
    <row r="176" spans="1:8" x14ac:dyDescent="0.25">
      <c r="A176" s="1391" t="s">
        <v>2527</v>
      </c>
      <c r="B176" s="485">
        <v>0.67233255031200145</v>
      </c>
      <c r="C176" s="485">
        <v>0.66376779515422257</v>
      </c>
      <c r="D176" s="485">
        <v>0.654267077939505</v>
      </c>
      <c r="E176" s="485">
        <v>0.64394014910034791</v>
      </c>
      <c r="F176" s="485">
        <v>0.63224300597020566</v>
      </c>
      <c r="G176" s="485">
        <v>0.61885903866606806</v>
      </c>
    </row>
    <row r="177" spans="1:7" x14ac:dyDescent="0.25">
      <c r="A177" s="1391" t="s">
        <v>2528</v>
      </c>
      <c r="B177" s="485">
        <v>0.69821960937063443</v>
      </c>
      <c r="C177" s="485">
        <v>0.68877634513717689</v>
      </c>
      <c r="D177" s="485">
        <v>0.67842868735545148</v>
      </c>
      <c r="E177" s="485">
        <v>0.66728517537504783</v>
      </c>
      <c r="F177" s="485">
        <v>0.6548006450870717</v>
      </c>
      <c r="G177" s="485">
        <v>0.64014987313219929</v>
      </c>
    </row>
    <row r="178" spans="1:7" x14ac:dyDescent="0.25">
      <c r="A178" s="1391" t="s">
        <v>2529</v>
      </c>
      <c r="B178" s="485">
        <v>0.72322815935358853</v>
      </c>
      <c r="C178" s="485">
        <v>0.71293795455312359</v>
      </c>
      <c r="D178" s="485">
        <v>0.70177371363015173</v>
      </c>
      <c r="E178" s="485">
        <v>0.68984281449191398</v>
      </c>
      <c r="F178" s="485">
        <v>0.67609147955320326</v>
      </c>
      <c r="G178" s="485">
        <v>0.66024504487937385</v>
      </c>
    </row>
    <row r="179" spans="1:7" x14ac:dyDescent="0.25">
      <c r="A179" s="1391" t="s">
        <v>2530</v>
      </c>
      <c r="B179" s="485">
        <v>0.74738976876953522</v>
      </c>
      <c r="C179" s="485">
        <v>0.73628298082782373</v>
      </c>
      <c r="D179" s="485">
        <v>0.72433135274701788</v>
      </c>
      <c r="E179" s="485">
        <v>0.71113364895804543</v>
      </c>
      <c r="F179" s="485">
        <v>0.69618665130037771</v>
      </c>
      <c r="G179" s="485">
        <v>0.67921170061054381</v>
      </c>
    </row>
    <row r="180" spans="1:7" x14ac:dyDescent="0.25">
      <c r="A180" s="1394" t="s">
        <v>2531</v>
      </c>
      <c r="B180" s="485">
        <v>0.77073479504423537</v>
      </c>
      <c r="C180" s="485">
        <v>0.75884061994468976</v>
      </c>
      <c r="D180" s="485">
        <v>0.7456221872131491</v>
      </c>
      <c r="E180" s="485">
        <v>0.73122882070521944</v>
      </c>
      <c r="F180" s="485">
        <v>0.71515330703154745</v>
      </c>
      <c r="G180" s="485">
        <v>0.69711321616615474</v>
      </c>
    </row>
    <row r="181" spans="1:7" x14ac:dyDescent="0.25">
      <c r="A181" s="1391" t="s">
        <v>2532</v>
      </c>
      <c r="B181" s="485">
        <v>0.79329243416110162</v>
      </c>
      <c r="C181" s="485">
        <v>0.78013145441082132</v>
      </c>
      <c r="D181" s="485">
        <v>0.765717358960324</v>
      </c>
      <c r="E181" s="485">
        <v>0.75019547643638984</v>
      </c>
      <c r="F181" s="485">
        <v>0.73305482258715848</v>
      </c>
      <c r="G181" s="485">
        <v>0.7140094082903744</v>
      </c>
    </row>
    <row r="182" spans="1:7" x14ac:dyDescent="0.25">
      <c r="A182" s="1391" t="s">
        <v>2533</v>
      </c>
      <c r="B182" s="485">
        <v>0.10344961966918746</v>
      </c>
      <c r="C182" s="485">
        <v>0.10403997485761787</v>
      </c>
      <c r="D182" s="485">
        <v>0.10547231408094981</v>
      </c>
      <c r="E182" s="485">
        <v>0.10695560481704697</v>
      </c>
      <c r="F182" s="485">
        <v>0.10882261517376859</v>
      </c>
      <c r="G182" s="485">
        <v>0.10962148782058445</v>
      </c>
    </row>
    <row r="183" spans="1:7" x14ac:dyDescent="0.25">
      <c r="A183" s="1391" t="s">
        <v>2534</v>
      </c>
      <c r="B183" s="485">
        <v>0.13849178907402962</v>
      </c>
      <c r="C183" s="485">
        <v>0.13998158127862173</v>
      </c>
      <c r="D183" s="485">
        <v>0.14144414307215081</v>
      </c>
      <c r="E183" s="485">
        <v>0.14386478457861074</v>
      </c>
      <c r="F183" s="485">
        <v>0.14556309424158825</v>
      </c>
      <c r="G183" s="485">
        <v>0.14607127549206472</v>
      </c>
    </row>
    <row r="184" spans="1:7" x14ac:dyDescent="0.25">
      <c r="A184" s="1391" t="s">
        <v>2535</v>
      </c>
      <c r="B184" s="485">
        <v>0.17443339549503337</v>
      </c>
      <c r="C184" s="485">
        <v>0.17595341026982272</v>
      </c>
      <c r="D184" s="485">
        <v>0.17835332283371463</v>
      </c>
      <c r="E184" s="485">
        <v>0.18060526364643043</v>
      </c>
      <c r="F184" s="485">
        <v>0.18201288191306847</v>
      </c>
      <c r="G184" s="485">
        <v>0.1821804252583159</v>
      </c>
    </row>
    <row r="185" spans="1:7" x14ac:dyDescent="0.25">
      <c r="A185" s="1391" t="s">
        <v>2536</v>
      </c>
      <c r="B185" s="485">
        <v>0.21040522448623444</v>
      </c>
      <c r="C185" s="485">
        <v>0.21286259003138655</v>
      </c>
      <c r="D185" s="485">
        <v>0.21509380190153429</v>
      </c>
      <c r="E185" s="485">
        <v>0.2170550513179107</v>
      </c>
      <c r="F185" s="485">
        <v>0.21812203167931971</v>
      </c>
      <c r="G185" s="485">
        <v>0.21771454776080226</v>
      </c>
    </row>
    <row r="186" spans="1:7" x14ac:dyDescent="0.25">
      <c r="A186" s="1391" t="s">
        <v>2537</v>
      </c>
      <c r="B186" s="485">
        <v>0.24731440424779824</v>
      </c>
      <c r="C186" s="485">
        <v>0.24960306909920615</v>
      </c>
      <c r="D186" s="485">
        <v>0.25154358957301454</v>
      </c>
      <c r="E186" s="485">
        <v>0.25316420108416182</v>
      </c>
      <c r="F186" s="485">
        <v>0.25365615418180615</v>
      </c>
      <c r="G186" s="485">
        <v>0.25291248397728372</v>
      </c>
    </row>
    <row r="187" spans="1:7" x14ac:dyDescent="0.25">
      <c r="A187" s="1391" t="s">
        <v>2538</v>
      </c>
      <c r="B187" s="485">
        <v>0.28405488331561796</v>
      </c>
      <c r="C187" s="485">
        <v>0.28605285677068643</v>
      </c>
      <c r="D187" s="485">
        <v>0.28765273933926566</v>
      </c>
      <c r="E187" s="485">
        <v>0.28869832358664838</v>
      </c>
      <c r="F187" s="485">
        <v>0.28885409039828752</v>
      </c>
      <c r="G187" s="485">
        <v>0.28810904747667471</v>
      </c>
    </row>
    <row r="188" spans="1:7" x14ac:dyDescent="0.25">
      <c r="A188" s="1391" t="s">
        <v>2539</v>
      </c>
      <c r="B188" s="485">
        <v>0.32050467098709806</v>
      </c>
      <c r="C188" s="485">
        <v>0.32216200653693755</v>
      </c>
      <c r="D188" s="485">
        <v>0.32318686184175222</v>
      </c>
      <c r="E188" s="485">
        <v>0.32389625980312975</v>
      </c>
      <c r="F188" s="485">
        <v>0.3240506538976784</v>
      </c>
      <c r="G188" s="485">
        <v>0.32174698722579675</v>
      </c>
    </row>
    <row r="189" spans="1:7" x14ac:dyDescent="0.25">
      <c r="A189" s="1391" t="s">
        <v>2540</v>
      </c>
      <c r="B189" s="485">
        <v>3.9747968207380593E-2</v>
      </c>
      <c r="C189" s="485">
        <v>3.9986997605038738E-2</v>
      </c>
      <c r="D189" s="485">
        <v>4.0128204583551298E-2</v>
      </c>
      <c r="E189" s="485">
        <v>4.1119262723228071E-2</v>
      </c>
      <c r="F189" s="485">
        <v>4.2437316042793924E-2</v>
      </c>
      <c r="G189" s="485">
        <v>4.2723582414039327E-2</v>
      </c>
    </row>
    <row r="190" spans="1:7" x14ac:dyDescent="0.25">
      <c r="A190" s="1391" t="s">
        <v>2541</v>
      </c>
      <c r="B190" s="485">
        <v>0.42065844549038622</v>
      </c>
      <c r="C190" s="485">
        <v>0.42338377172833563</v>
      </c>
      <c r="D190" s="485">
        <v>0.42537935112783859</v>
      </c>
      <c r="E190" s="485">
        <v>0.42708021074596592</v>
      </c>
      <c r="F190" s="485">
        <v>0.42592742980660664</v>
      </c>
      <c r="G190" s="485">
        <v>0.42159806168680364</v>
      </c>
    </row>
    <row r="191" spans="1:7" x14ac:dyDescent="0.25">
      <c r="A191" s="1391" t="s">
        <v>2542</v>
      </c>
      <c r="B191" s="485">
        <v>0.46313173993571627</v>
      </c>
      <c r="C191" s="485">
        <v>0.4653663487328773</v>
      </c>
      <c r="D191" s="485">
        <v>0.46720841532951723</v>
      </c>
      <c r="E191" s="485">
        <v>0.46704669252983477</v>
      </c>
      <c r="F191" s="485">
        <v>0.46403537772959763</v>
      </c>
      <c r="G191" s="485">
        <v>0.45829993712331796</v>
      </c>
    </row>
    <row r="192" spans="1:7" x14ac:dyDescent="0.25">
      <c r="A192" s="1391" t="s">
        <v>2543</v>
      </c>
      <c r="B192" s="485">
        <v>0.50511431694025788</v>
      </c>
      <c r="C192" s="485">
        <v>0.50719541293455606</v>
      </c>
      <c r="D192" s="485">
        <v>0.50717489711338604</v>
      </c>
      <c r="E192" s="485">
        <v>0.50515464045282576</v>
      </c>
      <c r="F192" s="485">
        <v>0.50073725316611173</v>
      </c>
      <c r="G192" s="485">
        <v>0.49365237421811492</v>
      </c>
    </row>
    <row r="193" spans="1:7" x14ac:dyDescent="0.25">
      <c r="A193" s="1391" t="s">
        <v>2544</v>
      </c>
      <c r="B193" s="485">
        <v>0.54694338114193664</v>
      </c>
      <c r="C193" s="485">
        <v>0.54716189471842491</v>
      </c>
      <c r="D193" s="485">
        <v>0.54528284503637681</v>
      </c>
      <c r="E193" s="485">
        <v>0.54185651588933981</v>
      </c>
      <c r="F193" s="485">
        <v>0.5360896902609088</v>
      </c>
      <c r="G193" s="485">
        <v>0.52763551948290255</v>
      </c>
    </row>
    <row r="194" spans="1:7" x14ac:dyDescent="0.25">
      <c r="A194" s="1391" t="s">
        <v>2545</v>
      </c>
      <c r="B194" s="485">
        <v>0.5869098629258056</v>
      </c>
      <c r="C194" s="485">
        <v>0.58526984264141579</v>
      </c>
      <c r="D194" s="485">
        <v>0.58198472047289118</v>
      </c>
      <c r="E194" s="485">
        <v>0.57720895298413677</v>
      </c>
      <c r="F194" s="485">
        <v>0.57007283552569654</v>
      </c>
      <c r="G194" s="485">
        <v>0.56042154499944608</v>
      </c>
    </row>
    <row r="195" spans="1:7" x14ac:dyDescent="0.25">
      <c r="A195" s="1391" t="s">
        <v>2546</v>
      </c>
      <c r="B195" s="485">
        <v>0.62501781084879626</v>
      </c>
      <c r="C195" s="485">
        <v>0.62197171807793006</v>
      </c>
      <c r="D195" s="485">
        <v>0.61733715756768814</v>
      </c>
      <c r="E195" s="485">
        <v>0.61119209824892473</v>
      </c>
      <c r="F195" s="485">
        <v>0.60285886104224007</v>
      </c>
      <c r="G195" s="485">
        <v>0.59205535003357623</v>
      </c>
    </row>
    <row r="196" spans="1:7" x14ac:dyDescent="0.25">
      <c r="A196" s="1391" t="s">
        <v>2547</v>
      </c>
      <c r="B196" s="485">
        <v>0.66171968628531075</v>
      </c>
      <c r="C196" s="485">
        <v>0.65732415517272702</v>
      </c>
      <c r="D196" s="485">
        <v>0.65132030283247588</v>
      </c>
      <c r="E196" s="485">
        <v>0.64397812376546804</v>
      </c>
      <c r="F196" s="485">
        <v>0.63449266607637023</v>
      </c>
      <c r="G196" s="485">
        <v>0.62258003465030165</v>
      </c>
    </row>
    <row r="197" spans="1:7" x14ac:dyDescent="0.25">
      <c r="A197" s="1391" t="s">
        <v>2548</v>
      </c>
      <c r="B197" s="485">
        <v>0.69707212338010771</v>
      </c>
      <c r="C197" s="485">
        <v>0.69130730043751465</v>
      </c>
      <c r="D197" s="485">
        <v>0.6841063283490193</v>
      </c>
      <c r="E197" s="485">
        <v>0.67561192879959819</v>
      </c>
      <c r="F197" s="485">
        <v>0.66501735069309564</v>
      </c>
      <c r="G197" s="485">
        <v>0.65203697640298741</v>
      </c>
    </row>
    <row r="198" spans="1:7" x14ac:dyDescent="0.25">
      <c r="A198" s="1391" t="s">
        <v>2549</v>
      </c>
      <c r="B198" s="485">
        <v>0.73105526864489523</v>
      </c>
      <c r="C198" s="485">
        <v>0.72409332595405829</v>
      </c>
      <c r="D198" s="485">
        <v>0.71574013338314946</v>
      </c>
      <c r="E198" s="485">
        <v>0.70613661341632361</v>
      </c>
      <c r="F198" s="485">
        <v>0.6944742924457814</v>
      </c>
      <c r="G198" s="485">
        <v>0.68046590358158343</v>
      </c>
    </row>
    <row r="199" spans="1:7" x14ac:dyDescent="0.25">
      <c r="A199" s="1391" t="s">
        <v>2550</v>
      </c>
      <c r="B199" s="485">
        <v>0.76384129416143864</v>
      </c>
      <c r="C199" s="485">
        <v>0.75572713098818833</v>
      </c>
      <c r="D199" s="485">
        <v>0.74626481799987499</v>
      </c>
      <c r="E199" s="485">
        <v>0.73559355516900948</v>
      </c>
      <c r="F199" s="485">
        <v>0.72290321962437731</v>
      </c>
      <c r="G199" s="485">
        <v>0.70790496518039636</v>
      </c>
    </row>
    <row r="200" spans="1:7" x14ac:dyDescent="0.25">
      <c r="A200" s="1391" t="s">
        <v>2551</v>
      </c>
      <c r="B200" s="485">
        <v>7.9734965812419331E-2</v>
      </c>
      <c r="C200" s="485">
        <v>8.0115202188590015E-2</v>
      </c>
      <c r="D200" s="485">
        <v>8.124746730677937E-2</v>
      </c>
      <c r="E200" s="485">
        <v>8.3556578766021988E-2</v>
      </c>
      <c r="F200" s="485">
        <v>8.5160898456833251E-2</v>
      </c>
      <c r="G200" s="485">
        <v>8.6627779044681399E-2</v>
      </c>
    </row>
    <row r="201" spans="1:7" x14ac:dyDescent="0.25">
      <c r="A201" s="1391" t="s">
        <v>2552</v>
      </c>
      <c r="B201" s="485">
        <v>0.79547509919556902</v>
      </c>
      <c r="C201" s="485">
        <v>0.78625181560491408</v>
      </c>
      <c r="D201" s="485">
        <v>0.77572175975256064</v>
      </c>
      <c r="E201" s="485">
        <v>0.76402248234760517</v>
      </c>
      <c r="F201" s="485">
        <v>0.75034228122319047</v>
      </c>
      <c r="G201" s="485">
        <v>0.73439079773820126</v>
      </c>
    </row>
    <row r="202" spans="1:7" x14ac:dyDescent="0.25">
      <c r="A202" s="1391" t="s">
        <v>2553</v>
      </c>
      <c r="B202" s="485">
        <v>0.82599978381229433</v>
      </c>
      <c r="C202" s="485">
        <v>0.81570875735759962</v>
      </c>
      <c r="D202" s="485">
        <v>0.80415068693115688</v>
      </c>
      <c r="E202" s="485">
        <v>0.79146154394641832</v>
      </c>
      <c r="F202" s="485">
        <v>0.77682811378099503</v>
      </c>
      <c r="G202" s="485">
        <v>0.75938922393716757</v>
      </c>
    </row>
    <row r="203" spans="1:7" x14ac:dyDescent="0.25">
      <c r="A203" s="1391" t="s">
        <v>2554</v>
      </c>
      <c r="B203" s="485">
        <v>0.85545672556498031</v>
      </c>
      <c r="C203" s="485">
        <v>0.84413768453619575</v>
      </c>
      <c r="D203" s="485">
        <v>0.83158974852996992</v>
      </c>
      <c r="E203" s="485">
        <v>0.81794737650422322</v>
      </c>
      <c r="F203" s="485">
        <v>0.80182653997996156</v>
      </c>
      <c r="G203" s="485">
        <v>0.7829837743845165</v>
      </c>
    </row>
    <row r="204" spans="1:7" x14ac:dyDescent="0.25">
      <c r="A204" s="1391" t="s">
        <v>2555</v>
      </c>
      <c r="B204" s="485">
        <v>0.88388565274357611</v>
      </c>
      <c r="C204" s="485">
        <v>0.87157674613500846</v>
      </c>
      <c r="D204" s="485">
        <v>0.85807558108777449</v>
      </c>
      <c r="E204" s="485">
        <v>0.84294580270318931</v>
      </c>
      <c r="F204" s="485">
        <v>0.82542109042731049</v>
      </c>
      <c r="G204" s="485">
        <v>0.80525328872840429</v>
      </c>
    </row>
    <row r="205" spans="1:7" x14ac:dyDescent="0.25">
      <c r="A205" s="1391" t="s">
        <v>2556</v>
      </c>
      <c r="B205" s="485">
        <v>0.91132471434238915</v>
      </c>
      <c r="C205" s="485">
        <v>0.89806257869281325</v>
      </c>
      <c r="D205" s="485">
        <v>0.88307400728674101</v>
      </c>
      <c r="E205" s="485">
        <v>0.86654035315053868</v>
      </c>
      <c r="F205" s="485">
        <v>0.84769060477119818</v>
      </c>
      <c r="G205" s="485">
        <v>0.82627217909545281</v>
      </c>
    </row>
    <row r="206" spans="1:7" x14ac:dyDescent="0.25">
      <c r="A206" s="1391" t="s">
        <v>2557</v>
      </c>
      <c r="B206" s="485">
        <v>0.93781054690019405</v>
      </c>
      <c r="C206" s="485">
        <v>0.92306100489177967</v>
      </c>
      <c r="D206" s="485">
        <v>0.90666855773408983</v>
      </c>
      <c r="E206" s="485">
        <v>0.88880986749442636</v>
      </c>
      <c r="F206" s="485">
        <v>0.86870949513824658</v>
      </c>
      <c r="G206" s="485">
        <v>0.84611067873400714</v>
      </c>
    </row>
    <row r="207" spans="1:7" x14ac:dyDescent="0.25">
      <c r="A207" s="1391" t="s">
        <v>2558</v>
      </c>
      <c r="B207" s="485">
        <v>0.96280897309916025</v>
      </c>
      <c r="C207" s="485">
        <v>0.94665555533912871</v>
      </c>
      <c r="D207" s="485">
        <v>0.92893807207797763</v>
      </c>
      <c r="E207" s="485">
        <v>0.90982875786147455</v>
      </c>
      <c r="F207" s="485">
        <v>0.88854799477680102</v>
      </c>
      <c r="G207" s="485">
        <v>0.8648350766939451</v>
      </c>
    </row>
    <row r="208" spans="1:7" x14ac:dyDescent="0.25">
      <c r="A208" s="1391" t="s">
        <v>2559</v>
      </c>
      <c r="B208" s="485">
        <v>0.98640352354650918</v>
      </c>
      <c r="C208" s="485">
        <v>0.96892506968301639</v>
      </c>
      <c r="D208" s="485">
        <v>0.94995696244502603</v>
      </c>
      <c r="E208" s="485">
        <v>0.92966725750002888</v>
      </c>
      <c r="F208" s="485">
        <v>0.90727239273673899</v>
      </c>
      <c r="G208" s="485">
        <v>0.88250793932720406</v>
      </c>
    </row>
    <row r="209" spans="1:7" x14ac:dyDescent="0.25">
      <c r="A209" s="1391" t="s">
        <v>2560</v>
      </c>
      <c r="B209" s="485">
        <v>1.0086730378903972</v>
      </c>
      <c r="C209" s="485">
        <v>0.98994396005006446</v>
      </c>
      <c r="D209" s="485">
        <v>0.96979546208358014</v>
      </c>
      <c r="E209" s="485">
        <v>0.94839165545996695</v>
      </c>
      <c r="F209" s="485">
        <v>0.92494525536999816</v>
      </c>
      <c r="G209" s="485">
        <v>0.89918831934915688</v>
      </c>
    </row>
    <row r="210" spans="1:7" x14ac:dyDescent="0.25">
      <c r="A210" s="1391" t="s">
        <v>2561</v>
      </c>
      <c r="B210" s="485">
        <v>1.0296919282574455</v>
      </c>
      <c r="C210" s="485">
        <v>1.0097824596886191</v>
      </c>
      <c r="D210" s="485">
        <v>0.98851986004351822</v>
      </c>
      <c r="E210" s="485">
        <v>0.96606451809322613</v>
      </c>
      <c r="F210" s="485">
        <v>0.94162563539195132</v>
      </c>
      <c r="G210" s="485">
        <v>0.91493195315940068</v>
      </c>
    </row>
    <row r="211" spans="1:7" x14ac:dyDescent="0.25">
      <c r="A211" s="1391" t="s">
        <v>2562</v>
      </c>
      <c r="B211" s="485">
        <v>0.11986317039597059</v>
      </c>
      <c r="C211" s="485">
        <v>0.12123446491181801</v>
      </c>
      <c r="D211" s="485">
        <v>0.12368478334957329</v>
      </c>
      <c r="E211" s="485">
        <v>0.12628016118006133</v>
      </c>
      <c r="F211" s="485">
        <v>0.1290650950874753</v>
      </c>
      <c r="G211" s="485">
        <v>0.13047747736266463</v>
      </c>
    </row>
    <row r="212" spans="1:7" x14ac:dyDescent="0.25">
      <c r="A212" s="1391" t="s">
        <v>2563</v>
      </c>
      <c r="B212" s="485">
        <v>1.0495304278959998</v>
      </c>
      <c r="C212" s="485">
        <v>1.028506857648557</v>
      </c>
      <c r="D212" s="485">
        <v>1.0061927226767775</v>
      </c>
      <c r="E212" s="485">
        <v>0.98274489811517918</v>
      </c>
      <c r="F212" s="485">
        <v>0.95736926920219445</v>
      </c>
      <c r="G212" s="485">
        <v>0.9297914470812918</v>
      </c>
    </row>
    <row r="213" spans="1:7" x14ac:dyDescent="0.25">
      <c r="A213" s="1391" t="s">
        <v>2564</v>
      </c>
      <c r="B213" s="485">
        <v>0.16098243311919863</v>
      </c>
      <c r="C213" s="485">
        <v>0.16367178095461191</v>
      </c>
      <c r="D213" s="485">
        <v>0.16640836576361262</v>
      </c>
      <c r="E213" s="485">
        <v>0.17018435781070335</v>
      </c>
      <c r="F213" s="485">
        <v>0.17291479340545857</v>
      </c>
      <c r="G213" s="485">
        <v>0.1740564756541832</v>
      </c>
    </row>
    <row r="214" spans="1:7" x14ac:dyDescent="0.25">
      <c r="A214" s="1391" t="s">
        <v>2565</v>
      </c>
      <c r="B214" s="485">
        <v>0.20341974916199249</v>
      </c>
      <c r="C214" s="485">
        <v>0.20639536336865105</v>
      </c>
      <c r="D214" s="485">
        <v>0.21031256239425467</v>
      </c>
      <c r="E214" s="485">
        <v>0.21403405612868662</v>
      </c>
      <c r="F214" s="485">
        <v>0.21649379169697711</v>
      </c>
      <c r="G214" s="485">
        <v>0.21723869632839363</v>
      </c>
    </row>
    <row r="215" spans="1:7" x14ac:dyDescent="0.25">
      <c r="A215" s="1391" t="s">
        <v>2566</v>
      </c>
      <c r="B215" s="485">
        <v>0.24614333157603172</v>
      </c>
      <c r="C215" s="485">
        <v>0.25029955999929321</v>
      </c>
      <c r="D215" s="485">
        <v>0.25416226071223796</v>
      </c>
      <c r="E215" s="485">
        <v>0.25761305442020521</v>
      </c>
      <c r="F215" s="485">
        <v>0.25967601237118748</v>
      </c>
      <c r="G215" s="485">
        <v>0.25971199077372353</v>
      </c>
    </row>
    <row r="216" spans="1:7" x14ac:dyDescent="0.25">
      <c r="A216" s="1391" t="s">
        <v>2567</v>
      </c>
      <c r="B216" s="485">
        <v>0.29004752820667379</v>
      </c>
      <c r="C216" s="485">
        <v>0.29414925831727651</v>
      </c>
      <c r="D216" s="485">
        <v>0.29774125900375653</v>
      </c>
      <c r="E216" s="485">
        <v>0.30079527509441562</v>
      </c>
      <c r="F216" s="485">
        <v>0.30214930681651736</v>
      </c>
      <c r="G216" s="485">
        <v>0.30169456777826531</v>
      </c>
    </row>
    <row r="217" spans="1:7" x14ac:dyDescent="0.25">
      <c r="A217" s="1391" t="s">
        <v>2568</v>
      </c>
      <c r="B217" s="485">
        <v>0.33389722652465709</v>
      </c>
      <c r="C217" s="485">
        <v>0.33772825660879519</v>
      </c>
      <c r="D217" s="485">
        <v>0.34092347967796688</v>
      </c>
      <c r="E217" s="485">
        <v>0.34326856953974549</v>
      </c>
      <c r="F217" s="485">
        <v>0.34413188382105919</v>
      </c>
      <c r="G217" s="485">
        <v>0.34352363197994401</v>
      </c>
    </row>
    <row r="218" spans="1:7" x14ac:dyDescent="0.25">
      <c r="A218" s="1391" t="s">
        <v>2569</v>
      </c>
      <c r="B218" s="485">
        <v>0.37747622481617576</v>
      </c>
      <c r="C218" s="485">
        <v>0.38091047728300559</v>
      </c>
      <c r="D218" s="485">
        <v>0.38339677412329681</v>
      </c>
      <c r="E218" s="485">
        <v>0.38525114654428738</v>
      </c>
      <c r="F218" s="485">
        <v>0.38596094802273795</v>
      </c>
      <c r="G218" s="485">
        <v>0.38349011376381276</v>
      </c>
    </row>
    <row r="219" spans="1:7" x14ac:dyDescent="0.25">
      <c r="A219" s="1391" t="s">
        <v>2570</v>
      </c>
      <c r="B219" s="485">
        <v>3.7885285092751478E-2</v>
      </c>
      <c r="C219" s="485">
        <v>3.8072136295361297E-2</v>
      </c>
      <c r="D219" s="485">
        <v>3.816755725143825E-2</v>
      </c>
      <c r="E219" s="485">
        <v>3.9028598382114157E-2</v>
      </c>
      <c r="F219" s="485">
        <v>4.0218382987637122E-2</v>
      </c>
      <c r="G219" s="485">
        <v>4.043160014055372E-2</v>
      </c>
    </row>
    <row r="220" spans="1:7" x14ac:dyDescent="0.25">
      <c r="A220" s="1391" t="s">
        <v>2571</v>
      </c>
      <c r="B220" s="485">
        <v>0.39875745757589326</v>
      </c>
      <c r="C220" s="485">
        <v>0.40100479499457614</v>
      </c>
      <c r="D220" s="485">
        <v>0.40262195710814502</v>
      </c>
      <c r="E220" s="485">
        <v>0.40403341854635999</v>
      </c>
      <c r="F220" s="485">
        <v>0.40282380755898056</v>
      </c>
      <c r="G220" s="485">
        <v>0.39866927358368565</v>
      </c>
    </row>
    <row r="221" spans="1:7" x14ac:dyDescent="0.25">
      <c r="A221" s="1391" t="s">
        <v>2572</v>
      </c>
      <c r="B221" s="485">
        <v>0.43889008008732766</v>
      </c>
      <c r="C221" s="485">
        <v>0.44069409340350629</v>
      </c>
      <c r="D221" s="485">
        <v>0.44220097579779816</v>
      </c>
      <c r="E221" s="485">
        <v>0.44185240594109476</v>
      </c>
      <c r="F221" s="485">
        <v>0.43888765657132284</v>
      </c>
      <c r="G221" s="485">
        <v>0.43341466602184309</v>
      </c>
    </row>
    <row r="222" spans="1:7" x14ac:dyDescent="0.25">
      <c r="A222" s="1391" t="s">
        <v>2573</v>
      </c>
      <c r="B222" s="485">
        <v>0.47857937849625781</v>
      </c>
      <c r="C222" s="485">
        <v>0.48027311209315959</v>
      </c>
      <c r="D222" s="485">
        <v>0.48001996319253293</v>
      </c>
      <c r="E222" s="485">
        <v>0.47791625495343698</v>
      </c>
      <c r="F222" s="485">
        <v>0.47363304900948017</v>
      </c>
      <c r="G222" s="485">
        <v>0.46689397019933465</v>
      </c>
    </row>
    <row r="223" spans="1:7" x14ac:dyDescent="0.25">
      <c r="A223" s="1391" t="s">
        <v>2574</v>
      </c>
      <c r="B223" s="485">
        <v>0.51815839718591117</v>
      </c>
      <c r="C223" s="485">
        <v>0.51809209948789436</v>
      </c>
      <c r="D223" s="485">
        <v>0.5160838122048752</v>
      </c>
      <c r="E223" s="485">
        <v>0.51266164739159437</v>
      </c>
      <c r="F223" s="485">
        <v>0.5071123531869719</v>
      </c>
      <c r="G223" s="485">
        <v>0.49908474352215476</v>
      </c>
    </row>
    <row r="224" spans="1:7" x14ac:dyDescent="0.25">
      <c r="A224" s="1391" t="s">
        <v>2575</v>
      </c>
      <c r="B224" s="485">
        <v>0.55597738458064583</v>
      </c>
      <c r="C224" s="485">
        <v>0.55415594850023642</v>
      </c>
      <c r="D224" s="485">
        <v>0.55082920464303264</v>
      </c>
      <c r="E224" s="485">
        <v>0.54614095156908582</v>
      </c>
      <c r="F224" s="485">
        <v>0.53930312650979184</v>
      </c>
      <c r="G224" s="485">
        <v>0.53014998680413183</v>
      </c>
    </row>
    <row r="225" spans="1:8" x14ac:dyDescent="0.25">
      <c r="A225" s="1391" t="s">
        <v>2576</v>
      </c>
      <c r="B225" s="485">
        <v>0.59204123359298799</v>
      </c>
      <c r="C225" s="485">
        <v>0.58890134093839386</v>
      </c>
      <c r="D225" s="485">
        <v>0.58430850882052443</v>
      </c>
      <c r="E225" s="485">
        <v>0.57833172489190598</v>
      </c>
      <c r="F225" s="485">
        <v>0.57036836979176886</v>
      </c>
      <c r="G225" s="485">
        <v>0.56013156637993844</v>
      </c>
    </row>
    <row r="226" spans="1:8" x14ac:dyDescent="0.25">
      <c r="A226" s="1391" t="s">
        <v>2577</v>
      </c>
      <c r="B226" s="485">
        <v>0.62678662603114543</v>
      </c>
      <c r="C226" s="485">
        <v>0.62238064511588553</v>
      </c>
      <c r="D226" s="485">
        <v>0.61649928214334415</v>
      </c>
      <c r="E226" s="485">
        <v>0.60939696817388289</v>
      </c>
      <c r="F226" s="485">
        <v>0.60034994936757546</v>
      </c>
      <c r="G226" s="485">
        <v>0.5890696844523895</v>
      </c>
    </row>
    <row r="227" spans="1:8" x14ac:dyDescent="0.25">
      <c r="A227" s="1391" t="s">
        <v>2578</v>
      </c>
      <c r="B227" s="485">
        <v>0.66026593020863711</v>
      </c>
      <c r="C227" s="485">
        <v>0.65457141843870559</v>
      </c>
      <c r="D227" s="485">
        <v>0.64756452542532128</v>
      </c>
      <c r="E227" s="485">
        <v>0.6393785477496895</v>
      </c>
      <c r="F227" s="485">
        <v>0.62928806744002652</v>
      </c>
      <c r="G227" s="485">
        <v>0.61700294952935908</v>
      </c>
    </row>
    <row r="228" spans="1:8" x14ac:dyDescent="0.25">
      <c r="A228" s="1391" t="s">
        <v>2579</v>
      </c>
      <c r="B228" s="485">
        <v>0.69245670353145705</v>
      </c>
      <c r="C228" s="485">
        <v>0.68563666172068272</v>
      </c>
      <c r="D228" s="485">
        <v>0.67754610500112789</v>
      </c>
      <c r="E228" s="485">
        <v>0.66831666582214055</v>
      </c>
      <c r="F228" s="485">
        <v>0.65722133251699633</v>
      </c>
      <c r="G228" s="485">
        <v>0.64396844371736806</v>
      </c>
    </row>
    <row r="229" spans="1:8" x14ac:dyDescent="0.25">
      <c r="A229" s="1391" t="s">
        <v>2580</v>
      </c>
      <c r="B229" s="485">
        <v>0.72352194681343429</v>
      </c>
      <c r="C229" s="485">
        <v>0.7156182412964891</v>
      </c>
      <c r="D229" s="485">
        <v>0.70648422307357883</v>
      </c>
      <c r="E229" s="485">
        <v>0.69624993089911058</v>
      </c>
      <c r="F229" s="485">
        <v>0.68418682670500519</v>
      </c>
      <c r="G229" s="485">
        <v>0.67000178701788615</v>
      </c>
    </row>
    <row r="230" spans="1:8" x14ac:dyDescent="0.25">
      <c r="A230" s="1391" t="s">
        <v>2581</v>
      </c>
      <c r="B230" s="485">
        <v>7.5957421388112789E-2</v>
      </c>
      <c r="C230" s="485">
        <v>7.6239693546799547E-2</v>
      </c>
      <c r="D230" s="485">
        <v>7.7196155633552394E-2</v>
      </c>
      <c r="E230" s="485">
        <v>7.9246981369751279E-2</v>
      </c>
      <c r="F230" s="485">
        <v>8.0649983128190841E-2</v>
      </c>
      <c r="G230" s="485">
        <v>8.1964964519931155E-2</v>
      </c>
    </row>
    <row r="231" spans="1:8" x14ac:dyDescent="0.25">
      <c r="A231" s="1394" t="s">
        <v>2582</v>
      </c>
      <c r="B231" s="485">
        <v>0.75350352638924067</v>
      </c>
      <c r="C231" s="485">
        <v>0.74455635936894016</v>
      </c>
      <c r="D231" s="485">
        <v>0.73441748815054886</v>
      </c>
      <c r="E231" s="485">
        <v>0.72321542508711922</v>
      </c>
      <c r="F231" s="485">
        <v>0.71022017000552329</v>
      </c>
      <c r="G231" s="485">
        <v>0.69513719876541846</v>
      </c>
    </row>
    <row r="232" spans="1:8" x14ac:dyDescent="0.25">
      <c r="A232" s="1391" t="s">
        <v>2583</v>
      </c>
      <c r="B232" s="485">
        <v>0.78244164446169184</v>
      </c>
      <c r="C232" s="485">
        <v>0.77248962444590996</v>
      </c>
      <c r="D232" s="485">
        <v>0.76138298233855761</v>
      </c>
      <c r="E232" s="485">
        <v>0.74924876838763743</v>
      </c>
      <c r="F232" s="485">
        <v>0.7353555817530556</v>
      </c>
      <c r="G232" s="485">
        <v>0.71886104184945065</v>
      </c>
    </row>
    <row r="233" spans="1:8" x14ac:dyDescent="0.25">
      <c r="A233" s="1391" t="s">
        <v>2584</v>
      </c>
      <c r="B233" s="485">
        <v>0.81037490953866143</v>
      </c>
      <c r="C233" s="485">
        <v>0.79945511863391916</v>
      </c>
      <c r="D233" s="485">
        <v>0.78741632563907571</v>
      </c>
      <c r="E233" s="485">
        <v>0.77438418013516985</v>
      </c>
      <c r="F233" s="485">
        <v>0.7590794248370879</v>
      </c>
      <c r="G233" s="485">
        <v>0.74125258794103388</v>
      </c>
    </row>
    <row r="234" spans="1:8" x14ac:dyDescent="0.25">
      <c r="A234" s="1391" t="s">
        <v>2585</v>
      </c>
      <c r="B234" s="485">
        <v>0.83734040372667051</v>
      </c>
      <c r="C234" s="485">
        <v>0.82548846193443692</v>
      </c>
      <c r="D234" s="485">
        <v>0.81255173738660791</v>
      </c>
      <c r="E234" s="485">
        <v>0.79810802321920193</v>
      </c>
      <c r="F234" s="485">
        <v>0.78147097092867124</v>
      </c>
      <c r="G234" s="485">
        <v>0.76238665692789864</v>
      </c>
    </row>
    <row r="235" spans="1:8" x14ac:dyDescent="0.25">
      <c r="A235" s="1391" t="s">
        <v>2586</v>
      </c>
      <c r="B235" s="485">
        <v>0.86337374702718861</v>
      </c>
      <c r="C235" s="485">
        <v>0.85062387368196934</v>
      </c>
      <c r="D235" s="485">
        <v>0.83627558047064043</v>
      </c>
      <c r="E235" s="485">
        <v>0.82049956931078527</v>
      </c>
      <c r="F235" s="485">
        <v>0.80260503991553578</v>
      </c>
      <c r="G235" s="485">
        <v>0.78233386692022011</v>
      </c>
    </row>
    <row r="236" spans="1:8" x14ac:dyDescent="0.25">
      <c r="A236" s="1394" t="s">
        <v>2587</v>
      </c>
      <c r="B236" s="485">
        <v>0.8885091587747207</v>
      </c>
      <c r="C236" s="485">
        <v>0.87434771676600165</v>
      </c>
      <c r="D236" s="485">
        <v>0.85866712656222344</v>
      </c>
      <c r="E236" s="485">
        <v>0.84163363829764992</v>
      </c>
      <c r="F236" s="485">
        <v>0.82255224990785736</v>
      </c>
      <c r="G236" s="485">
        <v>0.80116087021641791</v>
      </c>
      <c r="H236" s="485" t="s">
        <v>2588</v>
      </c>
    </row>
    <row r="237" spans="1:8" x14ac:dyDescent="0.25">
      <c r="A237" s="1391" t="s">
        <v>2589</v>
      </c>
      <c r="B237" s="485">
        <v>0.11412497863955105</v>
      </c>
      <c r="C237" s="485">
        <v>0.1152682919289137</v>
      </c>
      <c r="D237" s="485">
        <v>0.11741453862118954</v>
      </c>
      <c r="E237" s="485">
        <v>0.119678581510305</v>
      </c>
      <c r="F237" s="485">
        <v>0.12218334750756828</v>
      </c>
      <c r="G237" s="485">
        <v>0.12341314279445373</v>
      </c>
    </row>
    <row r="238" spans="1:8" x14ac:dyDescent="0.25">
      <c r="A238" s="1391" t="s">
        <v>2590</v>
      </c>
      <c r="B238" s="485">
        <v>0.15315357702166515</v>
      </c>
      <c r="C238" s="485">
        <v>0.15548667491655083</v>
      </c>
      <c r="D238" s="485">
        <v>0.15784613876174325</v>
      </c>
      <c r="E238" s="485">
        <v>0.16121194588968243</v>
      </c>
      <c r="F238" s="485">
        <v>0.16363152578209084</v>
      </c>
      <c r="G238" s="485">
        <v>0.16458796432916326</v>
      </c>
    </row>
    <row r="239" spans="1:8" x14ac:dyDescent="0.25">
      <c r="A239" s="1391" t="s">
        <v>2591</v>
      </c>
      <c r="B239" s="485">
        <v>0.19337196000930229</v>
      </c>
      <c r="C239" s="485">
        <v>0.19591827505710455</v>
      </c>
      <c r="D239" s="485">
        <v>0.19937950314112074</v>
      </c>
      <c r="E239" s="485">
        <v>0.20266012416420504</v>
      </c>
      <c r="F239" s="485">
        <v>0.20480634731680036</v>
      </c>
      <c r="G239" s="485">
        <v>0.20538549756659102</v>
      </c>
    </row>
    <row r="240" spans="1:8" x14ac:dyDescent="0.25">
      <c r="A240" s="1391" t="s">
        <v>2592</v>
      </c>
      <c r="B240" s="485">
        <v>0.23380356014985601</v>
      </c>
      <c r="C240" s="485">
        <v>0.23745163943648198</v>
      </c>
      <c r="D240" s="485">
        <v>0.24082768141564323</v>
      </c>
      <c r="E240" s="485">
        <v>0.24383494569891451</v>
      </c>
      <c r="F240" s="485">
        <v>0.24560388055422808</v>
      </c>
      <c r="G240" s="485">
        <v>0.24551812007802537</v>
      </c>
    </row>
    <row r="241" spans="1:7" x14ac:dyDescent="0.25">
      <c r="A241" s="1391" t="s">
        <v>2593</v>
      </c>
      <c r="B241" s="485">
        <v>0.27533692452923347</v>
      </c>
      <c r="C241" s="485">
        <v>0.27889981771100458</v>
      </c>
      <c r="D241" s="485">
        <v>0.28200250295035278</v>
      </c>
      <c r="E241" s="485">
        <v>0.28463247893634225</v>
      </c>
      <c r="F241" s="485">
        <v>0.28573650306566239</v>
      </c>
      <c r="G241" s="485">
        <v>0.28520741848695552</v>
      </c>
    </row>
    <row r="242" spans="1:7" x14ac:dyDescent="0.25">
      <c r="A242" s="1391" t="s">
        <v>2594</v>
      </c>
      <c r="B242" s="485">
        <v>0.31678510280375605</v>
      </c>
      <c r="C242" s="485">
        <v>0.32007463924571405</v>
      </c>
      <c r="D242" s="485">
        <v>0.32280003618778047</v>
      </c>
      <c r="E242" s="485">
        <v>0.32476510144777654</v>
      </c>
      <c r="F242" s="485">
        <v>0.3254258014745926</v>
      </c>
      <c r="G242" s="485">
        <v>0.32478643717660877</v>
      </c>
    </row>
    <row r="243" spans="1:7" x14ac:dyDescent="0.25">
      <c r="A243" s="1392" t="s">
        <v>2595</v>
      </c>
      <c r="B243" s="1393">
        <v>0.35795992433846552</v>
      </c>
      <c r="C243" s="1393">
        <v>0.36087217248314174</v>
      </c>
      <c r="D243" s="1393">
        <v>0.36293265869921482</v>
      </c>
      <c r="E243" s="1393">
        <v>0.36445439985670675</v>
      </c>
      <c r="F243" s="1393">
        <v>0.36500482016424585</v>
      </c>
      <c r="G243" s="1393">
        <v>0.36260542457134348</v>
      </c>
    </row>
    <row r="244" spans="1:7" x14ac:dyDescent="0.25">
      <c r="A244" s="1391" t="s">
        <v>2596</v>
      </c>
      <c r="B244" s="485">
        <v>7.576844372977809E-2</v>
      </c>
      <c r="C244" s="485">
        <v>7.8730095978199272E-2</v>
      </c>
      <c r="D244" s="485">
        <v>8.1394706267130079E-2</v>
      </c>
      <c r="E244" s="485">
        <v>8.8394991704787609E-2</v>
      </c>
      <c r="F244" s="485">
        <v>9.497452830336614E-2</v>
      </c>
      <c r="G244" s="485">
        <v>9.916725281861194E-2</v>
      </c>
    </row>
    <row r="245" spans="1:7" x14ac:dyDescent="0.25">
      <c r="A245" s="1391" t="s">
        <v>2597</v>
      </c>
      <c r="B245" s="485">
        <v>0.93567627915464513</v>
      </c>
      <c r="C245" s="485">
        <v>0.96229300722268374</v>
      </c>
      <c r="D245" s="485">
        <v>0.98352061150802861</v>
      </c>
      <c r="E245" s="485">
        <v>0.99958693538078425</v>
      </c>
      <c r="F245" s="485">
        <v>1.0041688488469895</v>
      </c>
      <c r="G245" s="485">
        <v>0.99763157703030902</v>
      </c>
    </row>
    <row r="246" spans="1:7" x14ac:dyDescent="0.25">
      <c r="A246" s="1391" t="s">
        <v>2598</v>
      </c>
      <c r="B246" s="485">
        <v>1.0380614509524619</v>
      </c>
      <c r="C246" s="485">
        <v>1.062250707486228</v>
      </c>
      <c r="D246" s="485">
        <v>1.0809816416479143</v>
      </c>
      <c r="E246" s="485">
        <v>1.0925638405517772</v>
      </c>
      <c r="F246" s="485">
        <v>1.0926061053336753</v>
      </c>
      <c r="G246" s="485">
        <v>1.0820599715315462</v>
      </c>
    </row>
    <row r="247" spans="1:7" x14ac:dyDescent="0.25">
      <c r="A247" s="1391" t="s">
        <v>2599</v>
      </c>
      <c r="B247" s="485">
        <v>1.1380191512160058</v>
      </c>
      <c r="C247" s="485">
        <v>1.1597117376261135</v>
      </c>
      <c r="D247" s="485">
        <v>1.1739585468189073</v>
      </c>
      <c r="E247" s="485">
        <v>1.1810010970384628</v>
      </c>
      <c r="F247" s="485">
        <v>1.1770344998349125</v>
      </c>
      <c r="G247" s="485">
        <v>1.162686035351127</v>
      </c>
    </row>
    <row r="248" spans="1:7" x14ac:dyDescent="0.25">
      <c r="A248" s="1391" t="s">
        <v>2600</v>
      </c>
      <c r="B248" s="485">
        <v>1.2354801813558915</v>
      </c>
      <c r="C248" s="485">
        <v>1.2526886427971062</v>
      </c>
      <c r="D248" s="485">
        <v>1.2623958033055929</v>
      </c>
      <c r="E248" s="485">
        <v>1.2654294915397</v>
      </c>
      <c r="F248" s="485">
        <v>1.2576605636544933</v>
      </c>
      <c r="G248" s="485">
        <v>1.2396871642607117</v>
      </c>
    </row>
    <row r="249" spans="1:7" x14ac:dyDescent="0.25">
      <c r="A249" s="1391" t="s">
        <v>2601</v>
      </c>
      <c r="B249" s="485">
        <v>1.3284570865268843</v>
      </c>
      <c r="C249" s="485">
        <v>1.3411258992837918</v>
      </c>
      <c r="D249" s="485">
        <v>1.3468241978068298</v>
      </c>
      <c r="E249" s="485">
        <v>1.346055555359281</v>
      </c>
      <c r="F249" s="485">
        <v>1.334661692564078</v>
      </c>
      <c r="G249" s="485">
        <v>1.313459005162168</v>
      </c>
    </row>
    <row r="250" spans="1:7" x14ac:dyDescent="0.25">
      <c r="A250" s="1391" t="s">
        <v>2602</v>
      </c>
      <c r="B250" s="485">
        <v>1.4168943430135703</v>
      </c>
      <c r="C250" s="485">
        <v>1.4255542937850292</v>
      </c>
      <c r="D250" s="485">
        <v>1.4274502616264111</v>
      </c>
      <c r="E250" s="485">
        <v>1.4230566842688654</v>
      </c>
      <c r="F250" s="485">
        <v>1.408433533465534</v>
      </c>
      <c r="G250" s="485">
        <v>1.3841439513716194</v>
      </c>
    </row>
    <row r="251" spans="1:7" x14ac:dyDescent="0.25">
      <c r="A251" s="1391" t="s">
        <v>2603</v>
      </c>
      <c r="B251" s="485">
        <v>1.5013227375148073</v>
      </c>
      <c r="C251" s="485">
        <v>1.5061803576046104</v>
      </c>
      <c r="D251" s="485">
        <v>1.5044513905359957</v>
      </c>
      <c r="E251" s="485">
        <v>1.4968285251703217</v>
      </c>
      <c r="F251" s="485">
        <v>1.4791184796749859</v>
      </c>
      <c r="G251" s="485">
        <v>1.4518778625601338</v>
      </c>
    </row>
    <row r="252" spans="1:7" x14ac:dyDescent="0.25">
      <c r="A252" s="1391" t="s">
        <v>2604</v>
      </c>
      <c r="B252" s="485">
        <v>1.5819488013343883</v>
      </c>
      <c r="C252" s="485">
        <v>1.5831814865141947</v>
      </c>
      <c r="D252" s="485">
        <v>1.5782232314374518</v>
      </c>
      <c r="E252" s="485">
        <v>1.5675134713797731</v>
      </c>
      <c r="F252" s="485">
        <v>1.5468523908635001</v>
      </c>
      <c r="G252" s="485">
        <v>1.5167903735214132</v>
      </c>
    </row>
    <row r="253" spans="1:7" x14ac:dyDescent="0.25">
      <c r="A253" s="1391" t="s">
        <v>2605</v>
      </c>
      <c r="B253" s="485">
        <v>1.658949930243973</v>
      </c>
      <c r="C253" s="485">
        <v>1.6569533274156509</v>
      </c>
      <c r="D253" s="485">
        <v>1.6489081776469035</v>
      </c>
      <c r="E253" s="485">
        <v>1.6352473825682876</v>
      </c>
      <c r="F253" s="485">
        <v>1.6117649018247793</v>
      </c>
      <c r="G253" s="485">
        <v>1.5790051880404785</v>
      </c>
    </row>
    <row r="254" spans="1:7" x14ac:dyDescent="0.25">
      <c r="A254" s="1391" t="s">
        <v>2606</v>
      </c>
      <c r="B254" s="485">
        <v>1.732721771145429</v>
      </c>
      <c r="C254" s="485">
        <v>1.7276382736251024</v>
      </c>
      <c r="D254" s="485">
        <v>1.7166420888354179</v>
      </c>
      <c r="E254" s="485">
        <v>1.7001598935295665</v>
      </c>
      <c r="F254" s="485">
        <v>1.6739797163438448</v>
      </c>
      <c r="G254" s="485">
        <v>1.6386403585926184</v>
      </c>
    </row>
    <row r="255" spans="1:7" x14ac:dyDescent="0.25">
      <c r="A255" s="1391" t="s">
        <v>2607</v>
      </c>
      <c r="B255" s="485">
        <v>0.15449853970797733</v>
      </c>
      <c r="C255" s="485">
        <v>0.1601248022453293</v>
      </c>
      <c r="D255" s="485">
        <v>0.16978969797191767</v>
      </c>
      <c r="E255" s="485">
        <v>0.18336952000815376</v>
      </c>
      <c r="F255" s="485">
        <v>0.19414178112197811</v>
      </c>
      <c r="G255" s="485">
        <v>0.20202365024765728</v>
      </c>
    </row>
    <row r="256" spans="1:7" x14ac:dyDescent="0.25">
      <c r="A256" s="1391" t="s">
        <v>2608</v>
      </c>
      <c r="B256" s="485">
        <v>1.8034067173548805</v>
      </c>
      <c r="C256" s="485">
        <v>1.795372184813617</v>
      </c>
      <c r="D256" s="485">
        <v>1.7815545997966968</v>
      </c>
      <c r="E256" s="485">
        <v>1.7623747080486323</v>
      </c>
      <c r="F256" s="485">
        <v>1.7336148868959846</v>
      </c>
      <c r="G256" s="485">
        <v>1.6958085525658135</v>
      </c>
    </row>
    <row r="257" spans="1:7" x14ac:dyDescent="0.25">
      <c r="A257" s="1391" t="s">
        <v>2609</v>
      </c>
      <c r="B257" s="485">
        <v>1.8711406285433951</v>
      </c>
      <c r="C257" s="485">
        <v>1.8602846957748964</v>
      </c>
      <c r="D257" s="485">
        <v>1.8437694143157621</v>
      </c>
      <c r="E257" s="485">
        <v>1.8220098786007719</v>
      </c>
      <c r="F257" s="485">
        <v>1.7907830808691798</v>
      </c>
      <c r="G257" s="485">
        <v>1.7497662627811938</v>
      </c>
    </row>
    <row r="258" spans="1:7" x14ac:dyDescent="0.25">
      <c r="A258" s="1391" t="s">
        <v>2610</v>
      </c>
      <c r="B258" s="485">
        <v>1.9360531395046743</v>
      </c>
      <c r="C258" s="485">
        <v>1.9224995102939615</v>
      </c>
      <c r="D258" s="485">
        <v>1.9034045848679022</v>
      </c>
      <c r="E258" s="485">
        <v>1.8791780725739675</v>
      </c>
      <c r="F258" s="485">
        <v>1.8447407910845599</v>
      </c>
      <c r="G258" s="485">
        <v>1.8006937854007128</v>
      </c>
    </row>
    <row r="259" spans="1:7" x14ac:dyDescent="0.25">
      <c r="A259" s="1391" t="s">
        <v>2611</v>
      </c>
      <c r="B259" s="485">
        <v>1.9982679540237398</v>
      </c>
      <c r="C259" s="485">
        <v>1.9821346808461016</v>
      </c>
      <c r="D259" s="485">
        <v>1.9605727788410976</v>
      </c>
      <c r="E259" s="485">
        <v>1.9331357827893476</v>
      </c>
      <c r="F259" s="485">
        <v>1.8956683137040791</v>
      </c>
      <c r="G259" s="485">
        <v>1.8487612914125287</v>
      </c>
    </row>
    <row r="260" spans="1:7" x14ac:dyDescent="0.25">
      <c r="A260" s="1391" t="s">
        <v>2612</v>
      </c>
      <c r="B260" s="485">
        <v>2.0579031245758794</v>
      </c>
      <c r="C260" s="485">
        <v>2.0393028748192963</v>
      </c>
      <c r="D260" s="485">
        <v>2.0145304890564777</v>
      </c>
      <c r="E260" s="485">
        <v>1.9840633054088663</v>
      </c>
      <c r="F260" s="485">
        <v>1.9437358197158947</v>
      </c>
      <c r="G260" s="485">
        <v>1.8941293952462388</v>
      </c>
    </row>
    <row r="261" spans="1:7" x14ac:dyDescent="0.25">
      <c r="A261" s="1391" t="s">
        <v>2613</v>
      </c>
      <c r="B261" s="485">
        <v>2.1150713185490746</v>
      </c>
      <c r="C261" s="485">
        <v>2.093260585034677</v>
      </c>
      <c r="D261" s="485">
        <v>2.0654580116759966</v>
      </c>
      <c r="E261" s="485">
        <v>2.0321308114206822</v>
      </c>
      <c r="F261" s="485">
        <v>1.9891039235496049</v>
      </c>
      <c r="G261" s="485">
        <v>1.9369496914554978</v>
      </c>
    </row>
    <row r="262" spans="1:7" x14ac:dyDescent="0.25">
      <c r="A262" s="1391" t="s">
        <v>2614</v>
      </c>
      <c r="B262" s="485">
        <v>2.1690290287644549</v>
      </c>
      <c r="C262" s="485">
        <v>2.144188107654196</v>
      </c>
      <c r="D262" s="485">
        <v>2.1135255176878123</v>
      </c>
      <c r="E262" s="485">
        <v>2.0774989152543926</v>
      </c>
      <c r="F262" s="485">
        <v>2.0319242197588636</v>
      </c>
      <c r="G262" s="485">
        <v>1.9773652612613111</v>
      </c>
    </row>
    <row r="263" spans="1:7" x14ac:dyDescent="0.25">
      <c r="A263" s="1391" t="s">
        <v>2615</v>
      </c>
      <c r="B263" s="485">
        <v>2.2199565513839739</v>
      </c>
      <c r="C263" s="485">
        <v>2.1922556136660116</v>
      </c>
      <c r="D263" s="485">
        <v>2.1588936215215226</v>
      </c>
      <c r="E263" s="485">
        <v>2.1203192114636518</v>
      </c>
      <c r="F263" s="485">
        <v>2.0723397895646771</v>
      </c>
      <c r="G263" s="485">
        <v>2.0155111506485817</v>
      </c>
    </row>
    <row r="264" spans="1:7" x14ac:dyDescent="0.25">
      <c r="A264" s="1391" t="s">
        <v>2616</v>
      </c>
      <c r="B264" s="485">
        <v>2.2680240573957895</v>
      </c>
      <c r="C264" s="485">
        <v>2.2376237174997216</v>
      </c>
      <c r="D264" s="485">
        <v>2.2017139177307818</v>
      </c>
      <c r="E264" s="485">
        <v>2.1607347812694648</v>
      </c>
      <c r="F264" s="485">
        <v>2.1104856789519477</v>
      </c>
      <c r="G264" s="485">
        <v>2.0515148216134431</v>
      </c>
    </row>
    <row r="265" spans="1:7" x14ac:dyDescent="0.25">
      <c r="A265" s="1391" t="s">
        <v>2617</v>
      </c>
      <c r="B265" s="485">
        <v>2.3133921612294994</v>
      </c>
      <c r="C265" s="485">
        <v>2.2804440137089808</v>
      </c>
      <c r="D265" s="485">
        <v>2.2421294875365949</v>
      </c>
      <c r="E265" s="485">
        <v>2.1988806706567354</v>
      </c>
      <c r="F265" s="485">
        <v>2.1464893499168092</v>
      </c>
      <c r="G265" s="485">
        <v>2.0854965780691876</v>
      </c>
    </row>
    <row r="266" spans="1:7" x14ac:dyDescent="0.25">
      <c r="A266" s="1391" t="s">
        <v>2618</v>
      </c>
      <c r="B266" s="485">
        <v>0.23589324597510736</v>
      </c>
      <c r="C266" s="485">
        <v>0.24851979395011686</v>
      </c>
      <c r="D266" s="485">
        <v>0.26476422627528384</v>
      </c>
      <c r="E266" s="485">
        <v>0.2825367728267657</v>
      </c>
      <c r="F266" s="485">
        <v>0.29699817855102345</v>
      </c>
      <c r="G266" s="485">
        <v>0.3068091220162622</v>
      </c>
    </row>
    <row r="267" spans="1:7" x14ac:dyDescent="0.25">
      <c r="A267" s="1391" t="s">
        <v>2619</v>
      </c>
      <c r="B267" s="485">
        <v>2.3562124574387582</v>
      </c>
      <c r="C267" s="485">
        <v>2.3208595835147943</v>
      </c>
      <c r="D267" s="485">
        <v>2.2802753769238655</v>
      </c>
      <c r="E267" s="485">
        <v>2.2348843416215969</v>
      </c>
      <c r="F267" s="485">
        <v>2.1804711063725541</v>
      </c>
      <c r="G267" s="485">
        <v>2.1175699678339299</v>
      </c>
    </row>
    <row r="268" spans="1:7" x14ac:dyDescent="0.25">
      <c r="A268" s="1391" t="s">
        <v>2620</v>
      </c>
      <c r="B268" s="485">
        <v>0.32428823767989495</v>
      </c>
      <c r="C268" s="485">
        <v>0.34349432225348292</v>
      </c>
      <c r="D268" s="485">
        <v>0.36393147909389578</v>
      </c>
      <c r="E268" s="485">
        <v>0.38539317025581105</v>
      </c>
      <c r="F268" s="485">
        <v>0.40178365031962837</v>
      </c>
      <c r="G268" s="485">
        <v>0.41201687028616152</v>
      </c>
    </row>
    <row r="269" spans="1:7" x14ac:dyDescent="0.25">
      <c r="A269" s="1391" t="s">
        <v>2621</v>
      </c>
      <c r="B269" s="485">
        <v>0.41926276598326107</v>
      </c>
      <c r="C269" s="485">
        <v>0.44266157507209475</v>
      </c>
      <c r="D269" s="485">
        <v>0.46678787652294118</v>
      </c>
      <c r="E269" s="485">
        <v>0.49017864202441591</v>
      </c>
      <c r="F269" s="485">
        <v>0.50699139858952769</v>
      </c>
      <c r="G269" s="485">
        <v>0.51641351317138429</v>
      </c>
    </row>
    <row r="270" spans="1:7" x14ac:dyDescent="0.25">
      <c r="A270" s="1391" t="s">
        <v>2622</v>
      </c>
      <c r="B270" s="485">
        <v>0.51843001880187289</v>
      </c>
      <c r="C270" s="485">
        <v>0.54551797250114009</v>
      </c>
      <c r="D270" s="485">
        <v>0.57157334829154605</v>
      </c>
      <c r="E270" s="485">
        <v>0.59538639029431528</v>
      </c>
      <c r="F270" s="485">
        <v>0.61138804147475023</v>
      </c>
      <c r="G270" s="485">
        <v>0.61879868496920065</v>
      </c>
    </row>
    <row r="271" spans="1:7" x14ac:dyDescent="0.25">
      <c r="A271" s="1391" t="s">
        <v>2623</v>
      </c>
      <c r="B271" s="485">
        <v>0.62128641623091818</v>
      </c>
      <c r="C271" s="485">
        <v>0.65030344426974507</v>
      </c>
      <c r="D271" s="485">
        <v>0.67678109656144536</v>
      </c>
      <c r="E271" s="485">
        <v>0.69978303317953794</v>
      </c>
      <c r="F271" s="485">
        <v>0.71377321327256671</v>
      </c>
      <c r="G271" s="485">
        <v>0.71875638523274488</v>
      </c>
    </row>
    <row r="272" spans="1:7" x14ac:dyDescent="0.25">
      <c r="A272" s="1391" t="s">
        <v>2624</v>
      </c>
      <c r="B272" s="485">
        <v>0.72607188799952316</v>
      </c>
      <c r="C272" s="485">
        <v>0.75551119253964449</v>
      </c>
      <c r="D272" s="485">
        <v>0.78117773944666802</v>
      </c>
      <c r="E272" s="485">
        <v>0.80216820497735442</v>
      </c>
      <c r="F272" s="485">
        <v>0.81373091353611104</v>
      </c>
      <c r="G272" s="485">
        <v>0.81621741537263048</v>
      </c>
    </row>
    <row r="273" spans="1:8" x14ac:dyDescent="0.25">
      <c r="A273" s="1391" t="s">
        <v>2625</v>
      </c>
      <c r="B273" s="485">
        <v>0.83127963626942269</v>
      </c>
      <c r="C273" s="485">
        <v>0.85990783542486715</v>
      </c>
      <c r="D273" s="485">
        <v>0.88356291124448449</v>
      </c>
      <c r="E273" s="485">
        <v>0.90212590524089853</v>
      </c>
      <c r="F273" s="485">
        <v>0.91119194367599665</v>
      </c>
      <c r="G273" s="485">
        <v>0.90919432054362337</v>
      </c>
    </row>
    <row r="274" spans="1:8" x14ac:dyDescent="0.25">
      <c r="A274" s="1391" t="s">
        <v>2626</v>
      </c>
      <c r="B274" s="485">
        <v>8.1093085955725827E-2</v>
      </c>
      <c r="C274" s="485">
        <v>8.4176020041897531E-2</v>
      </c>
      <c r="D274" s="485">
        <v>8.6944869452387677E-2</v>
      </c>
      <c r="E274" s="485">
        <v>9.4259969511387903E-2</v>
      </c>
      <c r="F274" s="485">
        <v>0.10116093620877811</v>
      </c>
      <c r="G274" s="485">
        <v>0.1055219126631208</v>
      </c>
    </row>
    <row r="275" spans="1:8" x14ac:dyDescent="0.25">
      <c r="A275" s="1391" t="s">
        <v>2627</v>
      </c>
      <c r="B275" s="485">
        <v>0.99679383169168057</v>
      </c>
      <c r="C275" s="485">
        <v>1.0245386616514565</v>
      </c>
      <c r="D275" s="485">
        <v>1.0466542039767455</v>
      </c>
      <c r="E275" s="485">
        <v>1.0634051565465423</v>
      </c>
      <c r="F275" s="485">
        <v>1.0680741174237278</v>
      </c>
      <c r="G275" s="485">
        <v>1.0610179860153881</v>
      </c>
    </row>
    <row r="276" spans="1:8" x14ac:dyDescent="0.25">
      <c r="A276" s="1391" t="s">
        <v>2628</v>
      </c>
      <c r="B276" s="485">
        <v>1.1056317476071822</v>
      </c>
      <c r="C276" s="485">
        <v>1.1308302240186432</v>
      </c>
      <c r="D276" s="485">
        <v>1.1503500259989301</v>
      </c>
      <c r="E276" s="485">
        <v>1.162334086935116</v>
      </c>
      <c r="F276" s="485">
        <v>1.1621789222241665</v>
      </c>
      <c r="G276" s="485">
        <v>1.1508782487149734</v>
      </c>
    </row>
    <row r="277" spans="1:8" x14ac:dyDescent="0.25">
      <c r="A277" s="1391" t="s">
        <v>2629</v>
      </c>
      <c r="B277" s="485">
        <v>1.2119233099743689</v>
      </c>
      <c r="C277" s="485">
        <v>1.2345260460408276</v>
      </c>
      <c r="D277" s="485">
        <v>1.2492789563875035</v>
      </c>
      <c r="E277" s="485">
        <v>1.2564388917355542</v>
      </c>
      <c r="F277" s="485">
        <v>1.2520391849237515</v>
      </c>
      <c r="G277" s="485">
        <v>1.2367115984390566</v>
      </c>
    </row>
    <row r="278" spans="1:8" x14ac:dyDescent="0.25">
      <c r="A278" s="1391" t="s">
        <v>2630</v>
      </c>
      <c r="B278" s="485">
        <v>1.3156191319965536</v>
      </c>
      <c r="C278" s="485">
        <v>1.3334549764294008</v>
      </c>
      <c r="D278" s="485">
        <v>1.3433837611879418</v>
      </c>
      <c r="E278" s="485">
        <v>1.3462991544351395</v>
      </c>
      <c r="F278" s="485">
        <v>1.3378725346478348</v>
      </c>
      <c r="G278" s="485">
        <v>1.3187004380409586</v>
      </c>
    </row>
    <row r="279" spans="1:8" x14ac:dyDescent="0.25">
      <c r="A279" s="1391" t="s">
        <v>2631</v>
      </c>
      <c r="B279" s="485">
        <v>1.4145480623851268</v>
      </c>
      <c r="C279" s="485">
        <v>1.4275597812298395</v>
      </c>
      <c r="D279" s="485">
        <v>1.433244023887527</v>
      </c>
      <c r="E279" s="485">
        <v>1.4321325041592228</v>
      </c>
      <c r="F279" s="485">
        <v>1.4198613742497368</v>
      </c>
      <c r="G279" s="485">
        <v>1.3972658810669263</v>
      </c>
    </row>
    <row r="280" spans="1:8" x14ac:dyDescent="0.25">
      <c r="A280" s="1391" t="s">
        <v>2632</v>
      </c>
      <c r="B280" s="485">
        <v>1.5086528671855652</v>
      </c>
      <c r="C280" s="485">
        <v>1.5174200439294245</v>
      </c>
      <c r="D280" s="485">
        <v>1.5190773736116105</v>
      </c>
      <c r="E280" s="485">
        <v>1.5141213437611247</v>
      </c>
      <c r="F280" s="485">
        <v>1.4984268172757043</v>
      </c>
      <c r="G280" s="485">
        <v>1.4725583588912452</v>
      </c>
    </row>
    <row r="281" spans="1:8" x14ac:dyDescent="0.25">
      <c r="A281" s="1391" t="s">
        <v>2633</v>
      </c>
      <c r="B281" s="485">
        <v>1.5985131298851507</v>
      </c>
      <c r="C281" s="485">
        <v>1.6032533936535081</v>
      </c>
      <c r="D281" s="485">
        <v>1.6010662132135123</v>
      </c>
      <c r="E281" s="485">
        <v>1.5926867867870924</v>
      </c>
      <c r="F281" s="485">
        <v>1.5737192951000234</v>
      </c>
      <c r="G281" s="485">
        <v>1.5447214176618578</v>
      </c>
    </row>
    <row r="282" spans="1:8" x14ac:dyDescent="0.25">
      <c r="A282" s="1391" t="s">
        <v>2634</v>
      </c>
      <c r="B282" s="485">
        <v>1.6843464796092338</v>
      </c>
      <c r="C282" s="485">
        <v>1.6852422332554098</v>
      </c>
      <c r="D282" s="485">
        <v>1.6796316562394802</v>
      </c>
      <c r="E282" s="485">
        <v>1.6679792646114113</v>
      </c>
      <c r="F282" s="485">
        <v>1.6458823538706358</v>
      </c>
      <c r="G282" s="485">
        <v>1.6138920431323149</v>
      </c>
    </row>
    <row r="283" spans="1:8" x14ac:dyDescent="0.25">
      <c r="A283" s="1391" t="s">
        <v>2635</v>
      </c>
      <c r="B283" s="485">
        <v>1.7663353192111355</v>
      </c>
      <c r="C283" s="485">
        <v>1.7638076762813775</v>
      </c>
      <c r="D283" s="485">
        <v>1.7549241340637989</v>
      </c>
      <c r="E283" s="485">
        <v>1.7401423233820239</v>
      </c>
      <c r="F283" s="485">
        <v>1.7150529793410931</v>
      </c>
      <c r="G283" s="485">
        <v>1.6802009698367157</v>
      </c>
    </row>
    <row r="284" spans="1:8" x14ac:dyDescent="0.25">
      <c r="A284" s="1394" t="s">
        <v>2636</v>
      </c>
      <c r="B284" s="396">
        <v>1.8449007622371034</v>
      </c>
      <c r="C284" s="396">
        <v>1.8391001541056962</v>
      </c>
      <c r="D284" s="396">
        <v>1.8270871928344115</v>
      </c>
      <c r="E284" s="396">
        <v>1.8093129488524808</v>
      </c>
      <c r="F284" s="396">
        <v>1.7813619060454939</v>
      </c>
      <c r="G284" s="396">
        <v>1.7437729753734845</v>
      </c>
      <c r="H284" s="485" t="s">
        <v>2588</v>
      </c>
    </row>
    <row r="285" spans="1:8" x14ac:dyDescent="0.25">
      <c r="A285" s="1394" t="s">
        <v>2637</v>
      </c>
      <c r="B285" s="396">
        <v>0.16526910599762337</v>
      </c>
      <c r="C285" s="396">
        <v>0.17112088949428522</v>
      </c>
      <c r="D285" s="396">
        <v>0.18120483896377559</v>
      </c>
      <c r="E285" s="396">
        <v>0.19542090572016602</v>
      </c>
      <c r="F285" s="396">
        <v>0.20668284887189892</v>
      </c>
      <c r="G285" s="396">
        <v>0.21494236772055608</v>
      </c>
    </row>
    <row r="286" spans="1:8" x14ac:dyDescent="0.25">
      <c r="A286" s="1392" t="s">
        <v>2638</v>
      </c>
      <c r="B286" s="396">
        <v>1.9201932400614221</v>
      </c>
      <c r="C286" s="396">
        <v>1.911263212876309</v>
      </c>
      <c r="D286" s="396">
        <v>1.8962578183048684</v>
      </c>
      <c r="E286" s="396">
        <v>1.8756218755568814</v>
      </c>
      <c r="F286" s="396">
        <v>1.8449339115822627</v>
      </c>
      <c r="G286" s="396">
        <v>1.8047271605259847</v>
      </c>
    </row>
    <row r="287" spans="1:8" x14ac:dyDescent="0.25">
      <c r="A287" s="1394" t="s">
        <v>2639</v>
      </c>
      <c r="B287" s="485">
        <v>1.9923562988320351</v>
      </c>
      <c r="C287" s="485">
        <v>1.9804338383467663</v>
      </c>
      <c r="D287" s="485">
        <v>1.9625667450092694</v>
      </c>
      <c r="E287" s="485">
        <v>1.9391938810936504</v>
      </c>
      <c r="F287" s="485">
        <v>1.9058880967347627</v>
      </c>
      <c r="G287" s="485">
        <v>1.8622582460875707</v>
      </c>
    </row>
    <row r="288" spans="1:8" x14ac:dyDescent="0.25">
      <c r="A288" s="1394" t="s">
        <v>2640</v>
      </c>
      <c r="B288" s="485">
        <v>2.0615269243024921</v>
      </c>
      <c r="C288" s="485">
        <v>2.0467427650511669</v>
      </c>
      <c r="D288" s="485">
        <v>2.0261387505460378</v>
      </c>
      <c r="E288" s="485">
        <v>2.0001480662461506</v>
      </c>
      <c r="F288" s="485">
        <v>1.9634191822963487</v>
      </c>
      <c r="G288" s="485">
        <v>1.916558468420356</v>
      </c>
    </row>
    <row r="289" spans="1:7" x14ac:dyDescent="0.25">
      <c r="A289" s="1391" t="s">
        <v>2641</v>
      </c>
      <c r="B289" s="485">
        <v>2.1278358510068931</v>
      </c>
      <c r="C289" s="485">
        <v>2.1103147705879359</v>
      </c>
      <c r="D289" s="485">
        <v>2.0870929356985379</v>
      </c>
      <c r="E289" s="485">
        <v>2.0576791518077369</v>
      </c>
      <c r="F289" s="485">
        <v>2.0177194046291342</v>
      </c>
      <c r="G289" s="485">
        <v>1.9678092681681478</v>
      </c>
    </row>
    <row r="290" spans="1:7" x14ac:dyDescent="0.25">
      <c r="A290" s="1391" t="s">
        <v>2642</v>
      </c>
      <c r="B290" s="485">
        <v>2.1914078565436617</v>
      </c>
      <c r="C290" s="485">
        <v>2.1712689557404357</v>
      </c>
      <c r="D290" s="485">
        <v>2.1446240212601246</v>
      </c>
      <c r="E290" s="485">
        <v>2.1119793741405219</v>
      </c>
      <c r="F290" s="485">
        <v>2.0689702043769258</v>
      </c>
      <c r="G290" s="485">
        <v>2.0161818965284986</v>
      </c>
    </row>
    <row r="291" spans="1:7" x14ac:dyDescent="0.25">
      <c r="A291" s="1391" t="s">
        <v>2643</v>
      </c>
      <c r="B291" s="485">
        <v>2.2523620416961618</v>
      </c>
      <c r="C291" s="485">
        <v>2.2288000413020219</v>
      </c>
      <c r="D291" s="485">
        <v>2.1989242435929097</v>
      </c>
      <c r="E291" s="485">
        <v>2.1632301738883135</v>
      </c>
      <c r="F291" s="485">
        <v>2.1173428327372767</v>
      </c>
      <c r="G291" s="485">
        <v>2.0618379874773907</v>
      </c>
    </row>
    <row r="292" spans="1:7" x14ac:dyDescent="0.25">
      <c r="A292" s="1391" t="s">
        <v>2644</v>
      </c>
      <c r="B292" s="485">
        <v>0.25221397545001101</v>
      </c>
      <c r="C292" s="485">
        <v>0.2653808590056731</v>
      </c>
      <c r="D292" s="485">
        <v>0.28236577517255373</v>
      </c>
      <c r="E292" s="485">
        <v>0.30094281838328679</v>
      </c>
      <c r="F292" s="485">
        <v>0.31610330392933417</v>
      </c>
      <c r="G292" s="485">
        <v>0.32635700843931365</v>
      </c>
    </row>
    <row r="293" spans="1:7" x14ac:dyDescent="0.25">
      <c r="A293" s="1391" t="s">
        <v>2645</v>
      </c>
      <c r="B293" s="485">
        <v>0.34647394496139894</v>
      </c>
      <c r="C293" s="485">
        <v>0.36654179521445124</v>
      </c>
      <c r="D293" s="485">
        <v>0.38788768783567457</v>
      </c>
      <c r="E293" s="485">
        <v>0.4103632734407221</v>
      </c>
      <c r="F293" s="485">
        <v>0.42751794464809179</v>
      </c>
      <c r="G293" s="485">
        <v>0.43819108359301318</v>
      </c>
    </row>
    <row r="294" spans="1:7" x14ac:dyDescent="0.25">
      <c r="A294" s="1391" t="s">
        <v>2646</v>
      </c>
      <c r="B294" s="485">
        <v>0.44763488117017702</v>
      </c>
      <c r="C294" s="485">
        <v>0.47206370787757213</v>
      </c>
      <c r="D294" s="485">
        <v>0.49730814289310982</v>
      </c>
      <c r="E294" s="485">
        <v>0.52177791415947983</v>
      </c>
      <c r="F294" s="485">
        <v>0.53935201980179137</v>
      </c>
      <c r="G294" s="485">
        <v>0.54915895052150332</v>
      </c>
    </row>
    <row r="295" spans="1:7" x14ac:dyDescent="0.25">
      <c r="A295" s="1391" t="s">
        <v>2647</v>
      </c>
      <c r="B295" s="485">
        <v>0.55315679383329786</v>
      </c>
      <c r="C295" s="485">
        <v>0.58148416293500738</v>
      </c>
      <c r="D295" s="485">
        <v>0.60872278361186738</v>
      </c>
      <c r="E295" s="485">
        <v>0.63361198931317941</v>
      </c>
      <c r="F295" s="485">
        <v>0.65031988673028129</v>
      </c>
      <c r="G295" s="485">
        <v>0.65799686643700528</v>
      </c>
    </row>
    <row r="296" spans="1:7" x14ac:dyDescent="0.25">
      <c r="A296" s="1391" t="s">
        <v>2648</v>
      </c>
      <c r="B296" s="485">
        <v>0.66257724889073311</v>
      </c>
      <c r="C296" s="485">
        <v>0.69289880365376488</v>
      </c>
      <c r="D296" s="485">
        <v>0.72055685876556685</v>
      </c>
      <c r="E296" s="485">
        <v>0.74457985624166934</v>
      </c>
      <c r="F296" s="485">
        <v>0.75915780264578336</v>
      </c>
      <c r="G296" s="485">
        <v>0.76428842880419179</v>
      </c>
    </row>
    <row r="297" spans="1:7" x14ac:dyDescent="0.25">
      <c r="A297" s="1391" t="s">
        <v>2649</v>
      </c>
      <c r="B297" s="485">
        <v>0.77399188960949084</v>
      </c>
      <c r="C297" s="485">
        <v>0.80473287880746436</v>
      </c>
      <c r="D297" s="485">
        <v>0.831524725694057</v>
      </c>
      <c r="E297" s="485">
        <v>0.85341777215717118</v>
      </c>
      <c r="F297" s="485">
        <v>0.86544936501296987</v>
      </c>
      <c r="G297" s="485">
        <v>0.86798425082637642</v>
      </c>
    </row>
    <row r="298" spans="1:7" x14ac:dyDescent="0.25">
      <c r="A298" s="1391" t="s">
        <v>2650</v>
      </c>
      <c r="B298" s="485">
        <v>0.88582596476319042</v>
      </c>
      <c r="C298" s="485">
        <v>0.9157007457359545</v>
      </c>
      <c r="D298" s="485">
        <v>0.94036264160955885</v>
      </c>
      <c r="E298" s="485">
        <v>0.9597093345243578</v>
      </c>
      <c r="F298" s="485">
        <v>0.96914518703515451</v>
      </c>
      <c r="G298" s="485">
        <v>0.96691318121494974</v>
      </c>
    </row>
    <row r="299" spans="1:7" x14ac:dyDescent="0.25">
      <c r="A299" s="1391" t="s">
        <v>2651</v>
      </c>
      <c r="B299" s="485">
        <v>1.213178525377838</v>
      </c>
      <c r="C299" s="485">
        <v>1.1823235133463703</v>
      </c>
      <c r="D299" s="485">
        <v>1.1462013504519315</v>
      </c>
      <c r="E299" s="485">
        <v>1.1065303340688444</v>
      </c>
      <c r="F299" s="485">
        <v>1.0647330926108114</v>
      </c>
      <c r="G299" s="485">
        <v>1.0222041033997105</v>
      </c>
    </row>
    <row r="300" spans="1:7" x14ac:dyDescent="0.25">
      <c r="A300" s="1391" t="s">
        <v>2652</v>
      </c>
      <c r="B300" s="485">
        <v>3.4458099003643931E-2</v>
      </c>
      <c r="C300" s="485">
        <v>3.4364822096079328E-2</v>
      </c>
      <c r="D300" s="485">
        <v>3.4200000004807309E-2</v>
      </c>
      <c r="E300" s="485">
        <v>3.4446290967585627E-2</v>
      </c>
      <c r="F300" s="485">
        <v>3.5101253573201846E-2</v>
      </c>
      <c r="G300" s="485">
        <v>3.4912106662713001E-2</v>
      </c>
    </row>
    <row r="301" spans="1:7" x14ac:dyDescent="0.25">
      <c r="A301" s="1391" t="s">
        <v>2653</v>
      </c>
      <c r="B301" s="485">
        <v>0.34863011618912554</v>
      </c>
      <c r="C301" s="485">
        <v>0.34842407608228865</v>
      </c>
      <c r="D301" s="485">
        <v>0.34806481472394191</v>
      </c>
      <c r="E301" s="485">
        <v>0.34800157898010498</v>
      </c>
      <c r="F301" s="485">
        <v>0.34618930348356497</v>
      </c>
      <c r="G301" s="485">
        <v>0.34223040957906609</v>
      </c>
    </row>
    <row r="302" spans="1:7" x14ac:dyDescent="0.25">
      <c r="A302" s="1391" t="s">
        <v>2654</v>
      </c>
      <c r="B302" s="485">
        <v>0.3828821750859327</v>
      </c>
      <c r="C302" s="485">
        <v>0.38242963682002129</v>
      </c>
      <c r="D302" s="485">
        <v>0.38220157898491236</v>
      </c>
      <c r="E302" s="485">
        <v>0.38063559445115053</v>
      </c>
      <c r="F302" s="485">
        <v>0.37733166315226796</v>
      </c>
      <c r="G302" s="485">
        <v>0.372313133552655</v>
      </c>
    </row>
    <row r="303" spans="1:7" x14ac:dyDescent="0.25">
      <c r="A303" s="1391" t="s">
        <v>2655</v>
      </c>
      <c r="B303" s="485">
        <v>0.41688773582366528</v>
      </c>
      <c r="C303" s="485">
        <v>0.41656640108099174</v>
      </c>
      <c r="D303" s="485">
        <v>0.41483559445595791</v>
      </c>
      <c r="E303" s="485">
        <v>0.41177795411985363</v>
      </c>
      <c r="F303" s="485">
        <v>0.40741438712585676</v>
      </c>
      <c r="G303" s="485">
        <v>0.40137349881113132</v>
      </c>
    </row>
    <row r="304" spans="1:7" x14ac:dyDescent="0.25">
      <c r="A304" s="1391" t="s">
        <v>2656</v>
      </c>
      <c r="B304" s="485">
        <v>0.45102450008463563</v>
      </c>
      <c r="C304" s="485">
        <v>0.44920041655203713</v>
      </c>
      <c r="D304" s="485">
        <v>0.44597795412466085</v>
      </c>
      <c r="E304" s="485">
        <v>0.44186067809344232</v>
      </c>
      <c r="F304" s="485">
        <v>0.43647475238433314</v>
      </c>
      <c r="G304" s="485">
        <v>0.4293684845811977</v>
      </c>
    </row>
    <row r="305" spans="1:7" x14ac:dyDescent="0.25">
      <c r="A305" s="1391" t="s">
        <v>2657</v>
      </c>
      <c r="B305" s="485">
        <v>0.48365851555568123</v>
      </c>
      <c r="C305" s="485">
        <v>0.48034277622074023</v>
      </c>
      <c r="D305" s="485">
        <v>0.47606067809824965</v>
      </c>
      <c r="E305" s="485">
        <v>0.47092104335191876</v>
      </c>
      <c r="F305" s="485">
        <v>0.4644697381543994</v>
      </c>
      <c r="G305" s="485">
        <v>0.45643926161426579</v>
      </c>
    </row>
    <row r="306" spans="1:7" x14ac:dyDescent="0.25">
      <c r="A306" s="1391" t="s">
        <v>2658</v>
      </c>
      <c r="B306" s="485">
        <v>0.51480087522438422</v>
      </c>
      <c r="C306" s="485">
        <v>0.51042550019432897</v>
      </c>
      <c r="D306" s="485">
        <v>0.50512104335672603</v>
      </c>
      <c r="E306" s="485">
        <v>0.49891602912198524</v>
      </c>
      <c r="F306" s="485">
        <v>0.49154051518746772</v>
      </c>
      <c r="G306" s="485">
        <v>0.48261794222728632</v>
      </c>
    </row>
    <row r="307" spans="1:7" x14ac:dyDescent="0.25">
      <c r="A307" s="1391" t="s">
        <v>2659</v>
      </c>
      <c r="B307" s="485">
        <v>0.54488359919797291</v>
      </c>
      <c r="C307" s="485">
        <v>0.53948586545280541</v>
      </c>
      <c r="D307" s="485">
        <v>0.53311602912679246</v>
      </c>
      <c r="E307" s="485">
        <v>0.52598680615505311</v>
      </c>
      <c r="F307" s="485">
        <v>0.51771919580048809</v>
      </c>
      <c r="G307" s="485">
        <v>0.50793545117978722</v>
      </c>
    </row>
    <row r="308" spans="1:7" x14ac:dyDescent="0.25">
      <c r="A308" s="1391" t="s">
        <v>2660</v>
      </c>
      <c r="B308" s="485">
        <v>0.57394396445644924</v>
      </c>
      <c r="C308" s="485">
        <v>0.56748085122287195</v>
      </c>
      <c r="D308" s="485">
        <v>0.56018680615986061</v>
      </c>
      <c r="E308" s="485">
        <v>0.55216548676807375</v>
      </c>
      <c r="F308" s="485">
        <v>0.54303670475298915</v>
      </c>
      <c r="G308" s="485">
        <v>0.53242157266178769</v>
      </c>
    </row>
    <row r="309" spans="1:7" x14ac:dyDescent="0.25">
      <c r="A309" s="1391" t="s">
        <v>2661</v>
      </c>
      <c r="B309" s="485">
        <v>0.60193895022651567</v>
      </c>
      <c r="C309" s="485">
        <v>0.59455162825593999</v>
      </c>
      <c r="D309" s="485">
        <v>0.58636548677288114</v>
      </c>
      <c r="E309" s="485">
        <v>0.57748299572057471</v>
      </c>
      <c r="F309" s="485">
        <v>0.56752282623498973</v>
      </c>
      <c r="G309" s="485">
        <v>0.55610499529872426</v>
      </c>
    </row>
    <row r="310" spans="1:7" x14ac:dyDescent="0.25">
      <c r="A310" s="1391" t="s">
        <v>2662</v>
      </c>
      <c r="B310" s="485">
        <v>0.62900972725958393</v>
      </c>
      <c r="C310" s="485">
        <v>0.62073030886896041</v>
      </c>
      <c r="D310" s="485">
        <v>0.61168299572538232</v>
      </c>
      <c r="E310" s="485">
        <v>0.60196911720257529</v>
      </c>
      <c r="F310" s="485">
        <v>0.59120624887192608</v>
      </c>
      <c r="G310" s="485">
        <v>0.57901335526176034</v>
      </c>
    </row>
    <row r="311" spans="1:7" x14ac:dyDescent="0.25">
      <c r="A311" s="1391" t="s">
        <v>2663</v>
      </c>
      <c r="B311" s="485">
        <v>6.8822921099723267E-2</v>
      </c>
      <c r="C311" s="485">
        <v>6.8564822100886644E-2</v>
      </c>
      <c r="D311" s="485">
        <v>6.8646290972392943E-2</v>
      </c>
      <c r="E311" s="485">
        <v>6.9547544540787459E-2</v>
      </c>
      <c r="F311" s="485">
        <v>7.001336023591484E-2</v>
      </c>
      <c r="G311" s="485">
        <v>7.0675199123869048E-2</v>
      </c>
    </row>
    <row r="312" spans="1:7" x14ac:dyDescent="0.25">
      <c r="A312" s="1391" t="s">
        <v>2664</v>
      </c>
      <c r="B312" s="485">
        <v>0.65518840787260424</v>
      </c>
      <c r="C312" s="485">
        <v>0.64604781782146148</v>
      </c>
      <c r="D312" s="485">
        <v>0.63616911720738256</v>
      </c>
      <c r="E312" s="485">
        <v>0.62565253983951186</v>
      </c>
      <c r="F312" s="485">
        <v>0.61411460883496216</v>
      </c>
      <c r="G312" s="485">
        <v>0.60117327756774575</v>
      </c>
    </row>
    <row r="313" spans="1:7" x14ac:dyDescent="0.25">
      <c r="A313" s="1391" t="s">
        <v>2665</v>
      </c>
      <c r="B313" s="485">
        <v>0.68050591682510531</v>
      </c>
      <c r="C313" s="485">
        <v>0.67053393930346195</v>
      </c>
      <c r="D313" s="485">
        <v>0.65985253984431924</v>
      </c>
      <c r="E313" s="485">
        <v>0.64856089980254772</v>
      </c>
      <c r="F313" s="485">
        <v>0.63627453114094767</v>
      </c>
      <c r="G313" s="485">
        <v>0.62208873042851542</v>
      </c>
    </row>
    <row r="314" spans="1:7" x14ac:dyDescent="0.25">
      <c r="A314" s="1391" t="s">
        <v>2666</v>
      </c>
      <c r="B314" s="485">
        <v>0.70499203830710588</v>
      </c>
      <c r="C314" s="485">
        <v>0.69421736194039818</v>
      </c>
      <c r="D314" s="485">
        <v>0.68276089980735521</v>
      </c>
      <c r="E314" s="485">
        <v>0.67072082210853323</v>
      </c>
      <c r="F314" s="485">
        <v>0.65718998400171724</v>
      </c>
      <c r="G314" s="485">
        <v>0.64182960146274826</v>
      </c>
    </row>
    <row r="315" spans="1:7" x14ac:dyDescent="0.25">
      <c r="A315" s="1391" t="s">
        <v>2667</v>
      </c>
      <c r="B315" s="485">
        <v>0.72867546094404223</v>
      </c>
      <c r="C315" s="485">
        <v>0.7171257219034346</v>
      </c>
      <c r="D315" s="485">
        <v>0.70492082211334051</v>
      </c>
      <c r="E315" s="485">
        <v>0.69163627496930291</v>
      </c>
      <c r="F315" s="485">
        <v>0.6769308550359503</v>
      </c>
      <c r="G315" s="485">
        <v>0.66046185350072162</v>
      </c>
    </row>
    <row r="316" spans="1:7" x14ac:dyDescent="0.25">
      <c r="A316" s="1391" t="s">
        <v>2668</v>
      </c>
      <c r="B316" s="485">
        <v>0.75158382090707831</v>
      </c>
      <c r="C316" s="485">
        <v>0.73928564420942</v>
      </c>
      <c r="D316" s="485">
        <v>0.72583627497411041</v>
      </c>
      <c r="E316" s="485">
        <v>0.71137714600353574</v>
      </c>
      <c r="F316" s="485">
        <v>0.69556310707392333</v>
      </c>
      <c r="G316" s="485">
        <v>0.67804774499479747</v>
      </c>
    </row>
    <row r="317" spans="1:7" x14ac:dyDescent="0.25">
      <c r="A317" s="1391" t="s">
        <v>2669</v>
      </c>
      <c r="B317" s="485">
        <v>0.77374374321306372</v>
      </c>
      <c r="C317" s="485">
        <v>0.76020109707018957</v>
      </c>
      <c r="D317" s="485">
        <v>0.74557714600834302</v>
      </c>
      <c r="E317" s="485">
        <v>0.73000939804150911</v>
      </c>
      <c r="F317" s="485">
        <v>0.71314899856799951</v>
      </c>
      <c r="G317" s="485">
        <v>0.69464603805197145</v>
      </c>
    </row>
    <row r="318" spans="1:7" x14ac:dyDescent="0.25">
      <c r="A318" s="1391" t="s">
        <v>2670</v>
      </c>
      <c r="B318" s="485">
        <v>0.10302292110453058</v>
      </c>
      <c r="C318" s="485">
        <v>0.10301111306847227</v>
      </c>
      <c r="D318" s="485">
        <v>0.1037475445455948</v>
      </c>
      <c r="E318" s="485">
        <v>0.10445965120350051</v>
      </c>
      <c r="F318" s="485">
        <v>0.10577645269707089</v>
      </c>
      <c r="G318" s="485">
        <v>0.1061472743827464</v>
      </c>
    </row>
    <row r="319" spans="1:7" x14ac:dyDescent="0.25">
      <c r="A319" s="1391" t="s">
        <v>2671</v>
      </c>
      <c r="B319" s="485">
        <v>0.13746921207211618</v>
      </c>
      <c r="C319" s="485">
        <v>0.13811236664167414</v>
      </c>
      <c r="D319" s="485">
        <v>0.13865965120830778</v>
      </c>
      <c r="E319" s="485">
        <v>0.14022274366465656</v>
      </c>
      <c r="F319" s="485">
        <v>0.14124852795594828</v>
      </c>
      <c r="G319" s="485">
        <v>0.14127216555901961</v>
      </c>
    </row>
    <row r="320" spans="1:7" x14ac:dyDescent="0.25">
      <c r="A320" s="1391" t="s">
        <v>2672</v>
      </c>
      <c r="B320" s="485">
        <v>0.17257046564531808</v>
      </c>
      <c r="C320" s="485">
        <v>0.17302447330438708</v>
      </c>
      <c r="D320" s="485">
        <v>0.17442274366946389</v>
      </c>
      <c r="E320" s="485">
        <v>0.17569481892353386</v>
      </c>
      <c r="F320" s="485">
        <v>0.17637341913222152</v>
      </c>
      <c r="G320" s="485">
        <v>0.17605965054380748</v>
      </c>
    </row>
    <row r="321" spans="1:7" x14ac:dyDescent="0.25">
      <c r="A321" s="1391" t="s">
        <v>2673</v>
      </c>
      <c r="B321" s="485">
        <v>0.2074825723080311</v>
      </c>
      <c r="C321" s="485">
        <v>0.20878756576554319</v>
      </c>
      <c r="D321" s="485">
        <v>0.20989481892834119</v>
      </c>
      <c r="E321" s="485">
        <v>0.2108197100998071</v>
      </c>
      <c r="F321" s="485">
        <v>0.21116090411700933</v>
      </c>
      <c r="G321" s="485">
        <v>0.2103117094406145</v>
      </c>
    </row>
    <row r="322" spans="1:7" x14ac:dyDescent="0.25">
      <c r="A322" s="1391" t="s">
        <v>2674</v>
      </c>
      <c r="B322" s="485">
        <v>0.2432456647691871</v>
      </c>
      <c r="C322" s="485">
        <v>0.24425964102442063</v>
      </c>
      <c r="D322" s="485">
        <v>0.2450197101046144</v>
      </c>
      <c r="E322" s="485">
        <v>0.24560719508459494</v>
      </c>
      <c r="F322" s="485">
        <v>0.24541296301381629</v>
      </c>
      <c r="G322" s="485">
        <v>0.24431727017834717</v>
      </c>
    </row>
    <row r="323" spans="1:7" x14ac:dyDescent="0.25">
      <c r="A323" s="1391" t="s">
        <v>2675</v>
      </c>
      <c r="B323" s="485">
        <v>0.27871774002806443</v>
      </c>
      <c r="C323" s="485">
        <v>0.2793845322006937</v>
      </c>
      <c r="D323" s="485">
        <v>0.27980719508940227</v>
      </c>
      <c r="E323" s="485">
        <v>0.2798592539814021</v>
      </c>
      <c r="F323" s="485">
        <v>0.27941852375154902</v>
      </c>
      <c r="G323" s="485">
        <v>0.2784540344393176</v>
      </c>
    </row>
    <row r="324" spans="1:7" x14ac:dyDescent="0.25">
      <c r="A324" s="1391" t="s">
        <v>2676</v>
      </c>
      <c r="B324" s="485">
        <v>0.31384263120433775</v>
      </c>
      <c r="C324" s="485">
        <v>0.3141720171854816</v>
      </c>
      <c r="D324" s="485">
        <v>0.31405925398620937</v>
      </c>
      <c r="E324" s="485">
        <v>0.31386481471913469</v>
      </c>
      <c r="F324" s="485">
        <v>0.31355528801251942</v>
      </c>
      <c r="G324" s="485">
        <v>0.3110880499103631</v>
      </c>
    </row>
    <row r="325" spans="1:7" x14ac:dyDescent="0.25">
      <c r="A325" s="1391" t="s">
        <v>2677</v>
      </c>
      <c r="B325" s="485">
        <v>2.4213665561361217E-2</v>
      </c>
      <c r="C325" s="485">
        <v>2.3862537816079953E-2</v>
      </c>
      <c r="D325" s="485">
        <v>2.3473735878724866E-2</v>
      </c>
      <c r="E325" s="485">
        <v>2.3064347665253428E-2</v>
      </c>
      <c r="F325" s="485">
        <v>2.3061114129068354E-2</v>
      </c>
      <c r="G325" s="485">
        <v>2.2512588281626368E-2</v>
      </c>
    </row>
    <row r="326" spans="1:7" x14ac:dyDescent="0.25">
      <c r="A326" s="1391" t="s">
        <v>2678</v>
      </c>
      <c r="B326" s="485">
        <v>0.22973335540982898</v>
      </c>
      <c r="C326" s="485">
        <v>0.22714738236709153</v>
      </c>
      <c r="D326" s="485">
        <v>0.22490935615039021</v>
      </c>
      <c r="E326" s="485">
        <v>0.22340349858875491</v>
      </c>
      <c r="F326" s="485">
        <v>0.22135744490103995</v>
      </c>
      <c r="G326" s="485">
        <v>0.21838004233566516</v>
      </c>
    </row>
    <row r="327" spans="1:7" x14ac:dyDescent="0.25">
      <c r="A327" s="1391" t="s">
        <v>2679</v>
      </c>
      <c r="B327" s="485">
        <v>0.25136104792845276</v>
      </c>
      <c r="C327" s="485">
        <v>0.24877189396647018</v>
      </c>
      <c r="D327" s="485">
        <v>0.24687723446747981</v>
      </c>
      <c r="E327" s="485">
        <v>0.24442179256629337</v>
      </c>
      <c r="F327" s="485">
        <v>0.24144115646473349</v>
      </c>
      <c r="G327" s="485">
        <v>0.23787055226309756</v>
      </c>
    </row>
    <row r="328" spans="1:7" x14ac:dyDescent="0.25">
      <c r="A328" s="1391" t="s">
        <v>2680</v>
      </c>
      <c r="B328" s="485">
        <v>0.27298555952783149</v>
      </c>
      <c r="C328" s="485">
        <v>0.27073977228355989</v>
      </c>
      <c r="D328" s="485">
        <v>0.26789552844501835</v>
      </c>
      <c r="E328" s="485">
        <v>0.26450550412998686</v>
      </c>
      <c r="F328" s="485">
        <v>0.26093166639216581</v>
      </c>
      <c r="G328" s="485">
        <v>0.25678282164775501</v>
      </c>
    </row>
    <row r="329" spans="1:7" x14ac:dyDescent="0.25">
      <c r="A329" s="1391" t="s">
        <v>2681</v>
      </c>
      <c r="B329" s="485">
        <v>0.29495343784492112</v>
      </c>
      <c r="C329" s="485">
        <v>0.29175806626109818</v>
      </c>
      <c r="D329" s="485">
        <v>0.28797924000871183</v>
      </c>
      <c r="E329" s="485">
        <v>0.28399601405741925</v>
      </c>
      <c r="F329" s="485">
        <v>0.27984393577682332</v>
      </c>
      <c r="G329" s="485">
        <v>0.27506209121365105</v>
      </c>
    </row>
    <row r="330" spans="1:7" x14ac:dyDescent="0.25">
      <c r="A330" s="1391" t="s">
        <v>2682</v>
      </c>
      <c r="B330" s="485">
        <v>0.31597173182245941</v>
      </c>
      <c r="C330" s="485">
        <v>0.31184177782479172</v>
      </c>
      <c r="D330" s="485">
        <v>0.30746974993614429</v>
      </c>
      <c r="E330" s="485">
        <v>0.30290828344207676</v>
      </c>
      <c r="F330" s="485">
        <v>0.29812320534271936</v>
      </c>
      <c r="G330" s="485">
        <v>0.29279987509564936</v>
      </c>
    </row>
    <row r="331" spans="1:7" x14ac:dyDescent="0.25">
      <c r="A331" s="1391" t="s">
        <v>2683</v>
      </c>
      <c r="B331" s="485">
        <v>0.33605544338615312</v>
      </c>
      <c r="C331" s="485">
        <v>0.33133228775222429</v>
      </c>
      <c r="D331" s="485">
        <v>0.32638201932080174</v>
      </c>
      <c r="E331" s="485">
        <v>0.3211875530079728</v>
      </c>
      <c r="F331" s="485">
        <v>0.31586098922471778</v>
      </c>
      <c r="G331" s="485">
        <v>0.31001226510234819</v>
      </c>
    </row>
    <row r="332" spans="1:7" x14ac:dyDescent="0.25">
      <c r="A332" s="1391" t="s">
        <v>2684</v>
      </c>
      <c r="B332" s="485">
        <v>0.35554595331358563</v>
      </c>
      <c r="C332" s="485">
        <v>0.3502445571368818</v>
      </c>
      <c r="D332" s="485">
        <v>0.34466128888669778</v>
      </c>
      <c r="E332" s="485">
        <v>0.33892533688997123</v>
      </c>
      <c r="F332" s="485">
        <v>0.33307337923141639</v>
      </c>
      <c r="G332" s="485">
        <v>0.32671487227221091</v>
      </c>
    </row>
    <row r="333" spans="1:7" x14ac:dyDescent="0.25">
      <c r="A333" s="1391" t="s">
        <v>2685</v>
      </c>
      <c r="B333" s="485">
        <v>0.37445822269824308</v>
      </c>
      <c r="C333" s="485">
        <v>0.36852382670277778</v>
      </c>
      <c r="D333" s="485">
        <v>0.3623990727686961</v>
      </c>
      <c r="E333" s="485">
        <v>0.35613772689666995</v>
      </c>
      <c r="F333" s="485">
        <v>0.34977598640127916</v>
      </c>
      <c r="G333" s="485">
        <v>0.34292284136434625</v>
      </c>
    </row>
    <row r="334" spans="1:7" x14ac:dyDescent="0.25">
      <c r="A334" s="1391" t="s">
        <v>2686</v>
      </c>
      <c r="B334" s="485">
        <v>0.39273749226413884</v>
      </c>
      <c r="C334" s="485">
        <v>0.38626161058477615</v>
      </c>
      <c r="D334" s="485">
        <v>0.37961146277539481</v>
      </c>
      <c r="E334" s="485">
        <v>0.37284033406653266</v>
      </c>
      <c r="F334" s="485">
        <v>0.36598395549341456</v>
      </c>
      <c r="G334" s="485">
        <v>0.35865086490623926</v>
      </c>
    </row>
    <row r="335" spans="1:7" x14ac:dyDescent="0.25">
      <c r="A335" s="1391" t="s">
        <v>2687</v>
      </c>
      <c r="B335" s="485">
        <v>0.41047527614613755</v>
      </c>
      <c r="C335" s="485">
        <v>0.40347400059147465</v>
      </c>
      <c r="D335" s="485">
        <v>0.39631406994525747</v>
      </c>
      <c r="E335" s="485">
        <v>0.38904830315866806</v>
      </c>
      <c r="F335" s="485">
        <v>0.38171197903530768</v>
      </c>
      <c r="G335" s="485">
        <v>0.37391319681228774</v>
      </c>
    </row>
    <row r="336" spans="1:7" x14ac:dyDescent="0.25">
      <c r="A336" s="1391" t="s">
        <v>2688</v>
      </c>
      <c r="B336" s="485">
        <v>4.8076203377441173E-2</v>
      </c>
      <c r="C336" s="485">
        <v>4.7336273694804809E-2</v>
      </c>
      <c r="D336" s="485">
        <v>4.6538083543978287E-2</v>
      </c>
      <c r="E336" s="485">
        <v>4.6125461794321788E-2</v>
      </c>
      <c r="F336" s="485">
        <v>4.5573702410694736E-2</v>
      </c>
      <c r="G336" s="485">
        <v>4.5459218286158967E-2</v>
      </c>
    </row>
    <row r="337" spans="1:7" x14ac:dyDescent="0.25">
      <c r="A337" s="1391" t="s">
        <v>2689</v>
      </c>
      <c r="B337" s="485">
        <v>0.4276876661528361</v>
      </c>
      <c r="C337" s="485">
        <v>0.42017660776133764</v>
      </c>
      <c r="D337" s="485">
        <v>0.41252203903739282</v>
      </c>
      <c r="E337" s="485">
        <v>0.40477632670056096</v>
      </c>
      <c r="F337" s="485">
        <v>0.39697431094135621</v>
      </c>
      <c r="G337" s="485">
        <v>0.38872366558655463</v>
      </c>
    </row>
    <row r="338" spans="1:7" x14ac:dyDescent="0.25">
      <c r="A338" s="1391" t="s">
        <v>2690</v>
      </c>
      <c r="B338" s="485">
        <v>0.4443902733226987</v>
      </c>
      <c r="C338" s="485">
        <v>0.43638457685347321</v>
      </c>
      <c r="D338" s="485">
        <v>0.42825006257928594</v>
      </c>
      <c r="E338" s="485">
        <v>0.42003865860660949</v>
      </c>
      <c r="F338" s="485">
        <v>0.41178477971562299</v>
      </c>
      <c r="G338" s="485">
        <v>0.40270239968213462</v>
      </c>
    </row>
    <row r="339" spans="1:7" x14ac:dyDescent="0.25">
      <c r="A339" s="1391" t="s">
        <v>2691</v>
      </c>
      <c r="B339" s="485">
        <v>0.46059824241483427</v>
      </c>
      <c r="C339" s="485">
        <v>0.45211260039536594</v>
      </c>
      <c r="D339" s="485">
        <v>0.44351239448533442</v>
      </c>
      <c r="E339" s="485">
        <v>0.4348491273808765</v>
      </c>
      <c r="F339" s="485">
        <v>0.42576351381120303</v>
      </c>
      <c r="G339" s="485">
        <v>0.41589610812534356</v>
      </c>
    </row>
    <row r="340" spans="1:7" x14ac:dyDescent="0.25">
      <c r="A340" s="1391" t="s">
        <v>2692</v>
      </c>
      <c r="B340" s="485">
        <v>0.47632626595672722</v>
      </c>
      <c r="C340" s="485">
        <v>0.46737493230141458</v>
      </c>
      <c r="D340" s="485">
        <v>0.45832286325960131</v>
      </c>
      <c r="E340" s="485">
        <v>0.44882786147645637</v>
      </c>
      <c r="F340" s="485">
        <v>0.43895722225441203</v>
      </c>
      <c r="G340" s="485">
        <v>0.42834887683059031</v>
      </c>
    </row>
    <row r="341" spans="1:7" x14ac:dyDescent="0.25">
      <c r="A341" s="1391" t="s">
        <v>2693</v>
      </c>
      <c r="B341" s="485">
        <v>0.4915885978627757</v>
      </c>
      <c r="C341" s="485">
        <v>0.48218540107568147</v>
      </c>
      <c r="D341" s="485">
        <v>0.47230159735518118</v>
      </c>
      <c r="E341" s="485">
        <v>0.46202156991966536</v>
      </c>
      <c r="F341" s="485">
        <v>0.45140999095965856</v>
      </c>
      <c r="G341" s="485">
        <v>0.44010231591057786</v>
      </c>
    </row>
    <row r="342" spans="1:7" x14ac:dyDescent="0.25">
      <c r="A342" s="1391" t="s">
        <v>2694</v>
      </c>
      <c r="B342" s="485">
        <v>0.50639906663704248</v>
      </c>
      <c r="C342" s="485">
        <v>0.4961641351712614</v>
      </c>
      <c r="D342" s="485">
        <v>0.48549530579839018</v>
      </c>
      <c r="E342" s="485">
        <v>0.47447433862491212</v>
      </c>
      <c r="F342" s="485">
        <v>0.46316343003964611</v>
      </c>
      <c r="G342" s="485">
        <v>0.45119569871377502</v>
      </c>
    </row>
    <row r="343" spans="1:7" x14ac:dyDescent="0.25">
      <c r="A343" s="1391" t="s">
        <v>2695</v>
      </c>
      <c r="B343" s="485">
        <v>0.52037780073262263</v>
      </c>
      <c r="C343" s="485">
        <v>0.50935784361447012</v>
      </c>
      <c r="D343" s="485">
        <v>0.49794807450363693</v>
      </c>
      <c r="E343" s="485">
        <v>0.48622777770489967</v>
      </c>
      <c r="F343" s="485">
        <v>0.47425681284284354</v>
      </c>
      <c r="G343" s="485">
        <v>0.46166609305374423</v>
      </c>
    </row>
    <row r="344" spans="1:7" x14ac:dyDescent="0.25">
      <c r="A344" s="1391" t="s">
        <v>2696</v>
      </c>
      <c r="B344" s="485">
        <v>0.53357150917583163</v>
      </c>
      <c r="C344" s="485">
        <v>0.52181061231971715</v>
      </c>
      <c r="D344" s="485">
        <v>0.50970151358362437</v>
      </c>
      <c r="E344" s="485">
        <v>0.49732116050809699</v>
      </c>
      <c r="F344" s="485">
        <v>0.48472720718281281</v>
      </c>
      <c r="G344" s="485">
        <v>0.47154848506881664</v>
      </c>
    </row>
    <row r="345" spans="1:7" x14ac:dyDescent="0.25">
      <c r="A345" s="1391" t="s">
        <v>2697</v>
      </c>
      <c r="B345" s="485">
        <v>0.54602427788107832</v>
      </c>
      <c r="C345" s="485">
        <v>0.53356405139970464</v>
      </c>
      <c r="D345" s="485">
        <v>0.52079489638682186</v>
      </c>
      <c r="E345" s="485">
        <v>0.50779155484806615</v>
      </c>
      <c r="F345" s="485">
        <v>0.49460959919788494</v>
      </c>
      <c r="G345" s="485">
        <v>0.48087589612598725</v>
      </c>
    </row>
    <row r="346" spans="1:7" x14ac:dyDescent="0.25">
      <c r="A346" s="1391" t="s">
        <v>2698</v>
      </c>
      <c r="B346" s="485">
        <v>0.55777771696106582</v>
      </c>
      <c r="C346" s="485">
        <v>0.54465743420290191</v>
      </c>
      <c r="D346" s="485">
        <v>0.53126529072679085</v>
      </c>
      <c r="E346" s="485">
        <v>0.51767394686313828</v>
      </c>
      <c r="F346" s="485">
        <v>0.50393701025505555</v>
      </c>
      <c r="G346" s="485">
        <v>0.48967949315965464</v>
      </c>
    </row>
    <row r="347" spans="1:7" x14ac:dyDescent="0.25">
      <c r="A347" s="1391" t="s">
        <v>2699</v>
      </c>
      <c r="B347" s="485">
        <v>7.1549939256166026E-2</v>
      </c>
      <c r="C347" s="485">
        <v>7.0400621360058174E-2</v>
      </c>
      <c r="D347" s="485">
        <v>6.9599197673046648E-2</v>
      </c>
      <c r="E347" s="485">
        <v>6.8638050075948157E-2</v>
      </c>
      <c r="F347" s="485">
        <v>6.85203324152273E-2</v>
      </c>
      <c r="G347" s="485">
        <v>6.7969676838309095E-2</v>
      </c>
    </row>
    <row r="348" spans="1:7" x14ac:dyDescent="0.25">
      <c r="A348" s="1391" t="s">
        <v>2700</v>
      </c>
      <c r="B348" s="485">
        <v>0.56887109976426309</v>
      </c>
      <c r="C348" s="485">
        <v>0.55512782854287079</v>
      </c>
      <c r="D348" s="485">
        <v>0.5411476827418632</v>
      </c>
      <c r="E348" s="485">
        <v>0.527001357920309</v>
      </c>
      <c r="F348" s="485">
        <v>0.51274060728872306</v>
      </c>
      <c r="G348" s="485">
        <v>0.49798869281389502</v>
      </c>
    </row>
    <row r="349" spans="1:7" x14ac:dyDescent="0.25">
      <c r="A349" s="1391" t="s">
        <v>2701</v>
      </c>
      <c r="B349" s="485">
        <v>9.4614286921419377E-2</v>
      </c>
      <c r="C349" s="485">
        <v>9.346173548912648E-2</v>
      </c>
      <c r="D349" s="485">
        <v>9.2111785954672981E-2</v>
      </c>
      <c r="E349" s="485">
        <v>9.1584680080480749E-2</v>
      </c>
      <c r="F349" s="485">
        <v>9.1030790967377442E-2</v>
      </c>
      <c r="G349" s="485">
        <v>9.0129242912776131E-2</v>
      </c>
    </row>
    <row r="350" spans="1:7" x14ac:dyDescent="0.25">
      <c r="A350" s="1391" t="s">
        <v>2702</v>
      </c>
      <c r="B350" s="485">
        <v>0.1176754010504877</v>
      </c>
      <c r="C350" s="485">
        <v>0.11597432377075274</v>
      </c>
      <c r="D350" s="485">
        <v>0.1150584159592056</v>
      </c>
      <c r="E350" s="485">
        <v>0.11409513863263079</v>
      </c>
      <c r="F350" s="485">
        <v>0.11319035704184451</v>
      </c>
      <c r="G350" s="485">
        <v>0.1120579543593411</v>
      </c>
    </row>
    <row r="351" spans="1:7" x14ac:dyDescent="0.25">
      <c r="A351" s="1391" t="s">
        <v>2703</v>
      </c>
      <c r="B351" s="485">
        <v>0.14018798933211396</v>
      </c>
      <c r="C351" s="485">
        <v>0.13892095377528541</v>
      </c>
      <c r="D351" s="485">
        <v>0.13756887451135569</v>
      </c>
      <c r="E351" s="485">
        <v>0.13625470470709797</v>
      </c>
      <c r="F351" s="485">
        <v>0.13511906848840938</v>
      </c>
      <c r="G351" s="485">
        <v>0.13368564687796483</v>
      </c>
    </row>
    <row r="352" spans="1:7" x14ac:dyDescent="0.25">
      <c r="A352" s="1391" t="s">
        <v>2704</v>
      </c>
      <c r="B352" s="485">
        <v>0.16313461933664658</v>
      </c>
      <c r="C352" s="485">
        <v>0.16143141232743555</v>
      </c>
      <c r="D352" s="485">
        <v>0.15972844058582283</v>
      </c>
      <c r="E352" s="485">
        <v>0.15818341615366283</v>
      </c>
      <c r="F352" s="485">
        <v>0.15674676100703316</v>
      </c>
      <c r="G352" s="485">
        <v>0.15531015847734356</v>
      </c>
    </row>
    <row r="353" spans="1:7" x14ac:dyDescent="0.25">
      <c r="A353" s="1391" t="s">
        <v>2705</v>
      </c>
      <c r="B353" s="485">
        <v>0.18564507788879681</v>
      </c>
      <c r="C353" s="485">
        <v>0.18359097840190275</v>
      </c>
      <c r="D353" s="485">
        <v>0.18165715203238769</v>
      </c>
      <c r="E353" s="485">
        <v>0.17981110867228667</v>
      </c>
      <c r="F353" s="485">
        <v>0.17837127260641186</v>
      </c>
      <c r="G353" s="485">
        <v>0.17727803679443313</v>
      </c>
    </row>
    <row r="354" spans="1:7" x14ac:dyDescent="0.25">
      <c r="A354" s="1391" t="s">
        <v>2706</v>
      </c>
      <c r="B354" s="485">
        <v>0.20780464396326398</v>
      </c>
      <c r="C354" s="485">
        <v>0.20551968984846772</v>
      </c>
      <c r="D354" s="485">
        <v>0.20328484455101151</v>
      </c>
      <c r="E354" s="485">
        <v>0.20143562027166542</v>
      </c>
      <c r="F354" s="485">
        <v>0.20033915092350146</v>
      </c>
      <c r="G354" s="485">
        <v>0.19829633077197154</v>
      </c>
    </row>
    <row r="355" spans="1:7" x14ac:dyDescent="0.25">
      <c r="A355" s="1391" t="s">
        <v>2707</v>
      </c>
      <c r="B355" s="485">
        <v>3.6122076649032366E-2</v>
      </c>
      <c r="C355" s="485">
        <v>3.626085779504358E-2</v>
      </c>
      <c r="D355" s="485">
        <v>3.6314201187105023E-2</v>
      </c>
      <c r="E355" s="485">
        <v>3.7054864222734227E-2</v>
      </c>
      <c r="F355" s="485">
        <v>3.8125375039845942E-2</v>
      </c>
      <c r="G355" s="485">
        <v>3.8271367462228589E-2</v>
      </c>
    </row>
    <row r="356" spans="1:7" x14ac:dyDescent="0.25">
      <c r="A356" s="1391" t="s">
        <v>2708</v>
      </c>
      <c r="B356" s="485">
        <v>0.37809663680705019</v>
      </c>
      <c r="C356" s="485">
        <v>0.37990280922825781</v>
      </c>
      <c r="D356" s="485">
        <v>0.38117095186879191</v>
      </c>
      <c r="E356" s="485">
        <v>0.3823152332993317</v>
      </c>
      <c r="F356" s="485">
        <v>0.38105540250885189</v>
      </c>
      <c r="G356" s="485">
        <v>0.3770672705400111</v>
      </c>
    </row>
    <row r="357" spans="1:7" x14ac:dyDescent="0.25">
      <c r="A357" s="1391" t="s">
        <v>2709</v>
      </c>
      <c r="B357" s="485">
        <v>0.4160248858772902</v>
      </c>
      <c r="C357" s="485">
        <v>0.41743180966383553</v>
      </c>
      <c r="D357" s="485">
        <v>0.41862943448643675</v>
      </c>
      <c r="E357" s="485">
        <v>0.41811026673158613</v>
      </c>
      <c r="F357" s="485">
        <v>0.41519264557985691</v>
      </c>
      <c r="G357" s="485">
        <v>0.40996829324908513</v>
      </c>
    </row>
    <row r="358" spans="1:7" x14ac:dyDescent="0.25">
      <c r="A358" s="1391" t="s">
        <v>2710</v>
      </c>
      <c r="B358" s="485">
        <v>0.45355388631286792</v>
      </c>
      <c r="C358" s="485">
        <v>0.45489029228148031</v>
      </c>
      <c r="D358" s="485">
        <v>0.45442446791869112</v>
      </c>
      <c r="E358" s="485">
        <v>0.4522475098025911</v>
      </c>
      <c r="F358" s="485">
        <v>0.44809366828893121</v>
      </c>
      <c r="G358" s="485">
        <v>0.44168147787668149</v>
      </c>
    </row>
    <row r="359" spans="1:7" x14ac:dyDescent="0.25">
      <c r="A359" s="1391" t="s">
        <v>2711</v>
      </c>
      <c r="B359" s="485">
        <v>0.4910123689305127</v>
      </c>
      <c r="C359" s="485">
        <v>0.49068532571373458</v>
      </c>
      <c r="D359" s="485">
        <v>0.48856171098969609</v>
      </c>
      <c r="E359" s="485">
        <v>0.48514853251166534</v>
      </c>
      <c r="F359" s="485">
        <v>0.47980685291652736</v>
      </c>
      <c r="G359" s="485">
        <v>0.47218204450506895</v>
      </c>
    </row>
    <row r="360" spans="1:7" x14ac:dyDescent="0.25">
      <c r="A360" s="1391" t="s">
        <v>2712</v>
      </c>
      <c r="B360" s="485">
        <v>0.52680740236276702</v>
      </c>
      <c r="C360" s="485">
        <v>0.52482256878473954</v>
      </c>
      <c r="D360" s="485">
        <v>0.52146273369877028</v>
      </c>
      <c r="E360" s="485">
        <v>0.51686171713926177</v>
      </c>
      <c r="F360" s="485">
        <v>0.51030741954491499</v>
      </c>
      <c r="G360" s="485">
        <v>0.5016243480332645</v>
      </c>
    </row>
    <row r="361" spans="1:7" x14ac:dyDescent="0.25">
      <c r="A361" s="1391" t="s">
        <v>2713</v>
      </c>
      <c r="B361" s="485">
        <v>0.56094464543377209</v>
      </c>
      <c r="C361" s="485">
        <v>0.5577235914938139</v>
      </c>
      <c r="D361" s="485">
        <v>0.5531759183263667</v>
      </c>
      <c r="E361" s="485">
        <v>0.54736228376764906</v>
      </c>
      <c r="F361" s="485">
        <v>0.53974972307311053</v>
      </c>
      <c r="G361" s="485">
        <v>0.53004741379327502</v>
      </c>
    </row>
    <row r="362" spans="1:7" x14ac:dyDescent="0.25">
      <c r="A362" s="1391" t="s">
        <v>2714</v>
      </c>
      <c r="B362" s="485">
        <v>0.59384566814284634</v>
      </c>
      <c r="C362" s="485">
        <v>0.58943677612141032</v>
      </c>
      <c r="D362" s="485">
        <v>0.58367648495475422</v>
      </c>
      <c r="E362" s="485">
        <v>0.57680458729584472</v>
      </c>
      <c r="F362" s="485">
        <v>0.56817278883312117</v>
      </c>
      <c r="G362" s="485">
        <v>0.55748872920402937</v>
      </c>
    </row>
    <row r="363" spans="1:7" x14ac:dyDescent="0.25">
      <c r="A363" s="1391" t="s">
        <v>2715</v>
      </c>
      <c r="B363" s="485">
        <v>0.62555885277044265</v>
      </c>
      <c r="C363" s="485">
        <v>0.61993734274979784</v>
      </c>
      <c r="D363" s="485">
        <v>0.61311878848294965</v>
      </c>
      <c r="E363" s="485">
        <v>0.60522765305585535</v>
      </c>
      <c r="F363" s="485">
        <v>0.5956141042438754</v>
      </c>
      <c r="G363" s="485">
        <v>0.58398430837566984</v>
      </c>
    </row>
    <row r="364" spans="1:7" x14ac:dyDescent="0.25">
      <c r="A364" s="1391" t="s">
        <v>2716</v>
      </c>
      <c r="B364" s="485">
        <v>0.65605941939883017</v>
      </c>
      <c r="C364" s="485">
        <v>0.64937964627799316</v>
      </c>
      <c r="D364" s="485">
        <v>0.64154185424296029</v>
      </c>
      <c r="E364" s="485">
        <v>0.63266896846660947</v>
      </c>
      <c r="F364" s="485">
        <v>0.62210968341551576</v>
      </c>
      <c r="G364" s="485">
        <v>0.60956875384784248</v>
      </c>
    </row>
    <row r="365" spans="1:7" x14ac:dyDescent="0.25">
      <c r="A365" s="1391" t="s">
        <v>2717</v>
      </c>
      <c r="B365" s="485">
        <v>0.68550172292702571</v>
      </c>
      <c r="C365" s="485">
        <v>0.6778027120380038</v>
      </c>
      <c r="D365" s="485">
        <v>0.6689831696537144</v>
      </c>
      <c r="E365" s="485">
        <v>0.65916454763824994</v>
      </c>
      <c r="F365" s="485">
        <v>0.64769412888768862</v>
      </c>
      <c r="G365" s="485">
        <v>0.6342753155945805</v>
      </c>
    </row>
    <row r="366" spans="1:7" x14ac:dyDescent="0.25">
      <c r="A366" s="1391" t="s">
        <v>2718</v>
      </c>
      <c r="B366" s="485">
        <v>7.2382934444075953E-2</v>
      </c>
      <c r="C366" s="485">
        <v>7.2575058982148583E-2</v>
      </c>
      <c r="D366" s="485">
        <v>7.3369065409839257E-2</v>
      </c>
      <c r="E366" s="485">
        <v>7.5180239262580176E-2</v>
      </c>
      <c r="F366" s="485">
        <v>7.6396742502074538E-2</v>
      </c>
      <c r="G366" s="485">
        <v>7.7570618791081722E-2</v>
      </c>
    </row>
    <row r="367" spans="1:7" x14ac:dyDescent="0.25">
      <c r="A367" s="1391" t="s">
        <v>2719</v>
      </c>
      <c r="B367" s="485">
        <v>0.71392478868703624</v>
      </c>
      <c r="C367" s="485">
        <v>0.70524402744875803</v>
      </c>
      <c r="D367" s="485">
        <v>0.69547874882535488</v>
      </c>
      <c r="E367" s="485">
        <v>0.68474899311042281</v>
      </c>
      <c r="F367" s="485">
        <v>0.67240069063442631</v>
      </c>
      <c r="G367" s="485">
        <v>0.65813594742205828</v>
      </c>
    </row>
    <row r="368" spans="1:7" x14ac:dyDescent="0.25">
      <c r="A368" s="1391" t="s">
        <v>2720</v>
      </c>
      <c r="B368" s="485">
        <v>0.74136610409779047</v>
      </c>
      <c r="C368" s="485">
        <v>0.73173960662039839</v>
      </c>
      <c r="D368" s="485">
        <v>0.72106319429752774</v>
      </c>
      <c r="E368" s="485">
        <v>0.70945555485716061</v>
      </c>
      <c r="F368" s="485">
        <v>0.69626132246190409</v>
      </c>
      <c r="G368" s="485">
        <v>0.6806566003974972</v>
      </c>
    </row>
    <row r="369" spans="1:7" x14ac:dyDescent="0.25">
      <c r="A369" s="1391" t="s">
        <v>2721</v>
      </c>
      <c r="B369" s="485">
        <v>0.76786168326943083</v>
      </c>
      <c r="C369" s="485">
        <v>0.75732405209257114</v>
      </c>
      <c r="D369" s="485">
        <v>0.74576975604426576</v>
      </c>
      <c r="E369" s="485">
        <v>0.73331618668463827</v>
      </c>
      <c r="F369" s="485">
        <v>0.71878197543734301</v>
      </c>
      <c r="G369" s="485">
        <v>0.70191252581084207</v>
      </c>
    </row>
    <row r="370" spans="1:7" x14ac:dyDescent="0.25">
      <c r="A370" s="1391" t="s">
        <v>2722</v>
      </c>
      <c r="B370" s="485">
        <v>0.7934461287416037</v>
      </c>
      <c r="C370" s="485">
        <v>0.78203061383930916</v>
      </c>
      <c r="D370" s="485">
        <v>0.76963038787174332</v>
      </c>
      <c r="E370" s="485">
        <v>0.75583683966007731</v>
      </c>
      <c r="F370" s="485">
        <v>0.7400379008506881</v>
      </c>
      <c r="G370" s="485">
        <v>0.72197474894755254</v>
      </c>
    </row>
    <row r="371" spans="1:7" x14ac:dyDescent="0.25">
      <c r="A371" s="1391" t="s">
        <v>2723</v>
      </c>
      <c r="B371" s="485">
        <v>0.81815269048834172</v>
      </c>
      <c r="C371" s="485">
        <v>0.80589124566678694</v>
      </c>
      <c r="D371" s="485">
        <v>0.79215104084718213</v>
      </c>
      <c r="E371" s="485">
        <v>0.77709276507342218</v>
      </c>
      <c r="F371" s="485">
        <v>0.76010012398739857</v>
      </c>
      <c r="G371" s="485">
        <v>0.7409103064149527</v>
      </c>
    </row>
    <row r="372" spans="1:7" x14ac:dyDescent="0.25">
      <c r="A372" s="1391" t="s">
        <v>2724</v>
      </c>
      <c r="B372" s="485">
        <v>0.84201332231581927</v>
      </c>
      <c r="C372" s="485">
        <v>0.82841189864222564</v>
      </c>
      <c r="D372" s="485">
        <v>0.81340696626052711</v>
      </c>
      <c r="E372" s="485">
        <v>0.79715498821013298</v>
      </c>
      <c r="F372" s="485">
        <v>0.77903568145479873</v>
      </c>
      <c r="G372" s="485">
        <v>0.7587824701406729</v>
      </c>
    </row>
    <row r="373" spans="1:7" x14ac:dyDescent="0.25">
      <c r="A373" s="1391" t="s">
        <v>2725</v>
      </c>
      <c r="B373" s="485">
        <v>0.10869713563118096</v>
      </c>
      <c r="C373" s="485">
        <v>0.10962992320488282</v>
      </c>
      <c r="D373" s="485">
        <v>0.11149444044968521</v>
      </c>
      <c r="E373" s="485">
        <v>0.11345160672480875</v>
      </c>
      <c r="F373" s="485">
        <v>0.11569599383092767</v>
      </c>
      <c r="G373" s="485">
        <v>0.11675670721259412</v>
      </c>
    </row>
    <row r="374" spans="1:7" x14ac:dyDescent="0.25">
      <c r="A374" s="1391" t="s">
        <v>2726</v>
      </c>
      <c r="B374" s="485">
        <v>0.14575199985391521</v>
      </c>
      <c r="C374" s="485">
        <v>0.1477552982447288</v>
      </c>
      <c r="D374" s="485">
        <v>0.14976580791191382</v>
      </c>
      <c r="E374" s="485">
        <v>0.15275085805366193</v>
      </c>
      <c r="F374" s="485">
        <v>0.15488208225244007</v>
      </c>
      <c r="G374" s="485">
        <v>0.15566741889451516</v>
      </c>
    </row>
    <row r="375" spans="1:7" x14ac:dyDescent="0.25">
      <c r="A375" s="1391" t="s">
        <v>2727</v>
      </c>
      <c r="B375" s="485">
        <v>0.18387737489376116</v>
      </c>
      <c r="C375" s="485">
        <v>0.18602666570695736</v>
      </c>
      <c r="D375" s="485">
        <v>0.18906505924076694</v>
      </c>
      <c r="E375" s="485">
        <v>0.19193694647517426</v>
      </c>
      <c r="F375" s="485">
        <v>0.19379279393436108</v>
      </c>
      <c r="G375" s="485">
        <v>0.19421926191328903</v>
      </c>
    </row>
    <row r="376" spans="1:7" x14ac:dyDescent="0.25">
      <c r="A376" s="1391" t="s">
        <v>2728</v>
      </c>
      <c r="B376" s="485">
        <v>0.22214874235598975</v>
      </c>
      <c r="C376" s="485">
        <v>0.22532591703581051</v>
      </c>
      <c r="D376" s="485">
        <v>0.22825114766227927</v>
      </c>
      <c r="E376" s="485">
        <v>0.23084765815709535</v>
      </c>
      <c r="F376" s="485">
        <v>0.23234463695313495</v>
      </c>
      <c r="G376" s="485">
        <v>0.23214751098352907</v>
      </c>
    </row>
    <row r="377" spans="1:7" x14ac:dyDescent="0.25">
      <c r="A377" s="1391" t="s">
        <v>2729</v>
      </c>
      <c r="B377" s="485">
        <v>0.26144799368484289</v>
      </c>
      <c r="C377" s="485">
        <v>0.26451200545732279</v>
      </c>
      <c r="D377" s="485">
        <v>0.26716185934420034</v>
      </c>
      <c r="E377" s="485">
        <v>0.26939950117586919</v>
      </c>
      <c r="F377" s="485">
        <v>0.27027288602337496</v>
      </c>
      <c r="G377" s="485">
        <v>0.2696765114191067</v>
      </c>
    </row>
    <row r="378" spans="1:7" x14ac:dyDescent="0.25">
      <c r="A378" s="1391" t="s">
        <v>2730</v>
      </c>
      <c r="B378" s="485">
        <v>0.30063408210635523</v>
      </c>
      <c r="C378" s="485">
        <v>0.3034227171392439</v>
      </c>
      <c r="D378" s="485">
        <v>0.30571370236297429</v>
      </c>
      <c r="E378" s="485">
        <v>0.30732775024610914</v>
      </c>
      <c r="F378" s="485">
        <v>0.30780188645895262</v>
      </c>
      <c r="G378" s="485">
        <v>0.30713499403675149</v>
      </c>
    </row>
    <row r="379" spans="1:7" x14ac:dyDescent="0.25">
      <c r="A379" s="1391" t="s">
        <v>2731</v>
      </c>
      <c r="B379" s="485">
        <v>0.33954479378827634</v>
      </c>
      <c r="C379" s="485">
        <v>0.3419745601580178</v>
      </c>
      <c r="D379" s="485">
        <v>0.34364195143321419</v>
      </c>
      <c r="E379" s="485">
        <v>0.34485675068168692</v>
      </c>
      <c r="F379" s="485">
        <v>0.34526036907659746</v>
      </c>
      <c r="G379" s="485">
        <v>0.34293002746900586</v>
      </c>
    </row>
    <row r="380" spans="1:7" x14ac:dyDescent="0.25">
      <c r="A380" s="1391" t="s">
        <v>2732</v>
      </c>
      <c r="B380" s="485">
        <v>2.8711085945445445E-2</v>
      </c>
      <c r="C380" s="485">
        <v>2.8281444308629423E-2</v>
      </c>
      <c r="D380" s="485">
        <v>2.7807717555929819E-2</v>
      </c>
      <c r="E380" s="485">
        <v>2.7295172683934162E-2</v>
      </c>
      <c r="F380" s="485">
        <v>2.7269760630525015E-2</v>
      </c>
      <c r="G380" s="485">
        <v>2.6600002578003462E-2</v>
      </c>
    </row>
    <row r="381" spans="1:7" x14ac:dyDescent="0.25">
      <c r="A381" s="1391" t="s">
        <v>2733</v>
      </c>
      <c r="B381" s="485">
        <v>0.27169385635865551</v>
      </c>
      <c r="C381" s="485">
        <v>0.26851391344104353</v>
      </c>
      <c r="D381" s="485">
        <v>0.26576775661917879</v>
      </c>
      <c r="E381" s="485">
        <v>0.26391416352010849</v>
      </c>
      <c r="F381" s="485">
        <v>0.26145210960725412</v>
      </c>
      <c r="G381" s="485">
        <v>0.25791258595960698</v>
      </c>
    </row>
    <row r="382" spans="1:7" x14ac:dyDescent="0.25">
      <c r="A382" s="1391" t="s">
        <v>2734</v>
      </c>
      <c r="B382" s="485">
        <v>0.29722499938648905</v>
      </c>
      <c r="C382" s="485">
        <v>0.29404920092780823</v>
      </c>
      <c r="D382" s="485">
        <v>0.29172188107603836</v>
      </c>
      <c r="E382" s="485">
        <v>0.28874728229118829</v>
      </c>
      <c r="F382" s="485">
        <v>0.28518234659013203</v>
      </c>
      <c r="G382" s="485">
        <v>0.28094648951617002</v>
      </c>
    </row>
    <row r="383" spans="1:7" x14ac:dyDescent="0.25">
      <c r="A383" s="1391" t="s">
        <v>2735</v>
      </c>
      <c r="B383" s="485">
        <v>0.32276028687325375</v>
      </c>
      <c r="C383" s="485">
        <v>0.32000332538466797</v>
      </c>
      <c r="D383" s="485">
        <v>0.31655499984711805</v>
      </c>
      <c r="E383" s="485">
        <v>0.31247751927406614</v>
      </c>
      <c r="F383" s="485">
        <v>0.30821625014669518</v>
      </c>
      <c r="G383" s="485">
        <v>0.3033012766061654</v>
      </c>
    </row>
    <row r="384" spans="1:7" x14ac:dyDescent="0.25">
      <c r="A384" s="1391" t="s">
        <v>2736</v>
      </c>
      <c r="B384" s="485">
        <v>0.34871441133011333</v>
      </c>
      <c r="C384" s="485">
        <v>0.34483644415574755</v>
      </c>
      <c r="D384" s="485">
        <v>0.3402852368299959</v>
      </c>
      <c r="E384" s="485">
        <v>0.33551142283062924</v>
      </c>
      <c r="F384" s="485">
        <v>0.33057103723669046</v>
      </c>
      <c r="G384" s="485">
        <v>0.32491087504907085</v>
      </c>
    </row>
    <row r="385" spans="1:8" x14ac:dyDescent="0.25">
      <c r="A385" s="1391" t="s">
        <v>2737</v>
      </c>
      <c r="B385" s="485">
        <v>0.37354753010119307</v>
      </c>
      <c r="C385" s="485">
        <v>0.36856668113862551</v>
      </c>
      <c r="D385" s="485">
        <v>0.36331914038655916</v>
      </c>
      <c r="E385" s="485">
        <v>0.35786620992062462</v>
      </c>
      <c r="F385" s="485">
        <v>0.35218063567959584</v>
      </c>
      <c r="G385" s="485">
        <v>0.34588343886371914</v>
      </c>
    </row>
    <row r="386" spans="1:8" x14ac:dyDescent="0.25">
      <c r="A386" s="1391" t="s">
        <v>2738</v>
      </c>
      <c r="B386" s="485">
        <v>0.39727776708407081</v>
      </c>
      <c r="C386" s="485">
        <v>0.39160058469518882</v>
      </c>
      <c r="D386" s="485">
        <v>0.38567392747655449</v>
      </c>
      <c r="E386" s="485">
        <v>0.37947580836353006</v>
      </c>
      <c r="F386" s="485">
        <v>0.37315319949424419</v>
      </c>
      <c r="G386" s="485">
        <v>0.3662377473494422</v>
      </c>
    </row>
    <row r="387" spans="1:8" x14ac:dyDescent="0.25">
      <c r="A387" s="1391" t="s">
        <v>2739</v>
      </c>
      <c r="B387" s="485">
        <v>0.42031167064063413</v>
      </c>
      <c r="C387" s="485">
        <v>0.4139553717851841</v>
      </c>
      <c r="D387" s="485">
        <v>0.40728352591945988</v>
      </c>
      <c r="E387" s="485">
        <v>0.40044837217817836</v>
      </c>
      <c r="F387" s="485">
        <v>0.39350750797996725</v>
      </c>
      <c r="G387" s="485">
        <v>0.38599202620602174</v>
      </c>
    </row>
    <row r="388" spans="1:8" x14ac:dyDescent="0.25">
      <c r="A388" s="1391" t="s">
        <v>2740</v>
      </c>
      <c r="B388" s="485">
        <v>0.44266645773062946</v>
      </c>
      <c r="C388" s="485">
        <v>0.4355649702280896</v>
      </c>
      <c r="D388" s="485">
        <v>0.42825608973410823</v>
      </c>
      <c r="E388" s="485">
        <v>0.42080268066390142</v>
      </c>
      <c r="F388" s="485">
        <v>0.41326178683654691</v>
      </c>
      <c r="G388" s="485">
        <v>0.40516396385338671</v>
      </c>
    </row>
    <row r="389" spans="1:8" x14ac:dyDescent="0.25">
      <c r="A389" s="1394" t="s">
        <v>2741</v>
      </c>
      <c r="B389" s="396">
        <v>0.46427605617353479</v>
      </c>
      <c r="C389" s="396">
        <v>0.45653753404273772</v>
      </c>
      <c r="D389" s="396">
        <v>0.44861039821983112</v>
      </c>
      <c r="E389" s="396">
        <v>0.44055695952048096</v>
      </c>
      <c r="F389" s="396">
        <v>0.43243372448391182</v>
      </c>
      <c r="G389" s="396">
        <v>0.42377072727021586</v>
      </c>
      <c r="H389" s="485" t="s">
        <v>2588</v>
      </c>
    </row>
    <row r="390" spans="1:8" x14ac:dyDescent="0.25">
      <c r="A390" s="1395" t="s">
        <v>2742</v>
      </c>
      <c r="B390" s="1396">
        <v>0.48524861998818325</v>
      </c>
      <c r="C390" s="1396">
        <v>0.47689184252846067</v>
      </c>
      <c r="D390" s="1396">
        <v>0.46836467707641088</v>
      </c>
      <c r="E390" s="1396">
        <v>0.45972889716784593</v>
      </c>
      <c r="F390" s="1396">
        <v>0.45104048790074092</v>
      </c>
      <c r="G390" s="1396">
        <v>0.44182897736563265</v>
      </c>
      <c r="H390" s="485" t="s">
        <v>2743</v>
      </c>
    </row>
    <row r="391" spans="1:8" x14ac:dyDescent="0.25">
      <c r="A391" s="1391" t="s">
        <v>2744</v>
      </c>
      <c r="B391" s="485">
        <v>5.6992530254074879E-2</v>
      </c>
      <c r="C391" s="485">
        <v>5.6089161864559249E-2</v>
      </c>
      <c r="D391" s="485">
        <v>5.5102890239863971E-2</v>
      </c>
      <c r="E391" s="485">
        <v>5.4564933314459177E-2</v>
      </c>
      <c r="F391" s="485">
        <v>5.3869763208528473E-2</v>
      </c>
      <c r="G391" s="485">
        <v>5.3707032566663537E-2</v>
      </c>
    </row>
    <row r="392" spans="1:8" x14ac:dyDescent="0.25">
      <c r="A392" s="1391" t="s">
        <v>2745</v>
      </c>
      <c r="B392" s="485">
        <v>0.50560292847390609</v>
      </c>
      <c r="C392" s="485">
        <v>0.49664612138504061</v>
      </c>
      <c r="D392" s="485">
        <v>0.48753661472377574</v>
      </c>
      <c r="E392" s="485">
        <v>0.47833566058467514</v>
      </c>
      <c r="F392" s="485">
        <v>0.4690987379961577</v>
      </c>
      <c r="G392" s="485">
        <v>0.4593548838977527</v>
      </c>
    </row>
    <row r="393" spans="1:8" x14ac:dyDescent="0.25">
      <c r="A393" s="1391" t="s">
        <v>2746</v>
      </c>
      <c r="B393" s="485">
        <v>0.52535720733048585</v>
      </c>
      <c r="C393" s="485">
        <v>0.5158180590324053</v>
      </c>
      <c r="D393" s="485">
        <v>0.50614337814060484</v>
      </c>
      <c r="E393" s="485">
        <v>0.4963939106800917</v>
      </c>
      <c r="F393" s="485">
        <v>0.48662464452827758</v>
      </c>
      <c r="G393" s="485">
        <v>0.4758965606623774</v>
      </c>
    </row>
    <row r="394" spans="1:8" x14ac:dyDescent="0.25">
      <c r="A394" s="1391" t="s">
        <v>2747</v>
      </c>
      <c r="B394" s="485">
        <v>0.54452914497785099</v>
      </c>
      <c r="C394" s="485">
        <v>0.5344248224492345</v>
      </c>
      <c r="D394" s="485">
        <v>0.52420162823602146</v>
      </c>
      <c r="E394" s="485">
        <v>0.51391981721221169</v>
      </c>
      <c r="F394" s="485">
        <v>0.5031663212929024</v>
      </c>
      <c r="G394" s="485">
        <v>0.49150928059123522</v>
      </c>
    </row>
    <row r="395" spans="1:8" x14ac:dyDescent="0.25">
      <c r="A395" s="1391" t="s">
        <v>2748</v>
      </c>
      <c r="B395" s="485">
        <v>0.56313590839467997</v>
      </c>
      <c r="C395" s="485">
        <v>0.55248307254465123</v>
      </c>
      <c r="D395" s="485">
        <v>0.54172753476814151</v>
      </c>
      <c r="E395" s="485">
        <v>0.53046149397683651</v>
      </c>
      <c r="F395" s="485">
        <v>0.51877904122176022</v>
      </c>
      <c r="G395" s="485">
        <v>0.50624521256750488</v>
      </c>
    </row>
    <row r="396" spans="1:8" x14ac:dyDescent="0.25">
      <c r="A396" s="1391" t="s">
        <v>2749</v>
      </c>
      <c r="B396" s="485">
        <v>0.58119415849009659</v>
      </c>
      <c r="C396" s="485">
        <v>0.57000897907677106</v>
      </c>
      <c r="D396" s="485">
        <v>0.55826921153276621</v>
      </c>
      <c r="E396" s="485">
        <v>0.54607421390569455</v>
      </c>
      <c r="F396" s="485">
        <v>0.53351497319802976</v>
      </c>
      <c r="G396" s="485">
        <v>0.52015359574472975</v>
      </c>
    </row>
    <row r="397" spans="1:8" x14ac:dyDescent="0.25">
      <c r="A397" s="1391" t="s">
        <v>2750</v>
      </c>
      <c r="B397" s="485">
        <v>0.59872006502221653</v>
      </c>
      <c r="C397" s="485">
        <v>0.58655065584139598</v>
      </c>
      <c r="D397" s="485">
        <v>0.57388193146162425</v>
      </c>
      <c r="E397" s="485">
        <v>0.56081014588196421</v>
      </c>
      <c r="F397" s="485">
        <v>0.54742335637525474</v>
      </c>
      <c r="G397" s="485">
        <v>0.5332809040762303</v>
      </c>
    </row>
    <row r="398" spans="1:8" x14ac:dyDescent="0.25">
      <c r="A398" s="1391" t="s">
        <v>2751</v>
      </c>
      <c r="B398" s="485">
        <v>0.61526174178684134</v>
      </c>
      <c r="C398" s="485">
        <v>0.60216337577025403</v>
      </c>
      <c r="D398" s="485">
        <v>0.58861786343789391</v>
      </c>
      <c r="E398" s="485">
        <v>0.57471852905918897</v>
      </c>
      <c r="F398" s="485">
        <v>0.56055066470675541</v>
      </c>
      <c r="G398" s="485">
        <v>0.54567100160478232</v>
      </c>
    </row>
    <row r="399" spans="1:8" x14ac:dyDescent="0.25">
      <c r="A399" s="1391" t="s">
        <v>2752</v>
      </c>
      <c r="B399" s="485">
        <v>0.63087446171569928</v>
      </c>
      <c r="C399" s="485">
        <v>0.61689930774652346</v>
      </c>
      <c r="D399" s="485">
        <v>0.60252624661511889</v>
      </c>
      <c r="E399" s="485">
        <v>0.58784583739068952</v>
      </c>
      <c r="F399" s="485">
        <v>0.57294076223530732</v>
      </c>
      <c r="G399" s="485">
        <v>0.55736528903144733</v>
      </c>
    </row>
    <row r="400" spans="1:8" x14ac:dyDescent="0.25">
      <c r="A400" s="1391" t="s">
        <v>2753</v>
      </c>
      <c r="B400" s="485">
        <v>0.64561039369196904</v>
      </c>
      <c r="C400" s="485">
        <v>0.63080769092374833</v>
      </c>
      <c r="D400" s="485">
        <v>0.61565355494661944</v>
      </c>
      <c r="E400" s="485">
        <v>0.60023593491924132</v>
      </c>
      <c r="F400" s="485">
        <v>0.58463504966197233</v>
      </c>
      <c r="G400" s="485">
        <v>0.56840284205331149</v>
      </c>
    </row>
    <row r="401" spans="1:7" x14ac:dyDescent="0.25">
      <c r="A401" s="1391" t="s">
        <v>2754</v>
      </c>
      <c r="B401" s="485">
        <v>0.65951877686919391</v>
      </c>
      <c r="C401" s="485">
        <v>0.643934999255249</v>
      </c>
      <c r="D401" s="485">
        <v>0.62804365247517124</v>
      </c>
      <c r="E401" s="485">
        <v>0.61193022234590644</v>
      </c>
      <c r="F401" s="485">
        <v>0.59567260268383648</v>
      </c>
      <c r="G401" s="485">
        <v>0.57882054193237165</v>
      </c>
    </row>
    <row r="402" spans="1:7" x14ac:dyDescent="0.25">
      <c r="A402" s="1391" t="s">
        <v>2755</v>
      </c>
      <c r="B402" s="485">
        <v>8.4800247810004684E-2</v>
      </c>
      <c r="C402" s="485">
        <v>8.3384334548493325E-2</v>
      </c>
      <c r="D402" s="485">
        <v>8.2372650870389003E-2</v>
      </c>
      <c r="E402" s="485">
        <v>8.1164935892462653E-2</v>
      </c>
      <c r="F402" s="485">
        <v>8.0976793197188576E-2</v>
      </c>
      <c r="G402" s="485">
        <v>8.0286091077043709E-2</v>
      </c>
    </row>
    <row r="403" spans="1:7" x14ac:dyDescent="0.25">
      <c r="A403" s="1391" t="s">
        <v>2756</v>
      </c>
      <c r="B403" s="485">
        <v>0.67264608520069447</v>
      </c>
      <c r="C403" s="485">
        <v>0.6563250967838008</v>
      </c>
      <c r="D403" s="485">
        <v>0.63973793990183647</v>
      </c>
      <c r="E403" s="485">
        <v>0.62296777536777093</v>
      </c>
      <c r="F403" s="485">
        <v>0.60609030256289664</v>
      </c>
      <c r="G403" s="485">
        <v>0.58865319873186228</v>
      </c>
    </row>
    <row r="404" spans="1:7" x14ac:dyDescent="0.25">
      <c r="A404" s="485" t="s">
        <v>2757</v>
      </c>
      <c r="B404" s="485">
        <v>0.11209542049393874</v>
      </c>
      <c r="C404" s="485">
        <v>0.11065409517901832</v>
      </c>
      <c r="D404" s="485">
        <v>0.10897265344839244</v>
      </c>
      <c r="E404" s="485">
        <v>0.10827196588112273</v>
      </c>
      <c r="F404" s="485">
        <v>0.10755585170756872</v>
      </c>
      <c r="G404" s="485">
        <v>0.10644410455120169</v>
      </c>
    </row>
    <row r="405" spans="1:7" x14ac:dyDescent="0.25">
      <c r="A405" s="485" t="s">
        <v>2758</v>
      </c>
      <c r="B405" s="485">
        <v>0.13936518112446378</v>
      </c>
      <c r="C405" s="485">
        <v>0.13725409775702166</v>
      </c>
      <c r="D405" s="485">
        <v>0.13607968343705262</v>
      </c>
      <c r="E405" s="485">
        <v>0.1348510243915029</v>
      </c>
      <c r="F405" s="485">
        <v>0.13371386518172676</v>
      </c>
      <c r="G405" s="485">
        <v>0.13232867523419153</v>
      </c>
    </row>
    <row r="406" spans="1:7" x14ac:dyDescent="0.25">
      <c r="A406" s="485" t="s">
        <v>2759</v>
      </c>
      <c r="B406" s="485">
        <v>0.1659651837024671</v>
      </c>
      <c r="C406" s="485">
        <v>0.16436112774568185</v>
      </c>
      <c r="D406" s="485">
        <v>0.16265874194743268</v>
      </c>
      <c r="E406" s="485">
        <v>0.1610090378656609</v>
      </c>
      <c r="F406" s="485">
        <v>0.15959843586471653</v>
      </c>
      <c r="G406" s="485">
        <v>0.15785981826202503</v>
      </c>
    </row>
    <row r="407" spans="1:7" x14ac:dyDescent="0.25">
      <c r="A407" s="485" t="s">
        <v>2760</v>
      </c>
      <c r="B407" s="485">
        <v>0.19307221369112723</v>
      </c>
      <c r="C407" s="485">
        <v>0.19094018625606199</v>
      </c>
      <c r="D407" s="485">
        <v>0.18881675542159071</v>
      </c>
      <c r="E407" s="485">
        <v>0.18689360854865067</v>
      </c>
      <c r="F407" s="485">
        <v>0.18512957889255005</v>
      </c>
      <c r="G407" s="485">
        <v>0.18339510574878973</v>
      </c>
    </row>
    <row r="408" spans="1:7" x14ac:dyDescent="0.25">
      <c r="A408" s="485" t="s">
        <v>2761</v>
      </c>
      <c r="B408" s="485">
        <v>0.21965127220150746</v>
      </c>
      <c r="C408" s="485">
        <v>0.2170981997302201</v>
      </c>
      <c r="D408" s="485">
        <v>0.21470132610458045</v>
      </c>
      <c r="E408" s="485">
        <v>0.21242475157648424</v>
      </c>
      <c r="F408" s="485">
        <v>0.21066486637931484</v>
      </c>
      <c r="G408" s="485">
        <v>0.20934923020564936</v>
      </c>
    </row>
    <row r="409" spans="1:7" x14ac:dyDescent="0.25">
      <c r="A409" s="1391" t="s">
        <v>2762</v>
      </c>
      <c r="B409" s="485">
        <v>0.24580928567566562</v>
      </c>
      <c r="C409" s="485">
        <v>0.24298277041321004</v>
      </c>
      <c r="D409" s="485">
        <v>0.24023246913241403</v>
      </c>
      <c r="E409" s="485">
        <v>0.23796003906324886</v>
      </c>
      <c r="F409" s="485">
        <v>0.23661899083617441</v>
      </c>
      <c r="G409" s="485">
        <v>0.23418234897672904</v>
      </c>
    </row>
    <row r="410" spans="1:7" x14ac:dyDescent="0.25">
      <c r="A410" s="1391" t="s">
        <v>2763</v>
      </c>
      <c r="B410" s="485">
        <v>2.9055626477660589E-2</v>
      </c>
      <c r="C410" s="485">
        <v>2.8620829028957427E-2</v>
      </c>
      <c r="D410" s="485">
        <v>2.8141417431462687E-2</v>
      </c>
      <c r="E410" s="485">
        <v>2.7622721887098967E-2</v>
      </c>
      <c r="F410" s="485">
        <v>2.7597004882409931E-2</v>
      </c>
      <c r="G410" s="485">
        <v>2.6919209558281518E-2</v>
      </c>
    </row>
    <row r="411" spans="1:7" x14ac:dyDescent="0.25">
      <c r="A411" s="1391" t="s">
        <v>2764</v>
      </c>
      <c r="B411" s="485">
        <v>0.2749542536159123</v>
      </c>
      <c r="C411" s="485">
        <v>0.27173615055251799</v>
      </c>
      <c r="D411" s="485">
        <v>0.268957039131348</v>
      </c>
      <c r="E411" s="485">
        <v>0.26708120243083133</v>
      </c>
      <c r="F411" s="485">
        <v>0.26458960322780262</v>
      </c>
      <c r="G411" s="485">
        <v>0.26100760437167103</v>
      </c>
    </row>
    <row r="412" spans="1:7" x14ac:dyDescent="0.25">
      <c r="A412" s="1391" t="s">
        <v>2765</v>
      </c>
      <c r="B412" s="485">
        <v>0.30079177703017845</v>
      </c>
      <c r="C412" s="485">
        <v>0.2975778681603054</v>
      </c>
      <c r="D412" s="485">
        <v>0.29522261986229409</v>
      </c>
      <c r="E412" s="485">
        <v>0.29221232511490164</v>
      </c>
      <c r="F412" s="485">
        <v>0.28860460925408093</v>
      </c>
      <c r="G412" s="485">
        <v>0.28431792078859941</v>
      </c>
    </row>
    <row r="413" spans="1:7" x14ac:dyDescent="0.25">
      <c r="A413" s="1391" t="s">
        <v>2766</v>
      </c>
      <c r="B413" s="485">
        <v>0.32663349463796604</v>
      </c>
      <c r="C413" s="485">
        <v>0.32384344889125144</v>
      </c>
      <c r="D413" s="485">
        <v>0.32035374254636423</v>
      </c>
      <c r="E413" s="485">
        <v>0.31622733114117996</v>
      </c>
      <c r="F413" s="485">
        <v>0.31191492567100926</v>
      </c>
      <c r="G413" s="485">
        <v>0.30694097116393948</v>
      </c>
    </row>
    <row r="414" spans="1:7" x14ac:dyDescent="0.25">
      <c r="A414" s="1391" t="s">
        <v>2767</v>
      </c>
      <c r="B414" s="485">
        <v>0.35289907536891207</v>
      </c>
      <c r="C414" s="485">
        <v>0.34897457157532158</v>
      </c>
      <c r="D414" s="485">
        <v>0.34436874857264271</v>
      </c>
      <c r="E414" s="485">
        <v>0.33953764755810834</v>
      </c>
      <c r="F414" s="485">
        <v>0.33453797604634949</v>
      </c>
      <c r="G414" s="485">
        <v>0.32880989043374165</v>
      </c>
    </row>
    <row r="415" spans="1:7" x14ac:dyDescent="0.25">
      <c r="A415" s="1391" t="s">
        <v>2768</v>
      </c>
      <c r="B415" s="485">
        <v>0.37803019805298216</v>
      </c>
      <c r="C415" s="485">
        <v>0.37298957760160001</v>
      </c>
      <c r="D415" s="485">
        <v>0.36767906498957093</v>
      </c>
      <c r="E415" s="485">
        <v>0.36216069793344846</v>
      </c>
      <c r="F415" s="485">
        <v>0.35640689531615144</v>
      </c>
      <c r="G415" s="485">
        <v>0.35003413049331999</v>
      </c>
    </row>
    <row r="416" spans="1:7" x14ac:dyDescent="0.25">
      <c r="A416" s="485" t="s">
        <v>2769</v>
      </c>
      <c r="B416" s="485">
        <v>0.40204520407926059</v>
      </c>
      <c r="C416" s="485">
        <v>0.3962998940185285</v>
      </c>
      <c r="D416" s="485">
        <v>0.39030211536491116</v>
      </c>
      <c r="E416" s="485">
        <v>0.38402961720325057</v>
      </c>
      <c r="F416" s="485">
        <v>0.3776311353757299</v>
      </c>
      <c r="G416" s="485">
        <v>0.37063269599850462</v>
      </c>
    </row>
    <row r="417" spans="1:7" x14ac:dyDescent="0.25">
      <c r="A417" s="485" t="s">
        <v>2770</v>
      </c>
      <c r="B417" s="485">
        <v>0.42535552049618897</v>
      </c>
      <c r="C417" s="485">
        <v>0.41892294439386862</v>
      </c>
      <c r="D417" s="485">
        <v>0.41217103463471311</v>
      </c>
      <c r="E417" s="485">
        <v>0.4052538572628287</v>
      </c>
      <c r="F417" s="485">
        <v>0.39822970088091458</v>
      </c>
      <c r="G417" s="485">
        <v>0.39062403136223656</v>
      </c>
    </row>
    <row r="418" spans="1:7" x14ac:dyDescent="0.25">
      <c r="A418" s="485" t="s">
        <v>2771</v>
      </c>
      <c r="B418" s="485">
        <v>0.44797857087152915</v>
      </c>
      <c r="C418" s="485">
        <v>0.44079186366367057</v>
      </c>
      <c r="D418" s="485">
        <v>0.43339527469429173</v>
      </c>
      <c r="E418" s="485">
        <v>0.42585242276801349</v>
      </c>
      <c r="F418" s="485">
        <v>0.41822103624464635</v>
      </c>
      <c r="G418" s="485">
        <v>0.41002603727010439</v>
      </c>
    </row>
    <row r="419" spans="1:7" x14ac:dyDescent="0.25">
      <c r="A419" s="485" t="s">
        <v>2772</v>
      </c>
      <c r="B419" s="485">
        <v>0.46984749014133109</v>
      </c>
      <c r="C419" s="485">
        <v>0.46201610372324903</v>
      </c>
      <c r="D419" s="485">
        <v>0.4539938401994762</v>
      </c>
      <c r="E419" s="485">
        <v>0.44584375813174543</v>
      </c>
      <c r="F419" s="485">
        <v>0.43762304215251413</v>
      </c>
      <c r="G419" s="485">
        <v>0.42885608670901615</v>
      </c>
    </row>
    <row r="420" spans="1:7" x14ac:dyDescent="0.25">
      <c r="A420" s="485" t="s">
        <v>2773</v>
      </c>
      <c r="B420" s="485">
        <v>0.4910717302009095</v>
      </c>
      <c r="C420" s="485">
        <v>0.4826146692284336</v>
      </c>
      <c r="D420" s="485">
        <v>0.47398517556320813</v>
      </c>
      <c r="E420" s="485">
        <v>0.46524576403961321</v>
      </c>
      <c r="F420" s="485">
        <v>0.45645309159142616</v>
      </c>
      <c r="G420" s="485">
        <v>0.44713104052335778</v>
      </c>
    </row>
    <row r="421" spans="1:7" x14ac:dyDescent="0.25">
      <c r="A421" s="485" t="s">
        <v>2774</v>
      </c>
      <c r="B421" s="485">
        <v>5.7676455506617999E-2</v>
      </c>
      <c r="C421" s="485">
        <v>5.6762246460420121E-2</v>
      </c>
      <c r="D421" s="485">
        <v>5.5764139318561647E-2</v>
      </c>
      <c r="E421" s="485">
        <v>5.5219726769508912E-2</v>
      </c>
      <c r="F421" s="485">
        <v>5.4516214440691442E-2</v>
      </c>
      <c r="G421" s="485">
        <v>5.435153098861021E-2</v>
      </c>
    </row>
    <row r="422" spans="1:7" x14ac:dyDescent="0.25">
      <c r="A422" s="485" t="s">
        <v>2775</v>
      </c>
      <c r="B422" s="485">
        <v>0.51167029570609424</v>
      </c>
      <c r="C422" s="485">
        <v>0.50260600459216553</v>
      </c>
      <c r="D422" s="485">
        <v>0.4933871814710758</v>
      </c>
      <c r="E422" s="485">
        <v>0.48407581347852524</v>
      </c>
      <c r="F422" s="485">
        <v>0.47472804540576774</v>
      </c>
      <c r="G422" s="485">
        <v>0.46486726251256638</v>
      </c>
    </row>
    <row r="423" spans="1:7" x14ac:dyDescent="0.25">
      <c r="A423" s="485" t="s">
        <v>2776</v>
      </c>
      <c r="B423" s="485">
        <v>0.53166163106982622</v>
      </c>
      <c r="C423" s="485">
        <v>0.5220080105000332</v>
      </c>
      <c r="D423" s="485">
        <v>0.51221723090998783</v>
      </c>
      <c r="E423" s="485">
        <v>0.50235076729286665</v>
      </c>
      <c r="F423" s="485">
        <v>0.4924642673949764</v>
      </c>
      <c r="G423" s="485">
        <v>0.48160744371993669</v>
      </c>
    </row>
    <row r="424" spans="1:7" x14ac:dyDescent="0.25">
      <c r="A424" s="485" t="s">
        <v>2777</v>
      </c>
      <c r="B424" s="485">
        <v>0.551063636977694</v>
      </c>
      <c r="C424" s="485">
        <v>0.54083805993894529</v>
      </c>
      <c r="D424" s="485">
        <v>0.53049218472432957</v>
      </c>
      <c r="E424" s="485">
        <v>0.52008698928207531</v>
      </c>
      <c r="F424" s="485">
        <v>0.5092044486023467</v>
      </c>
      <c r="G424" s="485">
        <v>0.49740752036681746</v>
      </c>
    </row>
    <row r="425" spans="1:7" x14ac:dyDescent="0.25">
      <c r="A425" s="485" t="s">
        <v>2778</v>
      </c>
      <c r="B425" s="485">
        <v>0.56989368641660609</v>
      </c>
      <c r="C425" s="485">
        <v>0.55911301375328681</v>
      </c>
      <c r="D425" s="485">
        <v>0.54822840671353801</v>
      </c>
      <c r="E425" s="485">
        <v>0.53682717048944562</v>
      </c>
      <c r="F425" s="485">
        <v>0.52500452524922736</v>
      </c>
      <c r="G425" s="485">
        <v>0.51232028737661528</v>
      </c>
    </row>
    <row r="426" spans="1:7" x14ac:dyDescent="0.25">
      <c r="A426" s="485" t="s">
        <v>2779</v>
      </c>
      <c r="B426" s="485">
        <v>0.58816864023094728</v>
      </c>
      <c r="C426" s="485">
        <v>0.57684923574249547</v>
      </c>
      <c r="D426" s="485">
        <v>0.56496858792090832</v>
      </c>
      <c r="E426" s="485">
        <v>0.5526272471363266</v>
      </c>
      <c r="F426" s="485">
        <v>0.53991729225902529</v>
      </c>
      <c r="G426" s="485">
        <v>0.52639557478557975</v>
      </c>
    </row>
    <row r="427" spans="1:7" x14ac:dyDescent="0.25">
      <c r="A427" s="485" t="s">
        <v>2780</v>
      </c>
      <c r="B427" s="485">
        <v>0.60590486222015605</v>
      </c>
      <c r="C427" s="485">
        <v>0.59358941694986567</v>
      </c>
      <c r="D427" s="485">
        <v>0.58076866456778919</v>
      </c>
      <c r="E427" s="485">
        <v>0.56754001414612409</v>
      </c>
      <c r="F427" s="485">
        <v>0.55399257966798954</v>
      </c>
      <c r="G427" s="485">
        <v>0.53968041424661273</v>
      </c>
    </row>
    <row r="428" spans="1:7" x14ac:dyDescent="0.25">
      <c r="A428" s="485" t="s">
        <v>2781</v>
      </c>
      <c r="B428" s="485">
        <v>8.5817872938080728E-2</v>
      </c>
      <c r="C428" s="485">
        <v>8.438496834751906E-2</v>
      </c>
      <c r="D428" s="485">
        <v>8.3361144200971585E-2</v>
      </c>
      <c r="E428" s="485">
        <v>8.2138936327790416E-2</v>
      </c>
      <c r="F428" s="485">
        <v>8.1948535871020148E-2</v>
      </c>
      <c r="G428" s="485">
        <v>8.1249545144985225E-2</v>
      </c>
    </row>
    <row r="429" spans="1:7" x14ac:dyDescent="0.25">
      <c r="A429" s="485" t="s">
        <v>2782</v>
      </c>
      <c r="B429" s="485">
        <v>0.11344059482517968</v>
      </c>
      <c r="C429" s="485">
        <v>0.11198197322992906</v>
      </c>
      <c r="D429" s="485">
        <v>0.1102803537592531</v>
      </c>
      <c r="E429" s="485">
        <v>0.1095712577581191</v>
      </c>
      <c r="F429" s="485">
        <v>0.10884655002739518</v>
      </c>
      <c r="G429" s="485">
        <v>0.10772146161470397</v>
      </c>
    </row>
    <row r="430" spans="1:7" x14ac:dyDescent="0.25">
      <c r="A430" s="485" t="s">
        <v>2783</v>
      </c>
      <c r="B430" s="485">
        <v>0.14103759970758961</v>
      </c>
      <c r="C430" s="485">
        <v>0.13890118278821054</v>
      </c>
      <c r="D430" s="485">
        <v>0.13771267518958183</v>
      </c>
      <c r="E430" s="485">
        <v>0.13646927191449409</v>
      </c>
      <c r="F430" s="485">
        <v>0.1353184664971139</v>
      </c>
      <c r="G430" s="485">
        <v>0.13391665390832266</v>
      </c>
    </row>
    <row r="431" spans="1:7" x14ac:dyDescent="0.25">
      <c r="A431" s="485" t="s">
        <v>2784</v>
      </c>
      <c r="B431" s="485">
        <v>0.16795680926587117</v>
      </c>
      <c r="C431" s="485">
        <v>0.16633350421853921</v>
      </c>
      <c r="D431" s="485">
        <v>0.16461068934595682</v>
      </c>
      <c r="E431" s="485">
        <v>0.16294118838421287</v>
      </c>
      <c r="F431" s="485">
        <v>0.16151365879073259</v>
      </c>
      <c r="G431" s="485">
        <v>0.15975417732258898</v>
      </c>
    </row>
    <row r="432" spans="1:7" x14ac:dyDescent="0.25">
      <c r="A432" s="485" t="s">
        <v>2785</v>
      </c>
      <c r="B432" s="485">
        <v>0.19538913069619981</v>
      </c>
      <c r="C432" s="485">
        <v>0.19323151837491434</v>
      </c>
      <c r="D432" s="485">
        <v>0.19108260581567552</v>
      </c>
      <c r="E432" s="485">
        <v>0.18913638067783153</v>
      </c>
      <c r="F432" s="485">
        <v>0.18735118220499888</v>
      </c>
      <c r="G432" s="485">
        <v>0.18559589493037651</v>
      </c>
    </row>
    <row r="433" spans="1:7" x14ac:dyDescent="0.25">
      <c r="A433" s="485" t="s">
        <v>2786</v>
      </c>
      <c r="B433" s="485">
        <v>0.22228714485257492</v>
      </c>
      <c r="C433" s="485">
        <v>0.21970343484463309</v>
      </c>
      <c r="D433" s="485">
        <v>0.21727779810929429</v>
      </c>
      <c r="E433" s="485">
        <v>0.21497390409209788</v>
      </c>
      <c r="F433" s="485">
        <v>0.2131928998127863</v>
      </c>
      <c r="G433" s="485">
        <v>0.21186147566132246</v>
      </c>
    </row>
    <row r="434" spans="1:7" x14ac:dyDescent="0.25">
      <c r="A434" s="485" t="s">
        <v>2787</v>
      </c>
      <c r="B434" s="485">
        <v>0.24875906132229367</v>
      </c>
      <c r="C434" s="485">
        <v>0.24589862713825164</v>
      </c>
      <c r="D434" s="485">
        <v>0.24311532152356055</v>
      </c>
      <c r="E434" s="485">
        <v>0.24081562169988532</v>
      </c>
      <c r="F434" s="485">
        <v>0.23945848054373245</v>
      </c>
      <c r="G434" s="485">
        <v>0.23699259834539271</v>
      </c>
    </row>
    <row r="435" spans="1:7" x14ac:dyDescent="0.25">
      <c r="A435" s="485" t="s">
        <v>2788</v>
      </c>
      <c r="B435" s="485">
        <v>0.30189068087546012</v>
      </c>
      <c r="C435" s="485">
        <v>0.29568259950470982</v>
      </c>
      <c r="D435" s="485">
        <v>0.28938315085351951</v>
      </c>
      <c r="E435" s="485">
        <v>0.28290256974753253</v>
      </c>
      <c r="F435" s="485">
        <v>0.2761093833617817</v>
      </c>
      <c r="G435" s="485">
        <v>0.26910190938642736</v>
      </c>
    </row>
    <row r="436" spans="1:7" x14ac:dyDescent="0.25">
      <c r="A436" s="485" t="s">
        <v>2789</v>
      </c>
      <c r="B436" s="485">
        <v>5.2302450723593706E-2</v>
      </c>
      <c r="C436" s="485">
        <v>5.3516434947454998E-2</v>
      </c>
      <c r="D436" s="485">
        <v>5.4562013278680065E-2</v>
      </c>
      <c r="E436" s="485">
        <v>5.7700578563194146E-2</v>
      </c>
      <c r="F436" s="485">
        <v>6.0894682043841263E-2</v>
      </c>
      <c r="G436" s="485">
        <v>6.2580360976253677E-2</v>
      </c>
    </row>
    <row r="437" spans="1:7" x14ac:dyDescent="0.25">
      <c r="A437" s="485" t="s">
        <v>2790</v>
      </c>
      <c r="B437" s="485">
        <v>0.60155069553984886</v>
      </c>
      <c r="C437" s="485">
        <v>0.61282548167836104</v>
      </c>
      <c r="D437" s="485">
        <v>0.62170504347935851</v>
      </c>
      <c r="E437" s="485">
        <v>0.62854595247265532</v>
      </c>
      <c r="F437" s="485">
        <v>0.6294623146341648</v>
      </c>
      <c r="G437" s="485">
        <v>0.62438122055082956</v>
      </c>
    </row>
    <row r="438" spans="1:7" x14ac:dyDescent="0.25">
      <c r="A438" s="485" t="s">
        <v>2791</v>
      </c>
      <c r="B438" s="485">
        <v>0.66512793240195489</v>
      </c>
      <c r="C438" s="485">
        <v>0.67522147842681346</v>
      </c>
      <c r="D438" s="485">
        <v>0.68310796575133537</v>
      </c>
      <c r="E438" s="485">
        <v>0.68716289319735879</v>
      </c>
      <c r="F438" s="485">
        <v>0.68527590259467086</v>
      </c>
      <c r="G438" s="485">
        <v>0.67786777245521912</v>
      </c>
    </row>
    <row r="439" spans="1:7" x14ac:dyDescent="0.25">
      <c r="A439" s="485" t="s">
        <v>2792</v>
      </c>
      <c r="B439" s="485">
        <v>0.7275239291504072</v>
      </c>
      <c r="C439" s="485">
        <v>0.73662440069879043</v>
      </c>
      <c r="D439" s="485">
        <v>0.74172490647603895</v>
      </c>
      <c r="E439" s="485">
        <v>0.74297648115786497</v>
      </c>
      <c r="F439" s="485">
        <v>0.73876245449906031</v>
      </c>
      <c r="G439" s="485">
        <v>0.72913719067073757</v>
      </c>
    </row>
    <row r="440" spans="1:7" x14ac:dyDescent="0.25">
      <c r="A440" s="485" t="s">
        <v>2793</v>
      </c>
      <c r="B440" s="485">
        <v>0.78892685142238417</v>
      </c>
      <c r="C440" s="485">
        <v>0.7952413414234939</v>
      </c>
      <c r="D440" s="485">
        <v>0.79753849443654512</v>
      </c>
      <c r="E440" s="485">
        <v>0.79646303306225463</v>
      </c>
      <c r="F440" s="485">
        <v>0.79003187271457864</v>
      </c>
      <c r="G440" s="485">
        <v>0.7782406052180092</v>
      </c>
    </row>
    <row r="441" spans="1:7" x14ac:dyDescent="0.25">
      <c r="A441" s="485" t="s">
        <v>2794</v>
      </c>
      <c r="B441" s="485">
        <v>0.84754379214708753</v>
      </c>
      <c r="C441" s="485">
        <v>0.85105492938400007</v>
      </c>
      <c r="D441" s="485">
        <v>0.85102504634093468</v>
      </c>
      <c r="E441" s="485">
        <v>0.84773245127777275</v>
      </c>
      <c r="F441" s="485">
        <v>0.83913528726185049</v>
      </c>
      <c r="G441" s="485">
        <v>0.82542877780438428</v>
      </c>
    </row>
    <row r="442" spans="1:7" x14ac:dyDescent="0.25">
      <c r="A442" s="485" t="s">
        <v>2795</v>
      </c>
      <c r="B442" s="485">
        <v>0.90335738010759381</v>
      </c>
      <c r="C442" s="485">
        <v>0.90454148128838974</v>
      </c>
      <c r="D442" s="485">
        <v>0.90229446455645279</v>
      </c>
      <c r="E442" s="485">
        <v>0.89683586582504438</v>
      </c>
      <c r="F442" s="485">
        <v>0.88632345984822536</v>
      </c>
      <c r="G442" s="485">
        <v>0.87078117780645814</v>
      </c>
    </row>
    <row r="443" spans="1:7" x14ac:dyDescent="0.25">
      <c r="A443" s="485" t="s">
        <v>2796</v>
      </c>
      <c r="B443" s="485">
        <v>0.95684393201198348</v>
      </c>
      <c r="C443" s="485">
        <v>0.95581089950390785</v>
      </c>
      <c r="D443" s="485">
        <v>0.95139787910372442</v>
      </c>
      <c r="E443" s="485">
        <v>0.9440240384114198</v>
      </c>
      <c r="F443" s="485">
        <v>0.93167585985029933</v>
      </c>
      <c r="G443" s="485">
        <v>0.91437379304180677</v>
      </c>
    </row>
    <row r="444" spans="1:7" x14ac:dyDescent="0.25">
      <c r="A444" s="485" t="s">
        <v>2797</v>
      </c>
      <c r="B444" s="485">
        <v>1.0081133502275017</v>
      </c>
      <c r="C444" s="485">
        <v>1.0049143140511796</v>
      </c>
      <c r="D444" s="485">
        <v>0.99858605169009973</v>
      </c>
      <c r="E444" s="485">
        <v>0.98937643841349354</v>
      </c>
      <c r="F444" s="485">
        <v>0.97526847508564818</v>
      </c>
      <c r="G444" s="485">
        <v>0.95627928903422388</v>
      </c>
    </row>
    <row r="445" spans="1:7" x14ac:dyDescent="0.25">
      <c r="A445" s="485" t="s">
        <v>2798</v>
      </c>
      <c r="B445" s="485">
        <v>1.0572167647747732</v>
      </c>
      <c r="C445" s="485">
        <v>1.0521024866375548</v>
      </c>
      <c r="D445" s="485">
        <v>1.0439384516921737</v>
      </c>
      <c r="E445" s="485">
        <v>1.0329690536488423</v>
      </c>
      <c r="F445" s="485">
        <v>1.0171739710780652</v>
      </c>
      <c r="G445" s="485">
        <v>0.99656716075785778</v>
      </c>
    </row>
    <row r="446" spans="1:7" x14ac:dyDescent="0.25">
      <c r="A446" s="485" t="s">
        <v>2799</v>
      </c>
      <c r="B446" s="485">
        <v>1.1044049373611484</v>
      </c>
      <c r="C446" s="485">
        <v>1.0974548866396285</v>
      </c>
      <c r="D446" s="485">
        <v>1.0875310669275224</v>
      </c>
      <c r="E446" s="485">
        <v>1.0748745496412593</v>
      </c>
      <c r="F446" s="485">
        <v>1.0574618428016991</v>
      </c>
      <c r="G446" s="485">
        <v>1.0353038772233758</v>
      </c>
    </row>
    <row r="447" spans="1:7" x14ac:dyDescent="0.25">
      <c r="A447" s="485" t="s">
        <v>2800</v>
      </c>
      <c r="B447" s="485">
        <v>0.1058188856710487</v>
      </c>
      <c r="C447" s="485">
        <v>0.10807844822613502</v>
      </c>
      <c r="D447" s="485">
        <v>0.1122625918418742</v>
      </c>
      <c r="E447" s="485">
        <v>0.1185952606070354</v>
      </c>
      <c r="F447" s="485">
        <v>0.12347504302009493</v>
      </c>
      <c r="G447" s="485">
        <v>0.12723058958792277</v>
      </c>
    </row>
    <row r="448" spans="1:7" x14ac:dyDescent="0.25">
      <c r="A448" s="485" t="s">
        <v>2801</v>
      </c>
      <c r="B448" s="485">
        <v>1.1497573373632222</v>
      </c>
      <c r="C448" s="485">
        <v>1.1410475018749775</v>
      </c>
      <c r="D448" s="485">
        <v>1.1294365629199394</v>
      </c>
      <c r="E448" s="485">
        <v>1.115162421364893</v>
      </c>
      <c r="F448" s="485">
        <v>1.096198559267217</v>
      </c>
      <c r="G448" s="485">
        <v>1.0725530192514849</v>
      </c>
    </row>
    <row r="449" spans="1:7" x14ac:dyDescent="0.25">
      <c r="A449" s="485" t="s">
        <v>2802</v>
      </c>
      <c r="B449" s="485">
        <v>1.1933499525985711</v>
      </c>
      <c r="C449" s="485">
        <v>1.1829529978673945</v>
      </c>
      <c r="D449" s="485">
        <v>1.1697244346435731</v>
      </c>
      <c r="E449" s="485">
        <v>1.1538991378304113</v>
      </c>
      <c r="F449" s="485">
        <v>1.1334477012953259</v>
      </c>
      <c r="G449" s="485">
        <v>1.1077103029023665</v>
      </c>
    </row>
    <row r="450" spans="1:7" x14ac:dyDescent="0.25">
      <c r="A450" s="485" t="s">
        <v>2803</v>
      </c>
      <c r="B450" s="485">
        <v>1.2352554485909883</v>
      </c>
      <c r="C450" s="485">
        <v>1.2232408695910282</v>
      </c>
      <c r="D450" s="485">
        <v>1.2084611511090912</v>
      </c>
      <c r="E450" s="485">
        <v>1.19114827985852</v>
      </c>
      <c r="F450" s="485">
        <v>1.1686049849462075</v>
      </c>
      <c r="G450" s="485">
        <v>1.1408932039414241</v>
      </c>
    </row>
    <row r="451" spans="1:7" x14ac:dyDescent="0.25">
      <c r="A451" s="485" t="s">
        <v>2804</v>
      </c>
      <c r="B451" s="485">
        <v>1.275543320314622</v>
      </c>
      <c r="C451" s="485">
        <v>1.2619775860565463</v>
      </c>
      <c r="D451" s="485">
        <v>1.2457102931372002</v>
      </c>
      <c r="E451" s="485">
        <v>1.2263055635094018</v>
      </c>
      <c r="F451" s="485">
        <v>1.2017878859852655</v>
      </c>
      <c r="G451" s="485">
        <v>1.1722126008636116</v>
      </c>
    </row>
    <row r="452" spans="1:7" x14ac:dyDescent="0.25">
      <c r="A452" s="485" t="s">
        <v>2805</v>
      </c>
      <c r="B452" s="485">
        <v>1.3142800367801399</v>
      </c>
      <c r="C452" s="485">
        <v>1.2992267280846554</v>
      </c>
      <c r="D452" s="485">
        <v>1.2808675767880819</v>
      </c>
      <c r="E452" s="485">
        <v>1.2594884645484596</v>
      </c>
      <c r="F452" s="485">
        <v>1.233107282907453</v>
      </c>
      <c r="G452" s="485">
        <v>1.2017731453866769</v>
      </c>
    </row>
    <row r="453" spans="1:7" x14ac:dyDescent="0.25">
      <c r="A453" s="485" t="s">
        <v>2806</v>
      </c>
      <c r="B453" s="485">
        <v>1.3515291788082491</v>
      </c>
      <c r="C453" s="485">
        <v>1.3343840117355372</v>
      </c>
      <c r="D453" s="485">
        <v>1.3140504778271396</v>
      </c>
      <c r="E453" s="485">
        <v>1.2908078614706471</v>
      </c>
      <c r="F453" s="485">
        <v>1.2626678274305183</v>
      </c>
      <c r="G453" s="485">
        <v>1.2296736121380365</v>
      </c>
    </row>
    <row r="454" spans="1:7" x14ac:dyDescent="0.25">
      <c r="A454" s="485" t="s">
        <v>2807</v>
      </c>
      <c r="B454" s="485">
        <v>1.3866864624591311</v>
      </c>
      <c r="C454" s="485">
        <v>1.3675669127745949</v>
      </c>
      <c r="D454" s="485">
        <v>1.3453698747493275</v>
      </c>
      <c r="E454" s="485">
        <v>1.3203684059937124</v>
      </c>
      <c r="F454" s="485">
        <v>1.2905682941818775</v>
      </c>
      <c r="G454" s="485">
        <v>1.256007228703736</v>
      </c>
    </row>
    <row r="455" spans="1:7" x14ac:dyDescent="0.25">
      <c r="A455" s="485" t="s">
        <v>2808</v>
      </c>
      <c r="B455" s="485">
        <v>1.4198693634981883</v>
      </c>
      <c r="C455" s="485">
        <v>1.3988863096967821</v>
      </c>
      <c r="D455" s="485">
        <v>1.3749304192723923</v>
      </c>
      <c r="E455" s="485">
        <v>1.3482688727450713</v>
      </c>
      <c r="F455" s="485">
        <v>1.3169019107475775</v>
      </c>
      <c r="G455" s="485">
        <v>1.2808619871423395</v>
      </c>
    </row>
    <row r="456" spans="1:7" x14ac:dyDescent="0.25">
      <c r="A456" s="485" t="s">
        <v>2809</v>
      </c>
      <c r="B456" s="485">
        <v>1.4511887604203759</v>
      </c>
      <c r="C456" s="485">
        <v>1.4284468542198472</v>
      </c>
      <c r="D456" s="485">
        <v>1.4028308860237515</v>
      </c>
      <c r="E456" s="485">
        <v>1.3746024893107718</v>
      </c>
      <c r="F456" s="485">
        <v>1.3417566691861809</v>
      </c>
      <c r="G456" s="485">
        <v>1.3043209380046363</v>
      </c>
    </row>
    <row r="457" spans="1:7" x14ac:dyDescent="0.25">
      <c r="A457" s="485" t="s">
        <v>2810</v>
      </c>
      <c r="B457" s="485">
        <v>1.480749304943441</v>
      </c>
      <c r="C457" s="485">
        <v>1.4563473209712066</v>
      </c>
      <c r="D457" s="485">
        <v>1.4291645025894519</v>
      </c>
      <c r="E457" s="485">
        <v>1.399457247749375</v>
      </c>
      <c r="F457" s="485">
        <v>1.3652156200484775</v>
      </c>
      <c r="G457" s="485">
        <v>1.3264624678416315</v>
      </c>
    </row>
    <row r="458" spans="1:7" x14ac:dyDescent="0.25">
      <c r="A458" s="485" t="s">
        <v>2811</v>
      </c>
      <c r="B458" s="485">
        <v>0.16038089894972868</v>
      </c>
      <c r="C458" s="485">
        <v>0.1657790267893291</v>
      </c>
      <c r="D458" s="485">
        <v>0.17315727388571547</v>
      </c>
      <c r="E458" s="485">
        <v>0.18117562158328909</v>
      </c>
      <c r="F458" s="485">
        <v>0.18812527163176401</v>
      </c>
      <c r="G458" s="485">
        <v>0.19253877659377019</v>
      </c>
    </row>
    <row r="459" spans="1:7" x14ac:dyDescent="0.25">
      <c r="A459" s="485" t="s">
        <v>2812</v>
      </c>
      <c r="B459" s="485">
        <v>1.5086497716948006</v>
      </c>
      <c r="C459" s="485">
        <v>1.482680937536907</v>
      </c>
      <c r="D459" s="485">
        <v>1.4540192610280549</v>
      </c>
      <c r="E459" s="485">
        <v>1.4229161986116714</v>
      </c>
      <c r="F459" s="485">
        <v>1.3873571498854729</v>
      </c>
      <c r="G459" s="485">
        <v>1.3473605611280832</v>
      </c>
    </row>
    <row r="460" spans="1:7" x14ac:dyDescent="0.25">
      <c r="A460" s="485" t="s">
        <v>2813</v>
      </c>
      <c r="B460" s="485">
        <v>0.21808147751292284</v>
      </c>
      <c r="C460" s="485">
        <v>0.22667370883317028</v>
      </c>
      <c r="D460" s="485">
        <v>0.23573763486196914</v>
      </c>
      <c r="E460" s="485">
        <v>0.24582585019495815</v>
      </c>
      <c r="F460" s="485">
        <v>0.25343345863761141</v>
      </c>
      <c r="G460" s="485">
        <v>0.25782753372878886</v>
      </c>
    </row>
    <row r="461" spans="1:7" x14ac:dyDescent="0.25">
      <c r="A461" s="485" t="s">
        <v>2814</v>
      </c>
      <c r="B461" s="485">
        <v>0.27897615955676403</v>
      </c>
      <c r="C461" s="485">
        <v>0.28925406980942386</v>
      </c>
      <c r="D461" s="485">
        <v>0.30038786347363822</v>
      </c>
      <c r="E461" s="485">
        <v>0.31113403720080557</v>
      </c>
      <c r="F461" s="485">
        <v>0.31872221577263016</v>
      </c>
      <c r="G461" s="485">
        <v>0.32257453598308466</v>
      </c>
    </row>
    <row r="462" spans="1:7" x14ac:dyDescent="0.25">
      <c r="A462" s="485" t="s">
        <v>2815</v>
      </c>
      <c r="B462" s="485">
        <v>0.34155652053301766</v>
      </c>
      <c r="C462" s="485">
        <v>0.35390429842109306</v>
      </c>
      <c r="D462" s="485">
        <v>0.36569605047948561</v>
      </c>
      <c r="E462" s="485">
        <v>0.37642279433582426</v>
      </c>
      <c r="F462" s="485">
        <v>0.38346921802692591</v>
      </c>
      <c r="G462" s="485">
        <v>0.38615177284519064</v>
      </c>
    </row>
    <row r="463" spans="1:7" x14ac:dyDescent="0.25">
      <c r="A463" s="485" t="s">
        <v>2816</v>
      </c>
      <c r="B463" s="485">
        <v>0.40620674914468674</v>
      </c>
      <c r="C463" s="485">
        <v>0.41921248542694051</v>
      </c>
      <c r="D463" s="485">
        <v>0.43098480761450442</v>
      </c>
      <c r="E463" s="485">
        <v>0.44116979659012001</v>
      </c>
      <c r="F463" s="485">
        <v>0.44704645488903194</v>
      </c>
      <c r="G463" s="485">
        <v>0.44854776959364301</v>
      </c>
    </row>
    <row r="464" spans="1:7" x14ac:dyDescent="0.25">
      <c r="A464" s="485" t="s">
        <v>2817</v>
      </c>
      <c r="B464" s="485">
        <v>0.47151493615053425</v>
      </c>
      <c r="C464" s="485">
        <v>0.48450124256195926</v>
      </c>
      <c r="D464" s="485">
        <v>0.49573180986880017</v>
      </c>
      <c r="E464" s="485">
        <v>0.50474703345222605</v>
      </c>
      <c r="F464" s="485">
        <v>0.50944245163748425</v>
      </c>
      <c r="G464" s="485">
        <v>0.50995069186561981</v>
      </c>
    </row>
    <row r="465" spans="1:7" x14ac:dyDescent="0.25">
      <c r="A465" s="485" t="s">
        <v>2818</v>
      </c>
      <c r="B465" s="485">
        <v>0.536803693285553</v>
      </c>
      <c r="C465" s="485">
        <v>0.54924824481625512</v>
      </c>
      <c r="D465" s="485">
        <v>0.5593090467309062</v>
      </c>
      <c r="E465" s="485">
        <v>0.56714303020067847</v>
      </c>
      <c r="F465" s="485">
        <v>0.57084537390946111</v>
      </c>
      <c r="G465" s="485">
        <v>0.5685676325903235</v>
      </c>
    </row>
    <row r="466" spans="1:7" x14ac:dyDescent="0.25">
      <c r="A466" s="485" t="s">
        <v>2819</v>
      </c>
      <c r="B466" s="485">
        <v>5.4354218725356576E-2</v>
      </c>
      <c r="C466" s="485">
        <v>5.5654468775423134E-2</v>
      </c>
      <c r="D466" s="485">
        <v>5.6778001557869384E-2</v>
      </c>
      <c r="E466" s="485">
        <v>6.0118502402044444E-2</v>
      </c>
      <c r="F466" s="485">
        <v>6.3500620567258331E-2</v>
      </c>
      <c r="G466" s="485">
        <v>6.5308663997247496E-2</v>
      </c>
    </row>
    <row r="467" spans="1:7" x14ac:dyDescent="0.25">
      <c r="A467" s="485" t="s">
        <v>2820</v>
      </c>
      <c r="B467" s="485">
        <v>0.62721218525158584</v>
      </c>
      <c r="C467" s="485">
        <v>0.63925958985862807</v>
      </c>
      <c r="D467" s="485">
        <v>0.64875615811663234</v>
      </c>
      <c r="E467" s="485">
        <v>0.65606317567893235</v>
      </c>
      <c r="F467" s="485">
        <v>0.65712002330777652</v>
      </c>
      <c r="G467" s="485">
        <v>0.65186605583539525</v>
      </c>
    </row>
    <row r="468" spans="1:7" x14ac:dyDescent="0.25">
      <c r="A468" s="485" t="s">
        <v>2821</v>
      </c>
      <c r="B468" s="485">
        <v>0.69361380858398469</v>
      </c>
      <c r="C468" s="485">
        <v>0.70441062689205547</v>
      </c>
      <c r="D468" s="485">
        <v>0.71284117723680196</v>
      </c>
      <c r="E468" s="485">
        <v>0.71723852570982105</v>
      </c>
      <c r="F468" s="485">
        <v>0.7153666764026535</v>
      </c>
      <c r="G468" s="485">
        <v>0.70767389920934209</v>
      </c>
    </row>
    <row r="469" spans="1:7" x14ac:dyDescent="0.25">
      <c r="A469" s="485" t="s">
        <v>2822</v>
      </c>
      <c r="B469" s="485">
        <v>0.75876484561741186</v>
      </c>
      <c r="C469" s="485">
        <v>0.76849564601222509</v>
      </c>
      <c r="D469" s="485">
        <v>0.77401652726769044</v>
      </c>
      <c r="E469" s="485">
        <v>0.77548517880469769</v>
      </c>
      <c r="F469" s="485">
        <v>0.77117451977660034</v>
      </c>
      <c r="G469" s="485">
        <v>0.76115866658709597</v>
      </c>
    </row>
    <row r="470" spans="1:7" x14ac:dyDescent="0.25">
      <c r="A470" s="485" t="s">
        <v>2823</v>
      </c>
      <c r="B470" s="485">
        <v>0.82284986473758159</v>
      </c>
      <c r="C470" s="485">
        <v>0.82967099604311367</v>
      </c>
      <c r="D470" s="485">
        <v>0.83226318036256719</v>
      </c>
      <c r="E470" s="485">
        <v>0.83129302217864487</v>
      </c>
      <c r="F470" s="485">
        <v>0.82465928715435433</v>
      </c>
      <c r="G470" s="485">
        <v>0.8123768127696912</v>
      </c>
    </row>
    <row r="471" spans="1:7" x14ac:dyDescent="0.25">
      <c r="A471" s="485" t="s">
        <v>2824</v>
      </c>
      <c r="B471" s="485">
        <v>0.88402521476847018</v>
      </c>
      <c r="C471" s="485">
        <v>0.88791764913799043</v>
      </c>
      <c r="D471" s="485">
        <v>0.88807102373651414</v>
      </c>
      <c r="E471" s="485">
        <v>0.88477778955639885</v>
      </c>
      <c r="F471" s="485">
        <v>0.87587743333694978</v>
      </c>
      <c r="G471" s="485">
        <v>0.86158997662867232</v>
      </c>
    </row>
    <row r="472" spans="1:7" x14ac:dyDescent="0.25">
      <c r="A472" s="485" t="s">
        <v>2825</v>
      </c>
      <c r="B472" s="485">
        <v>0.94227186786334705</v>
      </c>
      <c r="C472" s="485">
        <v>0.94372549251193749</v>
      </c>
      <c r="D472" s="485">
        <v>0.94155579111426835</v>
      </c>
      <c r="E472" s="485">
        <v>0.93599593573899431</v>
      </c>
      <c r="F472" s="485">
        <v>0.92509059719593068</v>
      </c>
      <c r="G472" s="485">
        <v>0.90888162097355174</v>
      </c>
    </row>
    <row r="473" spans="1:7" x14ac:dyDescent="0.25">
      <c r="A473" s="485" t="s">
        <v>2826</v>
      </c>
      <c r="B473" s="485">
        <v>0.99807971123729389</v>
      </c>
      <c r="C473" s="485">
        <v>0.99721025988969125</v>
      </c>
      <c r="D473" s="485">
        <v>0.99277393729686347</v>
      </c>
      <c r="E473" s="485">
        <v>0.9852090995979752</v>
      </c>
      <c r="F473" s="485">
        <v>0.97238224154080999</v>
      </c>
      <c r="G473" s="485">
        <v>0.95433154261399855</v>
      </c>
    </row>
    <row r="474" spans="1:7" x14ac:dyDescent="0.25">
      <c r="A474" s="485" t="s">
        <v>2827</v>
      </c>
      <c r="B474" s="485">
        <v>1.051564478615048</v>
      </c>
      <c r="C474" s="485">
        <v>1.0484284060722866</v>
      </c>
      <c r="D474" s="485">
        <v>1.0419871011558446</v>
      </c>
      <c r="E474" s="485">
        <v>1.0325007439428546</v>
      </c>
      <c r="F474" s="485">
        <v>1.0178321631812568</v>
      </c>
      <c r="G474" s="485">
        <v>0.99801604037986824</v>
      </c>
    </row>
    <row r="475" spans="1:7" x14ac:dyDescent="0.25">
      <c r="A475" s="485" t="s">
        <v>2828</v>
      </c>
      <c r="B475" s="485">
        <v>1.1027826247976433</v>
      </c>
      <c r="C475" s="485">
        <v>1.0976415699312678</v>
      </c>
      <c r="D475" s="485">
        <v>1.089278745500724</v>
      </c>
      <c r="E475" s="485">
        <v>1.0779506655833015</v>
      </c>
      <c r="F475" s="485">
        <v>1.0615166609471267</v>
      </c>
      <c r="G475" s="485">
        <v>1.0400080751964915</v>
      </c>
    </row>
    <row r="476" spans="1:7" x14ac:dyDescent="0.25">
      <c r="A476" s="485" t="s">
        <v>2829</v>
      </c>
      <c r="B476" s="485">
        <v>1.1519957886566243</v>
      </c>
      <c r="C476" s="485">
        <v>1.144933214276147</v>
      </c>
      <c r="D476" s="485">
        <v>1.1347286671411707</v>
      </c>
      <c r="E476" s="485">
        <v>1.121635163349171</v>
      </c>
      <c r="F476" s="485">
        <v>1.1035086957637499</v>
      </c>
      <c r="G476" s="485">
        <v>1.0803774225991196</v>
      </c>
    </row>
    <row r="477" spans="1:7" x14ac:dyDescent="0.25">
      <c r="A477" s="485" t="s">
        <v>2830</v>
      </c>
      <c r="B477" s="485">
        <v>0.11000868750077969</v>
      </c>
      <c r="C477" s="485">
        <v>0.11243247033329253</v>
      </c>
      <c r="D477" s="485">
        <v>0.11689650395991383</v>
      </c>
      <c r="E477" s="485">
        <v>0.12361912296930279</v>
      </c>
      <c r="F477" s="485">
        <v>0.12880928456450585</v>
      </c>
      <c r="G477" s="485">
        <v>0.13279057791867291</v>
      </c>
    </row>
    <row r="478" spans="1:7" x14ac:dyDescent="0.25">
      <c r="A478" s="485" t="s">
        <v>2831</v>
      </c>
      <c r="B478" s="485">
        <v>1.1992874330015035</v>
      </c>
      <c r="C478" s="485">
        <v>1.1903831359165937</v>
      </c>
      <c r="D478" s="485">
        <v>1.1784131649070404</v>
      </c>
      <c r="E478" s="485">
        <v>1.1636271981657942</v>
      </c>
      <c r="F478" s="485">
        <v>1.143878043166378</v>
      </c>
      <c r="G478" s="485">
        <v>1.1191908180515968</v>
      </c>
    </row>
    <row r="479" spans="1:7" x14ac:dyDescent="0.25">
      <c r="A479" s="485" t="s">
        <v>2832</v>
      </c>
      <c r="B479" s="485">
        <v>1.2447373546419505</v>
      </c>
      <c r="C479" s="485">
        <v>1.2340676336824634</v>
      </c>
      <c r="D479" s="485">
        <v>1.220405199723664</v>
      </c>
      <c r="E479" s="485">
        <v>1.2039965455684223</v>
      </c>
      <c r="F479" s="485">
        <v>1.1826914386188552</v>
      </c>
      <c r="G479" s="485">
        <v>1.1558245088986727</v>
      </c>
    </row>
    <row r="480" spans="1:7" x14ac:dyDescent="0.25">
      <c r="A480" s="485" t="s">
        <v>2833</v>
      </c>
      <c r="B480" s="485">
        <v>1.2884218524078201</v>
      </c>
      <c r="C480" s="485">
        <v>1.2760596684990868</v>
      </c>
      <c r="D480" s="485">
        <v>1.2607745471262919</v>
      </c>
      <c r="E480" s="485">
        <v>1.2428099410208997</v>
      </c>
      <c r="F480" s="485">
        <v>1.2193251294659313</v>
      </c>
      <c r="G480" s="485">
        <v>1.1904009042238981</v>
      </c>
    </row>
    <row r="481" spans="1:7" x14ac:dyDescent="0.25">
      <c r="A481" s="485" t="s">
        <v>2834</v>
      </c>
      <c r="B481" s="485">
        <v>1.3304138872244435</v>
      </c>
      <c r="C481" s="485">
        <v>1.3164290159017149</v>
      </c>
      <c r="D481" s="485">
        <v>1.2995879425787691</v>
      </c>
      <c r="E481" s="485">
        <v>1.2794436318679758</v>
      </c>
      <c r="F481" s="485">
        <v>1.2539015247911565</v>
      </c>
      <c r="G481" s="485">
        <v>1.2230355387923033</v>
      </c>
    </row>
    <row r="482" spans="1:7" x14ac:dyDescent="0.25">
      <c r="A482" s="485" t="s">
        <v>2835</v>
      </c>
      <c r="B482" s="485">
        <v>1.3707832346270716</v>
      </c>
      <c r="C482" s="485">
        <v>1.3552424113541923</v>
      </c>
      <c r="D482" s="485">
        <v>1.3362216334258448</v>
      </c>
      <c r="E482" s="485">
        <v>1.3140200271932008</v>
      </c>
      <c r="F482" s="485">
        <v>1.2865361593595614</v>
      </c>
      <c r="G482" s="485">
        <v>1.2538374591022652</v>
      </c>
    </row>
    <row r="483" spans="1:7" x14ac:dyDescent="0.25">
      <c r="A483" s="485" t="s">
        <v>2836</v>
      </c>
      <c r="B483" s="485">
        <v>1.4095966300795486</v>
      </c>
      <c r="C483" s="485">
        <v>1.391876102201268</v>
      </c>
      <c r="D483" s="485">
        <v>1.3707980287510704</v>
      </c>
      <c r="E483" s="485">
        <v>1.346654661761606</v>
      </c>
      <c r="F483" s="485">
        <v>1.3173380796695238</v>
      </c>
      <c r="G483" s="485">
        <v>1.2829095877572558</v>
      </c>
    </row>
    <row r="484" spans="1:7" x14ac:dyDescent="0.25">
      <c r="A484" s="485" t="s">
        <v>2837</v>
      </c>
      <c r="B484" s="485">
        <v>0.16678668905864907</v>
      </c>
      <c r="C484" s="485">
        <v>0.17255097273533698</v>
      </c>
      <c r="D484" s="485">
        <v>0.18039712452717216</v>
      </c>
      <c r="E484" s="485">
        <v>0.18892778696655027</v>
      </c>
      <c r="F484" s="485">
        <v>0.19629119848593124</v>
      </c>
      <c r="G484" s="485">
        <v>0.20098760938011298</v>
      </c>
    </row>
    <row r="485" spans="1:7" x14ac:dyDescent="0.25">
      <c r="A485" s="485" t="s">
        <v>2838</v>
      </c>
      <c r="B485" s="485">
        <v>0.22690519146069354</v>
      </c>
      <c r="C485" s="485">
        <v>0.23605159330259531</v>
      </c>
      <c r="D485" s="485">
        <v>0.24570578852441965</v>
      </c>
      <c r="E485" s="485">
        <v>0.25640970088797571</v>
      </c>
      <c r="F485" s="485">
        <v>0.26448822994737131</v>
      </c>
      <c r="G485" s="485">
        <v>0.2691789171608106</v>
      </c>
    </row>
    <row r="486" spans="1:7" x14ac:dyDescent="0.25">
      <c r="A486" s="485" t="s">
        <v>2839</v>
      </c>
      <c r="B486" s="485">
        <v>0.2904058120279519</v>
      </c>
      <c r="C486" s="485">
        <v>0.30136025729984284</v>
      </c>
      <c r="D486" s="485">
        <v>0.31318770244584504</v>
      </c>
      <c r="E486" s="485">
        <v>0.32460673234941584</v>
      </c>
      <c r="F486" s="485">
        <v>0.33267953772806891</v>
      </c>
      <c r="G486" s="485">
        <v>0.33680637322363394</v>
      </c>
    </row>
    <row r="487" spans="1:7" x14ac:dyDescent="0.25">
      <c r="A487" s="485" t="s">
        <v>2840</v>
      </c>
      <c r="B487" s="485">
        <v>0.35571447602519934</v>
      </c>
      <c r="C487" s="485">
        <v>0.36884217122126828</v>
      </c>
      <c r="D487" s="485">
        <v>0.38138473390728506</v>
      </c>
      <c r="E487" s="485">
        <v>0.39279804013011338</v>
      </c>
      <c r="F487" s="485">
        <v>0.40030699379089241</v>
      </c>
      <c r="G487" s="485">
        <v>0.40320799655603273</v>
      </c>
    </row>
    <row r="488" spans="1:7" x14ac:dyDescent="0.25">
      <c r="A488" s="485" t="s">
        <v>2841</v>
      </c>
      <c r="B488" s="485">
        <v>0.42319638994662484</v>
      </c>
      <c r="C488" s="485">
        <v>0.43703920268270829</v>
      </c>
      <c r="D488" s="485">
        <v>0.44957604168798271</v>
      </c>
      <c r="E488" s="485">
        <v>0.46042549619293677</v>
      </c>
      <c r="F488" s="485">
        <v>0.46670861712329109</v>
      </c>
      <c r="G488" s="485">
        <v>0.46835903358946002</v>
      </c>
    </row>
    <row r="489" spans="1:7" x14ac:dyDescent="0.25">
      <c r="A489" s="485" t="s">
        <v>2842</v>
      </c>
      <c r="B489" s="485">
        <v>0.49139342140806486</v>
      </c>
      <c r="C489" s="485">
        <v>0.50523051046340595</v>
      </c>
      <c r="D489" s="485">
        <v>0.5172034977508061</v>
      </c>
      <c r="E489" s="485">
        <v>0.52682711952533567</v>
      </c>
      <c r="F489" s="485">
        <v>0.53185965415671843</v>
      </c>
      <c r="G489" s="485">
        <v>0.53244405270962969</v>
      </c>
    </row>
    <row r="490" spans="1:7" x14ac:dyDescent="0.25">
      <c r="A490" s="485" t="s">
        <v>2843</v>
      </c>
      <c r="B490" s="485">
        <v>0.55958472918876256</v>
      </c>
      <c r="C490" s="485">
        <v>0.57285796652622933</v>
      </c>
      <c r="D490" s="485">
        <v>0.58360512108320495</v>
      </c>
      <c r="E490" s="485">
        <v>0.59197815655876285</v>
      </c>
      <c r="F490" s="485">
        <v>0.59594467327688805</v>
      </c>
      <c r="G490" s="485">
        <v>0.59361940274051828</v>
      </c>
    </row>
    <row r="491" spans="1:7" x14ac:dyDescent="0.25">
      <c r="A491" s="485" t="s">
        <v>2844</v>
      </c>
      <c r="B491" s="485">
        <v>0.74706814877244387</v>
      </c>
      <c r="C491" s="485">
        <v>0.72879939870999932</v>
      </c>
      <c r="D491" s="485">
        <v>0.7078940115934389</v>
      </c>
      <c r="E491" s="485">
        <v>0.685152625453188</v>
      </c>
      <c r="F491" s="485">
        <v>0.66120966715623419</v>
      </c>
      <c r="G491" s="485">
        <v>0.63680007864045907</v>
      </c>
    </row>
    <row r="492" spans="1:7" x14ac:dyDescent="0.25">
      <c r="A492" s="485" t="s">
        <v>2845</v>
      </c>
      <c r="B492" s="485">
        <v>3.7401184561200604E-2</v>
      </c>
      <c r="C492" s="485">
        <v>3.7565013643518552E-2</v>
      </c>
      <c r="D492" s="485">
        <v>3.7639491222037802E-2</v>
      </c>
      <c r="E492" s="485">
        <v>3.8447444955417055E-2</v>
      </c>
      <c r="F492" s="485">
        <v>3.9588538384301125E-2</v>
      </c>
      <c r="G492" s="485">
        <v>3.9769001265501015E-2</v>
      </c>
    </row>
    <row r="493" spans="1:7" x14ac:dyDescent="0.25">
      <c r="A493" s="485" t="s">
        <v>2846</v>
      </c>
      <c r="B493" s="485">
        <v>0.39256033270699014</v>
      </c>
      <c r="C493" s="485">
        <v>0.39460256724931114</v>
      </c>
      <c r="D493" s="485">
        <v>0.39605559903905296</v>
      </c>
      <c r="E493" s="485">
        <v>0.39734343080192563</v>
      </c>
      <c r="F493" s="485">
        <v>0.39609345484980274</v>
      </c>
      <c r="G493" s="485">
        <v>0.39197788260661648</v>
      </c>
    </row>
    <row r="494" spans="1:7" x14ac:dyDescent="0.25">
      <c r="A494" s="485" t="s">
        <v>2847</v>
      </c>
      <c r="B494" s="485">
        <v>0.43200375181051187</v>
      </c>
      <c r="C494" s="485">
        <v>0.43362061268257174</v>
      </c>
      <c r="D494" s="485">
        <v>0.43498292202396349</v>
      </c>
      <c r="E494" s="485">
        <v>0.43454089980521965</v>
      </c>
      <c r="F494" s="485">
        <v>0.43156642099091774</v>
      </c>
      <c r="G494" s="485">
        <v>0.42616017901157899</v>
      </c>
    </row>
    <row r="495" spans="1:7" x14ac:dyDescent="0.25">
      <c r="A495" s="485" t="s">
        <v>2848</v>
      </c>
      <c r="B495" s="485">
        <v>0.47102179724377224</v>
      </c>
      <c r="C495" s="485">
        <v>0.47254793566748216</v>
      </c>
      <c r="D495" s="485">
        <v>0.47218039102725751</v>
      </c>
      <c r="E495" s="485">
        <v>0.47001386594633465</v>
      </c>
      <c r="F495" s="485">
        <v>0.46574871739588014</v>
      </c>
      <c r="G495" s="485">
        <v>0.45910269316776953</v>
      </c>
    </row>
    <row r="496" spans="1:7" x14ac:dyDescent="0.25">
      <c r="A496" s="485" t="s">
        <v>2849</v>
      </c>
      <c r="B496" s="485">
        <v>0.50994912022868277</v>
      </c>
      <c r="C496" s="485">
        <v>0.50974540467077611</v>
      </c>
      <c r="D496" s="485">
        <v>0.50765335716837245</v>
      </c>
      <c r="E496" s="485">
        <v>0.50419616235129705</v>
      </c>
      <c r="F496" s="485">
        <v>0.49869123155207062</v>
      </c>
      <c r="G496" s="485">
        <v>0.49078149695647688</v>
      </c>
    </row>
    <row r="497" spans="1:7" x14ac:dyDescent="0.25">
      <c r="A497" s="485" t="s">
        <v>2850</v>
      </c>
      <c r="B497" s="485">
        <v>0.54714658923197657</v>
      </c>
      <c r="C497" s="485">
        <v>0.54521837081189128</v>
      </c>
      <c r="D497" s="485">
        <v>0.54183565357333496</v>
      </c>
      <c r="E497" s="485">
        <v>0.5371386765074877</v>
      </c>
      <c r="F497" s="485">
        <v>0.53037003534077787</v>
      </c>
      <c r="G497" s="485">
        <v>0.52135695298298779</v>
      </c>
    </row>
    <row r="498" spans="1:7" x14ac:dyDescent="0.25">
      <c r="A498" s="485" t="s">
        <v>2851</v>
      </c>
      <c r="B498" s="485">
        <v>0.58261955537309196</v>
      </c>
      <c r="C498" s="485">
        <v>0.57940066721685368</v>
      </c>
      <c r="D498" s="485">
        <v>0.57477816772952561</v>
      </c>
      <c r="E498" s="485">
        <v>0.56881748029619494</v>
      </c>
      <c r="F498" s="485">
        <v>0.56094549136728877</v>
      </c>
      <c r="G498" s="485">
        <v>0.55086992487503483</v>
      </c>
    </row>
    <row r="499" spans="1:7" x14ac:dyDescent="0.25">
      <c r="A499" s="485" t="s">
        <v>2852</v>
      </c>
      <c r="B499" s="485">
        <v>0.61680185177805436</v>
      </c>
      <c r="C499" s="485">
        <v>0.61234318137304433</v>
      </c>
      <c r="D499" s="485">
        <v>0.60645697151823286</v>
      </c>
      <c r="E499" s="485">
        <v>0.59939293632270596</v>
      </c>
      <c r="F499" s="485">
        <v>0.59045846325933593</v>
      </c>
      <c r="G499" s="485">
        <v>0.57935965895101105</v>
      </c>
    </row>
    <row r="500" spans="1:7" x14ac:dyDescent="0.25">
      <c r="A500" s="485" t="s">
        <v>2853</v>
      </c>
      <c r="B500" s="485">
        <v>0.64974436593424489</v>
      </c>
      <c r="C500" s="485">
        <v>0.64402198516175146</v>
      </c>
      <c r="D500" s="485">
        <v>0.63703242754474354</v>
      </c>
      <c r="E500" s="485">
        <v>0.62890590821475323</v>
      </c>
      <c r="F500" s="485">
        <v>0.61894819733531237</v>
      </c>
      <c r="G500" s="485">
        <v>0.60686385241814378</v>
      </c>
    </row>
    <row r="501" spans="1:7" x14ac:dyDescent="0.25">
      <c r="A501" s="485" t="s">
        <v>2854</v>
      </c>
      <c r="B501" s="485">
        <v>0.68142316972295203</v>
      </c>
      <c r="C501" s="485">
        <v>0.67459744118826248</v>
      </c>
      <c r="D501" s="485">
        <v>0.66654539943679081</v>
      </c>
      <c r="E501" s="485">
        <v>0.65739564229072922</v>
      </c>
      <c r="F501" s="485">
        <v>0.6464523908024451</v>
      </c>
      <c r="G501" s="485">
        <v>0.63341871853617371</v>
      </c>
    </row>
    <row r="502" spans="1:7" x14ac:dyDescent="0.25">
      <c r="A502" s="485" t="s">
        <v>2855</v>
      </c>
      <c r="B502" s="485">
        <v>0.71199862574946293</v>
      </c>
      <c r="C502" s="485">
        <v>0.70411041308030953</v>
      </c>
      <c r="D502" s="485">
        <v>0.69503513351276702</v>
      </c>
      <c r="E502" s="485">
        <v>0.68489983575786195</v>
      </c>
      <c r="F502" s="485">
        <v>0.67300725692047481</v>
      </c>
      <c r="G502" s="485">
        <v>0.65905904888723477</v>
      </c>
    </row>
    <row r="503" spans="1:7" x14ac:dyDescent="0.25">
      <c r="A503" s="485" t="s">
        <v>2856</v>
      </c>
      <c r="B503" s="485">
        <v>7.496619820471917E-2</v>
      </c>
      <c r="C503" s="485">
        <v>7.5204504865556299E-2</v>
      </c>
      <c r="D503" s="485">
        <v>7.6086936177454836E-2</v>
      </c>
      <c r="E503" s="485">
        <v>7.8035983339718173E-2</v>
      </c>
      <c r="F503" s="485">
        <v>7.9357539649802133E-2</v>
      </c>
      <c r="G503" s="485">
        <v>8.0613842636113278E-2</v>
      </c>
    </row>
    <row r="504" spans="1:7" x14ac:dyDescent="0.25">
      <c r="A504" s="485" t="s">
        <v>2857</v>
      </c>
      <c r="B504" s="485">
        <v>0.74151159764151009</v>
      </c>
      <c r="C504" s="485">
        <v>0.73260014715628574</v>
      </c>
      <c r="D504" s="485">
        <v>0.72253932697989987</v>
      </c>
      <c r="E504" s="485">
        <v>0.71145470187589188</v>
      </c>
      <c r="F504" s="485">
        <v>0.69864758727153575</v>
      </c>
      <c r="G504" s="485">
        <v>0.68381827288591346</v>
      </c>
    </row>
    <row r="505" spans="1:7" x14ac:dyDescent="0.25">
      <c r="A505" s="485" t="s">
        <v>2858</v>
      </c>
      <c r="B505" s="485">
        <v>0.77000133171748653</v>
      </c>
      <c r="C505" s="485">
        <v>0.76010434062341881</v>
      </c>
      <c r="D505" s="485">
        <v>0.74909419309792957</v>
      </c>
      <c r="E505" s="485">
        <v>0.73709503222695272</v>
      </c>
      <c r="F505" s="485">
        <v>0.72340681127021456</v>
      </c>
      <c r="G505" s="485">
        <v>0.70718705438537466</v>
      </c>
    </row>
    <row r="506" spans="1:7" x14ac:dyDescent="0.25">
      <c r="A506" s="485" t="s">
        <v>2859</v>
      </c>
      <c r="B506" s="485">
        <v>0.79750552518461915</v>
      </c>
      <c r="C506" s="485">
        <v>0.78665920674144829</v>
      </c>
      <c r="D506" s="485">
        <v>0.77473452344899074</v>
      </c>
      <c r="E506" s="485">
        <v>0.76185425622563185</v>
      </c>
      <c r="F506" s="485">
        <v>0.74677559276967576</v>
      </c>
      <c r="G506" s="485">
        <v>0.72924347864159078</v>
      </c>
    </row>
    <row r="507" spans="1:7" x14ac:dyDescent="0.25">
      <c r="A507" s="485" t="s">
        <v>2860</v>
      </c>
      <c r="B507" s="485">
        <v>0.82406039130264908</v>
      </c>
      <c r="C507" s="485">
        <v>0.81229953709250946</v>
      </c>
      <c r="D507" s="485">
        <v>0.79949374744766954</v>
      </c>
      <c r="E507" s="485">
        <v>0.78522303772509283</v>
      </c>
      <c r="F507" s="485">
        <v>0.76883201702589199</v>
      </c>
      <c r="G507" s="485">
        <v>0.75006124575458377</v>
      </c>
    </row>
    <row r="508" spans="1:7" x14ac:dyDescent="0.25">
      <c r="A508" s="485" t="s">
        <v>2861</v>
      </c>
      <c r="B508" s="485">
        <v>0.84970072165370991</v>
      </c>
      <c r="C508" s="485">
        <v>0.83705876109118826</v>
      </c>
      <c r="D508" s="485">
        <v>0.82286252894713074</v>
      </c>
      <c r="E508" s="485">
        <v>0.80727946198130907</v>
      </c>
      <c r="F508" s="485">
        <v>0.78964978413888509</v>
      </c>
      <c r="G508" s="485">
        <v>0.76970991693249158</v>
      </c>
    </row>
    <row r="509" spans="1:7" x14ac:dyDescent="0.25">
      <c r="A509" s="485" t="s">
        <v>2862</v>
      </c>
      <c r="B509" s="485">
        <v>0.87445994565238916</v>
      </c>
      <c r="C509" s="485">
        <v>0.86042754259064935</v>
      </c>
      <c r="D509" s="485">
        <v>0.84491895320334665</v>
      </c>
      <c r="E509" s="485">
        <v>0.82809722909430206</v>
      </c>
      <c r="F509" s="485">
        <v>0.80929845531679256</v>
      </c>
      <c r="G509" s="485">
        <v>0.78825514692579723</v>
      </c>
    </row>
    <row r="510" spans="1:7" x14ac:dyDescent="0.25">
      <c r="A510" s="485" t="s">
        <v>2863</v>
      </c>
      <c r="B510" s="485">
        <v>0.89782872715185003</v>
      </c>
      <c r="C510" s="485">
        <v>0.88248396684686559</v>
      </c>
      <c r="D510" s="485">
        <v>0.86573672031633986</v>
      </c>
      <c r="E510" s="485">
        <v>0.84774590027220942</v>
      </c>
      <c r="F510" s="485">
        <v>0.82784368531009844</v>
      </c>
      <c r="G510" s="485">
        <v>0.80575890340838918</v>
      </c>
    </row>
    <row r="511" spans="1:7" x14ac:dyDescent="0.25">
      <c r="A511" s="485" t="s">
        <v>2864</v>
      </c>
      <c r="B511" s="485">
        <v>0.91988515140806626</v>
      </c>
      <c r="C511" s="485">
        <v>0.90330173395985858</v>
      </c>
      <c r="D511" s="485">
        <v>0.88538539149424755</v>
      </c>
      <c r="E511" s="485">
        <v>0.86629113026551563</v>
      </c>
      <c r="F511" s="485">
        <v>0.84534744179269006</v>
      </c>
      <c r="G511" s="485">
        <v>0.82227967403848967</v>
      </c>
    </row>
    <row r="512" spans="1:7" x14ac:dyDescent="0.25">
      <c r="A512" s="485" t="s">
        <v>2865</v>
      </c>
      <c r="B512" s="485">
        <v>0.94070291852105925</v>
      </c>
      <c r="C512" s="485">
        <v>0.92295040513776605</v>
      </c>
      <c r="D512" s="485">
        <v>0.90393062148755354</v>
      </c>
      <c r="E512" s="485">
        <v>0.88379488674810736</v>
      </c>
      <c r="F512" s="485">
        <v>0.86186821242279088</v>
      </c>
      <c r="G512" s="485">
        <v>0.83787266189134557</v>
      </c>
    </row>
    <row r="513" spans="1:7" x14ac:dyDescent="0.25">
      <c r="A513" s="485" t="s">
        <v>2866</v>
      </c>
      <c r="B513" s="485">
        <v>0.96035158969896706</v>
      </c>
      <c r="C513" s="485">
        <v>0.94149563513107204</v>
      </c>
      <c r="D513" s="485">
        <v>0.92143437797014494</v>
      </c>
      <c r="E513" s="485">
        <v>0.90031565737820796</v>
      </c>
      <c r="F513" s="485">
        <v>0.87746120027564645</v>
      </c>
      <c r="G513" s="485">
        <v>0.852589969916693</v>
      </c>
    </row>
    <row r="514" spans="1:7" x14ac:dyDescent="0.25">
      <c r="A514" s="485" t="s">
        <v>2867</v>
      </c>
      <c r="B514" s="485">
        <v>0.1126056894267569</v>
      </c>
      <c r="C514" s="485">
        <v>0.11365194982097329</v>
      </c>
      <c r="D514" s="485">
        <v>0.11567547456175596</v>
      </c>
      <c r="E514" s="485">
        <v>0.1178049846052192</v>
      </c>
      <c r="F514" s="485">
        <v>0.12020238102041439</v>
      </c>
      <c r="G514" s="485">
        <v>0.12135784698494112</v>
      </c>
    </row>
    <row r="515" spans="1:7" x14ac:dyDescent="0.25">
      <c r="A515" s="485" t="s">
        <v>2868</v>
      </c>
      <c r="B515" s="485">
        <v>0.97889681969227271</v>
      </c>
      <c r="C515" s="485">
        <v>0.95899939161366365</v>
      </c>
      <c r="D515" s="485">
        <v>0.93795514860024587</v>
      </c>
      <c r="E515" s="485">
        <v>0.91590864523106363</v>
      </c>
      <c r="F515" s="485">
        <v>0.89217850830099421</v>
      </c>
      <c r="G515" s="485">
        <v>0.86648077503736121</v>
      </c>
    </row>
    <row r="516" spans="1:7" x14ac:dyDescent="0.25">
      <c r="A516" s="485" t="s">
        <v>2869</v>
      </c>
      <c r="B516" s="485">
        <v>0.15105313438217394</v>
      </c>
      <c r="C516" s="485">
        <v>0.15324048820527439</v>
      </c>
      <c r="D516" s="485">
        <v>0.15544447582725698</v>
      </c>
      <c r="E516" s="485">
        <v>0.15864982597583144</v>
      </c>
      <c r="F516" s="485">
        <v>0.16094638536924225</v>
      </c>
      <c r="G516" s="485">
        <v>0.1618242616604246</v>
      </c>
    </row>
    <row r="517" spans="1:7" x14ac:dyDescent="0.25">
      <c r="A517" s="485" t="s">
        <v>2870</v>
      </c>
      <c r="B517" s="485">
        <v>0.19064167276647506</v>
      </c>
      <c r="C517" s="485">
        <v>0.19300948947077526</v>
      </c>
      <c r="D517" s="485">
        <v>0.19628931719786924</v>
      </c>
      <c r="E517" s="485">
        <v>0.19939383032465932</v>
      </c>
      <c r="F517" s="485">
        <v>0.20141280004472573</v>
      </c>
      <c r="G517" s="485">
        <v>0.201918659940515</v>
      </c>
    </row>
    <row r="518" spans="1:7" x14ac:dyDescent="0.25">
      <c r="A518" s="485" t="s">
        <v>2871</v>
      </c>
      <c r="B518" s="485">
        <v>0.2304106740319759</v>
      </c>
      <c r="C518" s="485">
        <v>0.23385433084138757</v>
      </c>
      <c r="D518" s="485">
        <v>0.23703332154669715</v>
      </c>
      <c r="E518" s="485">
        <v>0.23986024500014275</v>
      </c>
      <c r="F518" s="485">
        <v>0.2415071983248161</v>
      </c>
      <c r="G518" s="485">
        <v>0.24136207904403642</v>
      </c>
    </row>
    <row r="519" spans="1:7" x14ac:dyDescent="0.25">
      <c r="A519" s="485" t="s">
        <v>2872</v>
      </c>
      <c r="B519" s="485">
        <v>0.27125551540258819</v>
      </c>
      <c r="C519" s="485">
        <v>0.27459833519021559</v>
      </c>
      <c r="D519" s="485">
        <v>0.27749973622218049</v>
      </c>
      <c r="E519" s="485">
        <v>0.27995464328023317</v>
      </c>
      <c r="F519" s="485">
        <v>0.28095061742833755</v>
      </c>
      <c r="G519" s="485">
        <v>0.28038012447729704</v>
      </c>
    </row>
    <row r="520" spans="1:7" x14ac:dyDescent="0.25">
      <c r="A520" s="485" t="s">
        <v>2873</v>
      </c>
      <c r="B520" s="485">
        <v>0.31199951975141604</v>
      </c>
      <c r="C520" s="485">
        <v>0.3150647498656991</v>
      </c>
      <c r="D520" s="485">
        <v>0.31759413450227097</v>
      </c>
      <c r="E520" s="485">
        <v>0.31939806238375468</v>
      </c>
      <c r="F520" s="485">
        <v>0.31996866286159814</v>
      </c>
      <c r="G520" s="485">
        <v>0.31930744746220746</v>
      </c>
    </row>
    <row r="521" spans="1:7" x14ac:dyDescent="0.25">
      <c r="A521" s="485" t="s">
        <v>2874</v>
      </c>
      <c r="B521" s="485">
        <v>0.35246593442689972</v>
      </c>
      <c r="C521" s="485">
        <v>0.35515914814578964</v>
      </c>
      <c r="D521" s="485">
        <v>0.35703755360579248</v>
      </c>
      <c r="E521" s="485">
        <v>0.35841610781701533</v>
      </c>
      <c r="F521" s="485">
        <v>0.35889598584650861</v>
      </c>
      <c r="G521" s="485">
        <v>0.35650491646550153</v>
      </c>
    </row>
    <row r="522" spans="1:7" x14ac:dyDescent="0.25">
      <c r="A522" s="485" t="s">
        <v>2875</v>
      </c>
      <c r="B522" s="485">
        <v>3.2834156147711076E-2</v>
      </c>
      <c r="C522" s="485">
        <v>3.269564623937065E-2</v>
      </c>
      <c r="D522" s="485">
        <v>3.2491152672673523E-2</v>
      </c>
      <c r="E522" s="485">
        <v>3.2624616121028641E-2</v>
      </c>
      <c r="F522" s="485">
        <v>3.3168168141949235E-2</v>
      </c>
      <c r="G522" s="485">
        <v>3.2915709497118646E-2</v>
      </c>
    </row>
    <row r="523" spans="1:7" x14ac:dyDescent="0.25">
      <c r="A523" s="485" t="s">
        <v>2876</v>
      </c>
      <c r="B523" s="485">
        <v>0.32954992955223872</v>
      </c>
      <c r="C523" s="485">
        <v>0.3289293657235462</v>
      </c>
      <c r="D523" s="485">
        <v>0.32824197925468562</v>
      </c>
      <c r="E523" s="485">
        <v>0.32792775529022916</v>
      </c>
      <c r="F523" s="485">
        <v>0.32606663028678556</v>
      </c>
      <c r="G523" s="485">
        <v>0.32226033829535183</v>
      </c>
    </row>
    <row r="524" spans="1:7" x14ac:dyDescent="0.25">
      <c r="A524" s="485" t="s">
        <v>2877</v>
      </c>
      <c r="B524" s="485">
        <v>0.36176352187125727</v>
      </c>
      <c r="C524" s="485">
        <v>0.36093762549405639</v>
      </c>
      <c r="D524" s="485">
        <v>0.36041890796290266</v>
      </c>
      <c r="E524" s="485">
        <v>0.35869124640781413</v>
      </c>
      <c r="F524" s="485">
        <v>0.35542850643730112</v>
      </c>
      <c r="G524" s="485">
        <v>0.35063882840314808</v>
      </c>
    </row>
    <row r="525" spans="1:7" x14ac:dyDescent="0.25">
      <c r="A525" s="485" t="s">
        <v>2878</v>
      </c>
      <c r="B525" s="485">
        <v>0.39377178164176735</v>
      </c>
      <c r="C525" s="485">
        <v>0.39311455420227326</v>
      </c>
      <c r="D525" s="485">
        <v>0.39118239908048763</v>
      </c>
      <c r="E525" s="485">
        <v>0.38805312255832969</v>
      </c>
      <c r="F525" s="485">
        <v>0.3838069965450972</v>
      </c>
      <c r="G525" s="485">
        <v>0.37806750049814319</v>
      </c>
    </row>
    <row r="526" spans="1:7" x14ac:dyDescent="0.25">
      <c r="A526" s="485" t="s">
        <v>2879</v>
      </c>
      <c r="B526" s="485">
        <v>0.42594871034998438</v>
      </c>
      <c r="C526" s="485">
        <v>0.42387804531985829</v>
      </c>
      <c r="D526" s="485">
        <v>0.42054427523100324</v>
      </c>
      <c r="E526" s="485">
        <v>0.41643161266612594</v>
      </c>
      <c r="F526" s="485">
        <v>0.41123566864009237</v>
      </c>
      <c r="G526" s="485">
        <v>0.40450109866478257</v>
      </c>
    </row>
    <row r="527" spans="1:7" x14ac:dyDescent="0.25">
      <c r="A527" s="485" t="s">
        <v>2880</v>
      </c>
      <c r="B527" s="485">
        <v>0.45671220146756952</v>
      </c>
      <c r="C527" s="485">
        <v>0.45323992147037401</v>
      </c>
      <c r="D527" s="485">
        <v>0.44892276533879932</v>
      </c>
      <c r="E527" s="485">
        <v>0.44386028476112099</v>
      </c>
      <c r="F527" s="485">
        <v>0.43766926680673163</v>
      </c>
      <c r="G527" s="485">
        <v>0.43007280479959997</v>
      </c>
    </row>
    <row r="528" spans="1:7" x14ac:dyDescent="0.25">
      <c r="A528" s="485" t="s">
        <v>2881</v>
      </c>
      <c r="B528" s="485">
        <v>0.48607407761808508</v>
      </c>
      <c r="C528" s="485">
        <v>0.48161841157817004</v>
      </c>
      <c r="D528" s="485">
        <v>0.47635143743379449</v>
      </c>
      <c r="E528" s="485">
        <v>0.47029388292776036</v>
      </c>
      <c r="F528" s="485">
        <v>0.4632409729415492</v>
      </c>
      <c r="G528" s="485">
        <v>0.45481209285659896</v>
      </c>
    </row>
    <row r="529" spans="1:7" x14ac:dyDescent="0.25">
      <c r="A529" s="485" t="s">
        <v>2882</v>
      </c>
      <c r="B529" s="485">
        <v>0.5144525677258811</v>
      </c>
      <c r="C529" s="485">
        <v>0.5090470836731652</v>
      </c>
      <c r="D529" s="485">
        <v>0.50278503560043397</v>
      </c>
      <c r="E529" s="485">
        <v>0.49586558906257805</v>
      </c>
      <c r="F529" s="485">
        <v>0.4879802609985483</v>
      </c>
      <c r="G529" s="485">
        <v>0.47874736667056927</v>
      </c>
    </row>
    <row r="530" spans="1:7" x14ac:dyDescent="0.25">
      <c r="A530" s="485" t="s">
        <v>2883</v>
      </c>
      <c r="B530" s="485">
        <v>0.54188123982087633</v>
      </c>
      <c r="C530" s="485">
        <v>0.53548068183980446</v>
      </c>
      <c r="D530" s="485">
        <v>0.52835674173525138</v>
      </c>
      <c r="E530" s="485">
        <v>0.52060487711957681</v>
      </c>
      <c r="F530" s="485">
        <v>0.5119155348125185</v>
      </c>
      <c r="G530" s="485">
        <v>0.50190600151079723</v>
      </c>
    </row>
    <row r="531" spans="1:7" x14ac:dyDescent="0.25">
      <c r="A531" s="485" t="s">
        <v>2884</v>
      </c>
      <c r="B531" s="485">
        <v>0.56831483798751581</v>
      </c>
      <c r="C531" s="485">
        <v>0.56105238797462198</v>
      </c>
      <c r="D531" s="485">
        <v>0.55309602979225048</v>
      </c>
      <c r="E531" s="485">
        <v>0.54454015093354713</v>
      </c>
      <c r="F531" s="485">
        <v>0.53507416965274646</v>
      </c>
      <c r="G531" s="485">
        <v>0.52431438391040741</v>
      </c>
    </row>
    <row r="532" spans="1:7" x14ac:dyDescent="0.25">
      <c r="A532" s="485" t="s">
        <v>2885</v>
      </c>
      <c r="B532" s="485">
        <v>0.59388654412233322</v>
      </c>
      <c r="C532" s="485">
        <v>0.58579167603162108</v>
      </c>
      <c r="D532" s="485">
        <v>0.57703130360622046</v>
      </c>
      <c r="E532" s="485">
        <v>0.56769878577377497</v>
      </c>
      <c r="F532" s="485">
        <v>0.55748255205235664</v>
      </c>
      <c r="G532" s="485">
        <v>0.54599794984715255</v>
      </c>
    </row>
    <row r="533" spans="1:7" x14ac:dyDescent="0.25">
      <c r="A533" s="485" t="s">
        <v>2886</v>
      </c>
      <c r="B533" s="485">
        <v>6.552980238708174E-2</v>
      </c>
      <c r="C533" s="485">
        <v>6.518679891204418E-2</v>
      </c>
      <c r="D533" s="485">
        <v>6.511576879370215E-2</v>
      </c>
      <c r="E533" s="485">
        <v>6.5792784262977855E-2</v>
      </c>
      <c r="F533" s="485">
        <v>6.6083877639067867E-2</v>
      </c>
      <c r="G533" s="485">
        <v>6.661380885325402E-2</v>
      </c>
    </row>
    <row r="534" spans="1:7" x14ac:dyDescent="0.25">
      <c r="A534" s="485" t="s">
        <v>2887</v>
      </c>
      <c r="B534" s="485">
        <v>0.6186258321793322</v>
      </c>
      <c r="C534" s="485">
        <v>0.60972694984559139</v>
      </c>
      <c r="D534" s="485">
        <v>0.60018993844644875</v>
      </c>
      <c r="E534" s="485">
        <v>0.59010716817338538</v>
      </c>
      <c r="F534" s="485">
        <v>0.57916611798910189</v>
      </c>
      <c r="G534" s="485">
        <v>0.56698122134798834</v>
      </c>
    </row>
    <row r="535" spans="1:7" x14ac:dyDescent="0.25">
      <c r="A535" s="485" t="s">
        <v>2888</v>
      </c>
      <c r="B535" s="485">
        <v>0.6425611059933023</v>
      </c>
      <c r="C535" s="485">
        <v>0.63288558468581912</v>
      </c>
      <c r="D535" s="485">
        <v>0.62259832084605882</v>
      </c>
      <c r="E535" s="485">
        <v>0.61179073411013041</v>
      </c>
      <c r="F535" s="485">
        <v>0.60014938948993768</v>
      </c>
      <c r="G535" s="485">
        <v>0.58678610242475637</v>
      </c>
    </row>
    <row r="536" spans="1:7" x14ac:dyDescent="0.25">
      <c r="A536" s="485" t="s">
        <v>2889</v>
      </c>
      <c r="B536" s="485">
        <v>0.66571974083353047</v>
      </c>
      <c r="C536" s="485">
        <v>0.65529396708542964</v>
      </c>
      <c r="D536" s="485">
        <v>0.64428188678280396</v>
      </c>
      <c r="E536" s="485">
        <v>0.63277400561096631</v>
      </c>
      <c r="F536" s="485">
        <v>0.61995427056670571</v>
      </c>
      <c r="G536" s="485">
        <v>0.60547876979310777</v>
      </c>
    </row>
    <row r="537" spans="1:7" x14ac:dyDescent="0.25">
      <c r="A537" s="485" t="s">
        <v>2890</v>
      </c>
      <c r="B537" s="485">
        <v>0.68812812323314054</v>
      </c>
      <c r="C537" s="485">
        <v>0.67697753302217467</v>
      </c>
      <c r="D537" s="485">
        <v>0.66526515828363975</v>
      </c>
      <c r="E537" s="485">
        <v>0.65257888668773456</v>
      </c>
      <c r="F537" s="485">
        <v>0.63864693793505689</v>
      </c>
      <c r="G537" s="485">
        <v>0.62312168377928157</v>
      </c>
    </row>
    <row r="538" spans="1:7" x14ac:dyDescent="0.25">
      <c r="A538" s="485" t="s">
        <v>2891</v>
      </c>
      <c r="B538" s="485">
        <v>0.7098116891698858</v>
      </c>
      <c r="C538" s="485">
        <v>0.69796080452301046</v>
      </c>
      <c r="D538" s="485">
        <v>0.68507003936040778</v>
      </c>
      <c r="E538" s="485">
        <v>0.67127155405608552</v>
      </c>
      <c r="F538" s="485">
        <v>0.65628985192123068</v>
      </c>
      <c r="G538" s="485">
        <v>0.63977379702720416</v>
      </c>
    </row>
    <row r="539" spans="1:7" x14ac:dyDescent="0.25">
      <c r="A539" s="485" t="s">
        <v>2892</v>
      </c>
      <c r="B539" s="485">
        <v>0.73079496067072158</v>
      </c>
      <c r="C539" s="485">
        <v>0.7177656855997786</v>
      </c>
      <c r="D539" s="485">
        <v>0.70376270672875929</v>
      </c>
      <c r="E539" s="485">
        <v>0.68891446804225931</v>
      </c>
      <c r="F539" s="485">
        <v>0.67294196516915328</v>
      </c>
      <c r="G539" s="485">
        <v>0.655490751484894</v>
      </c>
    </row>
    <row r="540" spans="1:7" x14ac:dyDescent="0.25">
      <c r="A540" s="485" t="s">
        <v>2893</v>
      </c>
      <c r="B540" s="485">
        <v>9.8020955059755235E-2</v>
      </c>
      <c r="C540" s="485">
        <v>9.7811415033072779E-2</v>
      </c>
      <c r="D540" s="485">
        <v>9.8283936935651378E-2</v>
      </c>
      <c r="E540" s="485">
        <v>9.8708493760096522E-2</v>
      </c>
      <c r="F540" s="485">
        <v>9.9781976995203248E-2</v>
      </c>
      <c r="G540" s="485">
        <v>9.9994345373185856E-2</v>
      </c>
    </row>
    <row r="541" spans="1:7" x14ac:dyDescent="0.25">
      <c r="A541" s="485" t="s">
        <v>2894</v>
      </c>
      <c r="B541" s="485">
        <v>0.1306455711807839</v>
      </c>
      <c r="C541" s="485">
        <v>0.13097958317502204</v>
      </c>
      <c r="D541" s="485">
        <v>0.13119964643277005</v>
      </c>
      <c r="E541" s="485">
        <v>0.13240659311623187</v>
      </c>
      <c r="F541" s="485">
        <v>0.13316251351513506</v>
      </c>
      <c r="G541" s="485">
        <v>0.13302547802445883</v>
      </c>
    </row>
    <row r="542" spans="1:7" x14ac:dyDescent="0.25">
      <c r="A542" s="485" t="s">
        <v>2895</v>
      </c>
      <c r="B542" s="485">
        <v>0.16381373932273313</v>
      </c>
      <c r="C542" s="485">
        <v>0.16389529267214067</v>
      </c>
      <c r="D542" s="485">
        <v>0.16489774578890545</v>
      </c>
      <c r="E542" s="485">
        <v>0.16578712963616371</v>
      </c>
      <c r="F542" s="485">
        <v>0.16619364616640805</v>
      </c>
      <c r="G542" s="485">
        <v>0.1657361902295055</v>
      </c>
    </row>
    <row r="543" spans="1:7" x14ac:dyDescent="0.25">
      <c r="A543" s="485" t="s">
        <v>2896</v>
      </c>
      <c r="B543" s="485">
        <v>0.19672944881985172</v>
      </c>
      <c r="C543" s="485">
        <v>0.19759339202827608</v>
      </c>
      <c r="D543" s="485">
        <v>0.19827828230883729</v>
      </c>
      <c r="E543" s="485">
        <v>0.19881826228743668</v>
      </c>
      <c r="F543" s="485">
        <v>0.19890435837145476</v>
      </c>
      <c r="G543" s="485">
        <v>0.19794978254852416</v>
      </c>
    </row>
    <row r="544" spans="1:7" x14ac:dyDescent="0.25">
      <c r="A544" s="485" t="s">
        <v>2897</v>
      </c>
      <c r="B544" s="485">
        <v>0.23042754817598715</v>
      </c>
      <c r="C544" s="485">
        <v>0.23097392854820789</v>
      </c>
      <c r="D544" s="485">
        <v>0.23130941496011023</v>
      </c>
      <c r="E544" s="485">
        <v>0.23152897449248339</v>
      </c>
      <c r="F544" s="485">
        <v>0.23111795069047331</v>
      </c>
      <c r="G544" s="485">
        <v>0.22995804231903422</v>
      </c>
    </row>
    <row r="545" spans="1:7" x14ac:dyDescent="0.25">
      <c r="A545" s="485" t="s">
        <v>2898</v>
      </c>
      <c r="B545" s="485">
        <v>0.26380808469591893</v>
      </c>
      <c r="C545" s="485">
        <v>0.26400506119948086</v>
      </c>
      <c r="D545" s="485">
        <v>0.26402012716515688</v>
      </c>
      <c r="E545" s="485">
        <v>0.26374256681150199</v>
      </c>
      <c r="F545" s="485">
        <v>0.26312621046098345</v>
      </c>
      <c r="G545" s="485">
        <v>0.2621349710272512</v>
      </c>
    </row>
    <row r="546" spans="1:7" x14ac:dyDescent="0.25">
      <c r="A546" s="485" t="s">
        <v>2899</v>
      </c>
      <c r="B546" s="485">
        <v>0.29683921734719193</v>
      </c>
      <c r="C546" s="485">
        <v>0.29671577340452754</v>
      </c>
      <c r="D546" s="485">
        <v>0.29623371948417543</v>
      </c>
      <c r="E546" s="485">
        <v>0.29575082658201213</v>
      </c>
      <c r="F546" s="485">
        <v>0.29530313916920042</v>
      </c>
      <c r="G546" s="485">
        <v>0.29289846214483622</v>
      </c>
    </row>
    <row r="547" spans="1:7" x14ac:dyDescent="0.25">
      <c r="A547" s="485" t="s">
        <v>2900</v>
      </c>
      <c r="B547" s="485">
        <v>3.5014999700269167E-2</v>
      </c>
      <c r="C547" s="485">
        <v>3.5102422286076608E-2</v>
      </c>
      <c r="D547" s="485">
        <v>3.5109104017373043E-2</v>
      </c>
      <c r="E547" s="485">
        <v>3.5730994133360415E-2</v>
      </c>
      <c r="F547" s="485">
        <v>3.6692248129435182E-2</v>
      </c>
      <c r="G547" s="485">
        <v>3.6765213204623164E-2</v>
      </c>
    </row>
    <row r="548" spans="1:7" x14ac:dyDescent="0.25">
      <c r="A548" s="485" t="s">
        <v>2901</v>
      </c>
      <c r="B548" s="485">
        <v>0.3639934789573992</v>
      </c>
      <c r="C548" s="485">
        <v>0.36534163510475237</v>
      </c>
      <c r="D548" s="485">
        <v>0.36624340227805086</v>
      </c>
      <c r="E548" s="485">
        <v>0.3671115602459194</v>
      </c>
      <c r="F548" s="485">
        <v>0.36576290998144079</v>
      </c>
      <c r="G548" s="485">
        <v>0.36186476173270998</v>
      </c>
    </row>
    <row r="549" spans="1:7" x14ac:dyDescent="0.25">
      <c r="A549" s="485" t="s">
        <v>2902</v>
      </c>
      <c r="B549" s="485">
        <v>0.40035663480502154</v>
      </c>
      <c r="C549" s="485">
        <v>0.40134582456412754</v>
      </c>
      <c r="D549" s="485">
        <v>0.4022206642632925</v>
      </c>
      <c r="E549" s="485">
        <v>0.40149390411480129</v>
      </c>
      <c r="F549" s="485">
        <v>0.39855700986214526</v>
      </c>
      <c r="G549" s="485">
        <v>0.39348550228064694</v>
      </c>
    </row>
    <row r="550" spans="1:7" x14ac:dyDescent="0.25">
      <c r="A550" s="485" t="s">
        <v>2903</v>
      </c>
      <c r="B550" s="485">
        <v>0.43636082426439682</v>
      </c>
      <c r="C550" s="485">
        <v>0.43732308654936936</v>
      </c>
      <c r="D550" s="485">
        <v>0.43660300813217434</v>
      </c>
      <c r="E550" s="485">
        <v>0.43428800399550566</v>
      </c>
      <c r="F550" s="485">
        <v>0.43017775041008216</v>
      </c>
      <c r="G550" s="485">
        <v>0.42397793006072676</v>
      </c>
    </row>
    <row r="551" spans="1:7" x14ac:dyDescent="0.25">
      <c r="A551" s="485" t="s">
        <v>2904</v>
      </c>
      <c r="B551" s="485">
        <v>0.47233808624963858</v>
      </c>
      <c r="C551" s="485">
        <v>0.47170543041825108</v>
      </c>
      <c r="D551" s="485">
        <v>0.46939710801287859</v>
      </c>
      <c r="E551" s="485">
        <v>0.4659087445434425</v>
      </c>
      <c r="F551" s="485">
        <v>0.46067017819016187</v>
      </c>
      <c r="G551" s="485">
        <v>0.45331397875642143</v>
      </c>
    </row>
    <row r="552" spans="1:7" x14ac:dyDescent="0.25">
      <c r="A552" s="485" t="s">
        <v>2905</v>
      </c>
      <c r="B552" s="485">
        <v>0.50672043011852042</v>
      </c>
      <c r="C552" s="485">
        <v>0.50449953029895567</v>
      </c>
      <c r="D552" s="485">
        <v>0.50101784856081555</v>
      </c>
      <c r="E552" s="485">
        <v>0.49640117232352232</v>
      </c>
      <c r="F552" s="485">
        <v>0.49000622688585671</v>
      </c>
      <c r="G552" s="485">
        <v>0.48164200473963714</v>
      </c>
    </row>
    <row r="553" spans="1:7" x14ac:dyDescent="0.25">
      <c r="A553" s="485" t="s">
        <v>2906</v>
      </c>
      <c r="B553" s="485">
        <v>0.53951452999922478</v>
      </c>
      <c r="C553" s="485">
        <v>0.53612027084689251</v>
      </c>
      <c r="D553" s="485">
        <v>0.53151027634089532</v>
      </c>
      <c r="E553" s="485">
        <v>0.52573722101921705</v>
      </c>
      <c r="F553" s="485">
        <v>0.51833425286907242</v>
      </c>
      <c r="G553" s="485">
        <v>0.50899876952210266</v>
      </c>
    </row>
    <row r="554" spans="1:7" x14ac:dyDescent="0.25">
      <c r="A554" s="485" t="s">
        <v>2907</v>
      </c>
      <c r="B554" s="485">
        <v>0.57113527054716173</v>
      </c>
      <c r="C554" s="485">
        <v>0.56661269862697239</v>
      </c>
      <c r="D554" s="485">
        <v>0.56084632503659015</v>
      </c>
      <c r="E554" s="485">
        <v>0.55406524700243276</v>
      </c>
      <c r="F554" s="485">
        <v>0.54569101765153794</v>
      </c>
      <c r="G554" s="485">
        <v>0.53541960218170159</v>
      </c>
    </row>
    <row r="555" spans="1:7" x14ac:dyDescent="0.25">
      <c r="A555" s="485" t="s">
        <v>2908</v>
      </c>
      <c r="B555" s="485">
        <v>0.60162769832724172</v>
      </c>
      <c r="C555" s="485">
        <v>0.59594874732266723</v>
      </c>
      <c r="D555" s="485">
        <v>0.58917435101980575</v>
      </c>
      <c r="E555" s="485">
        <v>0.58142201178489827</v>
      </c>
      <c r="F555" s="485">
        <v>0.57211185031113665</v>
      </c>
      <c r="G555" s="485">
        <v>0.56093845893074112</v>
      </c>
    </row>
    <row r="556" spans="1:7" x14ac:dyDescent="0.25">
      <c r="A556" s="485" t="s">
        <v>2909</v>
      </c>
      <c r="B556" s="485">
        <v>0.63096374702293623</v>
      </c>
      <c r="C556" s="485">
        <v>0.62427677330588272</v>
      </c>
      <c r="D556" s="485">
        <v>0.61653111580227149</v>
      </c>
      <c r="E556" s="485">
        <v>0.60784284444449721</v>
      </c>
      <c r="F556" s="485">
        <v>0.59763070706017662</v>
      </c>
      <c r="G556" s="485">
        <v>0.58558798006281754</v>
      </c>
    </row>
    <row r="557" spans="1:7" x14ac:dyDescent="0.25">
      <c r="A557" s="485" t="s">
        <v>2910</v>
      </c>
      <c r="B557" s="485">
        <v>0.65929177300615205</v>
      </c>
      <c r="C557" s="485">
        <v>0.65163353808834845</v>
      </c>
      <c r="D557" s="485">
        <v>0.6429519484618702</v>
      </c>
      <c r="E557" s="485">
        <v>0.63336170119353685</v>
      </c>
      <c r="F557" s="485">
        <v>0.62228022819225259</v>
      </c>
      <c r="G557" s="485">
        <v>0.60939954439885236</v>
      </c>
    </row>
    <row r="558" spans="1:7" x14ac:dyDescent="0.25">
      <c r="A558" s="485" t="s">
        <v>2911</v>
      </c>
      <c r="B558" s="485">
        <v>7.0117421986345782E-2</v>
      </c>
      <c r="C558" s="485">
        <v>7.0211526303449664E-2</v>
      </c>
      <c r="D558" s="485">
        <v>7.0840098150733485E-2</v>
      </c>
      <c r="E558" s="485">
        <v>7.242324226279559E-2</v>
      </c>
      <c r="F558" s="485">
        <v>7.3457461334058338E-2</v>
      </c>
      <c r="G558" s="485">
        <v>7.44997656753595E-2</v>
      </c>
    </row>
    <row r="559" spans="1:7" x14ac:dyDescent="0.25">
      <c r="A559" s="485" t="s">
        <v>2912</v>
      </c>
      <c r="B559" s="485">
        <v>0.68664853778861767</v>
      </c>
      <c r="C559" s="485">
        <v>0.67805437074794728</v>
      </c>
      <c r="D559" s="485">
        <v>0.66847080521090985</v>
      </c>
      <c r="E559" s="485">
        <v>0.65801122232561315</v>
      </c>
      <c r="F559" s="485">
        <v>0.64609179252828741</v>
      </c>
      <c r="G559" s="485">
        <v>0.63240332134715693</v>
      </c>
    </row>
    <row r="560" spans="1:7" x14ac:dyDescent="0.25">
      <c r="A560" s="485" t="s">
        <v>2913</v>
      </c>
      <c r="B560" s="485">
        <v>0.71306937044821639</v>
      </c>
      <c r="C560" s="485">
        <v>0.70357322749698692</v>
      </c>
      <c r="D560" s="485">
        <v>0.69312032634298604</v>
      </c>
      <c r="E560" s="485">
        <v>0.68182278666164786</v>
      </c>
      <c r="F560" s="485">
        <v>0.6690955694765921</v>
      </c>
      <c r="G560" s="485">
        <v>0.65411523918415981</v>
      </c>
    </row>
    <row r="561" spans="1:7" x14ac:dyDescent="0.25">
      <c r="A561" s="485" t="s">
        <v>2914</v>
      </c>
      <c r="B561" s="485">
        <v>0.73858822719725603</v>
      </c>
      <c r="C561" s="485">
        <v>0.72822274862906344</v>
      </c>
      <c r="D561" s="485">
        <v>0.71693189067902097</v>
      </c>
      <c r="E561" s="485">
        <v>0.70482656360995255</v>
      </c>
      <c r="F561" s="485">
        <v>0.69080748731359487</v>
      </c>
      <c r="G561" s="485">
        <v>0.67460784686420039</v>
      </c>
    </row>
    <row r="562" spans="1:7" x14ac:dyDescent="0.25">
      <c r="A562" s="485" t="s">
        <v>2915</v>
      </c>
      <c r="B562" s="485">
        <v>0.76323774832933233</v>
      </c>
      <c r="C562" s="485">
        <v>0.75203431296509815</v>
      </c>
      <c r="D562" s="485">
        <v>0.73993566762732554</v>
      </c>
      <c r="E562" s="485">
        <v>0.72653848144695543</v>
      </c>
      <c r="F562" s="485">
        <v>0.71130009499363567</v>
      </c>
      <c r="G562" s="485">
        <v>0.69394961909642372</v>
      </c>
    </row>
    <row r="563" spans="1:7" x14ac:dyDescent="0.25">
      <c r="A563" s="485" t="s">
        <v>2916</v>
      </c>
      <c r="B563" s="485">
        <v>0.78704931266536726</v>
      </c>
      <c r="C563" s="485">
        <v>0.77503808991340262</v>
      </c>
      <c r="D563" s="485">
        <v>0.76164758546432854</v>
      </c>
      <c r="E563" s="485">
        <v>0.74703108912699612</v>
      </c>
      <c r="F563" s="485">
        <v>0.730641867225859</v>
      </c>
      <c r="G563" s="485">
        <v>0.71220518514854569</v>
      </c>
    </row>
    <row r="564" spans="1:7" x14ac:dyDescent="0.25">
      <c r="A564" s="485" t="s">
        <v>2917</v>
      </c>
      <c r="B564" s="485">
        <v>0.81005308961367184</v>
      </c>
      <c r="C564" s="485">
        <v>0.79675000775040572</v>
      </c>
      <c r="D564" s="485">
        <v>0.782140193144369</v>
      </c>
      <c r="E564" s="485">
        <v>0.76637286135921945</v>
      </c>
      <c r="F564" s="485">
        <v>0.74889743327798086</v>
      </c>
      <c r="G564" s="485">
        <v>0.72943554480132711</v>
      </c>
    </row>
    <row r="565" spans="1:7" x14ac:dyDescent="0.25">
      <c r="A565" s="485" t="s">
        <v>2918</v>
      </c>
      <c r="B565" s="485">
        <v>0.83176500745067472</v>
      </c>
      <c r="C565" s="485">
        <v>0.81724261543044641</v>
      </c>
      <c r="D565" s="485">
        <v>0.80148196537659211</v>
      </c>
      <c r="E565" s="485">
        <v>0.78462842741134131</v>
      </c>
      <c r="F565" s="485">
        <v>0.76612779293076227</v>
      </c>
      <c r="G565" s="485">
        <v>0.74569827217535378</v>
      </c>
    </row>
    <row r="566" spans="1:7" x14ac:dyDescent="0.25">
      <c r="A566" s="485" t="s">
        <v>2919</v>
      </c>
      <c r="B566" s="485">
        <v>0.85225761513071552</v>
      </c>
      <c r="C566" s="485">
        <v>0.83658438766266952</v>
      </c>
      <c r="D566" s="485">
        <v>0.81973753142871408</v>
      </c>
      <c r="E566" s="485">
        <v>0.80185878706412284</v>
      </c>
      <c r="F566" s="485">
        <v>0.78239052030478906</v>
      </c>
      <c r="G566" s="485">
        <v>0.76104770811119804</v>
      </c>
    </row>
    <row r="567" spans="1:7" x14ac:dyDescent="0.25">
      <c r="A567" s="485" t="s">
        <v>2920</v>
      </c>
      <c r="B567" s="485">
        <v>0.87159938736293863</v>
      </c>
      <c r="C567" s="485">
        <v>0.85483995371479149</v>
      </c>
      <c r="D567" s="485">
        <v>0.83696789108149583</v>
      </c>
      <c r="E567" s="485">
        <v>0.8181215144381494</v>
      </c>
      <c r="F567" s="485">
        <v>0.79773995624063332</v>
      </c>
      <c r="G567" s="485">
        <v>0.77553514174578453</v>
      </c>
    </row>
    <row r="568" spans="1:7" x14ac:dyDescent="0.25">
      <c r="A568" s="485" t="s">
        <v>2921</v>
      </c>
      <c r="B568" s="485">
        <v>0.88985495341506049</v>
      </c>
      <c r="C568" s="485">
        <v>0.8720703133675729</v>
      </c>
      <c r="D568" s="485">
        <v>0.85323061845552273</v>
      </c>
      <c r="E568" s="485">
        <v>0.83347095037399377</v>
      </c>
      <c r="F568" s="485">
        <v>0.8122273898752197</v>
      </c>
      <c r="G568" s="485">
        <v>0.78920898189168953</v>
      </c>
    </row>
    <row r="569" spans="1:7" x14ac:dyDescent="0.25">
      <c r="A569" s="485" t="s">
        <v>2922</v>
      </c>
      <c r="B569" s="485">
        <v>0.10522652600371882</v>
      </c>
      <c r="C569" s="485">
        <v>0.10594252043681002</v>
      </c>
      <c r="D569" s="485">
        <v>0.10753234628016867</v>
      </c>
      <c r="E569" s="485">
        <v>0.1091884554674188</v>
      </c>
      <c r="F569" s="485">
        <v>0.11119201380479471</v>
      </c>
      <c r="G569" s="485">
        <v>0.11208641015990928</v>
      </c>
    </row>
    <row r="570" spans="1:7" x14ac:dyDescent="0.25">
      <c r="A570" s="485" t="s">
        <v>2923</v>
      </c>
      <c r="B570" s="485">
        <v>0.90708531306784213</v>
      </c>
      <c r="C570" s="485">
        <v>0.8883330407415998</v>
      </c>
      <c r="D570" s="485">
        <v>0.86858005439136687</v>
      </c>
      <c r="E570" s="485">
        <v>0.84795838400857992</v>
      </c>
      <c r="F570" s="485">
        <v>0.82590123002112459</v>
      </c>
      <c r="G570" s="485">
        <v>0.80211491879202435</v>
      </c>
    </row>
    <row r="571" spans="1:7" x14ac:dyDescent="0.25">
      <c r="A571" s="485" t="s">
        <v>2924</v>
      </c>
      <c r="B571" s="485">
        <v>0.14095752013707916</v>
      </c>
      <c r="C571" s="485">
        <v>0.14263476856624518</v>
      </c>
      <c r="D571" s="485">
        <v>0.14429755948479178</v>
      </c>
      <c r="E571" s="485">
        <v>0.1469230079381551</v>
      </c>
      <c r="F571" s="485">
        <v>0.14877865828934445</v>
      </c>
      <c r="G571" s="485">
        <v>0.14938848076454975</v>
      </c>
    </row>
    <row r="572" spans="1:7" x14ac:dyDescent="0.25">
      <c r="A572" s="485" t="s">
        <v>2925</v>
      </c>
      <c r="B572" s="485">
        <v>0.17764976826651435</v>
      </c>
      <c r="C572" s="485">
        <v>0.17939998177086824</v>
      </c>
      <c r="D572" s="485">
        <v>0.18203211195552818</v>
      </c>
      <c r="E572" s="485">
        <v>0.1845096524227049</v>
      </c>
      <c r="F572" s="485">
        <v>0.18608072889398491</v>
      </c>
      <c r="G572" s="485">
        <v>0.18634371069088468</v>
      </c>
    </row>
    <row r="573" spans="1:7" x14ac:dyDescent="0.25">
      <c r="A573" s="485" t="s">
        <v>2926</v>
      </c>
      <c r="B573" s="485">
        <v>0.21441498147113744</v>
      </c>
      <c r="C573" s="485">
        <v>0.21713453424160467</v>
      </c>
      <c r="D573" s="485">
        <v>0.21961875644007792</v>
      </c>
      <c r="E573" s="485">
        <v>0.22181172302734531</v>
      </c>
      <c r="F573" s="485">
        <v>0.22303595882031985</v>
      </c>
      <c r="G573" s="485">
        <v>0.2227068665385068</v>
      </c>
    </row>
    <row r="574" spans="1:7" x14ac:dyDescent="0.25">
      <c r="A574" s="485" t="s">
        <v>2927</v>
      </c>
      <c r="B574" s="485">
        <v>0.25214953394187384</v>
      </c>
      <c r="C574" s="485">
        <v>0.25472117872615457</v>
      </c>
      <c r="D574" s="485">
        <v>0.25692082704471841</v>
      </c>
      <c r="E574" s="485">
        <v>0.2587669529536803</v>
      </c>
      <c r="F574" s="485">
        <v>0.25939911466794202</v>
      </c>
      <c r="G574" s="485">
        <v>0.25871105599788213</v>
      </c>
    </row>
    <row r="575" spans="1:7" x14ac:dyDescent="0.25">
      <c r="A575" s="485" t="s">
        <v>2928</v>
      </c>
      <c r="B575" s="485">
        <v>0.28973617842642374</v>
      </c>
      <c r="C575" s="485">
        <v>0.2920232493307951</v>
      </c>
      <c r="D575" s="485">
        <v>0.29387605697105329</v>
      </c>
      <c r="E575" s="485">
        <v>0.29513010880130247</v>
      </c>
      <c r="F575" s="485">
        <v>0.2954033041273173</v>
      </c>
      <c r="G575" s="485">
        <v>0.29468831798312378</v>
      </c>
    </row>
    <row r="576" spans="1:7" x14ac:dyDescent="0.25">
      <c r="A576" s="485" t="s">
        <v>2929</v>
      </c>
      <c r="B576" s="485">
        <v>0.32703824903106427</v>
      </c>
      <c r="C576" s="485">
        <v>0.32897847925713014</v>
      </c>
      <c r="D576" s="485">
        <v>0.33023921281867546</v>
      </c>
      <c r="E576" s="485">
        <v>0.3311342982606777</v>
      </c>
      <c r="F576" s="485">
        <v>0.33138056611255901</v>
      </c>
      <c r="G576" s="485">
        <v>0.32907066185200567</v>
      </c>
    </row>
    <row r="577" spans="1:7" x14ac:dyDescent="0.25">
      <c r="A577" s="485" t="s">
        <v>2930</v>
      </c>
      <c r="B577" s="485">
        <v>3.3438309176011372E-2</v>
      </c>
      <c r="C577" s="485">
        <v>3.3456327221288204E-2</v>
      </c>
      <c r="D577" s="485">
        <v>3.3400128686320647E-2</v>
      </c>
      <c r="E577" s="485">
        <v>3.3860491055699923E-2</v>
      </c>
      <c r="F577" s="485">
        <v>3.4672211900371966E-2</v>
      </c>
      <c r="G577" s="485">
        <v>3.4646614766468235E-2</v>
      </c>
    </row>
    <row r="578" spans="1:7" x14ac:dyDescent="0.25">
      <c r="A578" s="485" t="s">
        <v>2931</v>
      </c>
      <c r="B578" s="485">
        <v>0.3441075622907816</v>
      </c>
      <c r="C578" s="485">
        <v>0.34483538449492207</v>
      </c>
      <c r="D578" s="485">
        <v>0.34524136521337867</v>
      </c>
      <c r="E578" s="485">
        <v>0.34573540875181619</v>
      </c>
      <c r="F578" s="485">
        <v>0.34427037989480286</v>
      </c>
      <c r="G578" s="485">
        <v>0.34050294590337671</v>
      </c>
    </row>
    <row r="579" spans="1:7" x14ac:dyDescent="0.25">
      <c r="A579" s="485" t="s">
        <v>2932</v>
      </c>
      <c r="B579" s="485">
        <v>0.37827369367093355</v>
      </c>
      <c r="C579" s="485">
        <v>0.37869769243466694</v>
      </c>
      <c r="D579" s="485">
        <v>0.37913553743813688</v>
      </c>
      <c r="E579" s="485">
        <v>0.37813087095050268</v>
      </c>
      <c r="F579" s="485">
        <v>0.37517515780374866</v>
      </c>
      <c r="G579" s="485">
        <v>0.37032190793101255</v>
      </c>
    </row>
    <row r="580" spans="1:7" x14ac:dyDescent="0.25">
      <c r="A580" s="485" t="s">
        <v>2933</v>
      </c>
      <c r="B580" s="485">
        <v>0.41213600161067826</v>
      </c>
      <c r="C580" s="485">
        <v>0.4125918646594251</v>
      </c>
      <c r="D580" s="485">
        <v>0.41153099963682338</v>
      </c>
      <c r="E580" s="485">
        <v>0.40903564885944849</v>
      </c>
      <c r="F580" s="485">
        <v>0.4049941198313845</v>
      </c>
      <c r="G580" s="485">
        <v>0.39909549705204023</v>
      </c>
    </row>
    <row r="581" spans="1:7" x14ac:dyDescent="0.25">
      <c r="A581" s="485" t="s">
        <v>2934</v>
      </c>
      <c r="B581" s="485">
        <v>0.44603017383543647</v>
      </c>
      <c r="C581" s="485">
        <v>0.4449873268581116</v>
      </c>
      <c r="D581" s="485">
        <v>0.44243577754576929</v>
      </c>
      <c r="E581" s="485">
        <v>0.43885461088708444</v>
      </c>
      <c r="F581" s="485">
        <v>0.43376770895241218</v>
      </c>
      <c r="G581" s="485">
        <v>0.42679128770801916</v>
      </c>
    </row>
    <row r="582" spans="1:7" x14ac:dyDescent="0.25">
      <c r="A582" s="485" t="s">
        <v>2935</v>
      </c>
      <c r="B582" s="485">
        <v>0.47842563603412297</v>
      </c>
      <c r="C582" s="485">
        <v>0.47589210476705757</v>
      </c>
      <c r="D582" s="485">
        <v>0.47225473957340514</v>
      </c>
      <c r="E582" s="485">
        <v>0.46762820000811206</v>
      </c>
      <c r="F582" s="485">
        <v>0.46146349960839117</v>
      </c>
      <c r="G582" s="485">
        <v>0.45354919387381853</v>
      </c>
    </row>
    <row r="583" spans="1:7" x14ac:dyDescent="0.25">
      <c r="A583" s="485" t="s">
        <v>2936</v>
      </c>
      <c r="B583" s="485">
        <v>0.50933041394306877</v>
      </c>
      <c r="C583" s="485">
        <v>0.50571106679469324</v>
      </c>
      <c r="D583" s="485">
        <v>0.5010283286944327</v>
      </c>
      <c r="E583" s="485">
        <v>0.49532399066409105</v>
      </c>
      <c r="F583" s="485">
        <v>0.48822140577419049</v>
      </c>
      <c r="G583" s="485">
        <v>0.47940283772104697</v>
      </c>
    </row>
    <row r="584" spans="1:7" x14ac:dyDescent="0.25">
      <c r="A584" s="485" t="s">
        <v>2937</v>
      </c>
      <c r="B584" s="485">
        <v>0.53914937597070456</v>
      </c>
      <c r="C584" s="485">
        <v>0.53448465591572092</v>
      </c>
      <c r="D584" s="485">
        <v>0.52872411935041186</v>
      </c>
      <c r="E584" s="485">
        <v>0.52208189682989037</v>
      </c>
      <c r="F584" s="485">
        <v>0.51407504962141903</v>
      </c>
      <c r="G584" s="485">
        <v>0.50438455457787157</v>
      </c>
    </row>
    <row r="585" spans="1:7" x14ac:dyDescent="0.25">
      <c r="A585" s="485" t="s">
        <v>2938</v>
      </c>
      <c r="B585" s="485">
        <v>0.56792296509173235</v>
      </c>
      <c r="C585" s="485">
        <v>0.56218044657169997</v>
      </c>
      <c r="D585" s="485">
        <v>0.55548202551621106</v>
      </c>
      <c r="E585" s="485">
        <v>0.54793554067711892</v>
      </c>
      <c r="F585" s="485">
        <v>0.53905676647824341</v>
      </c>
      <c r="G585" s="485">
        <v>0.52852544556765302</v>
      </c>
    </row>
    <row r="586" spans="1:7" x14ac:dyDescent="0.25">
      <c r="A586" s="485" t="s">
        <v>2939</v>
      </c>
      <c r="B586" s="485">
        <v>0.59561875574771128</v>
      </c>
      <c r="C586" s="485">
        <v>0.58893835273749928</v>
      </c>
      <c r="D586" s="485">
        <v>0.58133566936343961</v>
      </c>
      <c r="E586" s="485">
        <v>0.5729172575339434</v>
      </c>
      <c r="F586" s="485">
        <v>0.56319765746802497</v>
      </c>
      <c r="G586" s="485">
        <v>0.55185542796208786</v>
      </c>
    </row>
    <row r="587" spans="1:7" x14ac:dyDescent="0.25">
      <c r="A587" s="485" t="s">
        <v>2940</v>
      </c>
      <c r="B587" s="485">
        <v>0.62237666191351071</v>
      </c>
      <c r="C587" s="485">
        <v>0.61479199658472794</v>
      </c>
      <c r="D587" s="485">
        <v>0.6063173862202641</v>
      </c>
      <c r="E587" s="485">
        <v>0.59705814852372485</v>
      </c>
      <c r="F587" s="485">
        <v>0.58652763986245982</v>
      </c>
      <c r="G587" s="485">
        <v>0.57440328335294677</v>
      </c>
    </row>
    <row r="588" spans="1:7" x14ac:dyDescent="0.25">
      <c r="A588" s="485" t="s">
        <v>2941</v>
      </c>
      <c r="B588" s="485">
        <v>6.6894636397299589E-2</v>
      </c>
      <c r="C588" s="485">
        <v>6.6856455907608858E-2</v>
      </c>
      <c r="D588" s="485">
        <v>6.7260619742020578E-2</v>
      </c>
      <c r="E588" s="485">
        <v>6.8532702956071889E-2</v>
      </c>
      <c r="F588" s="485">
        <v>6.931882666684018E-2</v>
      </c>
      <c r="G588" s="485">
        <v>7.0181337018230414E-2</v>
      </c>
    </row>
    <row r="589" spans="1:7" x14ac:dyDescent="0.25">
      <c r="A589" s="485" t="s">
        <v>2942</v>
      </c>
      <c r="B589" s="485">
        <v>0.64823030576073903</v>
      </c>
      <c r="C589" s="485">
        <v>0.63977371344155232</v>
      </c>
      <c r="D589" s="485">
        <v>0.63045827721004566</v>
      </c>
      <c r="E589" s="485">
        <v>0.6203881309181597</v>
      </c>
      <c r="F589" s="485">
        <v>0.6090754952533185</v>
      </c>
      <c r="G589" s="485">
        <v>0.5961967037415864</v>
      </c>
    </row>
    <row r="590" spans="1:7" x14ac:dyDescent="0.25">
      <c r="A590" s="485" t="s">
        <v>2943</v>
      </c>
      <c r="B590" s="485">
        <v>0.67321202261756374</v>
      </c>
      <c r="C590" s="485">
        <v>0.66391460443133388</v>
      </c>
      <c r="D590" s="485">
        <v>0.65378825960448017</v>
      </c>
      <c r="E590" s="485">
        <v>0.64293598630901849</v>
      </c>
      <c r="F590" s="485">
        <v>0.63086891564195835</v>
      </c>
      <c r="G590" s="485">
        <v>0.61676623690689059</v>
      </c>
    </row>
    <row r="591" spans="1:7" x14ac:dyDescent="0.25">
      <c r="A591" s="485" t="s">
        <v>2944</v>
      </c>
      <c r="B591" s="485">
        <v>0.69735291360734497</v>
      </c>
      <c r="C591" s="485">
        <v>0.68724458682576861</v>
      </c>
      <c r="D591" s="485">
        <v>0.67633611499533919</v>
      </c>
      <c r="E591" s="485">
        <v>0.66472940669765823</v>
      </c>
      <c r="F591" s="485">
        <v>0.65143844880726254</v>
      </c>
      <c r="G591" s="485">
        <v>0.63618061459948549</v>
      </c>
    </row>
    <row r="592" spans="1:7" x14ac:dyDescent="0.25">
      <c r="A592" s="485" t="s">
        <v>2945</v>
      </c>
      <c r="B592" s="485">
        <v>0.72068289600177993</v>
      </c>
      <c r="C592" s="485">
        <v>0.70979244221662741</v>
      </c>
      <c r="D592" s="485">
        <v>0.69812953538397893</v>
      </c>
      <c r="E592" s="485">
        <v>0.68529893986296231</v>
      </c>
      <c r="F592" s="485">
        <v>0.67085282649985722</v>
      </c>
      <c r="G592" s="485">
        <v>0.65450470869348698</v>
      </c>
    </row>
    <row r="593" spans="1:7" x14ac:dyDescent="0.25">
      <c r="A593" s="485" t="s">
        <v>2946</v>
      </c>
      <c r="B593" s="485">
        <v>0.74323075139263894</v>
      </c>
      <c r="C593" s="485">
        <v>0.73158586260526703</v>
      </c>
      <c r="D593" s="485">
        <v>0.71869906854928312</v>
      </c>
      <c r="E593" s="485">
        <v>0.70471331755555722</v>
      </c>
      <c r="F593" s="485">
        <v>0.68917692059385882</v>
      </c>
      <c r="G593" s="485">
        <v>0.67179974795162922</v>
      </c>
    </row>
    <row r="594" spans="1:7" x14ac:dyDescent="0.25">
      <c r="A594" s="485" t="s">
        <v>2947</v>
      </c>
      <c r="B594" s="485">
        <v>0.76502417178127868</v>
      </c>
      <c r="C594" s="485">
        <v>0.75215539577057122</v>
      </c>
      <c r="D594" s="485">
        <v>0.73811344624187769</v>
      </c>
      <c r="E594" s="485">
        <v>0.72303741164955881</v>
      </c>
      <c r="F594" s="485">
        <v>0.70647195985200117</v>
      </c>
      <c r="G594" s="485">
        <v>0.68812352261717158</v>
      </c>
    </row>
    <row r="595" spans="1:7" x14ac:dyDescent="0.25">
      <c r="A595" s="485" t="s">
        <v>2948</v>
      </c>
      <c r="B595" s="485">
        <v>0.10029476508362022</v>
      </c>
      <c r="C595" s="485">
        <v>0.10071694696330878</v>
      </c>
      <c r="D595" s="485">
        <v>0.10193283164239253</v>
      </c>
      <c r="E595" s="485">
        <v>0.10317931772254012</v>
      </c>
      <c r="F595" s="485">
        <v>0.10485354891860241</v>
      </c>
      <c r="G595" s="485">
        <v>0.10552170156561409</v>
      </c>
    </row>
    <row r="596" spans="1:7" x14ac:dyDescent="0.25">
      <c r="A596" s="485" t="s">
        <v>2949</v>
      </c>
      <c r="B596" s="485">
        <v>0.13415525613932014</v>
      </c>
      <c r="C596" s="485">
        <v>0.13538915886368075</v>
      </c>
      <c r="D596" s="485">
        <v>0.13657944640886077</v>
      </c>
      <c r="E596" s="485">
        <v>0.13871403997430234</v>
      </c>
      <c r="F596" s="485">
        <v>0.14019391346598606</v>
      </c>
      <c r="G596" s="485">
        <v>0.14056579402639685</v>
      </c>
    </row>
    <row r="597" spans="1:7" x14ac:dyDescent="0.25">
      <c r="A597" s="485" t="s">
        <v>2950</v>
      </c>
      <c r="B597" s="485">
        <v>0.16882746803969206</v>
      </c>
      <c r="C597" s="485">
        <v>0.17003577363014899</v>
      </c>
      <c r="D597" s="485">
        <v>0.17211416866062296</v>
      </c>
      <c r="E597" s="485">
        <v>0.174054404521686</v>
      </c>
      <c r="F597" s="485">
        <v>0.17523800592676886</v>
      </c>
      <c r="G597" s="485">
        <v>0.17528009425108945</v>
      </c>
    </row>
    <row r="598" spans="1:7" x14ac:dyDescent="0.25">
      <c r="A598" s="485" t="s">
        <v>2951</v>
      </c>
      <c r="B598" s="485">
        <v>0.20347408280616033</v>
      </c>
      <c r="C598" s="485">
        <v>0.2055704958819112</v>
      </c>
      <c r="D598" s="485">
        <v>0.20745453320800664</v>
      </c>
      <c r="E598" s="485">
        <v>0.20909849698246874</v>
      </c>
      <c r="F598" s="485">
        <v>0.20995230615146143</v>
      </c>
      <c r="G598" s="485">
        <v>0.2094462256312413</v>
      </c>
    </row>
    <row r="599" spans="1:7" x14ac:dyDescent="0.25">
      <c r="A599" s="485" t="s">
        <v>2952</v>
      </c>
      <c r="B599" s="485">
        <v>0.2390088050579226</v>
      </c>
      <c r="C599" s="485">
        <v>0.24091086042929485</v>
      </c>
      <c r="D599" s="485">
        <v>0.24249862566878938</v>
      </c>
      <c r="E599" s="485">
        <v>0.24381279720716137</v>
      </c>
      <c r="F599" s="485">
        <v>0.24411843753161333</v>
      </c>
      <c r="G599" s="485">
        <v>0.24330853357098611</v>
      </c>
    </row>
    <row r="600" spans="1:7" x14ac:dyDescent="0.25">
      <c r="A600" s="485" t="s">
        <v>2953</v>
      </c>
      <c r="B600" s="485">
        <v>0.27434916960530625</v>
      </c>
      <c r="C600" s="485">
        <v>0.27595495289007765</v>
      </c>
      <c r="D600" s="485">
        <v>0.27721292589348207</v>
      </c>
      <c r="E600" s="485">
        <v>0.27797892858731316</v>
      </c>
      <c r="F600" s="485">
        <v>0.27798074547135815</v>
      </c>
      <c r="G600" s="485">
        <v>0.2772027057957443</v>
      </c>
    </row>
    <row r="601" spans="1:7" x14ac:dyDescent="0.25">
      <c r="A601" s="485" t="s">
        <v>2954</v>
      </c>
      <c r="B601" s="485">
        <v>0.30939326206608897</v>
      </c>
      <c r="C601" s="485">
        <v>0.31066925311477023</v>
      </c>
      <c r="D601" s="485">
        <v>0.31137905727363385</v>
      </c>
      <c r="E601" s="485">
        <v>0.31184123652705803</v>
      </c>
      <c r="F601" s="485">
        <v>0.31187491769611625</v>
      </c>
      <c r="G601" s="485">
        <v>0.30959816799443096</v>
      </c>
    </row>
    <row r="602" spans="1:7" x14ac:dyDescent="0.25">
      <c r="A602" s="485" t="s">
        <v>2955</v>
      </c>
      <c r="B602" s="485">
        <v>3.5014999700269167E-2</v>
      </c>
      <c r="C602" s="485">
        <v>3.5102422286076608E-2</v>
      </c>
      <c r="D602" s="485">
        <v>3.5109104017373043E-2</v>
      </c>
      <c r="E602" s="485">
        <v>3.5730994133360415E-2</v>
      </c>
      <c r="F602" s="485">
        <v>3.6692248129435182E-2</v>
      </c>
      <c r="G602" s="485">
        <v>3.6765213204623164E-2</v>
      </c>
    </row>
    <row r="603" spans="1:7" x14ac:dyDescent="0.25">
      <c r="A603" s="485" t="s">
        <v>2956</v>
      </c>
      <c r="B603" s="485">
        <v>0.3639934789573992</v>
      </c>
      <c r="C603" s="485">
        <v>0.36534163510475237</v>
      </c>
      <c r="D603" s="485">
        <v>0.36624340227805086</v>
      </c>
      <c r="E603" s="485">
        <v>0.3671115602459194</v>
      </c>
      <c r="F603" s="485">
        <v>0.36576290998144079</v>
      </c>
      <c r="G603" s="485">
        <v>0.36186476173270998</v>
      </c>
    </row>
    <row r="604" spans="1:7" x14ac:dyDescent="0.25">
      <c r="A604" s="485" t="s">
        <v>2957</v>
      </c>
      <c r="B604" s="485">
        <v>0.40035663480502154</v>
      </c>
      <c r="C604" s="485">
        <v>0.40134582456412754</v>
      </c>
      <c r="D604" s="485">
        <v>0.4022206642632925</v>
      </c>
      <c r="E604" s="485">
        <v>0.40149390411480129</v>
      </c>
      <c r="F604" s="485">
        <v>0.39855700986214526</v>
      </c>
      <c r="G604" s="485">
        <v>0.39348550228064694</v>
      </c>
    </row>
    <row r="605" spans="1:7" x14ac:dyDescent="0.25">
      <c r="A605" s="485" t="s">
        <v>2958</v>
      </c>
      <c r="B605" s="485">
        <v>0.43636082426439682</v>
      </c>
      <c r="C605" s="485">
        <v>0.43732308654936936</v>
      </c>
      <c r="D605" s="485">
        <v>0.43660300813217434</v>
      </c>
      <c r="E605" s="485">
        <v>0.43428800399550566</v>
      </c>
      <c r="F605" s="485">
        <v>0.43017775041008216</v>
      </c>
      <c r="G605" s="485">
        <v>0.42397793006072676</v>
      </c>
    </row>
    <row r="606" spans="1:7" x14ac:dyDescent="0.25">
      <c r="A606" s="485" t="s">
        <v>2959</v>
      </c>
      <c r="B606" s="485">
        <v>0.47233808624963858</v>
      </c>
      <c r="C606" s="485">
        <v>0.47170543041825108</v>
      </c>
      <c r="D606" s="485">
        <v>0.46939710801287859</v>
      </c>
      <c r="E606" s="485">
        <v>0.4659087445434425</v>
      </c>
      <c r="F606" s="485">
        <v>0.46067017819016187</v>
      </c>
      <c r="G606" s="485">
        <v>0.45331397875642143</v>
      </c>
    </row>
    <row r="607" spans="1:7" x14ac:dyDescent="0.25">
      <c r="A607" s="485" t="s">
        <v>2960</v>
      </c>
      <c r="B607" s="485">
        <v>0.50672043011852042</v>
      </c>
      <c r="C607" s="485">
        <v>0.50449953029895567</v>
      </c>
      <c r="D607" s="485">
        <v>0.50101784856081555</v>
      </c>
      <c r="E607" s="485">
        <v>0.49640117232352232</v>
      </c>
      <c r="F607" s="485">
        <v>0.49000622688585671</v>
      </c>
      <c r="G607" s="485">
        <v>0.48164200473963714</v>
      </c>
    </row>
    <row r="608" spans="1:7" x14ac:dyDescent="0.25">
      <c r="A608" s="485" t="s">
        <v>2961</v>
      </c>
      <c r="B608" s="485">
        <v>0.53951452999922478</v>
      </c>
      <c r="C608" s="485">
        <v>0.53612027084689251</v>
      </c>
      <c r="D608" s="485">
        <v>0.53151027634089532</v>
      </c>
      <c r="E608" s="485">
        <v>0.52573722101921705</v>
      </c>
      <c r="F608" s="485">
        <v>0.51833425286907242</v>
      </c>
      <c r="G608" s="485">
        <v>0.50899876952210266</v>
      </c>
    </row>
    <row r="609" spans="1:7" x14ac:dyDescent="0.25">
      <c r="A609" s="485" t="s">
        <v>2962</v>
      </c>
      <c r="B609" s="485">
        <v>0.57113527054716173</v>
      </c>
      <c r="C609" s="485">
        <v>0.56661269862697239</v>
      </c>
      <c r="D609" s="485">
        <v>0.56084632503659015</v>
      </c>
      <c r="E609" s="485">
        <v>0.55406524700243276</v>
      </c>
      <c r="F609" s="485">
        <v>0.54569101765153794</v>
      </c>
      <c r="G609" s="485">
        <v>0.53541960218170159</v>
      </c>
    </row>
    <row r="610" spans="1:7" x14ac:dyDescent="0.25">
      <c r="A610" s="485" t="s">
        <v>2963</v>
      </c>
      <c r="B610" s="485">
        <v>0.60162769832724172</v>
      </c>
      <c r="C610" s="485">
        <v>0.59594874732266723</v>
      </c>
      <c r="D610" s="485">
        <v>0.58917435101980575</v>
      </c>
      <c r="E610" s="485">
        <v>0.58142201178489827</v>
      </c>
      <c r="F610" s="485">
        <v>0.57211185031113665</v>
      </c>
      <c r="G610" s="485">
        <v>0.56093845893074112</v>
      </c>
    </row>
    <row r="611" spans="1:7" x14ac:dyDescent="0.25">
      <c r="A611" s="485" t="s">
        <v>2964</v>
      </c>
      <c r="B611" s="485">
        <v>0.63096374702293623</v>
      </c>
      <c r="C611" s="485">
        <v>0.62427677330588272</v>
      </c>
      <c r="D611" s="485">
        <v>0.61653111580227149</v>
      </c>
      <c r="E611" s="485">
        <v>0.60784284444449721</v>
      </c>
      <c r="F611" s="485">
        <v>0.59763070706017662</v>
      </c>
      <c r="G611" s="485">
        <v>0.58558798006281754</v>
      </c>
    </row>
    <row r="612" spans="1:7" x14ac:dyDescent="0.25">
      <c r="A612" s="485" t="s">
        <v>2965</v>
      </c>
      <c r="B612" s="485">
        <v>0.65929177300615205</v>
      </c>
      <c r="C612" s="485">
        <v>0.65163353808834845</v>
      </c>
      <c r="D612" s="485">
        <v>0.6429519484618702</v>
      </c>
      <c r="E612" s="485">
        <v>0.63336170119353685</v>
      </c>
      <c r="F612" s="485">
        <v>0.62228022819225259</v>
      </c>
      <c r="G612" s="485">
        <v>0.60939954439885236</v>
      </c>
    </row>
    <row r="613" spans="1:7" x14ac:dyDescent="0.25">
      <c r="A613" s="485" t="s">
        <v>2966</v>
      </c>
      <c r="B613" s="485">
        <v>7.0117421986345782E-2</v>
      </c>
      <c r="C613" s="485">
        <v>7.0211526303449664E-2</v>
      </c>
      <c r="D613" s="485">
        <v>7.0840098150733485E-2</v>
      </c>
      <c r="E613" s="485">
        <v>7.242324226279559E-2</v>
      </c>
      <c r="F613" s="485">
        <v>7.3457461334058338E-2</v>
      </c>
      <c r="G613" s="485">
        <v>7.44997656753595E-2</v>
      </c>
    </row>
    <row r="614" spans="1:7" x14ac:dyDescent="0.25">
      <c r="A614" s="485" t="s">
        <v>2967</v>
      </c>
      <c r="B614" s="485">
        <v>0.68664853778861767</v>
      </c>
      <c r="C614" s="485">
        <v>0.67805437074794728</v>
      </c>
      <c r="D614" s="485">
        <v>0.66847080521090985</v>
      </c>
      <c r="E614" s="485">
        <v>0.65801122232561315</v>
      </c>
      <c r="F614" s="485">
        <v>0.64609179252828741</v>
      </c>
      <c r="G614" s="485">
        <v>0.63240332134715693</v>
      </c>
    </row>
    <row r="615" spans="1:7" x14ac:dyDescent="0.25">
      <c r="A615" s="485" t="s">
        <v>2968</v>
      </c>
      <c r="B615" s="485">
        <v>0.71306937044821639</v>
      </c>
      <c r="C615" s="485">
        <v>0.70357322749698692</v>
      </c>
      <c r="D615" s="485">
        <v>0.69312032634298604</v>
      </c>
      <c r="E615" s="485">
        <v>0.68182278666164786</v>
      </c>
      <c r="F615" s="485">
        <v>0.6690955694765921</v>
      </c>
      <c r="G615" s="485">
        <v>0.65411523918415981</v>
      </c>
    </row>
    <row r="616" spans="1:7" x14ac:dyDescent="0.25">
      <c r="A616" s="485" t="s">
        <v>2969</v>
      </c>
      <c r="B616" s="485">
        <v>0.73858822719725603</v>
      </c>
      <c r="C616" s="485">
        <v>0.72822274862906344</v>
      </c>
      <c r="D616" s="485">
        <v>0.71693189067902097</v>
      </c>
      <c r="E616" s="485">
        <v>0.70482656360995255</v>
      </c>
      <c r="F616" s="485">
        <v>0.69080748731359487</v>
      </c>
      <c r="G616" s="485">
        <v>0.67460784686420039</v>
      </c>
    </row>
    <row r="617" spans="1:7" x14ac:dyDescent="0.25">
      <c r="A617" s="485" t="s">
        <v>2970</v>
      </c>
      <c r="B617" s="485">
        <v>0.76323774832933233</v>
      </c>
      <c r="C617" s="485">
        <v>0.75203431296509815</v>
      </c>
      <c r="D617" s="485">
        <v>0.73993566762732554</v>
      </c>
      <c r="E617" s="485">
        <v>0.72653848144695543</v>
      </c>
      <c r="F617" s="485">
        <v>0.71130009499363567</v>
      </c>
      <c r="G617" s="485">
        <v>0.69394961909642372</v>
      </c>
    </row>
    <row r="618" spans="1:7" x14ac:dyDescent="0.25">
      <c r="A618" s="485" t="s">
        <v>2971</v>
      </c>
      <c r="B618" s="485">
        <v>0.78704931266536726</v>
      </c>
      <c r="C618" s="485">
        <v>0.77503808991340262</v>
      </c>
      <c r="D618" s="485">
        <v>0.76164758546432854</v>
      </c>
      <c r="E618" s="485">
        <v>0.74703108912699612</v>
      </c>
      <c r="F618" s="485">
        <v>0.730641867225859</v>
      </c>
      <c r="G618" s="485">
        <v>0.71220518514854569</v>
      </c>
    </row>
    <row r="619" spans="1:7" x14ac:dyDescent="0.25">
      <c r="A619" s="485" t="s">
        <v>2972</v>
      </c>
      <c r="B619" s="485">
        <v>0.81005308961367184</v>
      </c>
      <c r="C619" s="485">
        <v>0.79675000775040572</v>
      </c>
      <c r="D619" s="485">
        <v>0.782140193144369</v>
      </c>
      <c r="E619" s="485">
        <v>0.76637286135921945</v>
      </c>
      <c r="F619" s="485">
        <v>0.74889743327798086</v>
      </c>
      <c r="G619" s="485">
        <v>0.72943554480132711</v>
      </c>
    </row>
    <row r="620" spans="1:7" x14ac:dyDescent="0.25">
      <c r="A620" s="485" t="s">
        <v>2973</v>
      </c>
      <c r="B620" s="485">
        <v>0.83176500745067472</v>
      </c>
      <c r="C620" s="485">
        <v>0.81724261543044641</v>
      </c>
      <c r="D620" s="485">
        <v>0.80148196537659211</v>
      </c>
      <c r="E620" s="485">
        <v>0.78462842741134131</v>
      </c>
      <c r="F620" s="485">
        <v>0.76612779293076227</v>
      </c>
      <c r="G620" s="485">
        <v>0.74569827217535378</v>
      </c>
    </row>
    <row r="621" spans="1:7" x14ac:dyDescent="0.25">
      <c r="A621" s="485" t="s">
        <v>2974</v>
      </c>
      <c r="B621" s="485">
        <v>0.85225761513071552</v>
      </c>
      <c r="C621" s="485">
        <v>0.83658438766266952</v>
      </c>
      <c r="D621" s="485">
        <v>0.81973753142871408</v>
      </c>
      <c r="E621" s="485">
        <v>0.80185878706412284</v>
      </c>
      <c r="F621" s="485">
        <v>0.78239052030478906</v>
      </c>
      <c r="G621" s="485">
        <v>0.76104770811119804</v>
      </c>
    </row>
    <row r="622" spans="1:7" x14ac:dyDescent="0.25">
      <c r="A622" s="485" t="s">
        <v>2975</v>
      </c>
      <c r="B622" s="485">
        <v>0.87159938736293863</v>
      </c>
      <c r="C622" s="485">
        <v>0.85483995371479149</v>
      </c>
      <c r="D622" s="485">
        <v>0.83696789108149583</v>
      </c>
      <c r="E622" s="485">
        <v>0.8181215144381494</v>
      </c>
      <c r="F622" s="485">
        <v>0.79773995624063332</v>
      </c>
      <c r="G622" s="485">
        <v>0.77553514174578453</v>
      </c>
    </row>
    <row r="623" spans="1:7" x14ac:dyDescent="0.25">
      <c r="A623" s="485" t="s">
        <v>2976</v>
      </c>
      <c r="B623" s="485">
        <v>0.88985495341506049</v>
      </c>
      <c r="C623" s="485">
        <v>0.8720703133675729</v>
      </c>
      <c r="D623" s="485">
        <v>0.85323061845552273</v>
      </c>
      <c r="E623" s="485">
        <v>0.83347095037399377</v>
      </c>
      <c r="F623" s="485">
        <v>0.8122273898752197</v>
      </c>
      <c r="G623" s="485">
        <v>0.78920898189168953</v>
      </c>
    </row>
    <row r="624" spans="1:7" x14ac:dyDescent="0.25">
      <c r="A624" s="485" t="s">
        <v>2977</v>
      </c>
      <c r="B624" s="485">
        <v>0.10522652600371882</v>
      </c>
      <c r="C624" s="485">
        <v>0.10594252043681002</v>
      </c>
      <c r="D624" s="485">
        <v>0.10753234628016867</v>
      </c>
      <c r="E624" s="485">
        <v>0.1091884554674188</v>
      </c>
      <c r="F624" s="485">
        <v>0.11119201380479471</v>
      </c>
      <c r="G624" s="485">
        <v>0.11208641015990928</v>
      </c>
    </row>
    <row r="625" spans="1:7" x14ac:dyDescent="0.25">
      <c r="A625" s="485" t="s">
        <v>2978</v>
      </c>
      <c r="B625" s="485">
        <v>0.90708531306784213</v>
      </c>
      <c r="C625" s="485">
        <v>0.8883330407415998</v>
      </c>
      <c r="D625" s="485">
        <v>0.86858005439136687</v>
      </c>
      <c r="E625" s="485">
        <v>0.84795838400857992</v>
      </c>
      <c r="F625" s="485">
        <v>0.82590123002112459</v>
      </c>
      <c r="G625" s="485">
        <v>0.80211491879202435</v>
      </c>
    </row>
    <row r="626" spans="1:7" x14ac:dyDescent="0.25">
      <c r="A626" s="485" t="s">
        <v>2979</v>
      </c>
      <c r="B626" s="485">
        <v>0.14095752013707916</v>
      </c>
      <c r="C626" s="485">
        <v>0.14263476856624518</v>
      </c>
      <c r="D626" s="485">
        <v>0.14429755948479178</v>
      </c>
      <c r="E626" s="485">
        <v>0.1469230079381551</v>
      </c>
      <c r="F626" s="485">
        <v>0.14877865828934445</v>
      </c>
      <c r="G626" s="485">
        <v>0.14938848076454975</v>
      </c>
    </row>
    <row r="627" spans="1:7" x14ac:dyDescent="0.25">
      <c r="A627" s="485" t="s">
        <v>2980</v>
      </c>
      <c r="B627" s="485">
        <v>0.17764976826651435</v>
      </c>
      <c r="C627" s="485">
        <v>0.17939998177086824</v>
      </c>
      <c r="D627" s="485">
        <v>0.18203211195552818</v>
      </c>
      <c r="E627" s="485">
        <v>0.1845096524227049</v>
      </c>
      <c r="F627" s="485">
        <v>0.18608072889398491</v>
      </c>
      <c r="G627" s="485">
        <v>0.18634371069088468</v>
      </c>
    </row>
    <row r="628" spans="1:7" x14ac:dyDescent="0.25">
      <c r="A628" s="485" t="s">
        <v>2981</v>
      </c>
      <c r="B628" s="485">
        <v>0.21441498147113744</v>
      </c>
      <c r="C628" s="485">
        <v>0.21713453424160467</v>
      </c>
      <c r="D628" s="485">
        <v>0.21961875644007792</v>
      </c>
      <c r="E628" s="485">
        <v>0.22181172302734531</v>
      </c>
      <c r="F628" s="485">
        <v>0.22303595882031985</v>
      </c>
      <c r="G628" s="485">
        <v>0.2227068665385068</v>
      </c>
    </row>
    <row r="629" spans="1:7" x14ac:dyDescent="0.25">
      <c r="A629" s="485" t="s">
        <v>2982</v>
      </c>
      <c r="B629" s="485">
        <v>0.25214953394187384</v>
      </c>
      <c r="C629" s="485">
        <v>0.25472117872615457</v>
      </c>
      <c r="D629" s="485">
        <v>0.25692082704471841</v>
      </c>
      <c r="E629" s="485">
        <v>0.2587669529536803</v>
      </c>
      <c r="F629" s="485">
        <v>0.25939911466794202</v>
      </c>
      <c r="G629" s="485">
        <v>0.25871105599788213</v>
      </c>
    </row>
    <row r="630" spans="1:7" x14ac:dyDescent="0.25">
      <c r="A630" s="485" t="s">
        <v>2983</v>
      </c>
      <c r="B630" s="485">
        <v>0.28973617842642374</v>
      </c>
      <c r="C630" s="485">
        <v>0.2920232493307951</v>
      </c>
      <c r="D630" s="485">
        <v>0.29387605697105329</v>
      </c>
      <c r="E630" s="485">
        <v>0.29513010880130247</v>
      </c>
      <c r="F630" s="485">
        <v>0.2954033041273173</v>
      </c>
      <c r="G630" s="485">
        <v>0.29468831798312378</v>
      </c>
    </row>
    <row r="631" spans="1:7" x14ac:dyDescent="0.25">
      <c r="A631" s="485" t="s">
        <v>2984</v>
      </c>
      <c r="B631" s="485">
        <v>0.32703824903106427</v>
      </c>
      <c r="C631" s="485">
        <v>0.32897847925713014</v>
      </c>
      <c r="D631" s="485">
        <v>0.33023921281867546</v>
      </c>
      <c r="E631" s="485">
        <v>0.3311342982606777</v>
      </c>
      <c r="F631" s="485">
        <v>0.33138056611255901</v>
      </c>
      <c r="G631" s="485">
        <v>0.32907066185200567</v>
      </c>
    </row>
    <row r="632" spans="1:7" x14ac:dyDescent="0.25">
      <c r="A632" s="485" t="s">
        <v>2985</v>
      </c>
      <c r="B632" s="485">
        <v>3.419975326308685E-2</v>
      </c>
      <c r="C632" s="485">
        <v>3.4254719537800668E-2</v>
      </c>
      <c r="D632" s="485">
        <v>3.423216706618025E-2</v>
      </c>
      <c r="E632" s="485">
        <v>3.4777533236919358E-2</v>
      </c>
      <c r="F632" s="485">
        <v>3.566703614762113E-2</v>
      </c>
      <c r="G632" s="485">
        <v>3.5694030388953836E-2</v>
      </c>
    </row>
    <row r="633" spans="1:7" x14ac:dyDescent="0.25">
      <c r="A633" s="485" t="s">
        <v>2986</v>
      </c>
      <c r="B633" s="485">
        <v>0.35389438215467883</v>
      </c>
      <c r="C633" s="485">
        <v>0.35495110842039379</v>
      </c>
      <c r="D633" s="485">
        <v>0.3556203720692</v>
      </c>
      <c r="E633" s="485">
        <v>0.35631264288523662</v>
      </c>
      <c r="F633" s="485">
        <v>0.35491309702715612</v>
      </c>
      <c r="G633" s="485">
        <v>0.35108488418613637</v>
      </c>
    </row>
    <row r="634" spans="1:7" x14ac:dyDescent="0.25">
      <c r="A634" s="485" t="s">
        <v>2987</v>
      </c>
      <c r="B634" s="485">
        <v>0.38915086168348056</v>
      </c>
      <c r="C634" s="485">
        <v>0.38987509160700057</v>
      </c>
      <c r="D634" s="485">
        <v>0.39054480995141694</v>
      </c>
      <c r="E634" s="485">
        <v>0.38969063026407541</v>
      </c>
      <c r="F634" s="485">
        <v>0.3867519203337576</v>
      </c>
      <c r="G634" s="485">
        <v>0.38179379503261507</v>
      </c>
    </row>
    <row r="635" spans="1:7" x14ac:dyDescent="0.25">
      <c r="A635" s="485" t="s">
        <v>2988</v>
      </c>
      <c r="B635" s="485">
        <v>0.42407484487008734</v>
      </c>
      <c r="C635" s="485">
        <v>0.4247995294892174</v>
      </c>
      <c r="D635" s="485">
        <v>0.42392279733025562</v>
      </c>
      <c r="E635" s="485">
        <v>0.42152945357067712</v>
      </c>
      <c r="F635" s="485">
        <v>0.41746083118023619</v>
      </c>
      <c r="G635" s="485">
        <v>0.41141559456749488</v>
      </c>
    </row>
    <row r="636" spans="1:7" x14ac:dyDescent="0.25">
      <c r="A636" s="485" t="s">
        <v>2989</v>
      </c>
      <c r="B636" s="485">
        <v>0.45899928275230439</v>
      </c>
      <c r="C636" s="485">
        <v>0.45817751686805613</v>
      </c>
      <c r="D636" s="485">
        <v>0.45576162063685732</v>
      </c>
      <c r="E636" s="485">
        <v>0.4522383644171557</v>
      </c>
      <c r="F636" s="485">
        <v>0.447082630715116</v>
      </c>
      <c r="G636" s="485">
        <v>0.43992025708997695</v>
      </c>
    </row>
    <row r="637" spans="1:7" x14ac:dyDescent="0.25">
      <c r="A637" s="485" t="s">
        <v>2990</v>
      </c>
      <c r="B637" s="485">
        <v>0.49237727013114296</v>
      </c>
      <c r="C637" s="485">
        <v>0.49001634017465767</v>
      </c>
      <c r="D637" s="485">
        <v>0.48647053148333591</v>
      </c>
      <c r="E637" s="485">
        <v>0.48186016395203529</v>
      </c>
      <c r="F637" s="485">
        <v>0.47558729323759813</v>
      </c>
      <c r="G637" s="485">
        <v>0.46745186605210109</v>
      </c>
    </row>
    <row r="638" spans="1:7" x14ac:dyDescent="0.25">
      <c r="A638" s="485" t="s">
        <v>2991</v>
      </c>
      <c r="B638" s="485">
        <v>0.52421609343774445</v>
      </c>
      <c r="C638" s="485">
        <v>0.5207252510211362</v>
      </c>
      <c r="D638" s="485">
        <v>0.5160923310182155</v>
      </c>
      <c r="E638" s="485">
        <v>0.51036482647451753</v>
      </c>
      <c r="F638" s="485">
        <v>0.50311890219972222</v>
      </c>
      <c r="G638" s="485">
        <v>0.49404563748565544</v>
      </c>
    </row>
    <row r="639" spans="1:7" x14ac:dyDescent="0.25">
      <c r="A639" s="485" t="s">
        <v>2992</v>
      </c>
      <c r="B639" s="485">
        <v>0.55492500428422309</v>
      </c>
      <c r="C639" s="485">
        <v>0.55034705055601607</v>
      </c>
      <c r="D639" s="485">
        <v>0.54459699354069768</v>
      </c>
      <c r="E639" s="485">
        <v>0.53789643543664156</v>
      </c>
      <c r="F639" s="485">
        <v>0.52971267363327657</v>
      </c>
      <c r="G639" s="485">
        <v>0.51973542601922906</v>
      </c>
    </row>
    <row r="640" spans="1:7" x14ac:dyDescent="0.25">
      <c r="A640" s="485" t="s">
        <v>2993</v>
      </c>
      <c r="B640" s="485">
        <v>0.58454680381910273</v>
      </c>
      <c r="C640" s="485">
        <v>0.57885171307849803</v>
      </c>
      <c r="D640" s="485">
        <v>0.57212860250282194</v>
      </c>
      <c r="E640" s="485">
        <v>0.56449020687019591</v>
      </c>
      <c r="F640" s="485">
        <v>0.5554024621668503</v>
      </c>
      <c r="G640" s="485">
        <v>0.54455378108596753</v>
      </c>
    </row>
    <row r="641" spans="1:7" x14ac:dyDescent="0.25">
      <c r="A641" s="485" t="s">
        <v>2994</v>
      </c>
      <c r="B641" s="485">
        <v>0.61305146634158503</v>
      </c>
      <c r="C641" s="485">
        <v>0.60638332204062217</v>
      </c>
      <c r="D641" s="485">
        <v>0.59872237393637617</v>
      </c>
      <c r="E641" s="485">
        <v>0.59017999540376964</v>
      </c>
      <c r="F641" s="485">
        <v>0.58022081723358887</v>
      </c>
      <c r="G641" s="485">
        <v>0.56853200067219434</v>
      </c>
    </row>
    <row r="642" spans="1:7" x14ac:dyDescent="0.25">
      <c r="A642" s="485" t="s">
        <v>2995</v>
      </c>
      <c r="B642" s="485">
        <v>0.64058307530370906</v>
      </c>
      <c r="C642" s="485">
        <v>0.63297709347417652</v>
      </c>
      <c r="D642" s="485">
        <v>0.62441216246994979</v>
      </c>
      <c r="E642" s="485">
        <v>0.61499835047050799</v>
      </c>
      <c r="F642" s="485">
        <v>0.60419903681981546</v>
      </c>
      <c r="G642" s="485">
        <v>0.5917001827195314</v>
      </c>
    </row>
    <row r="643" spans="1:7" x14ac:dyDescent="0.25">
      <c r="A643" s="485" t="s">
        <v>2996</v>
      </c>
      <c r="B643" s="485">
        <v>6.8454472800887511E-2</v>
      </c>
      <c r="C643" s="485">
        <v>6.8486886603980904E-2</v>
      </c>
      <c r="D643" s="485">
        <v>6.9009700303099636E-2</v>
      </c>
      <c r="E643" s="485">
        <v>7.0444569384540495E-2</v>
      </c>
      <c r="F643" s="485">
        <v>7.136106653657498E-2</v>
      </c>
      <c r="G643" s="485">
        <v>7.2317367335536786E-2</v>
      </c>
    </row>
    <row r="644" spans="1:7" x14ac:dyDescent="0.25">
      <c r="A644" s="485" t="s">
        <v>2997</v>
      </c>
      <c r="B644" s="485">
        <v>0.6671768467372633</v>
      </c>
      <c r="C644" s="485">
        <v>0.65866688200775014</v>
      </c>
      <c r="D644" s="485">
        <v>0.64923051753668826</v>
      </c>
      <c r="E644" s="485">
        <v>0.63897657005673458</v>
      </c>
      <c r="F644" s="485">
        <v>0.62736721886715263</v>
      </c>
      <c r="G644" s="485">
        <v>0.61408727428781762</v>
      </c>
    </row>
    <row r="645" spans="1:7" x14ac:dyDescent="0.25">
      <c r="A645" s="485" t="s">
        <v>2998</v>
      </c>
      <c r="B645" s="485">
        <v>0.69286663527083692</v>
      </c>
      <c r="C645" s="485">
        <v>0.68348523707448861</v>
      </c>
      <c r="D645" s="485">
        <v>0.67320873712291496</v>
      </c>
      <c r="E645" s="485">
        <v>0.66214475210407187</v>
      </c>
      <c r="F645" s="485">
        <v>0.64975431043543874</v>
      </c>
      <c r="G645" s="485">
        <v>0.63521713891102283</v>
      </c>
    </row>
    <row r="646" spans="1:7" x14ac:dyDescent="0.25">
      <c r="A646" s="485" t="s">
        <v>2999</v>
      </c>
      <c r="B646" s="485">
        <v>0.71768499033757549</v>
      </c>
      <c r="C646" s="485">
        <v>0.70746345666071531</v>
      </c>
      <c r="D646" s="485">
        <v>0.69637691917025246</v>
      </c>
      <c r="E646" s="485">
        <v>0.6845318436723582</v>
      </c>
      <c r="F646" s="485">
        <v>0.67088417505864417</v>
      </c>
      <c r="G646" s="485">
        <v>0.65516038065071658</v>
      </c>
    </row>
    <row r="647" spans="1:7" x14ac:dyDescent="0.25">
      <c r="A647" s="485" t="s">
        <v>3000</v>
      </c>
      <c r="B647" s="485">
        <v>0.74166320992380208</v>
      </c>
      <c r="C647" s="485">
        <v>0.73063163870805248</v>
      </c>
      <c r="D647" s="485">
        <v>0.71876401073853824</v>
      </c>
      <c r="E647" s="485">
        <v>0.70566170829556341</v>
      </c>
      <c r="F647" s="485">
        <v>0.69082741679833792</v>
      </c>
      <c r="G647" s="485">
        <v>0.67398363854566112</v>
      </c>
    </row>
    <row r="648" spans="1:7" x14ac:dyDescent="0.25">
      <c r="A648" s="485" t="s">
        <v>3001</v>
      </c>
      <c r="B648" s="485">
        <v>0.76483139197113936</v>
      </c>
      <c r="C648" s="485">
        <v>0.75301873027633859</v>
      </c>
      <c r="D648" s="485">
        <v>0.73989387536174367</v>
      </c>
      <c r="E648" s="485">
        <v>0.72560495003525727</v>
      </c>
      <c r="F648" s="485">
        <v>0.70965067469328236</v>
      </c>
      <c r="G648" s="485">
        <v>0.69174980928180496</v>
      </c>
    </row>
    <row r="649" spans="1:7" x14ac:dyDescent="0.25">
      <c r="A649" s="485" t="s">
        <v>3002</v>
      </c>
      <c r="B649" s="485">
        <v>0.78721848353942536</v>
      </c>
      <c r="C649" s="485">
        <v>0.77414859489954402</v>
      </c>
      <c r="D649" s="485">
        <v>0.75983711710143742</v>
      </c>
      <c r="E649" s="485">
        <v>0.74442820793020159</v>
      </c>
      <c r="F649" s="485">
        <v>0.72741684542942597</v>
      </c>
      <c r="G649" s="485">
        <v>0.70851825735744811</v>
      </c>
    </row>
    <row r="650" spans="1:7" x14ac:dyDescent="0.25">
      <c r="A650" s="485" t="s">
        <v>3003</v>
      </c>
      <c r="B650" s="485">
        <v>0.8083483481626309</v>
      </c>
      <c r="C650" s="485">
        <v>0.79409183663923766</v>
      </c>
      <c r="D650" s="485">
        <v>0.77866037499638197</v>
      </c>
      <c r="E650" s="485">
        <v>0.76219437866634543</v>
      </c>
      <c r="F650" s="485">
        <v>0.74418529350506923</v>
      </c>
      <c r="G650" s="485">
        <v>0.72434501344583224</v>
      </c>
    </row>
    <row r="651" spans="1:7" x14ac:dyDescent="0.25">
      <c r="A651" s="485" t="s">
        <v>3004</v>
      </c>
      <c r="B651" s="485">
        <v>0.82829158990232432</v>
      </c>
      <c r="C651" s="485">
        <v>0.81291509453418187</v>
      </c>
      <c r="D651" s="485">
        <v>0.79642654573252569</v>
      </c>
      <c r="E651" s="485">
        <v>0.77896282674198858</v>
      </c>
      <c r="F651" s="485">
        <v>0.76001204959345348</v>
      </c>
      <c r="G651" s="485">
        <v>0.73928296161797402</v>
      </c>
    </row>
    <row r="652" spans="1:7" x14ac:dyDescent="0.25">
      <c r="A652" s="485" t="s">
        <v>3005</v>
      </c>
      <c r="B652" s="485">
        <v>0.84711484779726887</v>
      </c>
      <c r="C652" s="485">
        <v>0.83068126527032593</v>
      </c>
      <c r="D652" s="485">
        <v>0.81319499380816884</v>
      </c>
      <c r="E652" s="485">
        <v>0.79478958283037282</v>
      </c>
      <c r="F652" s="485">
        <v>0.77494999776559526</v>
      </c>
      <c r="G652" s="485">
        <v>0.75338201605133115</v>
      </c>
    </row>
    <row r="653" spans="1:7" x14ac:dyDescent="0.25">
      <c r="A653" s="485" t="s">
        <v>3006</v>
      </c>
      <c r="B653" s="485">
        <v>0.8648810185334127</v>
      </c>
      <c r="C653" s="485">
        <v>0.84744971334596897</v>
      </c>
      <c r="D653" s="485">
        <v>0.82902174989655308</v>
      </c>
      <c r="E653" s="485">
        <v>0.80972753100251482</v>
      </c>
      <c r="F653" s="485">
        <v>0.78904905219895238</v>
      </c>
      <c r="G653" s="485">
        <v>0.76668928781476409</v>
      </c>
    </row>
    <row r="654" spans="1:7" x14ac:dyDescent="0.25">
      <c r="A654" s="485" t="s">
        <v>3007</v>
      </c>
      <c r="B654" s="485">
        <v>0.10268663986706771</v>
      </c>
      <c r="C654" s="485">
        <v>0.10326441984090018</v>
      </c>
      <c r="D654" s="485">
        <v>0.10467673645072074</v>
      </c>
      <c r="E654" s="485">
        <v>0.10613859977349435</v>
      </c>
      <c r="F654" s="485">
        <v>0.1079844034831579</v>
      </c>
      <c r="G654" s="485">
        <v>0.108771561555967</v>
      </c>
    </row>
    <row r="655" spans="1:7" x14ac:dyDescent="0.25">
      <c r="A655" s="485" t="s">
        <v>3008</v>
      </c>
      <c r="B655" s="485">
        <v>0.88164946660905597</v>
      </c>
      <c r="C655" s="485">
        <v>0.86327646943435321</v>
      </c>
      <c r="D655" s="485">
        <v>0.84395969806869475</v>
      </c>
      <c r="E655" s="485">
        <v>0.82382658543587173</v>
      </c>
      <c r="F655" s="485">
        <v>0.80235632396238521</v>
      </c>
      <c r="G655" s="485">
        <v>0.77924924228709347</v>
      </c>
    </row>
    <row r="656" spans="1:7" x14ac:dyDescent="0.25">
      <c r="A656" s="485" t="s">
        <v>3009</v>
      </c>
      <c r="B656" s="485">
        <v>0.13746417310398698</v>
      </c>
      <c r="C656" s="485">
        <v>0.13893145598852119</v>
      </c>
      <c r="D656" s="485">
        <v>0.14037076683967459</v>
      </c>
      <c r="E656" s="485">
        <v>0.14276193672007728</v>
      </c>
      <c r="F656" s="485">
        <v>0.14443859770358808</v>
      </c>
      <c r="G656" s="485">
        <v>0.14493641749571073</v>
      </c>
    </row>
    <row r="657" spans="1:7" x14ac:dyDescent="0.25">
      <c r="A657" s="485" t="s">
        <v>3010</v>
      </c>
      <c r="B657" s="485">
        <v>0.17313120925160808</v>
      </c>
      <c r="C657" s="485">
        <v>0.17462548637747491</v>
      </c>
      <c r="D657" s="485">
        <v>0.17699410378625755</v>
      </c>
      <c r="E657" s="485">
        <v>0.17921613094050742</v>
      </c>
      <c r="F657" s="485">
        <v>0.18060345364333186</v>
      </c>
      <c r="G657" s="485">
        <v>0.18076317290307087</v>
      </c>
    </row>
    <row r="658" spans="1:7" x14ac:dyDescent="0.25">
      <c r="A658" s="485" t="s">
        <v>3011</v>
      </c>
      <c r="B658" s="485">
        <v>0.20882523964056179</v>
      </c>
      <c r="C658" s="485">
        <v>0.21124882332405787</v>
      </c>
      <c r="D658" s="485">
        <v>0.2134482980066878</v>
      </c>
      <c r="E658" s="485">
        <v>0.21538098688025126</v>
      </c>
      <c r="F658" s="485">
        <v>0.21643020905069196</v>
      </c>
      <c r="G658" s="485">
        <v>0.21601965243187246</v>
      </c>
    </row>
    <row r="659" spans="1:7" x14ac:dyDescent="0.25">
      <c r="A659" s="485" t="s">
        <v>3012</v>
      </c>
      <c r="B659" s="485">
        <v>0.24544857658714475</v>
      </c>
      <c r="C659" s="485">
        <v>0.24770301754448815</v>
      </c>
      <c r="D659" s="485">
        <v>0.24961315394643147</v>
      </c>
      <c r="E659" s="485">
        <v>0.25120774228761128</v>
      </c>
      <c r="F659" s="485">
        <v>0.25168668857949361</v>
      </c>
      <c r="G659" s="485">
        <v>0.25094363561847932</v>
      </c>
    </row>
    <row r="660" spans="1:7" x14ac:dyDescent="0.25">
      <c r="A660" s="485" t="s">
        <v>3013</v>
      </c>
      <c r="B660" s="485">
        <v>0.28190277080757492</v>
      </c>
      <c r="C660" s="485">
        <v>0.28386787348423193</v>
      </c>
      <c r="D660" s="485">
        <v>0.28543990935379154</v>
      </c>
      <c r="E660" s="485">
        <v>0.28646422181641296</v>
      </c>
      <c r="F660" s="485">
        <v>0.28661067176610039</v>
      </c>
      <c r="G660" s="485">
        <v>0.28586807350069621</v>
      </c>
    </row>
    <row r="661" spans="1:7" x14ac:dyDescent="0.25">
      <c r="A661" s="485" t="s">
        <v>3014</v>
      </c>
      <c r="B661" s="485">
        <v>0.31806762674731881</v>
      </c>
      <c r="C661" s="485">
        <v>0.319694628891592</v>
      </c>
      <c r="D661" s="485">
        <v>0.32069638888259322</v>
      </c>
      <c r="E661" s="485">
        <v>0.32138820500301973</v>
      </c>
      <c r="F661" s="485">
        <v>0.32153510964831716</v>
      </c>
      <c r="G661" s="485">
        <v>0.31924606087953494</v>
      </c>
    </row>
    <row r="662" spans="1:7" x14ac:dyDescent="0.25">
      <c r="A662" s="485" t="s">
        <v>3015</v>
      </c>
      <c r="B662" s="485">
        <v>3.900450834593347E-2</v>
      </c>
      <c r="C662" s="485">
        <v>3.9270098870587293E-2</v>
      </c>
      <c r="D662" s="485">
        <v>3.9438327478778568E-2</v>
      </c>
      <c r="E662" s="485">
        <v>4.0474139594376582E-2</v>
      </c>
      <c r="F662" s="485">
        <v>4.1817901843913111E-2</v>
      </c>
      <c r="G662" s="485">
        <v>4.2143975204004147E-2</v>
      </c>
    </row>
    <row r="663" spans="1:7" x14ac:dyDescent="0.25">
      <c r="A663" s="485" t="s">
        <v>3016</v>
      </c>
      <c r="B663" s="485">
        <v>0.41444725295697593</v>
      </c>
      <c r="C663" s="485">
        <v>0.41738686894792187</v>
      </c>
      <c r="D663" s="485">
        <v>0.41956087934135144</v>
      </c>
      <c r="E663" s="485">
        <v>0.42138872695335411</v>
      </c>
      <c r="F663" s="485">
        <v>0.42034145724711219</v>
      </c>
      <c r="G663" s="485">
        <v>0.4161143098020455</v>
      </c>
    </row>
    <row r="664" spans="1:7" x14ac:dyDescent="0.25">
      <c r="A664" s="485" t="s">
        <v>3017</v>
      </c>
      <c r="B664" s="485">
        <v>0.45639137729385548</v>
      </c>
      <c r="C664" s="485">
        <v>0.4588309782119388</v>
      </c>
      <c r="D664" s="485">
        <v>0.46082705443213251</v>
      </c>
      <c r="E664" s="485">
        <v>0.46081559684148887</v>
      </c>
      <c r="F664" s="485">
        <v>0.4579322116459586</v>
      </c>
      <c r="G664" s="485">
        <v>0.45230883957333001</v>
      </c>
    </row>
    <row r="665" spans="1:7" x14ac:dyDescent="0.25">
      <c r="A665" s="485" t="s">
        <v>3018</v>
      </c>
      <c r="B665" s="485">
        <v>0.49783548655787219</v>
      </c>
      <c r="C665" s="485">
        <v>0.50009715330271987</v>
      </c>
      <c r="D665" s="485">
        <v>0.50025392432026738</v>
      </c>
      <c r="E665" s="485">
        <v>0.49840635124033528</v>
      </c>
      <c r="F665" s="485">
        <v>0.49412674141724311</v>
      </c>
      <c r="G665" s="485">
        <v>0.48716394020372888</v>
      </c>
    </row>
    <row r="666" spans="1:7" x14ac:dyDescent="0.25">
      <c r="A666" s="485" t="s">
        <v>3019</v>
      </c>
      <c r="B666" s="485">
        <v>0.53910166164865336</v>
      </c>
      <c r="C666" s="485">
        <v>0.53952402319085457</v>
      </c>
      <c r="D666" s="485">
        <v>0.53784467871911379</v>
      </c>
      <c r="E666" s="485">
        <v>0.53460088101161984</v>
      </c>
      <c r="F666" s="485">
        <v>0.5289818420476422</v>
      </c>
      <c r="G666" s="485">
        <v>0.52066279488884148</v>
      </c>
    </row>
    <row r="667" spans="1:7" x14ac:dyDescent="0.25">
      <c r="A667" s="485" t="s">
        <v>3020</v>
      </c>
      <c r="B667" s="485">
        <v>0.57852853153678818</v>
      </c>
      <c r="C667" s="485">
        <v>0.57711477758970109</v>
      </c>
      <c r="D667" s="485">
        <v>0.57403920849039813</v>
      </c>
      <c r="E667" s="485">
        <v>0.56945598164201872</v>
      </c>
      <c r="F667" s="485">
        <v>0.5624806967327548</v>
      </c>
      <c r="G667" s="485">
        <v>0.5529751905641348</v>
      </c>
    </row>
    <row r="668" spans="1:7" x14ac:dyDescent="0.25">
      <c r="A668" s="485" t="s">
        <v>3021</v>
      </c>
      <c r="B668" s="485">
        <v>0.61611928593563459</v>
      </c>
      <c r="C668" s="485">
        <v>0.61330930736098555</v>
      </c>
      <c r="D668" s="485">
        <v>0.60889430912079712</v>
      </c>
      <c r="E668" s="485">
        <v>0.60295483632713109</v>
      </c>
      <c r="F668" s="485">
        <v>0.59479309240804779</v>
      </c>
      <c r="G668" s="485">
        <v>0.58414589010700479</v>
      </c>
    </row>
    <row r="669" spans="1:7" x14ac:dyDescent="0.25">
      <c r="A669" s="485" t="s">
        <v>3022</v>
      </c>
      <c r="B669" s="485">
        <v>0.65231381570691882</v>
      </c>
      <c r="C669" s="485">
        <v>0.64816440799138453</v>
      </c>
      <c r="D669" s="485">
        <v>0.64239316380590972</v>
      </c>
      <c r="E669" s="485">
        <v>0.6352672320024243</v>
      </c>
      <c r="F669" s="485">
        <v>0.62596379195091811</v>
      </c>
      <c r="G669" s="485">
        <v>0.61421785241032634</v>
      </c>
    </row>
    <row r="670" spans="1:7" x14ac:dyDescent="0.25">
      <c r="A670" s="485" t="s">
        <v>3023</v>
      </c>
      <c r="B670" s="485">
        <v>0.68716891633731791</v>
      </c>
      <c r="C670" s="485">
        <v>0.68166326267649713</v>
      </c>
      <c r="D670" s="485">
        <v>0.67470555948120303</v>
      </c>
      <c r="E670" s="485">
        <v>0.66643793154529463</v>
      </c>
      <c r="F670" s="485">
        <v>0.65603575425423943</v>
      </c>
      <c r="G670" s="485">
        <v>0.64323230965045641</v>
      </c>
    </row>
    <row r="671" spans="1:7" x14ac:dyDescent="0.25">
      <c r="A671" s="485" t="s">
        <v>3024</v>
      </c>
      <c r="B671" s="485">
        <v>0.72066777102243063</v>
      </c>
      <c r="C671" s="485">
        <v>0.71397565835179011</v>
      </c>
      <c r="D671" s="485">
        <v>0.70587625902407325</v>
      </c>
      <c r="E671" s="485">
        <v>0.69650989384861606</v>
      </c>
      <c r="F671" s="485">
        <v>0.68505021149436962</v>
      </c>
      <c r="G671" s="485">
        <v>0.67122884107538128</v>
      </c>
    </row>
    <row r="672" spans="1:7" x14ac:dyDescent="0.25">
      <c r="A672" s="485" t="s">
        <v>3025</v>
      </c>
      <c r="B672" s="485">
        <v>0.75298016669772361</v>
      </c>
      <c r="C672" s="485">
        <v>0.74514635789466044</v>
      </c>
      <c r="D672" s="485">
        <v>0.73594822132739468</v>
      </c>
      <c r="E672" s="485">
        <v>0.72552435108874624</v>
      </c>
      <c r="F672" s="485">
        <v>0.71304674291929449</v>
      </c>
      <c r="G672" s="485">
        <v>0.69824544347573214</v>
      </c>
    </row>
    <row r="673" spans="1:7" x14ac:dyDescent="0.25">
      <c r="A673" s="485" t="s">
        <v>3026</v>
      </c>
      <c r="B673" s="485">
        <v>7.8274607216520756E-2</v>
      </c>
      <c r="C673" s="485">
        <v>7.8708426349365868E-2</v>
      </c>
      <c r="D673" s="485">
        <v>7.991246707315515E-2</v>
      </c>
      <c r="E673" s="485">
        <v>8.2292041438289693E-2</v>
      </c>
      <c r="F673" s="485">
        <v>8.3961877047917258E-2</v>
      </c>
      <c r="G673" s="485">
        <v>8.5464296645025264E-2</v>
      </c>
    </row>
    <row r="674" spans="1:7" x14ac:dyDescent="0.25">
      <c r="A674" s="485" t="s">
        <v>3027</v>
      </c>
      <c r="B674" s="485">
        <v>0.78415086624059394</v>
      </c>
      <c r="C674" s="485">
        <v>0.77521832019798176</v>
      </c>
      <c r="D674" s="485">
        <v>0.76496267856752476</v>
      </c>
      <c r="E674" s="485">
        <v>0.753520882513671</v>
      </c>
      <c r="F674" s="485">
        <v>0.74006334531964524</v>
      </c>
      <c r="G674" s="485">
        <v>0.72431859849359037</v>
      </c>
    </row>
    <row r="675" spans="1:7" x14ac:dyDescent="0.25">
      <c r="A675" s="485" t="s">
        <v>3028</v>
      </c>
      <c r="B675" s="485">
        <v>0.81422282854391537</v>
      </c>
      <c r="C675" s="485">
        <v>0.80423277743811217</v>
      </c>
      <c r="D675" s="485">
        <v>0.79295920999244962</v>
      </c>
      <c r="E675" s="485">
        <v>0.78053748491402175</v>
      </c>
      <c r="F675" s="485">
        <v>0.7661365003375038</v>
      </c>
      <c r="G675" s="485">
        <v>0.7489275225312102</v>
      </c>
    </row>
    <row r="676" spans="1:7" x14ac:dyDescent="0.25">
      <c r="A676" s="485" t="s">
        <v>3029</v>
      </c>
      <c r="B676" s="485">
        <v>0.84323728578404544</v>
      </c>
      <c r="C676" s="485">
        <v>0.83222930886303692</v>
      </c>
      <c r="D676" s="485">
        <v>0.81997581239280048</v>
      </c>
      <c r="E676" s="485">
        <v>0.80661063993188009</v>
      </c>
      <c r="F676" s="485">
        <v>0.79074542437512363</v>
      </c>
      <c r="G676" s="485">
        <v>0.77215444469979932</v>
      </c>
    </row>
    <row r="677" spans="1:7" x14ac:dyDescent="0.25">
      <c r="A677" s="485" t="s">
        <v>3030</v>
      </c>
      <c r="B677" s="485">
        <v>0.87123381720897042</v>
      </c>
      <c r="C677" s="485">
        <v>0.85924591126338767</v>
      </c>
      <c r="D677" s="485">
        <v>0.84604896741065871</v>
      </c>
      <c r="E677" s="485">
        <v>0.83121956396950003</v>
      </c>
      <c r="F677" s="485">
        <v>0.81397234654371231</v>
      </c>
      <c r="G677" s="485">
        <v>0.79407697624164797</v>
      </c>
    </row>
    <row r="678" spans="1:7" x14ac:dyDescent="0.25">
      <c r="A678" s="485" t="s">
        <v>3031</v>
      </c>
      <c r="B678" s="485">
        <v>0.89825041960932117</v>
      </c>
      <c r="C678" s="485">
        <v>0.88531906628124613</v>
      </c>
      <c r="D678" s="485">
        <v>0.87065789144827854</v>
      </c>
      <c r="E678" s="485">
        <v>0.85444648613808882</v>
      </c>
      <c r="F678" s="485">
        <v>0.83589487808556129</v>
      </c>
      <c r="G678" s="485">
        <v>0.81476836986302503</v>
      </c>
    </row>
    <row r="679" spans="1:7" x14ac:dyDescent="0.25">
      <c r="A679" s="485" t="s">
        <v>3032</v>
      </c>
      <c r="B679" s="485">
        <v>0.92432357462717929</v>
      </c>
      <c r="C679" s="485">
        <v>0.90992799031886595</v>
      </c>
      <c r="D679" s="485">
        <v>0.89388481361686745</v>
      </c>
      <c r="E679" s="485">
        <v>0.8763690176799378</v>
      </c>
      <c r="F679" s="485">
        <v>0.85658627170693824</v>
      </c>
      <c r="G679" s="485">
        <v>0.83429776450330517</v>
      </c>
    </row>
    <row r="680" spans="1:7" x14ac:dyDescent="0.25">
      <c r="A680" s="485" t="s">
        <v>3033</v>
      </c>
      <c r="B680" s="485">
        <v>0.11771293469529932</v>
      </c>
      <c r="C680" s="485">
        <v>0.11918256594374244</v>
      </c>
      <c r="D680" s="485">
        <v>0.12173036891706826</v>
      </c>
      <c r="E680" s="485">
        <v>0.12443601664229383</v>
      </c>
      <c r="F680" s="485">
        <v>0.1272821984889384</v>
      </c>
      <c r="G680" s="485">
        <v>0.12875631335976317</v>
      </c>
    </row>
    <row r="681" spans="1:7" x14ac:dyDescent="0.25">
      <c r="A681" s="485" t="s">
        <v>3034</v>
      </c>
      <c r="B681" s="485">
        <v>0.15818707428967593</v>
      </c>
      <c r="C681" s="485">
        <v>0.16100046778765553</v>
      </c>
      <c r="D681" s="485">
        <v>0.16387434412107243</v>
      </c>
      <c r="E681" s="485">
        <v>0.16775633808331503</v>
      </c>
      <c r="F681" s="485">
        <v>0.17057421520367627</v>
      </c>
      <c r="G681" s="485">
        <v>0.17179431220971925</v>
      </c>
    </row>
    <row r="682" spans="1:7" x14ac:dyDescent="0.25">
      <c r="A682" s="485" t="s">
        <v>3035</v>
      </c>
      <c r="B682" s="485">
        <v>0.200004976133589</v>
      </c>
      <c r="C682" s="485">
        <v>0.20314444299165971</v>
      </c>
      <c r="D682" s="485">
        <v>0.20719466556209354</v>
      </c>
      <c r="E682" s="485">
        <v>0.21104835479805287</v>
      </c>
      <c r="F682" s="485">
        <v>0.21361221405363237</v>
      </c>
      <c r="G682" s="485">
        <v>0.21444227682338704</v>
      </c>
    </row>
    <row r="683" spans="1:7" x14ac:dyDescent="0.25">
      <c r="A683" s="485" t="s">
        <v>3036</v>
      </c>
      <c r="B683" s="485">
        <v>0.24214895133759318</v>
      </c>
      <c r="C683" s="485">
        <v>0.24646476443268087</v>
      </c>
      <c r="D683" s="485">
        <v>0.25048668227683146</v>
      </c>
      <c r="E683" s="485">
        <v>0.25408635364800891</v>
      </c>
      <c r="F683" s="485">
        <v>0.25626017866730016</v>
      </c>
      <c r="G683" s="485">
        <v>0.25638640116026629</v>
      </c>
    </row>
    <row r="684" spans="1:7" x14ac:dyDescent="0.25">
      <c r="A684" s="485" t="s">
        <v>3037</v>
      </c>
      <c r="B684" s="485">
        <v>0.28546927277861428</v>
      </c>
      <c r="C684" s="485">
        <v>0.28975678114741871</v>
      </c>
      <c r="D684" s="485">
        <v>0.29352468112678753</v>
      </c>
      <c r="E684" s="485">
        <v>0.29673431826167673</v>
      </c>
      <c r="F684" s="485">
        <v>0.29820430300417944</v>
      </c>
      <c r="G684" s="485">
        <v>0.29783051042428321</v>
      </c>
    </row>
    <row r="685" spans="1:7" x14ac:dyDescent="0.25">
      <c r="A685" s="485" t="s">
        <v>3038</v>
      </c>
      <c r="B685" s="485">
        <v>0.32876128949335226</v>
      </c>
      <c r="C685" s="485">
        <v>0.33279477999737483</v>
      </c>
      <c r="D685" s="485">
        <v>0.33617264574045524</v>
      </c>
      <c r="E685" s="485">
        <v>0.33867844259855601</v>
      </c>
      <c r="F685" s="485">
        <v>0.33964841226819631</v>
      </c>
      <c r="G685" s="485">
        <v>0.33909668551506428</v>
      </c>
    </row>
    <row r="686" spans="1:7" x14ac:dyDescent="0.25">
      <c r="A686" s="485" t="s">
        <v>3039</v>
      </c>
      <c r="B686" s="485">
        <v>0.37179928834330833</v>
      </c>
      <c r="C686" s="485">
        <v>0.37544274461104254</v>
      </c>
      <c r="D686" s="485">
        <v>0.37811677007733457</v>
      </c>
      <c r="E686" s="485">
        <v>0.38012255186257293</v>
      </c>
      <c r="F686" s="485">
        <v>0.38091458735897743</v>
      </c>
      <c r="G686" s="485">
        <v>0.37852355540319915</v>
      </c>
    </row>
    <row r="687" spans="1:7" x14ac:dyDescent="0.25">
      <c r="A687" s="485" t="s">
        <v>3040</v>
      </c>
      <c r="B687" s="485">
        <v>3.419975326308685E-2</v>
      </c>
      <c r="C687" s="485">
        <v>3.4254719537800668E-2</v>
      </c>
      <c r="D687" s="485">
        <v>3.423216706618025E-2</v>
      </c>
      <c r="E687" s="485">
        <v>3.4777533236919358E-2</v>
      </c>
      <c r="F687" s="485">
        <v>3.566703614762113E-2</v>
      </c>
      <c r="G687" s="485">
        <v>3.5694030388953836E-2</v>
      </c>
    </row>
    <row r="688" spans="1:7" x14ac:dyDescent="0.25">
      <c r="A688" s="485" t="s">
        <v>3041</v>
      </c>
      <c r="B688" s="485">
        <v>0.3639934789573992</v>
      </c>
      <c r="C688" s="485">
        <v>0.36534163510475237</v>
      </c>
      <c r="D688" s="485">
        <v>0.36624340227805086</v>
      </c>
      <c r="E688" s="485">
        <v>0.3671115602459194</v>
      </c>
      <c r="F688" s="485">
        <v>0.36576290998144079</v>
      </c>
      <c r="G688" s="485">
        <v>0.36186476173270998</v>
      </c>
    </row>
    <row r="689" spans="1:7" x14ac:dyDescent="0.25">
      <c r="A689" s="485" t="s">
        <v>3042</v>
      </c>
      <c r="B689" s="485">
        <v>0.40035663480502154</v>
      </c>
      <c r="C689" s="485">
        <v>0.40134582456412754</v>
      </c>
      <c r="D689" s="485">
        <v>0.4022206642632925</v>
      </c>
      <c r="E689" s="485">
        <v>0.40149390411480129</v>
      </c>
      <c r="F689" s="485">
        <v>0.39855700986214526</v>
      </c>
      <c r="G689" s="485">
        <v>0.39348550228064694</v>
      </c>
    </row>
    <row r="690" spans="1:7" x14ac:dyDescent="0.25">
      <c r="A690" s="485" t="s">
        <v>3043</v>
      </c>
      <c r="B690" s="485">
        <v>0.43636082426439682</v>
      </c>
      <c r="C690" s="485">
        <v>0.43732308654936936</v>
      </c>
      <c r="D690" s="485">
        <v>0.43660300813217434</v>
      </c>
      <c r="E690" s="485">
        <v>0.43428800399550566</v>
      </c>
      <c r="F690" s="485">
        <v>0.43017775041008216</v>
      </c>
      <c r="G690" s="485">
        <v>0.42397793006072676</v>
      </c>
    </row>
    <row r="691" spans="1:7" x14ac:dyDescent="0.25">
      <c r="A691" s="485" t="s">
        <v>3044</v>
      </c>
      <c r="B691" s="485">
        <v>0.47233808624963858</v>
      </c>
      <c r="C691" s="485">
        <v>0.47170543041825108</v>
      </c>
      <c r="D691" s="485">
        <v>0.46939710801287859</v>
      </c>
      <c r="E691" s="485">
        <v>0.4659087445434425</v>
      </c>
      <c r="F691" s="485">
        <v>0.46067017819016187</v>
      </c>
      <c r="G691" s="485">
        <v>0.45331397875642143</v>
      </c>
    </row>
    <row r="692" spans="1:7" x14ac:dyDescent="0.25">
      <c r="A692" s="485" t="s">
        <v>3045</v>
      </c>
      <c r="B692" s="485">
        <v>0.50672043011852042</v>
      </c>
      <c r="C692" s="485">
        <v>0.50449953029895567</v>
      </c>
      <c r="D692" s="485">
        <v>0.50101784856081555</v>
      </c>
      <c r="E692" s="485">
        <v>0.49640117232352232</v>
      </c>
      <c r="F692" s="485">
        <v>0.49000622688585671</v>
      </c>
      <c r="G692" s="485">
        <v>0.48164200473963714</v>
      </c>
    </row>
    <row r="693" spans="1:7" x14ac:dyDescent="0.25">
      <c r="A693" s="485" t="s">
        <v>3046</v>
      </c>
      <c r="B693" s="485">
        <v>0.53951452999922478</v>
      </c>
      <c r="C693" s="485">
        <v>0.53612027084689251</v>
      </c>
      <c r="D693" s="485">
        <v>0.53151027634089532</v>
      </c>
      <c r="E693" s="485">
        <v>0.52573722101921705</v>
      </c>
      <c r="F693" s="485">
        <v>0.51833425286907242</v>
      </c>
      <c r="G693" s="485">
        <v>0.50899876952210266</v>
      </c>
    </row>
    <row r="694" spans="1:7" x14ac:dyDescent="0.25">
      <c r="A694" s="485" t="s">
        <v>3047</v>
      </c>
      <c r="B694" s="485">
        <v>0.57113527054716173</v>
      </c>
      <c r="C694" s="485">
        <v>0.56661269862697239</v>
      </c>
      <c r="D694" s="485">
        <v>0.56084632503659015</v>
      </c>
      <c r="E694" s="485">
        <v>0.55406524700243276</v>
      </c>
      <c r="F694" s="485">
        <v>0.54569101765153794</v>
      </c>
      <c r="G694" s="485">
        <v>0.53541960218170159</v>
      </c>
    </row>
    <row r="695" spans="1:7" x14ac:dyDescent="0.25">
      <c r="A695" s="485" t="s">
        <v>3048</v>
      </c>
      <c r="B695" s="485">
        <v>0.60162769832724172</v>
      </c>
      <c r="C695" s="485">
        <v>0.59594874732266723</v>
      </c>
      <c r="D695" s="485">
        <v>0.58917435101980575</v>
      </c>
      <c r="E695" s="485">
        <v>0.58142201178489827</v>
      </c>
      <c r="F695" s="485">
        <v>0.57211185031113665</v>
      </c>
      <c r="G695" s="485">
        <v>0.56093845893074112</v>
      </c>
    </row>
    <row r="696" spans="1:7" x14ac:dyDescent="0.25">
      <c r="A696" s="485" t="s">
        <v>3049</v>
      </c>
      <c r="B696" s="485">
        <v>0.63096374702293623</v>
      </c>
      <c r="C696" s="485">
        <v>0.62427677330588272</v>
      </c>
      <c r="D696" s="485">
        <v>0.61653111580227149</v>
      </c>
      <c r="E696" s="485">
        <v>0.60784284444449721</v>
      </c>
      <c r="F696" s="485">
        <v>0.59763070706017662</v>
      </c>
      <c r="G696" s="485">
        <v>0.58558798006281754</v>
      </c>
    </row>
    <row r="697" spans="1:7" x14ac:dyDescent="0.25">
      <c r="A697" s="485" t="s">
        <v>3050</v>
      </c>
      <c r="B697" s="485">
        <v>0.65929177300615205</v>
      </c>
      <c r="C697" s="485">
        <v>0.65163353808834845</v>
      </c>
      <c r="D697" s="485">
        <v>0.6429519484618702</v>
      </c>
      <c r="E697" s="485">
        <v>0.63336170119353685</v>
      </c>
      <c r="F697" s="485">
        <v>0.62228022819225259</v>
      </c>
      <c r="G697" s="485">
        <v>0.60939954439885236</v>
      </c>
    </row>
    <row r="698" spans="1:7" x14ac:dyDescent="0.25">
      <c r="A698" s="485" t="s">
        <v>3051</v>
      </c>
      <c r="B698" s="485">
        <v>7.0117421986345782E-2</v>
      </c>
      <c r="C698" s="485">
        <v>7.0211526303449664E-2</v>
      </c>
      <c r="D698" s="485">
        <v>7.0840098150733485E-2</v>
      </c>
      <c r="E698" s="485">
        <v>7.242324226279559E-2</v>
      </c>
      <c r="F698" s="485">
        <v>7.3457461334058338E-2</v>
      </c>
      <c r="G698" s="485">
        <v>7.44997656753595E-2</v>
      </c>
    </row>
    <row r="699" spans="1:7" x14ac:dyDescent="0.25">
      <c r="A699" s="485" t="s">
        <v>3052</v>
      </c>
      <c r="B699" s="485">
        <v>0.68664853778861767</v>
      </c>
      <c r="C699" s="485">
        <v>0.67805437074794728</v>
      </c>
      <c r="D699" s="485">
        <v>0.66847080521090985</v>
      </c>
      <c r="E699" s="485">
        <v>0.65801122232561315</v>
      </c>
      <c r="F699" s="485">
        <v>0.64609179252828741</v>
      </c>
      <c r="G699" s="485">
        <v>0.63240332134715693</v>
      </c>
    </row>
    <row r="700" spans="1:7" x14ac:dyDescent="0.25">
      <c r="A700" s="485" t="s">
        <v>3053</v>
      </c>
      <c r="B700" s="485">
        <v>0.71306937044821639</v>
      </c>
      <c r="C700" s="485">
        <v>0.70357322749698692</v>
      </c>
      <c r="D700" s="485">
        <v>0.69312032634298604</v>
      </c>
      <c r="E700" s="485">
        <v>0.68182278666164786</v>
      </c>
      <c r="F700" s="485">
        <v>0.6690955694765921</v>
      </c>
      <c r="G700" s="485">
        <v>0.65411523918415981</v>
      </c>
    </row>
    <row r="701" spans="1:7" x14ac:dyDescent="0.25">
      <c r="A701" s="485" t="s">
        <v>3054</v>
      </c>
      <c r="B701" s="485">
        <v>0.73858822719725603</v>
      </c>
      <c r="C701" s="485">
        <v>0.72822274862906344</v>
      </c>
      <c r="D701" s="485">
        <v>0.71693189067902097</v>
      </c>
      <c r="E701" s="485">
        <v>0.70482656360995255</v>
      </c>
      <c r="F701" s="485">
        <v>0.69080748731359487</v>
      </c>
      <c r="G701" s="485">
        <v>0.67460784686420039</v>
      </c>
    </row>
    <row r="702" spans="1:7" x14ac:dyDescent="0.25">
      <c r="A702" s="485" t="s">
        <v>3055</v>
      </c>
      <c r="B702" s="485">
        <v>0.76323774832933233</v>
      </c>
      <c r="C702" s="485">
        <v>0.75203431296509815</v>
      </c>
      <c r="D702" s="485">
        <v>0.73993566762732554</v>
      </c>
      <c r="E702" s="485">
        <v>0.72653848144695543</v>
      </c>
      <c r="F702" s="485">
        <v>0.71130009499363567</v>
      </c>
      <c r="G702" s="485">
        <v>0.69394961909642372</v>
      </c>
    </row>
    <row r="703" spans="1:7" x14ac:dyDescent="0.25">
      <c r="A703" s="485" t="s">
        <v>3056</v>
      </c>
      <c r="B703" s="485">
        <v>0.78704931266536726</v>
      </c>
      <c r="C703" s="485">
        <v>0.77503808991340262</v>
      </c>
      <c r="D703" s="485">
        <v>0.76164758546432854</v>
      </c>
      <c r="E703" s="485">
        <v>0.74703108912699612</v>
      </c>
      <c r="F703" s="485">
        <v>0.730641867225859</v>
      </c>
      <c r="G703" s="485">
        <v>0.71220518514854569</v>
      </c>
    </row>
    <row r="704" spans="1:7" x14ac:dyDescent="0.25">
      <c r="A704" s="485" t="s">
        <v>3057</v>
      </c>
      <c r="B704" s="485">
        <v>0.81005308961367184</v>
      </c>
      <c r="C704" s="485">
        <v>0.79675000775040572</v>
      </c>
      <c r="D704" s="485">
        <v>0.782140193144369</v>
      </c>
      <c r="E704" s="485">
        <v>0.76637286135921945</v>
      </c>
      <c r="F704" s="485">
        <v>0.74889743327798086</v>
      </c>
      <c r="G704" s="485">
        <v>0.72943554480132711</v>
      </c>
    </row>
    <row r="705" spans="1:7" x14ac:dyDescent="0.25">
      <c r="A705" s="485" t="s">
        <v>3058</v>
      </c>
      <c r="B705" s="485">
        <v>0.83176500745067472</v>
      </c>
      <c r="C705" s="485">
        <v>0.81724261543044641</v>
      </c>
      <c r="D705" s="485">
        <v>0.80148196537659211</v>
      </c>
      <c r="E705" s="485">
        <v>0.78462842741134131</v>
      </c>
      <c r="F705" s="485">
        <v>0.76612779293076227</v>
      </c>
      <c r="G705" s="485">
        <v>0.74569827217535378</v>
      </c>
    </row>
    <row r="706" spans="1:7" x14ac:dyDescent="0.25">
      <c r="A706" s="485" t="s">
        <v>3059</v>
      </c>
      <c r="B706" s="485">
        <v>0.85225761513071552</v>
      </c>
      <c r="C706" s="485">
        <v>0.83658438766266952</v>
      </c>
      <c r="D706" s="485">
        <v>0.81973753142871408</v>
      </c>
      <c r="E706" s="485">
        <v>0.80185878706412284</v>
      </c>
      <c r="F706" s="485">
        <v>0.78239052030478906</v>
      </c>
      <c r="G706" s="485">
        <v>0.76104770811119804</v>
      </c>
    </row>
    <row r="707" spans="1:7" x14ac:dyDescent="0.25">
      <c r="A707" s="485" t="s">
        <v>3060</v>
      </c>
      <c r="B707" s="485">
        <v>0.87159938736293863</v>
      </c>
      <c r="C707" s="485">
        <v>0.85483995371479149</v>
      </c>
      <c r="D707" s="485">
        <v>0.83696789108149583</v>
      </c>
      <c r="E707" s="485">
        <v>0.8181215144381494</v>
      </c>
      <c r="F707" s="485">
        <v>0.79773995624063332</v>
      </c>
      <c r="G707" s="485">
        <v>0.77553514174578453</v>
      </c>
    </row>
    <row r="708" spans="1:7" x14ac:dyDescent="0.25">
      <c r="A708" s="485" t="s">
        <v>3061</v>
      </c>
      <c r="B708" s="485">
        <v>0.88985495341506049</v>
      </c>
      <c r="C708" s="485">
        <v>0.8720703133675729</v>
      </c>
      <c r="D708" s="485">
        <v>0.85323061845552273</v>
      </c>
      <c r="E708" s="485">
        <v>0.83347095037399377</v>
      </c>
      <c r="F708" s="485">
        <v>0.8122273898752197</v>
      </c>
      <c r="G708" s="485">
        <v>0.78920898189168953</v>
      </c>
    </row>
    <row r="709" spans="1:7" x14ac:dyDescent="0.25">
      <c r="A709" s="485" t="s">
        <v>3062</v>
      </c>
      <c r="B709" s="485">
        <v>0.10522652600371882</v>
      </c>
      <c r="C709" s="485">
        <v>0.10594252043681002</v>
      </c>
      <c r="D709" s="485">
        <v>0.10753234628016867</v>
      </c>
      <c r="E709" s="485">
        <v>0.1091884554674188</v>
      </c>
      <c r="F709" s="485">
        <v>0.11119201380479471</v>
      </c>
      <c r="G709" s="485">
        <v>0.11208641015990928</v>
      </c>
    </row>
    <row r="710" spans="1:7" x14ac:dyDescent="0.25">
      <c r="A710" s="485" t="s">
        <v>3063</v>
      </c>
      <c r="B710" s="485">
        <v>0.90708531306784213</v>
      </c>
      <c r="C710" s="485">
        <v>0.8883330407415998</v>
      </c>
      <c r="D710" s="485">
        <v>0.86858005439136687</v>
      </c>
      <c r="E710" s="485">
        <v>0.84795838400857992</v>
      </c>
      <c r="F710" s="485">
        <v>0.82590123002112459</v>
      </c>
      <c r="G710" s="485">
        <v>0.80211491879202435</v>
      </c>
    </row>
    <row r="711" spans="1:7" x14ac:dyDescent="0.25">
      <c r="A711" s="485" t="s">
        <v>3064</v>
      </c>
      <c r="B711" s="485">
        <v>0.14095752013707916</v>
      </c>
      <c r="C711" s="485">
        <v>0.14263476856624518</v>
      </c>
      <c r="D711" s="485">
        <v>0.14429755948479178</v>
      </c>
      <c r="E711" s="485">
        <v>0.1469230079381551</v>
      </c>
      <c r="F711" s="485">
        <v>0.14877865828934445</v>
      </c>
      <c r="G711" s="485">
        <v>0.14938848076454975</v>
      </c>
    </row>
    <row r="712" spans="1:7" x14ac:dyDescent="0.25">
      <c r="A712" s="485" t="s">
        <v>3065</v>
      </c>
      <c r="B712" s="485">
        <v>0.17764976826651435</v>
      </c>
      <c r="C712" s="485">
        <v>0.17939998177086824</v>
      </c>
      <c r="D712" s="485">
        <v>0.18203211195552818</v>
      </c>
      <c r="E712" s="485">
        <v>0.1845096524227049</v>
      </c>
      <c r="F712" s="485">
        <v>0.18608072889398491</v>
      </c>
      <c r="G712" s="485">
        <v>0.18634371069088468</v>
      </c>
    </row>
    <row r="713" spans="1:7" x14ac:dyDescent="0.25">
      <c r="A713" s="485" t="s">
        <v>3066</v>
      </c>
      <c r="B713" s="485">
        <v>0.21441498147113744</v>
      </c>
      <c r="C713" s="485">
        <v>0.21713453424160467</v>
      </c>
      <c r="D713" s="485">
        <v>0.21961875644007792</v>
      </c>
      <c r="E713" s="485">
        <v>0.22181172302734531</v>
      </c>
      <c r="F713" s="485">
        <v>0.22303595882031985</v>
      </c>
      <c r="G713" s="485">
        <v>0.2227068665385068</v>
      </c>
    </row>
    <row r="714" spans="1:7" x14ac:dyDescent="0.25">
      <c r="A714" s="485" t="s">
        <v>3067</v>
      </c>
      <c r="B714" s="485">
        <v>0.25214953394187384</v>
      </c>
      <c r="C714" s="485">
        <v>0.25472117872615457</v>
      </c>
      <c r="D714" s="485">
        <v>0.25692082704471841</v>
      </c>
      <c r="E714" s="485">
        <v>0.2587669529536803</v>
      </c>
      <c r="F714" s="485">
        <v>0.25939911466794202</v>
      </c>
      <c r="G714" s="485">
        <v>0.25871105599788213</v>
      </c>
    </row>
    <row r="715" spans="1:7" x14ac:dyDescent="0.25">
      <c r="A715" s="485" t="s">
        <v>3068</v>
      </c>
      <c r="B715" s="485">
        <v>0.28973617842642374</v>
      </c>
      <c r="C715" s="485">
        <v>0.2920232493307951</v>
      </c>
      <c r="D715" s="485">
        <v>0.29387605697105329</v>
      </c>
      <c r="E715" s="485">
        <v>0.29513010880130247</v>
      </c>
      <c r="F715" s="485">
        <v>0.2954033041273173</v>
      </c>
      <c r="G715" s="485">
        <v>0.29468831798312378</v>
      </c>
    </row>
    <row r="716" spans="1:7" x14ac:dyDescent="0.25">
      <c r="A716" s="485" t="s">
        <v>3069</v>
      </c>
      <c r="B716" s="485">
        <v>0.32703824903106427</v>
      </c>
      <c r="C716" s="485">
        <v>0.32897847925713014</v>
      </c>
      <c r="D716" s="485">
        <v>0.33023921281867546</v>
      </c>
      <c r="E716" s="485">
        <v>0.3311342982606777</v>
      </c>
      <c r="F716" s="485">
        <v>0.33138056611255901</v>
      </c>
      <c r="G716" s="485">
        <v>0.32907066185200567</v>
      </c>
    </row>
    <row r="717" spans="1:7" x14ac:dyDescent="0.25">
      <c r="A717" s="485" t="s">
        <v>3070</v>
      </c>
      <c r="B717" s="485">
        <v>3.4832681869390612E-2</v>
      </c>
      <c r="C717" s="485">
        <v>3.4914907019592337E-2</v>
      </c>
      <c r="D717" s="485">
        <v>3.4917020958962319E-2</v>
      </c>
      <c r="E717" s="485">
        <v>3.5526000994584785E-2</v>
      </c>
      <c r="F717" s="485">
        <v>3.6474553644474342E-2</v>
      </c>
      <c r="G717" s="485">
        <v>3.6540237340830194E-2</v>
      </c>
    </row>
    <row r="718" spans="1:7" x14ac:dyDescent="0.25">
      <c r="A718" s="485" t="s">
        <v>3071</v>
      </c>
      <c r="B718" s="485">
        <v>0.36184500857750701</v>
      </c>
      <c r="C718" s="485">
        <v>0.36314560787713029</v>
      </c>
      <c r="D718" s="485">
        <v>0.36400970820873269</v>
      </c>
      <c r="E718" s="485">
        <v>0.36484907814421835</v>
      </c>
      <c r="F718" s="485">
        <v>0.36349462117778608</v>
      </c>
      <c r="G718" s="485">
        <v>0.35961352374640493</v>
      </c>
    </row>
    <row r="719" spans="1:7" x14ac:dyDescent="0.25">
      <c r="A719" s="485" t="s">
        <v>3072</v>
      </c>
      <c r="B719" s="485">
        <v>0.39797828974652089</v>
      </c>
      <c r="C719" s="485">
        <v>0.39892461522832473</v>
      </c>
      <c r="D719" s="485">
        <v>0.39976609910318073</v>
      </c>
      <c r="E719" s="485">
        <v>0.39902062217237083</v>
      </c>
      <c r="F719" s="485">
        <v>0.39608807739087926</v>
      </c>
      <c r="G719" s="485">
        <v>0.39104224425900752</v>
      </c>
    </row>
    <row r="720" spans="1:7" x14ac:dyDescent="0.25">
      <c r="A720" s="485" t="s">
        <v>3073</v>
      </c>
      <c r="B720" s="485">
        <v>0.43375729709771543</v>
      </c>
      <c r="C720" s="485">
        <v>0.43468100612277266</v>
      </c>
      <c r="D720" s="485">
        <v>0.43393764313133315</v>
      </c>
      <c r="E720" s="485">
        <v>0.43161407838546417</v>
      </c>
      <c r="F720" s="485">
        <v>0.42751679790348196</v>
      </c>
      <c r="G720" s="485">
        <v>0.42135085454900384</v>
      </c>
    </row>
    <row r="721" spans="1:7" x14ac:dyDescent="0.25">
      <c r="A721" s="485" t="s">
        <v>3074</v>
      </c>
      <c r="B721" s="485">
        <v>0.46951368799216342</v>
      </c>
      <c r="C721" s="485">
        <v>0.4688525501509252</v>
      </c>
      <c r="D721" s="485">
        <v>0.46653109934442633</v>
      </c>
      <c r="E721" s="485">
        <v>0.4630427988980666</v>
      </c>
      <c r="F721" s="485">
        <v>0.45782540819347822</v>
      </c>
      <c r="G721" s="485">
        <v>0.45051102712640084</v>
      </c>
    </row>
    <row r="722" spans="1:7" x14ac:dyDescent="0.25">
      <c r="A722" s="485" t="s">
        <v>3075</v>
      </c>
      <c r="B722" s="485">
        <v>0.50368523202031568</v>
      </c>
      <c r="C722" s="485">
        <v>0.50144600636401837</v>
      </c>
      <c r="D722" s="485">
        <v>0.49795981985702881</v>
      </c>
      <c r="E722" s="485">
        <v>0.49335140918806297</v>
      </c>
      <c r="F722" s="485">
        <v>0.48698558077087523</v>
      </c>
      <c r="G722" s="485">
        <v>0.47867021825741257</v>
      </c>
    </row>
    <row r="723" spans="1:7" x14ac:dyDescent="0.25">
      <c r="A723" s="485" t="s">
        <v>3076</v>
      </c>
      <c r="B723" s="485">
        <v>0.53627868823340907</v>
      </c>
      <c r="C723" s="485">
        <v>0.53287472687662096</v>
      </c>
      <c r="D723" s="485">
        <v>0.5282684301470254</v>
      </c>
      <c r="E723" s="485">
        <v>0.52251158176545998</v>
      </c>
      <c r="F723" s="485">
        <v>0.51514477190188679</v>
      </c>
      <c r="G723" s="485">
        <v>0.50586489054665695</v>
      </c>
    </row>
    <row r="724" spans="1:7" x14ac:dyDescent="0.25">
      <c r="A724" s="485" t="s">
        <v>3077</v>
      </c>
      <c r="B724" s="485">
        <v>0.56770740874601167</v>
      </c>
      <c r="C724" s="485">
        <v>0.56318333716661717</v>
      </c>
      <c r="D724" s="485">
        <v>0.5574286027244223</v>
      </c>
      <c r="E724" s="485">
        <v>0.55067077289647159</v>
      </c>
      <c r="F724" s="485">
        <v>0.54233944419113134</v>
      </c>
      <c r="G724" s="485">
        <v>0.53213008749716184</v>
      </c>
    </row>
    <row r="725" spans="1:7" x14ac:dyDescent="0.25">
      <c r="A725" s="485" t="s">
        <v>3078</v>
      </c>
      <c r="B725" s="485">
        <v>0.59801601903600787</v>
      </c>
      <c r="C725" s="485">
        <v>0.59234350974401428</v>
      </c>
      <c r="D725" s="485">
        <v>0.58558779385543402</v>
      </c>
      <c r="E725" s="485">
        <v>0.57786544518571614</v>
      </c>
      <c r="F725" s="485">
        <v>0.56860464114163634</v>
      </c>
      <c r="G725" s="485">
        <v>0.55749949246081054</v>
      </c>
    </row>
    <row r="726" spans="1:7" x14ac:dyDescent="0.25">
      <c r="A726" s="485" t="s">
        <v>3079</v>
      </c>
      <c r="B726" s="485">
        <v>0.62717619161340488</v>
      </c>
      <c r="C726" s="485">
        <v>0.62050270087502579</v>
      </c>
      <c r="D726" s="485">
        <v>0.61278246614467824</v>
      </c>
      <c r="E726" s="485">
        <v>0.60413064213622114</v>
      </c>
      <c r="F726" s="485">
        <v>0.59397404610528504</v>
      </c>
      <c r="G726" s="485">
        <v>0.58200548499681415</v>
      </c>
    </row>
    <row r="727" spans="1:7" x14ac:dyDescent="0.25">
      <c r="A727" s="485" t="s">
        <v>3080</v>
      </c>
      <c r="B727" s="485">
        <v>0.65533538274441638</v>
      </c>
      <c r="C727" s="485">
        <v>0.64769737316427034</v>
      </c>
      <c r="D727" s="485">
        <v>0.63904766309518335</v>
      </c>
      <c r="E727" s="485">
        <v>0.62950004709986962</v>
      </c>
      <c r="F727" s="485">
        <v>0.61848003864128853</v>
      </c>
      <c r="G727" s="485">
        <v>0.60567919475736076</v>
      </c>
    </row>
    <row r="728" spans="1:7" x14ac:dyDescent="0.25">
      <c r="A728" s="485" t="s">
        <v>3081</v>
      </c>
      <c r="B728" s="485">
        <v>6.9747588888982956E-2</v>
      </c>
      <c r="C728" s="485">
        <v>6.9831927978554628E-2</v>
      </c>
      <c r="D728" s="485">
        <v>7.0443021953547111E-2</v>
      </c>
      <c r="E728" s="485">
        <v>7.2000554639059119E-2</v>
      </c>
      <c r="F728" s="485">
        <v>7.3014790985304542E-2</v>
      </c>
      <c r="G728" s="485">
        <v>7.4042044352924177E-2</v>
      </c>
    </row>
    <row r="729" spans="1:7" x14ac:dyDescent="0.25">
      <c r="A729" s="485" t="s">
        <v>3082</v>
      </c>
      <c r="B729" s="485">
        <v>0.68253005503366104</v>
      </c>
      <c r="C729" s="485">
        <v>0.67396257011477534</v>
      </c>
      <c r="D729" s="485">
        <v>0.66441706805883183</v>
      </c>
      <c r="E729" s="485">
        <v>0.65400603963587334</v>
      </c>
      <c r="F729" s="485">
        <v>0.64215374840183514</v>
      </c>
      <c r="G729" s="485">
        <v>0.62855055301393103</v>
      </c>
    </row>
    <row r="730" spans="1:7" x14ac:dyDescent="0.25">
      <c r="A730" s="485" t="s">
        <v>3083</v>
      </c>
      <c r="B730" s="485">
        <v>0.70879525198416593</v>
      </c>
      <c r="C730" s="485">
        <v>0.69933197507842404</v>
      </c>
      <c r="D730" s="485">
        <v>0.68892306059483555</v>
      </c>
      <c r="E730" s="485">
        <v>0.67767974939641984</v>
      </c>
      <c r="F730" s="485">
        <v>0.66502510665840542</v>
      </c>
      <c r="G730" s="485">
        <v>0.65013748860295462</v>
      </c>
    </row>
    <row r="731" spans="1:7" x14ac:dyDescent="0.25">
      <c r="A731" s="485" t="s">
        <v>3084</v>
      </c>
      <c r="B731" s="485">
        <v>0.73416465694781452</v>
      </c>
      <c r="C731" s="485">
        <v>0.72383796761442754</v>
      </c>
      <c r="D731" s="485">
        <v>0.71259677035538227</v>
      </c>
      <c r="E731" s="485">
        <v>0.70055110765299011</v>
      </c>
      <c r="F731" s="485">
        <v>0.686612042247429</v>
      </c>
      <c r="G731" s="485">
        <v>0.67051213285875788</v>
      </c>
    </row>
    <row r="732" spans="1:7" x14ac:dyDescent="0.25">
      <c r="A732" s="485" t="s">
        <v>3085</v>
      </c>
      <c r="B732" s="485">
        <v>0.75867064948381802</v>
      </c>
      <c r="C732" s="485">
        <v>0.74751167737497415</v>
      </c>
      <c r="D732" s="485">
        <v>0.73546812861195265</v>
      </c>
      <c r="E732" s="485">
        <v>0.72213804324201381</v>
      </c>
      <c r="F732" s="485">
        <v>0.70698668650323204</v>
      </c>
      <c r="G732" s="485">
        <v>0.6897425663234138</v>
      </c>
    </row>
    <row r="733" spans="1:7" x14ac:dyDescent="0.25">
      <c r="A733" s="485" t="s">
        <v>3086</v>
      </c>
      <c r="B733" s="485">
        <v>0.78234435924436463</v>
      </c>
      <c r="C733" s="485">
        <v>0.77038303563154431</v>
      </c>
      <c r="D733" s="485">
        <v>0.75705506420097601</v>
      </c>
      <c r="E733" s="485">
        <v>0.74251268749781696</v>
      </c>
      <c r="F733" s="485">
        <v>0.72621711996788829</v>
      </c>
      <c r="G733" s="485">
        <v>0.70789304623342431</v>
      </c>
    </row>
    <row r="734" spans="1:7" x14ac:dyDescent="0.25">
      <c r="A734" s="485" t="s">
        <v>3087</v>
      </c>
      <c r="B734" s="485">
        <v>0.80521571750093501</v>
      </c>
      <c r="C734" s="485">
        <v>0.79196997122056767</v>
      </c>
      <c r="D734" s="485">
        <v>0.77742970845677917</v>
      </c>
      <c r="E734" s="485">
        <v>0.76174312096247299</v>
      </c>
      <c r="F734" s="485">
        <v>0.74436759987789869</v>
      </c>
      <c r="G734" s="485">
        <v>0.72502422123107468</v>
      </c>
    </row>
    <row r="735" spans="1:7" x14ac:dyDescent="0.25">
      <c r="A735" s="485" t="s">
        <v>3088</v>
      </c>
      <c r="B735" s="485">
        <v>0.82680265308995826</v>
      </c>
      <c r="C735" s="485">
        <v>0.81234461547637093</v>
      </c>
      <c r="D735" s="485">
        <v>0.79666014192143531</v>
      </c>
      <c r="E735" s="485">
        <v>0.77989360087248349</v>
      </c>
      <c r="F735" s="485">
        <v>0.76149877487554885</v>
      </c>
      <c r="G735" s="485">
        <v>0.74119333401790843</v>
      </c>
    </row>
    <row r="736" spans="1:7" x14ac:dyDescent="0.25">
      <c r="A736" s="485" t="s">
        <v>3089</v>
      </c>
      <c r="B736" s="485">
        <v>0.84717729734576153</v>
      </c>
      <c r="C736" s="485">
        <v>0.83157504894102685</v>
      </c>
      <c r="D736" s="485">
        <v>0.8148106218314457</v>
      </c>
      <c r="E736" s="485">
        <v>0.79702477587013376</v>
      </c>
      <c r="F736" s="485">
        <v>0.77766788766238282</v>
      </c>
      <c r="G736" s="485">
        <v>0.75645441262747282</v>
      </c>
    </row>
    <row r="737" spans="1:7" x14ac:dyDescent="0.25">
      <c r="A737" s="485" t="s">
        <v>3090</v>
      </c>
      <c r="B737" s="485">
        <v>0.86640773081041755</v>
      </c>
      <c r="C737" s="485">
        <v>0.84972552885103758</v>
      </c>
      <c r="D737" s="485">
        <v>0.83194179682909597</v>
      </c>
      <c r="E737" s="485">
        <v>0.81319388865696751</v>
      </c>
      <c r="F737" s="485">
        <v>0.7929289662719472</v>
      </c>
      <c r="G737" s="485">
        <v>0.77085845095646266</v>
      </c>
    </row>
    <row r="738" spans="1:7" x14ac:dyDescent="0.25">
      <c r="A738" s="485" t="s">
        <v>3091</v>
      </c>
      <c r="B738" s="485">
        <v>0.88455821072042828</v>
      </c>
      <c r="C738" s="485">
        <v>0.86685670384868752</v>
      </c>
      <c r="D738" s="485">
        <v>0.84811090961593005</v>
      </c>
      <c r="E738" s="485">
        <v>0.82845496726653201</v>
      </c>
      <c r="F738" s="485">
        <v>0.80733300460093715</v>
      </c>
      <c r="G738" s="485">
        <v>0.78445357915749114</v>
      </c>
    </row>
    <row r="739" spans="1:7" x14ac:dyDescent="0.25">
      <c r="A739" s="485" t="s">
        <v>3092</v>
      </c>
      <c r="B739" s="485">
        <v>0.10466460984794526</v>
      </c>
      <c r="C739" s="485">
        <v>0.10535792897313929</v>
      </c>
      <c r="D739" s="485">
        <v>0.10691757559802147</v>
      </c>
      <c r="E739" s="485">
        <v>0.10854079197988929</v>
      </c>
      <c r="F739" s="485">
        <v>0.11051659799739849</v>
      </c>
      <c r="G739" s="485">
        <v>0.11139286644698047</v>
      </c>
    </row>
    <row r="740" spans="1:7" x14ac:dyDescent="0.25">
      <c r="A740" s="485" t="s">
        <v>3093</v>
      </c>
      <c r="B740" s="485">
        <v>0.90168938571807833</v>
      </c>
      <c r="C740" s="485">
        <v>0.88302581663552149</v>
      </c>
      <c r="D740" s="485">
        <v>0.86337198822549432</v>
      </c>
      <c r="E740" s="485">
        <v>0.84285900559552207</v>
      </c>
      <c r="F740" s="485">
        <v>0.82092813280196542</v>
      </c>
      <c r="G740" s="485">
        <v>0.79728522446285099</v>
      </c>
    </row>
    <row r="741" spans="1:7" x14ac:dyDescent="0.25">
      <c r="A741" s="485" t="s">
        <v>3094</v>
      </c>
      <c r="B741" s="485">
        <v>0.1401906108425299</v>
      </c>
      <c r="C741" s="485">
        <v>0.14183248261761353</v>
      </c>
      <c r="D741" s="485">
        <v>0.14345781293885163</v>
      </c>
      <c r="E741" s="485">
        <v>0.14604259899198327</v>
      </c>
      <c r="F741" s="485">
        <v>0.14786742009145482</v>
      </c>
      <c r="G741" s="485">
        <v>0.14845882082255765</v>
      </c>
    </row>
    <row r="742" spans="1:7" x14ac:dyDescent="0.25">
      <c r="A742" s="485" t="s">
        <v>3095</v>
      </c>
      <c r="B742" s="485">
        <v>0.17666516448700414</v>
      </c>
      <c r="C742" s="485">
        <v>0.17837271995844364</v>
      </c>
      <c r="D742" s="485">
        <v>0.18095961995094559</v>
      </c>
      <c r="E742" s="485">
        <v>0.18339342108603959</v>
      </c>
      <c r="F742" s="485">
        <v>0.18493337446703201</v>
      </c>
      <c r="G742" s="485">
        <v>0.18517984409050295</v>
      </c>
    </row>
    <row r="743" spans="1:7" x14ac:dyDescent="0.25">
      <c r="A743" s="485" t="s">
        <v>3096</v>
      </c>
      <c r="B743" s="485">
        <v>0.21320540182783423</v>
      </c>
      <c r="C743" s="485">
        <v>0.21587452697053766</v>
      </c>
      <c r="D743" s="485">
        <v>0.21831044204500191</v>
      </c>
      <c r="E743" s="485">
        <v>0.22045937546161681</v>
      </c>
      <c r="F743" s="485">
        <v>0.2216543977349773</v>
      </c>
      <c r="G743" s="485">
        <v>0.22131312525951677</v>
      </c>
    </row>
    <row r="744" spans="1:7" x14ac:dyDescent="0.25">
      <c r="A744" s="485" t="s">
        <v>3097</v>
      </c>
      <c r="B744" s="485">
        <v>0.25070720883992825</v>
      </c>
      <c r="C744" s="485">
        <v>0.25322534906459393</v>
      </c>
      <c r="D744" s="485">
        <v>0.25537639642057913</v>
      </c>
      <c r="E744" s="485">
        <v>0.25718039872956211</v>
      </c>
      <c r="F744" s="485">
        <v>0.25778767890399107</v>
      </c>
      <c r="G744" s="485">
        <v>0.25709213261071129</v>
      </c>
    </row>
    <row r="745" spans="1:7" x14ac:dyDescent="0.25">
      <c r="A745" s="485" t="s">
        <v>3098</v>
      </c>
      <c r="B745" s="485">
        <v>0.28805803093398458</v>
      </c>
      <c r="C745" s="485">
        <v>0.29029130344017112</v>
      </c>
      <c r="D745" s="485">
        <v>0.29209741968852437</v>
      </c>
      <c r="E745" s="485">
        <v>0.29331367989857587</v>
      </c>
      <c r="F745" s="485">
        <v>0.29356668625518562</v>
      </c>
      <c r="G745" s="485">
        <v>0.29284852350515933</v>
      </c>
    </row>
    <row r="746" spans="1:7" x14ac:dyDescent="0.25">
      <c r="A746" s="485" t="s">
        <v>3099</v>
      </c>
      <c r="B746" s="485">
        <v>0.32512398530956177</v>
      </c>
      <c r="C746" s="485">
        <v>0.32701232670811653</v>
      </c>
      <c r="D746" s="485">
        <v>0.32823070085753825</v>
      </c>
      <c r="E746" s="485">
        <v>0.32909268724977037</v>
      </c>
      <c r="F746" s="485">
        <v>0.32932307714963355</v>
      </c>
      <c r="G746" s="485">
        <v>0.32702006753331175</v>
      </c>
    </row>
    <row r="747" spans="1:7" x14ac:dyDescent="0.25">
      <c r="A747" s="485" t="s">
        <v>3100</v>
      </c>
      <c r="B747" s="485">
        <v>3.3687956244040036E-2</v>
      </c>
      <c r="C747" s="485">
        <v>3.3717849925273644E-2</v>
      </c>
      <c r="D747" s="485">
        <v>3.3672454888449589E-2</v>
      </c>
      <c r="E747" s="485">
        <v>3.416020076406074E-2</v>
      </c>
      <c r="F747" s="485">
        <v>3.4997036642161562E-2</v>
      </c>
      <c r="G747" s="485">
        <v>3.498833544471501E-2</v>
      </c>
    </row>
    <row r="748" spans="1:7" x14ac:dyDescent="0.25">
      <c r="A748" s="485" t="s">
        <v>3101</v>
      </c>
      <c r="B748" s="485">
        <v>0.34730354993461748</v>
      </c>
      <c r="C748" s="485">
        <v>0.34813717037369624</v>
      </c>
      <c r="D748" s="485">
        <v>0.34862781482187805</v>
      </c>
      <c r="E748" s="485">
        <v>0.34918563015063553</v>
      </c>
      <c r="F748" s="485">
        <v>0.34774142613125231</v>
      </c>
      <c r="G748" s="485">
        <v>0.34395390212040783</v>
      </c>
    </row>
    <row r="749" spans="1:7" x14ac:dyDescent="0.25">
      <c r="A749" s="485" t="s">
        <v>3102</v>
      </c>
      <c r="B749" s="485">
        <v>0.38182512661773627</v>
      </c>
      <c r="C749" s="485">
        <v>0.3823456647471517</v>
      </c>
      <c r="D749" s="485">
        <v>0.38285808503908497</v>
      </c>
      <c r="E749" s="485">
        <v>0.38190162689531304</v>
      </c>
      <c r="F749" s="485">
        <v>0.37895093876256952</v>
      </c>
      <c r="G749" s="485">
        <v>0.37406326765453884</v>
      </c>
    </row>
    <row r="750" spans="1:7" x14ac:dyDescent="0.25">
      <c r="A750" s="485" t="s">
        <v>3103</v>
      </c>
      <c r="B750" s="485">
        <v>0.41603362099119173</v>
      </c>
      <c r="C750" s="485">
        <v>0.41657593496435857</v>
      </c>
      <c r="D750" s="485">
        <v>0.41557408178376265</v>
      </c>
      <c r="E750" s="485">
        <v>0.41311113952663014</v>
      </c>
      <c r="F750" s="485">
        <v>0.40906030429670037</v>
      </c>
      <c r="G750" s="485">
        <v>0.40311369284703641</v>
      </c>
    </row>
    <row r="751" spans="1:7" x14ac:dyDescent="0.25">
      <c r="A751" s="485" t="s">
        <v>3104</v>
      </c>
      <c r="B751" s="485">
        <v>0.45026389120839871</v>
      </c>
      <c r="C751" s="485">
        <v>0.44929193170903631</v>
      </c>
      <c r="D751" s="485">
        <v>0.44678359441507981</v>
      </c>
      <c r="E751" s="485">
        <v>0.44322050506076116</v>
      </c>
      <c r="F751" s="485">
        <v>0.43811072948919788</v>
      </c>
      <c r="G751" s="485">
        <v>0.43107351849689213</v>
      </c>
    </row>
    <row r="752" spans="1:7" x14ac:dyDescent="0.25">
      <c r="A752" s="485" t="s">
        <v>3105</v>
      </c>
      <c r="B752" s="485">
        <v>0.48297988795307628</v>
      </c>
      <c r="C752" s="485">
        <v>0.48050144434035347</v>
      </c>
      <c r="D752" s="485">
        <v>0.47689295994921072</v>
      </c>
      <c r="E752" s="485">
        <v>0.47227093025325856</v>
      </c>
      <c r="F752" s="485">
        <v>0.46607055513905365</v>
      </c>
      <c r="G752" s="485">
        <v>0.45808401917241226</v>
      </c>
    </row>
    <row r="753" spans="1:7" x14ac:dyDescent="0.25">
      <c r="A753" s="485" t="s">
        <v>3106</v>
      </c>
      <c r="B753" s="485">
        <v>0.51418940058439333</v>
      </c>
      <c r="C753" s="485">
        <v>0.51061080987448426</v>
      </c>
      <c r="D753" s="485">
        <v>0.50594338514170822</v>
      </c>
      <c r="E753" s="485">
        <v>0.50023075590311439</v>
      </c>
      <c r="F753" s="485">
        <v>0.49308105581457384</v>
      </c>
      <c r="G753" s="485">
        <v>0.48417933420853904</v>
      </c>
    </row>
    <row r="754" spans="1:7" x14ac:dyDescent="0.25">
      <c r="A754" s="485" t="s">
        <v>3107</v>
      </c>
      <c r="B754" s="485">
        <v>0.54429876611852446</v>
      </c>
      <c r="C754" s="485">
        <v>0.53966123506698183</v>
      </c>
      <c r="D754" s="485">
        <v>0.533903210791564</v>
      </c>
      <c r="E754" s="485">
        <v>0.52724125657863463</v>
      </c>
      <c r="F754" s="485">
        <v>0.51917637085070067</v>
      </c>
      <c r="G754" s="485">
        <v>0.5093922919466598</v>
      </c>
    </row>
    <row r="755" spans="1:7" x14ac:dyDescent="0.25">
      <c r="A755" s="485" t="s">
        <v>3108</v>
      </c>
      <c r="B755" s="485">
        <v>0.5733491913110218</v>
      </c>
      <c r="C755" s="485">
        <v>0.56762106071683771</v>
      </c>
      <c r="D755" s="485">
        <v>0.56091371146708435</v>
      </c>
      <c r="E755" s="485">
        <v>0.55333657161476135</v>
      </c>
      <c r="F755" s="485">
        <v>0.5443893285888215</v>
      </c>
      <c r="G755" s="485">
        <v>0.53375446352796163</v>
      </c>
    </row>
    <row r="756" spans="1:7" x14ac:dyDescent="0.25">
      <c r="A756" s="485" t="s">
        <v>3109</v>
      </c>
      <c r="B756" s="485">
        <v>0.60130901696087757</v>
      </c>
      <c r="C756" s="485">
        <v>0.59463156139235784</v>
      </c>
      <c r="D756" s="485">
        <v>0.58700902650321107</v>
      </c>
      <c r="E756" s="485">
        <v>0.57854952935288229</v>
      </c>
      <c r="F756" s="485">
        <v>0.5687515001701231</v>
      </c>
      <c r="G756" s="485">
        <v>0.55729621434515197</v>
      </c>
    </row>
    <row r="757" spans="1:7" x14ac:dyDescent="0.25">
      <c r="A757" s="485" t="s">
        <v>3110</v>
      </c>
      <c r="B757" s="485">
        <v>0.62831951763639782</v>
      </c>
      <c r="C757" s="485">
        <v>0.62072687642848445</v>
      </c>
      <c r="D757" s="485">
        <v>0.61222198424133178</v>
      </c>
      <c r="E757" s="485">
        <v>0.602911700934184</v>
      </c>
      <c r="F757" s="485">
        <v>0.59229325098731356</v>
      </c>
      <c r="G757" s="485">
        <v>0.58004675325940269</v>
      </c>
    </row>
    <row r="758" spans="1:7" x14ac:dyDescent="0.25">
      <c r="A758" s="485" t="s">
        <v>3111</v>
      </c>
      <c r="B758" s="485">
        <v>6.7405806169313687E-2</v>
      </c>
      <c r="C758" s="485">
        <v>6.739030481372324E-2</v>
      </c>
      <c r="D758" s="485">
        <v>6.7832655652510301E-2</v>
      </c>
      <c r="E758" s="485">
        <v>6.9157237406222274E-2</v>
      </c>
      <c r="F758" s="485">
        <v>6.9985372086876552E-2</v>
      </c>
      <c r="G758" s="485">
        <v>7.0878149152606165E-2</v>
      </c>
    </row>
    <row r="759" spans="1:7" x14ac:dyDescent="0.25">
      <c r="A759" s="485" t="s">
        <v>3112</v>
      </c>
      <c r="B759" s="485">
        <v>0.65441483267252465</v>
      </c>
      <c r="C759" s="485">
        <v>0.64593983416660572</v>
      </c>
      <c r="D759" s="485">
        <v>0.6365841558226335</v>
      </c>
      <c r="E759" s="485">
        <v>0.62645345175137424</v>
      </c>
      <c r="F759" s="485">
        <v>0.61504378990156428</v>
      </c>
      <c r="G759" s="485">
        <v>0.60203417968431328</v>
      </c>
    </row>
    <row r="760" spans="1:7" x14ac:dyDescent="0.25">
      <c r="A760" s="485" t="s">
        <v>3113</v>
      </c>
      <c r="B760" s="485">
        <v>0.67962779041064547</v>
      </c>
      <c r="C760" s="485">
        <v>0.67030200574790699</v>
      </c>
      <c r="D760" s="485">
        <v>0.66012590663982385</v>
      </c>
      <c r="E760" s="485">
        <v>0.64920399066562495</v>
      </c>
      <c r="F760" s="485">
        <v>0.63703121632647486</v>
      </c>
      <c r="G760" s="485">
        <v>0.6227868237852201</v>
      </c>
    </row>
    <row r="761" spans="1:7" x14ac:dyDescent="0.25">
      <c r="A761" s="485" t="s">
        <v>3114</v>
      </c>
      <c r="B761" s="485">
        <v>0.7039899619919473</v>
      </c>
      <c r="C761" s="485">
        <v>0.69384375656509745</v>
      </c>
      <c r="D761" s="485">
        <v>0.68287644555407445</v>
      </c>
      <c r="E761" s="485">
        <v>0.67119141709053542</v>
      </c>
      <c r="F761" s="485">
        <v>0.65778386042738146</v>
      </c>
      <c r="G761" s="485">
        <v>0.64237402916597186</v>
      </c>
    </row>
    <row r="762" spans="1:7" x14ac:dyDescent="0.25">
      <c r="A762" s="485" t="s">
        <v>3115</v>
      </c>
      <c r="B762" s="485">
        <v>0.72753171280913753</v>
      </c>
      <c r="C762" s="485">
        <v>0.71659429547934816</v>
      </c>
      <c r="D762" s="485">
        <v>0.70486387197898515</v>
      </c>
      <c r="E762" s="485">
        <v>0.69194406119144214</v>
      </c>
      <c r="F762" s="485">
        <v>0.67737106580813355</v>
      </c>
      <c r="G762" s="485">
        <v>0.66086124519310918</v>
      </c>
    </row>
    <row r="763" spans="1:7" x14ac:dyDescent="0.25">
      <c r="A763" s="485" t="s">
        <v>3116</v>
      </c>
      <c r="B763" s="485">
        <v>0.75028225172338836</v>
      </c>
      <c r="C763" s="485">
        <v>0.73858172190425864</v>
      </c>
      <c r="D763" s="485">
        <v>0.72561651607989175</v>
      </c>
      <c r="E763" s="485">
        <v>0.71153126657219423</v>
      </c>
      <c r="F763" s="485">
        <v>0.69585828183527054</v>
      </c>
      <c r="G763" s="485">
        <v>0.67831024569064313</v>
      </c>
    </row>
    <row r="764" spans="1:7" x14ac:dyDescent="0.25">
      <c r="A764" s="485" t="s">
        <v>3117</v>
      </c>
      <c r="B764" s="485">
        <v>0.77226967814829861</v>
      </c>
      <c r="C764" s="485">
        <v>0.75933436600516546</v>
      </c>
      <c r="D764" s="485">
        <v>0.74520372146064373</v>
      </c>
      <c r="E764" s="485">
        <v>0.73001848259933144</v>
      </c>
      <c r="F764" s="485">
        <v>0.71330728233280483</v>
      </c>
      <c r="G764" s="485">
        <v>0.69477933535325187</v>
      </c>
    </row>
    <row r="765" spans="1:7" x14ac:dyDescent="0.25">
      <c r="A765" s="485" t="s">
        <v>3118</v>
      </c>
      <c r="B765" s="485">
        <v>0.10107826105776327</v>
      </c>
      <c r="C765" s="485">
        <v>0.10155050557778397</v>
      </c>
      <c r="D765" s="485">
        <v>0.10282969229467191</v>
      </c>
      <c r="E765" s="485">
        <v>0.1041455728509373</v>
      </c>
      <c r="F765" s="485">
        <v>0.10587518579476769</v>
      </c>
      <c r="G765" s="485">
        <v>0.10658167889429235</v>
      </c>
    </row>
    <row r="766" spans="1:7" x14ac:dyDescent="0.25">
      <c r="A766" s="485" t="s">
        <v>3119</v>
      </c>
      <c r="B766" s="485">
        <v>0.13523846182182403</v>
      </c>
      <c r="C766" s="485">
        <v>0.13654754221994553</v>
      </c>
      <c r="D766" s="485">
        <v>0.13781802773938687</v>
      </c>
      <c r="E766" s="485">
        <v>0.14003538655882844</v>
      </c>
      <c r="F766" s="485">
        <v>0.14157871553645393</v>
      </c>
      <c r="G766" s="485">
        <v>0.14199112067697625</v>
      </c>
    </row>
    <row r="767" spans="1:7" x14ac:dyDescent="0.25">
      <c r="A767" s="485" t="s">
        <v>3120</v>
      </c>
      <c r="B767" s="485">
        <v>0.17023549846398559</v>
      </c>
      <c r="C767" s="485">
        <v>0.17153587766466052</v>
      </c>
      <c r="D767" s="485">
        <v>0.17370784144727805</v>
      </c>
      <c r="E767" s="485">
        <v>0.17573891630051464</v>
      </c>
      <c r="F767" s="485">
        <v>0.17698815731913781</v>
      </c>
      <c r="G767" s="485">
        <v>0.17706805147063187</v>
      </c>
    </row>
    <row r="768" spans="1:7" x14ac:dyDescent="0.25">
      <c r="A768" s="485" t="s">
        <v>3121</v>
      </c>
      <c r="B768" s="485">
        <v>0.20522383390870055</v>
      </c>
      <c r="C768" s="485">
        <v>0.20742569137255165</v>
      </c>
      <c r="D768" s="485">
        <v>0.20941137118896425</v>
      </c>
      <c r="E768" s="485">
        <v>0.21114835808319854</v>
      </c>
      <c r="F768" s="485">
        <v>0.21206508811279348</v>
      </c>
      <c r="G768" s="485">
        <v>0.21158962815375068</v>
      </c>
    </row>
    <row r="769" spans="1:7" x14ac:dyDescent="0.25">
      <c r="A769" s="485" t="s">
        <v>3122</v>
      </c>
      <c r="B769" s="485">
        <v>0.24111364761659171</v>
      </c>
      <c r="C769" s="485">
        <v>0.2431292211142379</v>
      </c>
      <c r="D769" s="485">
        <v>0.24482081297164804</v>
      </c>
      <c r="E769" s="485">
        <v>0.24622528887685416</v>
      </c>
      <c r="F769" s="485">
        <v>0.24658666479591218</v>
      </c>
      <c r="G769" s="485">
        <v>0.24579812252720615</v>
      </c>
    </row>
    <row r="770" spans="1:7" x14ac:dyDescent="0.25">
      <c r="A770" s="485" t="s">
        <v>3123</v>
      </c>
      <c r="B770" s="485">
        <v>0.27681717735827788</v>
      </c>
      <c r="C770" s="485">
        <v>0.27853866289692175</v>
      </c>
      <c r="D770" s="485">
        <v>0.2798977437653038</v>
      </c>
      <c r="E770" s="485">
        <v>0.28074686555997297</v>
      </c>
      <c r="F770" s="485">
        <v>0.28079515916936776</v>
      </c>
      <c r="G770" s="485">
        <v>0.28002839274441305</v>
      </c>
    </row>
    <row r="771" spans="1:7" x14ac:dyDescent="0.25">
      <c r="A771" s="485" t="s">
        <v>3124</v>
      </c>
      <c r="B771" s="485">
        <v>0.31222661914096178</v>
      </c>
      <c r="C771" s="485">
        <v>0.31361559369057745</v>
      </c>
      <c r="D771" s="485">
        <v>0.31441932044842252</v>
      </c>
      <c r="E771" s="485">
        <v>0.31495535993342844</v>
      </c>
      <c r="F771" s="485">
        <v>0.31502542938657468</v>
      </c>
      <c r="G771" s="485">
        <v>0.31274438948909072</v>
      </c>
    </row>
    <row r="772" spans="1:7" x14ac:dyDescent="0.25">
      <c r="A772" s="485" t="s">
        <v>3125</v>
      </c>
      <c r="B772" s="485">
        <v>0.36812535740232122</v>
      </c>
      <c r="C772" s="485">
        <v>0.36019536934428592</v>
      </c>
      <c r="D772" s="485">
        <v>0.35150234027811994</v>
      </c>
      <c r="E772" s="485">
        <v>0.34218821353156276</v>
      </c>
      <c r="F772" s="485">
        <v>0.33232424047602804</v>
      </c>
      <c r="G772" s="485">
        <v>0.32216483537421087</v>
      </c>
    </row>
    <row r="773" spans="1:7" x14ac:dyDescent="0.25">
      <c r="A773" s="485" t="s">
        <v>3126</v>
      </c>
      <c r="B773" s="485">
        <v>3.3642126884338625E-2</v>
      </c>
      <c r="C773" s="485">
        <v>3.3682164238705396E-2</v>
      </c>
      <c r="D773" s="485">
        <v>3.3646565942484233E-2</v>
      </c>
      <c r="E773" s="485">
        <v>3.4154419666460295E-2</v>
      </c>
      <c r="F773" s="485">
        <v>3.5006645404279141E-2</v>
      </c>
      <c r="G773" s="485">
        <v>3.5012777486289962E-2</v>
      </c>
    </row>
    <row r="774" spans="1:7" x14ac:dyDescent="0.25">
      <c r="A774" s="485" t="s">
        <v>3127</v>
      </c>
      <c r="B774" s="485">
        <v>0.34737486677795454</v>
      </c>
      <c r="C774" s="485">
        <v>0.34829441005661699</v>
      </c>
      <c r="D774" s="485">
        <v>0.34885519592636727</v>
      </c>
      <c r="E774" s="485">
        <v>0.3494643691617057</v>
      </c>
      <c r="F774" s="485">
        <v>0.34804968098878541</v>
      </c>
      <c r="G774" s="485">
        <v>0.34427428114617648</v>
      </c>
    </row>
    <row r="775" spans="1:7" x14ac:dyDescent="0.25">
      <c r="A775" s="485" t="s">
        <v>3128</v>
      </c>
      <c r="B775" s="485">
        <v>0.38193653694095564</v>
      </c>
      <c r="C775" s="485">
        <v>0.38253736016507262</v>
      </c>
      <c r="D775" s="485">
        <v>0.38311093510418998</v>
      </c>
      <c r="E775" s="485">
        <v>0.38220410065524574</v>
      </c>
      <c r="F775" s="485">
        <v>0.37928092655045548</v>
      </c>
      <c r="G775" s="485">
        <v>0.374401476969485</v>
      </c>
    </row>
    <row r="776" spans="1:7" x14ac:dyDescent="0.25">
      <c r="A776" s="485" t="s">
        <v>3129</v>
      </c>
      <c r="B776" s="485">
        <v>0.41617948704941138</v>
      </c>
      <c r="C776" s="485">
        <v>0.41679309934289527</v>
      </c>
      <c r="D776" s="485">
        <v>0.41585066659773001</v>
      </c>
      <c r="E776" s="485">
        <v>0.4134353462169158</v>
      </c>
      <c r="F776" s="485">
        <v>0.40940812237376412</v>
      </c>
      <c r="G776" s="485">
        <v>0.40346617435380761</v>
      </c>
    </row>
    <row r="777" spans="1:7" x14ac:dyDescent="0.25">
      <c r="A777" s="485" t="s">
        <v>3130</v>
      </c>
      <c r="B777" s="485">
        <v>0.45043522622723398</v>
      </c>
      <c r="C777" s="485">
        <v>0.44953283083643519</v>
      </c>
      <c r="D777" s="485">
        <v>0.44708191215940013</v>
      </c>
      <c r="E777" s="485">
        <v>0.44356254204022438</v>
      </c>
      <c r="F777" s="485">
        <v>0.43847281975808694</v>
      </c>
      <c r="G777" s="485">
        <v>0.43143763189974932</v>
      </c>
    </row>
    <row r="778" spans="1:7" x14ac:dyDescent="0.25">
      <c r="A778" s="485" t="s">
        <v>3131</v>
      </c>
      <c r="B778" s="485">
        <v>0.48317495772077396</v>
      </c>
      <c r="C778" s="485">
        <v>0.48076407639810537</v>
      </c>
      <c r="D778" s="485">
        <v>0.47720910798270877</v>
      </c>
      <c r="E778" s="485">
        <v>0.47262723942454704</v>
      </c>
      <c r="F778" s="485">
        <v>0.46644427730402843</v>
      </c>
      <c r="G778" s="485">
        <v>0.4584572060940349</v>
      </c>
    </row>
    <row r="779" spans="1:7" x14ac:dyDescent="0.25">
      <c r="A779" s="485" t="s">
        <v>3132</v>
      </c>
      <c r="B779" s="485">
        <v>0.51440620328244413</v>
      </c>
      <c r="C779" s="485">
        <v>0.51089127222141384</v>
      </c>
      <c r="D779" s="485">
        <v>0.50627380536703126</v>
      </c>
      <c r="E779" s="485">
        <v>0.50059869697048864</v>
      </c>
      <c r="F779" s="485">
        <v>0.49346385149831395</v>
      </c>
      <c r="G779" s="485">
        <v>0.4845592206833283</v>
      </c>
    </row>
    <row r="780" spans="1:7" x14ac:dyDescent="0.25">
      <c r="A780" s="485" t="s">
        <v>3133</v>
      </c>
      <c r="B780" s="485">
        <v>0.54453339910575249</v>
      </c>
      <c r="C780" s="485">
        <v>0.53995596960573666</v>
      </c>
      <c r="D780" s="485">
        <v>0.53424526291297292</v>
      </c>
      <c r="E780" s="485">
        <v>0.52761827116477433</v>
      </c>
      <c r="F780" s="485">
        <v>0.51956586608760746</v>
      </c>
      <c r="G780" s="485">
        <v>0.50977667758979428</v>
      </c>
    </row>
    <row r="781" spans="1:7" x14ac:dyDescent="0.25">
      <c r="A781" s="485" t="s">
        <v>3134</v>
      </c>
      <c r="B781" s="485">
        <v>0.5735980964900752</v>
      </c>
      <c r="C781" s="485">
        <v>0.56792742715167832</v>
      </c>
      <c r="D781" s="485">
        <v>0.56126483710725861</v>
      </c>
      <c r="E781" s="485">
        <v>0.55372028575406773</v>
      </c>
      <c r="F781" s="485">
        <v>0.54478332299407339</v>
      </c>
      <c r="G781" s="485">
        <v>0.53414131129199438</v>
      </c>
    </row>
    <row r="782" spans="1:7" x14ac:dyDescent="0.25">
      <c r="A782" s="485" t="s">
        <v>3135</v>
      </c>
      <c r="B782" s="485">
        <v>0.60156955403601686</v>
      </c>
      <c r="C782" s="485">
        <v>0.59494700134596357</v>
      </c>
      <c r="D782" s="485">
        <v>0.58736685169655189</v>
      </c>
      <c r="E782" s="485">
        <v>0.57893774266053355</v>
      </c>
      <c r="F782" s="485">
        <v>0.56914795669627349</v>
      </c>
      <c r="G782" s="485">
        <v>0.55768364083344701</v>
      </c>
    </row>
    <row r="783" spans="1:7" x14ac:dyDescent="0.25">
      <c r="A783" s="485" t="s">
        <v>3136</v>
      </c>
      <c r="B783" s="485">
        <v>0.62858912823030244</v>
      </c>
      <c r="C783" s="485">
        <v>0.62104901593525708</v>
      </c>
      <c r="D783" s="485">
        <v>0.61258430860301782</v>
      </c>
      <c r="E783" s="485">
        <v>0.60330237636273365</v>
      </c>
      <c r="F783" s="485">
        <v>0.59269028623772613</v>
      </c>
      <c r="G783" s="485">
        <v>0.58043301956727289</v>
      </c>
    </row>
    <row r="784" spans="1:7" x14ac:dyDescent="0.25">
      <c r="A784" s="485" t="s">
        <v>3137</v>
      </c>
      <c r="B784" s="485">
        <v>6.7324291123044028E-2</v>
      </c>
      <c r="C784" s="485">
        <v>6.7328730181189594E-2</v>
      </c>
      <c r="D784" s="485">
        <v>6.7800985608944528E-2</v>
      </c>
      <c r="E784" s="485">
        <v>6.9161065070739436E-2</v>
      </c>
      <c r="F784" s="485">
        <v>7.0019422890569089E-2</v>
      </c>
      <c r="G784" s="485">
        <v>7.0931653411999487E-2</v>
      </c>
    </row>
    <row r="785" spans="1:7" x14ac:dyDescent="0.25">
      <c r="A785" s="485" t="s">
        <v>3138</v>
      </c>
      <c r="B785" s="485">
        <v>0.65469114281959573</v>
      </c>
      <c r="C785" s="485">
        <v>0.64626647284172312</v>
      </c>
      <c r="D785" s="485">
        <v>0.63694894230521804</v>
      </c>
      <c r="E785" s="485">
        <v>0.62684470590418639</v>
      </c>
      <c r="F785" s="485">
        <v>0.615439664971552</v>
      </c>
      <c r="G785" s="485">
        <v>0.60241768274022744</v>
      </c>
    </row>
    <row r="786" spans="1:7" x14ac:dyDescent="0.25">
      <c r="A786" s="485" t="s">
        <v>3139</v>
      </c>
      <c r="B786" s="485">
        <v>0.67990859972606177</v>
      </c>
      <c r="C786" s="485">
        <v>0.67063110654392311</v>
      </c>
      <c r="D786" s="485">
        <v>0.66049127184667067</v>
      </c>
      <c r="E786" s="485">
        <v>0.64959408463801227</v>
      </c>
      <c r="F786" s="485">
        <v>0.63742432814450645</v>
      </c>
      <c r="G786" s="485">
        <v>0.62316771876944366</v>
      </c>
    </row>
    <row r="787" spans="1:7" x14ac:dyDescent="0.25">
      <c r="A787" s="485" t="s">
        <v>3140</v>
      </c>
      <c r="B787" s="485">
        <v>0.70427323342826198</v>
      </c>
      <c r="C787" s="485">
        <v>0.69417343608537596</v>
      </c>
      <c r="D787" s="485">
        <v>0.68324065058049643</v>
      </c>
      <c r="E787" s="485">
        <v>0.67157874781096683</v>
      </c>
      <c r="F787" s="485">
        <v>0.65817436417372266</v>
      </c>
      <c r="G787" s="485">
        <v>0.64275246254406959</v>
      </c>
    </row>
    <row r="788" spans="1:7" x14ac:dyDescent="0.25">
      <c r="A788" s="485" t="s">
        <v>3141</v>
      </c>
      <c r="B788" s="485">
        <v>0.72781556296971439</v>
      </c>
      <c r="C788" s="485">
        <v>0.71692281481920173</v>
      </c>
      <c r="D788" s="485">
        <v>0.7052253137534511</v>
      </c>
      <c r="E788" s="485">
        <v>0.69232878384018304</v>
      </c>
      <c r="F788" s="485">
        <v>0.6777591079483487</v>
      </c>
      <c r="G788" s="485">
        <v>0.66123735520534932</v>
      </c>
    </row>
    <row r="789" spans="1:7" x14ac:dyDescent="0.25">
      <c r="A789" s="485" t="s">
        <v>3142</v>
      </c>
      <c r="B789" s="485">
        <v>0.75056494170354016</v>
      </c>
      <c r="C789" s="485">
        <v>0.73890747799215606</v>
      </c>
      <c r="D789" s="485">
        <v>0.72597534978266731</v>
      </c>
      <c r="E789" s="485">
        <v>0.71191352761480897</v>
      </c>
      <c r="F789" s="485">
        <v>0.69624400060962865</v>
      </c>
      <c r="G789" s="485">
        <v>0.67868416281391952</v>
      </c>
    </row>
    <row r="790" spans="1:7" x14ac:dyDescent="0.25">
      <c r="A790" s="485" t="s">
        <v>3143</v>
      </c>
      <c r="B790" s="485">
        <v>0.77254960487649482</v>
      </c>
      <c r="C790" s="485">
        <v>0.75965751402137249</v>
      </c>
      <c r="D790" s="485">
        <v>0.74556009355729314</v>
      </c>
      <c r="E790" s="485">
        <v>0.73039842027608881</v>
      </c>
      <c r="F790" s="485">
        <v>0.71369080821819852</v>
      </c>
      <c r="G790" s="485">
        <v>0.69515118273706233</v>
      </c>
    </row>
    <row r="791" spans="1:7" x14ac:dyDescent="0.25">
      <c r="A791" s="485" t="s">
        <v>3144</v>
      </c>
      <c r="B791" s="485">
        <v>0.79329964090571115</v>
      </c>
      <c r="C791" s="485">
        <v>0.77924225779599843</v>
      </c>
      <c r="D791" s="485">
        <v>0.76404498621857309</v>
      </c>
      <c r="E791" s="485">
        <v>0.74784522788465879</v>
      </c>
      <c r="F791" s="485">
        <v>0.73015782814134156</v>
      </c>
      <c r="G791" s="485">
        <v>0.71069343844555022</v>
      </c>
    </row>
    <row r="792" spans="1:7" x14ac:dyDescent="0.25">
      <c r="A792" s="485" t="s">
        <v>3145</v>
      </c>
      <c r="B792" s="485">
        <v>0.81288438468033719</v>
      </c>
      <c r="C792" s="485">
        <v>0.79772715045727827</v>
      </c>
      <c r="D792" s="485">
        <v>0.78149179382714296</v>
      </c>
      <c r="E792" s="485">
        <v>0.76431224780780183</v>
      </c>
      <c r="F792" s="485">
        <v>0.74570008384982944</v>
      </c>
      <c r="G792" s="485">
        <v>0.72536286337097533</v>
      </c>
    </row>
    <row r="793" spans="1:7" x14ac:dyDescent="0.25">
      <c r="A793" s="485" t="s">
        <v>3146</v>
      </c>
      <c r="B793" s="485">
        <v>0.83136927734161703</v>
      </c>
      <c r="C793" s="485">
        <v>0.81517395806584825</v>
      </c>
      <c r="D793" s="485">
        <v>0.7979588137502861</v>
      </c>
      <c r="E793" s="485">
        <v>0.77985450351628982</v>
      </c>
      <c r="F793" s="485">
        <v>0.76036950877525455</v>
      </c>
      <c r="G793" s="485">
        <v>0.73920847443791748</v>
      </c>
    </row>
    <row r="794" spans="1:7" x14ac:dyDescent="0.25">
      <c r="A794" s="485" t="s">
        <v>3147</v>
      </c>
      <c r="B794" s="485">
        <v>0.8488160849501869</v>
      </c>
      <c r="C794" s="485">
        <v>0.83164097798899128</v>
      </c>
      <c r="D794" s="485">
        <v>0.81350106945877398</v>
      </c>
      <c r="E794" s="485">
        <v>0.79452392844171504</v>
      </c>
      <c r="F794" s="485">
        <v>0.77421511984219671</v>
      </c>
      <c r="G794" s="485">
        <v>0.75227653585079346</v>
      </c>
    </row>
    <row r="795" spans="1:7" x14ac:dyDescent="0.25">
      <c r="A795" s="485" t="s">
        <v>3148</v>
      </c>
      <c r="B795" s="485">
        <v>0.10097085706552822</v>
      </c>
      <c r="C795" s="485">
        <v>0.10148314984764982</v>
      </c>
      <c r="D795" s="485">
        <v>0.10280763101322364</v>
      </c>
      <c r="E795" s="485">
        <v>0.10417384255702938</v>
      </c>
      <c r="F795" s="485">
        <v>0.1059382988162786</v>
      </c>
      <c r="G795" s="485">
        <v>0.10667276067854461</v>
      </c>
    </row>
    <row r="796" spans="1:7" x14ac:dyDescent="0.25">
      <c r="A796" s="485" t="s">
        <v>3149</v>
      </c>
      <c r="B796" s="485">
        <v>0.86528310487332993</v>
      </c>
      <c r="C796" s="485">
        <v>0.84718323369747928</v>
      </c>
      <c r="D796" s="485">
        <v>0.82817049438419921</v>
      </c>
      <c r="E796" s="485">
        <v>0.80836953950865675</v>
      </c>
      <c r="F796" s="485">
        <v>0.78728318125507268</v>
      </c>
      <c r="G796" s="485">
        <v>0.76461071368267253</v>
      </c>
    </row>
    <row r="797" spans="1:7" x14ac:dyDescent="0.25">
      <c r="A797" s="485" t="s">
        <v>3150</v>
      </c>
      <c r="B797" s="485">
        <v>0.13512527673198846</v>
      </c>
      <c r="C797" s="485">
        <v>0.13648979525192889</v>
      </c>
      <c r="D797" s="485">
        <v>0.13782040849951363</v>
      </c>
      <c r="E797" s="485">
        <v>0.14009271848273891</v>
      </c>
      <c r="F797" s="485">
        <v>0.14167940608282376</v>
      </c>
      <c r="G797" s="485">
        <v>0.14212399324924369</v>
      </c>
    </row>
    <row r="798" spans="1:7" x14ac:dyDescent="0.25">
      <c r="A798" s="485" t="s">
        <v>3151</v>
      </c>
      <c r="B798" s="485">
        <v>0.17013192213626752</v>
      </c>
      <c r="C798" s="485">
        <v>0.17150257273821873</v>
      </c>
      <c r="D798" s="485">
        <v>0.17373928442522313</v>
      </c>
      <c r="E798" s="485">
        <v>0.17583382574928397</v>
      </c>
      <c r="F798" s="485">
        <v>0.17713063865352285</v>
      </c>
      <c r="G798" s="485">
        <v>0.17724294464168699</v>
      </c>
    </row>
    <row r="799" spans="1:7" x14ac:dyDescent="0.25">
      <c r="A799" s="485" t="s">
        <v>3152</v>
      </c>
      <c r="B799" s="485">
        <v>0.20514469962255735</v>
      </c>
      <c r="C799" s="485">
        <v>0.20742144866392834</v>
      </c>
      <c r="D799" s="485">
        <v>0.20948039169176827</v>
      </c>
      <c r="E799" s="485">
        <v>0.21128505831998315</v>
      </c>
      <c r="F799" s="485">
        <v>0.21224959004596614</v>
      </c>
      <c r="G799" s="485">
        <v>0.21180461480468793</v>
      </c>
    </row>
    <row r="800" spans="1:7" x14ac:dyDescent="0.25">
      <c r="A800" s="485" t="s">
        <v>3153</v>
      </c>
      <c r="B800" s="485">
        <v>0.24106357554826691</v>
      </c>
      <c r="C800" s="485">
        <v>0.24316255593047345</v>
      </c>
      <c r="D800" s="485">
        <v>0.24493162426246737</v>
      </c>
      <c r="E800" s="485">
        <v>0.24640400971242638</v>
      </c>
      <c r="F800" s="485">
        <v>0.24681126020896704</v>
      </c>
      <c r="G800" s="485">
        <v>0.24604756491314367</v>
      </c>
    </row>
    <row r="801" spans="1:7" x14ac:dyDescent="0.25">
      <c r="A801" s="485" t="s">
        <v>3154</v>
      </c>
      <c r="B801" s="485">
        <v>0.27680468281481213</v>
      </c>
      <c r="C801" s="485">
        <v>0.27861378850117258</v>
      </c>
      <c r="D801" s="485">
        <v>0.28005057565491065</v>
      </c>
      <c r="E801" s="485">
        <v>0.28096567987542748</v>
      </c>
      <c r="F801" s="485">
        <v>0.28105421031742273</v>
      </c>
      <c r="G801" s="485">
        <v>0.28030330409096632</v>
      </c>
    </row>
    <row r="802" spans="1:7" x14ac:dyDescent="0.25">
      <c r="A802" s="485" t="s">
        <v>3155</v>
      </c>
      <c r="B802" s="485">
        <v>0.31225591538551123</v>
      </c>
      <c r="C802" s="485">
        <v>0.31373273989361589</v>
      </c>
      <c r="D802" s="485">
        <v>0.31461224581791164</v>
      </c>
      <c r="E802" s="485">
        <v>0.31520862998388299</v>
      </c>
      <c r="F802" s="485">
        <v>0.31530994949524543</v>
      </c>
      <c r="G802" s="485">
        <v>0.3130430355845063</v>
      </c>
    </row>
    <row r="803" spans="1:7" x14ac:dyDescent="0.25">
      <c r="A803" s="485" t="s">
        <v>3156</v>
      </c>
      <c r="B803" s="485">
        <v>4.0238415609106792E-2</v>
      </c>
      <c r="C803" s="485">
        <v>4.0507741653339889E-2</v>
      </c>
      <c r="D803" s="485">
        <v>4.0676831631293209E-2</v>
      </c>
      <c r="E803" s="485">
        <v>4.1735894269171271E-2</v>
      </c>
      <c r="F803" s="485">
        <v>4.3114593208887275E-2</v>
      </c>
      <c r="G803" s="485">
        <v>4.3444190756547277E-2</v>
      </c>
    </row>
    <row r="804" spans="1:7" x14ac:dyDescent="0.25">
      <c r="A804" s="485" t="s">
        <v>3157</v>
      </c>
      <c r="B804" s="485">
        <v>0.42730912445516639</v>
      </c>
      <c r="C804" s="485">
        <v>0.43030184596024279</v>
      </c>
      <c r="D804" s="485">
        <v>0.4325121867287901</v>
      </c>
      <c r="E804" s="485">
        <v>0.43437397853950965</v>
      </c>
      <c r="F804" s="485">
        <v>0.43328095461642402</v>
      </c>
      <c r="G804" s="485">
        <v>0.42891688703883707</v>
      </c>
    </row>
    <row r="805" spans="1:7" x14ac:dyDescent="0.25">
      <c r="A805" s="485" t="s">
        <v>3158</v>
      </c>
      <c r="B805" s="485">
        <v>0.47054026156934958</v>
      </c>
      <c r="C805" s="485">
        <v>0.47301992838212992</v>
      </c>
      <c r="D805" s="485">
        <v>0.47505081017080281</v>
      </c>
      <c r="E805" s="485">
        <v>0.47501684888559531</v>
      </c>
      <c r="F805" s="485">
        <v>0.47203148024772412</v>
      </c>
      <c r="G805" s="485">
        <v>0.46622949242767298</v>
      </c>
    </row>
    <row r="806" spans="1:7" x14ac:dyDescent="0.25">
      <c r="A806" s="485" t="s">
        <v>3159</v>
      </c>
      <c r="B806" s="485">
        <v>0.51325834399123682</v>
      </c>
      <c r="C806" s="485">
        <v>0.51555855182414267</v>
      </c>
      <c r="D806" s="485">
        <v>0.51569368051688858</v>
      </c>
      <c r="E806" s="485">
        <v>0.51376737451689547</v>
      </c>
      <c r="F806" s="485">
        <v>0.50934408563656031</v>
      </c>
      <c r="G806" s="485">
        <v>0.50216258623087562</v>
      </c>
    </row>
    <row r="807" spans="1:7" x14ac:dyDescent="0.25">
      <c r="A807" s="485" t="s">
        <v>3160</v>
      </c>
      <c r="B807" s="485">
        <v>0.55579696743324936</v>
      </c>
      <c r="C807" s="485">
        <v>0.55620142217022828</v>
      </c>
      <c r="D807" s="485">
        <v>0.55444420614818868</v>
      </c>
      <c r="E807" s="485">
        <v>0.55107997990573143</v>
      </c>
      <c r="F807" s="485">
        <v>0.54527717943976295</v>
      </c>
      <c r="G807" s="485">
        <v>0.53669841884493941</v>
      </c>
    </row>
    <row r="808" spans="1:7" x14ac:dyDescent="0.25">
      <c r="A808" s="485" t="s">
        <v>3161</v>
      </c>
      <c r="B808" s="485">
        <v>0.59643983777933496</v>
      </c>
      <c r="C808" s="485">
        <v>0.5949519478015286</v>
      </c>
      <c r="D808" s="485">
        <v>0.59175681153702475</v>
      </c>
      <c r="E808" s="485">
        <v>0.58701307370893419</v>
      </c>
      <c r="F808" s="485">
        <v>0.57981301205382652</v>
      </c>
      <c r="G808" s="485">
        <v>0.5700120228173513</v>
      </c>
    </row>
    <row r="809" spans="1:7" x14ac:dyDescent="0.25">
      <c r="A809" s="485" t="s">
        <v>3162</v>
      </c>
      <c r="B809" s="485">
        <v>0.63519036341063528</v>
      </c>
      <c r="C809" s="485">
        <v>0.63226455319036456</v>
      </c>
      <c r="D809" s="485">
        <v>0.62768990534022739</v>
      </c>
      <c r="E809" s="485">
        <v>0.62154890632299797</v>
      </c>
      <c r="F809" s="485">
        <v>0.61312661602623852</v>
      </c>
      <c r="G809" s="485">
        <v>0.60214947132159358</v>
      </c>
    </row>
    <row r="810" spans="1:7" x14ac:dyDescent="0.25">
      <c r="A810" s="485" t="s">
        <v>3163</v>
      </c>
      <c r="B810" s="485">
        <v>0.67250296879947125</v>
      </c>
      <c r="C810" s="485">
        <v>0.6681976469935671</v>
      </c>
      <c r="D810" s="485">
        <v>0.66222573795429107</v>
      </c>
      <c r="E810" s="485">
        <v>0.65486251029540976</v>
      </c>
      <c r="F810" s="485">
        <v>0.64526406453048069</v>
      </c>
      <c r="G810" s="485">
        <v>0.63315498225748601</v>
      </c>
    </row>
    <row r="811" spans="1:7" x14ac:dyDescent="0.25">
      <c r="A811" s="485" t="s">
        <v>3164</v>
      </c>
      <c r="B811" s="485">
        <v>0.70843606260267378</v>
      </c>
      <c r="C811" s="485">
        <v>0.70273347960763066</v>
      </c>
      <c r="D811" s="485">
        <v>0.69553934192670297</v>
      </c>
      <c r="E811" s="485">
        <v>0.68699995879965203</v>
      </c>
      <c r="F811" s="485">
        <v>0.67626957546637323</v>
      </c>
      <c r="G811" s="485">
        <v>0.66307099766082334</v>
      </c>
    </row>
    <row r="812" spans="1:7" x14ac:dyDescent="0.25">
      <c r="A812" s="485" t="s">
        <v>3165</v>
      </c>
      <c r="B812" s="485">
        <v>0.74297189521673745</v>
      </c>
      <c r="C812" s="485">
        <v>0.73604708358004267</v>
      </c>
      <c r="D812" s="485">
        <v>0.72767679043094535</v>
      </c>
      <c r="E812" s="485">
        <v>0.71800546973554447</v>
      </c>
      <c r="F812" s="485">
        <v>0.70618559086971044</v>
      </c>
      <c r="G812" s="485">
        <v>0.69193825953859489</v>
      </c>
    </row>
    <row r="813" spans="1:7" x14ac:dyDescent="0.25">
      <c r="A813" s="485" t="s">
        <v>3166</v>
      </c>
      <c r="B813" s="485">
        <v>0.77628549918914946</v>
      </c>
      <c r="C813" s="485">
        <v>0.76818453208428472</v>
      </c>
      <c r="D813" s="485">
        <v>0.75868230136683779</v>
      </c>
      <c r="E813" s="485">
        <v>0.7479214851388819</v>
      </c>
      <c r="F813" s="485">
        <v>0.73505285274748222</v>
      </c>
      <c r="G813" s="485">
        <v>0.71979588229687996</v>
      </c>
    </row>
    <row r="814" spans="1:7" x14ac:dyDescent="0.25">
      <c r="A814" s="485" t="s">
        <v>3167</v>
      </c>
      <c r="B814" s="485">
        <v>8.0746157262446661E-2</v>
      </c>
      <c r="C814" s="485">
        <v>8.1184573284633049E-2</v>
      </c>
      <c r="D814" s="485">
        <v>8.2412725900464501E-2</v>
      </c>
      <c r="E814" s="485">
        <v>8.4850487478058539E-2</v>
      </c>
      <c r="F814" s="485">
        <v>8.6558783965434538E-2</v>
      </c>
      <c r="G814" s="485">
        <v>8.809926257893555E-2</v>
      </c>
    </row>
    <row r="815" spans="1:7" x14ac:dyDescent="0.25">
      <c r="A815" s="485" t="s">
        <v>3168</v>
      </c>
      <c r="B815" s="485">
        <v>0.80842294769339174</v>
      </c>
      <c r="C815" s="485">
        <v>0.79919004302017727</v>
      </c>
      <c r="D815" s="485">
        <v>0.78859831677017533</v>
      </c>
      <c r="E815" s="485">
        <v>0.77678874701665324</v>
      </c>
      <c r="F815" s="485">
        <v>0.7629104755057674</v>
      </c>
      <c r="G815" s="485">
        <v>0.74668142192048792</v>
      </c>
    </row>
    <row r="816" spans="1:7" x14ac:dyDescent="0.25">
      <c r="A816" s="485" t="s">
        <v>3169</v>
      </c>
      <c r="B816" s="485">
        <v>0.83942845862928406</v>
      </c>
      <c r="C816" s="485">
        <v>0.82910605842351448</v>
      </c>
      <c r="D816" s="485">
        <v>0.81746557864794656</v>
      </c>
      <c r="E816" s="485">
        <v>0.80464636977493853</v>
      </c>
      <c r="F816" s="485">
        <v>0.78979601512937525</v>
      </c>
      <c r="G816" s="485">
        <v>0.77205710820987739</v>
      </c>
    </row>
    <row r="817" spans="1:7" x14ac:dyDescent="0.25">
      <c r="A817" s="485" t="s">
        <v>3170</v>
      </c>
      <c r="B817" s="485">
        <v>0.86934447403262138</v>
      </c>
      <c r="C817" s="485">
        <v>0.85797332030128637</v>
      </c>
      <c r="D817" s="485">
        <v>0.84532320140623152</v>
      </c>
      <c r="E817" s="485">
        <v>0.83153190939854649</v>
      </c>
      <c r="F817" s="485">
        <v>0.81517170141876438</v>
      </c>
      <c r="G817" s="485">
        <v>0.79600773236220312</v>
      </c>
    </row>
    <row r="818" spans="1:7" x14ac:dyDescent="0.25">
      <c r="A818" s="485" t="s">
        <v>3171</v>
      </c>
      <c r="B818" s="485">
        <v>0.89821173591039305</v>
      </c>
      <c r="C818" s="485">
        <v>0.88583094305957144</v>
      </c>
      <c r="D818" s="485">
        <v>0.87220874102983981</v>
      </c>
      <c r="E818" s="485">
        <v>0.85690759568793595</v>
      </c>
      <c r="F818" s="485">
        <v>0.83912232557109057</v>
      </c>
      <c r="G818" s="485">
        <v>0.81861332382263352</v>
      </c>
    </row>
    <row r="819" spans="1:7" x14ac:dyDescent="0.25">
      <c r="A819" s="485" t="s">
        <v>3172</v>
      </c>
      <c r="B819" s="485">
        <v>0.92606935866867823</v>
      </c>
      <c r="C819" s="485">
        <v>0.91271648268317918</v>
      </c>
      <c r="D819" s="485">
        <v>0.89758442731922905</v>
      </c>
      <c r="E819" s="485">
        <v>0.88085821984026169</v>
      </c>
      <c r="F819" s="485">
        <v>0.86172791703152085</v>
      </c>
      <c r="G819" s="485">
        <v>0.83994941769750875</v>
      </c>
    </row>
    <row r="820" spans="1:7" x14ac:dyDescent="0.25">
      <c r="A820" s="485" t="s">
        <v>3173</v>
      </c>
      <c r="B820" s="485">
        <v>0.95295489829228619</v>
      </c>
      <c r="C820" s="485">
        <v>0.93809216897256864</v>
      </c>
      <c r="D820" s="485">
        <v>0.9215350514715549</v>
      </c>
      <c r="E820" s="485">
        <v>0.90346381130069209</v>
      </c>
      <c r="F820" s="485">
        <v>0.88306401090639619</v>
      </c>
      <c r="G820" s="485">
        <v>0.86008730714996295</v>
      </c>
    </row>
    <row r="821" spans="1:7" x14ac:dyDescent="0.25">
      <c r="A821" s="485" t="s">
        <v>3174</v>
      </c>
      <c r="B821" s="485">
        <v>0.97833058458167532</v>
      </c>
      <c r="C821" s="485">
        <v>0.96204279312489449</v>
      </c>
      <c r="D821" s="485">
        <v>0.94414064293198519</v>
      </c>
      <c r="E821" s="485">
        <v>0.92479990517556732</v>
      </c>
      <c r="F821" s="485">
        <v>0.90320190035885006</v>
      </c>
      <c r="G821" s="485">
        <v>0.87909428162136871</v>
      </c>
    </row>
    <row r="822" spans="1:7" x14ac:dyDescent="0.25">
      <c r="A822" s="485" t="s">
        <v>3175</v>
      </c>
      <c r="B822" s="485">
        <v>1.0022812087340012</v>
      </c>
      <c r="C822" s="485">
        <v>0.98464838458532522</v>
      </c>
      <c r="D822" s="485">
        <v>0.96547673680686064</v>
      </c>
      <c r="E822" s="485">
        <v>0.94493779462802152</v>
      </c>
      <c r="F822" s="485">
        <v>0.92220887483025549</v>
      </c>
      <c r="G822" s="485">
        <v>0.89703385167460636</v>
      </c>
    </row>
    <row r="823" spans="1:7" x14ac:dyDescent="0.25">
      <c r="A823" s="485" t="s">
        <v>3176</v>
      </c>
      <c r="B823" s="485">
        <v>1.0248868001944316</v>
      </c>
      <c r="C823" s="485">
        <v>1.0059844784602001</v>
      </c>
      <c r="D823" s="485">
        <v>0.98561462625931462</v>
      </c>
      <c r="E823" s="485">
        <v>0.96394476909942695</v>
      </c>
      <c r="F823" s="485">
        <v>0.94014844488349369</v>
      </c>
      <c r="G823" s="485">
        <v>0.91396596121046114</v>
      </c>
    </row>
    <row r="824" spans="1:7" x14ac:dyDescent="0.25">
      <c r="A824" s="485" t="s">
        <v>3177</v>
      </c>
      <c r="B824" s="485">
        <v>1.0462228940693068</v>
      </c>
      <c r="C824" s="485">
        <v>1.0261223679126543</v>
      </c>
      <c r="D824" s="485">
        <v>1.0046216007307203</v>
      </c>
      <c r="E824" s="485">
        <v>0.98188433915266504</v>
      </c>
      <c r="F824" s="485">
        <v>0.95708055441934847</v>
      </c>
      <c r="G824" s="485">
        <v>0.92994718776624641</v>
      </c>
    </row>
    <row r="825" spans="1:7" x14ac:dyDescent="0.25">
      <c r="A825" s="485" t="s">
        <v>3178</v>
      </c>
      <c r="B825" s="485">
        <v>0.12142298889373983</v>
      </c>
      <c r="C825" s="485">
        <v>0.1229204675538042</v>
      </c>
      <c r="D825" s="485">
        <v>0.12552731910935175</v>
      </c>
      <c r="E825" s="485">
        <v>0.1282946782346058</v>
      </c>
      <c r="F825" s="485">
        <v>0.1312138557878228</v>
      </c>
      <c r="G825" s="485">
        <v>0.13272134868453681</v>
      </c>
    </row>
    <row r="826" spans="1:7" x14ac:dyDescent="0.25">
      <c r="A826" s="485" t="s">
        <v>3179</v>
      </c>
      <c r="B826" s="485">
        <v>1.066360783521761</v>
      </c>
      <c r="C826" s="485">
        <v>1.04512934238406</v>
      </c>
      <c r="D826" s="485">
        <v>1.0225611707839584</v>
      </c>
      <c r="E826" s="485">
        <v>0.99881644868851949</v>
      </c>
      <c r="F826" s="485">
        <v>0.97306178097513374</v>
      </c>
      <c r="G826" s="485">
        <v>0.94503093156594964</v>
      </c>
    </row>
    <row r="827" spans="1:7" x14ac:dyDescent="0.25">
      <c r="A827" s="485" t="s">
        <v>3180</v>
      </c>
      <c r="B827" s="485">
        <v>0.16315888316291102</v>
      </c>
      <c r="C827" s="485">
        <v>0.16603506076269145</v>
      </c>
      <c r="D827" s="485">
        <v>0.16897150986589901</v>
      </c>
      <c r="E827" s="485">
        <v>0.17294975005699409</v>
      </c>
      <c r="F827" s="485">
        <v>0.17583594189342405</v>
      </c>
      <c r="G827" s="485">
        <v>0.17707963388330847</v>
      </c>
    </row>
    <row r="828" spans="1:7" x14ac:dyDescent="0.25">
      <c r="A828" s="485" t="s">
        <v>3181</v>
      </c>
      <c r="B828" s="485">
        <v>0.20627347637179821</v>
      </c>
      <c r="C828" s="485">
        <v>0.20947925151923863</v>
      </c>
      <c r="D828" s="485">
        <v>0.21362658168828733</v>
      </c>
      <c r="E828" s="485">
        <v>0.21757183616259529</v>
      </c>
      <c r="F828" s="485">
        <v>0.22019422709219577</v>
      </c>
      <c r="G828" s="485">
        <v>0.22103564808336817</v>
      </c>
    </row>
    <row r="829" spans="1:7" x14ac:dyDescent="0.25">
      <c r="A829" s="485" t="s">
        <v>3182</v>
      </c>
      <c r="B829" s="485">
        <v>0.24971766712834534</v>
      </c>
      <c r="C829" s="485">
        <v>0.25413432334162683</v>
      </c>
      <c r="D829" s="485">
        <v>0.25824866779388855</v>
      </c>
      <c r="E829" s="485">
        <v>0.26193012136136701</v>
      </c>
      <c r="F829" s="485">
        <v>0.26415024129225545</v>
      </c>
      <c r="G829" s="485">
        <v>0.26426678519755115</v>
      </c>
    </row>
    <row r="830" spans="1:7" x14ac:dyDescent="0.25">
      <c r="A830" s="485" t="s">
        <v>3183</v>
      </c>
      <c r="B830" s="485">
        <v>0.29437273895073368</v>
      </c>
      <c r="C830" s="485">
        <v>0.2987564094472282</v>
      </c>
      <c r="D830" s="485">
        <v>0.30260695299266022</v>
      </c>
      <c r="E830" s="485">
        <v>0.30588613556142674</v>
      </c>
      <c r="F830" s="485">
        <v>0.30738137840643842</v>
      </c>
      <c r="G830" s="485">
        <v>0.30698486761943855</v>
      </c>
    </row>
    <row r="831" spans="1:7" x14ac:dyDescent="0.25">
      <c r="A831" s="485" t="s">
        <v>3184</v>
      </c>
      <c r="B831" s="485">
        <v>0.33899482505633494</v>
      </c>
      <c r="C831" s="485">
        <v>0.34311469464599997</v>
      </c>
      <c r="D831" s="485">
        <v>0.3465629671927199</v>
      </c>
      <c r="E831" s="485">
        <v>0.34911727267560977</v>
      </c>
      <c r="F831" s="485">
        <v>0.35009946082832571</v>
      </c>
      <c r="G831" s="485">
        <v>0.34952349106145109</v>
      </c>
    </row>
    <row r="832" spans="1:7" x14ac:dyDescent="0.25">
      <c r="A832" s="485" t="s">
        <v>3185</v>
      </c>
      <c r="B832" s="485">
        <v>0.38335311025510665</v>
      </c>
      <c r="C832" s="485">
        <v>0.38707070884605971</v>
      </c>
      <c r="D832" s="485">
        <v>0.38979410430690292</v>
      </c>
      <c r="E832" s="485">
        <v>0.39183535509749701</v>
      </c>
      <c r="F832" s="485">
        <v>0.39263808427033831</v>
      </c>
      <c r="G832" s="485">
        <v>0.39016636140753685</v>
      </c>
    </row>
    <row r="833" spans="1:7" x14ac:dyDescent="0.25">
      <c r="A833" s="485" t="s">
        <v>3186</v>
      </c>
      <c r="B833" s="485">
        <v>3.3111544014171858E-2</v>
      </c>
      <c r="C833" s="485">
        <v>3.3061837364456552E-2</v>
      </c>
      <c r="D833" s="485">
        <v>3.2941619788421007E-2</v>
      </c>
      <c r="E833" s="485">
        <v>3.3259715227322087E-2</v>
      </c>
      <c r="F833" s="485">
        <v>3.3953878265273962E-2</v>
      </c>
      <c r="G833" s="485">
        <v>3.3830226629728219E-2</v>
      </c>
    </row>
    <row r="834" spans="1:7" x14ac:dyDescent="0.25">
      <c r="A834" s="485" t="s">
        <v>3187</v>
      </c>
      <c r="B834" s="485">
        <v>0.33713813320463493</v>
      </c>
      <c r="C834" s="485">
        <v>0.33728142971492575</v>
      </c>
      <c r="D834" s="485">
        <v>0.33721379628980003</v>
      </c>
      <c r="E834" s="485">
        <v>0.33735734250343091</v>
      </c>
      <c r="F834" s="485">
        <v>0.33572389458562846</v>
      </c>
      <c r="G834" s="485">
        <v>0.33194703688861693</v>
      </c>
    </row>
    <row r="835" spans="1:7" x14ac:dyDescent="0.25">
      <c r="A835" s="485" t="s">
        <v>3188</v>
      </c>
      <c r="B835" s="485">
        <v>0.37039297372909763</v>
      </c>
      <c r="C835" s="485">
        <v>0.37027563365425659</v>
      </c>
      <c r="D835" s="485">
        <v>0.37029896229185194</v>
      </c>
      <c r="E835" s="485">
        <v>0.36898360981295047</v>
      </c>
      <c r="F835" s="485">
        <v>0.36590091515389095</v>
      </c>
      <c r="G835" s="485">
        <v>0.36108466367295894</v>
      </c>
    </row>
    <row r="836" spans="1:7" x14ac:dyDescent="0.25">
      <c r="A836" s="485" t="s">
        <v>3189</v>
      </c>
      <c r="B836" s="485">
        <v>0.40338717766842863</v>
      </c>
      <c r="C836" s="485">
        <v>0.4033607996563085</v>
      </c>
      <c r="D836" s="485">
        <v>0.4019252296013715</v>
      </c>
      <c r="E836" s="485">
        <v>0.39916063038121297</v>
      </c>
      <c r="F836" s="485">
        <v>0.39503854193823279</v>
      </c>
      <c r="G836" s="485">
        <v>0.38922028740199688</v>
      </c>
    </row>
    <row r="837" spans="1:7" x14ac:dyDescent="0.25">
      <c r="A837" s="485" t="s">
        <v>3190</v>
      </c>
      <c r="B837" s="485">
        <v>0.43647234367048032</v>
      </c>
      <c r="C837" s="485">
        <v>0.43498706696582806</v>
      </c>
      <c r="D837" s="485">
        <v>0.43210225016963411</v>
      </c>
      <c r="E837" s="485">
        <v>0.42829825716555503</v>
      </c>
      <c r="F837" s="485">
        <v>0.4231741656672709</v>
      </c>
      <c r="G837" s="485">
        <v>0.41631599764030375</v>
      </c>
    </row>
    <row r="838" spans="1:7" x14ac:dyDescent="0.25">
      <c r="A838" s="485" t="s">
        <v>3191</v>
      </c>
      <c r="B838" s="485">
        <v>0.46809861097999994</v>
      </c>
      <c r="C838" s="485">
        <v>0.4651640875340905</v>
      </c>
      <c r="D838" s="485">
        <v>0.46123987695397595</v>
      </c>
      <c r="E838" s="485">
        <v>0.45643388089459291</v>
      </c>
      <c r="F838" s="485">
        <v>0.45026987590557765</v>
      </c>
      <c r="G838" s="485">
        <v>0.44250852304097849</v>
      </c>
    </row>
    <row r="839" spans="1:7" x14ac:dyDescent="0.25">
      <c r="A839" s="485" t="s">
        <v>3192</v>
      </c>
      <c r="B839" s="485">
        <v>0.49827563154826243</v>
      </c>
      <c r="C839" s="485">
        <v>0.49430171431843239</v>
      </c>
      <c r="D839" s="485">
        <v>0.48937550068301394</v>
      </c>
      <c r="E839" s="485">
        <v>0.48352959113289967</v>
      </c>
      <c r="F839" s="485">
        <v>0.4764624013062525</v>
      </c>
      <c r="G839" s="485">
        <v>0.46782962604480671</v>
      </c>
    </row>
    <row r="840" spans="1:7" x14ac:dyDescent="0.25">
      <c r="A840" s="485" t="s">
        <v>3193</v>
      </c>
      <c r="B840" s="485">
        <v>0.52741325833260433</v>
      </c>
      <c r="C840" s="485">
        <v>0.5224373380474705</v>
      </c>
      <c r="D840" s="485">
        <v>0.51647121092132076</v>
      </c>
      <c r="E840" s="485">
        <v>0.50972211653357458</v>
      </c>
      <c r="F840" s="485">
        <v>0.50178350431008079</v>
      </c>
      <c r="G840" s="485">
        <v>0.49230987849082442</v>
      </c>
    </row>
    <row r="841" spans="1:7" x14ac:dyDescent="0.25">
      <c r="A841" s="485" t="s">
        <v>3194</v>
      </c>
      <c r="B841" s="485">
        <v>0.55554888206164232</v>
      </c>
      <c r="C841" s="485">
        <v>0.54953304828577731</v>
      </c>
      <c r="D841" s="485">
        <v>0.54266373632199572</v>
      </c>
      <c r="E841" s="485">
        <v>0.53504321953740286</v>
      </c>
      <c r="F841" s="485">
        <v>0.52626375675609838</v>
      </c>
      <c r="G841" s="485">
        <v>0.51597870935824064</v>
      </c>
    </row>
    <row r="842" spans="1:7" x14ac:dyDescent="0.25">
      <c r="A842" s="485" t="s">
        <v>3195</v>
      </c>
      <c r="B842" s="485">
        <v>0.58264459229994925</v>
      </c>
      <c r="C842" s="485">
        <v>0.57572557368645205</v>
      </c>
      <c r="D842" s="485">
        <v>0.56798483932582389</v>
      </c>
      <c r="E842" s="485">
        <v>0.55952347198342045</v>
      </c>
      <c r="F842" s="485">
        <v>0.5499325876235146</v>
      </c>
      <c r="G842" s="485">
        <v>0.53886445046999887</v>
      </c>
    </row>
    <row r="843" spans="1:7" x14ac:dyDescent="0.25">
      <c r="A843" s="485" t="s">
        <v>3196</v>
      </c>
      <c r="B843" s="485">
        <v>0.6088371177006241</v>
      </c>
      <c r="C843" s="485">
        <v>0.60104667669028056</v>
      </c>
      <c r="D843" s="485">
        <v>0.59246509177184159</v>
      </c>
      <c r="E843" s="485">
        <v>0.58319230285083679</v>
      </c>
      <c r="F843" s="485">
        <v>0.57281832873527305</v>
      </c>
      <c r="G843" s="485">
        <v>0.56099438024963522</v>
      </c>
    </row>
    <row r="844" spans="1:7" x14ac:dyDescent="0.25">
      <c r="A844" s="485" t="s">
        <v>3197</v>
      </c>
      <c r="B844" s="485">
        <v>6.617338137862841E-2</v>
      </c>
      <c r="C844" s="485">
        <v>6.6003457152877559E-2</v>
      </c>
      <c r="D844" s="485">
        <v>6.6201335015743101E-2</v>
      </c>
      <c r="E844" s="485">
        <v>6.7213593492596063E-2</v>
      </c>
      <c r="F844" s="485">
        <v>6.7784104895002195E-2</v>
      </c>
      <c r="G844" s="485">
        <v>6.8501104164964646E-2</v>
      </c>
    </row>
    <row r="845" spans="1:7" x14ac:dyDescent="0.25">
      <c r="A845" s="485" t="s">
        <v>3198</v>
      </c>
      <c r="B845" s="485">
        <v>0.63415822070445216</v>
      </c>
      <c r="C845" s="485">
        <v>0.62552692913629793</v>
      </c>
      <c r="D845" s="485">
        <v>0.6161339226392577</v>
      </c>
      <c r="E845" s="485">
        <v>0.60607804396259501</v>
      </c>
      <c r="F845" s="485">
        <v>0.59494825851490929</v>
      </c>
      <c r="G845" s="485">
        <v>0.58239476561881054</v>
      </c>
    </row>
    <row r="846" spans="1:7" x14ac:dyDescent="0.25">
      <c r="A846" s="485" t="s">
        <v>3199</v>
      </c>
      <c r="B846" s="485">
        <v>0.65863847315046975</v>
      </c>
      <c r="C846" s="485">
        <v>0.64919576000371437</v>
      </c>
      <c r="D846" s="485">
        <v>0.63901966375101593</v>
      </c>
      <c r="E846" s="485">
        <v>0.62820797374223114</v>
      </c>
      <c r="F846" s="485">
        <v>0.61634864388408439</v>
      </c>
      <c r="G846" s="485">
        <v>0.60259333604747989</v>
      </c>
    </row>
    <row r="847" spans="1:7" x14ac:dyDescent="0.25">
      <c r="A847" s="485" t="s">
        <v>3200</v>
      </c>
      <c r="B847" s="485">
        <v>0.68230730401788631</v>
      </c>
      <c r="C847" s="485">
        <v>0.6720815011154726</v>
      </c>
      <c r="D847" s="485">
        <v>0.66114959353065228</v>
      </c>
      <c r="E847" s="485">
        <v>0.64960835911140657</v>
      </c>
      <c r="F847" s="485">
        <v>0.63654721431275385</v>
      </c>
      <c r="G847" s="485">
        <v>0.62165758373853175</v>
      </c>
    </row>
    <row r="848" spans="1:7" x14ac:dyDescent="0.25">
      <c r="A848" s="485" t="s">
        <v>3201</v>
      </c>
      <c r="B848" s="485">
        <v>0.70519304512964431</v>
      </c>
      <c r="C848" s="485">
        <v>0.69421143089510862</v>
      </c>
      <c r="D848" s="485">
        <v>0.68254997889982771</v>
      </c>
      <c r="E848" s="485">
        <v>0.66980692954007615</v>
      </c>
      <c r="F848" s="485">
        <v>0.6556114620038056</v>
      </c>
      <c r="G848" s="485">
        <v>0.6396512106295672</v>
      </c>
    </row>
    <row r="849" spans="1:7" x14ac:dyDescent="0.25">
      <c r="A849" s="485" t="s">
        <v>3202</v>
      </c>
      <c r="B849" s="485">
        <v>0.72732297490928066</v>
      </c>
      <c r="C849" s="485">
        <v>0.71561181626428405</v>
      </c>
      <c r="D849" s="485">
        <v>0.70274854932849729</v>
      </c>
      <c r="E849" s="485">
        <v>0.68887117723112801</v>
      </c>
      <c r="F849" s="485">
        <v>0.67360508889484105</v>
      </c>
      <c r="G849" s="485">
        <v>0.65663434124876041</v>
      </c>
    </row>
    <row r="850" spans="1:7" x14ac:dyDescent="0.25">
      <c r="A850" s="485" t="s">
        <v>3203</v>
      </c>
      <c r="B850" s="485">
        <v>0.74872336027845598</v>
      </c>
      <c r="C850" s="485">
        <v>0.73581038669295362</v>
      </c>
      <c r="D850" s="485">
        <v>0.72181279701954881</v>
      </c>
      <c r="E850" s="485">
        <v>0.70686480412216302</v>
      </c>
      <c r="F850" s="485">
        <v>0.69058821951403426</v>
      </c>
      <c r="G850" s="485">
        <v>0.67266372361704097</v>
      </c>
    </row>
    <row r="851" spans="1:7" x14ac:dyDescent="0.25">
      <c r="A851" s="485" t="s">
        <v>3204</v>
      </c>
      <c r="B851" s="485">
        <v>9.9115001167049438E-2</v>
      </c>
      <c r="C851" s="485">
        <v>9.9263172380199632E-2</v>
      </c>
      <c r="D851" s="485">
        <v>0.10015521328101706</v>
      </c>
      <c r="E851" s="485">
        <v>0.10104382012232425</v>
      </c>
      <c r="F851" s="485">
        <v>0.10245498243023865</v>
      </c>
      <c r="G851" s="485">
        <v>0.10292472554817378</v>
      </c>
    </row>
    <row r="852" spans="1:7" x14ac:dyDescent="0.25">
      <c r="A852" s="485" t="s">
        <v>3205</v>
      </c>
      <c r="B852" s="485">
        <v>0.13237471639437151</v>
      </c>
      <c r="C852" s="485">
        <v>0.13321705064547357</v>
      </c>
      <c r="D852" s="485">
        <v>0.1339854399107453</v>
      </c>
      <c r="E852" s="485">
        <v>0.13571469765756072</v>
      </c>
      <c r="F852" s="485">
        <v>0.13687860381344774</v>
      </c>
      <c r="G852" s="485">
        <v>0.1370296787618929</v>
      </c>
    </row>
    <row r="853" spans="1:7" x14ac:dyDescent="0.25">
      <c r="A853" s="485" t="s">
        <v>3206</v>
      </c>
      <c r="B853" s="485">
        <v>0.16632859465964545</v>
      </c>
      <c r="C853" s="485">
        <v>0.1670472772752018</v>
      </c>
      <c r="D853" s="485">
        <v>0.16865631744598175</v>
      </c>
      <c r="E853" s="485">
        <v>0.17013831904076981</v>
      </c>
      <c r="F853" s="485">
        <v>0.17098355702716683</v>
      </c>
      <c r="G853" s="485">
        <v>0.17080953854498937</v>
      </c>
    </row>
    <row r="854" spans="1:7" x14ac:dyDescent="0.25">
      <c r="A854" s="485" t="s">
        <v>3207</v>
      </c>
      <c r="B854" s="485">
        <v>0.20015882128937373</v>
      </c>
      <c r="C854" s="485">
        <v>0.20171815481043828</v>
      </c>
      <c r="D854" s="485">
        <v>0.2030799388291909</v>
      </c>
      <c r="E854" s="485">
        <v>0.20424327225448893</v>
      </c>
      <c r="F854" s="485">
        <v>0.20476341681026339</v>
      </c>
      <c r="G854" s="485">
        <v>0.20406437906945218</v>
      </c>
    </row>
    <row r="855" spans="1:7" x14ac:dyDescent="0.25">
      <c r="A855" s="485" t="s">
        <v>3208</v>
      </c>
      <c r="B855" s="485">
        <v>0.23482969882461013</v>
      </c>
      <c r="C855" s="485">
        <v>0.2361417761936474</v>
      </c>
      <c r="D855" s="485">
        <v>0.23718489204290993</v>
      </c>
      <c r="E855" s="485">
        <v>0.23802313203758543</v>
      </c>
      <c r="F855" s="485">
        <v>0.23801825733472615</v>
      </c>
      <c r="G855" s="485">
        <v>0.23705858300878302</v>
      </c>
    </row>
    <row r="856" spans="1:7" x14ac:dyDescent="0.25">
      <c r="A856" s="485" t="s">
        <v>3209</v>
      </c>
      <c r="B856" s="485">
        <v>0.26925332020781934</v>
      </c>
      <c r="C856" s="485">
        <v>0.27024672940736649</v>
      </c>
      <c r="D856" s="485">
        <v>0.27096475182600654</v>
      </c>
      <c r="E856" s="485">
        <v>0.27127797256204822</v>
      </c>
      <c r="F856" s="485">
        <v>0.27101246127405704</v>
      </c>
      <c r="G856" s="485">
        <v>0.27014374901083482</v>
      </c>
    </row>
    <row r="857" spans="1:7" x14ac:dyDescent="0.25">
      <c r="A857" s="485" t="s">
        <v>3210</v>
      </c>
      <c r="B857" s="485">
        <v>0.30335827342153832</v>
      </c>
      <c r="C857" s="485">
        <v>0.30402658919046305</v>
      </c>
      <c r="D857" s="485">
        <v>0.30421959235046925</v>
      </c>
      <c r="E857" s="485">
        <v>0.30427217650137905</v>
      </c>
      <c r="F857" s="485">
        <v>0.30409762727610889</v>
      </c>
      <c r="G857" s="485">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389" customWidth="1"/>
  </cols>
  <sheetData>
    <row r="1" spans="1:32" x14ac:dyDescent="0.25">
      <c r="A1" s="3330"/>
      <c r="B1" s="3330"/>
      <c r="C1" s="3330"/>
      <c r="D1" s="3330"/>
      <c r="E1" s="3330"/>
      <c r="F1" s="3330"/>
      <c r="G1" s="3330"/>
      <c r="H1" s="3330"/>
      <c r="J1" s="135"/>
      <c r="AF1" s="1381"/>
    </row>
    <row r="2" spans="1:32" x14ac:dyDescent="0.25">
      <c r="A2" s="1382" t="s">
        <v>2343</v>
      </c>
      <c r="B2" s="1383"/>
    </row>
    <row r="3" spans="1:32" x14ac:dyDescent="0.25">
      <c r="A3" s="1384" t="s">
        <v>2344</v>
      </c>
      <c r="B3" s="1385">
        <v>1.148238E-4</v>
      </c>
    </row>
    <row r="4" spans="1:32" x14ac:dyDescent="0.25">
      <c r="A4" s="1384" t="s">
        <v>1558</v>
      </c>
      <c r="B4" s="1385">
        <v>4.6608050000000002E-4</v>
      </c>
    </row>
    <row r="5" spans="1:32" x14ac:dyDescent="0.25">
      <c r="A5" s="1384" t="s">
        <v>2345</v>
      </c>
      <c r="B5" s="1385">
        <v>1.3539039999999999E-4</v>
      </c>
    </row>
    <row r="6" spans="1:32" x14ac:dyDescent="0.25">
      <c r="A6" s="1384" t="s">
        <v>2346</v>
      </c>
      <c r="B6" s="1385">
        <v>1.1954749999999999E-4</v>
      </c>
    </row>
    <row r="7" spans="1:32" x14ac:dyDescent="0.25">
      <c r="A7" s="1384" t="s">
        <v>2347</v>
      </c>
      <c r="B7" s="1385">
        <v>1.4008870000000001E-4</v>
      </c>
    </row>
    <row r="8" spans="1:32" x14ac:dyDescent="0.25">
      <c r="A8" s="1384" t="s">
        <v>2348</v>
      </c>
      <c r="B8" s="1385">
        <v>2.053256E-4</v>
      </c>
    </row>
    <row r="9" spans="1:32" x14ac:dyDescent="0.25">
      <c r="A9" s="1384" t="s">
        <v>690</v>
      </c>
      <c r="B9" s="1385">
        <v>9.4741810000000004E-4</v>
      </c>
    </row>
    <row r="10" spans="1:32" x14ac:dyDescent="0.25">
      <c r="A10" s="1384" t="s">
        <v>1125</v>
      </c>
      <c r="B10" s="1385">
        <v>9.4741810000000004E-4</v>
      </c>
    </row>
    <row r="11" spans="1:32" x14ac:dyDescent="0.25">
      <c r="A11" s="1384" t="s">
        <v>2349</v>
      </c>
      <c r="B11" s="1385">
        <v>8.4921199999999996E-5</v>
      </c>
    </row>
    <row r="12" spans="1:32" x14ac:dyDescent="0.25">
      <c r="A12" s="1384" t="s">
        <v>2313</v>
      </c>
      <c r="B12" s="1385">
        <v>1.6857220000000001E-4</v>
      </c>
    </row>
    <row r="13" spans="1:32" x14ac:dyDescent="0.25">
      <c r="A13" s="1384" t="s">
        <v>2350</v>
      </c>
      <c r="B13" s="1385">
        <v>1.6857220000000001E-4</v>
      </c>
    </row>
    <row r="14" spans="1:32" x14ac:dyDescent="0.25">
      <c r="A14" s="1384" t="s">
        <v>691</v>
      </c>
      <c r="B14" s="1385">
        <v>0</v>
      </c>
    </row>
    <row r="15" spans="1:32" x14ac:dyDescent="0.25">
      <c r="A15" s="1384" t="s">
        <v>1217</v>
      </c>
      <c r="B15" s="1385">
        <v>0</v>
      </c>
    </row>
    <row r="16" spans="1:32" x14ac:dyDescent="0.25">
      <c r="A16" s="1384" t="s">
        <v>877</v>
      </c>
      <c r="B16" s="1385">
        <v>4.6608050000000002E-4</v>
      </c>
    </row>
    <row r="17" spans="1:2" x14ac:dyDescent="0.25">
      <c r="A17" s="1384" t="s">
        <v>2202</v>
      </c>
      <c r="B17" s="1385">
        <v>4.6608050000000002E-4</v>
      </c>
    </row>
    <row r="18" spans="1:2" x14ac:dyDescent="0.25">
      <c r="A18" s="1384" t="s">
        <v>532</v>
      </c>
      <c r="B18" s="1385">
        <v>1.4925290000000001E-4</v>
      </c>
    </row>
    <row r="19" spans="1:2" x14ac:dyDescent="0.25">
      <c r="A19" s="1384" t="s">
        <v>784</v>
      </c>
      <c r="B19" s="1385">
        <v>1.148238E-4</v>
      </c>
    </row>
    <row r="20" spans="1:2" x14ac:dyDescent="0.25">
      <c r="A20" s="1384" t="s">
        <v>754</v>
      </c>
      <c r="B20" s="1385">
        <v>2.3544589999999999E-4</v>
      </c>
    </row>
    <row r="21" spans="1:2" x14ac:dyDescent="0.25">
      <c r="A21" s="1384" t="s">
        <v>2037</v>
      </c>
      <c r="B21" s="1385">
        <v>1.286107E-4</v>
      </c>
    </row>
    <row r="22" spans="1:2" x14ac:dyDescent="0.25">
      <c r="A22" s="1384" t="s">
        <v>2039</v>
      </c>
      <c r="B22" s="1385">
        <v>1.286107E-4</v>
      </c>
    </row>
    <row r="23" spans="1:2" x14ac:dyDescent="0.25">
      <c r="A23" s="1384" t="s">
        <v>622</v>
      </c>
      <c r="B23" s="1385">
        <v>8.8731800000000003E-5</v>
      </c>
    </row>
    <row r="25" spans="1:2" x14ac:dyDescent="0.25">
      <c r="A25" s="1386" t="s">
        <v>2351</v>
      </c>
      <c r="B25" s="1387"/>
    </row>
    <row r="26" spans="1:2" x14ac:dyDescent="0.25">
      <c r="A26" s="208" t="s">
        <v>355</v>
      </c>
      <c r="B26" s="1388">
        <v>1.379439E-4</v>
      </c>
    </row>
    <row r="27" spans="1:2" x14ac:dyDescent="0.25">
      <c r="A27" s="208" t="s">
        <v>2352</v>
      </c>
      <c r="B27" s="1388">
        <v>4.4398300000000001E-4</v>
      </c>
    </row>
    <row r="28" spans="1:2" x14ac:dyDescent="0.25">
      <c r="A28" s="208" t="s">
        <v>209</v>
      </c>
      <c r="B28" s="1388">
        <v>1.998949E-4</v>
      </c>
    </row>
    <row r="29" spans="1:2" x14ac:dyDescent="0.25">
      <c r="A29" s="208" t="s">
        <v>246</v>
      </c>
      <c r="B29" s="1388">
        <v>9.1068400000000004E-4</v>
      </c>
    </row>
    <row r="30" spans="1:2" x14ac:dyDescent="0.25">
      <c r="A30" s="208" t="s">
        <v>54</v>
      </c>
      <c r="B30" s="1388">
        <v>5.6160000000000001E-6</v>
      </c>
    </row>
    <row r="31" spans="1:2" x14ac:dyDescent="0.25">
      <c r="A31" s="208" t="s">
        <v>247</v>
      </c>
      <c r="B31" s="1388">
        <v>0</v>
      </c>
    </row>
    <row r="32" spans="1:2" x14ac:dyDescent="0.25">
      <c r="A32" s="208" t="s">
        <v>258</v>
      </c>
      <c r="B32" s="1388">
        <v>4.4398300000000001E-4</v>
      </c>
    </row>
    <row r="33" spans="1:2" x14ac:dyDescent="0.25">
      <c r="A33" s="208" t="s">
        <v>36</v>
      </c>
      <c r="B33" s="1388">
        <v>1.899635E-4</v>
      </c>
    </row>
    <row r="34" spans="1:2" x14ac:dyDescent="0.25">
      <c r="A34" s="208" t="s">
        <v>61</v>
      </c>
      <c r="B34" s="1388">
        <v>1.379439E-4</v>
      </c>
    </row>
    <row r="35" spans="1:2" x14ac:dyDescent="0.25">
      <c r="A35" s="208" t="s">
        <v>200</v>
      </c>
      <c r="B35" s="1388">
        <v>1.379439E-4</v>
      </c>
    </row>
    <row r="36" spans="1:2" x14ac:dyDescent="0.25">
      <c r="A36" s="208" t="s">
        <v>2353</v>
      </c>
      <c r="B36" s="1388">
        <v>1.379439E-4</v>
      </c>
    </row>
    <row r="37" spans="1:2" x14ac:dyDescent="0.25">
      <c r="A37" s="208" t="s">
        <v>83</v>
      </c>
      <c r="B37" s="1388">
        <v>1.3573829999999999E-4</v>
      </c>
    </row>
    <row r="38" spans="1:2" x14ac:dyDescent="0.25">
      <c r="A38" s="208" t="s">
        <v>161</v>
      </c>
      <c r="B38" s="1388">
        <v>1.811545E-4</v>
      </c>
    </row>
  </sheetData>
  <mergeCells count="1">
    <mergeCell ref="A1:H1"/>
  </mergeCells>
  <pageMargins left="0.7" right="0.7" top="0.75" bottom="0.75" header="0.3" footer="0.3"/>
  <pageSetup scale="88"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77"/>
  <sheetViews>
    <sheetView zoomScale="85" zoomScaleNormal="85" workbookViewId="0">
      <pane xSplit="1" ySplit="7" topLeftCell="W290" activePane="bottomRight" state="frozen"/>
      <selection pane="topRight"/>
      <selection pane="bottomLeft"/>
      <selection pane="bottomRight" activeCell="AA297" sqref="AA297"/>
    </sheetView>
  </sheetViews>
  <sheetFormatPr defaultRowHeight="15" outlineLevelCol="1" x14ac:dyDescent="0.25"/>
  <cols>
    <col min="1" max="1" width="16.140625" bestFit="1" customWidth="1"/>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35" bestFit="1" customWidth="1"/>
    <col min="9" max="9" width="16" style="2054" bestFit="1" customWidth="1"/>
    <col min="10" max="10" width="14.5703125" style="2054" bestFit="1" customWidth="1"/>
    <col min="11" max="11" width="12.85546875" style="2111" bestFit="1" customWidth="1" outlineLevel="1"/>
    <col min="12" max="12" width="14.85546875" style="2111" bestFit="1" customWidth="1" outlineLevel="1"/>
    <col min="13" max="13" width="12.85546875" style="2111" bestFit="1" customWidth="1" outlineLevel="1"/>
    <col min="14" max="14" width="13.140625" style="2111" bestFit="1" customWidth="1" outlineLevel="1"/>
    <col min="15" max="16" width="16.85546875" style="553"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118" bestFit="1" customWidth="1"/>
    <col min="25" max="25" width="5.28515625" style="2118" bestFit="1" customWidth="1"/>
    <col min="26" max="26" width="10.140625" style="2118" bestFit="1" customWidth="1"/>
    <col min="27" max="27" width="13.140625" style="135" bestFit="1" customWidth="1"/>
    <col min="28" max="28" width="22.42578125" style="2063" customWidth="1"/>
    <col min="29" max="29" width="23.85546875" style="2063" bestFit="1" customWidth="1"/>
    <col min="30" max="30" width="17.7109375" style="2064" bestFit="1" customWidth="1"/>
    <col min="31" max="31" width="15" style="2105" bestFit="1" customWidth="1" outlineLevel="1"/>
    <col min="32" max="34" width="12.5703125" style="2106"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4126" t="s">
        <v>3392</v>
      </c>
      <c r="C1" s="4126"/>
      <c r="D1" s="4126"/>
      <c r="E1" s="4126"/>
      <c r="F1" s="4126"/>
      <c r="G1" s="4126"/>
      <c r="H1" s="4126"/>
      <c r="I1" s="4126"/>
      <c r="J1" s="4126"/>
      <c r="K1" s="4126"/>
      <c r="L1" s="4126"/>
      <c r="M1" s="4126"/>
      <c r="N1" s="4126"/>
      <c r="O1" s="4126"/>
      <c r="P1" s="4126"/>
      <c r="Q1" s="4126"/>
      <c r="R1" s="4126"/>
      <c r="S1" s="4126"/>
      <c r="T1" s="4126"/>
      <c r="U1" s="4126"/>
      <c r="V1" s="4126"/>
      <c r="W1" s="4126"/>
      <c r="X1" s="4126"/>
      <c r="Y1" s="4126"/>
      <c r="Z1" s="4126"/>
      <c r="AA1" s="4126"/>
      <c r="AB1" s="4126"/>
      <c r="AC1" s="4126"/>
      <c r="AD1" s="4126"/>
      <c r="AE1" s="4126"/>
      <c r="AF1" s="4126"/>
      <c r="AG1" s="4126"/>
      <c r="AH1" s="4126"/>
    </row>
    <row r="2" spans="2:47" x14ac:dyDescent="0.25">
      <c r="B2" s="4126"/>
      <c r="C2" s="4126"/>
      <c r="D2" s="4126"/>
      <c r="E2" s="4126"/>
      <c r="F2" s="4126"/>
      <c r="G2" s="4126"/>
      <c r="H2" s="4126"/>
      <c r="I2" s="4126"/>
      <c r="J2" s="4126"/>
      <c r="K2" s="4126"/>
      <c r="L2" s="4126"/>
      <c r="M2" s="4126"/>
      <c r="N2" s="4126"/>
      <c r="O2" s="4126"/>
      <c r="P2" s="4126"/>
      <c r="Q2" s="4126"/>
      <c r="R2" s="4126"/>
      <c r="S2" s="4126"/>
      <c r="T2" s="4126"/>
      <c r="U2" s="4126"/>
      <c r="V2" s="4126"/>
      <c r="W2" s="4126"/>
      <c r="X2" s="4126"/>
      <c r="Y2" s="4126"/>
      <c r="Z2" s="4126"/>
      <c r="AA2" s="4126"/>
      <c r="AB2" s="4126"/>
      <c r="AC2" s="4126"/>
      <c r="AD2" s="4126"/>
      <c r="AE2" s="4126"/>
      <c r="AF2" s="4126"/>
      <c r="AG2" s="4126"/>
      <c r="AH2" s="4126"/>
    </row>
    <row r="3" spans="2:47" x14ac:dyDescent="0.25">
      <c r="B3" s="4126"/>
      <c r="C3" s="4126"/>
      <c r="D3" s="4126"/>
      <c r="E3" s="4126"/>
      <c r="F3" s="4126"/>
      <c r="G3" s="4126"/>
      <c r="H3" s="4126"/>
      <c r="I3" s="4126"/>
      <c r="J3" s="4126"/>
      <c r="K3" s="4126"/>
      <c r="L3" s="4126"/>
      <c r="M3" s="4126"/>
      <c r="N3" s="4126"/>
      <c r="O3" s="4126"/>
      <c r="P3" s="4126"/>
      <c r="Q3" s="4126"/>
      <c r="R3" s="4126"/>
      <c r="S3" s="4126"/>
      <c r="T3" s="4126"/>
      <c r="U3" s="4126"/>
      <c r="V3" s="4126"/>
      <c r="W3" s="4126"/>
      <c r="X3" s="4126"/>
      <c r="Y3" s="4126"/>
      <c r="Z3" s="4126"/>
      <c r="AA3" s="4126"/>
      <c r="AB3" s="4126"/>
      <c r="AC3" s="4126"/>
      <c r="AD3" s="4126"/>
      <c r="AE3" s="4126"/>
      <c r="AF3" s="4126"/>
      <c r="AG3" s="4126"/>
      <c r="AH3" s="4126"/>
    </row>
    <row r="4" spans="2:47" x14ac:dyDescent="0.25">
      <c r="I4" s="2056"/>
      <c r="J4" s="2056"/>
      <c r="K4" s="2112"/>
      <c r="L4" s="2112"/>
      <c r="M4" s="2112"/>
      <c r="N4" s="2112"/>
      <c r="O4" s="2052"/>
      <c r="P4" s="2052"/>
      <c r="Q4" s="135"/>
      <c r="R4" s="135"/>
      <c r="S4" s="135"/>
      <c r="T4" s="135"/>
      <c r="U4" s="135"/>
      <c r="V4" s="135"/>
      <c r="W4" s="135"/>
    </row>
    <row r="5" spans="2:47" x14ac:dyDescent="0.25">
      <c r="I5" s="2056"/>
      <c r="J5" s="2056"/>
      <c r="K5" s="2112"/>
      <c r="L5" s="2112"/>
      <c r="M5" s="2112"/>
      <c r="N5" s="2112"/>
      <c r="O5" s="2052"/>
      <c r="P5" s="2052"/>
      <c r="Q5" s="135"/>
      <c r="R5" s="135"/>
      <c r="S5" s="135"/>
      <c r="T5" s="135"/>
      <c r="U5" s="135"/>
      <c r="V5" s="135"/>
      <c r="W5" s="135"/>
      <c r="AC5" s="2065"/>
      <c r="AD5" s="2066"/>
      <c r="AE5" s="2107"/>
      <c r="AF5" s="2108"/>
      <c r="AG5" s="2108"/>
      <c r="AH5" s="2108"/>
    </row>
    <row r="6" spans="2:47" ht="63" customHeight="1" x14ac:dyDescent="0.35">
      <c r="B6" s="4135" t="s">
        <v>17</v>
      </c>
      <c r="C6" s="4117" t="s">
        <v>21</v>
      </c>
      <c r="D6" s="4118"/>
      <c r="E6" s="4118"/>
      <c r="F6" s="4119"/>
      <c r="G6" s="2046" t="s">
        <v>3280</v>
      </c>
      <c r="H6" s="4113" t="s">
        <v>18</v>
      </c>
      <c r="I6" s="2122" t="s">
        <v>3325</v>
      </c>
      <c r="J6" s="2122" t="s">
        <v>3326</v>
      </c>
      <c r="K6" s="4120" t="s">
        <v>3324</v>
      </c>
      <c r="L6" s="4121"/>
      <c r="M6" s="4121"/>
      <c r="N6" s="4122"/>
      <c r="O6" s="2117" t="s">
        <v>3330</v>
      </c>
      <c r="P6" s="2117" t="s">
        <v>3331</v>
      </c>
      <c r="Q6" s="4123" t="s">
        <v>3329</v>
      </c>
      <c r="R6" s="4124"/>
      <c r="S6" s="4124"/>
      <c r="T6" s="4125"/>
      <c r="U6" s="4115" t="s">
        <v>3281</v>
      </c>
      <c r="V6" s="4115" t="s">
        <v>3282</v>
      </c>
      <c r="W6" s="4115" t="s">
        <v>3283</v>
      </c>
      <c r="X6" s="4110" t="s">
        <v>24</v>
      </c>
      <c r="Y6" s="4111"/>
      <c r="Z6" s="4112"/>
      <c r="AA6" s="4137" t="s">
        <v>3284</v>
      </c>
      <c r="AB6" s="4131" t="s">
        <v>3285</v>
      </c>
      <c r="AC6" s="4131" t="s">
        <v>3310</v>
      </c>
      <c r="AD6" s="4133" t="s">
        <v>3311</v>
      </c>
      <c r="AE6" s="4127" t="s">
        <v>3312</v>
      </c>
      <c r="AF6" s="4127" t="s">
        <v>3312</v>
      </c>
      <c r="AG6" s="4129" t="s">
        <v>3313</v>
      </c>
      <c r="AH6" s="4129" t="s">
        <v>3313</v>
      </c>
      <c r="AI6" s="2265" t="s">
        <v>3419</v>
      </c>
      <c r="AJ6" s="2265"/>
      <c r="AK6" s="2265"/>
    </row>
    <row r="7" spans="2:47" ht="15.75" x14ac:dyDescent="0.25">
      <c r="B7" s="4136"/>
      <c r="C7" s="2071">
        <v>1</v>
      </c>
      <c r="D7" s="2071">
        <v>2</v>
      </c>
      <c r="E7" s="2071">
        <v>3</v>
      </c>
      <c r="F7" s="2071">
        <v>4</v>
      </c>
      <c r="G7" s="2071"/>
      <c r="H7" s="4114"/>
      <c r="I7" s="2123" t="s">
        <v>3328</v>
      </c>
      <c r="J7" s="2123" t="s">
        <v>3286</v>
      </c>
      <c r="K7" s="2072" t="s">
        <v>3288</v>
      </c>
      <c r="L7" s="2072" t="s">
        <v>3290</v>
      </c>
      <c r="M7" s="2072" t="s">
        <v>3289</v>
      </c>
      <c r="N7" s="2072" t="s">
        <v>3291</v>
      </c>
      <c r="O7" s="2073" t="s">
        <v>3292</v>
      </c>
      <c r="P7" s="2073" t="s">
        <v>3293</v>
      </c>
      <c r="Q7" s="2074" t="s">
        <v>3288</v>
      </c>
      <c r="R7" s="2074" t="s">
        <v>3290</v>
      </c>
      <c r="S7" s="2074" t="s">
        <v>3289</v>
      </c>
      <c r="T7" s="2074" t="s">
        <v>3291</v>
      </c>
      <c r="U7" s="4116" t="s">
        <v>3281</v>
      </c>
      <c r="V7" s="4116" t="s">
        <v>3282</v>
      </c>
      <c r="W7" s="4116" t="s">
        <v>3283</v>
      </c>
      <c r="X7" s="2119" t="s">
        <v>3287</v>
      </c>
      <c r="Y7" s="2119" t="s">
        <v>3286</v>
      </c>
      <c r="Z7" s="2119" t="s">
        <v>3327</v>
      </c>
      <c r="AA7" s="4138"/>
      <c r="AB7" s="4132"/>
      <c r="AC7" s="4132" t="s">
        <v>31</v>
      </c>
      <c r="AD7" s="4134" t="s">
        <v>31</v>
      </c>
      <c r="AE7" s="4128"/>
      <c r="AF7" s="4128"/>
      <c r="AG7" s="4130"/>
      <c r="AH7" s="4130"/>
      <c r="AI7" t="s">
        <v>26</v>
      </c>
      <c r="AJ7" t="s">
        <v>3420</v>
      </c>
      <c r="AM7" t="s">
        <v>3308</v>
      </c>
    </row>
    <row r="8" spans="2:47" ht="15.75" x14ac:dyDescent="0.25">
      <c r="B8" s="2075"/>
      <c r="C8" s="2047"/>
      <c r="D8" s="2047"/>
      <c r="E8" s="2047"/>
      <c r="F8" s="2047"/>
      <c r="G8" s="2047"/>
      <c r="H8" s="2076"/>
      <c r="I8" s="2124"/>
      <c r="J8" s="2124"/>
      <c r="K8" s="2077"/>
      <c r="L8" s="2077"/>
      <c r="M8" s="2077"/>
      <c r="N8" s="2077"/>
      <c r="O8" s="2078"/>
      <c r="P8" s="2078"/>
      <c r="Q8" s="2079"/>
      <c r="R8" s="2079"/>
      <c r="S8" s="2079"/>
      <c r="T8" s="2079"/>
      <c r="U8" s="2080"/>
      <c r="V8" s="2080"/>
      <c r="W8" s="2080"/>
      <c r="X8" s="2120"/>
      <c r="Y8" s="2120"/>
      <c r="Z8" s="2120"/>
      <c r="AA8" s="2081"/>
      <c r="AB8" s="2915"/>
      <c r="AC8" s="2082"/>
      <c r="AD8" s="2083"/>
      <c r="AE8" s="2109"/>
      <c r="AF8" s="2110"/>
      <c r="AG8" s="2110"/>
      <c r="AH8" s="2110"/>
    </row>
    <row r="9" spans="2:47" x14ac:dyDescent="0.25">
      <c r="B9" s="2240" t="str">
        <f>'Lighting Deemed Table'!C7</f>
        <v>200050_2019_12_</v>
      </c>
      <c r="C9" s="208" t="str">
        <f>'Lighting Deemed Table'!H7</f>
        <v>Lighting RES</v>
      </c>
      <c r="D9" s="208"/>
      <c r="E9" s="208"/>
      <c r="F9" s="208"/>
      <c r="G9" s="208" t="str">
        <f>'Lighting Deemed Table'!E7</f>
        <v>LED - 10.5W Downlight E26 (CFL baseline)</v>
      </c>
      <c r="H9" s="622" t="str">
        <f>'Lighting Deemed Table'!D7</f>
        <v>Lighting</v>
      </c>
      <c r="I9" s="2084">
        <f>'Lighting Deemed Table'!F7</f>
        <v>9.68</v>
      </c>
      <c r="J9" s="2084">
        <v>0</v>
      </c>
      <c r="K9" s="2113">
        <v>0</v>
      </c>
      <c r="L9" s="2113">
        <v>0</v>
      </c>
      <c r="M9" s="2113">
        <v>0</v>
      </c>
      <c r="N9" s="2113">
        <v>0</v>
      </c>
      <c r="O9" s="2085">
        <f>'Lighting Deemed Table'!G7</f>
        <v>1.5009999999999999E-3</v>
      </c>
      <c r="P9" s="2085">
        <v>0</v>
      </c>
      <c r="Q9" s="2086">
        <v>0</v>
      </c>
      <c r="R9" s="2086">
        <v>0</v>
      </c>
      <c r="S9" s="2086"/>
      <c r="T9" s="2086"/>
      <c r="U9" s="2087">
        <v>0</v>
      </c>
      <c r="V9" s="2087">
        <v>0</v>
      </c>
      <c r="W9" s="2087">
        <f t="shared" ref="W9:W32" si="0">O9</f>
        <v>1.5009999999999999E-3</v>
      </c>
      <c r="X9" s="2121">
        <f>'Lighting Deemed Table'!P7</f>
        <v>19</v>
      </c>
      <c r="Y9" s="2121"/>
      <c r="Z9" s="88">
        <f t="shared" ref="Z9:Z86" si="1">Y9+X9</f>
        <v>19</v>
      </c>
      <c r="AA9" s="2088">
        <f>'Lighting Deemed Table'!BB7</f>
        <v>22797.049945335755</v>
      </c>
      <c r="AB9" s="2916">
        <f>'Lighting Deemed Table'!R7</f>
        <v>9.9999999999999995E-7</v>
      </c>
      <c r="AC9" s="2089">
        <f>AE9+AF9</f>
        <v>5.6704634239860923</v>
      </c>
      <c r="AD9" s="2089"/>
      <c r="AE9" s="2955">
        <f>'Lighting Deemed Table'!BD7</f>
        <v>5.6704634239860923</v>
      </c>
      <c r="AF9" s="2956"/>
      <c r="AG9" s="2956"/>
      <c r="AH9" s="2956"/>
      <c r="AI9" s="2240" t="str">
        <f>'Lighting Deemed Table'!S7</f>
        <v xml:space="preserve">  per bulb</v>
      </c>
      <c r="AM9" s="2057">
        <f t="shared" ref="AM9:AM40" si="2">VLOOKUP(C9,$AS$10:$AT$32,2,FALSE)</f>
        <v>1.4925290000000001E-4</v>
      </c>
      <c r="AN9">
        <f t="shared" ref="AN9:AN33" si="3">AM9*I9</f>
        <v>1.4447680720000001E-3</v>
      </c>
      <c r="AO9" s="2050">
        <f t="shared" ref="AO9:AO86" si="4">AN9-O9</f>
        <v>-5.6231927999999881E-5</v>
      </c>
      <c r="AS9" t="s">
        <v>2343</v>
      </c>
    </row>
    <row r="10" spans="2:47" x14ac:dyDescent="0.25">
      <c r="B10" s="2240" t="str">
        <f>'Lighting Deemed Table'!C8</f>
        <v>200100_2019_12_</v>
      </c>
      <c r="C10" s="208" t="str">
        <f>'Lighting Deemed Table'!H8</f>
        <v>Lighting RES</v>
      </c>
      <c r="D10" s="208"/>
      <c r="E10" s="208"/>
      <c r="F10" s="208"/>
      <c r="G10" s="208" t="str">
        <f>'Lighting Deemed Table'!E8</f>
        <v>LED - 10.5W Downlight E26 (Halogen baseline)</v>
      </c>
      <c r="H10" s="622" t="str">
        <f>'Lighting Deemed Table'!D8</f>
        <v>Lighting</v>
      </c>
      <c r="I10" s="2084">
        <f>'Lighting Deemed Table'!F8</f>
        <v>39.74</v>
      </c>
      <c r="J10" s="2084">
        <v>0</v>
      </c>
      <c r="K10" s="2113">
        <v>0</v>
      </c>
      <c r="L10" s="2113">
        <v>0</v>
      </c>
      <c r="M10" s="2113">
        <v>0</v>
      </c>
      <c r="N10" s="2113">
        <v>0</v>
      </c>
      <c r="O10" s="2085">
        <f>'Lighting Deemed Table'!G8</f>
        <v>6.1640000000000002E-3</v>
      </c>
      <c r="P10" s="2085">
        <v>0</v>
      </c>
      <c r="Q10" s="2086">
        <v>0</v>
      </c>
      <c r="R10" s="2086">
        <v>0</v>
      </c>
      <c r="S10" s="2086"/>
      <c r="T10" s="2086"/>
      <c r="U10" s="2087">
        <v>0</v>
      </c>
      <c r="V10" s="2087">
        <v>0</v>
      </c>
      <c r="W10" s="2087">
        <f t="shared" si="0"/>
        <v>6.1640000000000002E-3</v>
      </c>
      <c r="X10" s="2121">
        <f>'Lighting Deemed Table'!P8</f>
        <v>19</v>
      </c>
      <c r="Y10" s="2121"/>
      <c r="Z10" s="88">
        <f t="shared" si="1"/>
        <v>19</v>
      </c>
      <c r="AA10" s="2088">
        <f>'Lighting Deemed Table'!BB8</f>
        <v>22789.144046179212</v>
      </c>
      <c r="AB10" s="2916">
        <f>'Lighting Deemed Table'!R8</f>
        <v>9.9999999999999995E-7</v>
      </c>
      <c r="AC10" s="2089">
        <f t="shared" ref="AC10:AC88" si="5">AE10+AF10</f>
        <v>23.279361205496624</v>
      </c>
      <c r="AD10" s="2089"/>
      <c r="AE10" s="2955">
        <f>'Lighting Deemed Table'!BD8</f>
        <v>23.279361205496624</v>
      </c>
      <c r="AF10" s="2956"/>
      <c r="AG10" s="2956"/>
      <c r="AH10" s="2956"/>
      <c r="AI10" s="2240" t="str">
        <f>'Lighting Deemed Table'!S8</f>
        <v xml:space="preserve">  per bulb</v>
      </c>
      <c r="AM10" s="2057">
        <f t="shared" si="2"/>
        <v>1.4925290000000001E-4</v>
      </c>
      <c r="AN10">
        <f t="shared" si="3"/>
        <v>5.9313102460000003E-3</v>
      </c>
      <c r="AO10" s="2050">
        <f t="shared" si="4"/>
        <v>-2.3268975399999992E-4</v>
      </c>
      <c r="AS10" t="s">
        <v>2344</v>
      </c>
      <c r="AT10" s="2058">
        <v>1.148238E-4</v>
      </c>
      <c r="AU10" t="s">
        <v>2344</v>
      </c>
    </row>
    <row r="11" spans="2:47" x14ac:dyDescent="0.25">
      <c r="B11" s="2240" t="str">
        <f>'Lighting Deemed Table'!C9</f>
        <v>200150_2019_12_</v>
      </c>
      <c r="C11" s="208" t="str">
        <f>'Lighting Deemed Table'!H9</f>
        <v>Lighting RES</v>
      </c>
      <c r="D11" s="208"/>
      <c r="E11" s="208"/>
      <c r="F11" s="208"/>
      <c r="G11" s="208" t="str">
        <f>'Lighting Deemed Table'!E9</f>
        <v>LED - 10W (CFL baseline) (750-1049 lumens)</v>
      </c>
      <c r="H11" s="622" t="str">
        <f>'Lighting Deemed Table'!D9</f>
        <v>Lighting</v>
      </c>
      <c r="I11" s="2084">
        <f>'Lighting Deemed Table'!F9</f>
        <v>4.7</v>
      </c>
      <c r="J11" s="2084">
        <v>0</v>
      </c>
      <c r="K11" s="2113">
        <v>0</v>
      </c>
      <c r="L11" s="2113">
        <v>0</v>
      </c>
      <c r="M11" s="2113">
        <v>0</v>
      </c>
      <c r="N11" s="2113">
        <v>0</v>
      </c>
      <c r="O11" s="2085">
        <f>'Lighting Deemed Table'!G9</f>
        <v>7.2900000000000005E-4</v>
      </c>
      <c r="P11" s="2085">
        <v>0</v>
      </c>
      <c r="Q11" s="2086">
        <v>0</v>
      </c>
      <c r="R11" s="2086">
        <v>0</v>
      </c>
      <c r="S11" s="2086"/>
      <c r="T11" s="2086"/>
      <c r="U11" s="2087">
        <v>0</v>
      </c>
      <c r="V11" s="2087">
        <v>0</v>
      </c>
      <c r="W11" s="2087">
        <f t="shared" si="0"/>
        <v>7.2900000000000005E-4</v>
      </c>
      <c r="X11" s="2121">
        <f>'Lighting Deemed Table'!P9</f>
        <v>19</v>
      </c>
      <c r="Y11" s="2121"/>
      <c r="Z11" s="88">
        <f t="shared" si="1"/>
        <v>19</v>
      </c>
      <c r="AA11" s="2088">
        <f>'Lighting Deemed Table'!BB9</f>
        <v>22801.760079621985</v>
      </c>
      <c r="AB11" s="2916">
        <f>'Lighting Deemed Table'!R9</f>
        <v>9.9999999999999995E-7</v>
      </c>
      <c r="AC11" s="2089">
        <f t="shared" si="5"/>
        <v>2.7532208773486193</v>
      </c>
      <c r="AD11" s="2089"/>
      <c r="AE11" s="2955">
        <f>'Lighting Deemed Table'!BD9</f>
        <v>2.7532208773486193</v>
      </c>
      <c r="AF11" s="2956"/>
      <c r="AG11" s="2956"/>
      <c r="AH11" s="2956"/>
      <c r="AI11" s="2240" t="str">
        <f>'Lighting Deemed Table'!S9</f>
        <v xml:space="preserve">  per bulb</v>
      </c>
      <c r="AM11" s="2057">
        <f t="shared" si="2"/>
        <v>1.4925290000000001E-4</v>
      </c>
      <c r="AN11">
        <f t="shared" si="3"/>
        <v>7.0148863000000009E-4</v>
      </c>
      <c r="AO11" s="2050">
        <f t="shared" si="4"/>
        <v>-2.751136999999996E-5</v>
      </c>
      <c r="AS11" t="s">
        <v>1558</v>
      </c>
      <c r="AT11" s="2058">
        <v>4.6608050000000002E-4</v>
      </c>
      <c r="AU11" t="s">
        <v>1558</v>
      </c>
    </row>
    <row r="12" spans="2:47" x14ac:dyDescent="0.25">
      <c r="B12" s="2240" t="str">
        <f>'Lighting Deemed Table'!C10</f>
        <v>200200_2019_12_</v>
      </c>
      <c r="C12" s="208" t="str">
        <f>'Lighting Deemed Table'!H10</f>
        <v>Lighting RES</v>
      </c>
      <c r="D12" s="208"/>
      <c r="E12" s="208"/>
      <c r="F12" s="208"/>
      <c r="G12" s="208" t="str">
        <f>'Lighting Deemed Table'!E10</f>
        <v>LED - 10W (Halogen baseline) (750-1049 lumens)</v>
      </c>
      <c r="H12" s="622" t="str">
        <f>'Lighting Deemed Table'!D10</f>
        <v>Lighting</v>
      </c>
      <c r="I12" s="2084">
        <f>'Lighting Deemed Table'!F10</f>
        <v>32.51</v>
      </c>
      <c r="J12" s="2084">
        <v>0</v>
      </c>
      <c r="K12" s="2113">
        <v>0</v>
      </c>
      <c r="L12" s="2113">
        <v>0</v>
      </c>
      <c r="M12" s="2113">
        <v>0</v>
      </c>
      <c r="N12" s="2113">
        <v>0</v>
      </c>
      <c r="O12" s="2085">
        <f>'Lighting Deemed Table'!G10</f>
        <v>5.0419999999999996E-3</v>
      </c>
      <c r="P12" s="2085">
        <v>0</v>
      </c>
      <c r="Q12" s="2086">
        <v>0</v>
      </c>
      <c r="R12" s="2086">
        <v>0</v>
      </c>
      <c r="S12" s="2086"/>
      <c r="T12" s="2086"/>
      <c r="U12" s="2087">
        <v>0</v>
      </c>
      <c r="V12" s="2087">
        <v>0</v>
      </c>
      <c r="W12" s="2087">
        <f t="shared" si="0"/>
        <v>5.0419999999999996E-3</v>
      </c>
      <c r="X12" s="2121">
        <f>'Lighting Deemed Table'!P10</f>
        <v>19</v>
      </c>
      <c r="Y12" s="2121"/>
      <c r="Z12" s="88">
        <f t="shared" si="1"/>
        <v>19</v>
      </c>
      <c r="AA12" s="2088">
        <f>'Lighting Deemed Table'!BB10</f>
        <v>22791.945031008196</v>
      </c>
      <c r="AB12" s="2916">
        <f>'Lighting Deemed Table'!R10</f>
        <v>9.9999999999999995E-7</v>
      </c>
      <c r="AC12" s="2089">
        <f t="shared" si="5"/>
        <v>19.044087387788</v>
      </c>
      <c r="AD12" s="2089"/>
      <c r="AE12" s="2955">
        <f>'Lighting Deemed Table'!BD10</f>
        <v>19.044087387788</v>
      </c>
      <c r="AF12" s="2956"/>
      <c r="AG12" s="2956"/>
      <c r="AH12" s="2956"/>
      <c r="AI12" s="2240" t="str">
        <f>'Lighting Deemed Table'!S10</f>
        <v xml:space="preserve">  per bulb</v>
      </c>
      <c r="AM12" s="2057">
        <f t="shared" si="2"/>
        <v>1.4925290000000001E-4</v>
      </c>
      <c r="AN12">
        <f t="shared" si="3"/>
        <v>4.8522117790000003E-3</v>
      </c>
      <c r="AO12" s="2050">
        <f t="shared" si="4"/>
        <v>-1.8978822099999931E-4</v>
      </c>
      <c r="AS12" t="s">
        <v>2345</v>
      </c>
      <c r="AT12" s="2058">
        <v>1.3539039999999999E-4</v>
      </c>
      <c r="AU12" t="s">
        <v>2345</v>
      </c>
    </row>
    <row r="13" spans="2:47" x14ac:dyDescent="0.25">
      <c r="B13" s="2240" t="str">
        <f>'Lighting Deemed Table'!C11</f>
        <v>200250_2019_12_</v>
      </c>
      <c r="C13" s="208" t="str">
        <f>'Lighting Deemed Table'!H11</f>
        <v>Lighting RES</v>
      </c>
      <c r="D13" s="208"/>
      <c r="E13" s="208"/>
      <c r="F13" s="208"/>
      <c r="G13" s="208" t="str">
        <f>'Lighting Deemed Table'!E11</f>
        <v>LED - 12W Dimmable Light Bulb (Replacing CFL)</v>
      </c>
      <c r="H13" s="622" t="str">
        <f>'Lighting Deemed Table'!D11</f>
        <v>Lighting</v>
      </c>
      <c r="I13" s="2084">
        <f>'Lighting Deemed Table'!F11</f>
        <v>2.44</v>
      </c>
      <c r="J13" s="2084">
        <v>0</v>
      </c>
      <c r="K13" s="2113">
        <v>0</v>
      </c>
      <c r="L13" s="2113">
        <v>0</v>
      </c>
      <c r="M13" s="2113">
        <v>0</v>
      </c>
      <c r="N13" s="2113">
        <v>0</v>
      </c>
      <c r="O13" s="2085">
        <f>'Lighting Deemed Table'!G11</f>
        <v>3.79E-4</v>
      </c>
      <c r="P13" s="2085">
        <v>0</v>
      </c>
      <c r="Q13" s="2086">
        <v>0</v>
      </c>
      <c r="R13" s="2086">
        <v>0</v>
      </c>
      <c r="S13" s="2086"/>
      <c r="T13" s="2086"/>
      <c r="U13" s="2087">
        <v>0</v>
      </c>
      <c r="V13" s="2087">
        <v>0</v>
      </c>
      <c r="W13" s="2087">
        <f t="shared" si="0"/>
        <v>3.79E-4</v>
      </c>
      <c r="X13" s="2121">
        <f>'Lighting Deemed Table'!P11</f>
        <v>19</v>
      </c>
      <c r="Y13" s="2121"/>
      <c r="Z13" s="88">
        <f t="shared" si="1"/>
        <v>19</v>
      </c>
      <c r="AA13" s="2088">
        <f>'Lighting Deemed Table'!BB11</f>
        <v>22764.441323354193</v>
      </c>
      <c r="AB13" s="2916">
        <f>'Lighting Deemed Table'!R11</f>
        <v>9.9999999999999995E-7</v>
      </c>
      <c r="AC13" s="2089">
        <f t="shared" si="5"/>
        <v>1.4293316895171555</v>
      </c>
      <c r="AD13" s="2089"/>
      <c r="AE13" s="2955">
        <f>'Lighting Deemed Table'!BD11</f>
        <v>1.4293316895171555</v>
      </c>
      <c r="AF13" s="2956"/>
      <c r="AG13" s="2956"/>
      <c r="AH13" s="2956"/>
      <c r="AI13" s="2240" t="str">
        <f>'Lighting Deemed Table'!S11</f>
        <v xml:space="preserve">  per bulb</v>
      </c>
      <c r="AM13" s="2057">
        <f t="shared" si="2"/>
        <v>1.4925290000000001E-4</v>
      </c>
      <c r="AN13">
        <f t="shared" si="3"/>
        <v>3.64177076E-4</v>
      </c>
      <c r="AO13" s="2050">
        <f t="shared" si="4"/>
        <v>-1.4822923999999996E-5</v>
      </c>
      <c r="AS13" t="s">
        <v>2346</v>
      </c>
      <c r="AT13" s="2058">
        <v>1.1954749999999999E-4</v>
      </c>
      <c r="AU13" t="s">
        <v>2346</v>
      </c>
    </row>
    <row r="14" spans="2:47" x14ac:dyDescent="0.25">
      <c r="B14" s="2240" t="str">
        <f>'Lighting Deemed Table'!C12</f>
        <v>200300_2019_12_</v>
      </c>
      <c r="C14" s="208" t="str">
        <f>'Lighting Deemed Table'!H12</f>
        <v>Lighting RES</v>
      </c>
      <c r="D14" s="208"/>
      <c r="E14" s="208"/>
      <c r="F14" s="208"/>
      <c r="G14" s="208" t="str">
        <f>'Lighting Deemed Table'!E12</f>
        <v>LED - 12W Dimmable Light Bulb (Replacing Specialty Incandescent)</v>
      </c>
      <c r="H14" s="622" t="str">
        <f>'Lighting Deemed Table'!D12</f>
        <v>Lighting</v>
      </c>
      <c r="I14" s="2084">
        <f>'Lighting Deemed Table'!F12</f>
        <v>72.16</v>
      </c>
      <c r="J14" s="2084">
        <v>0</v>
      </c>
      <c r="K14" s="2113">
        <v>0</v>
      </c>
      <c r="L14" s="2113">
        <v>0</v>
      </c>
      <c r="M14" s="2113">
        <v>0</v>
      </c>
      <c r="N14" s="2113">
        <v>0</v>
      </c>
      <c r="O14" s="2085">
        <f>'Lighting Deemed Table'!G12</f>
        <v>1.1191E-2</v>
      </c>
      <c r="P14" s="2085">
        <v>0</v>
      </c>
      <c r="Q14" s="2086">
        <v>0</v>
      </c>
      <c r="R14" s="2086">
        <v>0</v>
      </c>
      <c r="S14" s="2086"/>
      <c r="T14" s="2086"/>
      <c r="U14" s="2087">
        <v>0</v>
      </c>
      <c r="V14" s="2087">
        <v>0</v>
      </c>
      <c r="W14" s="2087">
        <f t="shared" si="0"/>
        <v>1.1191E-2</v>
      </c>
      <c r="X14" s="2121">
        <f>'Lighting Deemed Table'!P12</f>
        <v>19</v>
      </c>
      <c r="Y14" s="2121"/>
      <c r="Z14" s="88">
        <f t="shared" si="1"/>
        <v>19</v>
      </c>
      <c r="AA14" s="2088">
        <f>'Lighting Deemed Table'!BB12</f>
        <v>22791.652916466122</v>
      </c>
      <c r="AB14" s="2916">
        <f>'Lighting Deemed Table'!R12</f>
        <v>9.9999999999999995E-7</v>
      </c>
      <c r="AC14" s="2089">
        <f t="shared" si="5"/>
        <v>42.270727342441774</v>
      </c>
      <c r="AD14" s="2089"/>
      <c r="AE14" s="2955">
        <f>'Lighting Deemed Table'!BD12</f>
        <v>42.270727342441774</v>
      </c>
      <c r="AF14" s="2956"/>
      <c r="AG14" s="2956"/>
      <c r="AH14" s="2956"/>
      <c r="AI14" s="2240" t="str">
        <f>'Lighting Deemed Table'!S12</f>
        <v xml:space="preserve">  per bulb</v>
      </c>
      <c r="AM14" s="2057">
        <f t="shared" si="2"/>
        <v>1.4925290000000001E-4</v>
      </c>
      <c r="AN14">
        <f t="shared" si="3"/>
        <v>1.0770089264000001E-2</v>
      </c>
      <c r="AO14" s="2050">
        <f t="shared" si="4"/>
        <v>-4.2091073599999883E-4</v>
      </c>
      <c r="AS14" t="s">
        <v>2347</v>
      </c>
      <c r="AT14" s="2058">
        <v>1.4008870000000001E-4</v>
      </c>
      <c r="AU14" t="s">
        <v>2347</v>
      </c>
    </row>
    <row r="15" spans="2:47" x14ac:dyDescent="0.25">
      <c r="B15" s="2240" t="str">
        <f>'Lighting Deemed Table'!C13</f>
        <v>200350_2019_12_</v>
      </c>
      <c r="C15" s="208" t="str">
        <f>'Lighting Deemed Table'!H13</f>
        <v>Lighting RES</v>
      </c>
      <c r="D15" s="208"/>
      <c r="E15" s="208"/>
      <c r="F15" s="208"/>
      <c r="G15" s="208" t="str">
        <f>'Lighting Deemed Table'!E13</f>
        <v>LED - 15W (Halogen baseline) (1050-1489 lumens)</v>
      </c>
      <c r="H15" s="622" t="str">
        <f>'Lighting Deemed Table'!D13</f>
        <v>Lighting</v>
      </c>
      <c r="I15" s="2084">
        <f>'Lighting Deemed Table'!F13</f>
        <v>38.43</v>
      </c>
      <c r="J15" s="2084">
        <v>0</v>
      </c>
      <c r="K15" s="2113">
        <v>0</v>
      </c>
      <c r="L15" s="2113">
        <v>0</v>
      </c>
      <c r="M15" s="2113">
        <v>0</v>
      </c>
      <c r="N15" s="2113">
        <v>0</v>
      </c>
      <c r="O15" s="2085">
        <f>'Lighting Deemed Table'!G13</f>
        <v>5.96E-3</v>
      </c>
      <c r="P15" s="2085">
        <v>0</v>
      </c>
      <c r="Q15" s="2086">
        <v>0</v>
      </c>
      <c r="R15" s="2086">
        <v>0</v>
      </c>
      <c r="S15" s="2086"/>
      <c r="T15" s="2086"/>
      <c r="U15" s="2087">
        <v>0</v>
      </c>
      <c r="V15" s="2087">
        <v>0</v>
      </c>
      <c r="W15" s="2087">
        <f t="shared" si="0"/>
        <v>5.96E-3</v>
      </c>
      <c r="X15" s="2121">
        <f>'Lighting Deemed Table'!P13</f>
        <v>19</v>
      </c>
      <c r="Y15" s="2121"/>
      <c r="Z15" s="88">
        <f t="shared" si="1"/>
        <v>19</v>
      </c>
      <c r="AA15" s="2088">
        <f>'Lighting Deemed Table'!BB13</f>
        <v>22792.270713725044</v>
      </c>
      <c r="AB15" s="2916">
        <f>'Lighting Deemed Table'!R13</f>
        <v>9.9999999999999995E-7</v>
      </c>
      <c r="AC15" s="2089">
        <f t="shared" si="5"/>
        <v>22.511974109895199</v>
      </c>
      <c r="AD15" s="2089"/>
      <c r="AE15" s="2955">
        <f>'Lighting Deemed Table'!BD13</f>
        <v>22.511974109895199</v>
      </c>
      <c r="AF15" s="2956"/>
      <c r="AG15" s="2956"/>
      <c r="AH15" s="2956"/>
      <c r="AI15" s="2245" t="str">
        <f>'Lighting Deemed Table'!S13</f>
        <v xml:space="preserve">  per bulb</v>
      </c>
      <c r="AM15" s="2057">
        <f t="shared" si="2"/>
        <v>1.4925290000000001E-4</v>
      </c>
      <c r="AN15">
        <f t="shared" si="3"/>
        <v>5.7357889470000005E-3</v>
      </c>
      <c r="AO15" s="2050">
        <f t="shared" si="4"/>
        <v>-2.2421105299999956E-4</v>
      </c>
      <c r="AS15" t="s">
        <v>2348</v>
      </c>
      <c r="AT15" s="2058">
        <v>2.053256E-4</v>
      </c>
      <c r="AU15" t="s">
        <v>2348</v>
      </c>
    </row>
    <row r="16" spans="2:47" x14ac:dyDescent="0.25">
      <c r="B16" s="2240" t="str">
        <f>'Lighting Deemed Table'!C14</f>
        <v>200400_2019_12_</v>
      </c>
      <c r="C16" s="208" t="str">
        <f>'Lighting Deemed Table'!H14</f>
        <v>Lighting RES</v>
      </c>
      <c r="D16" s="208"/>
      <c r="E16" s="208"/>
      <c r="F16" s="208"/>
      <c r="G16" s="208" t="str">
        <f>'Lighting Deemed Table'!E14</f>
        <v>LED - 15W (CFL baseline) (1050-1489 lumens)</v>
      </c>
      <c r="H16" s="622" t="str">
        <f>'Lighting Deemed Table'!D14</f>
        <v>Lighting</v>
      </c>
      <c r="I16" s="2084">
        <f>'Lighting Deemed Table'!F14</f>
        <v>6.39</v>
      </c>
      <c r="J16" s="2084">
        <v>0</v>
      </c>
      <c r="K16" s="2113">
        <v>0</v>
      </c>
      <c r="L16" s="2113">
        <v>0</v>
      </c>
      <c r="M16" s="2113">
        <v>0</v>
      </c>
      <c r="N16" s="2113">
        <v>0</v>
      </c>
      <c r="O16" s="2085">
        <f>'Lighting Deemed Table'!G14</f>
        <v>9.9099999999999991E-4</v>
      </c>
      <c r="P16" s="2085">
        <v>0</v>
      </c>
      <c r="Q16" s="2086">
        <v>0</v>
      </c>
      <c r="R16" s="2086">
        <v>0</v>
      </c>
      <c r="S16" s="2086"/>
      <c r="T16" s="2086"/>
      <c r="U16" s="2087">
        <v>0</v>
      </c>
      <c r="V16" s="2087">
        <v>0</v>
      </c>
      <c r="W16" s="2087">
        <f t="shared" si="0"/>
        <v>9.9099999999999991E-4</v>
      </c>
      <c r="X16" s="2121">
        <f>'Lighting Deemed Table'!P14</f>
        <v>19</v>
      </c>
      <c r="Y16" s="2121"/>
      <c r="Z16" s="88">
        <f t="shared" si="1"/>
        <v>19</v>
      </c>
      <c r="AA16" s="2088">
        <f>'Lighting Deemed Table'!BB14</f>
        <v>22794.625611511965</v>
      </c>
      <c r="AB16" s="2916">
        <f>'Lighting Deemed Table'!R14</f>
        <v>9.9999999999999995E-7</v>
      </c>
      <c r="AC16" s="2089">
        <f t="shared" si="5"/>
        <v>3.7432088098420584</v>
      </c>
      <c r="AD16" s="2089"/>
      <c r="AE16" s="2955">
        <f>'Lighting Deemed Table'!BD14</f>
        <v>3.7432088098420584</v>
      </c>
      <c r="AF16" s="2956"/>
      <c r="AG16" s="2956"/>
      <c r="AH16" s="2956"/>
      <c r="AI16" s="2245" t="str">
        <f>'Lighting Deemed Table'!S14</f>
        <v xml:space="preserve">  per bulb</v>
      </c>
      <c r="AM16" s="2057">
        <f t="shared" si="2"/>
        <v>1.4925290000000001E-4</v>
      </c>
      <c r="AN16">
        <f t="shared" si="3"/>
        <v>9.5372603099999999E-4</v>
      </c>
      <c r="AO16" s="2050">
        <f t="shared" si="4"/>
        <v>-3.7273968999999916E-5</v>
      </c>
      <c r="AS16" t="s">
        <v>690</v>
      </c>
      <c r="AT16" s="2058">
        <v>9.4741810000000004E-4</v>
      </c>
      <c r="AU16" t="s">
        <v>690</v>
      </c>
    </row>
    <row r="17" spans="2:47" s="132" customFormat="1" x14ac:dyDescent="0.25">
      <c r="B17" s="2307" t="str">
        <f>'Lighting Deemed Table'!C15</f>
        <v>200401_2020_12_</v>
      </c>
      <c r="C17" s="2305" t="str">
        <f>'Lighting Deemed Table'!H15</f>
        <v>Lighting RES</v>
      </c>
      <c r="D17" s="2305"/>
      <c r="E17" s="2305"/>
      <c r="F17" s="2305"/>
      <c r="G17" s="2305" t="str">
        <f>'Lighting Deemed Table'!E15</f>
        <v>LED - 11W Flood Light BR30 Bulb (CFL baseline)</v>
      </c>
      <c r="H17" s="2322" t="str">
        <f>'Lighting Deemed Table'!D15</f>
        <v>Lighting</v>
      </c>
      <c r="I17" s="2320">
        <f>'Lighting Deemed Table'!F15</f>
        <v>7.41</v>
      </c>
      <c r="J17" s="2320">
        <v>0</v>
      </c>
      <c r="K17" s="2310">
        <v>0</v>
      </c>
      <c r="L17" s="2310">
        <v>0</v>
      </c>
      <c r="M17" s="2310">
        <v>0</v>
      </c>
      <c r="N17" s="2310">
        <v>0</v>
      </c>
      <c r="O17" s="2321">
        <f>'Lighting Deemed Table'!G15</f>
        <v>1.15E-3</v>
      </c>
      <c r="P17" s="2321">
        <v>0</v>
      </c>
      <c r="Q17" s="2323">
        <v>0</v>
      </c>
      <c r="R17" s="2323">
        <v>0</v>
      </c>
      <c r="S17" s="2323"/>
      <c r="T17" s="2323"/>
      <c r="U17" s="2273">
        <v>0</v>
      </c>
      <c r="V17" s="2273">
        <v>0</v>
      </c>
      <c r="W17" s="2273">
        <f t="shared" ref="W17:W18" si="6">O17</f>
        <v>1.15E-3</v>
      </c>
      <c r="X17" s="2299">
        <f>'Lighting Deemed Table'!P15</f>
        <v>19</v>
      </c>
      <c r="Y17" s="2299"/>
      <c r="Z17" s="2299">
        <f t="shared" ref="Z17:Z18" si="7">Y17+X17</f>
        <v>19</v>
      </c>
      <c r="AA17" s="2927">
        <f>'Lighting Deemed Table'!BB15</f>
        <v>22784.67755034447</v>
      </c>
      <c r="AB17" s="2475">
        <f>'Lighting Deemed Table'!R15</f>
        <v>9.9999999999999995E-7</v>
      </c>
      <c r="AC17" s="2928">
        <f t="shared" ref="AC17:AC18" si="8">AE17+AF17</f>
        <v>4.3407163193943124</v>
      </c>
      <c r="AD17" s="2928"/>
      <c r="AE17" s="2957">
        <f>'Lighting Deemed Table'!BD15</f>
        <v>4.3407163193943124</v>
      </c>
      <c r="AF17" s="2334"/>
      <c r="AG17" s="2334"/>
      <c r="AH17" s="2334"/>
      <c r="AI17" s="2307" t="str">
        <f>'Lighting Deemed Table'!S15</f>
        <v xml:space="preserve">  per bulb</v>
      </c>
      <c r="AM17" s="2929">
        <f t="shared" si="2"/>
        <v>1.4925290000000001E-4</v>
      </c>
      <c r="AN17" s="132">
        <f t="shared" ref="AN17:AN18" si="9">AM17*I17</f>
        <v>1.1059639890000001E-3</v>
      </c>
      <c r="AO17" s="2930">
        <f t="shared" ref="AO17:AO18" si="10">AN17-O17</f>
        <v>-4.4036010999999858E-5</v>
      </c>
      <c r="AS17" s="132" t="s">
        <v>690</v>
      </c>
      <c r="AT17" s="2931">
        <v>9.4741810000000004E-4</v>
      </c>
      <c r="AU17" s="132" t="s">
        <v>690</v>
      </c>
    </row>
    <row r="18" spans="2:47" s="132" customFormat="1" x14ac:dyDescent="0.25">
      <c r="B18" s="2307" t="str">
        <f>'Lighting Deemed Table'!C16</f>
        <v>200402_2020_12_</v>
      </c>
      <c r="C18" s="2305" t="str">
        <f>'Lighting Deemed Table'!H16</f>
        <v>Lighting RES</v>
      </c>
      <c r="D18" s="2305"/>
      <c r="E18" s="2305"/>
      <c r="F18" s="2305"/>
      <c r="G18" s="2305" t="str">
        <f>'Lighting Deemed Table'!E16</f>
        <v xml:space="preserve">LED - 11W Flood Light BR30 Bulb (Halogen baseline) </v>
      </c>
      <c r="H18" s="2322" t="str">
        <f>'Lighting Deemed Table'!D16</f>
        <v>Lighting</v>
      </c>
      <c r="I18" s="2320">
        <f>'Lighting Deemed Table'!F16</f>
        <v>50.74</v>
      </c>
      <c r="J18" s="2320">
        <v>0</v>
      </c>
      <c r="K18" s="2310">
        <v>0</v>
      </c>
      <c r="L18" s="2310">
        <v>0</v>
      </c>
      <c r="M18" s="2310">
        <v>0</v>
      </c>
      <c r="N18" s="2310">
        <v>0</v>
      </c>
      <c r="O18" s="2321">
        <f>'Lighting Deemed Table'!G16</f>
        <v>7.8689999999999993E-3</v>
      </c>
      <c r="P18" s="2321">
        <v>0</v>
      </c>
      <c r="Q18" s="2323">
        <v>0</v>
      </c>
      <c r="R18" s="2323">
        <v>0</v>
      </c>
      <c r="S18" s="2323"/>
      <c r="T18" s="2323"/>
      <c r="U18" s="2273">
        <v>0</v>
      </c>
      <c r="V18" s="2273">
        <v>0</v>
      </c>
      <c r="W18" s="2273">
        <f t="shared" si="6"/>
        <v>7.8689999999999993E-3</v>
      </c>
      <c r="X18" s="2299">
        <f>'Lighting Deemed Table'!P16</f>
        <v>19</v>
      </c>
      <c r="Y18" s="2299"/>
      <c r="Z18" s="2299">
        <f t="shared" si="7"/>
        <v>19</v>
      </c>
      <c r="AA18" s="2927">
        <f>'Lighting Deemed Table'!BB16</f>
        <v>22792.775934594549</v>
      </c>
      <c r="AB18" s="2475">
        <f>'Lighting Deemed Table'!R16</f>
        <v>9.9999999999999995E-7</v>
      </c>
      <c r="AC18" s="2928">
        <f t="shared" si="8"/>
        <v>29.723069641844454</v>
      </c>
      <c r="AD18" s="2928"/>
      <c r="AE18" s="2957">
        <f>'Lighting Deemed Table'!BD16</f>
        <v>29.723069641844454</v>
      </c>
      <c r="AF18" s="2334"/>
      <c r="AG18" s="2334"/>
      <c r="AH18" s="2334"/>
      <c r="AI18" s="2307" t="str">
        <f>'Lighting Deemed Table'!S16</f>
        <v xml:space="preserve">  per bulb</v>
      </c>
      <c r="AM18" s="2929">
        <f t="shared" si="2"/>
        <v>1.4925290000000001E-4</v>
      </c>
      <c r="AN18" s="132">
        <f t="shared" si="9"/>
        <v>7.5730921460000012E-3</v>
      </c>
      <c r="AO18" s="2930">
        <f t="shared" si="10"/>
        <v>-2.9590785399999809E-4</v>
      </c>
      <c r="AS18" s="132" t="s">
        <v>690</v>
      </c>
      <c r="AT18" s="2931">
        <v>9.4741810000000004E-4</v>
      </c>
      <c r="AU18" s="132" t="s">
        <v>690</v>
      </c>
    </row>
    <row r="19" spans="2:47" x14ac:dyDescent="0.25">
      <c r="B19" s="2240" t="str">
        <f>'Lighting Deemed Table'!C17</f>
        <v>200450_2019_12_</v>
      </c>
      <c r="C19" s="208" t="str">
        <f>'Lighting Deemed Table'!H17</f>
        <v>Lighting RES</v>
      </c>
      <c r="D19" s="208"/>
      <c r="E19" s="208"/>
      <c r="F19" s="208"/>
      <c r="G19" s="208" t="str">
        <f>'Lighting Deemed Table'!E17</f>
        <v>LED - 15W Flood Light PAR30 Bulb (CFL baseline)</v>
      </c>
      <c r="H19" s="622" t="str">
        <f>'Lighting Deemed Table'!D17</f>
        <v>Lighting</v>
      </c>
      <c r="I19" s="2084">
        <f>'Lighting Deemed Table'!F17</f>
        <v>5.64</v>
      </c>
      <c r="J19" s="2084">
        <v>0</v>
      </c>
      <c r="K19" s="2113">
        <v>0</v>
      </c>
      <c r="L19" s="2113">
        <v>0</v>
      </c>
      <c r="M19" s="2113">
        <v>0</v>
      </c>
      <c r="N19" s="2113">
        <v>0</v>
      </c>
      <c r="O19" s="2085">
        <f>'Lighting Deemed Table'!G17</f>
        <v>8.7399999999999999E-4</v>
      </c>
      <c r="P19" s="2085">
        <v>0</v>
      </c>
      <c r="Q19" s="2086">
        <v>0</v>
      </c>
      <c r="R19" s="2086">
        <v>0</v>
      </c>
      <c r="S19" s="2086"/>
      <c r="T19" s="2086"/>
      <c r="U19" s="2087">
        <v>0</v>
      </c>
      <c r="V19" s="2087">
        <v>0</v>
      </c>
      <c r="W19" s="2087">
        <f t="shared" si="0"/>
        <v>8.7399999999999999E-4</v>
      </c>
      <c r="X19" s="2121">
        <f>'Lighting Deemed Table'!P17</f>
        <v>19</v>
      </c>
      <c r="Y19" s="2121"/>
      <c r="Z19" s="88">
        <f t="shared" si="1"/>
        <v>19</v>
      </c>
      <c r="AA19" s="2088">
        <f>'Lighting Deemed Table'!BB17</f>
        <v>22801.760079621981</v>
      </c>
      <c r="AB19" s="2916">
        <f>'Lighting Deemed Table'!R17</f>
        <v>9.9999999999999995E-7</v>
      </c>
      <c r="AC19" s="2089">
        <f t="shared" si="5"/>
        <v>3.3038650528183426</v>
      </c>
      <c r="AD19" s="2089"/>
      <c r="AE19" s="2955">
        <f>'Lighting Deemed Table'!BD17</f>
        <v>3.3038650528183426</v>
      </c>
      <c r="AF19" s="2956"/>
      <c r="AG19" s="2956"/>
      <c r="AH19" s="2956"/>
      <c r="AI19" s="2245" t="str">
        <f>'Lighting Deemed Table'!S17</f>
        <v xml:space="preserve">  per bulb</v>
      </c>
      <c r="AM19" s="2057">
        <f t="shared" si="2"/>
        <v>1.4925290000000001E-4</v>
      </c>
      <c r="AN19">
        <f t="shared" si="3"/>
        <v>8.4178635599999995E-4</v>
      </c>
      <c r="AO19" s="2050">
        <f t="shared" si="4"/>
        <v>-3.221364400000004E-5</v>
      </c>
      <c r="AS19" t="s">
        <v>1125</v>
      </c>
      <c r="AT19" s="2058">
        <v>9.4741810000000004E-4</v>
      </c>
      <c r="AU19" t="s">
        <v>1125</v>
      </c>
    </row>
    <row r="20" spans="2:47" x14ac:dyDescent="0.25">
      <c r="B20" s="2240" t="str">
        <f>'Lighting Deemed Table'!C18</f>
        <v>200500_2019_12_</v>
      </c>
      <c r="C20" s="208" t="str">
        <f>'Lighting Deemed Table'!H18</f>
        <v>Lighting RES</v>
      </c>
      <c r="D20" s="208"/>
      <c r="E20" s="208"/>
      <c r="F20" s="208"/>
      <c r="G20" s="208" t="str">
        <f>'Lighting Deemed Table'!E18</f>
        <v>LED - 15W Flood Light PAR30 Bulb (Halogen baseline)</v>
      </c>
      <c r="H20" s="622" t="str">
        <f>'Lighting Deemed Table'!D18</f>
        <v>Lighting</v>
      </c>
      <c r="I20" s="2084">
        <f>'Lighting Deemed Table'!F18</f>
        <v>48.2</v>
      </c>
      <c r="J20" s="2084">
        <v>0</v>
      </c>
      <c r="K20" s="2113">
        <v>0</v>
      </c>
      <c r="L20" s="2113">
        <v>0</v>
      </c>
      <c r="M20" s="2113">
        <v>0</v>
      </c>
      <c r="N20" s="2113">
        <v>0</v>
      </c>
      <c r="O20" s="2085">
        <f>'Lighting Deemed Table'!G18</f>
        <v>7.4749999999999999E-3</v>
      </c>
      <c r="P20" s="2085">
        <v>0</v>
      </c>
      <c r="Q20" s="2086">
        <v>0</v>
      </c>
      <c r="R20" s="2086">
        <v>0</v>
      </c>
      <c r="S20" s="2086"/>
      <c r="T20" s="2086"/>
      <c r="U20" s="2087">
        <v>0</v>
      </c>
      <c r="V20" s="2087">
        <v>0</v>
      </c>
      <c r="W20" s="2087">
        <f t="shared" si="0"/>
        <v>7.4749999999999999E-3</v>
      </c>
      <c r="X20" s="2121">
        <f>'Lighting Deemed Table'!P18</f>
        <v>19</v>
      </c>
      <c r="Y20" s="2121"/>
      <c r="Z20" s="88">
        <f t="shared" si="1"/>
        <v>19</v>
      </c>
      <c r="AA20" s="2088">
        <f>'Lighting Deemed Table'!BB18</f>
        <v>22791.357385379692</v>
      </c>
      <c r="AB20" s="2916">
        <f>'Lighting Deemed Table'!R18</f>
        <v>9.9999999999999995E-7</v>
      </c>
      <c r="AC20" s="2089">
        <f t="shared" si="5"/>
        <v>28.235158784724138</v>
      </c>
      <c r="AD20" s="2089"/>
      <c r="AE20" s="2955">
        <f>'Lighting Deemed Table'!BD18</f>
        <v>28.235158784724138</v>
      </c>
      <c r="AF20" s="2956"/>
      <c r="AG20" s="2956"/>
      <c r="AH20" s="2956"/>
      <c r="AI20" s="2245" t="str">
        <f>'Lighting Deemed Table'!S18</f>
        <v xml:space="preserve">  per bulb</v>
      </c>
      <c r="AM20" s="2057">
        <f t="shared" si="2"/>
        <v>1.4925290000000001E-4</v>
      </c>
      <c r="AN20">
        <f t="shared" si="3"/>
        <v>7.1939897800000008E-3</v>
      </c>
      <c r="AO20" s="2050">
        <f t="shared" si="4"/>
        <v>-2.8101021999999906E-4</v>
      </c>
      <c r="AS20" t="s">
        <v>2349</v>
      </c>
      <c r="AT20" s="2058">
        <v>8.4921199999999996E-5</v>
      </c>
      <c r="AU20" t="s">
        <v>2349</v>
      </c>
    </row>
    <row r="21" spans="2:47" x14ac:dyDescent="0.25">
      <c r="B21" s="2240" t="str">
        <f>'Lighting Deemed Table'!C19</f>
        <v>200550_2019_12_</v>
      </c>
      <c r="C21" s="208" t="str">
        <f>'Lighting Deemed Table'!H19</f>
        <v>Lighting RES</v>
      </c>
      <c r="D21" s="208"/>
      <c r="E21" s="208"/>
      <c r="F21" s="208"/>
      <c r="G21" s="208" t="str">
        <f>'Lighting Deemed Table'!E19</f>
        <v>LED - 18W Flood Light PAR30 Bulb (CFL baseline)</v>
      </c>
      <c r="H21" s="622" t="str">
        <f>'Lighting Deemed Table'!D19</f>
        <v>Lighting</v>
      </c>
      <c r="I21" s="2084">
        <f>'Lighting Deemed Table'!F19</f>
        <v>4.7</v>
      </c>
      <c r="J21" s="2084">
        <v>0</v>
      </c>
      <c r="K21" s="2113">
        <v>0</v>
      </c>
      <c r="L21" s="2113">
        <v>0</v>
      </c>
      <c r="M21" s="2113">
        <v>0</v>
      </c>
      <c r="N21" s="2113">
        <v>0</v>
      </c>
      <c r="O21" s="2085">
        <f>'Lighting Deemed Table'!G19</f>
        <v>7.2900000000000005E-4</v>
      </c>
      <c r="P21" s="2085">
        <v>0</v>
      </c>
      <c r="Q21" s="2086">
        <v>0</v>
      </c>
      <c r="R21" s="2086">
        <v>0</v>
      </c>
      <c r="S21" s="2086"/>
      <c r="T21" s="2086"/>
      <c r="U21" s="2087">
        <v>0</v>
      </c>
      <c r="V21" s="2087">
        <v>0</v>
      </c>
      <c r="W21" s="2087">
        <f t="shared" si="0"/>
        <v>7.2900000000000005E-4</v>
      </c>
      <c r="X21" s="2121">
        <f>'Lighting Deemed Table'!P19</f>
        <v>19</v>
      </c>
      <c r="Y21" s="2121"/>
      <c r="Z21" s="88">
        <f t="shared" si="1"/>
        <v>19</v>
      </c>
      <c r="AA21" s="2088">
        <f>'Lighting Deemed Table'!BB19</f>
        <v>22801.760079621985</v>
      </c>
      <c r="AB21" s="2916">
        <f>'Lighting Deemed Table'!R19</f>
        <v>9.9999999999999995E-7</v>
      </c>
      <c r="AC21" s="2089">
        <f t="shared" si="5"/>
        <v>2.7532208773486193</v>
      </c>
      <c r="AD21" s="2089"/>
      <c r="AE21" s="2955">
        <f>'Lighting Deemed Table'!BD19</f>
        <v>2.7532208773486193</v>
      </c>
      <c r="AF21" s="2956"/>
      <c r="AG21" s="2956"/>
      <c r="AH21" s="2956"/>
      <c r="AI21" s="2245" t="str">
        <f>'Lighting Deemed Table'!S19</f>
        <v xml:space="preserve">  per bulb</v>
      </c>
      <c r="AM21" s="2057">
        <f t="shared" si="2"/>
        <v>1.4925290000000001E-4</v>
      </c>
      <c r="AN21">
        <f t="shared" si="3"/>
        <v>7.0148863000000009E-4</v>
      </c>
      <c r="AO21" s="2050">
        <f t="shared" si="4"/>
        <v>-2.751136999999996E-5</v>
      </c>
      <c r="AS21" t="s">
        <v>2313</v>
      </c>
      <c r="AT21" s="2058">
        <v>1.6857220000000001E-4</v>
      </c>
      <c r="AU21" t="s">
        <v>2313</v>
      </c>
    </row>
    <row r="22" spans="2:47" x14ac:dyDescent="0.25">
      <c r="B22" s="2240" t="str">
        <f>'Lighting Deemed Table'!C20</f>
        <v>200600_2019_12_</v>
      </c>
      <c r="C22" s="208" t="str">
        <f>'Lighting Deemed Table'!H20</f>
        <v>Lighting RES</v>
      </c>
      <c r="D22" s="208"/>
      <c r="E22" s="208"/>
      <c r="F22" s="208"/>
      <c r="G22" s="208" t="str">
        <f>'Lighting Deemed Table'!E20</f>
        <v>LED - 18W Flood Light PAR38 Bulb (Halogen baseline)</v>
      </c>
      <c r="H22" s="622" t="str">
        <f>'Lighting Deemed Table'!D20</f>
        <v>Lighting</v>
      </c>
      <c r="I22" s="2084">
        <f>'Lighting Deemed Table'!F20</f>
        <v>77.040000000000006</v>
      </c>
      <c r="J22" s="2084">
        <v>0</v>
      </c>
      <c r="K22" s="2113">
        <v>0</v>
      </c>
      <c r="L22" s="2113">
        <v>0</v>
      </c>
      <c r="M22" s="2113">
        <v>0</v>
      </c>
      <c r="N22" s="2113">
        <v>0</v>
      </c>
      <c r="O22" s="2085">
        <f>'Lighting Deemed Table'!G20</f>
        <v>1.1949E-2</v>
      </c>
      <c r="P22" s="2085">
        <v>0</v>
      </c>
      <c r="Q22" s="2086">
        <v>0</v>
      </c>
      <c r="R22" s="2086">
        <v>0</v>
      </c>
      <c r="S22" s="2086"/>
      <c r="T22" s="2086"/>
      <c r="U22" s="2087">
        <v>0</v>
      </c>
      <c r="V22" s="2087">
        <v>0</v>
      </c>
      <c r="W22" s="2087">
        <f t="shared" si="0"/>
        <v>1.1949E-2</v>
      </c>
      <c r="X22" s="2121">
        <f>'Lighting Deemed Table'!P20</f>
        <v>19</v>
      </c>
      <c r="Y22" s="2121"/>
      <c r="Z22" s="88">
        <f t="shared" si="1"/>
        <v>19</v>
      </c>
      <c r="AA22" s="2088">
        <f>'Lighting Deemed Table'!BB20</f>
        <v>22789.927303244393</v>
      </c>
      <c r="AB22" s="2916">
        <f>'Lighting Deemed Table'!R20</f>
        <v>9.9999999999999995E-7</v>
      </c>
      <c r="AC22" s="2089">
        <f t="shared" si="5"/>
        <v>45.129390721476092</v>
      </c>
      <c r="AD22" s="2089"/>
      <c r="AE22" s="2955">
        <f>'Lighting Deemed Table'!BD20</f>
        <v>45.129390721476092</v>
      </c>
      <c r="AF22" s="2956"/>
      <c r="AG22" s="2956"/>
      <c r="AH22" s="2956"/>
      <c r="AI22" s="2245" t="str">
        <f>'Lighting Deemed Table'!S20</f>
        <v xml:space="preserve">  per bulb</v>
      </c>
      <c r="AM22" s="2057">
        <f t="shared" si="2"/>
        <v>1.4925290000000001E-4</v>
      </c>
      <c r="AN22">
        <f t="shared" si="3"/>
        <v>1.1498443416000002E-2</v>
      </c>
      <c r="AO22" s="2050">
        <f t="shared" si="4"/>
        <v>-4.5055658399999719E-4</v>
      </c>
      <c r="AS22" t="s">
        <v>2350</v>
      </c>
      <c r="AT22" s="2058">
        <v>1.6857220000000001E-4</v>
      </c>
      <c r="AU22" t="s">
        <v>2350</v>
      </c>
    </row>
    <row r="23" spans="2:47" x14ac:dyDescent="0.25">
      <c r="B23" s="2240" t="str">
        <f>'Lighting Deemed Table'!C21</f>
        <v>200650_2019_12_</v>
      </c>
      <c r="C23" s="208" t="str">
        <f>'Lighting Deemed Table'!H21</f>
        <v>Lighting RES</v>
      </c>
      <c r="D23" s="208"/>
      <c r="E23" s="208"/>
      <c r="F23" s="208"/>
      <c r="G23" s="208" t="str">
        <f>'Lighting Deemed Table'!E21</f>
        <v>LED - 20W (CFL baseline) (1490-2600 lumens)</v>
      </c>
      <c r="H23" s="622" t="str">
        <f>'Lighting Deemed Table'!D21</f>
        <v>Lighting</v>
      </c>
      <c r="I23" s="2084">
        <f>'Lighting Deemed Table'!F21</f>
        <v>9.02</v>
      </c>
      <c r="J23" s="2084">
        <v>0</v>
      </c>
      <c r="K23" s="2113">
        <v>0</v>
      </c>
      <c r="L23" s="2113">
        <v>0</v>
      </c>
      <c r="M23" s="2113">
        <v>0</v>
      </c>
      <c r="N23" s="2113">
        <v>0</v>
      </c>
      <c r="O23" s="2085">
        <f>'Lighting Deemed Table'!G21</f>
        <v>1.3990000000000001E-3</v>
      </c>
      <c r="P23" s="2085">
        <v>0</v>
      </c>
      <c r="Q23" s="2086">
        <v>0</v>
      </c>
      <c r="R23" s="2086">
        <v>0</v>
      </c>
      <c r="S23" s="2086"/>
      <c r="T23" s="2086"/>
      <c r="U23" s="2087">
        <v>0</v>
      </c>
      <c r="V23" s="2087">
        <v>0</v>
      </c>
      <c r="W23" s="2087">
        <f t="shared" si="0"/>
        <v>1.3990000000000001E-3</v>
      </c>
      <c r="X23" s="2121">
        <f>'Lighting Deemed Table'!P21</f>
        <v>19</v>
      </c>
      <c r="Y23" s="2121"/>
      <c r="Z23" s="88">
        <f t="shared" si="1"/>
        <v>19</v>
      </c>
      <c r="AA23" s="2088">
        <f>'Lighting Deemed Table'!BB21</f>
        <v>22791.652916466119</v>
      </c>
      <c r="AB23" s="2916">
        <f>'Lighting Deemed Table'!R21</f>
        <v>9.9999999999999995E-7</v>
      </c>
      <c r="AC23" s="2089">
        <f t="shared" si="5"/>
        <v>5.2838409178052217</v>
      </c>
      <c r="AD23" s="2089"/>
      <c r="AE23" s="2955">
        <f>'Lighting Deemed Table'!BD21</f>
        <v>5.2838409178052217</v>
      </c>
      <c r="AF23" s="2956"/>
      <c r="AG23" s="2956"/>
      <c r="AH23" s="2956"/>
      <c r="AI23" s="2245" t="str">
        <f>'Lighting Deemed Table'!S21</f>
        <v xml:space="preserve">  per bulb</v>
      </c>
      <c r="AM23" s="2057">
        <f t="shared" si="2"/>
        <v>1.4925290000000001E-4</v>
      </c>
      <c r="AN23">
        <f t="shared" si="3"/>
        <v>1.3462611580000001E-3</v>
      </c>
      <c r="AO23" s="2050">
        <f t="shared" si="4"/>
        <v>-5.2738841999999979E-5</v>
      </c>
      <c r="AS23" t="s">
        <v>691</v>
      </c>
      <c r="AT23" s="2058">
        <v>0</v>
      </c>
      <c r="AU23" t="s">
        <v>691</v>
      </c>
    </row>
    <row r="24" spans="2:47" x14ac:dyDescent="0.25">
      <c r="B24" s="2240" t="str">
        <f>'Lighting Deemed Table'!C22</f>
        <v>200700_2019_12_</v>
      </c>
      <c r="C24" s="208" t="str">
        <f>'Lighting Deemed Table'!H22</f>
        <v>Lighting RES</v>
      </c>
      <c r="D24" s="208"/>
      <c r="E24" s="208"/>
      <c r="F24" s="208"/>
      <c r="G24" s="208" t="str">
        <f>'Lighting Deemed Table'!E22</f>
        <v>LED - 20W (Halogen baseline) (1490-2600 lumens)</v>
      </c>
      <c r="H24" s="622" t="str">
        <f>'Lighting Deemed Table'!D22</f>
        <v>Lighting</v>
      </c>
      <c r="I24" s="2084">
        <f>'Lighting Deemed Table'!F22</f>
        <v>53.37</v>
      </c>
      <c r="J24" s="2084">
        <v>0</v>
      </c>
      <c r="K24" s="2113">
        <v>0</v>
      </c>
      <c r="L24" s="2113">
        <v>0</v>
      </c>
      <c r="M24" s="2113">
        <v>0</v>
      </c>
      <c r="N24" s="2113">
        <v>0</v>
      </c>
      <c r="O24" s="2085">
        <f>'Lighting Deemed Table'!G22</f>
        <v>8.2769999999999996E-3</v>
      </c>
      <c r="P24" s="2085">
        <v>0</v>
      </c>
      <c r="Q24" s="2086">
        <v>0</v>
      </c>
      <c r="R24" s="2086">
        <v>0</v>
      </c>
      <c r="S24" s="2086"/>
      <c r="T24" s="2086"/>
      <c r="U24" s="2087">
        <v>0</v>
      </c>
      <c r="V24" s="2087">
        <v>0</v>
      </c>
      <c r="W24" s="2087">
        <f t="shared" si="0"/>
        <v>8.2769999999999996E-3</v>
      </c>
      <c r="X24" s="2121">
        <f>'Lighting Deemed Table'!P22</f>
        <v>19</v>
      </c>
      <c r="Y24" s="2121"/>
      <c r="Z24" s="88">
        <f t="shared" si="1"/>
        <v>19</v>
      </c>
      <c r="AA24" s="2088">
        <f>'Lighting Deemed Table'!BB22</f>
        <v>22792.364688519352</v>
      </c>
      <c r="AB24" s="2916">
        <f>'Lighting Deemed Table'!R22</f>
        <v>9.9999999999999995E-7</v>
      </c>
      <c r="AC24" s="2089">
        <f t="shared" si="5"/>
        <v>31.263701749807616</v>
      </c>
      <c r="AD24" s="2089"/>
      <c r="AE24" s="2955">
        <f>'Lighting Deemed Table'!BD22</f>
        <v>31.263701749807616</v>
      </c>
      <c r="AF24" s="2956"/>
      <c r="AG24" s="2956"/>
      <c r="AH24" s="2956"/>
      <c r="AI24" s="2245" t="str">
        <f>'Lighting Deemed Table'!S22</f>
        <v xml:space="preserve">  per bulb</v>
      </c>
      <c r="AM24" s="2057">
        <f t="shared" si="2"/>
        <v>1.4925290000000001E-4</v>
      </c>
      <c r="AN24">
        <f t="shared" si="3"/>
        <v>7.9656272730000005E-3</v>
      </c>
      <c r="AO24" s="2050">
        <f t="shared" si="4"/>
        <v>-3.1137272699999913E-4</v>
      </c>
      <c r="AS24" t="s">
        <v>1217</v>
      </c>
      <c r="AT24" s="2058">
        <v>0</v>
      </c>
      <c r="AU24" t="s">
        <v>1217</v>
      </c>
    </row>
    <row r="25" spans="2:47" x14ac:dyDescent="0.25">
      <c r="B25" s="2240" t="str">
        <f>'Lighting Deemed Table'!C23</f>
        <v>200750_2019_12_</v>
      </c>
      <c r="C25" s="208" t="str">
        <f>'Lighting Deemed Table'!H23</f>
        <v>Lighting RES</v>
      </c>
      <c r="D25" s="208"/>
      <c r="E25" s="208"/>
      <c r="F25" s="208"/>
      <c r="G25" s="208" t="str">
        <f>'Lighting Deemed Table'!E23</f>
        <v>LED - 4W Candelabra (CFL baseline)</v>
      </c>
      <c r="H25" s="622" t="str">
        <f>'Lighting Deemed Table'!D23</f>
        <v>Lighting</v>
      </c>
      <c r="I25" s="2084">
        <f>'Lighting Deemed Table'!F23</f>
        <v>4.7</v>
      </c>
      <c r="J25" s="2084">
        <v>0</v>
      </c>
      <c r="K25" s="2113">
        <v>0</v>
      </c>
      <c r="L25" s="2113">
        <v>0</v>
      </c>
      <c r="M25" s="2113">
        <v>0</v>
      </c>
      <c r="N25" s="2113">
        <v>0</v>
      </c>
      <c r="O25" s="2085">
        <f>'Lighting Deemed Table'!G23</f>
        <v>7.2900000000000005E-4</v>
      </c>
      <c r="P25" s="2085">
        <v>0</v>
      </c>
      <c r="Q25" s="2086">
        <v>0</v>
      </c>
      <c r="R25" s="2086">
        <v>0</v>
      </c>
      <c r="S25" s="2086"/>
      <c r="T25" s="2086"/>
      <c r="U25" s="2087">
        <v>0</v>
      </c>
      <c r="V25" s="2087">
        <v>0</v>
      </c>
      <c r="W25" s="2087">
        <f t="shared" si="0"/>
        <v>7.2900000000000005E-4</v>
      </c>
      <c r="X25" s="2121">
        <f>'Lighting Deemed Table'!P23</f>
        <v>19</v>
      </c>
      <c r="Y25" s="2121"/>
      <c r="Z25" s="88">
        <f t="shared" si="1"/>
        <v>19</v>
      </c>
      <c r="AA25" s="2088">
        <f>'Lighting Deemed Table'!BB23</f>
        <v>22801.760079621985</v>
      </c>
      <c r="AB25" s="2916">
        <f>'Lighting Deemed Table'!R23</f>
        <v>9.9999999999999995E-7</v>
      </c>
      <c r="AC25" s="2089">
        <f t="shared" si="5"/>
        <v>2.7532208773486193</v>
      </c>
      <c r="AD25" s="2089"/>
      <c r="AE25" s="2955">
        <f>'Lighting Deemed Table'!BD23</f>
        <v>2.7532208773486193</v>
      </c>
      <c r="AF25" s="2956"/>
      <c r="AG25" s="2956"/>
      <c r="AH25" s="2956"/>
      <c r="AI25" s="2245" t="str">
        <f>'Lighting Deemed Table'!S23</f>
        <v xml:space="preserve">  per bulb</v>
      </c>
      <c r="AM25" s="2057">
        <f t="shared" si="2"/>
        <v>1.4925290000000001E-4</v>
      </c>
      <c r="AN25">
        <f t="shared" si="3"/>
        <v>7.0148863000000009E-4</v>
      </c>
      <c r="AO25" s="2050">
        <f t="shared" si="4"/>
        <v>-2.751136999999996E-5</v>
      </c>
      <c r="AS25" t="s">
        <v>877</v>
      </c>
      <c r="AT25" s="2058">
        <v>4.6608050000000002E-4</v>
      </c>
      <c r="AU25" t="s">
        <v>877</v>
      </c>
    </row>
    <row r="26" spans="2:47" x14ac:dyDescent="0.25">
      <c r="B26" s="2240" t="str">
        <f>'Lighting Deemed Table'!C24</f>
        <v>200800_2019_12_</v>
      </c>
      <c r="C26" s="208" t="str">
        <f>'Lighting Deemed Table'!H24</f>
        <v>Lighting RES</v>
      </c>
      <c r="D26" s="208"/>
      <c r="E26" s="208"/>
      <c r="F26" s="208"/>
      <c r="G26" s="208" t="str">
        <f>'Lighting Deemed Table'!E24</f>
        <v>LED - 4W Candelabra (Replacing Specialty Incandescent)</v>
      </c>
      <c r="H26" s="622" t="str">
        <f>'Lighting Deemed Table'!D24</f>
        <v>Lighting</v>
      </c>
      <c r="I26" s="2084">
        <f>'Lighting Deemed Table'!F24</f>
        <v>32.880000000000003</v>
      </c>
      <c r="J26" s="2084">
        <v>0</v>
      </c>
      <c r="K26" s="2113">
        <v>0</v>
      </c>
      <c r="L26" s="2113">
        <v>0</v>
      </c>
      <c r="M26" s="2113">
        <v>0</v>
      </c>
      <c r="N26" s="2113">
        <v>0</v>
      </c>
      <c r="O26" s="2085">
        <f>'Lighting Deemed Table'!G24</f>
        <v>5.1000000000000004E-3</v>
      </c>
      <c r="P26" s="2085">
        <v>0</v>
      </c>
      <c r="Q26" s="2086">
        <v>0</v>
      </c>
      <c r="R26" s="2086">
        <v>0</v>
      </c>
      <c r="S26" s="2086"/>
      <c r="T26" s="2086"/>
      <c r="U26" s="2087">
        <v>0</v>
      </c>
      <c r="V26" s="2087">
        <v>0</v>
      </c>
      <c r="W26" s="2087">
        <f t="shared" si="0"/>
        <v>5.1000000000000004E-3</v>
      </c>
      <c r="X26" s="2121">
        <f>'Lighting Deemed Table'!P24</f>
        <v>19</v>
      </c>
      <c r="Y26" s="2121"/>
      <c r="Z26" s="88">
        <f t="shared" si="1"/>
        <v>19</v>
      </c>
      <c r="AA26" s="2088">
        <f>'Lighting Deemed Table'!BB24</f>
        <v>22787.89882729395</v>
      </c>
      <c r="AB26" s="2916">
        <f>'Lighting Deemed Table'!R24</f>
        <v>9.9999999999999995E-7</v>
      </c>
      <c r="AC26" s="2089">
        <f t="shared" si="5"/>
        <v>19.260830307919704</v>
      </c>
      <c r="AD26" s="2089"/>
      <c r="AE26" s="2955">
        <f>'Lighting Deemed Table'!BD24</f>
        <v>19.260830307919704</v>
      </c>
      <c r="AF26" s="2956"/>
      <c r="AG26" s="2956"/>
      <c r="AH26" s="2956"/>
      <c r="AI26" s="2245" t="str">
        <f>'Lighting Deemed Table'!S24</f>
        <v xml:space="preserve">  per bulb</v>
      </c>
      <c r="AM26" s="2057">
        <f t="shared" si="2"/>
        <v>1.4925290000000001E-4</v>
      </c>
      <c r="AN26">
        <f t="shared" si="3"/>
        <v>4.9074353520000003E-3</v>
      </c>
      <c r="AO26" s="2050">
        <f t="shared" si="4"/>
        <v>-1.9256464800000012E-4</v>
      </c>
      <c r="AS26" t="s">
        <v>2202</v>
      </c>
      <c r="AT26" s="2058">
        <v>4.6608050000000002E-4</v>
      </c>
      <c r="AU26" t="s">
        <v>2202</v>
      </c>
    </row>
    <row r="27" spans="2:47" x14ac:dyDescent="0.25">
      <c r="B27" s="2240" t="str">
        <f>'Lighting Deemed Table'!C25</f>
        <v>200850_2019_12_</v>
      </c>
      <c r="C27" s="208" t="str">
        <f>'Lighting Deemed Table'!H25</f>
        <v>Lighting RES</v>
      </c>
      <c r="D27" s="208"/>
      <c r="E27" s="208"/>
      <c r="F27" s="208"/>
      <c r="G27" s="208" t="str">
        <f>'Lighting Deemed Table'!E25</f>
        <v>LED - 8W Globe Light G25 Bulb (Replacing CFL)</v>
      </c>
      <c r="H27" s="622" t="str">
        <f>'Lighting Deemed Table'!D25</f>
        <v>Lighting</v>
      </c>
      <c r="I27" s="2084">
        <f>'Lighting Deemed Table'!F25</f>
        <v>5.45</v>
      </c>
      <c r="J27" s="2084">
        <v>0</v>
      </c>
      <c r="K27" s="2113">
        <v>0</v>
      </c>
      <c r="L27" s="2113">
        <v>0</v>
      </c>
      <c r="M27" s="2113">
        <v>0</v>
      </c>
      <c r="N27" s="2113">
        <v>0</v>
      </c>
      <c r="O27" s="2085">
        <f>'Lighting Deemed Table'!G25</f>
        <v>8.4500000000000005E-4</v>
      </c>
      <c r="P27" s="2085">
        <v>0</v>
      </c>
      <c r="Q27" s="2086">
        <v>0</v>
      </c>
      <c r="R27" s="2086">
        <v>0</v>
      </c>
      <c r="S27" s="2086"/>
      <c r="T27" s="2086"/>
      <c r="U27" s="2087">
        <v>0</v>
      </c>
      <c r="V27" s="2087">
        <v>0</v>
      </c>
      <c r="W27" s="2087">
        <f t="shared" si="0"/>
        <v>8.4500000000000005E-4</v>
      </c>
      <c r="X27" s="2121">
        <f>'Lighting Deemed Table'!P25</f>
        <v>19</v>
      </c>
      <c r="Y27" s="2121"/>
      <c r="Z27" s="88">
        <f t="shared" si="1"/>
        <v>19</v>
      </c>
      <c r="AA27" s="2088">
        <f>'Lighting Deemed Table'!BB25</f>
        <v>22793.395530803344</v>
      </c>
      <c r="AB27" s="2916">
        <f>'Lighting Deemed Table'!R25</f>
        <v>9.9999999999999995E-7</v>
      </c>
      <c r="AC27" s="2089">
        <f t="shared" si="5"/>
        <v>3.1925646343723351</v>
      </c>
      <c r="AD27" s="2089"/>
      <c r="AE27" s="2955">
        <f>'Lighting Deemed Table'!BD25</f>
        <v>3.1925646343723351</v>
      </c>
      <c r="AF27" s="2956"/>
      <c r="AG27" s="2956"/>
      <c r="AH27" s="2956"/>
      <c r="AI27" s="2245" t="str">
        <f>'Lighting Deemed Table'!S25</f>
        <v xml:space="preserve">  per bulb</v>
      </c>
      <c r="AM27" s="2057">
        <f t="shared" si="2"/>
        <v>1.4925290000000001E-4</v>
      </c>
      <c r="AN27">
        <f t="shared" si="3"/>
        <v>8.1342830500000013E-4</v>
      </c>
      <c r="AO27" s="2050">
        <f t="shared" si="4"/>
        <v>-3.157169499999992E-5</v>
      </c>
      <c r="AS27" t="s">
        <v>532</v>
      </c>
      <c r="AT27" s="2058">
        <v>1.4925290000000001E-4</v>
      </c>
      <c r="AU27" t="s">
        <v>532</v>
      </c>
    </row>
    <row r="28" spans="2:47" x14ac:dyDescent="0.25">
      <c r="B28" s="2240" t="str">
        <f>'Lighting Deemed Table'!C26</f>
        <v>200900_2019_12_</v>
      </c>
      <c r="C28" s="208" t="str">
        <f>'Lighting Deemed Table'!H26</f>
        <v>Lighting RES</v>
      </c>
      <c r="D28" s="208"/>
      <c r="E28" s="208"/>
      <c r="F28" s="208"/>
      <c r="G28" s="208" t="str">
        <f>'Lighting Deemed Table'!E26</f>
        <v>LED - 8W Globe Light G25 Bulb (Replacing Specialty Incandescent)</v>
      </c>
      <c r="H28" s="622" t="str">
        <f>'Lighting Deemed Table'!D26</f>
        <v>Lighting</v>
      </c>
      <c r="I28" s="2084">
        <f>'Lighting Deemed Table'!F26</f>
        <v>34.01</v>
      </c>
      <c r="J28" s="2084">
        <v>0</v>
      </c>
      <c r="K28" s="2113">
        <v>0</v>
      </c>
      <c r="L28" s="2113">
        <v>0</v>
      </c>
      <c r="M28" s="2113">
        <v>0</v>
      </c>
      <c r="N28" s="2113">
        <v>0</v>
      </c>
      <c r="O28" s="2085">
        <f>'Lighting Deemed Table'!G26</f>
        <v>5.2750000000000002E-3</v>
      </c>
      <c r="P28" s="2085">
        <v>0</v>
      </c>
      <c r="Q28" s="2086">
        <v>0</v>
      </c>
      <c r="R28" s="2086">
        <v>0</v>
      </c>
      <c r="S28" s="2086"/>
      <c r="T28" s="2086"/>
      <c r="U28" s="2087">
        <v>0</v>
      </c>
      <c r="V28" s="2087">
        <v>0</v>
      </c>
      <c r="W28" s="2087">
        <f t="shared" si="0"/>
        <v>5.2750000000000002E-3</v>
      </c>
      <c r="X28" s="2121">
        <f>'Lighting Deemed Table'!P26</f>
        <v>19</v>
      </c>
      <c r="Y28" s="2121"/>
      <c r="Z28" s="88">
        <f t="shared" si="1"/>
        <v>19</v>
      </c>
      <c r="AA28" s="2088">
        <f>'Lighting Deemed Table'!BB26</f>
        <v>22789.698492651452</v>
      </c>
      <c r="AB28" s="2916">
        <f>'Lighting Deemed Table'!R26</f>
        <v>9.9999999999999995E-7</v>
      </c>
      <c r="AC28" s="2089">
        <f t="shared" si="5"/>
        <v>19.922774901835432</v>
      </c>
      <c r="AD28" s="2089"/>
      <c r="AE28" s="2955">
        <f>'Lighting Deemed Table'!BD26</f>
        <v>19.922774901835432</v>
      </c>
      <c r="AF28" s="2956"/>
      <c r="AG28" s="2956"/>
      <c r="AH28" s="2956"/>
      <c r="AI28" s="2245" t="str">
        <f>'Lighting Deemed Table'!S26</f>
        <v xml:space="preserve">  per bulb</v>
      </c>
      <c r="AM28" s="2057">
        <f t="shared" si="2"/>
        <v>1.4925290000000001E-4</v>
      </c>
      <c r="AN28">
        <f t="shared" si="3"/>
        <v>5.0760911290000004E-3</v>
      </c>
      <c r="AO28" s="2050">
        <f t="shared" si="4"/>
        <v>-1.989088709999998E-4</v>
      </c>
      <c r="AS28" t="s">
        <v>784</v>
      </c>
      <c r="AT28" s="2058">
        <v>1.148238E-4</v>
      </c>
      <c r="AU28" t="s">
        <v>784</v>
      </c>
    </row>
    <row r="29" spans="2:47" x14ac:dyDescent="0.25">
      <c r="B29" s="2240" t="str">
        <f>'Lighting Deemed Table'!C27</f>
        <v>200950_2019_12_</v>
      </c>
      <c r="C29" s="208" t="str">
        <f>'Lighting Deemed Table'!H27</f>
        <v>Lighting RES</v>
      </c>
      <c r="D29" s="208"/>
      <c r="E29" s="208"/>
      <c r="F29" s="208"/>
      <c r="G29" s="208" t="str">
        <f>'Lighting Deemed Table'!E27</f>
        <v>LED - 10W (Halogen baseline) (750-1049 lumens) - Specialty Connected Light</v>
      </c>
      <c r="H29" s="622" t="str">
        <f>'Lighting Deemed Table'!D27</f>
        <v>Lighting</v>
      </c>
      <c r="I29" s="2084">
        <f>'Lighting Deemed Table'!F27</f>
        <v>29.22</v>
      </c>
      <c r="J29" s="2084">
        <v>0</v>
      </c>
      <c r="K29" s="2113">
        <v>0</v>
      </c>
      <c r="L29" s="2113">
        <v>0</v>
      </c>
      <c r="M29" s="2113">
        <v>0</v>
      </c>
      <c r="N29" s="2113">
        <v>0</v>
      </c>
      <c r="O29" s="2085">
        <f>'Lighting Deemed Table'!G27</f>
        <v>4.5319999999999996E-3</v>
      </c>
      <c r="P29" s="2085">
        <v>0</v>
      </c>
      <c r="Q29" s="2086">
        <v>0</v>
      </c>
      <c r="R29" s="2086">
        <v>0</v>
      </c>
      <c r="S29" s="2086"/>
      <c r="T29" s="2086"/>
      <c r="U29" s="2087">
        <v>0</v>
      </c>
      <c r="V29" s="2087">
        <v>0</v>
      </c>
      <c r="W29" s="2087">
        <f t="shared" si="0"/>
        <v>4.5319999999999996E-3</v>
      </c>
      <c r="X29" s="2121">
        <f>'Lighting Deemed Table'!P27</f>
        <v>19</v>
      </c>
      <c r="Y29" s="2121"/>
      <c r="Z29" s="88">
        <f t="shared" si="1"/>
        <v>19</v>
      </c>
      <c r="AA29" s="2088">
        <f>'Lighting Deemed Table'!BB27</f>
        <v>22790.840443543617</v>
      </c>
      <c r="AB29" s="2916">
        <f>'Lighting Deemed Table'!R27</f>
        <v>9.9999999999999995E-7</v>
      </c>
      <c r="AC29" s="2089">
        <f t="shared" si="5"/>
        <v>17.116832773643967</v>
      </c>
      <c r="AD29" s="2089"/>
      <c r="AE29" s="2955">
        <f>'Lighting Deemed Table'!BD27</f>
        <v>17.116832773643967</v>
      </c>
      <c r="AF29" s="2956"/>
      <c r="AG29" s="2956"/>
      <c r="AH29" s="2956"/>
      <c r="AI29" s="2245" t="str">
        <f>'Lighting Deemed Table'!S27</f>
        <v xml:space="preserve">  per bulb</v>
      </c>
      <c r="AM29" s="2057">
        <f t="shared" si="2"/>
        <v>1.4925290000000001E-4</v>
      </c>
      <c r="AN29">
        <f t="shared" si="3"/>
        <v>4.3611697380000003E-3</v>
      </c>
      <c r="AO29" s="2050">
        <f t="shared" si="4"/>
        <v>-1.7083026199999924E-4</v>
      </c>
      <c r="AS29" t="s">
        <v>754</v>
      </c>
      <c r="AT29" s="2058">
        <v>2.3544589999999999E-4</v>
      </c>
      <c r="AU29" t="s">
        <v>754</v>
      </c>
    </row>
    <row r="30" spans="2:47" x14ac:dyDescent="0.25">
      <c r="B30" s="2240" t="str">
        <f>'Lighting Deemed Table'!C28</f>
        <v>201000_2019_12_</v>
      </c>
      <c r="C30" s="208" t="str">
        <f>'Lighting Deemed Table'!H28</f>
        <v>Lighting RES</v>
      </c>
      <c r="D30" s="208"/>
      <c r="E30" s="208"/>
      <c r="F30" s="208"/>
      <c r="G30" s="208" t="str">
        <f>'Lighting Deemed Table'!E28</f>
        <v>LED - 15W (Halogen baseline) (1050-1489 lumens) - Specialty Connected Light</v>
      </c>
      <c r="H30" s="622" t="str">
        <f>'Lighting Deemed Table'!D28</f>
        <v>Lighting</v>
      </c>
      <c r="I30" s="2084">
        <f>'Lighting Deemed Table'!F28</f>
        <v>38.43</v>
      </c>
      <c r="J30" s="2084">
        <v>0</v>
      </c>
      <c r="K30" s="2113">
        <v>0</v>
      </c>
      <c r="L30" s="2113">
        <v>0</v>
      </c>
      <c r="M30" s="2113">
        <v>0</v>
      </c>
      <c r="N30" s="2113">
        <v>0</v>
      </c>
      <c r="O30" s="2085">
        <f>'Lighting Deemed Table'!G28</f>
        <v>5.96E-3</v>
      </c>
      <c r="P30" s="2085">
        <v>0</v>
      </c>
      <c r="Q30" s="2086">
        <v>0</v>
      </c>
      <c r="R30" s="2086">
        <v>0</v>
      </c>
      <c r="S30" s="2086"/>
      <c r="T30" s="2086"/>
      <c r="U30" s="2087">
        <v>0</v>
      </c>
      <c r="V30" s="2087">
        <v>0</v>
      </c>
      <c r="W30" s="2087">
        <f t="shared" si="0"/>
        <v>5.96E-3</v>
      </c>
      <c r="X30" s="2121">
        <f>'Lighting Deemed Table'!P28</f>
        <v>19</v>
      </c>
      <c r="Y30" s="2121"/>
      <c r="Z30" s="88">
        <f t="shared" si="1"/>
        <v>19</v>
      </c>
      <c r="AA30" s="2088">
        <f>'Lighting Deemed Table'!BB28</f>
        <v>22792.270713725044</v>
      </c>
      <c r="AB30" s="2916">
        <f>'Lighting Deemed Table'!R28</f>
        <v>9.9999999999999995E-7</v>
      </c>
      <c r="AC30" s="2089">
        <f t="shared" si="5"/>
        <v>22.511974109895199</v>
      </c>
      <c r="AD30" s="2089"/>
      <c r="AE30" s="2955">
        <f>'Lighting Deemed Table'!BD28</f>
        <v>22.511974109895199</v>
      </c>
      <c r="AF30" s="2956"/>
      <c r="AG30" s="2956"/>
      <c r="AH30" s="2956"/>
      <c r="AI30" s="2245" t="str">
        <f>'Lighting Deemed Table'!S28</f>
        <v xml:space="preserve">  per bulb</v>
      </c>
      <c r="AM30" s="2057">
        <f t="shared" si="2"/>
        <v>1.4925290000000001E-4</v>
      </c>
      <c r="AN30">
        <f t="shared" si="3"/>
        <v>5.7357889470000005E-3</v>
      </c>
      <c r="AO30" s="2050">
        <f t="shared" si="4"/>
        <v>-2.2421105299999956E-4</v>
      </c>
      <c r="AS30" t="s">
        <v>2037</v>
      </c>
      <c r="AT30" s="2058">
        <v>1.286107E-4</v>
      </c>
      <c r="AU30" t="s">
        <v>2037</v>
      </c>
    </row>
    <row r="31" spans="2:47" x14ac:dyDescent="0.25">
      <c r="B31" s="2240" t="str">
        <f>'Lighting Deemed Table'!C29</f>
        <v>201050_2019_12_</v>
      </c>
      <c r="C31" s="208" t="str">
        <f>'Lighting Deemed Table'!H29</f>
        <v>Lighting RES</v>
      </c>
      <c r="D31" s="208"/>
      <c r="E31" s="208"/>
      <c r="F31" s="208"/>
      <c r="G31" s="208" t="str">
        <f>'Lighting Deemed Table'!E29</f>
        <v>LED - 15W Flood Light PAR30 Bulb (Halogen baseline) - Specialty Connected Light</v>
      </c>
      <c r="H31" s="622" t="str">
        <f>'Lighting Deemed Table'!D29</f>
        <v>Lighting</v>
      </c>
      <c r="I31" s="2084">
        <f>'Lighting Deemed Table'!F29</f>
        <v>46.23</v>
      </c>
      <c r="J31" s="2084">
        <v>0</v>
      </c>
      <c r="K31" s="2113">
        <v>0</v>
      </c>
      <c r="L31" s="2113">
        <v>0</v>
      </c>
      <c r="M31" s="2113">
        <v>0</v>
      </c>
      <c r="N31" s="2113">
        <v>0</v>
      </c>
      <c r="O31" s="2085">
        <f>'Lighting Deemed Table'!G29</f>
        <v>7.169E-3</v>
      </c>
      <c r="P31" s="2085">
        <v>0</v>
      </c>
      <c r="Q31" s="2086">
        <v>0</v>
      </c>
      <c r="R31" s="2086">
        <v>0</v>
      </c>
      <c r="S31" s="2086"/>
      <c r="T31" s="2086"/>
      <c r="U31" s="2087">
        <v>0</v>
      </c>
      <c r="V31" s="2087">
        <v>0</v>
      </c>
      <c r="W31" s="2087">
        <f t="shared" si="0"/>
        <v>7.169E-3</v>
      </c>
      <c r="X31" s="2121">
        <f>'Lighting Deemed Table'!P29</f>
        <v>19</v>
      </c>
      <c r="Y31" s="2121"/>
      <c r="Z31" s="88">
        <f t="shared" si="1"/>
        <v>19</v>
      </c>
      <c r="AA31" s="2088">
        <f>'Lighting Deemed Table'!BB29</f>
        <v>22792.885497338782</v>
      </c>
      <c r="AB31" s="2916">
        <f>'Lighting Deemed Table'!R29</f>
        <v>9.9999999999999995E-7</v>
      </c>
      <c r="AC31" s="2089">
        <f t="shared" si="5"/>
        <v>27.081149182941839</v>
      </c>
      <c r="AD31" s="2089"/>
      <c r="AE31" s="2955">
        <f>'Lighting Deemed Table'!BD29</f>
        <v>27.081149182941839</v>
      </c>
      <c r="AF31" s="2956"/>
      <c r="AG31" s="2956"/>
      <c r="AH31" s="2956"/>
      <c r="AI31" s="2245" t="str">
        <f>'Lighting Deemed Table'!S29</f>
        <v xml:space="preserve">  per bulb</v>
      </c>
      <c r="AM31" s="2057">
        <f t="shared" si="2"/>
        <v>1.4925290000000001E-4</v>
      </c>
      <c r="AN31">
        <f t="shared" si="3"/>
        <v>6.8999615670000004E-3</v>
      </c>
      <c r="AO31" s="2050">
        <f t="shared" si="4"/>
        <v>-2.6903843299999966E-4</v>
      </c>
      <c r="AS31" t="s">
        <v>2039</v>
      </c>
      <c r="AT31" s="2058">
        <v>1.286107E-4</v>
      </c>
      <c r="AU31" t="s">
        <v>2039</v>
      </c>
    </row>
    <row r="32" spans="2:47" x14ac:dyDescent="0.25">
      <c r="B32" s="2240" t="str">
        <f>'Lighting Deemed Table'!C30</f>
        <v>201100_2019_12_</v>
      </c>
      <c r="C32" s="208" t="str">
        <f>'Lighting Deemed Table'!H30</f>
        <v>Lighting RES</v>
      </c>
      <c r="D32" s="208"/>
      <c r="E32" s="208"/>
      <c r="F32" s="208"/>
      <c r="G32" s="208" t="str">
        <f>'Lighting Deemed Table'!E30</f>
        <v>LED - 6W (Halogen baseline) (310-749 lumens)</v>
      </c>
      <c r="H32" s="622" t="str">
        <f>'Lighting Deemed Table'!D30</f>
        <v>Lighting</v>
      </c>
      <c r="I32" s="2084">
        <f>'Lighting Deemed Table'!F30</f>
        <v>21.61</v>
      </c>
      <c r="J32" s="2084">
        <v>0</v>
      </c>
      <c r="K32" s="2113">
        <v>0</v>
      </c>
      <c r="L32" s="2113">
        <v>0</v>
      </c>
      <c r="M32" s="2113">
        <v>0</v>
      </c>
      <c r="N32" s="2113">
        <v>0</v>
      </c>
      <c r="O32" s="2085">
        <f>'Lighting Deemed Table'!G30</f>
        <v>3.3509999999999998E-3</v>
      </c>
      <c r="P32" s="2085">
        <v>0</v>
      </c>
      <c r="Q32" s="2086">
        <v>0</v>
      </c>
      <c r="R32" s="2086">
        <v>0</v>
      </c>
      <c r="S32" s="2086"/>
      <c r="T32" s="2086"/>
      <c r="U32" s="2087">
        <v>0</v>
      </c>
      <c r="V32" s="2087">
        <v>0</v>
      </c>
      <c r="W32" s="2087">
        <f t="shared" si="0"/>
        <v>3.3509999999999998E-3</v>
      </c>
      <c r="X32" s="2121">
        <f>'Lighting Deemed Table'!P30</f>
        <v>19</v>
      </c>
      <c r="Y32" s="2121"/>
      <c r="Z32" s="88">
        <f t="shared" si="1"/>
        <v>19</v>
      </c>
      <c r="AA32" s="2088">
        <f>'Lighting Deemed Table'!BB30</f>
        <v>22791.213474589786</v>
      </c>
      <c r="AB32" s="2916">
        <f>'Lighting Deemed Table'!R30</f>
        <v>9.9999999999999995E-7</v>
      </c>
      <c r="AC32" s="2089">
        <f t="shared" si="5"/>
        <v>12.658958119043332</v>
      </c>
      <c r="AD32" s="2089"/>
      <c r="AE32" s="2955">
        <f>'Lighting Deemed Table'!BD30</f>
        <v>12.658958119043332</v>
      </c>
      <c r="AF32" s="2956"/>
      <c r="AG32" s="2956"/>
      <c r="AH32" s="2956"/>
      <c r="AI32" s="2245" t="str">
        <f>'Lighting Deemed Table'!S30</f>
        <v xml:space="preserve">  per bulb</v>
      </c>
      <c r="AM32" s="2057">
        <f t="shared" si="2"/>
        <v>1.4925290000000001E-4</v>
      </c>
      <c r="AN32">
        <f t="shared" si="3"/>
        <v>3.2253551690000003E-3</v>
      </c>
      <c r="AO32" s="2050">
        <f t="shared" si="4"/>
        <v>-1.2564483099999956E-4</v>
      </c>
      <c r="AS32" t="s">
        <v>622</v>
      </c>
      <c r="AT32" s="2058">
        <v>8.8731800000000003E-5</v>
      </c>
      <c r="AU32" t="s">
        <v>622</v>
      </c>
    </row>
    <row r="33" spans="2:46" x14ac:dyDescent="0.25">
      <c r="B33" s="2240" t="str">
        <f>'Efficient Products Deemed Table'!C7</f>
        <v>250050_2019_12_</v>
      </c>
      <c r="C33" s="208" t="str">
        <f>'Efficient Products Deemed Table'!G7</f>
        <v>Water Heating RES</v>
      </c>
      <c r="D33" s="208"/>
      <c r="E33" s="208"/>
      <c r="F33" s="208"/>
      <c r="G33" s="208" t="str">
        <f>'Efficient Products Deemed Table'!E7</f>
        <v>Heat Pump Hot Water Heater</v>
      </c>
      <c r="H33" s="208" t="str">
        <f>'Efficient Products Deemed Table'!D7</f>
        <v>Efficient Products</v>
      </c>
      <c r="I33" s="2084">
        <f>'Efficient Products Deemed Table'!F7</f>
        <v>2276.14</v>
      </c>
      <c r="J33" s="2084">
        <v>0</v>
      </c>
      <c r="K33" s="2113">
        <v>0</v>
      </c>
      <c r="L33" s="2113">
        <v>0</v>
      </c>
      <c r="M33" s="2113">
        <v>0</v>
      </c>
      <c r="N33" s="2113">
        <v>0</v>
      </c>
      <c r="O33" s="2085">
        <f>'Efficient Products Deemed Table'!L7</f>
        <v>0.20196600000000001</v>
      </c>
      <c r="P33" s="2085">
        <v>0</v>
      </c>
      <c r="Q33" s="2086">
        <v>0</v>
      </c>
      <c r="R33" s="2086">
        <v>0</v>
      </c>
      <c r="S33" s="2086"/>
      <c r="T33" s="2086"/>
      <c r="U33" s="2087">
        <v>0</v>
      </c>
      <c r="V33" s="2087">
        <f>O33</f>
        <v>0.20196600000000001</v>
      </c>
      <c r="W33" s="2087">
        <v>0</v>
      </c>
      <c r="X33" s="2121">
        <f>'Efficient Products Deemed Table'!M7</f>
        <v>13</v>
      </c>
      <c r="Y33" s="2121"/>
      <c r="Z33" s="88">
        <f t="shared" si="1"/>
        <v>13</v>
      </c>
      <c r="AA33" s="2088">
        <f>'Efficient Products Deemed Table'!BB7</f>
        <v>1.7840168446063165</v>
      </c>
      <c r="AB33" s="2916">
        <f>'Efficient Products Deemed Table'!N7</f>
        <v>588</v>
      </c>
      <c r="AC33" s="2090">
        <f t="shared" si="5"/>
        <v>990.09146260359978</v>
      </c>
      <c r="AD33" s="2090"/>
      <c r="AE33" s="2955">
        <f>'Efficient Products Deemed Table'!BD7</f>
        <v>990.09146260359978</v>
      </c>
      <c r="AF33" s="2956"/>
      <c r="AG33" s="2956"/>
      <c r="AH33" s="2956"/>
      <c r="AI33" s="2246" t="str">
        <f>'Efficient Products Deemed Table'!O7</f>
        <v>per measure</v>
      </c>
      <c r="AM33" s="2057">
        <f t="shared" si="2"/>
        <v>8.8731800000000003E-5</v>
      </c>
      <c r="AN33">
        <f t="shared" si="3"/>
        <v>0.20196599925199998</v>
      </c>
      <c r="AO33" s="2048">
        <f t="shared" si="4"/>
        <v>-7.4800002303199165E-10</v>
      </c>
    </row>
    <row r="34" spans="2:46" x14ac:dyDescent="0.25">
      <c r="B34" s="2240" t="str">
        <f>'Efficient Products Deemed Table'!C57</f>
        <v>250100_2019_12_</v>
      </c>
      <c r="C34" s="208" t="str">
        <f>'Efficient Products Deemed Table'!G57</f>
        <v>Cooling RES</v>
      </c>
      <c r="D34" s="208" t="str">
        <f>'Efficient Products Deemed Table'!G58</f>
        <v>Heating RES</v>
      </c>
      <c r="E34" s="208"/>
      <c r="F34" s="208"/>
      <c r="G34" s="208" t="str">
        <f>'Efficient Products Deemed Table'!E57</f>
        <v>Learning Thermostat - ASHP heating/cooling SF</v>
      </c>
      <c r="H34" s="208" t="str">
        <f>'Efficient Products Deemed Table'!D57</f>
        <v>Efficient Products</v>
      </c>
      <c r="I34" s="2091">
        <f>K34+L34</f>
        <v>735.69</v>
      </c>
      <c r="J34" s="1183">
        <f>M34+N34</f>
        <v>0</v>
      </c>
      <c r="K34" s="2113">
        <f>'Efficient Products Deemed Table'!F57</f>
        <v>185.21</v>
      </c>
      <c r="L34" s="2113">
        <f>'Efficient Products Deemed Table'!F58</f>
        <v>550.48</v>
      </c>
      <c r="M34" s="2113">
        <v>0</v>
      </c>
      <c r="N34" s="2113">
        <v>0</v>
      </c>
      <c r="O34" s="2092">
        <f>Q34+R34</f>
        <v>0.17547099999999999</v>
      </c>
      <c r="P34" s="2092">
        <f>S34+T34</f>
        <v>0</v>
      </c>
      <c r="Q34" s="2086">
        <f>'Efficient Products Deemed Table'!I57</f>
        <v>0.17547099999999999</v>
      </c>
      <c r="R34" s="2086">
        <v>0</v>
      </c>
      <c r="S34" s="2086"/>
      <c r="T34" s="2086"/>
      <c r="U34" s="2087">
        <v>0</v>
      </c>
      <c r="V34" s="2087">
        <f t="shared" ref="V34:V45" si="11">Q34</f>
        <v>0.17547099999999999</v>
      </c>
      <c r="W34" s="2087">
        <v>0</v>
      </c>
      <c r="X34" s="2121">
        <f>'Efficient Products Deemed Table'!J57</f>
        <v>10</v>
      </c>
      <c r="Y34" s="2121"/>
      <c r="Z34" s="88">
        <f t="shared" si="1"/>
        <v>10</v>
      </c>
      <c r="AA34" s="2088">
        <f>'Efficient Products Deemed Table'!BB57</f>
        <v>2.8762468713649043</v>
      </c>
      <c r="AB34" s="2916">
        <f>'Efficient Products Deemed Table'!K57</f>
        <v>125</v>
      </c>
      <c r="AC34" s="2090">
        <f t="shared" si="5"/>
        <v>339.34012168061633</v>
      </c>
      <c r="AD34" s="2090"/>
      <c r="AE34" s="2955">
        <f>'Efficient Products Deemed Table'!BD57</f>
        <v>189.75480552446626</v>
      </c>
      <c r="AF34" s="2956">
        <f>'Efficient Products Deemed Table'!BD58</f>
        <v>149.5853161561501</v>
      </c>
      <c r="AG34" s="2956"/>
      <c r="AH34" s="2956"/>
      <c r="AI34" s="2240" t="str">
        <f>'Efficient Products Deemed Table'!L57</f>
        <v>per measure</v>
      </c>
      <c r="AJ34" s="2062"/>
      <c r="AK34" s="2062"/>
      <c r="AL34" s="2062"/>
      <c r="AM34" s="2057">
        <f t="shared" si="2"/>
        <v>9.4741810000000004E-4</v>
      </c>
      <c r="AN34" s="132">
        <f t="shared" ref="AN34:AN45" si="12">AM34*K34</f>
        <v>0.17547130630100002</v>
      </c>
      <c r="AO34" s="2048">
        <f t="shared" si="4"/>
        <v>3.0630100003592453E-7</v>
      </c>
      <c r="AS34" s="1386" t="s">
        <v>2351</v>
      </c>
      <c r="AT34" s="1387"/>
    </row>
    <row r="35" spans="2:46" x14ac:dyDescent="0.25">
      <c r="B35" s="2240" t="str">
        <f>'Efficient Products Deemed Table'!C59</f>
        <v>250101_2019_12_</v>
      </c>
      <c r="C35" s="208" t="str">
        <f>'Efficient Products Deemed Table'!G59</f>
        <v>Cooling RES</v>
      </c>
      <c r="D35" s="208" t="str">
        <f>'Efficient Products Deemed Table'!G60</f>
        <v>Heating RES</v>
      </c>
      <c r="E35" s="208"/>
      <c r="F35" s="208"/>
      <c r="G35" s="208" t="str">
        <f>'Efficient Products Deemed Table'!E59</f>
        <v>Learning Thermostat - ASHP heating/cooling MF</v>
      </c>
      <c r="H35" s="208" t="str">
        <f>'Efficient Products Deemed Table'!D59</f>
        <v>Efficient Products</v>
      </c>
      <c r="I35" s="2091">
        <f t="shared" ref="I35:I45" si="13">K35+L35</f>
        <v>543.03</v>
      </c>
      <c r="J35" s="1183">
        <f t="shared" ref="J35:J45" si="14">M35+N35</f>
        <v>0</v>
      </c>
      <c r="K35" s="2113">
        <f>'Efficient Products Deemed Table'!F59</f>
        <v>185.21</v>
      </c>
      <c r="L35" s="2113">
        <f>'Efficient Products Deemed Table'!F60</f>
        <v>357.82</v>
      </c>
      <c r="M35" s="2113">
        <v>0</v>
      </c>
      <c r="N35" s="2113">
        <v>0</v>
      </c>
      <c r="O35" s="2092">
        <f t="shared" ref="O35:O45" si="15">Q35+R35</f>
        <v>0.17547099999999999</v>
      </c>
      <c r="P35" s="2092">
        <f t="shared" ref="P35:P45" si="16">S35+T35</f>
        <v>0</v>
      </c>
      <c r="Q35" s="2086">
        <f>'Efficient Products Deemed Table'!I59</f>
        <v>0.17547099999999999</v>
      </c>
      <c r="R35" s="2086">
        <v>0</v>
      </c>
      <c r="S35" s="2086"/>
      <c r="T35" s="2086"/>
      <c r="U35" s="2087">
        <v>0</v>
      </c>
      <c r="V35" s="2087">
        <f t="shared" si="11"/>
        <v>0.17547099999999999</v>
      </c>
      <c r="W35" s="2087">
        <v>0</v>
      </c>
      <c r="X35" s="2121">
        <f>'Efficient Products Deemed Table'!J59</f>
        <v>10</v>
      </c>
      <c r="Y35" s="2121"/>
      <c r="Z35" s="88">
        <f t="shared" si="1"/>
        <v>10</v>
      </c>
      <c r="AA35" s="2088">
        <f>'Efficient Products Deemed Table'!BB59</f>
        <v>2.4325054983409662</v>
      </c>
      <c r="AB35" s="2916">
        <f>'Efficient Products Deemed Table'!K59</f>
        <v>125</v>
      </c>
      <c r="AC35" s="2090">
        <f t="shared" si="5"/>
        <v>286.98743491516825</v>
      </c>
      <c r="AD35" s="2090"/>
      <c r="AE35" s="2955">
        <f>'Efficient Products Deemed Table'!BD59</f>
        <v>189.75480552446626</v>
      </c>
      <c r="AF35" s="2956">
        <f>'Efficient Products Deemed Table'!BD60</f>
        <v>97.232629390701987</v>
      </c>
      <c r="AG35" s="2956"/>
      <c r="AH35" s="2956"/>
      <c r="AI35" s="2240" t="str">
        <f>'Efficient Products Deemed Table'!L59</f>
        <v>per measure</v>
      </c>
      <c r="AJ35" s="2062"/>
      <c r="AK35" s="2062"/>
      <c r="AL35" s="2062"/>
      <c r="AM35" s="2057">
        <f t="shared" si="2"/>
        <v>9.4741810000000004E-4</v>
      </c>
      <c r="AN35" s="132">
        <f t="shared" si="12"/>
        <v>0.17547130630100002</v>
      </c>
      <c r="AO35" s="2048">
        <f t="shared" si="4"/>
        <v>3.0630100003592453E-7</v>
      </c>
      <c r="AS35" s="208" t="s">
        <v>355</v>
      </c>
      <c r="AT35" s="1388">
        <v>1.379439E-4</v>
      </c>
    </row>
    <row r="36" spans="2:46" x14ac:dyDescent="0.25">
      <c r="B36" s="2240" t="str">
        <f>'Efficient Products Deemed Table'!C61</f>
        <v>250102_2019_12_</v>
      </c>
      <c r="C36" s="208" t="str">
        <f>'Efficient Products Deemed Table'!G61</f>
        <v>Cooling RES</v>
      </c>
      <c r="D36" s="208" t="str">
        <f>'Efficient Products Deemed Table'!G62</f>
        <v>Heating RES</v>
      </c>
      <c r="E36" s="208"/>
      <c r="F36" s="208"/>
      <c r="G36" s="208" t="str">
        <f>'Efficient Products Deemed Table'!E61</f>
        <v>Learning Thermostat - ASHP heating/cooling MF_CompE</v>
      </c>
      <c r="H36" s="208" t="str">
        <f>'Efficient Products Deemed Table'!D61</f>
        <v>Efficient Products_CompE</v>
      </c>
      <c r="I36" s="2091">
        <f t="shared" si="13"/>
        <v>256.44</v>
      </c>
      <c r="J36" s="1183">
        <f t="shared" si="14"/>
        <v>0</v>
      </c>
      <c r="K36" s="2113">
        <f>'Efficient Products Deemed Table'!F61</f>
        <v>134.69999999999999</v>
      </c>
      <c r="L36" s="2113">
        <f>'Efficient Products Deemed Table'!F62</f>
        <v>121.74</v>
      </c>
      <c r="M36" s="2113">
        <v>0</v>
      </c>
      <c r="N36" s="2113">
        <v>0</v>
      </c>
      <c r="O36" s="2092">
        <f t="shared" si="15"/>
        <v>0.12761700000000001</v>
      </c>
      <c r="P36" s="2092">
        <f t="shared" si="16"/>
        <v>0</v>
      </c>
      <c r="Q36" s="2086">
        <f>'Efficient Products Deemed Table'!I61</f>
        <v>0.12761700000000001</v>
      </c>
      <c r="R36" s="2086">
        <v>0</v>
      </c>
      <c r="S36" s="2086"/>
      <c r="T36" s="2086"/>
      <c r="U36" s="2087">
        <v>0</v>
      </c>
      <c r="V36" s="2087">
        <f t="shared" si="11"/>
        <v>0.12761700000000001</v>
      </c>
      <c r="W36" s="2087">
        <v>0</v>
      </c>
      <c r="X36" s="2121">
        <f>'Efficient Products Deemed Table'!J61</f>
        <v>10</v>
      </c>
      <c r="Y36" s="2121"/>
      <c r="Z36" s="88">
        <f t="shared" si="1"/>
        <v>10</v>
      </c>
      <c r="AA36" s="2088">
        <f>'Efficient Products Deemed Table'!BB61</f>
        <v>1.4501293154874502</v>
      </c>
      <c r="AB36" s="2916">
        <f>'Efficient Products Deemed Table'!K61</f>
        <v>125</v>
      </c>
      <c r="AC36" s="2090">
        <f t="shared" si="5"/>
        <v>171.08651669271472</v>
      </c>
      <c r="AD36" s="2090"/>
      <c r="AE36" s="2955">
        <f>'Efficient Products Deemed Table'!BD61</f>
        <v>138.00535772445119</v>
      </c>
      <c r="AF36" s="2956">
        <f>'Efficient Products Deemed Table'!BD62</f>
        <v>33.081158968263537</v>
      </c>
      <c r="AG36" s="2956"/>
      <c r="AH36" s="2956"/>
      <c r="AI36" s="2240" t="str">
        <f>'Efficient Products Deemed Table'!L61</f>
        <v>per measure</v>
      </c>
      <c r="AJ36" s="2062"/>
      <c r="AK36" s="2062"/>
      <c r="AL36" s="2062"/>
      <c r="AM36" s="2057">
        <f t="shared" si="2"/>
        <v>9.4741810000000004E-4</v>
      </c>
      <c r="AN36" s="132">
        <f t="shared" si="12"/>
        <v>0.12761721806999998</v>
      </c>
      <c r="AO36" s="2048">
        <f t="shared" si="4"/>
        <v>2.1806999997431298E-7</v>
      </c>
      <c r="AS36" s="208" t="s">
        <v>2352</v>
      </c>
      <c r="AT36" s="1388">
        <v>4.4398300000000001E-4</v>
      </c>
    </row>
    <row r="37" spans="2:46" x14ac:dyDescent="0.25">
      <c r="B37" s="2240" t="str">
        <f>'Efficient Products Deemed Table'!C63</f>
        <v>250150_2019_12_</v>
      </c>
      <c r="C37" s="208" t="str">
        <f>'Efficient Products Deemed Table'!G63</f>
        <v>Cooling RES</v>
      </c>
      <c r="D37" s="208" t="str">
        <f>'Efficient Products Deemed Table'!G64</f>
        <v>Heating RES</v>
      </c>
      <c r="E37" s="208"/>
      <c r="F37" s="208"/>
      <c r="G37" s="208" t="str">
        <f>'Efficient Products Deemed Table'!E63</f>
        <v>Learning Thermostat - electric furnace heating / central AC MF</v>
      </c>
      <c r="H37" s="208" t="str">
        <f>'Efficient Products Deemed Table'!D63</f>
        <v>Efficient Products</v>
      </c>
      <c r="I37" s="2091">
        <f t="shared" si="13"/>
        <v>793.43000000000006</v>
      </c>
      <c r="J37" s="1183">
        <f t="shared" si="14"/>
        <v>0</v>
      </c>
      <c r="K37" s="2113">
        <f>'Efficient Products Deemed Table'!F63</f>
        <v>185.21</v>
      </c>
      <c r="L37" s="2113">
        <f>'Efficient Products Deemed Table'!F64</f>
        <v>608.22</v>
      </c>
      <c r="M37" s="2113">
        <v>0</v>
      </c>
      <c r="N37" s="2113">
        <v>0</v>
      </c>
      <c r="O37" s="2092">
        <f t="shared" si="15"/>
        <v>0.17547099999999999</v>
      </c>
      <c r="P37" s="2092">
        <f t="shared" si="16"/>
        <v>0</v>
      </c>
      <c r="Q37" s="2086">
        <f>'Efficient Products Deemed Table'!I63</f>
        <v>0.17547099999999999</v>
      </c>
      <c r="R37" s="2086">
        <v>0</v>
      </c>
      <c r="S37" s="2086"/>
      <c r="T37" s="2086"/>
      <c r="U37" s="2087">
        <v>0</v>
      </c>
      <c r="V37" s="2087">
        <f t="shared" si="11"/>
        <v>0.17547099999999999</v>
      </c>
      <c r="W37" s="2087">
        <v>0</v>
      </c>
      <c r="X37" s="2121">
        <f>'Efficient Products Deemed Table'!J63</f>
        <v>10</v>
      </c>
      <c r="Y37" s="2121"/>
      <c r="Z37" s="88">
        <f t="shared" si="1"/>
        <v>10</v>
      </c>
      <c r="AA37" s="2088">
        <f>'Efficient Products Deemed Table'!BB63</f>
        <v>3.0092356956065851</v>
      </c>
      <c r="AB37" s="2916">
        <f>'Efficient Products Deemed Table'!K63</f>
        <v>125</v>
      </c>
      <c r="AC37" s="2090">
        <f t="shared" si="5"/>
        <v>355.03016701351874</v>
      </c>
      <c r="AD37" s="2090"/>
      <c r="AE37" s="2955">
        <f>'Efficient Products Deemed Table'!BD63</f>
        <v>189.75480552446626</v>
      </c>
      <c r="AF37" s="2956">
        <f>'Efficient Products Deemed Table'!BD64</f>
        <v>165.2753614890525</v>
      </c>
      <c r="AG37" s="2956"/>
      <c r="AH37" s="2956"/>
      <c r="AI37" s="2240" t="str">
        <f>'Efficient Products Deemed Table'!L63</f>
        <v>per measure</v>
      </c>
      <c r="AJ37" s="2062"/>
      <c r="AK37" s="2062"/>
      <c r="AL37" s="2062"/>
      <c r="AM37" s="2057">
        <f t="shared" si="2"/>
        <v>9.4741810000000004E-4</v>
      </c>
      <c r="AN37" s="132">
        <f t="shared" si="12"/>
        <v>0.17547130630100002</v>
      </c>
      <c r="AO37" s="2048">
        <f t="shared" si="4"/>
        <v>3.0630100003592453E-7</v>
      </c>
      <c r="AS37" s="208" t="s">
        <v>209</v>
      </c>
      <c r="AT37" s="1388">
        <v>1.998949E-4</v>
      </c>
    </row>
    <row r="38" spans="2:46" x14ac:dyDescent="0.25">
      <c r="B38" s="2240" t="str">
        <f>'Efficient Products Deemed Table'!C65</f>
        <v>250151_2019_12_</v>
      </c>
      <c r="C38" s="208" t="str">
        <f>'Efficient Products Deemed Table'!G65</f>
        <v>Cooling RES</v>
      </c>
      <c r="D38" s="208" t="str">
        <f>'Efficient Products Deemed Table'!G66</f>
        <v>Heating RES</v>
      </c>
      <c r="E38" s="208"/>
      <c r="F38" s="208"/>
      <c r="G38" s="208" t="str">
        <f>'Efficient Products Deemed Table'!E65</f>
        <v>Learning Thermostat - electric furnace heating / central AC MF_CompE</v>
      </c>
      <c r="H38" s="208" t="str">
        <f>'Efficient Products Deemed Table'!D65</f>
        <v>Efficient Products_CompE</v>
      </c>
      <c r="I38" s="2091">
        <f t="shared" si="13"/>
        <v>341.64</v>
      </c>
      <c r="J38" s="1183">
        <f t="shared" si="14"/>
        <v>0</v>
      </c>
      <c r="K38" s="2113">
        <f>'Efficient Products Deemed Table'!F65</f>
        <v>134.69999999999999</v>
      </c>
      <c r="L38" s="2113">
        <f>'Efficient Products Deemed Table'!F66</f>
        <v>206.94</v>
      </c>
      <c r="M38" s="2113">
        <v>0</v>
      </c>
      <c r="N38" s="2113">
        <v>0</v>
      </c>
      <c r="O38" s="2092">
        <f t="shared" si="15"/>
        <v>0.12761700000000001</v>
      </c>
      <c r="P38" s="2092">
        <f t="shared" si="16"/>
        <v>0</v>
      </c>
      <c r="Q38" s="2086">
        <f>'Efficient Products Deemed Table'!I65</f>
        <v>0.12761700000000001</v>
      </c>
      <c r="R38" s="2086">
        <v>0</v>
      </c>
      <c r="S38" s="2086"/>
      <c r="T38" s="2086"/>
      <c r="U38" s="2087">
        <v>0</v>
      </c>
      <c r="V38" s="2087">
        <f t="shared" si="11"/>
        <v>0.12761700000000001</v>
      </c>
      <c r="W38" s="2087">
        <v>0</v>
      </c>
      <c r="X38" s="2121">
        <f>'Efficient Products Deemed Table'!J65</f>
        <v>10</v>
      </c>
      <c r="Y38" s="2121"/>
      <c r="Z38" s="88">
        <f t="shared" si="1"/>
        <v>10</v>
      </c>
      <c r="AA38" s="2088">
        <f>'Efficient Products Deemed Table'!BB65</f>
        <v>1.6463649896369339</v>
      </c>
      <c r="AB38" s="2916">
        <f>'Efficient Products Deemed Table'!K65</f>
        <v>125</v>
      </c>
      <c r="AC38" s="2090">
        <f t="shared" si="5"/>
        <v>194.23843671978926</v>
      </c>
      <c r="AD38" s="2090"/>
      <c r="AE38" s="2955">
        <f>'Efficient Products Deemed Table'!BD65</f>
        <v>138.00535772445119</v>
      </c>
      <c r="AF38" s="2956">
        <f>'Efficient Products Deemed Table'!BD66</f>
        <v>56.233078995338069</v>
      </c>
      <c r="AG38" s="2956"/>
      <c r="AH38" s="2956"/>
      <c r="AI38" s="2240" t="str">
        <f>'Efficient Products Deemed Table'!L65</f>
        <v>per measure</v>
      </c>
      <c r="AJ38" s="2062"/>
      <c r="AK38" s="2062"/>
      <c r="AL38" s="2062"/>
      <c r="AM38" s="2057">
        <f t="shared" si="2"/>
        <v>9.4741810000000004E-4</v>
      </c>
      <c r="AN38" s="132">
        <f t="shared" si="12"/>
        <v>0.12761721806999998</v>
      </c>
      <c r="AO38" s="2048">
        <f t="shared" si="4"/>
        <v>2.1806999997431298E-7</v>
      </c>
      <c r="AS38" s="208" t="s">
        <v>246</v>
      </c>
      <c r="AT38" s="1388">
        <v>9.1068400000000004E-4</v>
      </c>
    </row>
    <row r="39" spans="2:46" x14ac:dyDescent="0.25">
      <c r="B39" s="2240" t="str">
        <f>'Efficient Products Deemed Table'!C67</f>
        <v>250250_2019_12_</v>
      </c>
      <c r="C39" s="208" t="str">
        <f>'Efficient Products Deemed Table'!G67</f>
        <v>Cooling RES</v>
      </c>
      <c r="D39" s="208" t="str">
        <f>'Efficient Products Deemed Table'!G68</f>
        <v>Heating RES</v>
      </c>
      <c r="E39" s="208"/>
      <c r="F39" s="208"/>
      <c r="G39" s="208" t="str">
        <f>'Efficient Products Deemed Table'!E67</f>
        <v>Learning Thermostat - electric furnace heating / central AC SF</v>
      </c>
      <c r="H39" s="208" t="str">
        <f>'Efficient Products Deemed Table'!D67</f>
        <v>Efficient Products</v>
      </c>
      <c r="I39" s="2091">
        <f t="shared" si="13"/>
        <v>1120.93</v>
      </c>
      <c r="J39" s="1183">
        <f t="shared" si="14"/>
        <v>0</v>
      </c>
      <c r="K39" s="2113">
        <f>'Efficient Products Deemed Table'!F67</f>
        <v>185.21</v>
      </c>
      <c r="L39" s="2113">
        <f>'Efficient Products Deemed Table'!F68</f>
        <v>935.72</v>
      </c>
      <c r="M39" s="2113">
        <v>0</v>
      </c>
      <c r="N39" s="2113">
        <v>0</v>
      </c>
      <c r="O39" s="2092">
        <f t="shared" si="15"/>
        <v>0.17547099999999999</v>
      </c>
      <c r="P39" s="2092">
        <f t="shared" si="16"/>
        <v>0</v>
      </c>
      <c r="Q39" s="2086">
        <f>'Efficient Products Deemed Table'!I67</f>
        <v>0.17547099999999999</v>
      </c>
      <c r="R39" s="2086">
        <v>0</v>
      </c>
      <c r="S39" s="2086"/>
      <c r="T39" s="2086"/>
      <c r="U39" s="2087">
        <v>0</v>
      </c>
      <c r="V39" s="2087">
        <f t="shared" si="11"/>
        <v>0.17547099999999999</v>
      </c>
      <c r="W39" s="2087">
        <v>0</v>
      </c>
      <c r="X39" s="2121">
        <f>'Efficient Products Deemed Table'!J67</f>
        <v>10</v>
      </c>
      <c r="Y39" s="2121"/>
      <c r="Z39" s="88">
        <f t="shared" si="1"/>
        <v>10</v>
      </c>
      <c r="AA39" s="2088">
        <f>'Efficient Products Deemed Table'!BB67</f>
        <v>3.7635453585638143</v>
      </c>
      <c r="AB39" s="2916">
        <f>'Efficient Products Deemed Table'!K67</f>
        <v>125</v>
      </c>
      <c r="AC39" s="2090">
        <f t="shared" si="5"/>
        <v>444.02375631946836</v>
      </c>
      <c r="AD39" s="2090"/>
      <c r="AE39" s="2955">
        <f>'Efficient Products Deemed Table'!BD67</f>
        <v>189.75480552446626</v>
      </c>
      <c r="AF39" s="2956">
        <f>'Efficient Products Deemed Table'!BD68</f>
        <v>254.26895079500213</v>
      </c>
      <c r="AG39" s="2956"/>
      <c r="AH39" s="2956"/>
      <c r="AI39" s="2240" t="str">
        <f>'Efficient Products Deemed Table'!L67</f>
        <v>per measure</v>
      </c>
      <c r="AJ39" s="2062"/>
      <c r="AK39" s="2062"/>
      <c r="AL39" s="2062"/>
      <c r="AM39" s="2057">
        <f t="shared" si="2"/>
        <v>9.4741810000000004E-4</v>
      </c>
      <c r="AN39" s="132">
        <f t="shared" si="12"/>
        <v>0.17547130630100002</v>
      </c>
      <c r="AO39" s="2048">
        <f t="shared" si="4"/>
        <v>3.0630100003592453E-7</v>
      </c>
      <c r="AS39" s="208" t="s">
        <v>54</v>
      </c>
      <c r="AT39" s="1388">
        <v>5.6160000000000001E-6</v>
      </c>
    </row>
    <row r="40" spans="2:46" x14ac:dyDescent="0.25">
      <c r="B40" s="2240" t="str">
        <f>'Efficient Products Deemed Table'!C69</f>
        <v>250350_2019_12_</v>
      </c>
      <c r="C40" s="208" t="str">
        <f>'Efficient Products Deemed Table'!G69</f>
        <v>Cooling RES</v>
      </c>
      <c r="D40" s="208" t="str">
        <f>'Efficient Products Deemed Table'!G70</f>
        <v>Heating RES</v>
      </c>
      <c r="E40" s="208"/>
      <c r="F40" s="208"/>
      <c r="G40" s="208" t="str">
        <f>'Efficient Products Deemed Table'!E69</f>
        <v>Learning Thermostat - Gas Heated / central AC SF**</v>
      </c>
      <c r="H40" s="208" t="str">
        <f>'Efficient Products Deemed Table'!D69</f>
        <v>Efficient Products</v>
      </c>
      <c r="I40" s="2091">
        <f t="shared" si="13"/>
        <v>226.56</v>
      </c>
      <c r="J40" s="1183">
        <f t="shared" si="14"/>
        <v>0</v>
      </c>
      <c r="K40" s="2113">
        <f>'Efficient Products Deemed Table'!F69</f>
        <v>185.21</v>
      </c>
      <c r="L40" s="2113">
        <f>'Efficient Products Deemed Table'!F70</f>
        <v>41.35</v>
      </c>
      <c r="M40" s="2113">
        <v>0</v>
      </c>
      <c r="N40" s="2113">
        <v>0</v>
      </c>
      <c r="O40" s="2092">
        <f t="shared" si="15"/>
        <v>0.17547099999999999</v>
      </c>
      <c r="P40" s="2092">
        <f t="shared" si="16"/>
        <v>0</v>
      </c>
      <c r="Q40" s="2086">
        <f>'Efficient Products Deemed Table'!I69</f>
        <v>0.17547099999999999</v>
      </c>
      <c r="R40" s="2086">
        <v>0</v>
      </c>
      <c r="S40" s="2086"/>
      <c r="T40" s="2086"/>
      <c r="U40" s="2087">
        <v>0</v>
      </c>
      <c r="V40" s="2087">
        <f t="shared" si="11"/>
        <v>0.17547099999999999</v>
      </c>
      <c r="W40" s="2087">
        <v>0</v>
      </c>
      <c r="X40" s="2121">
        <f>'Efficient Products Deemed Table'!J69</f>
        <v>10</v>
      </c>
      <c r="Y40" s="2121"/>
      <c r="Z40" s="88">
        <f t="shared" si="1"/>
        <v>10</v>
      </c>
      <c r="AA40" s="2088">
        <f>'Efficient Products Deemed Table'!BB69</f>
        <v>1.7036005241850143</v>
      </c>
      <c r="AB40" s="2916">
        <f>'Efficient Products Deemed Table'!K69</f>
        <v>125</v>
      </c>
      <c r="AC40" s="2090">
        <f t="shared" si="5"/>
        <v>200.99109534981289</v>
      </c>
      <c r="AD40" s="2090"/>
      <c r="AE40" s="2955">
        <f>'Efficient Products Deemed Table'!BD69</f>
        <v>189.75480552446626</v>
      </c>
      <c r="AF40" s="2956">
        <f>'Efficient Products Deemed Table'!BD70</f>
        <v>11.236289825346619</v>
      </c>
      <c r="AG40" s="2956"/>
      <c r="AH40" s="2956"/>
      <c r="AI40" s="2240" t="str">
        <f>'Efficient Products Deemed Table'!L69</f>
        <v>per measure</v>
      </c>
      <c r="AJ40" s="2062"/>
      <c r="AK40" s="2062"/>
      <c r="AL40" s="2062"/>
      <c r="AM40" s="2057">
        <f t="shared" si="2"/>
        <v>9.4741810000000004E-4</v>
      </c>
      <c r="AN40" s="132">
        <f t="shared" si="12"/>
        <v>0.17547130630100002</v>
      </c>
      <c r="AO40" s="2048">
        <f t="shared" si="4"/>
        <v>3.0630100003592453E-7</v>
      </c>
      <c r="AS40" s="208" t="s">
        <v>247</v>
      </c>
      <c r="AT40" s="1388">
        <v>0</v>
      </c>
    </row>
    <row r="41" spans="2:46" x14ac:dyDescent="0.25">
      <c r="B41" s="2240" t="str">
        <f>'Efficient Products Deemed Table'!C71</f>
        <v>250351_2019_12_</v>
      </c>
      <c r="C41" s="208" t="str">
        <f>'Efficient Products Deemed Table'!G71</f>
        <v>Cooling RES</v>
      </c>
      <c r="D41" s="208" t="str">
        <f>'Efficient Products Deemed Table'!G72</f>
        <v>Heating RES</v>
      </c>
      <c r="E41" s="208"/>
      <c r="F41" s="208"/>
      <c r="G41" s="208" t="str">
        <f>'Efficient Products Deemed Table'!E71</f>
        <v>Learning Thermostat - Gas Heated / central AC MF**</v>
      </c>
      <c r="H41" s="208" t="str">
        <f>'Efficient Products Deemed Table'!D71</f>
        <v>Efficient Products</v>
      </c>
      <c r="I41" s="2091">
        <f t="shared" si="13"/>
        <v>212.09</v>
      </c>
      <c r="J41" s="1183">
        <f t="shared" si="14"/>
        <v>0</v>
      </c>
      <c r="K41" s="2113">
        <f>'Efficient Products Deemed Table'!F71</f>
        <v>185.21</v>
      </c>
      <c r="L41" s="2113">
        <f>'Efficient Products Deemed Table'!F72</f>
        <v>26.88</v>
      </c>
      <c r="M41" s="2113">
        <v>0</v>
      </c>
      <c r="N41" s="2113">
        <v>0</v>
      </c>
      <c r="O41" s="2092">
        <f t="shared" si="15"/>
        <v>0.17547099999999999</v>
      </c>
      <c r="P41" s="2092">
        <f t="shared" si="16"/>
        <v>0</v>
      </c>
      <c r="Q41" s="2086">
        <f>'Efficient Products Deemed Table'!I71</f>
        <v>0.17547099999999999</v>
      </c>
      <c r="R41" s="2086">
        <v>0</v>
      </c>
      <c r="S41" s="2086"/>
      <c r="T41" s="2086"/>
      <c r="U41" s="2087">
        <v>0</v>
      </c>
      <c r="V41" s="2087">
        <f t="shared" si="11"/>
        <v>0.17547099999999999</v>
      </c>
      <c r="W41" s="2087">
        <v>0</v>
      </c>
      <c r="X41" s="2121">
        <f>'Efficient Products Deemed Table'!J71</f>
        <v>10</v>
      </c>
      <c r="Y41" s="2121"/>
      <c r="Z41" s="88">
        <f t="shared" si="1"/>
        <v>10</v>
      </c>
      <c r="AA41" s="2088">
        <f>'Efficient Products Deemed Table'!BB71</f>
        <v>1.6702727048781711</v>
      </c>
      <c r="AB41" s="2916">
        <f>'Efficient Products Deemed Table'!K71</f>
        <v>125</v>
      </c>
      <c r="AC41" s="2090">
        <f t="shared" si="5"/>
        <v>197.05907325131795</v>
      </c>
      <c r="AD41" s="2090"/>
      <c r="AE41" s="2955">
        <f>'Efficient Products Deemed Table'!BD71</f>
        <v>189.75480552446626</v>
      </c>
      <c r="AF41" s="2956">
        <f>'Efficient Products Deemed Table'!BD72</f>
        <v>7.3042677268516831</v>
      </c>
      <c r="AG41" s="2956"/>
      <c r="AH41" s="2956"/>
      <c r="AI41" s="2240" t="str">
        <f>'Efficient Products Deemed Table'!L71</f>
        <v>per measure</v>
      </c>
      <c r="AJ41" s="2062"/>
      <c r="AK41" s="2062"/>
      <c r="AL41" s="2062"/>
      <c r="AM41" s="2057">
        <f t="shared" ref="AM41:AM72" si="17">VLOOKUP(C41,$AS$10:$AT$32,2,FALSE)</f>
        <v>9.4741810000000004E-4</v>
      </c>
      <c r="AN41" s="132">
        <f t="shared" si="12"/>
        <v>0.17547130630100002</v>
      </c>
      <c r="AO41" s="2048">
        <f t="shared" si="4"/>
        <v>3.0630100003592453E-7</v>
      </c>
      <c r="AS41" s="208" t="s">
        <v>258</v>
      </c>
      <c r="AT41" s="1388">
        <v>4.4398300000000001E-4</v>
      </c>
    </row>
    <row r="42" spans="2:46" x14ac:dyDescent="0.25">
      <c r="B42" s="2240" t="str">
        <f>'Efficient Products Deemed Table'!C73</f>
        <v>250352_2019_12_</v>
      </c>
      <c r="C42" s="208" t="str">
        <f>'Efficient Products Deemed Table'!G73</f>
        <v>Cooling RES</v>
      </c>
      <c r="D42" s="208" t="str">
        <f>'Efficient Products Deemed Table'!G74</f>
        <v>Heating RES</v>
      </c>
      <c r="E42" s="208"/>
      <c r="F42" s="208"/>
      <c r="G42" s="208" t="str">
        <f>'Efficient Products Deemed Table'!E73</f>
        <v>Learning Thermostat - Gas Heated / central AC MF_CompE**</v>
      </c>
      <c r="H42" s="208" t="str">
        <f>'Efficient Products Deemed Table'!D73</f>
        <v>Efficient Products_CompE</v>
      </c>
      <c r="I42" s="2091">
        <f t="shared" si="13"/>
        <v>161.57999999999998</v>
      </c>
      <c r="J42" s="1183">
        <f t="shared" si="14"/>
        <v>0</v>
      </c>
      <c r="K42" s="2113">
        <f>'Efficient Products Deemed Table'!F73</f>
        <v>134.69999999999999</v>
      </c>
      <c r="L42" s="2113">
        <f>'Efficient Products Deemed Table'!F74</f>
        <v>26.88</v>
      </c>
      <c r="M42" s="2113">
        <v>0</v>
      </c>
      <c r="N42" s="2113">
        <v>0</v>
      </c>
      <c r="O42" s="2092">
        <f t="shared" si="15"/>
        <v>0.12761700000000001</v>
      </c>
      <c r="P42" s="2092">
        <f t="shared" si="16"/>
        <v>0</v>
      </c>
      <c r="Q42" s="2086">
        <f>'Efficient Products Deemed Table'!I73</f>
        <v>0.12761700000000001</v>
      </c>
      <c r="R42" s="2086">
        <v>0</v>
      </c>
      <c r="S42" s="2086"/>
      <c r="T42" s="2086"/>
      <c r="U42" s="2087">
        <v>0</v>
      </c>
      <c r="V42" s="2087">
        <f t="shared" si="11"/>
        <v>0.12761700000000001</v>
      </c>
      <c r="W42" s="2087">
        <v>0</v>
      </c>
      <c r="X42" s="2121">
        <f>'Efficient Products Deemed Table'!J73</f>
        <v>10</v>
      </c>
      <c r="Y42" s="2121"/>
      <c r="Z42" s="88">
        <f t="shared" si="1"/>
        <v>10</v>
      </c>
      <c r="AA42" s="2088">
        <f>'Efficient Products Deemed Table'!BB73</f>
        <v>1.2316443853252432</v>
      </c>
      <c r="AB42" s="2916">
        <f>'Efficient Products Deemed Table'!K73</f>
        <v>125</v>
      </c>
      <c r="AC42" s="2090">
        <f t="shared" si="5"/>
        <v>145.30962545130288</v>
      </c>
      <c r="AD42" s="2090"/>
      <c r="AE42" s="2955">
        <f>'Efficient Products Deemed Table'!BD73</f>
        <v>138.00535772445119</v>
      </c>
      <c r="AF42" s="2956">
        <f>'Efficient Products Deemed Table'!BD74</f>
        <v>7.3042677268516831</v>
      </c>
      <c r="AG42" s="2956"/>
      <c r="AH42" s="2956"/>
      <c r="AI42" s="2240" t="str">
        <f>'Efficient Products Deemed Table'!L73</f>
        <v>per measure</v>
      </c>
      <c r="AJ42" s="2062"/>
      <c r="AK42" s="2062"/>
      <c r="AL42" s="2062"/>
      <c r="AM42" s="2057">
        <f t="shared" si="17"/>
        <v>9.4741810000000004E-4</v>
      </c>
      <c r="AN42" s="132">
        <f t="shared" si="12"/>
        <v>0.12761721806999998</v>
      </c>
      <c r="AO42" s="2048">
        <f t="shared" si="4"/>
        <v>2.1806999997431298E-7</v>
      </c>
      <c r="AS42" s="208" t="s">
        <v>36</v>
      </c>
      <c r="AT42" s="1388">
        <v>1.899635E-4</v>
      </c>
    </row>
    <row r="43" spans="2:46" x14ac:dyDescent="0.25">
      <c r="B43" s="2240" t="str">
        <f>'Efficient Products Deemed Table'!C75</f>
        <v>250450_2019_12_</v>
      </c>
      <c r="C43" s="208" t="str">
        <f>'Efficient Products Deemed Table'!G75</f>
        <v>Cooling RES</v>
      </c>
      <c r="D43" s="208" t="str">
        <f>'Efficient Products Deemed Table'!G76</f>
        <v>Heating RES</v>
      </c>
      <c r="E43" s="208"/>
      <c r="F43" s="208"/>
      <c r="G43" s="208" t="str">
        <f>'Efficient Products Deemed Table'!E75</f>
        <v>Learning Thermostat - Unknown SF**</v>
      </c>
      <c r="H43" s="208" t="str">
        <f>'Efficient Products Deemed Table'!D75</f>
        <v>Efficient Products</v>
      </c>
      <c r="I43" s="2091">
        <f t="shared" si="13"/>
        <v>343.77</v>
      </c>
      <c r="J43" s="1183">
        <f t="shared" si="14"/>
        <v>0</v>
      </c>
      <c r="K43" s="2113">
        <f>'Efficient Products Deemed Table'!F75</f>
        <v>185.21</v>
      </c>
      <c r="L43" s="2113">
        <f>'Efficient Products Deemed Table'!F76</f>
        <v>158.56</v>
      </c>
      <c r="M43" s="2113">
        <v>0</v>
      </c>
      <c r="N43" s="2113">
        <v>0</v>
      </c>
      <c r="O43" s="2092">
        <f t="shared" si="15"/>
        <v>0.17547099999999999</v>
      </c>
      <c r="P43" s="2092">
        <f t="shared" si="16"/>
        <v>0</v>
      </c>
      <c r="Q43" s="2086">
        <f>'Efficient Products Deemed Table'!I75</f>
        <v>0.17547099999999999</v>
      </c>
      <c r="R43" s="2086">
        <v>0</v>
      </c>
      <c r="S43" s="2086"/>
      <c r="T43" s="2086"/>
      <c r="U43" s="2087">
        <v>0</v>
      </c>
      <c r="V43" s="2087">
        <f t="shared" si="11"/>
        <v>0.17547099999999999</v>
      </c>
      <c r="W43" s="2087">
        <v>0</v>
      </c>
      <c r="X43" s="2121">
        <f>'Efficient Products Deemed Table'!J75</f>
        <v>10</v>
      </c>
      <c r="Y43" s="2121"/>
      <c r="Z43" s="88">
        <f t="shared" si="1"/>
        <v>10</v>
      </c>
      <c r="AA43" s="2088">
        <f>'Efficient Products Deemed Table'!BB75</f>
        <v>1.9735627702772793</v>
      </c>
      <c r="AB43" s="2916">
        <f>'Efficient Products Deemed Table'!K75</f>
        <v>125</v>
      </c>
      <c r="AC43" s="2090">
        <f t="shared" si="5"/>
        <v>232.84128955607352</v>
      </c>
      <c r="AD43" s="2090"/>
      <c r="AE43" s="2955">
        <f>'Efficient Products Deemed Table'!BD75</f>
        <v>189.75480552446626</v>
      </c>
      <c r="AF43" s="2956">
        <f>'Efficient Products Deemed Table'!BD76</f>
        <v>43.086484031607256</v>
      </c>
      <c r="AG43" s="2956"/>
      <c r="AH43" s="2956"/>
      <c r="AI43" s="2240" t="str">
        <f>'Efficient Products Deemed Table'!L75</f>
        <v>per measure</v>
      </c>
      <c r="AJ43" s="2062"/>
      <c r="AK43" s="2062"/>
      <c r="AL43" s="2062"/>
      <c r="AM43" s="2057">
        <f t="shared" si="17"/>
        <v>9.4741810000000004E-4</v>
      </c>
      <c r="AN43" s="132">
        <f t="shared" si="12"/>
        <v>0.17547130630100002</v>
      </c>
      <c r="AO43" s="2048">
        <f t="shared" si="4"/>
        <v>3.0630100003592453E-7</v>
      </c>
      <c r="AS43" s="208" t="s">
        <v>61</v>
      </c>
      <c r="AT43" s="1388">
        <v>1.379439E-4</v>
      </c>
    </row>
    <row r="44" spans="2:46" x14ac:dyDescent="0.25">
      <c r="B44" s="2240" t="str">
        <f>'Efficient Products Deemed Table'!C77</f>
        <v>250451_2019_12_</v>
      </c>
      <c r="C44" s="208" t="str">
        <f>'Efficient Products Deemed Table'!G77</f>
        <v>Cooling RES</v>
      </c>
      <c r="D44" s="208" t="str">
        <f>'Efficient Products Deemed Table'!G78</f>
        <v>Heating RES</v>
      </c>
      <c r="E44" s="208"/>
      <c r="F44" s="208"/>
      <c r="G44" s="208" t="str">
        <f>'Efficient Products Deemed Table'!E77</f>
        <v>Learning Thermostat - Unknown MF**</v>
      </c>
      <c r="H44" s="208" t="str">
        <f>'Efficient Products Deemed Table'!D77</f>
        <v>Efficient Products</v>
      </c>
      <c r="I44" s="2091">
        <f t="shared" si="13"/>
        <v>288.27</v>
      </c>
      <c r="J44" s="1183">
        <f t="shared" si="14"/>
        <v>0</v>
      </c>
      <c r="K44" s="2113">
        <f>'Efficient Products Deemed Table'!F77</f>
        <v>185.21</v>
      </c>
      <c r="L44" s="2113">
        <f>'Efficient Products Deemed Table'!F78</f>
        <v>103.06</v>
      </c>
      <c r="M44" s="2113">
        <v>0</v>
      </c>
      <c r="N44" s="2113">
        <v>0</v>
      </c>
      <c r="O44" s="2092">
        <f t="shared" si="15"/>
        <v>0.17547099999999999</v>
      </c>
      <c r="P44" s="2092">
        <f t="shared" si="16"/>
        <v>0</v>
      </c>
      <c r="Q44" s="2086">
        <f>'Efficient Products Deemed Table'!I77</f>
        <v>0.17547099999999999</v>
      </c>
      <c r="R44" s="2086">
        <v>0</v>
      </c>
      <c r="S44" s="2086"/>
      <c r="T44" s="2086"/>
      <c r="U44" s="2087">
        <v>0</v>
      </c>
      <c r="V44" s="2087">
        <f t="shared" si="11"/>
        <v>0.17547099999999999</v>
      </c>
      <c r="W44" s="2087">
        <v>0</v>
      </c>
      <c r="X44" s="2121">
        <f>'Efficient Products Deemed Table'!J77</f>
        <v>10</v>
      </c>
      <c r="Y44" s="2121"/>
      <c r="Z44" s="88">
        <f t="shared" si="1"/>
        <v>10</v>
      </c>
      <c r="AA44" s="2088">
        <f>'Efficient Products Deemed Table'!BB77</f>
        <v>1.8457331938066648</v>
      </c>
      <c r="AB44" s="2916">
        <f>'Efficient Products Deemed Table'!K77</f>
        <v>125</v>
      </c>
      <c r="AC44" s="2090">
        <f t="shared" si="5"/>
        <v>217.75993320040877</v>
      </c>
      <c r="AD44" s="2090"/>
      <c r="AE44" s="2955">
        <f>'Efficient Products Deemed Table'!BD77</f>
        <v>189.75480552446626</v>
      </c>
      <c r="AF44" s="2956">
        <f>'Efficient Products Deemed Table'!BD78</f>
        <v>28.005127675942504</v>
      </c>
      <c r="AG44" s="2956"/>
      <c r="AH44" s="2956"/>
      <c r="AI44" s="2240" t="str">
        <f>'Efficient Products Deemed Table'!L77</f>
        <v>per measure</v>
      </c>
      <c r="AJ44" s="2062"/>
      <c r="AK44" s="2062"/>
      <c r="AL44" s="2062"/>
      <c r="AM44" s="2057">
        <f t="shared" si="17"/>
        <v>9.4741810000000004E-4</v>
      </c>
      <c r="AN44" s="132">
        <f t="shared" si="12"/>
        <v>0.17547130630100002</v>
      </c>
      <c r="AO44" s="2048">
        <f t="shared" si="4"/>
        <v>3.0630100003592453E-7</v>
      </c>
      <c r="AS44" s="208" t="s">
        <v>200</v>
      </c>
      <c r="AT44" s="1388">
        <v>1.379439E-4</v>
      </c>
    </row>
    <row r="45" spans="2:46" x14ac:dyDescent="0.25">
      <c r="B45" s="2240" t="str">
        <f>'Efficient Products Deemed Table'!C79</f>
        <v>250452_2019_12_</v>
      </c>
      <c r="C45" s="208" t="str">
        <f>'Efficient Products Deemed Table'!G79</f>
        <v>Cooling RES</v>
      </c>
      <c r="D45" s="208" t="str">
        <f>'Efficient Products Deemed Table'!G80</f>
        <v>Heating RES</v>
      </c>
      <c r="E45" s="208"/>
      <c r="F45" s="208"/>
      <c r="G45" s="208" t="str">
        <f>'Efficient Products Deemed Table'!E79</f>
        <v>Learning Thermostat - Unknown MF_CompE**</v>
      </c>
      <c r="H45" s="208" t="str">
        <f>'Efficient Products Deemed Table'!D79</f>
        <v>Efficient Products_CompE</v>
      </c>
      <c r="I45" s="2091">
        <f t="shared" si="13"/>
        <v>184.58999999999997</v>
      </c>
      <c r="J45" s="1183">
        <f t="shared" si="14"/>
        <v>0</v>
      </c>
      <c r="K45" s="2113">
        <f>'Efficient Products Deemed Table'!F79</f>
        <v>134.69999999999999</v>
      </c>
      <c r="L45" s="2113">
        <f>'Efficient Products Deemed Table'!F80</f>
        <v>49.89</v>
      </c>
      <c r="M45" s="2113">
        <v>0</v>
      </c>
      <c r="N45" s="2113">
        <v>0</v>
      </c>
      <c r="O45" s="2092">
        <f t="shared" si="15"/>
        <v>0.12761700000000001</v>
      </c>
      <c r="P45" s="2092">
        <f t="shared" si="16"/>
        <v>0</v>
      </c>
      <c r="Q45" s="2086">
        <f>'Efficient Products Deemed Table'!I79</f>
        <v>0.12761700000000001</v>
      </c>
      <c r="R45" s="2086">
        <v>0</v>
      </c>
      <c r="S45" s="2086"/>
      <c r="T45" s="2086"/>
      <c r="U45" s="2087">
        <v>0</v>
      </c>
      <c r="V45" s="2087">
        <f t="shared" si="11"/>
        <v>0.12761700000000001</v>
      </c>
      <c r="W45" s="2087">
        <v>0</v>
      </c>
      <c r="X45" s="2121">
        <f>'Efficient Products Deemed Table'!J79</f>
        <v>10</v>
      </c>
      <c r="Y45" s="2121"/>
      <c r="Z45" s="88">
        <f t="shared" si="1"/>
        <v>10</v>
      </c>
      <c r="AA45" s="2088">
        <f>'Efficient Products Deemed Table'!BB79</f>
        <v>1.2846418367592762</v>
      </c>
      <c r="AB45" s="2916">
        <f>'Efficient Products Deemed Table'!K79</f>
        <v>125</v>
      </c>
      <c r="AC45" s="2090">
        <f t="shared" si="5"/>
        <v>151.5622742755163</v>
      </c>
      <c r="AD45" s="2090"/>
      <c r="AE45" s="2955">
        <f>'Efficient Products Deemed Table'!BD79</f>
        <v>138.00535772445119</v>
      </c>
      <c r="AF45" s="2956">
        <f>'Efficient Products Deemed Table'!BD80</f>
        <v>13.556916551065122</v>
      </c>
      <c r="AG45" s="2956"/>
      <c r="AH45" s="2956"/>
      <c r="AI45" s="2240" t="str">
        <f>'Efficient Products Deemed Table'!L79</f>
        <v>per measure</v>
      </c>
      <c r="AJ45" s="2062"/>
      <c r="AK45" s="2062"/>
      <c r="AL45" s="2062"/>
      <c r="AM45" s="2057">
        <f t="shared" si="17"/>
        <v>9.4741810000000004E-4</v>
      </c>
      <c r="AN45" s="132">
        <f t="shared" si="12"/>
        <v>0.12761721806999998</v>
      </c>
      <c r="AO45" s="2048">
        <f t="shared" si="4"/>
        <v>2.1806999997431298E-7</v>
      </c>
      <c r="AS45" s="208" t="s">
        <v>2353</v>
      </c>
      <c r="AT45" s="1388">
        <v>1.379439E-4</v>
      </c>
    </row>
    <row r="46" spans="2:46" x14ac:dyDescent="0.25">
      <c r="B46" s="2240" t="str">
        <f>'Efficient Products Deemed Table'!C172</f>
        <v>250500_2019_12_</v>
      </c>
      <c r="C46" s="208" t="str">
        <f>'Efficient Products Deemed Table'!G172</f>
        <v>Pool Spa RES</v>
      </c>
      <c r="D46" s="208"/>
      <c r="E46" s="208"/>
      <c r="F46" s="208"/>
      <c r="G46" s="208" t="str">
        <f>'Efficient Products Deemed Table'!E172</f>
        <v>ENERGY STAR Pool Pump and motor w auto controls - multi speed</v>
      </c>
      <c r="H46" s="208" t="str">
        <f>'Efficient Products Deemed Table'!D172</f>
        <v>Efficient Products</v>
      </c>
      <c r="I46" s="2084">
        <f>'Efficient Products Deemed Table'!F172</f>
        <v>1799.73</v>
      </c>
      <c r="J46" s="2084">
        <v>0</v>
      </c>
      <c r="K46" s="2113">
        <v>0</v>
      </c>
      <c r="L46" s="2113">
        <v>0</v>
      </c>
      <c r="M46" s="2113">
        <v>0</v>
      </c>
      <c r="N46" s="2113">
        <v>0</v>
      </c>
      <c r="O46" s="2085">
        <f>'Efficient Products Deemed Table'!I172</f>
        <v>0.42373899999999998</v>
      </c>
      <c r="P46" s="2085">
        <v>0</v>
      </c>
      <c r="Q46" s="2086">
        <v>0</v>
      </c>
      <c r="R46" s="2086">
        <v>0</v>
      </c>
      <c r="S46" s="2086"/>
      <c r="T46" s="2086"/>
      <c r="U46" s="2087">
        <v>0</v>
      </c>
      <c r="V46" s="2087">
        <f t="shared" ref="V46:V56" si="18">O46</f>
        <v>0.42373899999999998</v>
      </c>
      <c r="W46" s="2087">
        <v>0</v>
      </c>
      <c r="X46" s="2121">
        <f>'Efficient Products Deemed Table'!J172</f>
        <v>10</v>
      </c>
      <c r="Y46" s="2121"/>
      <c r="Z46" s="88">
        <f t="shared" si="1"/>
        <v>10</v>
      </c>
      <c r="AA46" s="2088">
        <f>'Efficient Products Deemed Table'!BB172</f>
        <v>3.3867195659400693</v>
      </c>
      <c r="AB46" s="2916">
        <f>'Efficient Products Deemed Table'!K172</f>
        <v>235</v>
      </c>
      <c r="AC46" s="2090">
        <f t="shared" si="5"/>
        <v>751.18366965164341</v>
      </c>
      <c r="AD46" s="2090"/>
      <c r="AE46" s="2955">
        <f>'Efficient Products Deemed Table'!BD172</f>
        <v>751.18366965164341</v>
      </c>
      <c r="AF46" s="2956"/>
      <c r="AG46" s="2956"/>
      <c r="AH46" s="2956"/>
      <c r="AI46" s="2240" t="str">
        <f>'Efficient Products Deemed Table'!L172</f>
        <v>per measure</v>
      </c>
      <c r="AM46" s="2057">
        <f t="shared" si="17"/>
        <v>2.3544589999999999E-4</v>
      </c>
      <c r="AN46">
        <f t="shared" ref="AN46:AN93" si="19">AM46*I46</f>
        <v>0.42373904960699998</v>
      </c>
      <c r="AO46" s="2048">
        <f t="shared" si="4"/>
        <v>4.9607000007778623E-8</v>
      </c>
      <c r="AS46" s="208" t="s">
        <v>83</v>
      </c>
      <c r="AT46" s="1388">
        <v>1.3573829999999999E-4</v>
      </c>
    </row>
    <row r="47" spans="2:46" x14ac:dyDescent="0.25">
      <c r="B47" s="2240" t="str">
        <f>'Efficient Products Deemed Table'!C173</f>
        <v>250550_2019_12_</v>
      </c>
      <c r="C47" s="208" t="str">
        <f>'Efficient Products Deemed Table'!G173</f>
        <v>Pool Spa RES</v>
      </c>
      <c r="D47" s="208"/>
      <c r="E47" s="208"/>
      <c r="F47" s="208"/>
      <c r="G47" s="208" t="str">
        <f>'Efficient Products Deemed Table'!E173</f>
        <v>ENERGY STAR VFDs on Residential Swimming Pool Pumps</v>
      </c>
      <c r="H47" s="208" t="str">
        <f>'Efficient Products Deemed Table'!D173</f>
        <v>Efficient Products</v>
      </c>
      <c r="I47" s="2084">
        <f>'Efficient Products Deemed Table'!F173</f>
        <v>2052.85</v>
      </c>
      <c r="J47" s="2084">
        <v>0</v>
      </c>
      <c r="K47" s="2113">
        <v>0</v>
      </c>
      <c r="L47" s="2113">
        <v>0</v>
      </c>
      <c r="M47" s="2113">
        <v>0</v>
      </c>
      <c r="N47" s="2113">
        <v>0</v>
      </c>
      <c r="O47" s="2085">
        <f>'Efficient Products Deemed Table'!I173</f>
        <v>0.48333500000000001</v>
      </c>
      <c r="P47" s="2085">
        <v>0</v>
      </c>
      <c r="Q47" s="2086">
        <v>0</v>
      </c>
      <c r="R47" s="2086">
        <v>0</v>
      </c>
      <c r="S47" s="2086"/>
      <c r="T47" s="2086"/>
      <c r="U47" s="2087">
        <v>0</v>
      </c>
      <c r="V47" s="2087">
        <f t="shared" si="18"/>
        <v>0.48333500000000001</v>
      </c>
      <c r="W47" s="2087">
        <v>0</v>
      </c>
      <c r="X47" s="2121">
        <f>'Efficient Products Deemed Table'!J173</f>
        <v>10</v>
      </c>
      <c r="Y47" s="2121"/>
      <c r="Z47" s="88">
        <f t="shared" si="1"/>
        <v>10</v>
      </c>
      <c r="AA47" s="2088">
        <f>'Efficient Products Deemed Table'!BB173</f>
        <v>1.6535777334024884</v>
      </c>
      <c r="AB47" s="2916">
        <f>'Efficient Products Deemed Table'!K173</f>
        <v>549</v>
      </c>
      <c r="AC47" s="2090">
        <f t="shared" si="5"/>
        <v>856.8326339197414</v>
      </c>
      <c r="AD47" s="2090"/>
      <c r="AE47" s="2955">
        <f>'Efficient Products Deemed Table'!BD173</f>
        <v>856.8326339197414</v>
      </c>
      <c r="AF47" s="2956"/>
      <c r="AG47" s="2956"/>
      <c r="AH47" s="2956"/>
      <c r="AI47" s="2240" t="str">
        <f>'Efficient Products Deemed Table'!L173</f>
        <v>per measure</v>
      </c>
      <c r="AM47" s="2057">
        <f t="shared" si="17"/>
        <v>2.3544589999999999E-4</v>
      </c>
      <c r="AN47">
        <f t="shared" si="19"/>
        <v>0.48333511581499994</v>
      </c>
      <c r="AO47" s="2048">
        <f t="shared" si="4"/>
        <v>1.1581499992363575E-7</v>
      </c>
      <c r="AS47" s="208" t="s">
        <v>161</v>
      </c>
      <c r="AT47" s="1388">
        <v>1.811545E-4</v>
      </c>
    </row>
    <row r="48" spans="2:46" x14ac:dyDescent="0.25">
      <c r="B48" s="2240" t="str">
        <f>'Efficient Products Deemed Table'!C208</f>
        <v>250600_2019_12_</v>
      </c>
      <c r="C48" s="208" t="str">
        <f>'Efficient Products Deemed Table'!G208</f>
        <v>Miscellaneous RES</v>
      </c>
      <c r="D48" s="208"/>
      <c r="E48" s="208"/>
      <c r="F48" s="208"/>
      <c r="G48" s="208" t="str">
        <f>'Efficient Products Deemed Table'!E208</f>
        <v>Advanced Tier 2 Power Strips  -  A</v>
      </c>
      <c r="H48" s="208" t="str">
        <f>'Efficient Products Deemed Table'!D208</f>
        <v>Efficient Products</v>
      </c>
      <c r="I48" s="2084">
        <f>'Efficient Products Deemed Table'!F208</f>
        <v>237.6</v>
      </c>
      <c r="J48" s="2084">
        <v>0</v>
      </c>
      <c r="K48" s="2113">
        <v>0</v>
      </c>
      <c r="L48" s="2113">
        <v>0</v>
      </c>
      <c r="M48" s="2113">
        <v>0</v>
      </c>
      <c r="N48" s="2113">
        <v>0</v>
      </c>
      <c r="O48" s="2085">
        <f>'Efficient Products Deemed Table'!I208</f>
        <v>2.7282000000000001E-2</v>
      </c>
      <c r="P48" s="2085">
        <v>0</v>
      </c>
      <c r="Q48" s="2086">
        <v>0</v>
      </c>
      <c r="R48" s="2086">
        <v>0</v>
      </c>
      <c r="S48" s="2086"/>
      <c r="T48" s="2086"/>
      <c r="U48" s="2087">
        <v>0</v>
      </c>
      <c r="V48" s="2087">
        <f t="shared" si="18"/>
        <v>2.7282000000000001E-2</v>
      </c>
      <c r="W48" s="2087">
        <v>0</v>
      </c>
      <c r="X48" s="2121">
        <f>'Efficient Products Deemed Table'!J208</f>
        <v>10</v>
      </c>
      <c r="Y48" s="2121"/>
      <c r="Z48" s="88">
        <f t="shared" si="1"/>
        <v>10</v>
      </c>
      <c r="AA48" s="2088">
        <f>'Efficient Products Deemed Table'!BB208</f>
        <v>2.8935964717891705</v>
      </c>
      <c r="AB48" s="2916">
        <f>'Efficient Products Deemed Table'!K208</f>
        <v>30</v>
      </c>
      <c r="AC48" s="2090">
        <f t="shared" si="5"/>
        <v>81.932887355993486</v>
      </c>
      <c r="AD48" s="2090"/>
      <c r="AE48" s="2955">
        <f>'Efficient Products Deemed Table'!BD208</f>
        <v>81.932887355993486</v>
      </c>
      <c r="AF48" s="2956"/>
      <c r="AG48" s="2956"/>
      <c r="AH48" s="2956"/>
      <c r="AI48" s="2240" t="str">
        <f>'Efficient Products Deemed Table'!L208</f>
        <v>per measure</v>
      </c>
      <c r="AM48" s="2057">
        <f t="shared" si="17"/>
        <v>1.148238E-4</v>
      </c>
      <c r="AN48">
        <f t="shared" si="19"/>
        <v>2.728213488E-2</v>
      </c>
      <c r="AO48" s="2048">
        <f t="shared" si="4"/>
        <v>1.348799999988104E-7</v>
      </c>
    </row>
    <row r="49" spans="2:41" x14ac:dyDescent="0.25">
      <c r="B49" s="2240" t="str">
        <f>'Efficient Products Deemed Table'!C209</f>
        <v>250650_2019_12_</v>
      </c>
      <c r="C49" s="208" t="str">
        <f>'Efficient Products Deemed Table'!G209</f>
        <v>Miscellaneous RES</v>
      </c>
      <c r="D49" s="208"/>
      <c r="E49" s="208"/>
      <c r="F49" s="208"/>
      <c r="G49" s="208" t="str">
        <f>'Efficient Products Deemed Table'!E209</f>
        <v>Advanced Tier 2 Power Strips -  B</v>
      </c>
      <c r="H49" s="208" t="str">
        <f>'Efficient Products Deemed Table'!D209</f>
        <v>Efficient Products</v>
      </c>
      <c r="I49" s="2084">
        <f>'Efficient Products Deemed Table'!F209</f>
        <v>216</v>
      </c>
      <c r="J49" s="2084">
        <v>0</v>
      </c>
      <c r="K49" s="2113">
        <v>0</v>
      </c>
      <c r="L49" s="2113">
        <v>0</v>
      </c>
      <c r="M49" s="2113">
        <v>0</v>
      </c>
      <c r="N49" s="2113">
        <v>0</v>
      </c>
      <c r="O49" s="2085">
        <f>'Efficient Products Deemed Table'!I209</f>
        <v>2.4802000000000001E-2</v>
      </c>
      <c r="P49" s="2085">
        <v>0</v>
      </c>
      <c r="Q49" s="2086">
        <v>0</v>
      </c>
      <c r="R49" s="2086">
        <v>0</v>
      </c>
      <c r="S49" s="2086"/>
      <c r="T49" s="2086"/>
      <c r="U49" s="2087">
        <v>0</v>
      </c>
      <c r="V49" s="2087">
        <f t="shared" si="18"/>
        <v>2.4802000000000001E-2</v>
      </c>
      <c r="W49" s="2087">
        <v>0</v>
      </c>
      <c r="X49" s="2121">
        <f>'Efficient Products Deemed Table'!J209</f>
        <v>10</v>
      </c>
      <c r="Y49" s="2121"/>
      <c r="Z49" s="88">
        <f t="shared" si="1"/>
        <v>10</v>
      </c>
      <c r="AA49" s="2088">
        <f>'Efficient Products Deemed Table'!BB209</f>
        <v>2.6305422470810638</v>
      </c>
      <c r="AB49" s="2916">
        <f>'Efficient Products Deemed Table'!K209</f>
        <v>30</v>
      </c>
      <c r="AC49" s="2090">
        <f t="shared" si="5"/>
        <v>74.484443050903167</v>
      </c>
      <c r="AD49" s="2090"/>
      <c r="AE49" s="2955">
        <f>'Efficient Products Deemed Table'!BD209</f>
        <v>74.484443050903167</v>
      </c>
      <c r="AF49" s="2956"/>
      <c r="AG49" s="2956"/>
      <c r="AH49" s="2956"/>
      <c r="AI49" s="2240" t="str">
        <f>'Efficient Products Deemed Table'!L209</f>
        <v>per measure</v>
      </c>
      <c r="AM49" s="2057">
        <f t="shared" si="17"/>
        <v>1.148238E-4</v>
      </c>
      <c r="AN49">
        <f t="shared" si="19"/>
        <v>2.4801940799999998E-2</v>
      </c>
      <c r="AO49" s="2048">
        <f t="shared" si="4"/>
        <v>-5.9200000002840314E-8</v>
      </c>
    </row>
    <row r="50" spans="2:41" x14ac:dyDescent="0.25">
      <c r="B50" s="2240" t="str">
        <f>'Efficient Products Deemed Table'!C210</f>
        <v>250700_2019_12_</v>
      </c>
      <c r="C50" s="208" t="str">
        <f>'Efficient Products Deemed Table'!G210</f>
        <v>Miscellaneous RES</v>
      </c>
      <c r="D50" s="208"/>
      <c r="E50" s="208"/>
      <c r="F50" s="208"/>
      <c r="G50" s="208" t="str">
        <f>'Efficient Products Deemed Table'!E210</f>
        <v>Advanced Tier 2 Power Strips -  C</v>
      </c>
      <c r="H50" s="208" t="str">
        <f>'Efficient Products Deemed Table'!D210</f>
        <v>Efficient Products</v>
      </c>
      <c r="I50" s="2084">
        <f>'Efficient Products Deemed Table'!F210</f>
        <v>194.4</v>
      </c>
      <c r="J50" s="2084">
        <v>0</v>
      </c>
      <c r="K50" s="2113">
        <v>0</v>
      </c>
      <c r="L50" s="2113">
        <v>0</v>
      </c>
      <c r="M50" s="2113">
        <v>0</v>
      </c>
      <c r="N50" s="2113">
        <v>0</v>
      </c>
      <c r="O50" s="2085">
        <f>'Efficient Products Deemed Table'!I210</f>
        <v>2.2322000000000002E-2</v>
      </c>
      <c r="P50" s="2085">
        <v>0</v>
      </c>
      <c r="Q50" s="2086">
        <v>0</v>
      </c>
      <c r="R50" s="2086">
        <v>0</v>
      </c>
      <c r="S50" s="2086"/>
      <c r="T50" s="2086"/>
      <c r="U50" s="2087">
        <v>0</v>
      </c>
      <c r="V50" s="2087">
        <f t="shared" si="18"/>
        <v>2.2322000000000002E-2</v>
      </c>
      <c r="W50" s="2087">
        <v>0</v>
      </c>
      <c r="X50" s="2121">
        <f>'Efficient Products Deemed Table'!J210</f>
        <v>10</v>
      </c>
      <c r="Y50" s="2121"/>
      <c r="Z50" s="88">
        <f t="shared" si="1"/>
        <v>10</v>
      </c>
      <c r="AA50" s="2088">
        <f>'Efficient Products Deemed Table'!BB210</f>
        <v>2.3674880223729571</v>
      </c>
      <c r="AB50" s="2916">
        <f>'Efficient Products Deemed Table'!K210</f>
        <v>30</v>
      </c>
      <c r="AC50" s="2090">
        <f t="shared" si="5"/>
        <v>67.035998745812847</v>
      </c>
      <c r="AD50" s="2090"/>
      <c r="AE50" s="2955">
        <f>'Efficient Products Deemed Table'!BD210</f>
        <v>67.035998745812847</v>
      </c>
      <c r="AF50" s="2956"/>
      <c r="AG50" s="2956"/>
      <c r="AH50" s="2956"/>
      <c r="AI50" s="2240" t="str">
        <f>'Efficient Products Deemed Table'!L210</f>
        <v>per measure</v>
      </c>
      <c r="AM50" s="2057">
        <f t="shared" si="17"/>
        <v>1.148238E-4</v>
      </c>
      <c r="AN50">
        <f t="shared" si="19"/>
        <v>2.2321746720000001E-2</v>
      </c>
      <c r="AO50" s="2048">
        <f t="shared" si="4"/>
        <v>-2.5328000000102158E-7</v>
      </c>
    </row>
    <row r="51" spans="2:41" x14ac:dyDescent="0.25">
      <c r="B51" s="2240" t="str">
        <f>'Efficient Products Deemed Table'!C211</f>
        <v>250750_2019_12_</v>
      </c>
      <c r="C51" s="208" t="str">
        <f>'Efficient Products Deemed Table'!G211</f>
        <v>Miscellaneous RES</v>
      </c>
      <c r="D51" s="208"/>
      <c r="E51" s="208"/>
      <c r="F51" s="208"/>
      <c r="G51" s="208" t="str">
        <f>'Efficient Products Deemed Table'!E211</f>
        <v>Advanced Tier 2 Power Strips -  D</v>
      </c>
      <c r="H51" s="208" t="str">
        <f>'Efficient Products Deemed Table'!D211</f>
        <v>Efficient Products</v>
      </c>
      <c r="I51" s="2084">
        <f>'Efficient Products Deemed Table'!F211</f>
        <v>172.8</v>
      </c>
      <c r="J51" s="2084">
        <v>0</v>
      </c>
      <c r="K51" s="2113">
        <v>0</v>
      </c>
      <c r="L51" s="2113">
        <v>0</v>
      </c>
      <c r="M51" s="2113">
        <v>0</v>
      </c>
      <c r="N51" s="2113">
        <v>0</v>
      </c>
      <c r="O51" s="2085">
        <f>'Efficient Products Deemed Table'!I211</f>
        <v>1.9841999999999999E-2</v>
      </c>
      <c r="P51" s="2085">
        <v>0</v>
      </c>
      <c r="Q51" s="2086">
        <v>0</v>
      </c>
      <c r="R51" s="2086">
        <v>0</v>
      </c>
      <c r="S51" s="2086"/>
      <c r="T51" s="2086"/>
      <c r="U51" s="2087">
        <v>0</v>
      </c>
      <c r="V51" s="2087">
        <f t="shared" si="18"/>
        <v>1.9841999999999999E-2</v>
      </c>
      <c r="W51" s="2087">
        <v>0</v>
      </c>
      <c r="X51" s="2121">
        <f>'Efficient Products Deemed Table'!J211</f>
        <v>10</v>
      </c>
      <c r="Y51" s="2121"/>
      <c r="Z51" s="88">
        <f t="shared" si="1"/>
        <v>10</v>
      </c>
      <c r="AA51" s="2088">
        <f>'Efficient Products Deemed Table'!BB211</f>
        <v>2.1044337976648513</v>
      </c>
      <c r="AB51" s="2916">
        <f>'Efficient Products Deemed Table'!K211</f>
        <v>30</v>
      </c>
      <c r="AC51" s="2090">
        <f t="shared" si="5"/>
        <v>59.587554440722535</v>
      </c>
      <c r="AD51" s="2090"/>
      <c r="AE51" s="2955">
        <f>'Efficient Products Deemed Table'!BD211</f>
        <v>59.587554440722535</v>
      </c>
      <c r="AF51" s="2956"/>
      <c r="AG51" s="2956"/>
      <c r="AH51" s="2956"/>
      <c r="AI51" s="2240" t="str">
        <f>'Efficient Products Deemed Table'!L211</f>
        <v>per measure</v>
      </c>
      <c r="AM51" s="2057">
        <f t="shared" si="17"/>
        <v>1.148238E-4</v>
      </c>
      <c r="AN51">
        <f t="shared" si="19"/>
        <v>1.9841552639999999E-2</v>
      </c>
      <c r="AO51" s="2048">
        <f t="shared" si="4"/>
        <v>-4.4735999999920284E-7</v>
      </c>
    </row>
    <row r="52" spans="2:41" x14ac:dyDescent="0.25">
      <c r="B52" s="2240" t="str">
        <f>'Efficient Products Deemed Table'!C212</f>
        <v>250800_2019_12_</v>
      </c>
      <c r="C52" s="208" t="str">
        <f>'Efficient Products Deemed Table'!G212</f>
        <v>Miscellaneous RES</v>
      </c>
      <c r="D52" s="208"/>
      <c r="E52" s="208"/>
      <c r="F52" s="208"/>
      <c r="G52" s="208" t="str">
        <f>'Efficient Products Deemed Table'!E212</f>
        <v>Advanced Tier 2 Power Strips -  E</v>
      </c>
      <c r="H52" s="208" t="str">
        <f>'Efficient Products Deemed Table'!D212</f>
        <v>Efficient Products</v>
      </c>
      <c r="I52" s="2084">
        <f>'Efficient Products Deemed Table'!F212</f>
        <v>151.19999999999999</v>
      </c>
      <c r="J52" s="2084">
        <v>0</v>
      </c>
      <c r="K52" s="2113">
        <v>0</v>
      </c>
      <c r="L52" s="2113">
        <v>0</v>
      </c>
      <c r="M52" s="2113">
        <v>0</v>
      </c>
      <c r="N52" s="2113">
        <v>0</v>
      </c>
      <c r="O52" s="2085">
        <f>'Efficient Products Deemed Table'!I212</f>
        <v>1.7361000000000001E-2</v>
      </c>
      <c r="P52" s="2085">
        <v>0</v>
      </c>
      <c r="Q52" s="2086">
        <v>0</v>
      </c>
      <c r="R52" s="2086">
        <v>0</v>
      </c>
      <c r="S52" s="2086"/>
      <c r="T52" s="2086"/>
      <c r="U52" s="2087">
        <v>0</v>
      </c>
      <c r="V52" s="2087">
        <f t="shared" si="18"/>
        <v>1.7361000000000001E-2</v>
      </c>
      <c r="W52" s="2087">
        <v>0</v>
      </c>
      <c r="X52" s="2121">
        <f>'Efficient Products Deemed Table'!J212</f>
        <v>10</v>
      </c>
      <c r="Y52" s="2121"/>
      <c r="Z52" s="88">
        <f t="shared" si="1"/>
        <v>10</v>
      </c>
      <c r="AA52" s="2088">
        <f>'Efficient Products Deemed Table'!BB212</f>
        <v>1.8413795729567446</v>
      </c>
      <c r="AB52" s="2916">
        <f>'Efficient Products Deemed Table'!K212</f>
        <v>30</v>
      </c>
      <c r="AC52" s="2090">
        <f t="shared" si="5"/>
        <v>52.139110135632215</v>
      </c>
      <c r="AD52" s="2090"/>
      <c r="AE52" s="2955">
        <f>'Efficient Products Deemed Table'!BD212</f>
        <v>52.139110135632215</v>
      </c>
      <c r="AF52" s="2956"/>
      <c r="AG52" s="2956"/>
      <c r="AH52" s="2956"/>
      <c r="AI52" s="2240" t="str">
        <f>'Efficient Products Deemed Table'!L212</f>
        <v>per measure</v>
      </c>
      <c r="AM52" s="2057">
        <f t="shared" si="17"/>
        <v>1.148238E-4</v>
      </c>
      <c r="AN52">
        <f t="shared" si="19"/>
        <v>1.7361358559999998E-2</v>
      </c>
      <c r="AO52" s="2048">
        <f t="shared" si="4"/>
        <v>3.5855999999667709E-7</v>
      </c>
    </row>
    <row r="53" spans="2:41" x14ac:dyDescent="0.25">
      <c r="B53" s="2240" t="str">
        <f>'Efficient Products Deemed Table'!C213</f>
        <v>250850_2019_12_</v>
      </c>
      <c r="C53" s="208" t="str">
        <f>'Efficient Products Deemed Table'!G213</f>
        <v>Miscellaneous RES</v>
      </c>
      <c r="D53" s="208"/>
      <c r="E53" s="208"/>
      <c r="F53" s="208"/>
      <c r="G53" s="208" t="str">
        <f>'Efficient Products Deemed Table'!E213</f>
        <v>Advanced Tier 2 Power Strips -  F</v>
      </c>
      <c r="H53" s="208" t="str">
        <f>'Efficient Products Deemed Table'!D213</f>
        <v>Efficient Products</v>
      </c>
      <c r="I53" s="2084">
        <f>'Efficient Products Deemed Table'!F213</f>
        <v>129.6</v>
      </c>
      <c r="J53" s="2084">
        <v>0</v>
      </c>
      <c r="K53" s="2113">
        <v>0</v>
      </c>
      <c r="L53" s="2113">
        <v>0</v>
      </c>
      <c r="M53" s="2113">
        <v>0</v>
      </c>
      <c r="N53" s="2113">
        <v>0</v>
      </c>
      <c r="O53" s="2085">
        <f>'Efficient Products Deemed Table'!I213</f>
        <v>1.4881E-2</v>
      </c>
      <c r="P53" s="2085">
        <v>0</v>
      </c>
      <c r="Q53" s="2086">
        <v>0</v>
      </c>
      <c r="R53" s="2086">
        <v>0</v>
      </c>
      <c r="S53" s="2086"/>
      <c r="T53" s="2086"/>
      <c r="U53" s="2087">
        <v>0</v>
      </c>
      <c r="V53" s="2087">
        <f t="shared" si="18"/>
        <v>1.4881E-2</v>
      </c>
      <c r="W53" s="2087">
        <v>0</v>
      </c>
      <c r="X53" s="2121">
        <f>'Efficient Products Deemed Table'!J213</f>
        <v>10</v>
      </c>
      <c r="Y53" s="2121"/>
      <c r="Z53" s="88">
        <f t="shared" si="1"/>
        <v>10</v>
      </c>
      <c r="AA53" s="2088">
        <f>'Efficient Products Deemed Table'!BB213</f>
        <v>1.5783253482486381</v>
      </c>
      <c r="AB53" s="2916">
        <f>'Efficient Products Deemed Table'!K213</f>
        <v>30</v>
      </c>
      <c r="AC53" s="2090">
        <f t="shared" si="5"/>
        <v>44.690665830541896</v>
      </c>
      <c r="AD53" s="2090"/>
      <c r="AE53" s="2955">
        <f>'Efficient Products Deemed Table'!BD213</f>
        <v>44.690665830541896</v>
      </c>
      <c r="AF53" s="2956"/>
      <c r="AG53" s="2956"/>
      <c r="AH53" s="2956"/>
      <c r="AI53" s="2240" t="str">
        <f>'Efficient Products Deemed Table'!L213</f>
        <v>per measure</v>
      </c>
      <c r="AM53" s="2057">
        <f t="shared" si="17"/>
        <v>1.148238E-4</v>
      </c>
      <c r="AN53">
        <f t="shared" si="19"/>
        <v>1.4881164479999999E-2</v>
      </c>
      <c r="AO53" s="2048">
        <f t="shared" si="4"/>
        <v>1.6447999999849583E-7</v>
      </c>
    </row>
    <row r="54" spans="2:41" x14ac:dyDescent="0.25">
      <c r="B54" s="2240" t="str">
        <f>'Efficient Products Deemed Table'!C214</f>
        <v>250900_2019_12_</v>
      </c>
      <c r="C54" s="208" t="str">
        <f>'Efficient Products Deemed Table'!G214</f>
        <v>Miscellaneous RES</v>
      </c>
      <c r="D54" s="208"/>
      <c r="E54" s="208"/>
      <c r="F54" s="208"/>
      <c r="G54" s="208" t="str">
        <f>'Efficient Products Deemed Table'!E214</f>
        <v>Advanced Tier 2 Power Strips -  G</v>
      </c>
      <c r="H54" s="208" t="str">
        <f>'Efficient Products Deemed Table'!D214</f>
        <v>Efficient Products</v>
      </c>
      <c r="I54" s="2084">
        <f>'Efficient Products Deemed Table'!F214</f>
        <v>108</v>
      </c>
      <c r="J54" s="2084">
        <v>0</v>
      </c>
      <c r="K54" s="2113">
        <v>0</v>
      </c>
      <c r="L54" s="2113">
        <v>0</v>
      </c>
      <c r="M54" s="2113">
        <v>0</v>
      </c>
      <c r="N54" s="2113">
        <v>0</v>
      </c>
      <c r="O54" s="2085">
        <f>'Efficient Products Deemed Table'!I214</f>
        <v>1.2401000000000001E-2</v>
      </c>
      <c r="P54" s="2085">
        <v>0</v>
      </c>
      <c r="Q54" s="2086">
        <v>0</v>
      </c>
      <c r="R54" s="2086">
        <v>0</v>
      </c>
      <c r="S54" s="2086"/>
      <c r="T54" s="2086"/>
      <c r="U54" s="2087">
        <v>0</v>
      </c>
      <c r="V54" s="2087">
        <f t="shared" si="18"/>
        <v>1.2401000000000001E-2</v>
      </c>
      <c r="W54" s="2087">
        <v>0</v>
      </c>
      <c r="X54" s="2121">
        <f>'Efficient Products Deemed Table'!J214</f>
        <v>10</v>
      </c>
      <c r="Y54" s="2121"/>
      <c r="Z54" s="88">
        <f t="shared" si="1"/>
        <v>10</v>
      </c>
      <c r="AA54" s="2088">
        <f>'Efficient Products Deemed Table'!BB214</f>
        <v>1.3152711235405319</v>
      </c>
      <c r="AB54" s="2916">
        <f>'Efficient Products Deemed Table'!K214</f>
        <v>30</v>
      </c>
      <c r="AC54" s="2090">
        <f t="shared" si="5"/>
        <v>37.242221525451583</v>
      </c>
      <c r="AD54" s="2090"/>
      <c r="AE54" s="2955">
        <f>'Efficient Products Deemed Table'!BD214</f>
        <v>37.242221525451583</v>
      </c>
      <c r="AF54" s="2956"/>
      <c r="AG54" s="2956"/>
      <c r="AH54" s="2956"/>
      <c r="AI54" s="2240" t="str">
        <f>'Efficient Products Deemed Table'!L214</f>
        <v>per measure</v>
      </c>
      <c r="AM54" s="2057">
        <f t="shared" si="17"/>
        <v>1.148238E-4</v>
      </c>
      <c r="AN54">
        <f t="shared" si="19"/>
        <v>1.2400970399999999E-2</v>
      </c>
      <c r="AO54" s="2048">
        <f t="shared" si="4"/>
        <v>-2.9600000001420157E-8</v>
      </c>
    </row>
    <row r="55" spans="2:41" x14ac:dyDescent="0.25">
      <c r="B55" s="2240" t="str">
        <f>'Efficient Products Deemed Table'!C215</f>
        <v>250950_2019_12_</v>
      </c>
      <c r="C55" s="208" t="str">
        <f>'Efficient Products Deemed Table'!G215</f>
        <v>Miscellaneous RES</v>
      </c>
      <c r="D55" s="208"/>
      <c r="E55" s="208"/>
      <c r="F55" s="208"/>
      <c r="G55" s="208" t="str">
        <f>'Efficient Products Deemed Table'!E215</f>
        <v>Advanced Tier 2 Power Strips -  H</v>
      </c>
      <c r="H55" s="208" t="str">
        <f>'Efficient Products Deemed Table'!D215</f>
        <v>Efficient Products</v>
      </c>
      <c r="I55" s="2084">
        <f>'Efficient Products Deemed Table'!F215</f>
        <v>86.4</v>
      </c>
      <c r="J55" s="2084">
        <v>0</v>
      </c>
      <c r="K55" s="2113">
        <v>0</v>
      </c>
      <c r="L55" s="2113">
        <v>0</v>
      </c>
      <c r="M55" s="2113">
        <v>0</v>
      </c>
      <c r="N55" s="2113">
        <v>0</v>
      </c>
      <c r="O55" s="2085">
        <f>'Efficient Products Deemed Table'!I215</f>
        <v>9.9209999999999993E-3</v>
      </c>
      <c r="P55" s="2085">
        <v>0</v>
      </c>
      <c r="Q55" s="2086">
        <v>0</v>
      </c>
      <c r="R55" s="2086">
        <v>0</v>
      </c>
      <c r="S55" s="2086"/>
      <c r="T55" s="2086"/>
      <c r="U55" s="2087">
        <v>0</v>
      </c>
      <c r="V55" s="2087">
        <f t="shared" si="18"/>
        <v>9.9209999999999993E-3</v>
      </c>
      <c r="W55" s="2087">
        <v>0</v>
      </c>
      <c r="X55" s="2121">
        <f>'Efficient Products Deemed Table'!J215</f>
        <v>10</v>
      </c>
      <c r="Y55" s="2121"/>
      <c r="Z55" s="88">
        <f t="shared" si="1"/>
        <v>10</v>
      </c>
      <c r="AA55" s="2088">
        <f>'Efficient Products Deemed Table'!BB215</f>
        <v>1.0522168988324256</v>
      </c>
      <c r="AB55" s="2916">
        <f>'Efficient Products Deemed Table'!K215</f>
        <v>30</v>
      </c>
      <c r="AC55" s="2090">
        <f t="shared" si="5"/>
        <v>29.793777220361267</v>
      </c>
      <c r="AD55" s="2090"/>
      <c r="AE55" s="2955">
        <f>'Efficient Products Deemed Table'!BD215</f>
        <v>29.793777220361267</v>
      </c>
      <c r="AF55" s="2956"/>
      <c r="AG55" s="2956"/>
      <c r="AH55" s="2956"/>
      <c r="AI55" s="2240" t="str">
        <f>'Efficient Products Deemed Table'!L215</f>
        <v>per measure</v>
      </c>
      <c r="AM55" s="2057">
        <f t="shared" si="17"/>
        <v>1.148238E-4</v>
      </c>
      <c r="AN55">
        <f t="shared" si="19"/>
        <v>9.9207763199999997E-3</v>
      </c>
      <c r="AO55" s="2048">
        <f t="shared" si="4"/>
        <v>-2.2367999999960142E-7</v>
      </c>
    </row>
    <row r="56" spans="2:41" x14ac:dyDescent="0.25">
      <c r="B56" s="2240" t="str">
        <f>'Efficient Products Deemed Table'!C216</f>
        <v>251000_2019_12_</v>
      </c>
      <c r="C56" s="208" t="str">
        <f>'Efficient Products Deemed Table'!G216</f>
        <v>Miscellaneous RES</v>
      </c>
      <c r="D56" s="208"/>
      <c r="E56" s="208"/>
      <c r="F56" s="208"/>
      <c r="G56" s="208" t="str">
        <f>'Efficient Products Deemed Table'!E216</f>
        <v>Advanced Tier 2 Power Strips / TOS/NC / Average</v>
      </c>
      <c r="H56" s="208" t="str">
        <f>'Efficient Products Deemed Table'!D216</f>
        <v>Efficient Products</v>
      </c>
      <c r="I56" s="2084">
        <f>'Efficient Products Deemed Table'!F216</f>
        <v>151.96</v>
      </c>
      <c r="J56" s="2084">
        <v>0</v>
      </c>
      <c r="K56" s="2113">
        <v>0</v>
      </c>
      <c r="L56" s="2113">
        <v>0</v>
      </c>
      <c r="M56" s="2113">
        <v>0</v>
      </c>
      <c r="N56" s="2113">
        <v>0</v>
      </c>
      <c r="O56" s="2085">
        <f>'Efficient Products Deemed Table'!I216</f>
        <v>1.7448999999999999E-2</v>
      </c>
      <c r="P56" s="2085">
        <v>0</v>
      </c>
      <c r="Q56" s="2086">
        <v>0</v>
      </c>
      <c r="R56" s="2086">
        <v>0</v>
      </c>
      <c r="S56" s="2086"/>
      <c r="T56" s="2086"/>
      <c r="U56" s="2087">
        <v>0</v>
      </c>
      <c r="V56" s="2087">
        <f t="shared" si="18"/>
        <v>1.7448999999999999E-2</v>
      </c>
      <c r="W56" s="2087">
        <v>0</v>
      </c>
      <c r="X56" s="2121">
        <f>'Efficient Products Deemed Table'!J216</f>
        <v>10</v>
      </c>
      <c r="Y56" s="2121"/>
      <c r="Z56" s="88">
        <f t="shared" si="1"/>
        <v>10</v>
      </c>
      <c r="AA56" s="2088">
        <f>'Efficient Products Deemed Table'!BB216</f>
        <v>1.8506351845668449</v>
      </c>
      <c r="AB56" s="2916">
        <f>'Efficient Products Deemed Table'!K216</f>
        <v>30</v>
      </c>
      <c r="AC56" s="2090">
        <f t="shared" si="5"/>
        <v>52.401185027848364</v>
      </c>
      <c r="AD56" s="2090"/>
      <c r="AE56" s="2955">
        <f>'Efficient Products Deemed Table'!BD216</f>
        <v>52.401185027848364</v>
      </c>
      <c r="AF56" s="2956"/>
      <c r="AG56" s="2956"/>
      <c r="AH56" s="2956"/>
      <c r="AI56" s="2240" t="str">
        <f>'Efficient Products Deemed Table'!L216</f>
        <v>per measure</v>
      </c>
      <c r="AM56" s="2057">
        <f t="shared" si="17"/>
        <v>1.148238E-4</v>
      </c>
      <c r="AN56">
        <f t="shared" si="19"/>
        <v>1.7448624648E-2</v>
      </c>
      <c r="AO56" s="2048">
        <f t="shared" si="4"/>
        <v>-3.7535199999896851E-7</v>
      </c>
    </row>
    <row r="57" spans="2:41" s="132" customFormat="1" x14ac:dyDescent="0.25">
      <c r="B57" s="2307" t="str">
        <f>'Efficient Products Deemed Table'!C217</f>
        <v>251001_2020_12_</v>
      </c>
      <c r="C57" s="2305" t="str">
        <f>'Efficient Products Deemed Table'!G217</f>
        <v>Miscellaneous RES</v>
      </c>
      <c r="D57" s="2305"/>
      <c r="E57" s="2305"/>
      <c r="F57" s="2305"/>
      <c r="G57" s="2305" t="str">
        <f>'Efficient Products Deemed Table'!E217</f>
        <v>Advanced Tier 2 Power Strips / DI / Average</v>
      </c>
      <c r="H57" s="2305" t="str">
        <f>'Efficient Products Deemed Table'!D217</f>
        <v>Efficient Products</v>
      </c>
      <c r="I57" s="2320">
        <f>'Efficient Products Deemed Table'!F217</f>
        <v>153.9</v>
      </c>
      <c r="J57" s="2320">
        <v>0</v>
      </c>
      <c r="K57" s="2310">
        <v>0</v>
      </c>
      <c r="L57" s="2310">
        <v>0</v>
      </c>
      <c r="M57" s="2310">
        <v>0</v>
      </c>
      <c r="N57" s="2310">
        <v>0</v>
      </c>
      <c r="O57" s="2321">
        <f>'Efficient Products Deemed Table'!I217</f>
        <v>1.7670999999999999E-2</v>
      </c>
      <c r="P57" s="2321">
        <v>0</v>
      </c>
      <c r="Q57" s="2323">
        <v>0</v>
      </c>
      <c r="R57" s="2323">
        <v>0</v>
      </c>
      <c r="S57" s="2323"/>
      <c r="T57" s="2323"/>
      <c r="U57" s="2273">
        <v>0</v>
      </c>
      <c r="V57" s="2273">
        <f t="shared" ref="V57" si="20">O57</f>
        <v>1.7670999999999999E-2</v>
      </c>
      <c r="W57" s="2273">
        <v>0</v>
      </c>
      <c r="X57" s="2299">
        <f>'Efficient Products Deemed Table'!J217</f>
        <v>10</v>
      </c>
      <c r="Y57" s="2299"/>
      <c r="Z57" s="2299">
        <f t="shared" ref="Z57" si="21">Y57+X57</f>
        <v>10</v>
      </c>
      <c r="AA57" s="2927">
        <f>'Efficient Products Deemed Table'!BB217</f>
        <v>0.93713067552262896</v>
      </c>
      <c r="AB57" s="2475">
        <f>'Efficient Products Deemed Table'!K217</f>
        <v>60</v>
      </c>
      <c r="AC57" s="2932">
        <f t="shared" ref="AC57" si="22">AE57+AF57</f>
        <v>53.070165673768507</v>
      </c>
      <c r="AD57" s="2932"/>
      <c r="AE57" s="2957">
        <f>'Efficient Products Deemed Table'!BD217</f>
        <v>53.070165673768507</v>
      </c>
      <c r="AF57" s="2334"/>
      <c r="AG57" s="2334"/>
      <c r="AH57" s="2334"/>
      <c r="AI57" s="2307" t="str">
        <f>'Efficient Products Deemed Table'!L217</f>
        <v>per measure</v>
      </c>
      <c r="AM57" s="2929">
        <f t="shared" si="17"/>
        <v>1.148238E-4</v>
      </c>
      <c r="AN57" s="132">
        <f t="shared" ref="AN57" si="23">AM57*I57</f>
        <v>1.7671382820000001E-2</v>
      </c>
      <c r="AO57" s="2933">
        <f t="shared" ref="AO57" si="24">AN57-O57</f>
        <v>3.828200000020876E-7</v>
      </c>
    </row>
    <row r="58" spans="2:41" x14ac:dyDescent="0.25">
      <c r="B58" s="2240" t="str">
        <f>'Efficient Products Deemed Table'!C244</f>
        <v>251050_2019_12_</v>
      </c>
      <c r="C58" s="208" t="str">
        <f>'Efficient Products Deemed Table'!G244</f>
        <v>HVAC RES</v>
      </c>
      <c r="D58" s="208"/>
      <c r="E58" s="208"/>
      <c r="F58" s="208"/>
      <c r="G58" s="208" t="str">
        <f>'Efficient Products Deemed Table'!E244</f>
        <v>ENERGY STAR Air Purifier/Cleaner</v>
      </c>
      <c r="H58" s="622" t="str">
        <f>'Efficient Products Deemed Table'!D244</f>
        <v>Efficient Products</v>
      </c>
      <c r="I58" s="2084">
        <f>'Efficient Products Deemed Table'!F244</f>
        <v>578.86</v>
      </c>
      <c r="J58" s="2084">
        <v>0</v>
      </c>
      <c r="K58" s="2113">
        <v>0</v>
      </c>
      <c r="L58" s="2113">
        <v>0</v>
      </c>
      <c r="M58" s="2113">
        <v>0</v>
      </c>
      <c r="N58" s="2113">
        <v>0</v>
      </c>
      <c r="O58" s="2085">
        <f>'Efficient Products Deemed Table'!I244</f>
        <v>0.26979500000000001</v>
      </c>
      <c r="P58" s="2085">
        <v>0</v>
      </c>
      <c r="Q58" s="2086">
        <v>0</v>
      </c>
      <c r="R58" s="2086">
        <v>0</v>
      </c>
      <c r="S58" s="2086"/>
      <c r="T58" s="2086"/>
      <c r="U58" s="2087">
        <f>O58</f>
        <v>0.26979500000000001</v>
      </c>
      <c r="V58" s="2087">
        <v>0</v>
      </c>
      <c r="W58" s="2087">
        <v>0</v>
      </c>
      <c r="X58" s="2121">
        <f>'Efficient Products Deemed Table'!J244</f>
        <v>9</v>
      </c>
      <c r="Y58" s="2121"/>
      <c r="Z58" s="88">
        <f t="shared" si="1"/>
        <v>9</v>
      </c>
      <c r="AA58" s="2088">
        <f>'Efficient Products Deemed Table'!BB244</f>
        <v>5.0190719138903406</v>
      </c>
      <c r="AB58" s="2916">
        <f>'Efficient Products Deemed Table'!K244</f>
        <v>70</v>
      </c>
      <c r="AC58" s="2090">
        <f t="shared" si="5"/>
        <v>331.60456250337313</v>
      </c>
      <c r="AD58" s="2090"/>
      <c r="AE58" s="2955">
        <f>'Efficient Products Deemed Table'!BD244</f>
        <v>331.60456250337313</v>
      </c>
      <c r="AF58" s="2956"/>
      <c r="AG58" s="2956"/>
      <c r="AH58" s="2956"/>
      <c r="AI58" s="2240" t="str">
        <f>'Efficient Products Deemed Table'!L244</f>
        <v>per measure</v>
      </c>
      <c r="AM58" s="2057">
        <f t="shared" si="17"/>
        <v>4.6608050000000002E-4</v>
      </c>
      <c r="AN58">
        <f t="shared" si="19"/>
        <v>0.26979535823</v>
      </c>
      <c r="AO58" s="2048">
        <f t="shared" si="4"/>
        <v>3.5822999999712835E-7</v>
      </c>
    </row>
    <row r="59" spans="2:41" x14ac:dyDescent="0.25">
      <c r="B59" s="2240" t="str">
        <f>'Efficient Products Deemed Table'!C268</f>
        <v>251100_2019_12_</v>
      </c>
      <c r="C59" s="208" t="str">
        <f>'Efficient Products Deemed Table'!G268</f>
        <v>Cooling RES</v>
      </c>
      <c r="D59" s="208"/>
      <c r="E59" s="208"/>
      <c r="F59" s="208"/>
      <c r="G59" s="208" t="str">
        <f>'Efficient Products Deemed Table'!E268</f>
        <v>ENERGY STAR Dehumidifier</v>
      </c>
      <c r="H59" s="622" t="str">
        <f>'Efficient Products Deemed Table'!D268</f>
        <v>Efficient Products</v>
      </c>
      <c r="I59" s="2084">
        <f>'Efficient Products Deemed Table'!F268</f>
        <v>204</v>
      </c>
      <c r="J59" s="2084">
        <v>0</v>
      </c>
      <c r="K59" s="1183">
        <f>I59</f>
        <v>204</v>
      </c>
      <c r="L59" s="2113">
        <v>0</v>
      </c>
      <c r="M59" s="2113">
        <v>0</v>
      </c>
      <c r="N59" s="2113">
        <v>0</v>
      </c>
      <c r="O59" s="2085">
        <f>'Efficient Products Deemed Table'!I268</f>
        <v>0.193273</v>
      </c>
      <c r="P59" s="2085">
        <v>0</v>
      </c>
      <c r="Q59" s="2086">
        <f>O59</f>
        <v>0.193273</v>
      </c>
      <c r="R59" s="2086">
        <v>0</v>
      </c>
      <c r="S59" s="2086"/>
      <c r="T59" s="2086"/>
      <c r="U59" s="2087">
        <v>0</v>
      </c>
      <c r="V59" s="2087">
        <f>O59</f>
        <v>0.193273</v>
      </c>
      <c r="W59" s="2087">
        <v>0</v>
      </c>
      <c r="X59" s="2121">
        <f>'Efficient Products Deemed Table'!J268</f>
        <v>12</v>
      </c>
      <c r="Y59" s="2121"/>
      <c r="Z59" s="88">
        <f t="shared" si="1"/>
        <v>12</v>
      </c>
      <c r="AA59" s="2088">
        <f>'Efficient Products Deemed Table'!BB268</f>
        <v>53.365598107834487</v>
      </c>
      <c r="AB59" s="2916">
        <f>'Efficient Products Deemed Table'!K268</f>
        <v>5</v>
      </c>
      <c r="AC59" s="2090">
        <f t="shared" si="5"/>
        <v>251.84331339232884</v>
      </c>
      <c r="AD59" s="2090"/>
      <c r="AE59" s="2955">
        <f>'Efficient Products Deemed Table'!BD268</f>
        <v>251.84331339232884</v>
      </c>
      <c r="AF59" s="2956"/>
      <c r="AG59" s="2956"/>
      <c r="AH59" s="2956"/>
      <c r="AI59" s="2240" t="str">
        <f>'Efficient Products Deemed Table'!L268</f>
        <v>per measure</v>
      </c>
      <c r="AM59" s="2057">
        <f t="shared" si="17"/>
        <v>9.4741810000000004E-4</v>
      </c>
      <c r="AN59">
        <f t="shared" si="19"/>
        <v>0.19327329240000002</v>
      </c>
      <c r="AO59" s="2048">
        <f t="shared" si="4"/>
        <v>2.9240000001817812E-7</v>
      </c>
    </row>
    <row r="60" spans="2:41" x14ac:dyDescent="0.25">
      <c r="B60" s="2240" t="str">
        <f>'Efficient Products Deemed Table'!C295</f>
        <v>251150_2019_12_</v>
      </c>
      <c r="C60" s="208" t="str">
        <f>'Efficient Products Deemed Table'!G295</f>
        <v>Cooling RES</v>
      </c>
      <c r="D60" s="208"/>
      <c r="E60" s="208"/>
      <c r="F60" s="208"/>
      <c r="G60" s="208" t="str">
        <f>'Efficient Products Deemed Table'!E295</f>
        <v>ENERGY STAR Room AC (kWh w ISR)</v>
      </c>
      <c r="H60" s="622" t="str">
        <f>'Efficient Products Deemed Table'!D295</f>
        <v>Efficient Products</v>
      </c>
      <c r="I60" s="2084">
        <f>'Efficient Products Deemed Table'!F295</f>
        <v>49.46</v>
      </c>
      <c r="J60" s="2084">
        <v>0</v>
      </c>
      <c r="K60" s="1183">
        <f>I60</f>
        <v>49.46</v>
      </c>
      <c r="L60" s="2113">
        <v>0</v>
      </c>
      <c r="M60" s="2113">
        <v>0</v>
      </c>
      <c r="N60" s="2113">
        <v>0</v>
      </c>
      <c r="O60" s="2085">
        <f>'Efficient Products Deemed Table'!I295</f>
        <v>4.6858999999999998E-2</v>
      </c>
      <c r="P60" s="2085">
        <v>0</v>
      </c>
      <c r="Q60" s="2086">
        <f>O60</f>
        <v>4.6858999999999998E-2</v>
      </c>
      <c r="R60" s="2086">
        <v>0</v>
      </c>
      <c r="S60" s="2086"/>
      <c r="T60" s="2086"/>
      <c r="U60" s="2087">
        <f>O60</f>
        <v>4.6858999999999998E-2</v>
      </c>
      <c r="V60" s="2087">
        <v>0</v>
      </c>
      <c r="W60" s="2087">
        <v>0</v>
      </c>
      <c r="X60" s="2121">
        <f>'Efficient Products Deemed Table'!J295</f>
        <v>9</v>
      </c>
      <c r="Y60" s="2121"/>
      <c r="Z60" s="88">
        <f t="shared" si="1"/>
        <v>9</v>
      </c>
      <c r="AA60" s="2088">
        <f>'Efficient Products Deemed Table'!BB295</f>
        <v>2.3992673568852143</v>
      </c>
      <c r="AB60" s="2916">
        <f>'Efficient Products Deemed Table'!K295</f>
        <v>20</v>
      </c>
      <c r="AC60" s="2090">
        <f t="shared" si="5"/>
        <v>45.290558884100314</v>
      </c>
      <c r="AD60" s="2090"/>
      <c r="AE60" s="2955">
        <f>'Efficient Products Deemed Table'!BD295</f>
        <v>45.290558884100314</v>
      </c>
      <c r="AF60" s="2956"/>
      <c r="AG60" s="2956"/>
      <c r="AH60" s="2956"/>
      <c r="AI60" s="2240" t="str">
        <f>'Efficient Products Deemed Table'!L295</f>
        <v>per measure</v>
      </c>
      <c r="AM60" s="2057">
        <f t="shared" si="17"/>
        <v>9.4741810000000004E-4</v>
      </c>
      <c r="AN60">
        <f t="shared" si="19"/>
        <v>4.6859299226000004E-2</v>
      </c>
      <c r="AO60" s="2048">
        <f t="shared" si="4"/>
        <v>2.9922600000564792E-7</v>
      </c>
    </row>
    <row r="61" spans="2:41" x14ac:dyDescent="0.25">
      <c r="B61" s="2240" t="str">
        <f>'Efficient Products Deemed Table'!C296</f>
        <v>251200_2019_12_</v>
      </c>
      <c r="C61" s="208" t="str">
        <f>'Efficient Products Deemed Table'!G296</f>
        <v>Cooling RES</v>
      </c>
      <c r="D61" s="208"/>
      <c r="E61" s="208"/>
      <c r="F61" s="208"/>
      <c r="G61" s="208" t="str">
        <f>'Efficient Products Deemed Table'!E296</f>
        <v>ENERGY STAR Room AC (kWh w/o ISR)</v>
      </c>
      <c r="H61" s="622" t="str">
        <f>'Efficient Products Deemed Table'!D296</f>
        <v>Efficient Products</v>
      </c>
      <c r="I61" s="2084">
        <f>'Efficient Products Deemed Table'!F296</f>
        <v>50.74</v>
      </c>
      <c r="J61" s="2084">
        <v>0</v>
      </c>
      <c r="K61" s="1183">
        <f>I61</f>
        <v>50.74</v>
      </c>
      <c r="L61" s="2113">
        <v>0</v>
      </c>
      <c r="M61" s="2113">
        <v>0</v>
      </c>
      <c r="N61" s="2113">
        <v>0</v>
      </c>
      <c r="O61" s="2085">
        <f>'Efficient Products Deemed Table'!I296</f>
        <v>4.8071999999999997E-2</v>
      </c>
      <c r="P61" s="2085">
        <v>0</v>
      </c>
      <c r="Q61" s="2086">
        <f>O61</f>
        <v>4.8071999999999997E-2</v>
      </c>
      <c r="R61" s="2086">
        <v>0</v>
      </c>
      <c r="S61" s="2086"/>
      <c r="T61" s="2086"/>
      <c r="U61" s="2087">
        <f>O61</f>
        <v>4.8071999999999997E-2</v>
      </c>
      <c r="V61" s="2087">
        <v>0</v>
      </c>
      <c r="W61" s="2087">
        <v>0</v>
      </c>
      <c r="X61" s="2121">
        <f>'Efficient Products Deemed Table'!J296</f>
        <v>9</v>
      </c>
      <c r="Y61" s="2121"/>
      <c r="Z61" s="88">
        <f t="shared" si="1"/>
        <v>9</v>
      </c>
      <c r="AA61" s="2088">
        <f>'Efficient Products Deemed Table'!BB296</f>
        <v>2.4613591930520777</v>
      </c>
      <c r="AB61" s="2916">
        <f>'Efficient Products Deemed Table'!K296</f>
        <v>20</v>
      </c>
      <c r="AC61" s="2090">
        <f t="shared" si="5"/>
        <v>46.462655838642334</v>
      </c>
      <c r="AD61" s="2090"/>
      <c r="AE61" s="2955">
        <f>'Efficient Products Deemed Table'!BD296</f>
        <v>46.462655838642334</v>
      </c>
      <c r="AF61" s="2956"/>
      <c r="AG61" s="2956"/>
      <c r="AH61" s="2956"/>
      <c r="AI61" s="2240" t="str">
        <f>'Efficient Products Deemed Table'!L296</f>
        <v>per measure</v>
      </c>
      <c r="AM61" s="2057">
        <f t="shared" si="17"/>
        <v>9.4741810000000004E-4</v>
      </c>
      <c r="AN61">
        <f t="shared" si="19"/>
        <v>4.8071994394000006E-2</v>
      </c>
      <c r="AO61" s="2048">
        <f t="shared" si="4"/>
        <v>-5.6059999906099556E-9</v>
      </c>
    </row>
    <row r="62" spans="2:41" x14ac:dyDescent="0.25">
      <c r="B62" s="2240" t="str">
        <f>'Energy Effic. Kits Deemed Table'!C7</f>
        <v>300050_2019_12_</v>
      </c>
      <c r="C62" s="208" t="str">
        <f>'Energy Effic. Kits Deemed Table'!G7</f>
        <v>HVAC RES</v>
      </c>
      <c r="D62" s="208"/>
      <c r="E62" s="208"/>
      <c r="F62" s="208"/>
      <c r="G62" s="208" t="str">
        <f>'Energy Effic. Kits Deemed Table'!E7</f>
        <v>Dirty Filter Alarm_SF</v>
      </c>
      <c r="H62" s="622" t="str">
        <f>'Energy Effic. Kits Deemed Table'!D7</f>
        <v>School</v>
      </c>
      <c r="I62" s="2084">
        <f>'Energy Effic. Kits Deemed Table'!F7</f>
        <v>53.75</v>
      </c>
      <c r="J62" s="2084">
        <v>0</v>
      </c>
      <c r="K62" s="2114">
        <v>0</v>
      </c>
      <c r="L62" s="2114">
        <v>0</v>
      </c>
      <c r="M62" s="2113">
        <v>0</v>
      </c>
      <c r="N62" s="2113">
        <v>0</v>
      </c>
      <c r="O62" s="2085">
        <f>'Energy Effic. Kits Deemed Table'!K7</f>
        <v>2.5052000000000001E-2</v>
      </c>
      <c r="P62" s="2085">
        <v>0</v>
      </c>
      <c r="Q62" s="2086">
        <v>0</v>
      </c>
      <c r="R62" s="2086">
        <v>0</v>
      </c>
      <c r="S62" s="2086"/>
      <c r="T62" s="2086"/>
      <c r="U62" s="2087">
        <v>0</v>
      </c>
      <c r="V62" s="2087">
        <f>O62</f>
        <v>2.5052000000000001E-2</v>
      </c>
      <c r="W62" s="2087">
        <v>0</v>
      </c>
      <c r="X62" s="2121">
        <f>'Energy Effic. Kits Deemed Table'!L7</f>
        <v>14</v>
      </c>
      <c r="Y62" s="2121"/>
      <c r="Z62" s="88">
        <f t="shared" si="1"/>
        <v>14</v>
      </c>
      <c r="AA62" s="2088">
        <f>'Energy Effic. Kits Deemed Table'!BB7</f>
        <v>10.113049054563286</v>
      </c>
      <c r="AB62" s="2916">
        <f>'Energy Effic. Kits Deemed Table'!M7</f>
        <v>5</v>
      </c>
      <c r="AC62" s="2089">
        <f t="shared" si="5"/>
        <v>47.725573641166989</v>
      </c>
      <c r="AD62" s="2089"/>
      <c r="AE62" s="2955">
        <f>'Energy Effic. Kits Deemed Table'!BD7</f>
        <v>47.725573641166989</v>
      </c>
      <c r="AF62" s="2956"/>
      <c r="AG62" s="2956"/>
      <c r="AH62" s="2956"/>
      <c r="AI62" s="2247" t="str">
        <f>'Energy Effic. Kits Deemed Table'!N7</f>
        <v>per measure</v>
      </c>
      <c r="AM62" s="2057">
        <f t="shared" si="17"/>
        <v>4.6608050000000002E-4</v>
      </c>
      <c r="AN62">
        <f t="shared" si="19"/>
        <v>2.5051826875000002E-2</v>
      </c>
      <c r="AO62" s="2048">
        <f t="shared" si="4"/>
        <v>-1.7312499999908026E-7</v>
      </c>
    </row>
    <row r="63" spans="2:41" s="132" customFormat="1" x14ac:dyDescent="0.25">
      <c r="B63" s="2307" t="str">
        <f>'Energy Effic. Kits Deemed Table'!C8</f>
        <v>300051_2020_12_</v>
      </c>
      <c r="C63" s="2305" t="str">
        <f>'Energy Effic. Kits Deemed Table'!G8</f>
        <v>HVAC RES</v>
      </c>
      <c r="D63" s="2305"/>
      <c r="E63" s="2305"/>
      <c r="F63" s="2305"/>
      <c r="G63" s="2305" t="str">
        <f>'Energy Effic. Kits Deemed Table'!E8</f>
        <v>Dirty Filter Alarm_SF - LI Kits</v>
      </c>
      <c r="H63" s="2322" t="str">
        <f>'Energy Effic. Kits Deemed Table'!D8</f>
        <v>LI</v>
      </c>
      <c r="I63" s="2320">
        <f>'Energy Effic. Kits Deemed Table'!F8</f>
        <v>98.22</v>
      </c>
      <c r="J63" s="2320">
        <v>0</v>
      </c>
      <c r="K63" s="2941">
        <v>0</v>
      </c>
      <c r="L63" s="2941">
        <v>0</v>
      </c>
      <c r="M63" s="2310">
        <v>0</v>
      </c>
      <c r="N63" s="2310">
        <v>0</v>
      </c>
      <c r="O63" s="2321">
        <f>'Energy Effic. Kits Deemed Table'!K8</f>
        <v>4.5777999999999999E-2</v>
      </c>
      <c r="P63" s="2321">
        <v>0</v>
      </c>
      <c r="Q63" s="2323">
        <v>0</v>
      </c>
      <c r="R63" s="2323">
        <v>0</v>
      </c>
      <c r="S63" s="2323"/>
      <c r="T63" s="2323"/>
      <c r="U63" s="2273">
        <v>0</v>
      </c>
      <c r="V63" s="2273">
        <f>O63</f>
        <v>4.5777999999999999E-2</v>
      </c>
      <c r="W63" s="2273">
        <v>0</v>
      </c>
      <c r="X63" s="2299">
        <f>'Energy Effic. Kits Deemed Table'!L8</f>
        <v>14</v>
      </c>
      <c r="Y63" s="2299"/>
      <c r="Z63" s="2299">
        <f t="shared" ref="Z63" si="25">Y63+X63</f>
        <v>14</v>
      </c>
      <c r="AA63" s="2927">
        <f>'Energy Effic. Kits Deemed Table'!BB8</f>
        <v>18.480068430496853</v>
      </c>
      <c r="AB63" s="2475">
        <f>'Energy Effic. Kits Deemed Table'!M8</f>
        <v>5</v>
      </c>
      <c r="AC63" s="2928">
        <f t="shared" ref="AC63" si="26">AE63+AF63</f>
        <v>87.211271498333417</v>
      </c>
      <c r="AD63" s="2928"/>
      <c r="AE63" s="2957">
        <f>'Energy Effic. Kits Deemed Table'!BD8</f>
        <v>87.211271498333417</v>
      </c>
      <c r="AF63" s="2334"/>
      <c r="AG63" s="2334"/>
      <c r="AH63" s="2334"/>
      <c r="AI63" s="2246" t="str">
        <f>'Energy Effic. Kits Deemed Table'!N8</f>
        <v>per measure</v>
      </c>
      <c r="AM63" s="2929">
        <f t="shared" si="17"/>
        <v>4.6608050000000002E-4</v>
      </c>
      <c r="AN63" s="132">
        <f t="shared" ref="AN63" si="27">AM63*I63</f>
        <v>4.577842671E-2</v>
      </c>
      <c r="AO63" s="2933">
        <f t="shared" ref="AO63" si="28">AN63-O63</f>
        <v>4.2671000000105153E-7</v>
      </c>
    </row>
    <row r="64" spans="2:41" s="132" customFormat="1" x14ac:dyDescent="0.25">
      <c r="B64" s="2307" t="str">
        <f>'Energy Effic. Kits Deemed Table'!C9</f>
        <v>300060_2020_12_</v>
      </c>
      <c r="C64" s="2305" t="str">
        <f>'Energy Effic. Kits Deemed Table'!G9</f>
        <v>HVAC RES</v>
      </c>
      <c r="D64" s="2305"/>
      <c r="E64" s="2305"/>
      <c r="F64" s="2305"/>
      <c r="G64" s="2305" t="str">
        <f>'Energy Effic. Kits Deemed Table'!E9</f>
        <v>Dirty Filter Alarm_SF - ARP Kits</v>
      </c>
      <c r="H64" s="2322" t="str">
        <f>'Energy Effic. Kits Deemed Table'!D9</f>
        <v>ARP</v>
      </c>
      <c r="I64" s="2320">
        <f>'Energy Effic. Kits Deemed Table'!F9</f>
        <v>15.27</v>
      </c>
      <c r="J64" s="2320">
        <v>0</v>
      </c>
      <c r="K64" s="2941">
        <v>0</v>
      </c>
      <c r="L64" s="2941">
        <v>0</v>
      </c>
      <c r="M64" s="2310">
        <v>0</v>
      </c>
      <c r="N64" s="2310">
        <v>0</v>
      </c>
      <c r="O64" s="2321">
        <f>'Energy Effic. Kits Deemed Table'!K9</f>
        <v>7.1170000000000001E-3</v>
      </c>
      <c r="P64" s="2321">
        <v>0</v>
      </c>
      <c r="Q64" s="2323">
        <v>0</v>
      </c>
      <c r="R64" s="2323">
        <v>0</v>
      </c>
      <c r="S64" s="2323"/>
      <c r="T64" s="2323"/>
      <c r="U64" s="2273">
        <v>0</v>
      </c>
      <c r="V64" s="2273">
        <f>O64</f>
        <v>7.1170000000000001E-3</v>
      </c>
      <c r="W64" s="2273">
        <v>0</v>
      </c>
      <c r="X64" s="2299">
        <f>'Energy Effic. Kits Deemed Table'!L9</f>
        <v>14</v>
      </c>
      <c r="Y64" s="2299"/>
      <c r="Z64" s="2299">
        <f t="shared" ref="Z64" si="29">Y64+X64</f>
        <v>14</v>
      </c>
      <c r="AA64" s="2927">
        <f>'Energy Effic. Kits Deemed Table'!BB9</f>
        <v>2.8730466802452344</v>
      </c>
      <c r="AB64" s="2475">
        <f>'Energy Effic. Kits Deemed Table'!M9</f>
        <v>5</v>
      </c>
      <c r="AC64" s="2928">
        <f t="shared" ref="AC64" si="30">AE64+AF64</f>
        <v>13.558502502337113</v>
      </c>
      <c r="AD64" s="2928"/>
      <c r="AE64" s="2957">
        <f>'Energy Effic. Kits Deemed Table'!BD9</f>
        <v>13.558502502337113</v>
      </c>
      <c r="AF64" s="2334"/>
      <c r="AG64" s="2334"/>
      <c r="AH64" s="2334"/>
      <c r="AI64" s="2246" t="str">
        <f>'Energy Effic. Kits Deemed Table'!N9</f>
        <v>per measure</v>
      </c>
      <c r="AM64" s="2929">
        <f t="shared" si="17"/>
        <v>4.6608050000000002E-4</v>
      </c>
      <c r="AN64" s="132">
        <f t="shared" ref="AN64" si="31">AM64*I64</f>
        <v>7.1170492349999998E-3</v>
      </c>
      <c r="AO64" s="2933">
        <f t="shared" ref="AO64" si="32">AN64-O64</f>
        <v>4.9234999999724083E-8</v>
      </c>
    </row>
    <row r="65" spans="2:41" x14ac:dyDescent="0.25">
      <c r="B65" s="2240" t="str">
        <f>'Energy Effic. Kits Deemed Table'!C10</f>
        <v>300100_2019_12_</v>
      </c>
      <c r="C65" s="208" t="str">
        <f>'Energy Effic. Kits Deemed Table'!G10</f>
        <v>HVAC RES</v>
      </c>
      <c r="D65" s="208"/>
      <c r="E65" s="208"/>
      <c r="F65" s="208"/>
      <c r="G65" s="208" t="str">
        <f>'Energy Effic. Kits Deemed Table'!E10</f>
        <v>Dirty Filter Alarm_MF</v>
      </c>
      <c r="H65" s="622" t="str">
        <f>'Energy Effic. Kits Deemed Table'!D10</f>
        <v>School</v>
      </c>
      <c r="I65" s="2084">
        <f>'Energy Effic. Kits Deemed Table'!F10</f>
        <v>177.38</v>
      </c>
      <c r="J65" s="2084">
        <v>0</v>
      </c>
      <c r="K65" s="2114">
        <v>0</v>
      </c>
      <c r="L65" s="2114">
        <v>0</v>
      </c>
      <c r="M65" s="2113">
        <v>0</v>
      </c>
      <c r="N65" s="2113">
        <v>0</v>
      </c>
      <c r="O65" s="2085">
        <f>'Energy Effic. Kits Deemed Table'!K10</f>
        <v>8.2672999999999996E-2</v>
      </c>
      <c r="P65" s="2085">
        <v>0</v>
      </c>
      <c r="Q65" s="2086">
        <v>0</v>
      </c>
      <c r="R65" s="2086">
        <v>0</v>
      </c>
      <c r="S65" s="2086"/>
      <c r="T65" s="2086"/>
      <c r="U65" s="2087">
        <v>0</v>
      </c>
      <c r="V65" s="2087">
        <f>O65</f>
        <v>8.2672999999999996E-2</v>
      </c>
      <c r="W65" s="2087">
        <v>0</v>
      </c>
      <c r="X65" s="2121">
        <f>'Energy Effic. Kits Deemed Table'!L10</f>
        <v>14</v>
      </c>
      <c r="Y65" s="2121"/>
      <c r="Z65" s="88">
        <f t="shared" si="1"/>
        <v>14</v>
      </c>
      <c r="AA65" s="2088">
        <f>'Energy Effic. Kits Deemed Table'!BB10</f>
        <v>33.374002628808107</v>
      </c>
      <c r="AB65" s="2916">
        <f>'Energy Effic. Kits Deemed Table'!M10</f>
        <v>5</v>
      </c>
      <c r="AC65" s="2089">
        <f t="shared" si="5"/>
        <v>157.49883260409675</v>
      </c>
      <c r="AD65" s="2089"/>
      <c r="AE65" s="2955">
        <f>'Energy Effic. Kits Deemed Table'!BD10</f>
        <v>157.49883260409675</v>
      </c>
      <c r="AF65" s="2956"/>
      <c r="AG65" s="2956"/>
      <c r="AH65" s="2956"/>
      <c r="AI65" s="2248" t="str">
        <f>'Energy Effic. Kits Deemed Table'!N10</f>
        <v>per measure</v>
      </c>
      <c r="AM65" s="2057">
        <f t="shared" si="17"/>
        <v>4.6608050000000002E-4</v>
      </c>
      <c r="AN65">
        <f t="shared" si="19"/>
        <v>8.2673359089999995E-2</v>
      </c>
      <c r="AO65" s="2048">
        <f t="shared" si="4"/>
        <v>3.5908999999889613E-7</v>
      </c>
    </row>
    <row r="66" spans="2:41" x14ac:dyDescent="0.25">
      <c r="B66" s="2240" t="str">
        <f>'Energy Effic. Kits Deemed Table'!C11</f>
        <v>300101_2019_12_</v>
      </c>
      <c r="C66" s="208" t="str">
        <f>'Energy Effic. Kits Deemed Table'!G11</f>
        <v>HVAC RES</v>
      </c>
      <c r="D66" s="208"/>
      <c r="E66" s="208"/>
      <c r="F66" s="208"/>
      <c r="G66" s="208" t="str">
        <f>'Energy Effic. Kits Deemed Table'!E11</f>
        <v>Dirty Filter Alarm_MF_CompE</v>
      </c>
      <c r="H66" s="622" t="str">
        <f>'Energy Effic. Kits Deemed Table'!D11</f>
        <v>School</v>
      </c>
      <c r="I66" s="2084">
        <f>'Energy Effic. Kits Deemed Table'!F11</f>
        <v>85.65</v>
      </c>
      <c r="J66" s="2084">
        <v>0</v>
      </c>
      <c r="K66" s="2114">
        <v>0</v>
      </c>
      <c r="L66" s="2114">
        <v>0</v>
      </c>
      <c r="M66" s="2113">
        <v>0</v>
      </c>
      <c r="N66" s="2113">
        <v>0</v>
      </c>
      <c r="O66" s="2085">
        <f>'Energy Effic. Kits Deemed Table'!K11</f>
        <v>3.9919999999999997E-2</v>
      </c>
      <c r="P66" s="2085">
        <v>0</v>
      </c>
      <c r="Q66" s="2086">
        <v>0</v>
      </c>
      <c r="R66" s="2086">
        <v>0</v>
      </c>
      <c r="S66" s="2086"/>
      <c r="T66" s="2086"/>
      <c r="U66" s="2087">
        <v>0</v>
      </c>
      <c r="V66" s="2087">
        <f>O66</f>
        <v>3.9919999999999997E-2</v>
      </c>
      <c r="W66" s="2087">
        <v>0</v>
      </c>
      <c r="X66" s="2121">
        <f>'Energy Effic. Kits Deemed Table'!L11</f>
        <v>14</v>
      </c>
      <c r="Y66" s="2121"/>
      <c r="Z66" s="88">
        <f t="shared" si="1"/>
        <v>14</v>
      </c>
      <c r="AA66" s="2088">
        <f>'Energy Effic. Kits Deemed Table'!BB11</f>
        <v>16.115026074852938</v>
      </c>
      <c r="AB66" s="2916">
        <f>'Energy Effic. Kits Deemed Table'!M11</f>
        <v>5</v>
      </c>
      <c r="AC66" s="2089">
        <f t="shared" si="5"/>
        <v>76.050146648668886</v>
      </c>
      <c r="AD66" s="2089"/>
      <c r="AE66" s="2955">
        <f>'Energy Effic. Kits Deemed Table'!BD11</f>
        <v>76.050146648668886</v>
      </c>
      <c r="AF66" s="2956"/>
      <c r="AG66" s="2956"/>
      <c r="AH66" s="2956"/>
      <c r="AI66" s="2248" t="str">
        <f>'Energy Effic. Kits Deemed Table'!N11</f>
        <v>per measure</v>
      </c>
      <c r="AM66" s="2057">
        <f t="shared" si="17"/>
        <v>4.6608050000000002E-4</v>
      </c>
      <c r="AN66">
        <f t="shared" si="19"/>
        <v>3.9919794825000007E-2</v>
      </c>
      <c r="AO66" s="2048">
        <f t="shared" si="4"/>
        <v>-2.0517499998984334E-7</v>
      </c>
    </row>
    <row r="67" spans="2:41" x14ac:dyDescent="0.25">
      <c r="B67" s="2240" t="str">
        <f>'Energy Effic. Kits Deemed Table'!C46</f>
        <v>300150_2019_12_</v>
      </c>
      <c r="C67" s="208" t="str">
        <f>'Energy Effic. Kits Deemed Table'!G46</f>
        <v>Lighting RES</v>
      </c>
      <c r="D67" s="208"/>
      <c r="E67" s="208"/>
      <c r="F67" s="208"/>
      <c r="G67" s="208" t="str">
        <f>'Energy Effic. Kits Deemed Table'!E46</f>
        <v>LED - 10W (CFL baseline) (750-1049 lumens)</v>
      </c>
      <c r="H67" s="622" t="str">
        <f>'Energy Effic. Kits Deemed Table'!D46</f>
        <v>School</v>
      </c>
      <c r="I67" s="2084">
        <f>'Energy Effic. Kits Deemed Table'!F46</f>
        <v>2.87</v>
      </c>
      <c r="J67" s="2084">
        <v>0</v>
      </c>
      <c r="K67" s="2113">
        <v>0</v>
      </c>
      <c r="L67" s="2113">
        <v>0</v>
      </c>
      <c r="M67" s="2113">
        <v>0</v>
      </c>
      <c r="N67" s="2113">
        <v>0</v>
      </c>
      <c r="O67" s="2085">
        <f>'Energy Effic. Kits Deemed Table'!I46</f>
        <v>4.28E-4</v>
      </c>
      <c r="P67" s="2085">
        <v>0</v>
      </c>
      <c r="Q67" s="2086">
        <v>0</v>
      </c>
      <c r="R67" s="2086">
        <v>0</v>
      </c>
      <c r="S67" s="2086"/>
      <c r="T67" s="2086"/>
      <c r="U67" s="2087">
        <v>0</v>
      </c>
      <c r="V67" s="2087">
        <v>0</v>
      </c>
      <c r="W67" s="2093">
        <f t="shared" ref="W67:W74" si="33">O67</f>
        <v>4.28E-4</v>
      </c>
      <c r="X67" s="2121">
        <f>'Energy Effic. Kits Deemed Table'!J46</f>
        <v>19</v>
      </c>
      <c r="Y67" s="2121"/>
      <c r="Z67" s="88">
        <f t="shared" si="1"/>
        <v>19</v>
      </c>
      <c r="AA67" s="2088">
        <f>'Energy Effic. Kits Deemed Table'!BB46</f>
        <v>0.91346401321450899</v>
      </c>
      <c r="AB67" s="2916">
        <f>'Energy Effic. Kits Deemed Table'!K46</f>
        <v>1.95</v>
      </c>
      <c r="AC67" s="2089">
        <f t="shared" si="5"/>
        <v>1.6812221102107525</v>
      </c>
      <c r="AD67" s="2089"/>
      <c r="AE67" s="2955">
        <f>'Energy Effic. Kits Deemed Table'!BD46</f>
        <v>1.6812221102107525</v>
      </c>
      <c r="AF67" s="2956"/>
      <c r="AG67" s="2956"/>
      <c r="AH67" s="2956"/>
      <c r="AI67" s="2240" t="str">
        <f>'Energy Effic. Kits Deemed Table'!L46</f>
        <v>per measure</v>
      </c>
      <c r="AM67" s="2057">
        <f t="shared" si="17"/>
        <v>1.4925290000000001E-4</v>
      </c>
      <c r="AN67">
        <f t="shared" si="19"/>
        <v>4.2835582300000002E-4</v>
      </c>
      <c r="AO67" s="2048">
        <f t="shared" si="4"/>
        <v>3.5582300000002419E-7</v>
      </c>
    </row>
    <row r="68" spans="2:41" x14ac:dyDescent="0.25">
      <c r="B68" s="2240" t="str">
        <f>'Energy Effic. Kits Deemed Table'!C47</f>
        <v>300200_2019_12_</v>
      </c>
      <c r="C68" s="208" t="str">
        <f>'Energy Effic. Kits Deemed Table'!G47</f>
        <v>Lighting RES</v>
      </c>
      <c r="D68" s="208"/>
      <c r="E68" s="208"/>
      <c r="F68" s="208"/>
      <c r="G68" s="208" t="str">
        <f>'Energy Effic. Kits Deemed Table'!E47</f>
        <v>LED - 10W (CFL baseline) (750-1049 lumens)</v>
      </c>
      <c r="H68" s="622" t="str">
        <f>'Energy Effic. Kits Deemed Table'!D47</f>
        <v>MF</v>
      </c>
      <c r="I68" s="2084">
        <f>'Energy Effic. Kits Deemed Table'!F47</f>
        <v>4.34</v>
      </c>
      <c r="J68" s="2084">
        <v>0</v>
      </c>
      <c r="K68" s="2113">
        <v>0</v>
      </c>
      <c r="L68" s="2113">
        <v>0</v>
      </c>
      <c r="M68" s="2113">
        <v>0</v>
      </c>
      <c r="N68" s="2113">
        <v>0</v>
      </c>
      <c r="O68" s="2085">
        <f>'Energy Effic. Kits Deemed Table'!I47</f>
        <v>6.4800000000000003E-4</v>
      </c>
      <c r="P68" s="2085">
        <v>0</v>
      </c>
      <c r="Q68" s="2086">
        <v>0</v>
      </c>
      <c r="R68" s="2086">
        <v>0</v>
      </c>
      <c r="S68" s="2086"/>
      <c r="T68" s="2086"/>
      <c r="U68" s="2087">
        <v>0</v>
      </c>
      <c r="V68" s="2087">
        <v>0</v>
      </c>
      <c r="W68" s="2093">
        <f t="shared" si="33"/>
        <v>6.4800000000000003E-4</v>
      </c>
      <c r="X68" s="2121">
        <f>'Energy Effic. Kits Deemed Table'!J47</f>
        <v>19</v>
      </c>
      <c r="Y68" s="2121"/>
      <c r="Z68" s="88">
        <f t="shared" si="1"/>
        <v>19</v>
      </c>
      <c r="AA68" s="2088">
        <f>'Energy Effic. Kits Deemed Table'!BB47</f>
        <v>1.3813358248609648</v>
      </c>
      <c r="AB68" s="2916">
        <f>'Energy Effic. Kits Deemed Table'!K47</f>
        <v>1.95</v>
      </c>
      <c r="AC68" s="2089">
        <f t="shared" si="5"/>
        <v>2.5423358739772355</v>
      </c>
      <c r="AD68" s="2089"/>
      <c r="AE68" s="2955">
        <f>'Energy Effic. Kits Deemed Table'!BD47</f>
        <v>2.5423358739772355</v>
      </c>
      <c r="AF68" s="2956"/>
      <c r="AG68" s="2956"/>
      <c r="AH68" s="2956"/>
      <c r="AI68" s="2240" t="str">
        <f>'Energy Effic. Kits Deemed Table'!L47</f>
        <v>per measure</v>
      </c>
      <c r="AM68" s="2057">
        <f t="shared" si="17"/>
        <v>1.4925290000000001E-4</v>
      </c>
      <c r="AN68">
        <f t="shared" si="19"/>
        <v>6.4775758600000004E-4</v>
      </c>
      <c r="AO68" s="2048">
        <f t="shared" si="4"/>
        <v>-2.4241399999998768E-7</v>
      </c>
    </row>
    <row r="69" spans="2:41" x14ac:dyDescent="0.25">
      <c r="B69" s="2240" t="str">
        <f>'Energy Effic. Kits Deemed Table'!C48</f>
        <v>300250_2019_12_</v>
      </c>
      <c r="C69" s="208" t="str">
        <f>'Energy Effic. Kits Deemed Table'!G48</f>
        <v>Lighting RES</v>
      </c>
      <c r="D69" s="208"/>
      <c r="E69" s="208"/>
      <c r="F69" s="208"/>
      <c r="G69" s="208" t="str">
        <f>'Energy Effic. Kits Deemed Table'!E48</f>
        <v>LED - 10W (Halogen baseline) (750-1049 lumens)</v>
      </c>
      <c r="H69" s="622" t="str">
        <f>'Energy Effic. Kits Deemed Table'!D48</f>
        <v>School</v>
      </c>
      <c r="I69" s="2084">
        <f>'Energy Effic. Kits Deemed Table'!F48</f>
        <v>2.87</v>
      </c>
      <c r="J69" s="2084">
        <v>0</v>
      </c>
      <c r="K69" s="2113">
        <v>0</v>
      </c>
      <c r="L69" s="2113">
        <v>0</v>
      </c>
      <c r="M69" s="2113">
        <v>0</v>
      </c>
      <c r="N69" s="2113">
        <v>0</v>
      </c>
      <c r="O69" s="2085">
        <f>'Energy Effic. Kits Deemed Table'!I48</f>
        <v>4.28E-4</v>
      </c>
      <c r="P69" s="2085">
        <v>0</v>
      </c>
      <c r="Q69" s="2086">
        <v>0</v>
      </c>
      <c r="R69" s="2086">
        <v>0</v>
      </c>
      <c r="S69" s="2086"/>
      <c r="T69" s="2086"/>
      <c r="U69" s="2087">
        <v>0</v>
      </c>
      <c r="V69" s="2087">
        <v>0</v>
      </c>
      <c r="W69" s="2093">
        <f t="shared" si="33"/>
        <v>4.28E-4</v>
      </c>
      <c r="X69" s="2121">
        <f>'Energy Effic. Kits Deemed Table'!J48</f>
        <v>19</v>
      </c>
      <c r="Y69" s="2121"/>
      <c r="Z69" s="88">
        <f t="shared" si="1"/>
        <v>19</v>
      </c>
      <c r="AA69" s="2088">
        <f>'Energy Effic. Kits Deemed Table'!BB48</f>
        <v>0.91346401321450899</v>
      </c>
      <c r="AB69" s="2916">
        <f>'Energy Effic. Kits Deemed Table'!K48</f>
        <v>1.95</v>
      </c>
      <c r="AC69" s="2089">
        <f t="shared" si="5"/>
        <v>1.6812221102107525</v>
      </c>
      <c r="AD69" s="2089"/>
      <c r="AE69" s="2955">
        <f>'Energy Effic. Kits Deemed Table'!BD48</f>
        <v>1.6812221102107525</v>
      </c>
      <c r="AF69" s="2956"/>
      <c r="AG69" s="2956"/>
      <c r="AH69" s="2956"/>
      <c r="AI69" s="2240" t="str">
        <f>'Energy Effic. Kits Deemed Table'!L48</f>
        <v>per measure</v>
      </c>
      <c r="AM69" s="2057">
        <f t="shared" si="17"/>
        <v>1.4925290000000001E-4</v>
      </c>
      <c r="AN69">
        <f t="shared" si="19"/>
        <v>4.2835582300000002E-4</v>
      </c>
      <c r="AO69" s="2048">
        <f t="shared" si="4"/>
        <v>3.5582300000002419E-7</v>
      </c>
    </row>
    <row r="70" spans="2:41" s="132" customFormat="1" x14ac:dyDescent="0.25">
      <c r="B70" s="2307" t="str">
        <f>'Energy Effic. Kits Deemed Table'!C49</f>
        <v>300251_2020_12_</v>
      </c>
      <c r="C70" s="2305" t="str">
        <f>'Energy Effic. Kits Deemed Table'!G49</f>
        <v>Lighting RES</v>
      </c>
      <c r="D70" s="2305"/>
      <c r="E70" s="2305"/>
      <c r="F70" s="2305"/>
      <c r="G70" s="2305" t="str">
        <f>'Energy Effic. Kits Deemed Table'!E49</f>
        <v>LED - 10W (Halogen baseline) (750-1049 lumens) - LI Kit</v>
      </c>
      <c r="H70" s="2322" t="str">
        <f>'Energy Effic. Kits Deemed Table'!D49</f>
        <v>LI</v>
      </c>
      <c r="I70" s="2320">
        <f>'Energy Effic. Kits Deemed Table'!F49</f>
        <v>30.15</v>
      </c>
      <c r="J70" s="2320">
        <v>0</v>
      </c>
      <c r="K70" s="2310">
        <v>0</v>
      </c>
      <c r="L70" s="2310">
        <v>0</v>
      </c>
      <c r="M70" s="2310">
        <v>0</v>
      </c>
      <c r="N70" s="2310">
        <v>0</v>
      </c>
      <c r="O70" s="2321">
        <f>'Energy Effic. Kits Deemed Table'!I49</f>
        <v>4.5059999999999996E-3</v>
      </c>
      <c r="P70" s="2321">
        <v>0</v>
      </c>
      <c r="Q70" s="2323">
        <v>0</v>
      </c>
      <c r="R70" s="2323">
        <v>0</v>
      </c>
      <c r="S70" s="2323"/>
      <c r="T70" s="2323"/>
      <c r="U70" s="2273">
        <v>0</v>
      </c>
      <c r="V70" s="2273">
        <v>0</v>
      </c>
      <c r="W70" s="2942">
        <f t="shared" ref="W70" si="34">O70</f>
        <v>4.5059999999999996E-3</v>
      </c>
      <c r="X70" s="2299">
        <f>'Energy Effic. Kits Deemed Table'!J49</f>
        <v>19</v>
      </c>
      <c r="Y70" s="2299"/>
      <c r="Z70" s="2299">
        <f t="shared" ref="Z70" si="35">Y70+X70</f>
        <v>19</v>
      </c>
      <c r="AA70" s="2927">
        <f>'Energy Effic. Kits Deemed Table'!BB49</f>
        <v>9.5961463409120018</v>
      </c>
      <c r="AB70" s="2475">
        <f>'Energy Effic. Kits Deemed Table'!K49</f>
        <v>1.95</v>
      </c>
      <c r="AC70" s="2928">
        <f t="shared" ref="AC70" si="36">AE70+AF70</f>
        <v>17.661619032353375</v>
      </c>
      <c r="AD70" s="2928"/>
      <c r="AE70" s="2957">
        <f>'Energy Effic. Kits Deemed Table'!BD49</f>
        <v>17.661619032353375</v>
      </c>
      <c r="AF70" s="2334"/>
      <c r="AG70" s="2334"/>
      <c r="AH70" s="2334"/>
      <c r="AI70" s="2307" t="str">
        <f>'Energy Effic. Kits Deemed Table'!L49</f>
        <v>per measure</v>
      </c>
      <c r="AM70" s="2929">
        <f t="shared" si="17"/>
        <v>1.4925290000000001E-4</v>
      </c>
      <c r="AN70" s="132">
        <f t="shared" ref="AN70" si="37">AM70*I70</f>
        <v>4.4999749349999996E-3</v>
      </c>
      <c r="AO70" s="2933">
        <f t="shared" ref="AO70" si="38">AN70-O70</f>
        <v>-6.0250649999999545E-6</v>
      </c>
    </row>
    <row r="71" spans="2:41" s="132" customFormat="1" x14ac:dyDescent="0.25">
      <c r="B71" s="2307" t="str">
        <f>'Energy Effic. Kits Deemed Table'!C50</f>
        <v>300260_2020_12_</v>
      </c>
      <c r="C71" s="2305" t="str">
        <f>'Energy Effic. Kits Deemed Table'!G50</f>
        <v>Lighting RES</v>
      </c>
      <c r="D71" s="2305"/>
      <c r="E71" s="2305"/>
      <c r="F71" s="2305"/>
      <c r="G71" s="2305" t="str">
        <f>'Energy Effic. Kits Deemed Table'!E50</f>
        <v>LED - 10W (Halogen baseline) (750-1049 lumens) - ARP Kit</v>
      </c>
      <c r="H71" s="2322" t="str">
        <f>'Energy Effic. Kits Deemed Table'!D50</f>
        <v>ARP</v>
      </c>
      <c r="I71" s="2320">
        <f>'Energy Effic. Kits Deemed Table'!F50</f>
        <v>29.48</v>
      </c>
      <c r="J71" s="2320">
        <v>0</v>
      </c>
      <c r="K71" s="2310">
        <v>0</v>
      </c>
      <c r="L71" s="2310">
        <v>0</v>
      </c>
      <c r="M71" s="2310">
        <v>0</v>
      </c>
      <c r="N71" s="2310">
        <v>0</v>
      </c>
      <c r="O71" s="2321">
        <f>'Energy Effic. Kits Deemed Table'!I50</f>
        <v>4.4060000000000002E-3</v>
      </c>
      <c r="P71" s="2321">
        <v>0</v>
      </c>
      <c r="Q71" s="2323">
        <v>0</v>
      </c>
      <c r="R71" s="2323">
        <v>0</v>
      </c>
      <c r="S71" s="2323"/>
      <c r="T71" s="2323"/>
      <c r="U71" s="2273">
        <v>0</v>
      </c>
      <c r="V71" s="2273">
        <v>0</v>
      </c>
      <c r="W71" s="2942">
        <f t="shared" ref="W71" si="39">O71</f>
        <v>4.4060000000000002E-3</v>
      </c>
      <c r="X71" s="2299">
        <f>'Energy Effic. Kits Deemed Table'!J50</f>
        <v>19</v>
      </c>
      <c r="Y71" s="2299"/>
      <c r="Z71" s="2299">
        <f t="shared" ref="Z71" si="40">Y71+X71</f>
        <v>19</v>
      </c>
      <c r="AA71" s="2927">
        <f>'Energy Effic. Kits Deemed Table'!BB50</f>
        <v>9.3828986444472893</v>
      </c>
      <c r="AB71" s="2475">
        <f>'Energy Effic. Kits Deemed Table'!K50</f>
        <v>1.95</v>
      </c>
      <c r="AC71" s="2928">
        <f t="shared" ref="AC71" si="41">AE71+AF71</f>
        <v>17.269138609412188</v>
      </c>
      <c r="AD71" s="2928"/>
      <c r="AE71" s="2957">
        <f>'Energy Effic. Kits Deemed Table'!BD50</f>
        <v>17.269138609412188</v>
      </c>
      <c r="AF71" s="2334"/>
      <c r="AG71" s="2334"/>
      <c r="AH71" s="2334"/>
      <c r="AI71" s="2307" t="str">
        <f>'Energy Effic. Kits Deemed Table'!L50</f>
        <v>per measure</v>
      </c>
      <c r="AM71" s="2929">
        <f t="shared" si="17"/>
        <v>1.4925290000000001E-4</v>
      </c>
      <c r="AN71" s="132">
        <f t="shared" ref="AN71" si="42">AM71*I71</f>
        <v>4.3999754920000002E-3</v>
      </c>
      <c r="AO71" s="2933">
        <f t="shared" ref="AO71" si="43">AN71-O71</f>
        <v>-6.0245080000000117E-6</v>
      </c>
    </row>
    <row r="72" spans="2:41" x14ac:dyDescent="0.25">
      <c r="B72" s="2240" t="str">
        <f>'Energy Effic. Kits Deemed Table'!C51</f>
        <v>300300_2019_12_</v>
      </c>
      <c r="C72" s="208" t="str">
        <f>'Energy Effic. Kits Deemed Table'!G51</f>
        <v>Lighting RES</v>
      </c>
      <c r="D72" s="208"/>
      <c r="E72" s="208"/>
      <c r="F72" s="208"/>
      <c r="G72" s="208" t="str">
        <f>'Energy Effic. Kits Deemed Table'!E51</f>
        <v>LED - 10W (Halogen baseline) (750-1049 lumens)</v>
      </c>
      <c r="H72" s="622" t="str">
        <f>'Energy Effic. Kits Deemed Table'!D51</f>
        <v>MF</v>
      </c>
      <c r="I72" s="2084">
        <f>'Energy Effic. Kits Deemed Table'!F51</f>
        <v>33.5</v>
      </c>
      <c r="J72" s="2084">
        <v>0</v>
      </c>
      <c r="K72" s="2113">
        <v>0</v>
      </c>
      <c r="L72" s="2113">
        <v>0</v>
      </c>
      <c r="M72" s="2113">
        <v>0</v>
      </c>
      <c r="N72" s="2113">
        <v>0</v>
      </c>
      <c r="O72" s="2085">
        <f>'Energy Effic. Kits Deemed Table'!I51</f>
        <v>5.0000000000000001E-3</v>
      </c>
      <c r="P72" s="2085">
        <v>0</v>
      </c>
      <c r="Q72" s="2086">
        <v>0</v>
      </c>
      <c r="R72" s="2086">
        <v>0</v>
      </c>
      <c r="S72" s="2086"/>
      <c r="T72" s="2086"/>
      <c r="U72" s="2087">
        <v>0</v>
      </c>
      <c r="V72" s="2087">
        <v>0</v>
      </c>
      <c r="W72" s="2093">
        <f t="shared" si="33"/>
        <v>5.0000000000000001E-3</v>
      </c>
      <c r="X72" s="2121">
        <f>'Energy Effic. Kits Deemed Table'!J51</f>
        <v>19</v>
      </c>
      <c r="Y72" s="2121"/>
      <c r="Z72" s="88">
        <f t="shared" si="1"/>
        <v>19</v>
      </c>
      <c r="AA72" s="2088">
        <f>'Energy Effic. Kits Deemed Table'!BB51</f>
        <v>10.662384823235557</v>
      </c>
      <c r="AB72" s="2916">
        <f>'Energy Effic. Kits Deemed Table'!K51</f>
        <v>1.95</v>
      </c>
      <c r="AC72" s="2089">
        <f t="shared" si="5"/>
        <v>19.624021147059306</v>
      </c>
      <c r="AD72" s="2089"/>
      <c r="AE72" s="2955">
        <f>'Energy Effic. Kits Deemed Table'!BD51</f>
        <v>19.624021147059306</v>
      </c>
      <c r="AF72" s="2956"/>
      <c r="AG72" s="2956"/>
      <c r="AH72" s="2956"/>
      <c r="AI72" s="2240" t="str">
        <f>'Energy Effic. Kits Deemed Table'!L51</f>
        <v>per measure</v>
      </c>
      <c r="AM72" s="2057">
        <f t="shared" si="17"/>
        <v>1.4925290000000001E-4</v>
      </c>
      <c r="AN72">
        <f t="shared" si="19"/>
        <v>4.9999721500000004E-3</v>
      </c>
      <c r="AO72" s="2048">
        <f t="shared" si="4"/>
        <v>-2.7849999999739194E-8</v>
      </c>
    </row>
    <row r="73" spans="2:41" x14ac:dyDescent="0.25">
      <c r="B73" s="2240" t="str">
        <f>'Energy Effic. Kits Deemed Table'!C52</f>
        <v>300350_2019_12_</v>
      </c>
      <c r="C73" s="208" t="str">
        <f>'Energy Effic. Kits Deemed Table'!G52</f>
        <v>Lighting RES</v>
      </c>
      <c r="D73" s="208"/>
      <c r="E73" s="208"/>
      <c r="F73" s="208"/>
      <c r="G73" s="208" t="str">
        <f>'Energy Effic. Kits Deemed Table'!E52</f>
        <v>LED - 10.5W Downlight E26 (CFL baseline)</v>
      </c>
      <c r="H73" s="622" t="str">
        <f>'Energy Effic. Kits Deemed Table'!D52</f>
        <v>School</v>
      </c>
      <c r="I73" s="2084">
        <f>'Energy Effic. Kits Deemed Table'!F52</f>
        <v>22.19</v>
      </c>
      <c r="J73" s="2084">
        <v>0</v>
      </c>
      <c r="K73" s="2113">
        <v>0</v>
      </c>
      <c r="L73" s="2113">
        <v>0</v>
      </c>
      <c r="M73" s="2113">
        <v>0</v>
      </c>
      <c r="N73" s="2113">
        <v>0</v>
      </c>
      <c r="O73" s="2085">
        <f>'Energy Effic. Kits Deemed Table'!I52</f>
        <v>3.3119999999999998E-3</v>
      </c>
      <c r="P73" s="2085">
        <v>0</v>
      </c>
      <c r="Q73" s="2086">
        <v>0</v>
      </c>
      <c r="R73" s="2086">
        <v>0</v>
      </c>
      <c r="S73" s="2086"/>
      <c r="T73" s="2086"/>
      <c r="U73" s="2087">
        <v>0</v>
      </c>
      <c r="V73" s="2087">
        <v>0</v>
      </c>
      <c r="W73" s="2093">
        <f t="shared" si="33"/>
        <v>3.3119999999999998E-3</v>
      </c>
      <c r="X73" s="2121">
        <f>'Energy Effic. Kits Deemed Table'!J52</f>
        <v>19</v>
      </c>
      <c r="Y73" s="2121"/>
      <c r="Z73" s="88">
        <f t="shared" si="1"/>
        <v>19</v>
      </c>
      <c r="AA73" s="2088">
        <f>'Energy Effic. Kits Deemed Table'!BB52</f>
        <v>7.0626363948536426</v>
      </c>
      <c r="AB73" s="2916">
        <f>'Energy Effic. Kits Deemed Table'!K52</f>
        <v>1.95</v>
      </c>
      <c r="AC73" s="2089">
        <f t="shared" si="5"/>
        <v>12.998717291141672</v>
      </c>
      <c r="AD73" s="2089"/>
      <c r="AE73" s="2955">
        <f>'Energy Effic. Kits Deemed Table'!BD52</f>
        <v>12.998717291141672</v>
      </c>
      <c r="AF73" s="2956"/>
      <c r="AG73" s="2956"/>
      <c r="AH73" s="2956"/>
      <c r="AI73" s="2240" t="str">
        <f>'Energy Effic. Kits Deemed Table'!L52</f>
        <v>per measure</v>
      </c>
      <c r="AM73" s="2057">
        <f t="shared" ref="AM73:AM105" si="44">VLOOKUP(C73,$AS$10:$AT$32,2,FALSE)</f>
        <v>1.4925290000000001E-4</v>
      </c>
      <c r="AN73">
        <f t="shared" si="19"/>
        <v>3.3119218510000003E-3</v>
      </c>
      <c r="AO73" s="2048">
        <f t="shared" si="4"/>
        <v>-7.8148999999548552E-8</v>
      </c>
    </row>
    <row r="74" spans="2:41" x14ac:dyDescent="0.25">
      <c r="B74" s="2240" t="str">
        <f>'Energy Effic. Kits Deemed Table'!C53</f>
        <v>300400_2019_12_</v>
      </c>
      <c r="C74" s="208" t="str">
        <f>'Energy Effic. Kits Deemed Table'!G53</f>
        <v>Lighting RES</v>
      </c>
      <c r="D74" s="208"/>
      <c r="E74" s="208"/>
      <c r="F74" s="208"/>
      <c r="G74" s="208" t="str">
        <f>'Energy Effic. Kits Deemed Table'!E53</f>
        <v>LED - 10.5W Downlight E26 (CFL baseline)</v>
      </c>
      <c r="H74" s="622" t="str">
        <f>'Energy Effic. Kits Deemed Table'!D53</f>
        <v>MF</v>
      </c>
      <c r="I74" s="2084">
        <f>'Energy Effic. Kits Deemed Table'!F53</f>
        <v>33.5</v>
      </c>
      <c r="J74" s="2084">
        <v>0</v>
      </c>
      <c r="K74" s="2113">
        <v>0</v>
      </c>
      <c r="L74" s="2113">
        <v>0</v>
      </c>
      <c r="M74" s="2113">
        <v>0</v>
      </c>
      <c r="N74" s="2113">
        <v>0</v>
      </c>
      <c r="O74" s="2085">
        <f>'Energy Effic. Kits Deemed Table'!I53</f>
        <v>5.0000000000000001E-3</v>
      </c>
      <c r="P74" s="2085">
        <v>0</v>
      </c>
      <c r="Q74" s="2086">
        <v>0</v>
      </c>
      <c r="R74" s="2086">
        <v>0</v>
      </c>
      <c r="S74" s="2086"/>
      <c r="T74" s="2086"/>
      <c r="U74" s="2087">
        <v>0</v>
      </c>
      <c r="V74" s="2087">
        <v>0</v>
      </c>
      <c r="W74" s="2093">
        <f t="shared" si="33"/>
        <v>5.0000000000000001E-3</v>
      </c>
      <c r="X74" s="2121">
        <f>'Energy Effic. Kits Deemed Table'!J53</f>
        <v>19</v>
      </c>
      <c r="Y74" s="2121"/>
      <c r="Z74" s="88">
        <f t="shared" si="1"/>
        <v>19</v>
      </c>
      <c r="AA74" s="2088">
        <f>'Energy Effic. Kits Deemed Table'!BB53</f>
        <v>10.662384823235557</v>
      </c>
      <c r="AB74" s="2916">
        <f>'Energy Effic. Kits Deemed Table'!K53</f>
        <v>1.95</v>
      </c>
      <c r="AC74" s="2089">
        <f t="shared" si="5"/>
        <v>19.624021147059306</v>
      </c>
      <c r="AD74" s="2089"/>
      <c r="AE74" s="2955">
        <f>'Energy Effic. Kits Deemed Table'!BD53</f>
        <v>19.624021147059306</v>
      </c>
      <c r="AF74" s="2956"/>
      <c r="AG74" s="2956"/>
      <c r="AH74" s="2956"/>
      <c r="AI74" s="2240" t="str">
        <f>'Energy Effic. Kits Deemed Table'!L53</f>
        <v>per measure</v>
      </c>
      <c r="AM74" s="2057">
        <f t="shared" si="44"/>
        <v>1.4925290000000001E-4</v>
      </c>
      <c r="AN74">
        <f t="shared" si="19"/>
        <v>4.9999721500000004E-3</v>
      </c>
      <c r="AO74" s="2048">
        <f t="shared" si="4"/>
        <v>-2.7849999999739194E-8</v>
      </c>
    </row>
    <row r="75" spans="2:41" s="132" customFormat="1" x14ac:dyDescent="0.25">
      <c r="B75" s="2307" t="str">
        <f>'Energy Effic. Kits Deemed Table'!C54</f>
        <v>300401_2020_12_</v>
      </c>
      <c r="C75" s="2305" t="str">
        <f>'Energy Effic. Kits Deemed Table'!G54</f>
        <v>Lighting RES</v>
      </c>
      <c r="D75" s="2305"/>
      <c r="E75" s="2305"/>
      <c r="F75" s="2305"/>
      <c r="G75" s="2305" t="str">
        <f>'Energy Effic. Kits Deemed Table'!E54</f>
        <v>LED 8W Globe Light G25 Bulb (Halogen Baseline) - LI Kit</v>
      </c>
      <c r="H75" s="2322" t="str">
        <f>'Energy Effic. Kits Deemed Table'!D54</f>
        <v>LI</v>
      </c>
      <c r="I75" s="2320">
        <f>'Energy Effic. Kits Deemed Table'!F54</f>
        <v>5.14</v>
      </c>
      <c r="J75" s="2320">
        <v>0</v>
      </c>
      <c r="K75" s="2310">
        <v>0</v>
      </c>
      <c r="L75" s="2310">
        <v>0</v>
      </c>
      <c r="M75" s="2310">
        <v>0</v>
      </c>
      <c r="N75" s="2310">
        <v>0</v>
      </c>
      <c r="O75" s="2321">
        <f>'Energy Effic. Kits Deemed Table'!I54</f>
        <v>7.6900000000000004E-4</v>
      </c>
      <c r="P75" s="2321">
        <v>0</v>
      </c>
      <c r="Q75" s="2323">
        <v>0</v>
      </c>
      <c r="R75" s="2323">
        <v>0</v>
      </c>
      <c r="S75" s="2323"/>
      <c r="T75" s="2323"/>
      <c r="U75" s="2273">
        <v>0</v>
      </c>
      <c r="V75" s="2273">
        <v>0</v>
      </c>
      <c r="W75" s="2942">
        <f t="shared" ref="W75" si="45">O75</f>
        <v>7.6900000000000004E-4</v>
      </c>
      <c r="X75" s="2299">
        <f>'Energy Effic. Kits Deemed Table'!J54</f>
        <v>19</v>
      </c>
      <c r="Y75" s="2299"/>
      <c r="Z75" s="2299">
        <f t="shared" ref="Z75" si="46">Y75+X75</f>
        <v>19</v>
      </c>
      <c r="AA75" s="2927">
        <f>'Energy Effic. Kits Deemed Table'!BB54</f>
        <v>1.6359599400427092</v>
      </c>
      <c r="AB75" s="2475">
        <f>'Energy Effic. Kits Deemed Table'!K54</f>
        <v>1.95</v>
      </c>
      <c r="AC75" s="2928">
        <f t="shared" ref="AC75" si="47">AE75+AF75</f>
        <v>3.010969214802532</v>
      </c>
      <c r="AD75" s="2928"/>
      <c r="AE75" s="2957">
        <f>'Energy Effic. Kits Deemed Table'!BD54</f>
        <v>3.010969214802532</v>
      </c>
      <c r="AF75" s="2334"/>
      <c r="AG75" s="2334"/>
      <c r="AH75" s="2334"/>
      <c r="AI75" s="2307" t="str">
        <f>'Energy Effic. Kits Deemed Table'!L54</f>
        <v>per measure</v>
      </c>
      <c r="AM75" s="2929">
        <f t="shared" si="44"/>
        <v>1.4925290000000001E-4</v>
      </c>
      <c r="AN75" s="132">
        <f t="shared" ref="AN75" si="48">AM75*I75</f>
        <v>7.6715990599999996E-4</v>
      </c>
      <c r="AO75" s="2933">
        <f t="shared" ref="AO75" si="49">AN75-O75</f>
        <v>-1.8400940000000811E-6</v>
      </c>
    </row>
    <row r="76" spans="2:41" s="132" customFormat="1" x14ac:dyDescent="0.25">
      <c r="B76" s="2307" t="str">
        <f>'Energy Effic. Kits Deemed Table'!C55</f>
        <v>300402_2020_12_</v>
      </c>
      <c r="C76" s="2305" t="str">
        <f>'Energy Effic. Kits Deemed Table'!G55</f>
        <v>Lighting RES</v>
      </c>
      <c r="D76" s="2305"/>
      <c r="E76" s="2305"/>
      <c r="F76" s="2305"/>
      <c r="G76" s="2305" t="str">
        <f>'Energy Effic. Kits Deemed Table'!E55</f>
        <v>LED 20W (Halogen baseline) (1490-2600 lumens) - LI Kit</v>
      </c>
      <c r="H76" s="2322" t="str">
        <f>'Energy Effic. Kits Deemed Table'!D55</f>
        <v>LI</v>
      </c>
      <c r="I76" s="2320">
        <f>'Energy Effic. Kits Deemed Table'!F55</f>
        <v>50.36</v>
      </c>
      <c r="J76" s="2320">
        <v>0</v>
      </c>
      <c r="K76" s="2310">
        <v>0</v>
      </c>
      <c r="L76" s="2310">
        <v>0</v>
      </c>
      <c r="M76" s="2310">
        <v>0</v>
      </c>
      <c r="N76" s="2310">
        <v>0</v>
      </c>
      <c r="O76" s="2321">
        <f>'Energy Effic. Kits Deemed Table'!I55</f>
        <v>7.5269999999999998E-3</v>
      </c>
      <c r="P76" s="2321">
        <v>0</v>
      </c>
      <c r="Q76" s="2323">
        <v>0</v>
      </c>
      <c r="R76" s="2323">
        <v>0</v>
      </c>
      <c r="S76" s="2323"/>
      <c r="T76" s="2323"/>
      <c r="U76" s="2273">
        <v>0</v>
      </c>
      <c r="V76" s="2273">
        <v>0</v>
      </c>
      <c r="W76" s="2942">
        <f t="shared" ref="W76:W77" si="50">O76</f>
        <v>7.5269999999999998E-3</v>
      </c>
      <c r="X76" s="2299">
        <f>'Energy Effic. Kits Deemed Table'!J55</f>
        <v>19</v>
      </c>
      <c r="Y76" s="2299"/>
      <c r="Z76" s="2299">
        <f t="shared" ref="Z76:Z77" si="51">Y76+X76</f>
        <v>19</v>
      </c>
      <c r="AA76" s="2927">
        <f>'Energy Effic. Kits Deemed Table'!BB55</f>
        <v>16.028588050690825</v>
      </c>
      <c r="AB76" s="2475">
        <f>'Energy Effic. Kits Deemed Table'!K55</f>
        <v>1.95</v>
      </c>
      <c r="AC76" s="2928">
        <f t="shared" ref="AC76:AC77" si="52">AE76+AF76</f>
        <v>29.500468804952437</v>
      </c>
      <c r="AD76" s="2928"/>
      <c r="AE76" s="2957">
        <f>'Energy Effic. Kits Deemed Table'!BD55</f>
        <v>29.500468804952437</v>
      </c>
      <c r="AF76" s="2334"/>
      <c r="AG76" s="2334"/>
      <c r="AH76" s="2334"/>
      <c r="AI76" s="2307" t="str">
        <f>'Energy Effic. Kits Deemed Table'!L55</f>
        <v>per measure</v>
      </c>
      <c r="AM76" s="2929">
        <f t="shared" si="44"/>
        <v>1.4925290000000001E-4</v>
      </c>
      <c r="AN76" s="132">
        <f t="shared" ref="AN76:AN77" si="53">AM76*I76</f>
        <v>7.5163760440000007E-3</v>
      </c>
      <c r="AO76" s="2933">
        <f t="shared" ref="AO76:AO77" si="54">AN76-O76</f>
        <v>-1.0623955999999185E-5</v>
      </c>
    </row>
    <row r="77" spans="2:41" s="132" customFormat="1" x14ac:dyDescent="0.25">
      <c r="B77" s="2307" t="str">
        <f>'Energy Effic. Kits Deemed Table'!C56</f>
        <v>300403_2020_12_</v>
      </c>
      <c r="C77" s="2305" t="str">
        <f>'Energy Effic. Kits Deemed Table'!G56</f>
        <v>Lighting RES</v>
      </c>
      <c r="D77" s="2305"/>
      <c r="E77" s="2305"/>
      <c r="F77" s="2305"/>
      <c r="G77" s="2305" t="str">
        <f>'Energy Effic. Kits Deemed Table'!E56</f>
        <v>LED 15W Flood Light PAR30 Bulb (Halogen Baseline) - LI Kit</v>
      </c>
      <c r="H77" s="2322" t="str">
        <f>'Energy Effic. Kits Deemed Table'!D56</f>
        <v>LI</v>
      </c>
      <c r="I77" s="2320">
        <f>'Energy Effic. Kits Deemed Table'!F56</f>
        <v>45.49</v>
      </c>
      <c r="J77" s="2320">
        <v>0</v>
      </c>
      <c r="K77" s="2310">
        <v>0</v>
      </c>
      <c r="L77" s="2310">
        <v>0</v>
      </c>
      <c r="M77" s="2310">
        <v>0</v>
      </c>
      <c r="N77" s="2310">
        <v>0</v>
      </c>
      <c r="O77" s="2321">
        <f>'Energy Effic. Kits Deemed Table'!I56</f>
        <v>6.7980000000000002E-3</v>
      </c>
      <c r="P77" s="2321">
        <v>0</v>
      </c>
      <c r="Q77" s="2323">
        <v>0</v>
      </c>
      <c r="R77" s="2323">
        <v>0</v>
      </c>
      <c r="S77" s="2323"/>
      <c r="T77" s="2323"/>
      <c r="U77" s="2273">
        <v>0</v>
      </c>
      <c r="V77" s="2273">
        <v>0</v>
      </c>
      <c r="W77" s="2942">
        <f t="shared" si="50"/>
        <v>6.7980000000000002E-3</v>
      </c>
      <c r="X77" s="2299">
        <f>'Energy Effic. Kits Deemed Table'!J56</f>
        <v>19</v>
      </c>
      <c r="Y77" s="2299"/>
      <c r="Z77" s="2299">
        <f t="shared" si="51"/>
        <v>19</v>
      </c>
      <c r="AA77" s="2927">
        <f>'Energy Effic. Kits Deemed Table'!BB56</f>
        <v>14.478563749521957</v>
      </c>
      <c r="AB77" s="2475">
        <f>'Energy Effic. Kits Deemed Table'!K56</f>
        <v>1.95</v>
      </c>
      <c r="AC77" s="2928">
        <f t="shared" si="52"/>
        <v>26.647663342678445</v>
      </c>
      <c r="AD77" s="2928"/>
      <c r="AE77" s="2957">
        <f>'Energy Effic. Kits Deemed Table'!BD56</f>
        <v>26.647663342678445</v>
      </c>
      <c r="AF77" s="2334"/>
      <c r="AG77" s="2334"/>
      <c r="AH77" s="2334"/>
      <c r="AI77" s="2307" t="str">
        <f>'Energy Effic. Kits Deemed Table'!L56</f>
        <v>per measure</v>
      </c>
      <c r="AM77" s="2929">
        <f t="shared" si="44"/>
        <v>1.4925290000000001E-4</v>
      </c>
      <c r="AN77" s="132">
        <f t="shared" si="53"/>
        <v>6.7895144210000005E-3</v>
      </c>
      <c r="AO77" s="2933">
        <f t="shared" si="54"/>
        <v>-8.4855789999997711E-6</v>
      </c>
    </row>
    <row r="78" spans="2:41" x14ac:dyDescent="0.25">
      <c r="B78" s="2240" t="str">
        <f>'Energy Effic. Kits Deemed Table'!C100</f>
        <v>300450_2019_12_</v>
      </c>
      <c r="C78" s="208" t="str">
        <f>'Energy Effic. Kits Deemed Table'!G100</f>
        <v>Water Heating RES</v>
      </c>
      <c r="D78" s="208"/>
      <c r="E78" s="208"/>
      <c r="F78" s="208"/>
      <c r="G78" s="208" t="str">
        <f>'Energy Effic. Kits Deemed Table'!E100</f>
        <v>Kit Faucet Aerator (Kitchen)</v>
      </c>
      <c r="H78" s="622" t="str">
        <f>'Energy Effic. Kits Deemed Table'!D100</f>
        <v>School</v>
      </c>
      <c r="I78" s="2084">
        <f>'Energy Effic. Kits Deemed Table'!F100</f>
        <v>29.75</v>
      </c>
      <c r="J78" s="2084">
        <v>0</v>
      </c>
      <c r="K78" s="2113">
        <v>0</v>
      </c>
      <c r="L78" s="2113">
        <v>0</v>
      </c>
      <c r="M78" s="2113">
        <v>0</v>
      </c>
      <c r="N78" s="2113">
        <v>0</v>
      </c>
      <c r="O78" s="2085">
        <f>'Energy Effic. Kits Deemed Table'!J100</f>
        <v>2.64E-3</v>
      </c>
      <c r="P78" s="2085">
        <v>0</v>
      </c>
      <c r="Q78" s="2086">
        <v>0</v>
      </c>
      <c r="R78" s="2086">
        <v>0</v>
      </c>
      <c r="S78" s="2086"/>
      <c r="T78" s="2086"/>
      <c r="U78" s="2087">
        <v>0</v>
      </c>
      <c r="V78" s="2087">
        <f>O78</f>
        <v>2.64E-3</v>
      </c>
      <c r="W78" s="2087">
        <v>0</v>
      </c>
      <c r="X78" s="2121">
        <f>'Energy Effic. Kits Deemed Table'!K100</f>
        <v>10</v>
      </c>
      <c r="Y78" s="2121"/>
      <c r="Z78" s="88">
        <f t="shared" si="1"/>
        <v>10</v>
      </c>
      <c r="AA78" s="2088">
        <f>'Energy Effic. Kits Deemed Table'!BB100</f>
        <v>3.5437176082643913</v>
      </c>
      <c r="AB78" s="2916">
        <f>'Energy Effic. Kits Deemed Table'!L100</f>
        <v>3</v>
      </c>
      <c r="AC78" s="2089">
        <f t="shared" si="5"/>
        <v>10.034122534019041</v>
      </c>
      <c r="AD78" s="2089"/>
      <c r="AE78" s="2955">
        <f>'Energy Effic. Kits Deemed Table'!BD100</f>
        <v>10.034122534019041</v>
      </c>
      <c r="AF78" s="2956"/>
      <c r="AG78" s="2956"/>
      <c r="AH78" s="2956"/>
      <c r="AI78" s="2260" t="str">
        <f>'Energy Effic. Kits Deemed Table'!M100</f>
        <v>per measure</v>
      </c>
      <c r="AM78" s="2057">
        <f t="shared" si="44"/>
        <v>8.8731800000000003E-5</v>
      </c>
      <c r="AN78">
        <f t="shared" si="19"/>
        <v>2.6397710500000002E-3</v>
      </c>
      <c r="AO78" s="2048">
        <f t="shared" si="4"/>
        <v>-2.289499999997939E-7</v>
      </c>
    </row>
    <row r="79" spans="2:41" s="132" customFormat="1" x14ac:dyDescent="0.25">
      <c r="B79" s="2307" t="str">
        <f>'Energy Effic. Kits Deemed Table'!C101</f>
        <v>300460_2020_12_</v>
      </c>
      <c r="C79" s="2305" t="str">
        <f>'Energy Effic. Kits Deemed Table'!G101</f>
        <v>Water Heating RES</v>
      </c>
      <c r="D79" s="2305"/>
      <c r="E79" s="2305"/>
      <c r="F79" s="2305"/>
      <c r="G79" s="2305" t="str">
        <f>'Energy Effic. Kits Deemed Table'!E101</f>
        <v>Kit Faucet Aerator (Kitchen) - ARP Kits</v>
      </c>
      <c r="H79" s="2322" t="str">
        <f>'Energy Effic. Kits Deemed Table'!D101</f>
        <v>ARP</v>
      </c>
      <c r="I79" s="2320">
        <f>'Energy Effic. Kits Deemed Table'!F101</f>
        <v>12.77</v>
      </c>
      <c r="J79" s="2320">
        <v>0</v>
      </c>
      <c r="K79" s="2310">
        <v>0</v>
      </c>
      <c r="L79" s="2310">
        <v>0</v>
      </c>
      <c r="M79" s="2310">
        <v>0</v>
      </c>
      <c r="N79" s="2310">
        <v>0</v>
      </c>
      <c r="O79" s="2321">
        <f>'Energy Effic. Kits Deemed Table'!J101</f>
        <v>8.1499999999999997E-4</v>
      </c>
      <c r="P79" s="2321">
        <v>0</v>
      </c>
      <c r="Q79" s="2323">
        <v>0</v>
      </c>
      <c r="R79" s="2323">
        <v>0</v>
      </c>
      <c r="S79" s="2323"/>
      <c r="T79" s="2323"/>
      <c r="U79" s="2273">
        <v>0</v>
      </c>
      <c r="V79" s="2273">
        <f>O79</f>
        <v>8.1499999999999997E-4</v>
      </c>
      <c r="W79" s="2273">
        <v>0</v>
      </c>
      <c r="X79" s="2299">
        <f>'Energy Effic. Kits Deemed Table'!K101</f>
        <v>10</v>
      </c>
      <c r="Y79" s="2299"/>
      <c r="Z79" s="2299">
        <f t="shared" ref="Z79" si="55">Y79+X79</f>
        <v>10</v>
      </c>
      <c r="AA79" s="2927">
        <f>'Energy Effic. Kits Deemed Table'!BB101</f>
        <v>1.521118448992816</v>
      </c>
      <c r="AB79" s="2475">
        <f>'Energy Effic. Kits Deemed Table'!L101</f>
        <v>3</v>
      </c>
      <c r="AC79" s="2928">
        <f t="shared" ref="AC79" si="56">AE79+AF79</f>
        <v>4.3070838574596015</v>
      </c>
      <c r="AD79" s="2928"/>
      <c r="AE79" s="2957">
        <f>'Energy Effic. Kits Deemed Table'!BD101</f>
        <v>4.3070838574596015</v>
      </c>
      <c r="AF79" s="2334"/>
      <c r="AG79" s="2334"/>
      <c r="AH79" s="2334"/>
      <c r="AI79" s="2946" t="str">
        <f>'Energy Effic. Kits Deemed Table'!M101</f>
        <v>per measure</v>
      </c>
      <c r="AM79" s="2929">
        <f t="shared" si="44"/>
        <v>8.8731800000000003E-5</v>
      </c>
      <c r="AN79" s="132">
        <f t="shared" ref="AN79" si="57">AM79*I79</f>
        <v>1.133105086E-3</v>
      </c>
      <c r="AO79" s="2933">
        <f t="shared" ref="AO79" si="58">AN79-O79</f>
        <v>3.1810508600000004E-4</v>
      </c>
    </row>
    <row r="80" spans="2:41" x14ac:dyDescent="0.25">
      <c r="B80" s="2240" t="str">
        <f>'Energy Effic. Kits Deemed Table'!C102</f>
        <v>300500_2019_12_</v>
      </c>
      <c r="C80" s="208" t="str">
        <f>'Energy Effic. Kits Deemed Table'!G102</f>
        <v>Water Heating RES</v>
      </c>
      <c r="D80" s="208"/>
      <c r="E80" s="208"/>
      <c r="F80" s="208"/>
      <c r="G80" s="208" t="str">
        <f>'Energy Effic. Kits Deemed Table'!E102</f>
        <v>Kit Faucet Aerator (Kitchen)</v>
      </c>
      <c r="H80" s="622" t="str">
        <f>'Energy Effic. Kits Deemed Table'!D102</f>
        <v>MF</v>
      </c>
      <c r="I80" s="2084">
        <f>'Energy Effic. Kits Deemed Table'!F102</f>
        <v>99.55</v>
      </c>
      <c r="J80" s="2084">
        <v>0</v>
      </c>
      <c r="K80" s="2113">
        <v>0</v>
      </c>
      <c r="L80" s="2113">
        <v>0</v>
      </c>
      <c r="M80" s="2113">
        <v>0</v>
      </c>
      <c r="N80" s="2113">
        <v>0</v>
      </c>
      <c r="O80" s="2085">
        <f>'Energy Effic. Kits Deemed Table'!J102</f>
        <v>8.8330000000000006E-3</v>
      </c>
      <c r="P80" s="2085">
        <v>0</v>
      </c>
      <c r="Q80" s="2086">
        <v>0</v>
      </c>
      <c r="R80" s="2086">
        <v>0</v>
      </c>
      <c r="S80" s="2086"/>
      <c r="T80" s="2086"/>
      <c r="U80" s="2087">
        <v>0</v>
      </c>
      <c r="V80" s="2087">
        <f t="shared" ref="V80:V103" si="59">O80</f>
        <v>8.8330000000000006E-3</v>
      </c>
      <c r="W80" s="2087">
        <v>0</v>
      </c>
      <c r="X80" s="2121">
        <f>'Energy Effic. Kits Deemed Table'!K102</f>
        <v>10</v>
      </c>
      <c r="Y80" s="2121"/>
      <c r="Z80" s="88">
        <f t="shared" si="1"/>
        <v>10</v>
      </c>
      <c r="AA80" s="2088">
        <f>'Energy Effic. Kits Deemed Table'!BB102</f>
        <v>11.858053374881349</v>
      </c>
      <c r="AB80" s="2916">
        <f>'Energy Effic. Kits Deemed Table'!L102</f>
        <v>3</v>
      </c>
      <c r="AC80" s="2089">
        <f t="shared" si="5"/>
        <v>33.576366328120855</v>
      </c>
      <c r="AD80" s="2089"/>
      <c r="AE80" s="2955">
        <f>'Energy Effic. Kits Deemed Table'!BD102</f>
        <v>33.576366328120855</v>
      </c>
      <c r="AF80" s="2956"/>
      <c r="AG80" s="2956"/>
      <c r="AH80" s="2956"/>
      <c r="AI80" s="2260" t="str">
        <f>'Energy Effic. Kits Deemed Table'!M102</f>
        <v>per measure</v>
      </c>
      <c r="AM80" s="2057">
        <f t="shared" si="44"/>
        <v>8.8731800000000003E-5</v>
      </c>
      <c r="AN80">
        <f t="shared" si="19"/>
        <v>8.8332506900000007E-3</v>
      </c>
      <c r="AO80" s="2048">
        <f t="shared" si="4"/>
        <v>2.50690000000095E-7</v>
      </c>
    </row>
    <row r="81" spans="2:41" s="132" customFormat="1" x14ac:dyDescent="0.25">
      <c r="B81" s="2307" t="str">
        <f>'Energy Effic. Kits Deemed Table'!C103</f>
        <v>300501_2020_12_</v>
      </c>
      <c r="C81" s="2305" t="str">
        <f>'Energy Effic. Kits Deemed Table'!G103</f>
        <v>Water Heating RES</v>
      </c>
      <c r="D81" s="2305"/>
      <c r="E81" s="2305"/>
      <c r="F81" s="2305"/>
      <c r="G81" s="2305" t="str">
        <f>'Energy Effic. Kits Deemed Table'!E103</f>
        <v>Kit Faucet Aerator (Kitchen) - SFLI Kits</v>
      </c>
      <c r="H81" s="2322" t="str">
        <f>'Energy Effic. Kits Deemed Table'!D103</f>
        <v>LI</v>
      </c>
      <c r="I81" s="2320">
        <f>'Energy Effic. Kits Deemed Table'!F103</f>
        <v>43.69</v>
      </c>
      <c r="J81" s="2320">
        <v>0</v>
      </c>
      <c r="K81" s="2310">
        <v>0</v>
      </c>
      <c r="L81" s="2310">
        <v>0</v>
      </c>
      <c r="M81" s="2310">
        <v>0</v>
      </c>
      <c r="N81" s="2310">
        <v>0</v>
      </c>
      <c r="O81" s="2321">
        <f>'Energy Effic. Kits Deemed Table'!J103</f>
        <v>3.8730000000000001E-3</v>
      </c>
      <c r="P81" s="2321">
        <v>0</v>
      </c>
      <c r="Q81" s="2323">
        <v>0</v>
      </c>
      <c r="R81" s="2323">
        <v>0</v>
      </c>
      <c r="S81" s="2323"/>
      <c r="T81" s="2323"/>
      <c r="U81" s="2273">
        <v>0</v>
      </c>
      <c r="V81" s="2273">
        <f>O81</f>
        <v>3.8730000000000001E-3</v>
      </c>
      <c r="W81" s="2273">
        <v>0</v>
      </c>
      <c r="X81" s="2299">
        <f>'Energy Effic. Kits Deemed Table'!K103</f>
        <v>10</v>
      </c>
      <c r="Y81" s="2299"/>
      <c r="Z81" s="2299">
        <f t="shared" si="1"/>
        <v>10</v>
      </c>
      <c r="AA81" s="2927">
        <f>'Energy Effic. Kits Deemed Table'!BB103</f>
        <v>5.2042024304225638</v>
      </c>
      <c r="AB81" s="2475">
        <f>'Energy Effic. Kits Deemed Table'!L103</f>
        <v>3</v>
      </c>
      <c r="AC81" s="2928">
        <f t="shared" si="5"/>
        <v>14.735825664245105</v>
      </c>
      <c r="AD81" s="2928"/>
      <c r="AE81" s="2957">
        <f>'Energy Effic. Kits Deemed Table'!BD103</f>
        <v>14.735825664245105</v>
      </c>
      <c r="AF81" s="2334"/>
      <c r="AG81" s="2334"/>
      <c r="AH81" s="2334"/>
      <c r="AI81" s="2946" t="str">
        <f>'Energy Effic. Kits Deemed Table'!M103</f>
        <v>per measure</v>
      </c>
      <c r="AM81" s="2929">
        <f t="shared" si="44"/>
        <v>8.8731800000000003E-5</v>
      </c>
      <c r="AN81" s="132">
        <f t="shared" si="19"/>
        <v>3.8766923420000001E-3</v>
      </c>
      <c r="AO81" s="2933">
        <f t="shared" si="4"/>
        <v>3.6923419999999527E-6</v>
      </c>
    </row>
    <row r="82" spans="2:41" x14ac:dyDescent="0.25">
      <c r="B82" s="2240" t="str">
        <f>'Energy Effic. Kits Deemed Table'!C152</f>
        <v>300550_2019_12_</v>
      </c>
      <c r="C82" s="208" t="str">
        <f>'Energy Effic. Kits Deemed Table'!G152</f>
        <v>Water Heating RES</v>
      </c>
      <c r="D82" s="208"/>
      <c r="E82" s="208"/>
      <c r="F82" s="208"/>
      <c r="G82" s="208" t="str">
        <f>'Energy Effic. Kits Deemed Table'!E152</f>
        <v>Kit Faucet Aerator (Bathroom)</v>
      </c>
      <c r="H82" s="622" t="str">
        <f>'Energy Effic. Kits Deemed Table'!D152</f>
        <v>School</v>
      </c>
      <c r="I82" s="2084">
        <f>'Energy Effic. Kits Deemed Table'!F152</f>
        <v>6.17</v>
      </c>
      <c r="J82" s="2084">
        <v>0</v>
      </c>
      <c r="K82" s="2113">
        <v>0</v>
      </c>
      <c r="L82" s="2113">
        <v>0</v>
      </c>
      <c r="M82" s="2113">
        <v>0</v>
      </c>
      <c r="N82" s="2113">
        <v>0</v>
      </c>
      <c r="O82" s="2085">
        <f>'Energy Effic. Kits Deemed Table'!J152</f>
        <v>5.4699999999999996E-4</v>
      </c>
      <c r="P82" s="2085">
        <v>0</v>
      </c>
      <c r="Q82" s="2086">
        <v>0</v>
      </c>
      <c r="R82" s="2086">
        <v>0</v>
      </c>
      <c r="S82" s="2086"/>
      <c r="T82" s="2086"/>
      <c r="U82" s="2087">
        <v>0</v>
      </c>
      <c r="V82" s="2087">
        <f t="shared" si="59"/>
        <v>5.4699999999999996E-4</v>
      </c>
      <c r="W82" s="2087">
        <v>0</v>
      </c>
      <c r="X82" s="2121">
        <f>'Energy Effic. Kits Deemed Table'!K152</f>
        <v>10</v>
      </c>
      <c r="Y82" s="2121"/>
      <c r="Z82" s="88">
        <f t="shared" si="1"/>
        <v>10</v>
      </c>
      <c r="AA82" s="2088">
        <f>'Energy Effic. Kits Deemed Table'!BB152</f>
        <v>0.73494916447029568</v>
      </c>
      <c r="AB82" s="2916">
        <f>'Energy Effic. Kits Deemed Table'!L152</f>
        <v>3</v>
      </c>
      <c r="AC82" s="2089">
        <f t="shared" si="5"/>
        <v>2.0810264213410918</v>
      </c>
      <c r="AD82" s="2089"/>
      <c r="AE82" s="2955">
        <f>'Energy Effic. Kits Deemed Table'!BD152</f>
        <v>2.0810264213410918</v>
      </c>
      <c r="AF82" s="2956"/>
      <c r="AG82" s="2956"/>
      <c r="AH82" s="2956"/>
      <c r="AI82" s="2260" t="str">
        <f>'Energy Effic. Kits Deemed Table'!M152</f>
        <v>per measure</v>
      </c>
      <c r="AM82" s="2057">
        <f t="shared" si="44"/>
        <v>8.8731800000000003E-5</v>
      </c>
      <c r="AN82">
        <f t="shared" si="19"/>
        <v>5.47475206E-4</v>
      </c>
      <c r="AO82" s="2048">
        <f t="shared" si="4"/>
        <v>4.7520600000004222E-7</v>
      </c>
    </row>
    <row r="83" spans="2:41" s="132" customFormat="1" x14ac:dyDescent="0.25">
      <c r="B83" s="2307" t="str">
        <f>'Energy Effic. Kits Deemed Table'!C153</f>
        <v>300560_2020_12_</v>
      </c>
      <c r="C83" s="2305" t="str">
        <f>'Energy Effic. Kits Deemed Table'!G153</f>
        <v>Water Heating RES</v>
      </c>
      <c r="D83" s="2305"/>
      <c r="E83" s="2305"/>
      <c r="F83" s="2305"/>
      <c r="G83" s="2305" t="str">
        <f>'Energy Effic. Kits Deemed Table'!E153</f>
        <v>Kit Faucet Aerator (Bathroom) - ARP Kits</v>
      </c>
      <c r="H83" s="2322" t="str">
        <f>'Energy Effic. Kits Deemed Table'!D153</f>
        <v>ARP</v>
      </c>
      <c r="I83" s="2320">
        <f>'Energy Effic. Kits Deemed Table'!F153</f>
        <v>2.65</v>
      </c>
      <c r="J83" s="2320">
        <v>0</v>
      </c>
      <c r="K83" s="2310">
        <v>0</v>
      </c>
      <c r="L83" s="2310">
        <v>0</v>
      </c>
      <c r="M83" s="2310">
        <v>0</v>
      </c>
      <c r="N83" s="2310">
        <v>0</v>
      </c>
      <c r="O83" s="2321">
        <f>'Energy Effic. Kits Deemed Table'!J153</f>
        <v>2.3499999999999999E-4</v>
      </c>
      <c r="P83" s="2321">
        <v>0</v>
      </c>
      <c r="Q83" s="2323">
        <v>0</v>
      </c>
      <c r="R83" s="2323">
        <v>0</v>
      </c>
      <c r="S83" s="2323"/>
      <c r="T83" s="2323"/>
      <c r="U83" s="2273">
        <v>0</v>
      </c>
      <c r="V83" s="2273">
        <f t="shared" ref="V83" si="60">O83</f>
        <v>2.3499999999999999E-4</v>
      </c>
      <c r="W83" s="2273">
        <v>0</v>
      </c>
      <c r="X83" s="2299">
        <f>'Energy Effic. Kits Deemed Table'!K153</f>
        <v>10</v>
      </c>
      <c r="Y83" s="2299"/>
      <c r="Z83" s="2299">
        <f t="shared" ref="Z83" si="61">Y83+X83</f>
        <v>10</v>
      </c>
      <c r="AA83" s="2927">
        <f>'Energy Effic. Kits Deemed Table'!BB153</f>
        <v>0.31565887939161807</v>
      </c>
      <c r="AB83" s="2475">
        <f>'Energy Effic. Kits Deemed Table'!L153</f>
        <v>3</v>
      </c>
      <c r="AC83" s="2928">
        <f t="shared" ref="AC83" si="62">AE83+AF83</f>
        <v>0.89379578874455323</v>
      </c>
      <c r="AD83" s="2928"/>
      <c r="AE83" s="2957">
        <f>'Energy Effic. Kits Deemed Table'!BD153</f>
        <v>0.89379578874455323</v>
      </c>
      <c r="AF83" s="2334"/>
      <c r="AG83" s="2334"/>
      <c r="AH83" s="2334"/>
      <c r="AI83" s="2946" t="str">
        <f>'Energy Effic. Kits Deemed Table'!M153</f>
        <v>per measure</v>
      </c>
      <c r="AM83" s="2929">
        <f t="shared" si="44"/>
        <v>8.8731800000000003E-5</v>
      </c>
      <c r="AN83" s="132">
        <f t="shared" ref="AN83" si="63">AM83*I83</f>
        <v>2.3513926999999999E-4</v>
      </c>
      <c r="AO83" s="2933">
        <f t="shared" ref="AO83" si="64">AN83-O83</f>
        <v>1.3926999999999841E-7</v>
      </c>
    </row>
    <row r="84" spans="2:41" x14ac:dyDescent="0.25">
      <c r="B84" s="2240" t="str">
        <f>'Energy Effic. Kits Deemed Table'!C154</f>
        <v>300600_2019_12_</v>
      </c>
      <c r="C84" s="208" t="str">
        <f>'Energy Effic. Kits Deemed Table'!G154</f>
        <v>Water Heating RES</v>
      </c>
      <c r="D84" s="208"/>
      <c r="E84" s="208"/>
      <c r="F84" s="208"/>
      <c r="G84" s="208" t="str">
        <f>'Energy Effic. Kits Deemed Table'!E154</f>
        <v>Kit Faucet Aerator (Bathroom)</v>
      </c>
      <c r="H84" s="622" t="str">
        <f>'Energy Effic. Kits Deemed Table'!D154</f>
        <v>MF</v>
      </c>
      <c r="I84" s="2084">
        <f>'Energy Effic. Kits Deemed Table'!F154</f>
        <v>30.1</v>
      </c>
      <c r="J84" s="2084">
        <v>0</v>
      </c>
      <c r="K84" s="2113">
        <v>0</v>
      </c>
      <c r="L84" s="2113">
        <v>0</v>
      </c>
      <c r="M84" s="2113">
        <v>0</v>
      </c>
      <c r="N84" s="2113">
        <v>0</v>
      </c>
      <c r="O84" s="2085">
        <f>'Energy Effic. Kits Deemed Table'!J154</f>
        <v>2.6710000000000002E-3</v>
      </c>
      <c r="P84" s="2085">
        <v>0</v>
      </c>
      <c r="Q84" s="2086">
        <v>0</v>
      </c>
      <c r="R84" s="2086">
        <v>0</v>
      </c>
      <c r="S84" s="2086"/>
      <c r="T84" s="2086"/>
      <c r="U84" s="2087">
        <v>0</v>
      </c>
      <c r="V84" s="2087">
        <f t="shared" si="59"/>
        <v>2.6710000000000002E-3</v>
      </c>
      <c r="W84" s="2087">
        <v>0</v>
      </c>
      <c r="X84" s="2121">
        <f>'Energy Effic. Kits Deemed Table'!K154</f>
        <v>10</v>
      </c>
      <c r="Y84" s="2121"/>
      <c r="Z84" s="88">
        <f t="shared" si="1"/>
        <v>10</v>
      </c>
      <c r="AA84" s="2088">
        <f>'Energy Effic. Kits Deemed Table'!BB154</f>
        <v>3.5854084036557374</v>
      </c>
      <c r="AB84" s="2916">
        <f>'Energy Effic. Kits Deemed Table'!L154</f>
        <v>3</v>
      </c>
      <c r="AC84" s="2089">
        <f t="shared" si="5"/>
        <v>10.152171034419265</v>
      </c>
      <c r="AD84" s="2089"/>
      <c r="AE84" s="2955">
        <f>'Energy Effic. Kits Deemed Table'!BD154</f>
        <v>10.152171034419265</v>
      </c>
      <c r="AF84" s="2956"/>
      <c r="AG84" s="2956"/>
      <c r="AH84" s="2956"/>
      <c r="AI84" s="2260" t="str">
        <f>'Energy Effic. Kits Deemed Table'!M154</f>
        <v>per measure</v>
      </c>
      <c r="AM84" s="2057">
        <f t="shared" si="44"/>
        <v>8.8731800000000003E-5</v>
      </c>
      <c r="AN84">
        <f t="shared" si="19"/>
        <v>2.6708271800000003E-3</v>
      </c>
      <c r="AO84" s="2048">
        <f t="shared" si="4"/>
        <v>-1.728199999998653E-7</v>
      </c>
    </row>
    <row r="85" spans="2:41" s="132" customFormat="1" x14ac:dyDescent="0.25">
      <c r="B85" s="2307" t="str">
        <f>'Energy Effic. Kits Deemed Table'!C155</f>
        <v>300601_2020_12_</v>
      </c>
      <c r="C85" s="2305" t="str">
        <f>'Energy Effic. Kits Deemed Table'!G155</f>
        <v>Water Heating RES</v>
      </c>
      <c r="D85" s="2305"/>
      <c r="E85" s="2305"/>
      <c r="F85" s="2305"/>
      <c r="G85" s="2305" t="str">
        <f>'Energy Effic. Kits Deemed Table'!E155</f>
        <v>Kit Faucet Aerator (Bathroom) - SFLI Kits</v>
      </c>
      <c r="H85" s="2322" t="str">
        <f>'Energy Effic. Kits Deemed Table'!D155</f>
        <v>LI</v>
      </c>
      <c r="I85" s="2320">
        <f>'Energy Effic. Kits Deemed Table'!F155</f>
        <v>13.84</v>
      </c>
      <c r="J85" s="2320">
        <v>0</v>
      </c>
      <c r="K85" s="2310">
        <v>0</v>
      </c>
      <c r="L85" s="2310">
        <v>0</v>
      </c>
      <c r="M85" s="2310">
        <v>0</v>
      </c>
      <c r="N85" s="2310">
        <v>0</v>
      </c>
      <c r="O85" s="2321">
        <f>'Energy Effic. Kits Deemed Table'!J155</f>
        <v>1.2279999999999999E-3</v>
      </c>
      <c r="P85" s="2321">
        <v>0</v>
      </c>
      <c r="Q85" s="2323">
        <v>0</v>
      </c>
      <c r="R85" s="2323">
        <v>0</v>
      </c>
      <c r="S85" s="2323"/>
      <c r="T85" s="2323"/>
      <c r="U85" s="2273">
        <v>0</v>
      </c>
      <c r="V85" s="2273">
        <f t="shared" si="59"/>
        <v>1.2279999999999999E-3</v>
      </c>
      <c r="W85" s="2273">
        <v>0</v>
      </c>
      <c r="X85" s="2299">
        <f>'Energy Effic. Kits Deemed Table'!K155</f>
        <v>10</v>
      </c>
      <c r="Y85" s="2299"/>
      <c r="Z85" s="2299">
        <f t="shared" si="1"/>
        <v>10</v>
      </c>
      <c r="AA85" s="2927">
        <f>'Energy Effic. Kits Deemed Table'!BB155</f>
        <v>1.6485731663320733</v>
      </c>
      <c r="AB85" s="2475">
        <f>'Energy Effic. Kits Deemed Table'!L155</f>
        <v>3</v>
      </c>
      <c r="AC85" s="2928">
        <f t="shared" si="5"/>
        <v>4.6679749872545724</v>
      </c>
      <c r="AD85" s="2928"/>
      <c r="AE85" s="2957">
        <f>'Energy Effic. Kits Deemed Table'!BD155</f>
        <v>4.6679749872545724</v>
      </c>
      <c r="AF85" s="2334"/>
      <c r="AG85" s="2334"/>
      <c r="AH85" s="2334"/>
      <c r="AI85" s="2946" t="str">
        <f>'Energy Effic. Kits Deemed Table'!M155</f>
        <v>per measure</v>
      </c>
      <c r="AM85" s="2929">
        <f t="shared" si="44"/>
        <v>8.8731800000000003E-5</v>
      </c>
      <c r="AN85" s="132">
        <f t="shared" si="19"/>
        <v>1.228048112E-3</v>
      </c>
      <c r="AO85" s="2933">
        <f t="shared" si="4"/>
        <v>4.8112000000091401E-8</v>
      </c>
    </row>
    <row r="86" spans="2:41" x14ac:dyDescent="0.25">
      <c r="B86" s="2240" t="str">
        <f>'Energy Effic. Kits Deemed Table'!C204</f>
        <v>300650_2019_12_</v>
      </c>
      <c r="C86" s="208" t="str">
        <f>'Energy Effic. Kits Deemed Table'!G204</f>
        <v>Water Heating RES</v>
      </c>
      <c r="D86" s="208"/>
      <c r="E86" s="208"/>
      <c r="F86" s="208"/>
      <c r="G86" s="208" t="str">
        <f>'Energy Effic. Kits Deemed Table'!E204</f>
        <v>Low Flow Showerheads</v>
      </c>
      <c r="H86" s="622" t="str">
        <f>'Energy Effic. Kits Deemed Table'!D204</f>
        <v>School</v>
      </c>
      <c r="I86" s="2084">
        <f>'Energy Effic. Kits Deemed Table'!F204</f>
        <v>71.66</v>
      </c>
      <c r="J86" s="2084">
        <v>0</v>
      </c>
      <c r="K86" s="2113">
        <v>0</v>
      </c>
      <c r="L86" s="2113">
        <v>0</v>
      </c>
      <c r="M86" s="2113">
        <v>0</v>
      </c>
      <c r="N86" s="2113">
        <v>0</v>
      </c>
      <c r="O86" s="2085">
        <f>'Energy Effic. Kits Deemed Table'!J204</f>
        <v>6.3590000000000001E-3</v>
      </c>
      <c r="P86" s="2085">
        <v>0</v>
      </c>
      <c r="Q86" s="2086">
        <v>0</v>
      </c>
      <c r="R86" s="2086">
        <v>0</v>
      </c>
      <c r="S86" s="2086"/>
      <c r="T86" s="2086"/>
      <c r="U86" s="2087">
        <v>0</v>
      </c>
      <c r="V86" s="2087">
        <f t="shared" si="59"/>
        <v>6.3590000000000001E-3</v>
      </c>
      <c r="W86" s="2087">
        <v>0</v>
      </c>
      <c r="X86" s="2121">
        <f>'Energy Effic. Kits Deemed Table'!K204</f>
        <v>10</v>
      </c>
      <c r="Y86" s="2121"/>
      <c r="Z86" s="88">
        <f t="shared" si="1"/>
        <v>10</v>
      </c>
      <c r="AA86" s="2088">
        <f>'Energy Effic. Kits Deemed Table'!BB204</f>
        <v>3.6582396707067413</v>
      </c>
      <c r="AB86" s="2916">
        <f>'Energy Effic. Kits Deemed Table'!L204</f>
        <v>7</v>
      </c>
      <c r="AC86" s="2089">
        <f t="shared" si="5"/>
        <v>24.169587253371578</v>
      </c>
      <c r="AD86" s="2089"/>
      <c r="AE86" s="2955">
        <f>'Energy Effic. Kits Deemed Table'!BD204</f>
        <v>24.169587253371578</v>
      </c>
      <c r="AF86" s="2956"/>
      <c r="AG86" s="2956"/>
      <c r="AH86" s="2956"/>
      <c r="AI86" s="2264" t="str">
        <f>'Energy Effic. Kits Deemed Table'!M204</f>
        <v>per measure</v>
      </c>
      <c r="AM86" s="2057">
        <f t="shared" si="44"/>
        <v>8.8731800000000003E-5</v>
      </c>
      <c r="AN86">
        <f t="shared" si="19"/>
        <v>6.3585207879999998E-3</v>
      </c>
      <c r="AO86" s="2048">
        <f t="shared" si="4"/>
        <v>-4.7921200000029807E-7</v>
      </c>
    </row>
    <row r="87" spans="2:41" s="132" customFormat="1" x14ac:dyDescent="0.25">
      <c r="B87" s="2307" t="str">
        <f>'Energy Effic. Kits Deemed Table'!C205</f>
        <v>300660_2020_12_</v>
      </c>
      <c r="C87" s="2305" t="str">
        <f>'Energy Effic. Kits Deemed Table'!G205</f>
        <v>Water Heating RES</v>
      </c>
      <c r="D87" s="2305"/>
      <c r="E87" s="2305"/>
      <c r="F87" s="2305"/>
      <c r="G87" s="2305" t="str">
        <f>'Energy Effic. Kits Deemed Table'!E205</f>
        <v>Low Flow Showerheads - ARP Kits</v>
      </c>
      <c r="H87" s="2322" t="str">
        <f>'Energy Effic. Kits Deemed Table'!D205</f>
        <v>ARP</v>
      </c>
      <c r="I87" s="2320">
        <f>'Energy Effic. Kits Deemed Table'!F205</f>
        <v>27.35</v>
      </c>
      <c r="J87" s="2320">
        <v>0</v>
      </c>
      <c r="K87" s="2310">
        <v>0</v>
      </c>
      <c r="L87" s="2310">
        <v>0</v>
      </c>
      <c r="M87" s="2310">
        <v>0</v>
      </c>
      <c r="N87" s="2310">
        <v>0</v>
      </c>
      <c r="O87" s="2321">
        <f>'Energy Effic. Kits Deemed Table'!J205</f>
        <v>2.4269999999999999E-3</v>
      </c>
      <c r="P87" s="2321">
        <v>0</v>
      </c>
      <c r="Q87" s="2323">
        <v>0</v>
      </c>
      <c r="R87" s="2323">
        <v>0</v>
      </c>
      <c r="S87" s="2323"/>
      <c r="T87" s="2323"/>
      <c r="U87" s="2273">
        <v>0</v>
      </c>
      <c r="V87" s="2273">
        <f t="shared" ref="V87" si="65">O87</f>
        <v>2.4269999999999999E-3</v>
      </c>
      <c r="W87" s="2273">
        <v>0</v>
      </c>
      <c r="X87" s="2299">
        <f>'Energy Effic. Kits Deemed Table'!K205</f>
        <v>10</v>
      </c>
      <c r="Y87" s="2299"/>
      <c r="Z87" s="2299">
        <f t="shared" ref="Z87" si="66">Y87+X87</f>
        <v>10</v>
      </c>
      <c r="AA87" s="2927">
        <f>'Energy Effic. Kits Deemed Table'!BB205</f>
        <v>1.3962162293305802</v>
      </c>
      <c r="AB87" s="2475">
        <f>'Energy Effic. Kits Deemed Table'!L205</f>
        <v>7</v>
      </c>
      <c r="AC87" s="2928">
        <f t="shared" ref="AC87" si="67">AE87+AF87</f>
        <v>9.2246471027032193</v>
      </c>
      <c r="AD87" s="2928"/>
      <c r="AE87" s="2957">
        <f>'Energy Effic. Kits Deemed Table'!BD205</f>
        <v>9.2246471027032193</v>
      </c>
      <c r="AF87" s="2334"/>
      <c r="AG87" s="2334"/>
      <c r="AH87" s="2334"/>
      <c r="AI87" s="2947" t="str">
        <f>'Energy Effic. Kits Deemed Table'!M205</f>
        <v>per measure</v>
      </c>
      <c r="AM87" s="2929">
        <f t="shared" si="44"/>
        <v>8.8731800000000003E-5</v>
      </c>
      <c r="AN87" s="132">
        <f t="shared" ref="AN87" si="68">AM87*I87</f>
        <v>2.4268147300000003E-3</v>
      </c>
      <c r="AO87" s="2933">
        <f t="shared" ref="AO87" si="69">AN87-O87</f>
        <v>-1.8526999999955718E-7</v>
      </c>
    </row>
    <row r="88" spans="2:41" x14ac:dyDescent="0.25">
      <c r="B88" s="2240" t="str">
        <f>'Energy Effic. Kits Deemed Table'!C206</f>
        <v>300700_2019_12_</v>
      </c>
      <c r="C88" s="208" t="str">
        <f>'Energy Effic. Kits Deemed Table'!G206</f>
        <v>Water Heating RES</v>
      </c>
      <c r="D88" s="208"/>
      <c r="E88" s="208"/>
      <c r="F88" s="208"/>
      <c r="G88" s="208" t="str">
        <f>'Energy Effic. Kits Deemed Table'!E206</f>
        <v>Low Flow Showerheads</v>
      </c>
      <c r="H88" s="622" t="str">
        <f>'Energy Effic. Kits Deemed Table'!D206</f>
        <v>MF</v>
      </c>
      <c r="I88" s="2084">
        <f>'Energy Effic. Kits Deemed Table'!F206</f>
        <v>291.45</v>
      </c>
      <c r="J88" s="2084">
        <v>0</v>
      </c>
      <c r="K88" s="2113">
        <v>0</v>
      </c>
      <c r="L88" s="2113">
        <v>0</v>
      </c>
      <c r="M88" s="2113">
        <v>0</v>
      </c>
      <c r="N88" s="2113">
        <v>0</v>
      </c>
      <c r="O88" s="2085">
        <f>'Energy Effic. Kits Deemed Table'!J206</f>
        <v>2.5860999999999999E-2</v>
      </c>
      <c r="P88" s="2085">
        <v>0</v>
      </c>
      <c r="Q88" s="2086">
        <v>0</v>
      </c>
      <c r="R88" s="2086">
        <v>0</v>
      </c>
      <c r="S88" s="2086"/>
      <c r="T88" s="2086"/>
      <c r="U88" s="2087">
        <v>0</v>
      </c>
      <c r="V88" s="2087">
        <f t="shared" si="59"/>
        <v>2.5860999999999999E-2</v>
      </c>
      <c r="W88" s="2087">
        <v>0</v>
      </c>
      <c r="X88" s="2121">
        <f>'Energy Effic. Kits Deemed Table'!K206</f>
        <v>10</v>
      </c>
      <c r="Y88" s="2121"/>
      <c r="Z88" s="88">
        <f t="shared" ref="Z88:Z106" si="70">Y88+X88</f>
        <v>10</v>
      </c>
      <c r="AA88" s="2088">
        <f>'Energy Effic. Kits Deemed Table'!BB206</f>
        <v>14.878508959356402</v>
      </c>
      <c r="AB88" s="2916">
        <f>'Energy Effic. Kits Deemed Table'!L206</f>
        <v>7</v>
      </c>
      <c r="AC88" s="2089">
        <f t="shared" si="5"/>
        <v>98.300672690415112</v>
      </c>
      <c r="AD88" s="2089"/>
      <c r="AE88" s="2955">
        <f>'Energy Effic. Kits Deemed Table'!BD206</f>
        <v>98.300672690415112</v>
      </c>
      <c r="AF88" s="2956"/>
      <c r="AG88" s="2956"/>
      <c r="AH88" s="2956"/>
      <c r="AI88" s="2264" t="str">
        <f>'Energy Effic. Kits Deemed Table'!M206</f>
        <v>per measure</v>
      </c>
      <c r="AM88" s="2057">
        <f t="shared" si="44"/>
        <v>8.8731800000000003E-5</v>
      </c>
      <c r="AN88">
        <f t="shared" si="19"/>
        <v>2.586088311E-2</v>
      </c>
      <c r="AO88" s="2048">
        <f t="shared" ref="AO88:AO183" si="71">AN88-O88</f>
        <v>-1.1688999999870386E-7</v>
      </c>
    </row>
    <row r="89" spans="2:41" s="132" customFormat="1" x14ac:dyDescent="0.25">
      <c r="B89" s="2307" t="str">
        <f>'Energy Effic. Kits Deemed Table'!C207</f>
        <v>300701_2020_12_</v>
      </c>
      <c r="C89" s="2305" t="str">
        <f>'Energy Effic. Kits Deemed Table'!G207</f>
        <v>Water Heating RES</v>
      </c>
      <c r="D89" s="2305"/>
      <c r="E89" s="2305"/>
      <c r="F89" s="2305"/>
      <c r="G89" s="2305" t="str">
        <f>'Energy Effic. Kits Deemed Table'!E207</f>
        <v>Low Flow Showerheads - SFLI Kits</v>
      </c>
      <c r="H89" s="2322" t="str">
        <f>'Energy Effic. Kits Deemed Table'!D207</f>
        <v>LI</v>
      </c>
      <c r="I89" s="2320">
        <f>'Energy Effic. Kits Deemed Table'!F207</f>
        <v>79.489999999999995</v>
      </c>
      <c r="J89" s="2320">
        <v>0</v>
      </c>
      <c r="K89" s="2310">
        <v>0</v>
      </c>
      <c r="L89" s="2310">
        <v>0</v>
      </c>
      <c r="M89" s="2310">
        <v>0</v>
      </c>
      <c r="N89" s="2310">
        <v>0</v>
      </c>
      <c r="O89" s="2321">
        <f>'Energy Effic. Kits Deemed Table'!J207</f>
        <v>7.0530000000000002E-3</v>
      </c>
      <c r="P89" s="2321">
        <v>0</v>
      </c>
      <c r="Q89" s="2323">
        <v>0</v>
      </c>
      <c r="R89" s="2323">
        <v>0</v>
      </c>
      <c r="S89" s="2323"/>
      <c r="T89" s="2323"/>
      <c r="U89" s="2273">
        <v>0</v>
      </c>
      <c r="V89" s="2273">
        <f t="shared" si="59"/>
        <v>7.0530000000000002E-3</v>
      </c>
      <c r="W89" s="2273">
        <v>0</v>
      </c>
      <c r="X89" s="2299">
        <f>'Energy Effic. Kits Deemed Table'!K207</f>
        <v>10</v>
      </c>
      <c r="Y89" s="2299"/>
      <c r="Z89" s="2299">
        <f t="shared" si="70"/>
        <v>10</v>
      </c>
      <c r="AA89" s="2927">
        <f>'Energy Effic. Kits Deemed Table'!BB207</f>
        <v>4.0579608069282562</v>
      </c>
      <c r="AB89" s="2475">
        <f>'Energy Effic. Kits Deemed Table'!L207</f>
        <v>7</v>
      </c>
      <c r="AC89" s="2928">
        <f t="shared" ref="AC89" si="72">AE89+AF89</f>
        <v>26.810500848039446</v>
      </c>
      <c r="AD89" s="2928"/>
      <c r="AE89" s="2957">
        <f>'Energy Effic. Kits Deemed Table'!BD207</f>
        <v>26.810500848039446</v>
      </c>
      <c r="AF89" s="2334"/>
      <c r="AG89" s="2334"/>
      <c r="AH89" s="2334"/>
      <c r="AI89" s="2947" t="str">
        <f>'Energy Effic. Kits Deemed Table'!M207</f>
        <v>per measure</v>
      </c>
      <c r="AM89" s="2929">
        <f t="shared" si="44"/>
        <v>8.8731800000000003E-5</v>
      </c>
      <c r="AN89" s="132">
        <f t="shared" si="19"/>
        <v>7.0532907819999997E-3</v>
      </c>
      <c r="AO89" s="2933">
        <f t="shared" si="71"/>
        <v>2.9078199999948984E-7</v>
      </c>
    </row>
    <row r="90" spans="2:41" x14ac:dyDescent="0.25">
      <c r="B90" s="2240" t="str">
        <f>'Energy Effic. Kits Deemed Table'!C255</f>
        <v>300750_2019_12_</v>
      </c>
      <c r="C90" s="208" t="str">
        <f>'Energy Effic. Kits Deemed Table'!G255</f>
        <v>Water Heating RES</v>
      </c>
      <c r="D90" s="208"/>
      <c r="E90" s="208"/>
      <c r="F90" s="208"/>
      <c r="G90" s="208" t="str">
        <f>'Energy Effic. Kits Deemed Table'!E255</f>
        <v>Pipe Insulation</v>
      </c>
      <c r="H90" s="622" t="str">
        <f>'Energy Effic. Kits Deemed Table'!D255</f>
        <v>School</v>
      </c>
      <c r="I90" s="2084">
        <f>'Energy Effic. Kits Deemed Table'!F255</f>
        <v>3.24</v>
      </c>
      <c r="J90" s="2084">
        <v>0</v>
      </c>
      <c r="K90" s="2113">
        <v>0</v>
      </c>
      <c r="L90" s="2113">
        <v>0</v>
      </c>
      <c r="M90" s="2113">
        <v>0</v>
      </c>
      <c r="N90" s="2113">
        <v>0</v>
      </c>
      <c r="O90" s="2085">
        <f>'Energy Effic. Kits Deemed Table'!I255</f>
        <v>2.8699999999999998E-4</v>
      </c>
      <c r="P90" s="2085">
        <v>0</v>
      </c>
      <c r="Q90" s="2086">
        <v>0</v>
      </c>
      <c r="R90" s="2086">
        <v>0</v>
      </c>
      <c r="S90" s="2086"/>
      <c r="T90" s="2086"/>
      <c r="U90" s="2087">
        <v>0</v>
      </c>
      <c r="V90" s="2087">
        <f t="shared" si="59"/>
        <v>2.8699999999999998E-4</v>
      </c>
      <c r="W90" s="2087">
        <v>0</v>
      </c>
      <c r="X90" s="2121">
        <f>'Energy Effic. Kits Deemed Table'!J255</f>
        <v>12</v>
      </c>
      <c r="Y90" s="2121"/>
      <c r="Z90" s="88">
        <f t="shared" si="70"/>
        <v>12</v>
      </c>
      <c r="AA90" s="2088">
        <f>'Energy Effic. Kits Deemed Table'!BB255</f>
        <v>0.4824560577854296</v>
      </c>
      <c r="AB90" s="2916">
        <f>'Energy Effic. Kits Deemed Table'!K255</f>
        <v>2.87</v>
      </c>
      <c r="AC90" s="2089">
        <f t="shared" ref="AC90:AC107" si="73">AE90+AF90</f>
        <v>1.3068889908864396</v>
      </c>
      <c r="AD90" s="2089"/>
      <c r="AE90" s="2955">
        <f>'Energy Effic. Kits Deemed Table'!BD255</f>
        <v>1.3068889908864396</v>
      </c>
      <c r="AF90" s="2956"/>
      <c r="AG90" s="2956"/>
      <c r="AH90" s="2956"/>
      <c r="AI90" s="2240" t="str">
        <f>'Energy Effic. Kits Deemed Table'!L255</f>
        <v>per foot</v>
      </c>
      <c r="AM90" s="2057">
        <f t="shared" si="44"/>
        <v>8.8731800000000003E-5</v>
      </c>
      <c r="AN90">
        <f t="shared" si="19"/>
        <v>2.8749103200000005E-4</v>
      </c>
      <c r="AO90" s="2048">
        <f t="shared" si="71"/>
        <v>4.9103200000006784E-7</v>
      </c>
    </row>
    <row r="91" spans="2:41" s="132" customFormat="1" x14ac:dyDescent="0.25">
      <c r="B91" s="2307" t="str">
        <f>'Energy Effic. Kits Deemed Table'!C256</f>
        <v>300760_2020_12_</v>
      </c>
      <c r="C91" s="2305" t="str">
        <f>'Energy Effic. Kits Deemed Table'!G256</f>
        <v>Water Heating RES</v>
      </c>
      <c r="D91" s="2305"/>
      <c r="E91" s="2305"/>
      <c r="F91" s="2305"/>
      <c r="G91" s="2305" t="str">
        <f>'Energy Effic. Kits Deemed Table'!E256</f>
        <v>Pipe Insulation - ARP Kits</v>
      </c>
      <c r="H91" s="2322" t="str">
        <f>'Energy Effic. Kits Deemed Table'!D256</f>
        <v>ARP</v>
      </c>
      <c r="I91" s="2320">
        <f>'Energy Effic. Kits Deemed Table'!F256</f>
        <v>2.59</v>
      </c>
      <c r="J91" s="2320">
        <v>0</v>
      </c>
      <c r="K91" s="2310">
        <v>0</v>
      </c>
      <c r="L91" s="2310">
        <v>0</v>
      </c>
      <c r="M91" s="2310">
        <v>0</v>
      </c>
      <c r="N91" s="2310">
        <v>0</v>
      </c>
      <c r="O91" s="2321">
        <f>'Energy Effic. Kits Deemed Table'!I256</f>
        <v>2.1000000000000001E-4</v>
      </c>
      <c r="P91" s="2321">
        <v>0</v>
      </c>
      <c r="Q91" s="2323">
        <v>0</v>
      </c>
      <c r="R91" s="2323">
        <v>0</v>
      </c>
      <c r="S91" s="2323"/>
      <c r="T91" s="2323"/>
      <c r="U91" s="2273">
        <v>0</v>
      </c>
      <c r="V91" s="2273">
        <f t="shared" ref="V91" si="74">O91</f>
        <v>2.1000000000000001E-4</v>
      </c>
      <c r="W91" s="2273">
        <v>0</v>
      </c>
      <c r="X91" s="2299">
        <f>'Energy Effic. Kits Deemed Table'!J256</f>
        <v>12</v>
      </c>
      <c r="Y91" s="2299"/>
      <c r="Z91" s="2299">
        <f t="shared" ref="Z91" si="75">Y91+X91</f>
        <v>12</v>
      </c>
      <c r="AA91" s="2927">
        <f>'Energy Effic. Kits Deemed Table'!BB256</f>
        <v>0.38566703384699463</v>
      </c>
      <c r="AB91" s="2475">
        <f>'Energy Effic. Kits Deemed Table'!K256</f>
        <v>2.87</v>
      </c>
      <c r="AC91" s="2928">
        <f t="shared" ref="AC91" si="76">AE91+AF91</f>
        <v>1.044704471109839</v>
      </c>
      <c r="AD91" s="2928"/>
      <c r="AE91" s="2957">
        <f>'Energy Effic. Kits Deemed Table'!BD256</f>
        <v>1.044704471109839</v>
      </c>
      <c r="AF91" s="2334"/>
      <c r="AG91" s="2334"/>
      <c r="AH91" s="2334"/>
      <c r="AI91" s="2307" t="str">
        <f>'Energy Effic. Kits Deemed Table'!L256</f>
        <v>per foot</v>
      </c>
      <c r="AM91" s="2929">
        <f t="shared" si="44"/>
        <v>8.8731800000000003E-5</v>
      </c>
      <c r="AN91" s="132">
        <f t="shared" ref="AN91" si="77">AM91*I91</f>
        <v>2.2981536199999998E-4</v>
      </c>
      <c r="AO91" s="2933">
        <f t="shared" ref="AO91" si="78">AN91-O91</f>
        <v>1.9815361999999976E-5</v>
      </c>
    </row>
    <row r="92" spans="2:41" x14ac:dyDescent="0.25">
      <c r="B92" s="2240" t="str">
        <f>'Energy Effic. Kits Deemed Table'!C257</f>
        <v>300800_2019_12_</v>
      </c>
      <c r="C92" s="208" t="str">
        <f>'Energy Effic. Kits Deemed Table'!G257</f>
        <v>Water Heating RES</v>
      </c>
      <c r="D92" s="208"/>
      <c r="E92" s="208"/>
      <c r="F92" s="208"/>
      <c r="G92" s="208" t="str">
        <f>'Energy Effic. Kits Deemed Table'!E257</f>
        <v>Pipe Insulation</v>
      </c>
      <c r="H92" s="622" t="str">
        <f>'Energy Effic. Kits Deemed Table'!D257</f>
        <v>MF</v>
      </c>
      <c r="I92" s="2084">
        <f>'Energy Effic. Kits Deemed Table'!F257</f>
        <v>15.01</v>
      </c>
      <c r="J92" s="2084">
        <v>0</v>
      </c>
      <c r="K92" s="2113">
        <v>0</v>
      </c>
      <c r="L92" s="2113">
        <v>0</v>
      </c>
      <c r="M92" s="2113">
        <v>0</v>
      </c>
      <c r="N92" s="2113">
        <v>0</v>
      </c>
      <c r="O92" s="2085">
        <f>'Energy Effic. Kits Deemed Table'!I257</f>
        <v>1.3320000000000001E-3</v>
      </c>
      <c r="P92" s="2085">
        <v>0</v>
      </c>
      <c r="Q92" s="2086">
        <v>0</v>
      </c>
      <c r="R92" s="2086">
        <v>0</v>
      </c>
      <c r="S92" s="2086"/>
      <c r="T92" s="2086"/>
      <c r="U92" s="2087">
        <v>0</v>
      </c>
      <c r="V92" s="2087">
        <f t="shared" si="59"/>
        <v>1.3320000000000001E-3</v>
      </c>
      <c r="W92" s="2087">
        <v>0</v>
      </c>
      <c r="X92" s="2121">
        <f>'Energy Effic. Kits Deemed Table'!J257</f>
        <v>12</v>
      </c>
      <c r="Y92" s="2121"/>
      <c r="Z92" s="88">
        <f t="shared" si="70"/>
        <v>12</v>
      </c>
      <c r="AA92" s="2088">
        <f>'Energy Effic. Kits Deemed Table'!BB257</f>
        <v>2.2350819220244746</v>
      </c>
      <c r="AB92" s="2916">
        <f>'Energy Effic. Kits Deemed Table'!K257</f>
        <v>2.87</v>
      </c>
      <c r="AC92" s="2089">
        <f t="shared" si="73"/>
        <v>6.0544456028411906</v>
      </c>
      <c r="AD92" s="2089"/>
      <c r="AE92" s="2955">
        <f>'Energy Effic. Kits Deemed Table'!BD257</f>
        <v>6.0544456028411906</v>
      </c>
      <c r="AF92" s="2956"/>
      <c r="AG92" s="2956"/>
      <c r="AH92" s="2956"/>
      <c r="AI92" s="2240" t="str">
        <f>'Energy Effic. Kits Deemed Table'!L257</f>
        <v>per foot</v>
      </c>
      <c r="AM92" s="2057">
        <f t="shared" si="44"/>
        <v>8.8731800000000003E-5</v>
      </c>
      <c r="AN92">
        <f t="shared" si="19"/>
        <v>1.3318643180000001E-3</v>
      </c>
      <c r="AO92" s="2048">
        <f t="shared" si="71"/>
        <v>-1.3568199999994257E-7</v>
      </c>
    </row>
    <row r="93" spans="2:41" s="132" customFormat="1" x14ac:dyDescent="0.25">
      <c r="B93" s="2307" t="str">
        <f>'Energy Effic. Kits Deemed Table'!C258</f>
        <v>300801_2020_12_</v>
      </c>
      <c r="C93" s="2305" t="str">
        <f>'Energy Effic. Kits Deemed Table'!G258</f>
        <v>Water Heating RES</v>
      </c>
      <c r="D93" s="2305"/>
      <c r="E93" s="2305"/>
      <c r="F93" s="2305"/>
      <c r="G93" s="2305" t="str">
        <f>'Energy Effic. Kits Deemed Table'!E258</f>
        <v>Pipe Insulation - SFLI Kits</v>
      </c>
      <c r="H93" s="2322" t="str">
        <f>'Energy Effic. Kits Deemed Table'!D258</f>
        <v>LI</v>
      </c>
      <c r="I93" s="2320">
        <f>'Energy Effic. Kits Deemed Table'!F258</f>
        <v>3.4</v>
      </c>
      <c r="J93" s="2320">
        <v>0</v>
      </c>
      <c r="K93" s="2310">
        <v>0</v>
      </c>
      <c r="L93" s="2310">
        <v>0</v>
      </c>
      <c r="M93" s="2310">
        <v>0</v>
      </c>
      <c r="N93" s="2310">
        <v>0</v>
      </c>
      <c r="O93" s="2321">
        <f>'Energy Effic. Kits Deemed Table'!I258</f>
        <v>3.0200000000000002E-4</v>
      </c>
      <c r="P93" s="2321">
        <v>0</v>
      </c>
      <c r="Q93" s="2323">
        <v>0</v>
      </c>
      <c r="R93" s="2323">
        <v>0</v>
      </c>
      <c r="S93" s="2323"/>
      <c r="T93" s="2323"/>
      <c r="U93" s="2273">
        <v>0</v>
      </c>
      <c r="V93" s="2273">
        <f t="shared" si="59"/>
        <v>3.0200000000000002E-4</v>
      </c>
      <c r="W93" s="2273">
        <v>0</v>
      </c>
      <c r="X93" s="2299">
        <f>'Energy Effic. Kits Deemed Table'!J258</f>
        <v>12</v>
      </c>
      <c r="Y93" s="2299"/>
      <c r="Z93" s="2299">
        <f t="shared" si="70"/>
        <v>12</v>
      </c>
      <c r="AA93" s="2927">
        <f>'Energy Effic. Kits Deemed Table'!BB258</f>
        <v>0.50628104829335197</v>
      </c>
      <c r="AB93" s="2475">
        <f>'Energy Effic. Kits Deemed Table'!K258</f>
        <v>2.87</v>
      </c>
      <c r="AC93" s="2928">
        <f t="shared" si="73"/>
        <v>1.3714267188314488</v>
      </c>
      <c r="AD93" s="2928"/>
      <c r="AE93" s="2957">
        <f>'Energy Effic. Kits Deemed Table'!BD258</f>
        <v>1.3714267188314488</v>
      </c>
      <c r="AF93" s="2334"/>
      <c r="AG93" s="2334"/>
      <c r="AH93" s="2334"/>
      <c r="AI93" s="2307" t="str">
        <f>'Energy Effic. Kits Deemed Table'!L258</f>
        <v>per foot</v>
      </c>
      <c r="AM93" s="2929">
        <f t="shared" si="44"/>
        <v>8.8731800000000003E-5</v>
      </c>
      <c r="AN93" s="132">
        <f t="shared" si="19"/>
        <v>3.0168812E-4</v>
      </c>
      <c r="AO93" s="2933">
        <f t="shared" si="71"/>
        <v>-3.1188000000002521E-7</v>
      </c>
    </row>
    <row r="94" spans="2:41" x14ac:dyDescent="0.25">
      <c r="B94" s="2240" t="str">
        <f>'Energy Effic. Kits Deemed Table'!C296</f>
        <v>300850_2019_12_</v>
      </c>
      <c r="C94" s="208" t="str">
        <f>'Energy Effic. Kits Deemed Table'!G296</f>
        <v>Miscellaneous RES</v>
      </c>
      <c r="D94" s="208"/>
      <c r="E94" s="208"/>
      <c r="F94" s="208"/>
      <c r="G94" s="208" t="str">
        <f>'Energy Effic. Kits Deemed Table'!E296</f>
        <v>Advanced Tier 1 Power Strips -TOS/NC - Home Office</v>
      </c>
      <c r="H94" s="622" t="str">
        <f>'Energy Effic. Kits Deemed Table'!D296</f>
        <v>Unknown</v>
      </c>
      <c r="I94" s="2084">
        <f>'Energy Effic. Kits Deemed Table'!F296</f>
        <v>29.45</v>
      </c>
      <c r="J94" s="2084">
        <v>0</v>
      </c>
      <c r="K94" s="2113">
        <v>0</v>
      </c>
      <c r="L94" s="2113">
        <v>0</v>
      </c>
      <c r="M94" s="2113">
        <v>0</v>
      </c>
      <c r="N94" s="2113">
        <v>0</v>
      </c>
      <c r="O94" s="2085">
        <f>'Energy Effic. Kits Deemed Table'!I296</f>
        <v>3.382E-3</v>
      </c>
      <c r="P94" s="2085">
        <v>0</v>
      </c>
      <c r="Q94" s="2086">
        <v>0</v>
      </c>
      <c r="R94" s="2086">
        <v>0</v>
      </c>
      <c r="S94" s="2086"/>
      <c r="T94" s="2086"/>
      <c r="U94" s="2087">
        <v>0</v>
      </c>
      <c r="V94" s="2087">
        <f t="shared" si="59"/>
        <v>3.382E-3</v>
      </c>
      <c r="W94" s="2087">
        <v>0</v>
      </c>
      <c r="X94" s="2121">
        <f>'Energy Effic. Kits Deemed Table'!J296</f>
        <v>10</v>
      </c>
      <c r="Y94" s="2121"/>
      <c r="Z94" s="88">
        <f t="shared" si="70"/>
        <v>10</v>
      </c>
      <c r="AA94" s="2088">
        <f>'Energy Effic. Kits Deemed Table'!BB296</f>
        <v>0.53798242483706482</v>
      </c>
      <c r="AB94" s="2916">
        <f>'Energy Effic. Kits Deemed Table'!K296</f>
        <v>20</v>
      </c>
      <c r="AC94" s="2089">
        <f t="shared" si="73"/>
        <v>10.155402073375456</v>
      </c>
      <c r="AD94" s="2089"/>
      <c r="AE94" s="2955">
        <f>'Energy Effic. Kits Deemed Table'!BD296</f>
        <v>10.155402073375456</v>
      </c>
      <c r="AF94" s="2956"/>
      <c r="AG94" s="2956"/>
      <c r="AH94" s="2956"/>
      <c r="AI94" s="2240" t="str">
        <f>'Energy Effic. Kits Deemed Table'!L296</f>
        <v>per measure</v>
      </c>
      <c r="AM94" s="2057">
        <f t="shared" si="44"/>
        <v>1.148238E-4</v>
      </c>
      <c r="AN94">
        <f t="shared" ref="AN94:AN130" si="79">AM94*I94</f>
        <v>3.3815609099999999E-3</v>
      </c>
      <c r="AO94" s="2048">
        <f t="shared" si="71"/>
        <v>-4.3909000000015574E-7</v>
      </c>
    </row>
    <row r="95" spans="2:41" s="132" customFormat="1" x14ac:dyDescent="0.25">
      <c r="B95" s="2307" t="str">
        <f>'Energy Effic. Kits Deemed Table'!C297</f>
        <v>300851_2020_12_</v>
      </c>
      <c r="C95" s="2305" t="str">
        <f>'Energy Effic. Kits Deemed Table'!G297</f>
        <v>Miscellaneous RES</v>
      </c>
      <c r="D95" s="2305"/>
      <c r="E95" s="2305"/>
      <c r="F95" s="2305"/>
      <c r="G95" s="2305" t="str">
        <f>'Energy Effic. Kits Deemed Table'!E297</f>
        <v>Advanced Tier 1 Power Strips -DI - Home Office</v>
      </c>
      <c r="H95" s="2322" t="str">
        <f>'Energy Effic. Kits Deemed Table'!D297</f>
        <v>Unknown</v>
      </c>
      <c r="I95" s="2320">
        <f>'Energy Effic. Kits Deemed Table'!F297</f>
        <v>29.45</v>
      </c>
      <c r="J95" s="2320">
        <v>0</v>
      </c>
      <c r="K95" s="2310">
        <v>0</v>
      </c>
      <c r="L95" s="2310">
        <v>0</v>
      </c>
      <c r="M95" s="2310">
        <v>0</v>
      </c>
      <c r="N95" s="2310">
        <v>0</v>
      </c>
      <c r="O95" s="2321">
        <f>'Energy Effic. Kits Deemed Table'!I297</f>
        <v>3.382E-3</v>
      </c>
      <c r="P95" s="2321">
        <v>0</v>
      </c>
      <c r="Q95" s="2323">
        <v>0</v>
      </c>
      <c r="R95" s="2323">
        <v>0</v>
      </c>
      <c r="S95" s="2323"/>
      <c r="T95" s="2323"/>
      <c r="U95" s="2273">
        <v>0</v>
      </c>
      <c r="V95" s="2273">
        <f t="shared" ref="V95" si="80">O95</f>
        <v>3.382E-3</v>
      </c>
      <c r="W95" s="2273">
        <v>0</v>
      </c>
      <c r="X95" s="2299">
        <f>'Energy Effic. Kits Deemed Table'!J297</f>
        <v>10</v>
      </c>
      <c r="Y95" s="2299"/>
      <c r="Z95" s="2299">
        <f t="shared" ref="Z95" si="81">Y95+X95</f>
        <v>10</v>
      </c>
      <c r="AA95" s="2927">
        <f>'Energy Effic. Kits Deemed Table'!BB297</f>
        <v>0.35865494989137653</v>
      </c>
      <c r="AB95" s="2475">
        <f>'Energy Effic. Kits Deemed Table'!K297</f>
        <v>30</v>
      </c>
      <c r="AC95" s="2928">
        <f t="shared" ref="AC95" si="82">AE95+AF95</f>
        <v>10.155402073375456</v>
      </c>
      <c r="AD95" s="2928"/>
      <c r="AE95" s="2957">
        <f>'Energy Effic. Kits Deemed Table'!BD297</f>
        <v>10.155402073375456</v>
      </c>
      <c r="AF95" s="2334"/>
      <c r="AG95" s="2334"/>
      <c r="AH95" s="2334"/>
      <c r="AI95" s="2307" t="str">
        <f>'Energy Effic. Kits Deemed Table'!L297</f>
        <v>per measure</v>
      </c>
      <c r="AM95" s="2929">
        <f t="shared" si="44"/>
        <v>1.148238E-4</v>
      </c>
      <c r="AN95" s="132">
        <f t="shared" ref="AN95" si="83">AM95*I95</f>
        <v>3.3815609099999999E-3</v>
      </c>
      <c r="AO95" s="2933">
        <f t="shared" ref="AO95" si="84">AN95-O95</f>
        <v>-4.3909000000015574E-7</v>
      </c>
    </row>
    <row r="96" spans="2:41" x14ac:dyDescent="0.25">
      <c r="B96" s="2240" t="str">
        <f>'Energy Effic. Kits Deemed Table'!C298</f>
        <v>300900_2019_12_</v>
      </c>
      <c r="C96" s="208" t="str">
        <f>'Energy Effic. Kits Deemed Table'!G298</f>
        <v>Miscellaneous RES</v>
      </c>
      <c r="D96" s="208"/>
      <c r="E96" s="208"/>
      <c r="F96" s="208"/>
      <c r="G96" s="208" t="str">
        <f>'Energy Effic. Kits Deemed Table'!E298</f>
        <v>Advanced Tier 1 Power Strips -Kits - Home Office</v>
      </c>
      <c r="H96" s="622" t="str">
        <f>'Energy Effic. Kits Deemed Table'!D298</f>
        <v>Unknown</v>
      </c>
      <c r="I96" s="2084">
        <f>'Energy Effic. Kits Deemed Table'!F298</f>
        <v>29.08</v>
      </c>
      <c r="J96" s="2084">
        <v>0</v>
      </c>
      <c r="K96" s="2113">
        <v>0</v>
      </c>
      <c r="L96" s="2113">
        <v>0</v>
      </c>
      <c r="M96" s="2113">
        <v>0</v>
      </c>
      <c r="N96" s="2113">
        <v>0</v>
      </c>
      <c r="O96" s="2085">
        <f>'Energy Effic. Kits Deemed Table'!I298</f>
        <v>3.339E-3</v>
      </c>
      <c r="P96" s="2085">
        <v>0</v>
      </c>
      <c r="Q96" s="2086">
        <v>0</v>
      </c>
      <c r="R96" s="2086">
        <v>0</v>
      </c>
      <c r="S96" s="2086"/>
      <c r="T96" s="2086"/>
      <c r="U96" s="2087">
        <v>0</v>
      </c>
      <c r="V96" s="2087">
        <f t="shared" si="59"/>
        <v>3.339E-3</v>
      </c>
      <c r="W96" s="2087">
        <v>0</v>
      </c>
      <c r="X96" s="2121">
        <f>'Energy Effic. Kits Deemed Table'!J298</f>
        <v>10</v>
      </c>
      <c r="Y96" s="2121"/>
      <c r="Z96" s="88">
        <f t="shared" si="70"/>
        <v>10</v>
      </c>
      <c r="AA96" s="2088">
        <f>'Energy Effic. Kits Deemed Table'!BB298</f>
        <v>0.53122339267442598</v>
      </c>
      <c r="AB96" s="2916">
        <f>'Energy Effic. Kits Deemed Table'!K298</f>
        <v>20</v>
      </c>
      <c r="AC96" s="2089">
        <f t="shared" si="73"/>
        <v>10.027812981112334</v>
      </c>
      <c r="AD96" s="2089"/>
      <c r="AE96" s="2955">
        <f>'Energy Effic. Kits Deemed Table'!BD298</f>
        <v>10.027812981112334</v>
      </c>
      <c r="AF96" s="2956"/>
      <c r="AG96" s="2956"/>
      <c r="AH96" s="2956"/>
      <c r="AI96" s="2240" t="str">
        <f>'Energy Effic. Kits Deemed Table'!L298</f>
        <v>per measure</v>
      </c>
      <c r="AM96" s="2057">
        <f t="shared" si="44"/>
        <v>1.148238E-4</v>
      </c>
      <c r="AN96">
        <f t="shared" si="79"/>
        <v>3.3390761039999999E-3</v>
      </c>
      <c r="AO96" s="2048">
        <f t="shared" si="71"/>
        <v>7.6103999999913713E-8</v>
      </c>
    </row>
    <row r="97" spans="2:41" x14ac:dyDescent="0.25">
      <c r="B97" s="2240" t="str">
        <f>'Energy Effic. Kits Deemed Table'!C299</f>
        <v>300950_2019_12_</v>
      </c>
      <c r="C97" s="208" t="str">
        <f>'Energy Effic. Kits Deemed Table'!G299</f>
        <v>Miscellaneous RES</v>
      </c>
      <c r="D97" s="208"/>
      <c r="E97" s="208"/>
      <c r="F97" s="208"/>
      <c r="G97" s="208" t="str">
        <f>'Energy Effic. Kits Deemed Table'!E299</f>
        <v>Advanced Tier 1 Power Strips -TOS/NC - Home Entertainment</v>
      </c>
      <c r="H97" s="622" t="str">
        <f>'Energy Effic. Kits Deemed Table'!D299</f>
        <v>Unknown</v>
      </c>
      <c r="I97" s="2084">
        <f>'Energy Effic. Kits Deemed Table'!F299</f>
        <v>71.349999999999994</v>
      </c>
      <c r="J97" s="2084">
        <v>0</v>
      </c>
      <c r="K97" s="2113">
        <v>0</v>
      </c>
      <c r="L97" s="2113">
        <v>0</v>
      </c>
      <c r="M97" s="2113">
        <v>0</v>
      </c>
      <c r="N97" s="2113">
        <v>0</v>
      </c>
      <c r="O97" s="2085">
        <f>'Energy Effic. Kits Deemed Table'!I299</f>
        <v>8.1930000000000006E-3</v>
      </c>
      <c r="P97" s="2085">
        <v>0</v>
      </c>
      <c r="Q97" s="2086">
        <v>0</v>
      </c>
      <c r="R97" s="2086">
        <v>0</v>
      </c>
      <c r="S97" s="2086"/>
      <c r="T97" s="2086"/>
      <c r="U97" s="2087">
        <v>0</v>
      </c>
      <c r="V97" s="2087">
        <f t="shared" si="59"/>
        <v>8.1930000000000006E-3</v>
      </c>
      <c r="W97" s="2087">
        <v>0</v>
      </c>
      <c r="X97" s="2121">
        <f>'Energy Effic. Kits Deemed Table'!J299</f>
        <v>10</v>
      </c>
      <c r="Y97" s="2121"/>
      <c r="Z97" s="88">
        <f t="shared" si="70"/>
        <v>10</v>
      </c>
      <c r="AA97" s="2088">
        <f>'Energy Effic. Kits Deemed Table'!BB299</f>
        <v>1.3033971481196798</v>
      </c>
      <c r="AB97" s="2916">
        <f>'Energy Effic. Kits Deemed Table'!K299</f>
        <v>20</v>
      </c>
      <c r="AC97" s="2089">
        <f t="shared" si="73"/>
        <v>24.604004683712688</v>
      </c>
      <c r="AD97" s="2089"/>
      <c r="AE97" s="2955">
        <f>'Energy Effic. Kits Deemed Table'!BD299</f>
        <v>24.604004683712688</v>
      </c>
      <c r="AF97" s="2956"/>
      <c r="AG97" s="2956"/>
      <c r="AH97" s="2956"/>
      <c r="AI97" s="2240" t="str">
        <f>'Energy Effic. Kits Deemed Table'!L299</f>
        <v>per measure</v>
      </c>
      <c r="AM97" s="2057">
        <f t="shared" si="44"/>
        <v>1.148238E-4</v>
      </c>
      <c r="AN97">
        <f t="shared" si="79"/>
        <v>8.1926781299999987E-3</v>
      </c>
      <c r="AO97" s="2048">
        <f t="shared" si="71"/>
        <v>-3.2187000000190313E-7</v>
      </c>
    </row>
    <row r="98" spans="2:41" s="132" customFormat="1" x14ac:dyDescent="0.25">
      <c r="B98" s="2307" t="str">
        <f>'Energy Effic. Kits Deemed Table'!C300</f>
        <v>300951_2020_12_</v>
      </c>
      <c r="C98" s="2305" t="str">
        <f>'Energy Effic. Kits Deemed Table'!G300</f>
        <v>Miscellaneous RES</v>
      </c>
      <c r="D98" s="2305"/>
      <c r="E98" s="2305"/>
      <c r="F98" s="2305"/>
      <c r="G98" s="2305" t="str">
        <f>'Energy Effic. Kits Deemed Table'!E300</f>
        <v>Advanced Tier 1 Power Strips -DI - Home Entertainment</v>
      </c>
      <c r="H98" s="2322" t="str">
        <f>'Energy Effic. Kits Deemed Table'!D300</f>
        <v>Unknown</v>
      </c>
      <c r="I98" s="2320">
        <f>'Energy Effic. Kits Deemed Table'!F300</f>
        <v>71.349999999999994</v>
      </c>
      <c r="J98" s="2320">
        <v>0</v>
      </c>
      <c r="K98" s="2310">
        <v>0</v>
      </c>
      <c r="L98" s="2310">
        <v>0</v>
      </c>
      <c r="M98" s="2310">
        <v>0</v>
      </c>
      <c r="N98" s="2310">
        <v>0</v>
      </c>
      <c r="O98" s="2321">
        <f>'Energy Effic. Kits Deemed Table'!I300</f>
        <v>8.1930000000000006E-3</v>
      </c>
      <c r="P98" s="2321">
        <v>0</v>
      </c>
      <c r="Q98" s="2323">
        <v>0</v>
      </c>
      <c r="R98" s="2323">
        <v>0</v>
      </c>
      <c r="S98" s="2323"/>
      <c r="T98" s="2323"/>
      <c r="U98" s="2273">
        <v>0</v>
      </c>
      <c r="V98" s="2273">
        <f t="shared" si="59"/>
        <v>8.1930000000000006E-3</v>
      </c>
      <c r="W98" s="2273">
        <v>0</v>
      </c>
      <c r="X98" s="2299">
        <f>'Energy Effic. Kits Deemed Table'!J300</f>
        <v>10</v>
      </c>
      <c r="Y98" s="2299"/>
      <c r="Z98" s="2299">
        <f t="shared" si="70"/>
        <v>10</v>
      </c>
      <c r="AA98" s="2927">
        <f>'Energy Effic. Kits Deemed Table'!BB300</f>
        <v>0.86893143207978651</v>
      </c>
      <c r="AB98" s="2475">
        <f>'Energy Effic. Kits Deemed Table'!K300</f>
        <v>30</v>
      </c>
      <c r="AC98" s="2928">
        <f t="shared" si="73"/>
        <v>24.604004683712688</v>
      </c>
      <c r="AD98" s="2928"/>
      <c r="AE98" s="2957">
        <f>'Energy Effic. Kits Deemed Table'!BD300</f>
        <v>24.604004683712688</v>
      </c>
      <c r="AF98" s="2334"/>
      <c r="AG98" s="2334"/>
      <c r="AH98" s="2334"/>
      <c r="AI98" s="2307" t="str">
        <f>'Energy Effic. Kits Deemed Table'!L300</f>
        <v>per measure</v>
      </c>
      <c r="AM98" s="2929">
        <f t="shared" si="44"/>
        <v>1.148238E-4</v>
      </c>
      <c r="AN98" s="132">
        <f t="shared" si="79"/>
        <v>8.1926781299999987E-3</v>
      </c>
      <c r="AO98" s="2933">
        <f t="shared" si="71"/>
        <v>-3.2187000000190313E-7</v>
      </c>
    </row>
    <row r="99" spans="2:41" x14ac:dyDescent="0.25">
      <c r="B99" s="2240" t="str">
        <f>'Energy Effic. Kits Deemed Table'!C301</f>
        <v>301000_2019_12_</v>
      </c>
      <c r="C99" s="208" t="str">
        <f>'Energy Effic. Kits Deemed Table'!G301</f>
        <v>Miscellaneous RES</v>
      </c>
      <c r="D99" s="208"/>
      <c r="E99" s="208"/>
      <c r="F99" s="208"/>
      <c r="G99" s="208" t="str">
        <f>'Energy Effic. Kits Deemed Table'!E301</f>
        <v>Advanced Tier 1 Power Strips -Kits - Home Entertainment</v>
      </c>
      <c r="H99" s="622" t="str">
        <f>'Energy Effic. Kits Deemed Table'!D301</f>
        <v>Unknown</v>
      </c>
      <c r="I99" s="2084">
        <f>'Energy Effic. Kits Deemed Table'!F301</f>
        <v>70.44</v>
      </c>
      <c r="J99" s="2084">
        <v>0</v>
      </c>
      <c r="K99" s="2113">
        <v>0</v>
      </c>
      <c r="L99" s="2113">
        <v>0</v>
      </c>
      <c r="M99" s="2113">
        <v>0</v>
      </c>
      <c r="N99" s="2113">
        <v>0</v>
      </c>
      <c r="O99" s="2085">
        <f>'Energy Effic. Kits Deemed Table'!I301</f>
        <v>8.0879999999999997E-3</v>
      </c>
      <c r="P99" s="2085">
        <v>0</v>
      </c>
      <c r="Q99" s="2086">
        <v>0</v>
      </c>
      <c r="R99" s="2086">
        <v>0</v>
      </c>
      <c r="S99" s="2086"/>
      <c r="T99" s="2086"/>
      <c r="U99" s="2087">
        <v>0</v>
      </c>
      <c r="V99" s="2087">
        <f t="shared" si="59"/>
        <v>8.0879999999999997E-3</v>
      </c>
      <c r="W99" s="2087">
        <v>0</v>
      </c>
      <c r="X99" s="2121">
        <f>'Energy Effic. Kits Deemed Table'!J301</f>
        <v>10</v>
      </c>
      <c r="Y99" s="2121"/>
      <c r="Z99" s="88">
        <f t="shared" si="70"/>
        <v>10</v>
      </c>
      <c r="AA99" s="2088">
        <f>'Energy Effic. Kits Deemed Table'!BB301</f>
        <v>1.2867735825304871</v>
      </c>
      <c r="AB99" s="2916">
        <f>'Energy Effic. Kits Deemed Table'!K301</f>
        <v>20</v>
      </c>
      <c r="AC99" s="2089">
        <f t="shared" si="73"/>
        <v>24.290204483822311</v>
      </c>
      <c r="AD99" s="2089"/>
      <c r="AE99" s="2955">
        <f>'Energy Effic. Kits Deemed Table'!BD301</f>
        <v>24.290204483822311</v>
      </c>
      <c r="AF99" s="2956"/>
      <c r="AG99" s="2956"/>
      <c r="AH99" s="2956"/>
      <c r="AI99" s="2240" t="str">
        <f>'Energy Effic. Kits Deemed Table'!L301</f>
        <v>per measure</v>
      </c>
      <c r="AM99" s="2057">
        <f t="shared" si="44"/>
        <v>1.148238E-4</v>
      </c>
      <c r="AN99">
        <f t="shared" si="79"/>
        <v>8.0881884719999995E-3</v>
      </c>
      <c r="AO99" s="2048">
        <f t="shared" si="71"/>
        <v>1.8847199999977304E-7</v>
      </c>
    </row>
    <row r="100" spans="2:41" x14ac:dyDescent="0.25">
      <c r="B100" s="2240" t="str">
        <f>'Energy Effic. Kits Deemed Table'!C302</f>
        <v>301050_2019_12_</v>
      </c>
      <c r="C100" s="208" t="str">
        <f>'Energy Effic. Kits Deemed Table'!G302</f>
        <v>Miscellaneous RES</v>
      </c>
      <c r="D100" s="208"/>
      <c r="E100" s="208"/>
      <c r="F100" s="208"/>
      <c r="G100" s="208" t="str">
        <f>'Energy Effic. Kits Deemed Table'!E302</f>
        <v>Advanced Tier 1 Power Strips -TOS/NC - Unknown Location</v>
      </c>
      <c r="H100" s="622" t="str">
        <f>'Energy Effic. Kits Deemed Table'!D302</f>
        <v>Unknown</v>
      </c>
      <c r="I100" s="2084">
        <f>'Energy Effic. Kits Deemed Table'!F302</f>
        <v>56.26</v>
      </c>
      <c r="J100" s="2084">
        <v>0</v>
      </c>
      <c r="K100" s="2113">
        <v>0</v>
      </c>
      <c r="L100" s="2113">
        <v>0</v>
      </c>
      <c r="M100" s="2113">
        <v>0</v>
      </c>
      <c r="N100" s="2113">
        <v>0</v>
      </c>
      <c r="O100" s="2085">
        <f>'Energy Effic. Kits Deemed Table'!I302</f>
        <v>6.4599999999999996E-3</v>
      </c>
      <c r="P100" s="2085">
        <v>0</v>
      </c>
      <c r="Q100" s="2086">
        <v>0</v>
      </c>
      <c r="R100" s="2086">
        <v>0</v>
      </c>
      <c r="S100" s="2086"/>
      <c r="T100" s="2086"/>
      <c r="U100" s="2087">
        <v>0</v>
      </c>
      <c r="V100" s="2087">
        <f t="shared" si="59"/>
        <v>6.4599999999999996E-3</v>
      </c>
      <c r="W100" s="2087">
        <v>0</v>
      </c>
      <c r="X100" s="2121">
        <f>'Energy Effic. Kits Deemed Table'!J302</f>
        <v>10</v>
      </c>
      <c r="Y100" s="2121"/>
      <c r="Z100" s="88">
        <f t="shared" si="70"/>
        <v>10</v>
      </c>
      <c r="AA100" s="2088">
        <f>'Energy Effic. Kits Deemed Table'!BB302</f>
        <v>1.0277382418109766</v>
      </c>
      <c r="AB100" s="2916">
        <f>'Energy Effic. Kits Deemed Table'!K302</f>
        <v>20</v>
      </c>
      <c r="AC100" s="2089">
        <f t="shared" si="73"/>
        <v>19.400438731684314</v>
      </c>
      <c r="AD100" s="2089"/>
      <c r="AE100" s="2955">
        <f>'Energy Effic. Kits Deemed Table'!BD302</f>
        <v>19.400438731684314</v>
      </c>
      <c r="AF100" s="2956"/>
      <c r="AG100" s="2956"/>
      <c r="AH100" s="2956"/>
      <c r="AI100" s="2240" t="str">
        <f>'Energy Effic. Kits Deemed Table'!L302</f>
        <v>per measure</v>
      </c>
      <c r="AM100" s="2057">
        <f t="shared" si="44"/>
        <v>1.148238E-4</v>
      </c>
      <c r="AN100">
        <f t="shared" si="79"/>
        <v>6.4599869879999995E-3</v>
      </c>
      <c r="AO100" s="2048">
        <f t="shared" si="71"/>
        <v>-1.3012000000048318E-8</v>
      </c>
    </row>
    <row r="101" spans="2:41" s="132" customFormat="1" x14ac:dyDescent="0.25">
      <c r="B101" s="2307" t="str">
        <f>'Energy Effic. Kits Deemed Table'!C303</f>
        <v>301051_2020_12_</v>
      </c>
      <c r="C101" s="2305" t="str">
        <f>'Energy Effic. Kits Deemed Table'!G303</f>
        <v>Miscellaneous RES</v>
      </c>
      <c r="D101" s="2305"/>
      <c r="E101" s="2305"/>
      <c r="F101" s="2305"/>
      <c r="G101" s="2305" t="str">
        <f>'Energy Effic. Kits Deemed Table'!E303</f>
        <v>Advanced Tier 1 Power Strips -DI - Unknown Location</v>
      </c>
      <c r="H101" s="2322" t="str">
        <f>'Energy Effic. Kits Deemed Table'!D303</f>
        <v>Unknown</v>
      </c>
      <c r="I101" s="2320">
        <f>'Energy Effic. Kits Deemed Table'!F303</f>
        <v>56.26</v>
      </c>
      <c r="J101" s="2320">
        <v>0</v>
      </c>
      <c r="K101" s="2310">
        <v>0</v>
      </c>
      <c r="L101" s="2310">
        <v>0</v>
      </c>
      <c r="M101" s="2310">
        <v>0</v>
      </c>
      <c r="N101" s="2310">
        <v>0</v>
      </c>
      <c r="O101" s="2321">
        <f>'Energy Effic. Kits Deemed Table'!I303</f>
        <v>6.4599999999999996E-3</v>
      </c>
      <c r="P101" s="2321">
        <v>0</v>
      </c>
      <c r="Q101" s="2323">
        <v>0</v>
      </c>
      <c r="R101" s="2323">
        <v>0</v>
      </c>
      <c r="S101" s="2323"/>
      <c r="T101" s="2323"/>
      <c r="U101" s="2273">
        <v>0</v>
      </c>
      <c r="V101" s="2273">
        <f t="shared" si="59"/>
        <v>6.4599999999999996E-3</v>
      </c>
      <c r="W101" s="2273">
        <v>0</v>
      </c>
      <c r="X101" s="2299">
        <f>'Energy Effic. Kits Deemed Table'!J303</f>
        <v>10</v>
      </c>
      <c r="Y101" s="2299"/>
      <c r="Z101" s="2299">
        <f t="shared" si="70"/>
        <v>10</v>
      </c>
      <c r="AA101" s="2927">
        <f>'Energy Effic. Kits Deemed Table'!BB303</f>
        <v>0.68515882787398441</v>
      </c>
      <c r="AB101" s="2475">
        <f>'Energy Effic. Kits Deemed Table'!K303</f>
        <v>30</v>
      </c>
      <c r="AC101" s="2928">
        <f t="shared" si="73"/>
        <v>19.400438731684314</v>
      </c>
      <c r="AD101" s="2928"/>
      <c r="AE101" s="2957">
        <f>'Energy Effic. Kits Deemed Table'!BD303</f>
        <v>19.400438731684314</v>
      </c>
      <c r="AF101" s="2334"/>
      <c r="AG101" s="2334"/>
      <c r="AH101" s="2334"/>
      <c r="AI101" s="2307" t="str">
        <f>'Energy Effic. Kits Deemed Table'!L303</f>
        <v>per measure</v>
      </c>
      <c r="AM101" s="2929">
        <f t="shared" si="44"/>
        <v>1.148238E-4</v>
      </c>
      <c r="AN101" s="132">
        <f t="shared" si="79"/>
        <v>6.4599869879999995E-3</v>
      </c>
      <c r="AO101" s="2933">
        <f t="shared" si="71"/>
        <v>-1.3012000000048318E-8</v>
      </c>
    </row>
    <row r="102" spans="2:41" x14ac:dyDescent="0.25">
      <c r="B102" s="2240" t="str">
        <f>'Energy Effic. Kits Deemed Table'!C304</f>
        <v>301100_2019_12_</v>
      </c>
      <c r="C102" s="208" t="str">
        <f>'Energy Effic. Kits Deemed Table'!G304</f>
        <v>Miscellaneous RES</v>
      </c>
      <c r="D102" s="208"/>
      <c r="E102" s="208"/>
      <c r="F102" s="208"/>
      <c r="G102" s="208" t="str">
        <f>'Energy Effic. Kits Deemed Table'!E304</f>
        <v>Advanced Tier 1 Power Strips -Kits - Unknown Location</v>
      </c>
      <c r="H102" s="622" t="str">
        <f>'Energy Effic. Kits Deemed Table'!D304</f>
        <v>Unknown</v>
      </c>
      <c r="I102" s="2084">
        <f>'Energy Effic. Kits Deemed Table'!F304</f>
        <v>50.59</v>
      </c>
      <c r="J102" s="2084">
        <v>0</v>
      </c>
      <c r="K102" s="2113">
        <v>0</v>
      </c>
      <c r="L102" s="2113">
        <v>0</v>
      </c>
      <c r="M102" s="2113">
        <v>0</v>
      </c>
      <c r="N102" s="2113">
        <v>0</v>
      </c>
      <c r="O102" s="2085">
        <f>'Energy Effic. Kits Deemed Table'!I304</f>
        <v>5.8089999999999999E-3</v>
      </c>
      <c r="P102" s="2085">
        <v>0</v>
      </c>
      <c r="Q102" s="2086">
        <v>0</v>
      </c>
      <c r="R102" s="2086">
        <v>0</v>
      </c>
      <c r="S102" s="2086"/>
      <c r="T102" s="2086"/>
      <c r="U102" s="2087">
        <v>0</v>
      </c>
      <c r="V102" s="2087">
        <f t="shared" si="59"/>
        <v>5.8089999999999999E-3</v>
      </c>
      <c r="W102" s="2087">
        <v>0</v>
      </c>
      <c r="X102" s="2121">
        <f>'Energy Effic. Kits Deemed Table'!J304</f>
        <v>10</v>
      </c>
      <c r="Y102" s="2121"/>
      <c r="Z102" s="88">
        <f t="shared" si="70"/>
        <v>10</v>
      </c>
      <c r="AA102" s="2088">
        <f>'Energy Effic. Kits Deemed Table'!BB304</f>
        <v>0.92416064083215987</v>
      </c>
      <c r="AB102" s="2916">
        <f>'Energy Effic. Kits Deemed Table'!K304</f>
        <v>20</v>
      </c>
      <c r="AC102" s="2089">
        <f t="shared" si="73"/>
        <v>17.445222101598109</v>
      </c>
      <c r="AD102" s="2089"/>
      <c r="AE102" s="2955">
        <f>'Energy Effic. Kits Deemed Table'!BD304</f>
        <v>17.445222101598109</v>
      </c>
      <c r="AF102" s="2956"/>
      <c r="AG102" s="2956"/>
      <c r="AH102" s="2956"/>
      <c r="AI102" s="2240" t="str">
        <f>'Energy Effic. Kits Deemed Table'!L304</f>
        <v>per measure</v>
      </c>
      <c r="AM102" s="2057">
        <f t="shared" si="44"/>
        <v>1.148238E-4</v>
      </c>
      <c r="AN102">
        <f t="shared" si="79"/>
        <v>5.8089360420000005E-3</v>
      </c>
      <c r="AO102" s="2048">
        <f t="shared" si="71"/>
        <v>-6.3957999999440796E-8</v>
      </c>
    </row>
    <row r="103" spans="2:41" s="132" customFormat="1" x14ac:dyDescent="0.25">
      <c r="B103" s="2307" t="str">
        <f>'Energy Effic. Kits Deemed Table'!C332</f>
        <v>301149_2020_12_</v>
      </c>
      <c r="C103" s="2305" t="str">
        <f>'Energy Effic. Kits Deemed Table'!G332</f>
        <v>Miscellaneous RES</v>
      </c>
      <c r="D103" s="2305"/>
      <c r="E103" s="2305"/>
      <c r="F103" s="2305"/>
      <c r="G103" s="2305" t="str">
        <f>'Energy Effic. Kits Deemed Table'!E332</f>
        <v>Advanced Tier 2 Power Strips - TOS/NC/DI - Unknown Location</v>
      </c>
      <c r="H103" s="2322" t="str">
        <f>'Energy Effic. Kits Deemed Table'!D332</f>
        <v>Unknown</v>
      </c>
      <c r="I103" s="2320">
        <f>'Energy Effic. Kits Deemed Table'!F332</f>
        <v>153.9</v>
      </c>
      <c r="J103" s="2320">
        <v>0</v>
      </c>
      <c r="K103" s="2310">
        <v>0</v>
      </c>
      <c r="L103" s="2310">
        <v>0</v>
      </c>
      <c r="M103" s="2310">
        <v>0</v>
      </c>
      <c r="N103" s="2310">
        <v>0</v>
      </c>
      <c r="O103" s="2321">
        <f>'Energy Effic. Kits Deemed Table'!I332</f>
        <v>1.7670999999999999E-2</v>
      </c>
      <c r="P103" s="2321">
        <v>0</v>
      </c>
      <c r="Q103" s="2323">
        <v>0</v>
      </c>
      <c r="R103" s="2323">
        <v>0</v>
      </c>
      <c r="S103" s="2323"/>
      <c r="T103" s="2323"/>
      <c r="U103" s="2273">
        <v>0</v>
      </c>
      <c r="V103" s="2273">
        <f t="shared" si="59"/>
        <v>1.7670999999999999E-2</v>
      </c>
      <c r="W103" s="2273">
        <v>0</v>
      </c>
      <c r="X103" s="2299">
        <f>'Energy Effic. Kits Deemed Table'!J332</f>
        <v>10</v>
      </c>
      <c r="Y103" s="2299"/>
      <c r="Z103" s="2299">
        <f t="shared" si="70"/>
        <v>10</v>
      </c>
      <c r="AA103" s="2927">
        <f>'Energy Effic. Kits Deemed Table'!BB332</f>
        <v>5.6227840531357742</v>
      </c>
      <c r="AB103" s="2475">
        <f>'Energy Effic. Kits Deemed Table'!K332</f>
        <v>10</v>
      </c>
      <c r="AC103" s="2928">
        <f t="shared" si="73"/>
        <v>53.070165673768507</v>
      </c>
      <c r="AD103" s="2928"/>
      <c r="AE103" s="2957">
        <f>'Energy Effic. Kits Deemed Table'!BD332</f>
        <v>53.070165673768507</v>
      </c>
      <c r="AF103" s="2334"/>
      <c r="AG103" s="2334"/>
      <c r="AH103" s="2334"/>
      <c r="AI103" s="2307" t="str">
        <f>'Energy Effic. Kits Deemed Table'!L332</f>
        <v>per measure</v>
      </c>
      <c r="AM103" s="2929">
        <f t="shared" ref="AM103" si="85">VLOOKUP(C103,$AS$10:$AT$32,2,FALSE)</f>
        <v>1.148238E-4</v>
      </c>
      <c r="AN103" s="132">
        <f t="shared" si="79"/>
        <v>1.7671382820000001E-2</v>
      </c>
      <c r="AO103" s="2933">
        <f t="shared" si="71"/>
        <v>3.828200000020876E-7</v>
      </c>
    </row>
    <row r="104" spans="2:41" s="132" customFormat="1" x14ac:dyDescent="0.25">
      <c r="B104" s="2307" t="str">
        <f>'Energy Effic. Kits Deemed Table'!C333</f>
        <v>301150_2020_12_</v>
      </c>
      <c r="C104" s="2305" t="str">
        <f>'Energy Effic. Kits Deemed Table'!G333</f>
        <v>Miscellaneous RES</v>
      </c>
      <c r="D104" s="2305"/>
      <c r="E104" s="2305"/>
      <c r="F104" s="2305"/>
      <c r="G104" s="2305" t="str">
        <f>'Energy Effic. Kits Deemed Table'!E333</f>
        <v>Advanced Tier 2 Power Strips - SFLI Kits - Unknown Location</v>
      </c>
      <c r="H104" s="2322" t="str">
        <f>'Energy Effic. Kits Deemed Table'!D333</f>
        <v>LI</v>
      </c>
      <c r="I104" s="2320">
        <f>'Energy Effic. Kits Deemed Table'!F333</f>
        <v>151.96</v>
      </c>
      <c r="J104" s="2320">
        <v>0</v>
      </c>
      <c r="K104" s="2310">
        <v>0</v>
      </c>
      <c r="L104" s="2310">
        <v>0</v>
      </c>
      <c r="M104" s="2310">
        <v>0</v>
      </c>
      <c r="N104" s="2310">
        <v>0</v>
      </c>
      <c r="O104" s="2321">
        <f>'Energy Effic. Kits Deemed Table'!I333</f>
        <v>1.7448999999999999E-2</v>
      </c>
      <c r="P104" s="2321">
        <v>0</v>
      </c>
      <c r="Q104" s="2323">
        <v>0</v>
      </c>
      <c r="R104" s="2323">
        <v>0</v>
      </c>
      <c r="S104" s="2323"/>
      <c r="T104" s="2323"/>
      <c r="U104" s="2273">
        <v>0</v>
      </c>
      <c r="V104" s="2273">
        <f t="shared" ref="V104" si="86">O104</f>
        <v>1.7448999999999999E-2</v>
      </c>
      <c r="W104" s="2273">
        <v>0</v>
      </c>
      <c r="X104" s="2299">
        <f>'Energy Effic. Kits Deemed Table'!J333</f>
        <v>10</v>
      </c>
      <c r="Y104" s="2299"/>
      <c r="Z104" s="2299">
        <f t="shared" ref="Z104" si="87">Y104+X104</f>
        <v>10</v>
      </c>
      <c r="AA104" s="2927">
        <f>'Energy Effic. Kits Deemed Table'!BB333</f>
        <v>1.8506351845668449</v>
      </c>
      <c r="AB104" s="2475">
        <f>'Energy Effic. Kits Deemed Table'!K333</f>
        <v>30</v>
      </c>
      <c r="AC104" s="2928">
        <f t="shared" ref="AC104" si="88">AE104+AF104</f>
        <v>52.401185027848364</v>
      </c>
      <c r="AD104" s="2928"/>
      <c r="AE104" s="2957">
        <f>'Energy Effic. Kits Deemed Table'!BD333</f>
        <v>52.401185027848364</v>
      </c>
      <c r="AF104" s="2334"/>
      <c r="AG104" s="2334"/>
      <c r="AH104" s="2334"/>
      <c r="AI104" s="2307" t="str">
        <f>'Energy Effic. Kits Deemed Table'!L333</f>
        <v>per measure</v>
      </c>
      <c r="AM104" s="2929">
        <f t="shared" si="44"/>
        <v>1.148238E-4</v>
      </c>
      <c r="AN104" s="132">
        <f t="shared" ref="AN104" si="89">AM104*I104</f>
        <v>1.7448624648E-2</v>
      </c>
      <c r="AO104" s="2933">
        <f t="shared" ref="AO104" si="90">AN104-O104</f>
        <v>-3.7535199999896851E-7</v>
      </c>
    </row>
    <row r="105" spans="2:41" x14ac:dyDescent="0.25">
      <c r="B105" s="2240" t="str">
        <f>'HVAC Deemed Table'!C7</f>
        <v>350050_2019_12_</v>
      </c>
      <c r="C105" s="208" t="str">
        <f>'HVAC Deemed Table'!G7</f>
        <v>HVAC RES</v>
      </c>
      <c r="D105" s="208"/>
      <c r="E105" s="208"/>
      <c r="F105" s="208"/>
      <c r="G105" s="208" t="str">
        <f>'HVAC Deemed Table'!E7</f>
        <v>ECM Auto Fan ROF-SF</v>
      </c>
      <c r="H105" s="622" t="str">
        <f>'HVAC Deemed Table'!D7</f>
        <v>SF</v>
      </c>
      <c r="I105" s="2084">
        <f>'HVAC Deemed Table'!F7</f>
        <v>582</v>
      </c>
      <c r="J105" s="2084">
        <v>0</v>
      </c>
      <c r="K105" s="2113">
        <v>0</v>
      </c>
      <c r="L105" s="2113">
        <v>0</v>
      </c>
      <c r="M105" s="2113">
        <v>0</v>
      </c>
      <c r="N105" s="2113">
        <v>0</v>
      </c>
      <c r="O105" s="2085">
        <f>'HVAC Deemed Table'!M7</f>
        <v>0.27125899999999997</v>
      </c>
      <c r="P105" s="2085">
        <v>0</v>
      </c>
      <c r="Q105" s="2086">
        <v>0</v>
      </c>
      <c r="R105" s="2086">
        <v>0</v>
      </c>
      <c r="S105" s="2086"/>
      <c r="T105" s="2086"/>
      <c r="U105" s="2087">
        <v>0</v>
      </c>
      <c r="V105" s="2087"/>
      <c r="W105" s="2087">
        <f t="shared" ref="W105:W112" si="91">O105</f>
        <v>0.27125899999999997</v>
      </c>
      <c r="X105" s="2121">
        <f>'HVAC Deemed Table'!N7</f>
        <v>20</v>
      </c>
      <c r="Y105" s="2121"/>
      <c r="Z105" s="88">
        <f t="shared" si="70"/>
        <v>20</v>
      </c>
      <c r="AA105" s="2094" t="str">
        <f>'HVAC Deemed Table'!BB7</f>
        <v/>
      </c>
      <c r="AB105" s="2916">
        <f>'HVAC Deemed Table'!O7</f>
        <v>0</v>
      </c>
      <c r="AC105" s="2090">
        <f t="shared" si="73"/>
        <v>692.80298510345756</v>
      </c>
      <c r="AD105" s="2090"/>
      <c r="AE105" s="2958">
        <f>'HVAC Deemed Table'!BD7</f>
        <v>692.80298510345756</v>
      </c>
      <c r="AF105" s="2956">
        <v>0</v>
      </c>
      <c r="AG105" s="2956">
        <v>0</v>
      </c>
      <c r="AH105" s="2956">
        <v>0</v>
      </c>
      <c r="AI105" s="2263" t="str">
        <f>AI102</f>
        <v>per measure</v>
      </c>
      <c r="AJ105" s="2055"/>
      <c r="AK105" s="2055"/>
      <c r="AL105" s="2055"/>
      <c r="AM105" s="2057">
        <f t="shared" si="44"/>
        <v>4.6608050000000002E-4</v>
      </c>
      <c r="AN105">
        <f t="shared" si="79"/>
        <v>0.27125885100000002</v>
      </c>
      <c r="AO105" s="2048">
        <f t="shared" si="71"/>
        <v>-1.4899999994932855E-7</v>
      </c>
    </row>
    <row r="106" spans="2:41" x14ac:dyDescent="0.25">
      <c r="B106" s="2240" t="str">
        <f>'HVAC Deemed Table'!C8</f>
        <v>350100_2019_12_</v>
      </c>
      <c r="C106" s="208" t="str">
        <f>'HVAC Deemed Table'!G8</f>
        <v>HVAC RES</v>
      </c>
      <c r="D106" s="208"/>
      <c r="E106" s="208"/>
      <c r="F106" s="208"/>
      <c r="G106" s="208" t="str">
        <f>'HVAC Deemed Table'!E8</f>
        <v>ECM Auto Fan ROF-MF</v>
      </c>
      <c r="H106" s="622" t="str">
        <f>'HVAC Deemed Table'!D8</f>
        <v>MF</v>
      </c>
      <c r="I106" s="2084">
        <f>'HVAC Deemed Table'!F8</f>
        <v>582</v>
      </c>
      <c r="J106" s="2084">
        <v>0</v>
      </c>
      <c r="K106" s="2113">
        <v>0</v>
      </c>
      <c r="L106" s="2113">
        <v>0</v>
      </c>
      <c r="M106" s="2113">
        <v>0</v>
      </c>
      <c r="N106" s="2113">
        <v>0</v>
      </c>
      <c r="O106" s="2085">
        <f>'HVAC Deemed Table'!M8</f>
        <v>0.27125899999999997</v>
      </c>
      <c r="P106" s="2085">
        <v>0</v>
      </c>
      <c r="Q106" s="2086">
        <v>0</v>
      </c>
      <c r="R106" s="2086">
        <v>0</v>
      </c>
      <c r="S106" s="2086"/>
      <c r="T106" s="2086"/>
      <c r="U106" s="2087">
        <v>0</v>
      </c>
      <c r="V106" s="2087"/>
      <c r="W106" s="2087">
        <f t="shared" si="91"/>
        <v>0.27125899999999997</v>
      </c>
      <c r="X106" s="2121">
        <f>'HVAC Deemed Table'!N8</f>
        <v>20</v>
      </c>
      <c r="Y106" s="2121"/>
      <c r="Z106" s="88">
        <f t="shared" si="70"/>
        <v>20</v>
      </c>
      <c r="AA106" s="2094" t="str">
        <f>'HVAC Deemed Table'!BB8</f>
        <v/>
      </c>
      <c r="AB106" s="2916">
        <f>'HVAC Deemed Table'!O8</f>
        <v>0</v>
      </c>
      <c r="AC106" s="2090">
        <f t="shared" si="73"/>
        <v>692.80298510345756</v>
      </c>
      <c r="AD106" s="2090"/>
      <c r="AE106" s="2958">
        <f>'HVAC Deemed Table'!BD8</f>
        <v>692.80298510345756</v>
      </c>
      <c r="AF106" s="2956">
        <v>0</v>
      </c>
      <c r="AG106" s="2956">
        <v>0</v>
      </c>
      <c r="AH106" s="2956">
        <v>0</v>
      </c>
      <c r="AI106" s="2263" t="str">
        <f t="shared" ref="AI106:AI169" si="92">AI105</f>
        <v>per measure</v>
      </c>
      <c r="AJ106" s="2055"/>
      <c r="AK106" s="2055"/>
      <c r="AL106" s="2055"/>
      <c r="AM106" s="2057">
        <f t="shared" ref="AM106:AM136" si="93">VLOOKUP(C106,$AS$10:$AT$32,2,FALSE)</f>
        <v>4.6608050000000002E-4</v>
      </c>
      <c r="AN106">
        <f t="shared" si="79"/>
        <v>0.27125885100000002</v>
      </c>
      <c r="AO106" s="2048">
        <f t="shared" si="71"/>
        <v>-1.4899999994932855E-7</v>
      </c>
    </row>
    <row r="107" spans="2:41" x14ac:dyDescent="0.25">
      <c r="B107" s="2240" t="str">
        <f>'HVAC Deemed Table'!C9</f>
        <v>350150_2019_12_</v>
      </c>
      <c r="C107" s="208" t="str">
        <f>'HVAC Deemed Table'!G9</f>
        <v>HVAC RES</v>
      </c>
      <c r="D107" s="208" t="str">
        <f>'HVAC Deemed Table'!G10</f>
        <v>HVAC RES ER2</v>
      </c>
      <c r="E107" s="208"/>
      <c r="F107" s="208"/>
      <c r="G107" s="208" t="str">
        <f>'HVAC Deemed Table'!E9</f>
        <v>ECM Auto Fan ER1 - SF</v>
      </c>
      <c r="H107" s="622" t="str">
        <f>'HVAC Deemed Table'!D9</f>
        <v>SF</v>
      </c>
      <c r="I107" s="2084">
        <f>'HVAC Deemed Table'!F9</f>
        <v>582</v>
      </c>
      <c r="J107" s="2084">
        <f>'HVAC Deemed Table'!F10</f>
        <v>582</v>
      </c>
      <c r="K107" s="2113">
        <v>0</v>
      </c>
      <c r="L107" s="2113">
        <v>0</v>
      </c>
      <c r="M107" s="2113">
        <v>0</v>
      </c>
      <c r="N107" s="2113">
        <v>0</v>
      </c>
      <c r="O107" s="2085">
        <f>'HVAC Deemed Table'!M9</f>
        <v>0.27125899999999997</v>
      </c>
      <c r="P107" s="2085">
        <f>'HVAC Deemed Table'!M10</f>
        <v>0.27125899999999997</v>
      </c>
      <c r="Q107" s="2086">
        <v>0</v>
      </c>
      <c r="R107" s="2086">
        <v>0</v>
      </c>
      <c r="S107" s="2086"/>
      <c r="T107" s="2086"/>
      <c r="U107" s="2087">
        <v>0</v>
      </c>
      <c r="V107" s="2087"/>
      <c r="W107" s="2087">
        <f t="shared" si="91"/>
        <v>0.27125899999999997</v>
      </c>
      <c r="X107" s="2121">
        <f>'HVAC Deemed Table'!N9</f>
        <v>6</v>
      </c>
      <c r="Y107" s="2121">
        <f>'HVAC Deemed Table'!N10</f>
        <v>12</v>
      </c>
      <c r="Z107" s="88">
        <f>Y107+X107</f>
        <v>18</v>
      </c>
      <c r="AA107" s="2088">
        <f>'HVAC Deemed Table'!BB9</f>
        <v>9.106187302806509</v>
      </c>
      <c r="AB107" s="2916">
        <f>'HVAC Deemed Table'!O9</f>
        <v>74.327224020150311</v>
      </c>
      <c r="AC107" s="2090">
        <f t="shared" si="73"/>
        <v>214.66614365077814</v>
      </c>
      <c r="AD107" s="2090">
        <f>AG107+AH107</f>
        <v>424.16125004921963</v>
      </c>
      <c r="AE107" s="2958">
        <f>'HVAC Deemed Table'!BD9</f>
        <v>214.66614365077814</v>
      </c>
      <c r="AF107" s="2956">
        <v>0</v>
      </c>
      <c r="AG107" s="2958">
        <f>'HVAC Deemed Table'!BD10</f>
        <v>424.16125004921963</v>
      </c>
      <c r="AH107" s="2956">
        <v>0</v>
      </c>
      <c r="AI107" s="2263" t="str">
        <f t="shared" si="92"/>
        <v>per measure</v>
      </c>
      <c r="AJ107" s="2055"/>
      <c r="AK107" s="2055"/>
      <c r="AL107" s="2055"/>
      <c r="AM107" s="2057">
        <f t="shared" si="93"/>
        <v>4.6608050000000002E-4</v>
      </c>
      <c r="AN107">
        <f t="shared" si="79"/>
        <v>0.27125885100000002</v>
      </c>
      <c r="AO107" s="2048">
        <f t="shared" si="71"/>
        <v>-1.4899999994932855E-7</v>
      </c>
    </row>
    <row r="108" spans="2:41" x14ac:dyDescent="0.25">
      <c r="B108" s="2240" t="str">
        <f>'HVAC Deemed Table'!C11</f>
        <v>350175_2019_12_</v>
      </c>
      <c r="C108" s="208" t="str">
        <f>'HVAC Deemed Table'!G11</f>
        <v>HVAC RES</v>
      </c>
      <c r="D108" s="208" t="str">
        <f>'HVAC Deemed Table'!G12</f>
        <v>HVAC RES ER2</v>
      </c>
      <c r="E108" s="208"/>
      <c r="F108" s="208"/>
      <c r="G108" s="208" t="str">
        <f>'HVAC Deemed Table'!E11</f>
        <v>ECM Auto Fan ER1 - MF</v>
      </c>
      <c r="H108" s="622" t="str">
        <f>'HVAC Deemed Table'!D11</f>
        <v>MF</v>
      </c>
      <c r="I108" s="2084">
        <f>'HVAC Deemed Table'!F11</f>
        <v>582</v>
      </c>
      <c r="J108" s="2084">
        <f>'HVAC Deemed Table'!F12</f>
        <v>582</v>
      </c>
      <c r="K108" s="2113">
        <v>0</v>
      </c>
      <c r="L108" s="2113">
        <v>0</v>
      </c>
      <c r="M108" s="2113">
        <v>0</v>
      </c>
      <c r="N108" s="2113">
        <v>0</v>
      </c>
      <c r="O108" s="2085">
        <f>'HVAC Deemed Table'!M11</f>
        <v>0.27125899999999997</v>
      </c>
      <c r="P108" s="2085">
        <f>'HVAC Deemed Table'!M12</f>
        <v>0.27125899999999997</v>
      </c>
      <c r="Q108" s="2086">
        <v>0</v>
      </c>
      <c r="R108" s="2086">
        <v>0</v>
      </c>
      <c r="S108" s="2086"/>
      <c r="T108" s="2086"/>
      <c r="U108" s="2087">
        <v>0</v>
      </c>
      <c r="V108" s="2087"/>
      <c r="W108" s="2087">
        <f t="shared" si="91"/>
        <v>0.27125899999999997</v>
      </c>
      <c r="X108" s="2121">
        <f>'HVAC Deemed Table'!N11</f>
        <v>6</v>
      </c>
      <c r="Y108" s="2121">
        <f>'HVAC Deemed Table'!N12</f>
        <v>12</v>
      </c>
      <c r="Z108" s="88">
        <f t="shared" ref="Z108:Z190" si="94">Y108+X108</f>
        <v>18</v>
      </c>
      <c r="AA108" s="2088">
        <f>'HVAC Deemed Table'!BB11</f>
        <v>9.106187302806509</v>
      </c>
      <c r="AB108" s="2916">
        <f>'HVAC Deemed Table'!O11</f>
        <v>74.327224020150311</v>
      </c>
      <c r="AC108" s="2090">
        <f t="shared" ref="AC108:AC195" si="95">AE108+AF108</f>
        <v>214.66614365077814</v>
      </c>
      <c r="AD108" s="2090">
        <f t="shared" ref="AD108:AD195" si="96">AG108+AH108</f>
        <v>424.16125004921963</v>
      </c>
      <c r="AE108" s="2958">
        <f>'HVAC Deemed Table'!BD11</f>
        <v>214.66614365077814</v>
      </c>
      <c r="AF108" s="2956">
        <v>0</v>
      </c>
      <c r="AG108" s="2958">
        <f>'HVAC Deemed Table'!BD12</f>
        <v>424.16125004921963</v>
      </c>
      <c r="AH108" s="2956">
        <v>0</v>
      </c>
      <c r="AI108" s="2263" t="str">
        <f t="shared" si="92"/>
        <v>per measure</v>
      </c>
      <c r="AJ108" s="2055"/>
      <c r="AK108" s="2055"/>
      <c r="AL108" s="2055"/>
      <c r="AM108" s="2057">
        <f t="shared" si="93"/>
        <v>4.6608050000000002E-4</v>
      </c>
      <c r="AN108">
        <f t="shared" si="79"/>
        <v>0.27125885100000002</v>
      </c>
      <c r="AO108" s="2048">
        <f t="shared" si="71"/>
        <v>-1.4899999994932855E-7</v>
      </c>
    </row>
    <row r="109" spans="2:41" x14ac:dyDescent="0.25">
      <c r="B109" s="2240" t="str">
        <f>'HVAC Deemed Table'!C13</f>
        <v>350200_2019_12_</v>
      </c>
      <c r="C109" s="208" t="str">
        <f>'HVAC Deemed Table'!G13</f>
        <v>HVAC RES</v>
      </c>
      <c r="D109" s="208"/>
      <c r="E109" s="208"/>
      <c r="F109" s="208"/>
      <c r="G109" s="208" t="str">
        <f>'HVAC Deemed Table'!E13</f>
        <v>ECM Continuous Fan ROF- SF</v>
      </c>
      <c r="H109" s="622" t="str">
        <f>'HVAC Deemed Table'!D13</f>
        <v>SF</v>
      </c>
      <c r="I109" s="2084">
        <f>'HVAC Deemed Table'!F13</f>
        <v>582</v>
      </c>
      <c r="J109" s="2084">
        <v>0</v>
      </c>
      <c r="K109" s="2113">
        <v>0</v>
      </c>
      <c r="L109" s="2113">
        <v>0</v>
      </c>
      <c r="M109" s="2113">
        <v>0</v>
      </c>
      <c r="N109" s="2113">
        <v>0</v>
      </c>
      <c r="O109" s="2085">
        <f>'HVAC Deemed Table'!M13</f>
        <v>0.27125899999999997</v>
      </c>
      <c r="P109" s="2085">
        <v>0</v>
      </c>
      <c r="Q109" s="2086">
        <v>0</v>
      </c>
      <c r="R109" s="2086">
        <v>0</v>
      </c>
      <c r="S109" s="2086"/>
      <c r="T109" s="2086"/>
      <c r="U109" s="2087">
        <v>0</v>
      </c>
      <c r="V109" s="2087"/>
      <c r="W109" s="2087">
        <f t="shared" si="91"/>
        <v>0.27125899999999997</v>
      </c>
      <c r="X109" s="2121">
        <f>'HVAC Deemed Table'!N13</f>
        <v>20</v>
      </c>
      <c r="Y109" s="2121"/>
      <c r="Z109" s="88">
        <f t="shared" si="94"/>
        <v>20</v>
      </c>
      <c r="AA109" s="2094" t="str">
        <f>'HVAC Deemed Table'!BB13</f>
        <v/>
      </c>
      <c r="AB109" s="2916">
        <f>'HVAC Deemed Table'!O13</f>
        <v>0</v>
      </c>
      <c r="AC109" s="2090">
        <f t="shared" si="95"/>
        <v>692.80298510345756</v>
      </c>
      <c r="AD109" s="2090">
        <f t="shared" si="96"/>
        <v>0</v>
      </c>
      <c r="AE109" s="2958">
        <f>'HVAC Deemed Table'!BD13</f>
        <v>692.80298510345756</v>
      </c>
      <c r="AF109" s="2956">
        <v>0</v>
      </c>
      <c r="AG109" s="2958">
        <v>0</v>
      </c>
      <c r="AH109" s="2956">
        <v>0</v>
      </c>
      <c r="AI109" s="2263" t="str">
        <f t="shared" si="92"/>
        <v>per measure</v>
      </c>
      <c r="AJ109" s="2055"/>
      <c r="AK109" s="2055"/>
      <c r="AL109" s="2055"/>
      <c r="AM109" s="2057">
        <f t="shared" si="93"/>
        <v>4.6608050000000002E-4</v>
      </c>
      <c r="AN109">
        <f t="shared" si="79"/>
        <v>0.27125885100000002</v>
      </c>
      <c r="AO109" s="2048">
        <f t="shared" si="71"/>
        <v>-1.4899999994932855E-7</v>
      </c>
    </row>
    <row r="110" spans="2:41" x14ac:dyDescent="0.25">
      <c r="B110" s="2240" t="str">
        <f>'HVAC Deemed Table'!C14</f>
        <v>350250_2019_12_</v>
      </c>
      <c r="C110" s="208" t="str">
        <f>'HVAC Deemed Table'!G14</f>
        <v>HVAC RES</v>
      </c>
      <c r="D110" s="208"/>
      <c r="E110" s="208"/>
      <c r="F110" s="208"/>
      <c r="G110" s="208" t="str">
        <f>'HVAC Deemed Table'!E14</f>
        <v>ECM Continuous Fan ROF- MF</v>
      </c>
      <c r="H110" s="622" t="str">
        <f>'HVAC Deemed Table'!D14</f>
        <v>MF</v>
      </c>
      <c r="I110" s="2084">
        <f>'HVAC Deemed Table'!F14</f>
        <v>582</v>
      </c>
      <c r="J110" s="2084">
        <v>0</v>
      </c>
      <c r="K110" s="2113">
        <v>0</v>
      </c>
      <c r="L110" s="2113">
        <v>0</v>
      </c>
      <c r="M110" s="2113">
        <v>0</v>
      </c>
      <c r="N110" s="2113">
        <v>0</v>
      </c>
      <c r="O110" s="2085">
        <f>'HVAC Deemed Table'!M14</f>
        <v>0.27125899999999997</v>
      </c>
      <c r="P110" s="2085">
        <v>0</v>
      </c>
      <c r="Q110" s="2086">
        <v>0</v>
      </c>
      <c r="R110" s="2086">
        <v>0</v>
      </c>
      <c r="S110" s="2086"/>
      <c r="T110" s="2086"/>
      <c r="U110" s="2087">
        <v>0</v>
      </c>
      <c r="V110" s="2087"/>
      <c r="W110" s="2087">
        <f t="shared" si="91"/>
        <v>0.27125899999999997</v>
      </c>
      <c r="X110" s="2121">
        <f>'HVAC Deemed Table'!N14</f>
        <v>20</v>
      </c>
      <c r="Y110" s="2121"/>
      <c r="Z110" s="88">
        <f t="shared" si="94"/>
        <v>20</v>
      </c>
      <c r="AA110" s="2094" t="str">
        <f>'HVAC Deemed Table'!BB14</f>
        <v/>
      </c>
      <c r="AB110" s="2916">
        <f>'HVAC Deemed Table'!O14</f>
        <v>0</v>
      </c>
      <c r="AC110" s="2090">
        <f t="shared" si="95"/>
        <v>692.80298510345756</v>
      </c>
      <c r="AD110" s="2090">
        <f t="shared" si="96"/>
        <v>0</v>
      </c>
      <c r="AE110" s="2958">
        <f>'HVAC Deemed Table'!BD14</f>
        <v>692.80298510345756</v>
      </c>
      <c r="AF110" s="2956">
        <v>0</v>
      </c>
      <c r="AG110" s="2958">
        <v>0</v>
      </c>
      <c r="AH110" s="2956">
        <v>0</v>
      </c>
      <c r="AI110" s="2263" t="str">
        <f t="shared" si="92"/>
        <v>per measure</v>
      </c>
      <c r="AJ110" s="2055"/>
      <c r="AK110" s="2055"/>
      <c r="AL110" s="2055"/>
      <c r="AM110" s="2057">
        <f t="shared" si="93"/>
        <v>4.6608050000000002E-4</v>
      </c>
      <c r="AN110">
        <f t="shared" si="79"/>
        <v>0.27125885100000002</v>
      </c>
      <c r="AO110" s="2048">
        <f t="shared" si="71"/>
        <v>-1.4899999994932855E-7</v>
      </c>
    </row>
    <row r="111" spans="2:41" x14ac:dyDescent="0.25">
      <c r="B111" s="2240" t="str">
        <f>'HVAC Deemed Table'!C15</f>
        <v>350300_2019_12_</v>
      </c>
      <c r="C111" s="208" t="str">
        <f>'HVAC Deemed Table'!G15</f>
        <v>HVAC RES</v>
      </c>
      <c r="D111" s="208" t="str">
        <f>'HVAC Deemed Table'!G16</f>
        <v>HVAC RES ER2</v>
      </c>
      <c r="E111" s="208"/>
      <c r="F111" s="208"/>
      <c r="G111" s="208" t="str">
        <f>'HVAC Deemed Table'!E15</f>
        <v>ECM Continuous Fan ER1 - SF</v>
      </c>
      <c r="H111" s="622" t="str">
        <f>'HVAC Deemed Table'!D15</f>
        <v>SF</v>
      </c>
      <c r="I111" s="2084">
        <f>'HVAC Deemed Table'!F15</f>
        <v>582</v>
      </c>
      <c r="J111" s="2084">
        <f>'HVAC Deemed Table'!F16</f>
        <v>582</v>
      </c>
      <c r="K111" s="2113">
        <v>0</v>
      </c>
      <c r="L111" s="2113">
        <v>0</v>
      </c>
      <c r="M111" s="2113">
        <v>0</v>
      </c>
      <c r="N111" s="2113">
        <v>0</v>
      </c>
      <c r="O111" s="2085">
        <f>'HVAC Deemed Table'!M15</f>
        <v>0.27125899999999997</v>
      </c>
      <c r="P111" s="2085">
        <f>'HVAC Deemed Table'!M16</f>
        <v>0.27125899999999997</v>
      </c>
      <c r="Q111" s="2086">
        <v>0</v>
      </c>
      <c r="R111" s="2086">
        <v>0</v>
      </c>
      <c r="S111" s="2086"/>
      <c r="T111" s="2086"/>
      <c r="U111" s="2087">
        <v>0</v>
      </c>
      <c r="V111" s="2087"/>
      <c r="W111" s="2087">
        <f t="shared" si="91"/>
        <v>0.27125899999999997</v>
      </c>
      <c r="X111" s="2121">
        <f>'HVAC Deemed Table'!N15</f>
        <v>6</v>
      </c>
      <c r="Y111" s="2121">
        <f>'HVAC Deemed Table'!N16</f>
        <v>12</v>
      </c>
      <c r="Z111" s="88">
        <f t="shared" si="94"/>
        <v>18</v>
      </c>
      <c r="AA111" s="2088">
        <f>'HVAC Deemed Table'!BB15</f>
        <v>9.106187302806509</v>
      </c>
      <c r="AB111" s="2916">
        <f>'HVAC Deemed Table'!O15</f>
        <v>74.327224020150311</v>
      </c>
      <c r="AC111" s="2090">
        <f t="shared" si="95"/>
        <v>214.66614365077814</v>
      </c>
      <c r="AD111" s="2090">
        <f t="shared" si="96"/>
        <v>424.16125004921963</v>
      </c>
      <c r="AE111" s="2958">
        <f>'HVAC Deemed Table'!BD15</f>
        <v>214.66614365077814</v>
      </c>
      <c r="AF111" s="2956">
        <v>0</v>
      </c>
      <c r="AG111" s="2958">
        <f>'HVAC Deemed Table'!BD16</f>
        <v>424.16125004921963</v>
      </c>
      <c r="AH111" s="2956">
        <v>0</v>
      </c>
      <c r="AI111" s="2263" t="str">
        <f t="shared" si="92"/>
        <v>per measure</v>
      </c>
      <c r="AJ111" s="2055"/>
      <c r="AK111" s="2055"/>
      <c r="AL111" s="2055"/>
      <c r="AM111" s="2057">
        <f t="shared" si="93"/>
        <v>4.6608050000000002E-4</v>
      </c>
      <c r="AN111">
        <f t="shared" si="79"/>
        <v>0.27125885100000002</v>
      </c>
      <c r="AO111" s="2048">
        <f t="shared" si="71"/>
        <v>-1.4899999994932855E-7</v>
      </c>
    </row>
    <row r="112" spans="2:41" x14ac:dyDescent="0.25">
      <c r="B112" s="2240" t="str">
        <f>'HVAC Deemed Table'!C17</f>
        <v>350350_2019_12_</v>
      </c>
      <c r="C112" s="208" t="str">
        <f>'HVAC Deemed Table'!G17</f>
        <v>HVAC RES</v>
      </c>
      <c r="D112" s="208" t="str">
        <f>'HVAC Deemed Table'!G18</f>
        <v>HVAC RES ER2</v>
      </c>
      <c r="E112" s="208"/>
      <c r="F112" s="208"/>
      <c r="G112" s="208" t="str">
        <f>'HVAC Deemed Table'!E17</f>
        <v>ECM Continuous Fan ER1 - MF</v>
      </c>
      <c r="H112" s="622" t="str">
        <f>'HVAC Deemed Table'!D17</f>
        <v>MF</v>
      </c>
      <c r="I112" s="2084">
        <f>'HVAC Deemed Table'!F17</f>
        <v>582</v>
      </c>
      <c r="J112" s="2084">
        <f>'HVAC Deemed Table'!F18</f>
        <v>582</v>
      </c>
      <c r="K112" s="2113">
        <v>0</v>
      </c>
      <c r="L112" s="2113">
        <v>0</v>
      </c>
      <c r="M112" s="2113">
        <v>0</v>
      </c>
      <c r="N112" s="2113">
        <v>0</v>
      </c>
      <c r="O112" s="2085">
        <f>'HVAC Deemed Table'!M17</f>
        <v>0.27125899999999997</v>
      </c>
      <c r="P112" s="2085">
        <f>'HVAC Deemed Table'!M18</f>
        <v>0.27125899999999997</v>
      </c>
      <c r="Q112" s="2086">
        <v>0</v>
      </c>
      <c r="R112" s="2086">
        <v>0</v>
      </c>
      <c r="S112" s="2086"/>
      <c r="T112" s="2086"/>
      <c r="U112" s="2087">
        <v>0</v>
      </c>
      <c r="V112" s="2087"/>
      <c r="W112" s="2087">
        <f t="shared" si="91"/>
        <v>0.27125899999999997</v>
      </c>
      <c r="X112" s="2121">
        <f>'HVAC Deemed Table'!N17</f>
        <v>6</v>
      </c>
      <c r="Y112" s="2121">
        <f>'HVAC Deemed Table'!N18</f>
        <v>12</v>
      </c>
      <c r="Z112" s="88">
        <f t="shared" si="94"/>
        <v>18</v>
      </c>
      <c r="AA112" s="2088">
        <f>'HVAC Deemed Table'!BB17</f>
        <v>9.106187302806509</v>
      </c>
      <c r="AB112" s="2916">
        <f>'HVAC Deemed Table'!O17</f>
        <v>74.327224020150311</v>
      </c>
      <c r="AC112" s="2090">
        <f t="shared" si="95"/>
        <v>214.66614365077814</v>
      </c>
      <c r="AD112" s="2090">
        <f t="shared" si="96"/>
        <v>424.16125004921963</v>
      </c>
      <c r="AE112" s="2958">
        <f>'HVAC Deemed Table'!BD17</f>
        <v>214.66614365077814</v>
      </c>
      <c r="AF112" s="2956">
        <v>0</v>
      </c>
      <c r="AG112" s="2958">
        <f>'HVAC Deemed Table'!BD18</f>
        <v>424.16125004921963</v>
      </c>
      <c r="AH112" s="2956">
        <v>0</v>
      </c>
      <c r="AI112" s="2263" t="str">
        <f t="shared" si="92"/>
        <v>per measure</v>
      </c>
      <c r="AJ112" s="2055"/>
      <c r="AK112" s="2055"/>
      <c r="AL112" s="2055"/>
      <c r="AM112" s="2057">
        <f t="shared" si="93"/>
        <v>4.6608050000000002E-4</v>
      </c>
      <c r="AN112">
        <f t="shared" si="79"/>
        <v>0.27125885100000002</v>
      </c>
      <c r="AO112" s="2048">
        <f t="shared" si="71"/>
        <v>-1.4899999994932855E-7</v>
      </c>
    </row>
    <row r="113" spans="2:41" x14ac:dyDescent="0.25">
      <c r="B113" s="2240" t="str">
        <f>'HVAC Deemed Table'!C118</f>
        <v>350400_2019_12_</v>
      </c>
      <c r="C113" s="208" t="str">
        <f>'HVAC Deemed Table'!G118</f>
        <v>Cooling RES</v>
      </c>
      <c r="D113" s="208" t="str">
        <f>'HVAC Deemed Table'!G119</f>
        <v>Cooling RES ER2</v>
      </c>
      <c r="E113" s="208"/>
      <c r="F113" s="208"/>
      <c r="G113" s="208" t="str">
        <f>'HVAC Deemed Table'!E118</f>
        <v>CAC - SEER 14 ER1: SF</v>
      </c>
      <c r="H113" s="622" t="str">
        <f>'HVAC Deemed Table'!D118</f>
        <v>SF</v>
      </c>
      <c r="I113" s="2091">
        <f>K113+L113</f>
        <v>1532.85</v>
      </c>
      <c r="J113" s="2091">
        <f>M113+N113</f>
        <v>192.72</v>
      </c>
      <c r="K113" s="2113">
        <f>'HVAC Deemed Table'!F118</f>
        <v>1532.85</v>
      </c>
      <c r="L113" s="2113">
        <v>0</v>
      </c>
      <c r="M113" s="2113">
        <f>'HVAC Deemed Table'!F119</f>
        <v>192.72</v>
      </c>
      <c r="N113" s="2113">
        <v>0</v>
      </c>
      <c r="O113" s="2092">
        <f t="shared" ref="O113:O162" si="97">Q113+R113</f>
        <v>1.45225</v>
      </c>
      <c r="P113" s="2092">
        <f t="shared" ref="P113:P162" si="98">S113+T113</f>
        <v>0.182586</v>
      </c>
      <c r="Q113" s="2086">
        <f>'HVAC Deemed Table'!I118</f>
        <v>1.45225</v>
      </c>
      <c r="R113" s="2086"/>
      <c r="S113" s="2086">
        <f>'HVAC Deemed Table'!I119</f>
        <v>0.182586</v>
      </c>
      <c r="T113" s="2086"/>
      <c r="U113" s="2087"/>
      <c r="V113" s="2087"/>
      <c r="W113" s="2095">
        <f>P113</f>
        <v>0.182586</v>
      </c>
      <c r="X113" s="2121">
        <f>'HVAC Deemed Table'!J118</f>
        <v>6</v>
      </c>
      <c r="Y113" s="2121">
        <f>'HVAC Deemed Table'!J119</f>
        <v>12</v>
      </c>
      <c r="Z113" s="88">
        <f t="shared" si="94"/>
        <v>18</v>
      </c>
      <c r="AA113" s="2088">
        <f>'HVAC Deemed Table'!BB118</f>
        <v>2.6701978309050833</v>
      </c>
      <c r="AB113" s="2916">
        <f>'HVAC Deemed Table'!K118</f>
        <v>444.07830140084025</v>
      </c>
      <c r="AC113" s="2090">
        <f t="shared" si="95"/>
        <v>891.32799915492603</v>
      </c>
      <c r="AD113" s="2090">
        <f t="shared" si="96"/>
        <v>227.85738749211248</v>
      </c>
      <c r="AE113" s="2956">
        <f>'HVAC Deemed Table'!BD118</f>
        <v>891.32799915492603</v>
      </c>
      <c r="AF113" s="2956">
        <v>0</v>
      </c>
      <c r="AG113" s="2956">
        <f>'HVAC Deemed Table'!BD119</f>
        <v>227.85738749211248</v>
      </c>
      <c r="AH113" s="2956">
        <v>0</v>
      </c>
      <c r="AI113" s="2263" t="str">
        <f t="shared" si="92"/>
        <v>per measure</v>
      </c>
      <c r="AJ113" s="160">
        <f>'HVAC Deemed Table'!L118</f>
        <v>2.98</v>
      </c>
      <c r="AK113" s="2055"/>
      <c r="AL113" s="2055"/>
      <c r="AM113" s="2057">
        <f t="shared" si="93"/>
        <v>9.4741810000000004E-4</v>
      </c>
      <c r="AN113">
        <f t="shared" si="79"/>
        <v>1.4522498345849999</v>
      </c>
      <c r="AO113" s="2048">
        <f t="shared" si="71"/>
        <v>-1.6541500014177757E-7</v>
      </c>
    </row>
    <row r="114" spans="2:41" x14ac:dyDescent="0.25">
      <c r="B114" s="2240" t="str">
        <f>'HVAC Deemed Table'!C120</f>
        <v>350450_2019_12_</v>
      </c>
      <c r="C114" s="208" t="str">
        <f>'HVAC Deemed Table'!G120</f>
        <v>Cooling RES</v>
      </c>
      <c r="D114" s="208"/>
      <c r="E114" s="208"/>
      <c r="F114" s="208"/>
      <c r="G114" s="208" t="str">
        <f>'HVAC Deemed Table'!E120</f>
        <v>CAC - SEER 14 ROF: SF</v>
      </c>
      <c r="H114" s="622" t="str">
        <f>'HVAC Deemed Table'!D120</f>
        <v>SF</v>
      </c>
      <c r="I114" s="2091">
        <f>K114+L114</f>
        <v>192.07</v>
      </c>
      <c r="J114" s="2091">
        <f>M114+N114</f>
        <v>0</v>
      </c>
      <c r="K114" s="2113">
        <f>'HVAC Deemed Table'!F120</f>
        <v>192.07</v>
      </c>
      <c r="L114" s="2113">
        <v>0</v>
      </c>
      <c r="M114" s="2113">
        <v>0</v>
      </c>
      <c r="N114" s="2113">
        <v>0</v>
      </c>
      <c r="O114" s="2092">
        <f t="shared" si="97"/>
        <v>0.18197099999999999</v>
      </c>
      <c r="P114" s="2092">
        <f t="shared" si="98"/>
        <v>0</v>
      </c>
      <c r="Q114" s="2086">
        <f>'HVAC Deemed Table'!I120</f>
        <v>0.18197099999999999</v>
      </c>
      <c r="R114" s="2086"/>
      <c r="S114" s="2086"/>
      <c r="T114" s="2086"/>
      <c r="U114" s="2087"/>
      <c r="V114" s="2087"/>
      <c r="W114" s="2087">
        <f>Q114</f>
        <v>0.18197099999999999</v>
      </c>
      <c r="X114" s="2121">
        <f>'HVAC Deemed Table'!J120</f>
        <v>18</v>
      </c>
      <c r="Y114" s="2121"/>
      <c r="Z114" s="88">
        <f t="shared" si="94"/>
        <v>18</v>
      </c>
      <c r="AA114" s="2088" t="str">
        <f>'HVAC Deemed Table'!BB120</f>
        <v/>
      </c>
      <c r="AB114" s="2916">
        <f>'HVAC Deemed Table'!K120</f>
        <v>0</v>
      </c>
      <c r="AC114" s="2090">
        <f t="shared" si="95"/>
        <v>338.77454038336418</v>
      </c>
      <c r="AD114" s="2090">
        <f t="shared" si="96"/>
        <v>0</v>
      </c>
      <c r="AE114" s="2956">
        <f>'HVAC Deemed Table'!BD120</f>
        <v>338.77454038336418</v>
      </c>
      <c r="AF114" s="2956">
        <v>0</v>
      </c>
      <c r="AG114" s="2956">
        <v>0</v>
      </c>
      <c r="AH114" s="2956">
        <v>0</v>
      </c>
      <c r="AI114" s="2263" t="str">
        <f t="shared" si="92"/>
        <v>per measure</v>
      </c>
      <c r="AJ114" s="160">
        <f>'HVAC Deemed Table'!L120</f>
        <v>2.97</v>
      </c>
      <c r="AK114" s="2055"/>
      <c r="AL114" s="2055"/>
      <c r="AM114" s="2057">
        <f t="shared" si="93"/>
        <v>9.4741810000000004E-4</v>
      </c>
      <c r="AN114">
        <f t="shared" si="79"/>
        <v>0.18197059446700001</v>
      </c>
      <c r="AO114" s="2048">
        <f t="shared" si="71"/>
        <v>-4.0553299998635772E-7</v>
      </c>
    </row>
    <row r="115" spans="2:41" x14ac:dyDescent="0.25">
      <c r="B115" s="2240" t="str">
        <f>'HVAC Deemed Table'!C121</f>
        <v>350500_2019_12_</v>
      </c>
      <c r="C115" s="208" t="str">
        <f>'HVAC Deemed Table'!G121</f>
        <v>Cooling RES</v>
      </c>
      <c r="D115" s="208" t="str">
        <f>'HVAC Deemed Table'!G122</f>
        <v>Cooling RES ER2</v>
      </c>
      <c r="E115" s="208"/>
      <c r="F115" s="208"/>
      <c r="G115" s="208" t="str">
        <f>'HVAC Deemed Table'!E121</f>
        <v>CAC - SEER 14 ER1: MF</v>
      </c>
      <c r="H115" s="622" t="str">
        <f>'HVAC Deemed Table'!D121</f>
        <v>MF</v>
      </c>
      <c r="I115" s="2091">
        <f>K115+L115</f>
        <v>1014.01</v>
      </c>
      <c r="J115" s="2091">
        <f>M115+N115</f>
        <v>114.59</v>
      </c>
      <c r="K115" s="2113">
        <f>'HVAC Deemed Table'!F121</f>
        <v>1014.01</v>
      </c>
      <c r="L115" s="2113">
        <v>0</v>
      </c>
      <c r="M115" s="2113">
        <f>'HVAC Deemed Table'!F122</f>
        <v>114.59</v>
      </c>
      <c r="N115" s="2113">
        <v>0</v>
      </c>
      <c r="O115" s="2092">
        <f t="shared" si="97"/>
        <v>0.96069099999999996</v>
      </c>
      <c r="P115" s="2092">
        <f t="shared" si="98"/>
        <v>0.10856499999999999</v>
      </c>
      <c r="Q115" s="2086">
        <f>'HVAC Deemed Table'!I121</f>
        <v>0.96069099999999996</v>
      </c>
      <c r="R115" s="2086"/>
      <c r="S115" s="2086">
        <f>'HVAC Deemed Table'!I122</f>
        <v>0.10856499999999999</v>
      </c>
      <c r="T115" s="2086"/>
      <c r="U115" s="2087"/>
      <c r="V115" s="2087"/>
      <c r="W115" s="2095">
        <f>P115</f>
        <v>0.10856499999999999</v>
      </c>
      <c r="X115" s="2121">
        <f>'HVAC Deemed Table'!J121</f>
        <v>6</v>
      </c>
      <c r="Y115" s="2121">
        <f>'HVAC Deemed Table'!J122</f>
        <v>12</v>
      </c>
      <c r="Z115" s="88">
        <f t="shared" si="94"/>
        <v>18</v>
      </c>
      <c r="AA115" s="2088">
        <f>'HVAC Deemed Table'!BB121</f>
        <v>1.9786933967944331</v>
      </c>
      <c r="AB115" s="2916">
        <f>'HVAC Deemed Table'!K121</f>
        <v>388.26502607230418</v>
      </c>
      <c r="AC115" s="2090">
        <f t="shared" si="95"/>
        <v>589.63075605772679</v>
      </c>
      <c r="AD115" s="2090">
        <f t="shared" si="96"/>
        <v>135.48245139436057</v>
      </c>
      <c r="AE115" s="2956">
        <f>'HVAC Deemed Table'!BD121</f>
        <v>589.63075605772679</v>
      </c>
      <c r="AF115" s="2956">
        <v>0</v>
      </c>
      <c r="AG115" s="2956">
        <f>'HVAC Deemed Table'!BD122</f>
        <v>135.48245139436057</v>
      </c>
      <c r="AH115" s="2956">
        <v>0</v>
      </c>
      <c r="AI115" s="2263" t="str">
        <f t="shared" si="92"/>
        <v>per measure</v>
      </c>
      <c r="AJ115" s="160">
        <f>'HVAC Deemed Table'!L121</f>
        <v>2</v>
      </c>
      <c r="AK115" s="2055"/>
      <c r="AL115" s="2055"/>
      <c r="AM115" s="2057">
        <f t="shared" si="93"/>
        <v>9.4741810000000004E-4</v>
      </c>
      <c r="AN115">
        <f t="shared" si="79"/>
        <v>0.96069142758100001</v>
      </c>
      <c r="AO115" s="2048">
        <f t="shared" si="71"/>
        <v>4.2758100005091393E-7</v>
      </c>
    </row>
    <row r="116" spans="2:41" x14ac:dyDescent="0.25">
      <c r="B116" s="2240" t="str">
        <f>'HVAC Deemed Table'!C123</f>
        <v>350501_2019_12_</v>
      </c>
      <c r="C116" s="208" t="str">
        <f>'HVAC Deemed Table'!G123</f>
        <v>Cooling RES</v>
      </c>
      <c r="D116" s="208" t="str">
        <f>'HVAC Deemed Table'!G124</f>
        <v>Cooling RES ER2</v>
      </c>
      <c r="E116" s="208"/>
      <c r="F116" s="208"/>
      <c r="G116" s="208" t="str">
        <f>'HVAC Deemed Table'!E123</f>
        <v>CAC - SEER 14 ER1: MF_CompE</v>
      </c>
      <c r="H116" s="622" t="str">
        <f>'HVAC Deemed Table'!D123</f>
        <v>MFc</v>
      </c>
      <c r="I116" s="2091">
        <f t="shared" ref="I116:I162" si="99">K116+L116</f>
        <v>737.46</v>
      </c>
      <c r="J116" s="2091">
        <f t="shared" ref="J116:J162" si="100">M116+N116</f>
        <v>83.34</v>
      </c>
      <c r="K116" s="2113">
        <f>'HVAC Deemed Table'!F123</f>
        <v>737.46</v>
      </c>
      <c r="L116" s="2113">
        <v>0</v>
      </c>
      <c r="M116" s="2113">
        <f>'HVAC Deemed Table'!F124</f>
        <v>83.34</v>
      </c>
      <c r="N116" s="2113">
        <v>0</v>
      </c>
      <c r="O116" s="2092">
        <f t="shared" si="97"/>
        <v>0.69868300000000005</v>
      </c>
      <c r="P116" s="2092">
        <f t="shared" si="98"/>
        <v>7.8958E-2</v>
      </c>
      <c r="Q116" s="2086">
        <f>'HVAC Deemed Table'!I123</f>
        <v>0.69868300000000005</v>
      </c>
      <c r="R116" s="2086"/>
      <c r="S116" s="2086">
        <f>'HVAC Deemed Table'!I124</f>
        <v>7.8958E-2</v>
      </c>
      <c r="T116" s="2086"/>
      <c r="U116" s="2087"/>
      <c r="V116" s="2087"/>
      <c r="W116" s="2095">
        <f>P116</f>
        <v>7.8958E-2</v>
      </c>
      <c r="X116" s="2121">
        <f>'HVAC Deemed Table'!J123</f>
        <v>6</v>
      </c>
      <c r="Y116" s="2121">
        <f>'HVAC Deemed Table'!J124</f>
        <v>12</v>
      </c>
      <c r="Z116" s="88">
        <f t="shared" si="94"/>
        <v>18</v>
      </c>
      <c r="AA116" s="2088">
        <f>'HVAC Deemed Table'!BB123</f>
        <v>1.8746996287397948</v>
      </c>
      <c r="AB116" s="2916">
        <f>'HVAC Deemed Table'!K123</f>
        <v>298.03912845693981</v>
      </c>
      <c r="AC116" s="2090">
        <f t="shared" si="95"/>
        <v>428.82131079805055</v>
      </c>
      <c r="AD116" s="2090">
        <f t="shared" si="96"/>
        <v>98.534841602286505</v>
      </c>
      <c r="AE116" s="2956">
        <f>'HVAC Deemed Table'!BD123</f>
        <v>428.82131079805055</v>
      </c>
      <c r="AF116" s="2956">
        <v>0</v>
      </c>
      <c r="AG116" s="2956">
        <f>'HVAC Deemed Table'!BD124</f>
        <v>98.534841602286505</v>
      </c>
      <c r="AH116" s="2956">
        <v>0</v>
      </c>
      <c r="AI116" s="2263" t="str">
        <f t="shared" si="92"/>
        <v>per measure</v>
      </c>
      <c r="AJ116" s="160">
        <f>'HVAC Deemed Table'!L123</f>
        <v>2</v>
      </c>
      <c r="AK116" s="2055"/>
      <c r="AL116" s="2055"/>
      <c r="AM116" s="2057">
        <f t="shared" si="93"/>
        <v>9.4741810000000004E-4</v>
      </c>
      <c r="AN116">
        <f t="shared" si="79"/>
        <v>0.69868295202600006</v>
      </c>
      <c r="AO116" s="2048">
        <f t="shared" si="71"/>
        <v>-4.797399999478813E-8</v>
      </c>
    </row>
    <row r="117" spans="2:41" x14ac:dyDescent="0.25">
      <c r="B117" s="2240" t="str">
        <f>'HVAC Deemed Table'!C125</f>
        <v>350550_2019_12_</v>
      </c>
      <c r="C117" s="208" t="str">
        <f>'HVAC Deemed Table'!G125</f>
        <v>Cooling RES</v>
      </c>
      <c r="D117" s="208"/>
      <c r="E117" s="208"/>
      <c r="F117" s="208"/>
      <c r="G117" s="208" t="str">
        <f>'HVAC Deemed Table'!E125</f>
        <v>CAC - SEER 14 ROF: MF</v>
      </c>
      <c r="H117" s="622" t="str">
        <f>'HVAC Deemed Table'!D125</f>
        <v>MF</v>
      </c>
      <c r="I117" s="2091">
        <f t="shared" si="99"/>
        <v>114.59</v>
      </c>
      <c r="J117" s="2091">
        <f t="shared" si="100"/>
        <v>0</v>
      </c>
      <c r="K117" s="2113">
        <f>'HVAC Deemed Table'!F125</f>
        <v>114.59</v>
      </c>
      <c r="L117" s="2113">
        <v>0</v>
      </c>
      <c r="M117" s="2113">
        <v>0</v>
      </c>
      <c r="N117" s="2113">
        <v>0</v>
      </c>
      <c r="O117" s="2092">
        <f t="shared" si="97"/>
        <v>0.10856499999999999</v>
      </c>
      <c r="P117" s="2092">
        <f t="shared" si="98"/>
        <v>0</v>
      </c>
      <c r="Q117" s="2086">
        <f>'HVAC Deemed Table'!I125</f>
        <v>0.10856499999999999</v>
      </c>
      <c r="R117" s="2086"/>
      <c r="S117" s="2086"/>
      <c r="T117" s="2086"/>
      <c r="U117" s="2087"/>
      <c r="V117" s="2087"/>
      <c r="W117" s="2087">
        <f>Q117</f>
        <v>0.10856499999999999</v>
      </c>
      <c r="X117" s="2121">
        <f>'HVAC Deemed Table'!J125</f>
        <v>18</v>
      </c>
      <c r="Y117" s="2121"/>
      <c r="Z117" s="88">
        <f t="shared" si="94"/>
        <v>18</v>
      </c>
      <c r="AA117" s="2094" t="str">
        <f>'HVAC Deemed Table'!BB125</f>
        <v/>
      </c>
      <c r="AB117" s="2916">
        <f>'HVAC Deemed Table'!K125</f>
        <v>0</v>
      </c>
      <c r="AC117" s="2090">
        <f t="shared" si="95"/>
        <v>202.11472162508306</v>
      </c>
      <c r="AD117" s="2090">
        <f t="shared" si="96"/>
        <v>0</v>
      </c>
      <c r="AE117" s="2956">
        <f>'HVAC Deemed Table'!BD125</f>
        <v>202.11472162508306</v>
      </c>
      <c r="AF117" s="2956">
        <v>0</v>
      </c>
      <c r="AG117" s="2956">
        <v>0</v>
      </c>
      <c r="AH117" s="2956">
        <v>0</v>
      </c>
      <c r="AI117" s="2263" t="str">
        <f t="shared" si="92"/>
        <v>per measure</v>
      </c>
      <c r="AJ117" s="160">
        <f>'HVAC Deemed Table'!L125</f>
        <v>2</v>
      </c>
      <c r="AK117" s="2055"/>
      <c r="AL117" s="2055"/>
      <c r="AM117" s="2057">
        <f t="shared" si="93"/>
        <v>9.4741810000000004E-4</v>
      </c>
      <c r="AN117">
        <f t="shared" si="79"/>
        <v>0.108564640079</v>
      </c>
      <c r="AO117" s="2048">
        <f t="shared" si="71"/>
        <v>-3.5992099998993776E-7</v>
      </c>
    </row>
    <row r="118" spans="2:41" x14ac:dyDescent="0.25">
      <c r="B118" s="2240" t="str">
        <f>'HVAC Deemed Table'!C126</f>
        <v>350551_2019_12_</v>
      </c>
      <c r="C118" s="208" t="str">
        <f>'HVAC Deemed Table'!G126</f>
        <v>Cooling RES</v>
      </c>
      <c r="D118" s="208"/>
      <c r="E118" s="208"/>
      <c r="F118" s="208"/>
      <c r="G118" s="208" t="str">
        <f>'HVAC Deemed Table'!E126</f>
        <v>CAC - SEER 14 ROF: MF_CompE</v>
      </c>
      <c r="H118" s="622" t="str">
        <f>'HVAC Deemed Table'!D126</f>
        <v>MFc</v>
      </c>
      <c r="I118" s="2091">
        <f t="shared" si="99"/>
        <v>83.34</v>
      </c>
      <c r="J118" s="2091">
        <f t="shared" si="100"/>
        <v>0</v>
      </c>
      <c r="K118" s="2113">
        <f>'HVAC Deemed Table'!F126</f>
        <v>83.34</v>
      </c>
      <c r="L118" s="2113">
        <v>0</v>
      </c>
      <c r="M118" s="2113">
        <v>0</v>
      </c>
      <c r="N118" s="2113">
        <v>0</v>
      </c>
      <c r="O118" s="2092">
        <f t="shared" si="97"/>
        <v>7.8958E-2</v>
      </c>
      <c r="P118" s="2092">
        <f t="shared" si="98"/>
        <v>0</v>
      </c>
      <c r="Q118" s="2086">
        <f>'HVAC Deemed Table'!I126</f>
        <v>7.8958E-2</v>
      </c>
      <c r="R118" s="2086"/>
      <c r="S118" s="2086"/>
      <c r="T118" s="2086"/>
      <c r="U118" s="2087"/>
      <c r="V118" s="2087"/>
      <c r="W118" s="2087">
        <f>Q118</f>
        <v>7.8958E-2</v>
      </c>
      <c r="X118" s="2121">
        <f>'HVAC Deemed Table'!J126</f>
        <v>18</v>
      </c>
      <c r="Y118" s="2121"/>
      <c r="Z118" s="88">
        <f t="shared" si="94"/>
        <v>18</v>
      </c>
      <c r="AA118" s="2094" t="str">
        <f>'HVAC Deemed Table'!BB126</f>
        <v/>
      </c>
      <c r="AB118" s="2916">
        <f>'HVAC Deemed Table'!K126</f>
        <v>0</v>
      </c>
      <c r="AC118" s="2090">
        <f t="shared" si="95"/>
        <v>146.99573174129</v>
      </c>
      <c r="AD118" s="2090">
        <f t="shared" si="96"/>
        <v>0</v>
      </c>
      <c r="AE118" s="2956">
        <f>'HVAC Deemed Table'!BD126</f>
        <v>146.99573174129</v>
      </c>
      <c r="AF118" s="2956">
        <v>0</v>
      </c>
      <c r="AG118" s="2956">
        <v>0</v>
      </c>
      <c r="AH118" s="2956">
        <v>0</v>
      </c>
      <c r="AI118" s="2263" t="str">
        <f t="shared" si="92"/>
        <v>per measure</v>
      </c>
      <c r="AJ118" s="160">
        <f>'HVAC Deemed Table'!L126</f>
        <v>2</v>
      </c>
      <c r="AK118" s="2055"/>
      <c r="AL118" s="2055"/>
      <c r="AM118" s="2057">
        <f t="shared" si="93"/>
        <v>9.4741810000000004E-4</v>
      </c>
      <c r="AN118">
        <f t="shared" si="79"/>
        <v>7.8957824454E-2</v>
      </c>
      <c r="AO118" s="2048">
        <f t="shared" si="71"/>
        <v>-1.7554600000024845E-7</v>
      </c>
    </row>
    <row r="119" spans="2:41" x14ac:dyDescent="0.25">
      <c r="B119" s="2240" t="str">
        <f>'HVAC Deemed Table'!C127</f>
        <v>350600_2019_12_</v>
      </c>
      <c r="C119" s="208" t="str">
        <f>'HVAC Deemed Table'!G127</f>
        <v>Cooling RES</v>
      </c>
      <c r="D119" s="208" t="str">
        <f>'HVAC Deemed Table'!G128</f>
        <v>Cooling RES ER2</v>
      </c>
      <c r="E119" s="208"/>
      <c r="F119" s="208"/>
      <c r="G119" s="208" t="str">
        <f>'HVAC Deemed Table'!E127</f>
        <v>CAC - SEER 15 ER1: SF</v>
      </c>
      <c r="H119" s="622" t="str">
        <f>'HVAC Deemed Table'!D127</f>
        <v>SF</v>
      </c>
      <c r="I119" s="2091">
        <f t="shared" si="99"/>
        <v>2258.48</v>
      </c>
      <c r="J119" s="2091">
        <f t="shared" si="100"/>
        <v>363.6</v>
      </c>
      <c r="K119" s="2113">
        <f>'HVAC Deemed Table'!F127</f>
        <v>2258.48</v>
      </c>
      <c r="L119" s="2113">
        <v>0</v>
      </c>
      <c r="M119" s="2113">
        <f>'HVAC Deemed Table'!F128</f>
        <v>363.6</v>
      </c>
      <c r="N119" s="2113">
        <v>0</v>
      </c>
      <c r="O119" s="2092">
        <f t="shared" si="97"/>
        <v>2.1397249999999999</v>
      </c>
      <c r="P119" s="2092">
        <f t="shared" si="98"/>
        <v>0.34448099999999998</v>
      </c>
      <c r="Q119" s="2086">
        <f>'HVAC Deemed Table'!I127</f>
        <v>2.1397249999999999</v>
      </c>
      <c r="R119" s="2086"/>
      <c r="S119" s="2086">
        <f>'HVAC Deemed Table'!I128</f>
        <v>0.34448099999999998</v>
      </c>
      <c r="T119" s="2086"/>
      <c r="U119" s="2087"/>
      <c r="V119" s="2087"/>
      <c r="W119" s="2095">
        <f>P119</f>
        <v>0.34448099999999998</v>
      </c>
      <c r="X119" s="2121">
        <f>'HVAC Deemed Table'!J127</f>
        <v>6</v>
      </c>
      <c r="Y119" s="2121"/>
      <c r="Z119" s="88">
        <f t="shared" si="94"/>
        <v>6</v>
      </c>
      <c r="AA119" s="2088">
        <f>'HVAC Deemed Table'!BB127</f>
        <v>3.118658856359537</v>
      </c>
      <c r="AB119" s="2916">
        <f>'HVAC Deemed Table'!K127</f>
        <v>592.20372478594982</v>
      </c>
      <c r="AC119" s="2090">
        <f t="shared" si="95"/>
        <v>1313.2703523054554</v>
      </c>
      <c r="AD119" s="2090">
        <f t="shared" si="96"/>
        <v>429.89282945274027</v>
      </c>
      <c r="AE119" s="2956">
        <f>'HVAC Deemed Table'!BD127</f>
        <v>1313.2703523054554</v>
      </c>
      <c r="AF119" s="2956">
        <v>0</v>
      </c>
      <c r="AG119" s="2956">
        <f>'HVAC Deemed Table'!BD128</f>
        <v>429.89282945274027</v>
      </c>
      <c r="AH119" s="2956">
        <v>0</v>
      </c>
      <c r="AI119" s="2263" t="str">
        <f t="shared" si="92"/>
        <v>per measure</v>
      </c>
      <c r="AJ119" s="160">
        <f>'HVAC Deemed Table'!L127</f>
        <v>3.2492627883650962</v>
      </c>
      <c r="AK119" s="2055"/>
      <c r="AL119" s="2055"/>
      <c r="AM119" s="2057">
        <f t="shared" si="93"/>
        <v>9.4741810000000004E-4</v>
      </c>
      <c r="AN119">
        <f t="shared" si="79"/>
        <v>2.1397248304879999</v>
      </c>
      <c r="AO119" s="2048">
        <f t="shared" si="71"/>
        <v>-1.6951199999226674E-7</v>
      </c>
    </row>
    <row r="120" spans="2:41" x14ac:dyDescent="0.25">
      <c r="B120" s="2240" t="str">
        <f>'HVAC Deemed Table'!C129</f>
        <v>350650_2019_12_</v>
      </c>
      <c r="C120" s="208" t="str">
        <f>'HVAC Deemed Table'!G129</f>
        <v>Cooling RES</v>
      </c>
      <c r="D120" s="208"/>
      <c r="E120" s="208"/>
      <c r="F120" s="208"/>
      <c r="G120" s="208" t="str">
        <f>'HVAC Deemed Table'!E129</f>
        <v>CAC - SEER 15 ROF: SF</v>
      </c>
      <c r="H120" s="622" t="str">
        <f>'HVAC Deemed Table'!D129</f>
        <v>SF</v>
      </c>
      <c r="I120" s="2091">
        <f t="shared" si="99"/>
        <v>373.31</v>
      </c>
      <c r="J120" s="2091">
        <f t="shared" si="100"/>
        <v>0</v>
      </c>
      <c r="K120" s="2113">
        <f>'HVAC Deemed Table'!F129</f>
        <v>373.31</v>
      </c>
      <c r="L120" s="2113">
        <v>0</v>
      </c>
      <c r="M120" s="2113">
        <v>0</v>
      </c>
      <c r="N120" s="2113">
        <v>0</v>
      </c>
      <c r="O120" s="2092">
        <f t="shared" si="97"/>
        <v>0.35368100000000002</v>
      </c>
      <c r="P120" s="2092">
        <f t="shared" si="98"/>
        <v>0</v>
      </c>
      <c r="Q120" s="2086">
        <f>'HVAC Deemed Table'!I129</f>
        <v>0.35368100000000002</v>
      </c>
      <c r="R120" s="2086"/>
      <c r="S120" s="2086"/>
      <c r="T120" s="2086"/>
      <c r="U120" s="2087"/>
      <c r="V120" s="2087"/>
      <c r="W120" s="2087">
        <f>Q120</f>
        <v>0.35368100000000002</v>
      </c>
      <c r="X120" s="2121">
        <f>'HVAC Deemed Table'!J129</f>
        <v>18</v>
      </c>
      <c r="Y120" s="2121"/>
      <c r="Z120" s="88">
        <f t="shared" si="94"/>
        <v>18</v>
      </c>
      <c r="AA120" s="2088">
        <f>'HVAC Deemed Table'!BB129</f>
        <v>6.4594874326735265</v>
      </c>
      <c r="AB120" s="2916">
        <f>'HVAC Deemed Table'!K129</f>
        <v>108</v>
      </c>
      <c r="AC120" s="2090">
        <f t="shared" si="95"/>
        <v>658.44704363260098</v>
      </c>
      <c r="AD120" s="2090">
        <f t="shared" si="96"/>
        <v>0</v>
      </c>
      <c r="AE120" s="2956">
        <f>'HVAC Deemed Table'!BD129</f>
        <v>658.44704363260098</v>
      </c>
      <c r="AF120" s="2956">
        <v>0</v>
      </c>
      <c r="AG120" s="2956">
        <v>0</v>
      </c>
      <c r="AH120" s="2956">
        <v>0</v>
      </c>
      <c r="AI120" s="2263" t="str">
        <f t="shared" si="92"/>
        <v>per measure</v>
      </c>
      <c r="AJ120" s="160">
        <f>'HVAC Deemed Table'!L129</f>
        <v>3.3199369085173505</v>
      </c>
      <c r="AK120" s="2055"/>
      <c r="AL120" s="2055"/>
      <c r="AM120" s="2057">
        <f t="shared" si="93"/>
        <v>9.4741810000000004E-4</v>
      </c>
      <c r="AN120">
        <f t="shared" si="79"/>
        <v>0.35368065091100004</v>
      </c>
      <c r="AO120" s="2048">
        <f t="shared" si="71"/>
        <v>-3.4908899998464804E-7</v>
      </c>
    </row>
    <row r="121" spans="2:41" x14ac:dyDescent="0.25">
      <c r="B121" s="2240" t="str">
        <f>'HVAC Deemed Table'!C130</f>
        <v>350700_2019_12_</v>
      </c>
      <c r="C121" s="208" t="str">
        <f>'HVAC Deemed Table'!G130</f>
        <v>Cooling RES</v>
      </c>
      <c r="D121" s="208" t="str">
        <f>'HVAC Deemed Table'!G131</f>
        <v>Cooling RES ER2</v>
      </c>
      <c r="E121" s="208"/>
      <c r="F121" s="208"/>
      <c r="G121" s="208" t="str">
        <f>'HVAC Deemed Table'!E130</f>
        <v>CAC - SEER 15 ER1: MF</v>
      </c>
      <c r="H121" s="622" t="str">
        <f>'HVAC Deemed Table'!D130</f>
        <v>MF</v>
      </c>
      <c r="I121" s="2091">
        <f t="shared" si="99"/>
        <v>1738.76</v>
      </c>
      <c r="J121" s="2091">
        <f t="shared" si="100"/>
        <v>263.63</v>
      </c>
      <c r="K121" s="2113">
        <f>'HVAC Deemed Table'!F130</f>
        <v>1738.76</v>
      </c>
      <c r="L121" s="2113">
        <v>0</v>
      </c>
      <c r="M121" s="2113">
        <f>'HVAC Deemed Table'!F131</f>
        <v>263.63</v>
      </c>
      <c r="N121" s="2113">
        <v>0</v>
      </c>
      <c r="O121" s="2092">
        <f t="shared" si="97"/>
        <v>1.6473329999999999</v>
      </c>
      <c r="P121" s="2092">
        <f t="shared" si="98"/>
        <v>0.24976799999999999</v>
      </c>
      <c r="Q121" s="2086">
        <f>'HVAC Deemed Table'!I130</f>
        <v>1.6473329999999999</v>
      </c>
      <c r="R121" s="2086"/>
      <c r="S121" s="2086">
        <f>'HVAC Deemed Table'!I131</f>
        <v>0.24976799999999999</v>
      </c>
      <c r="T121" s="2086"/>
      <c r="U121" s="2087"/>
      <c r="V121" s="2087"/>
      <c r="W121" s="2095">
        <f>P121</f>
        <v>0.24976799999999999</v>
      </c>
      <c r="X121" s="2121">
        <f>'HVAC Deemed Table'!J130</f>
        <v>6</v>
      </c>
      <c r="Y121" s="2121">
        <f>'HVAC Deemed Table'!J131</f>
        <v>12</v>
      </c>
      <c r="Z121" s="88">
        <f t="shared" si="94"/>
        <v>18</v>
      </c>
      <c r="AA121" s="2088">
        <f>'HVAC Deemed Table'!BB130</f>
        <v>3.0831359423093985</v>
      </c>
      <c r="AB121" s="2916">
        <f>'HVAC Deemed Table'!K130</f>
        <v>454.55712611272088</v>
      </c>
      <c r="AC121" s="2090">
        <f t="shared" si="95"/>
        <v>1011.0614031448735</v>
      </c>
      <c r="AD121" s="2090">
        <f t="shared" si="96"/>
        <v>311.69594782350362</v>
      </c>
      <c r="AE121" s="2956">
        <f>'HVAC Deemed Table'!BD130</f>
        <v>1011.0614031448735</v>
      </c>
      <c r="AF121" s="2956">
        <v>0</v>
      </c>
      <c r="AG121" s="2956">
        <f>'HVAC Deemed Table'!BD131</f>
        <v>311.69594782350362</v>
      </c>
      <c r="AH121" s="2956">
        <v>0</v>
      </c>
      <c r="AI121" s="2263" t="str">
        <f t="shared" si="92"/>
        <v>per measure</v>
      </c>
      <c r="AJ121" s="160">
        <f>'HVAC Deemed Table'!L130</f>
        <v>2.3255813953488373</v>
      </c>
      <c r="AK121" s="2055"/>
      <c r="AL121" s="2055"/>
      <c r="AM121" s="2057">
        <f t="shared" si="93"/>
        <v>9.4741810000000004E-4</v>
      </c>
      <c r="AN121">
        <f t="shared" si="79"/>
        <v>1.6473326955560001</v>
      </c>
      <c r="AO121" s="2048">
        <f t="shared" si="71"/>
        <v>-3.0444399978790671E-7</v>
      </c>
    </row>
    <row r="122" spans="2:41" x14ac:dyDescent="0.25">
      <c r="B122" s="2240" t="str">
        <f>'HVAC Deemed Table'!C132</f>
        <v>350701_2019_12_</v>
      </c>
      <c r="C122" s="208" t="str">
        <f>'HVAC Deemed Table'!G132</f>
        <v>Cooling RES</v>
      </c>
      <c r="D122" s="208" t="str">
        <f>'HVAC Deemed Table'!G133</f>
        <v>Cooling RES ER2</v>
      </c>
      <c r="E122" s="208"/>
      <c r="F122" s="208"/>
      <c r="G122" s="208" t="str">
        <f>'HVAC Deemed Table'!E132</f>
        <v>CAC - SEER 15 ER1: MF_CompE</v>
      </c>
      <c r="H122" s="622" t="str">
        <f>'HVAC Deemed Table'!D132</f>
        <v>MFc</v>
      </c>
      <c r="I122" s="2091">
        <f t="shared" si="99"/>
        <v>1078.19</v>
      </c>
      <c r="J122" s="2091">
        <f t="shared" si="100"/>
        <v>155.57</v>
      </c>
      <c r="K122" s="2113">
        <f>'HVAC Deemed Table'!F132</f>
        <v>1078.19</v>
      </c>
      <c r="L122" s="2113">
        <v>0</v>
      </c>
      <c r="M122" s="2113">
        <f>'HVAC Deemed Table'!F133</f>
        <v>155.57</v>
      </c>
      <c r="N122" s="2113">
        <v>0</v>
      </c>
      <c r="O122" s="2092">
        <f t="shared" si="97"/>
        <v>1.0214970000000001</v>
      </c>
      <c r="P122" s="2092">
        <f t="shared" si="98"/>
        <v>0.14738999999999999</v>
      </c>
      <c r="Q122" s="2086">
        <f>'HVAC Deemed Table'!I132</f>
        <v>1.0214970000000001</v>
      </c>
      <c r="R122" s="2086"/>
      <c r="S122" s="2086">
        <f>'HVAC Deemed Table'!I133</f>
        <v>0.14738999999999999</v>
      </c>
      <c r="T122" s="2086"/>
      <c r="U122" s="2087"/>
      <c r="V122" s="2087"/>
      <c r="W122" s="2095">
        <f>P122</f>
        <v>0.14738999999999999</v>
      </c>
      <c r="X122" s="2121">
        <f>'HVAC Deemed Table'!J132</f>
        <v>6</v>
      </c>
      <c r="Y122" s="2121">
        <f>'HVAC Deemed Table'!J133</f>
        <v>12</v>
      </c>
      <c r="Z122" s="88">
        <f t="shared" si="94"/>
        <v>18</v>
      </c>
      <c r="AA122" s="2088">
        <f>'HVAC Deemed Table'!BB132</f>
        <v>2.1158850092802552</v>
      </c>
      <c r="AB122" s="2916">
        <f>'HVAC Deemed Table'!K132</f>
        <v>406.03912845693981</v>
      </c>
      <c r="AC122" s="2090">
        <f t="shared" si="95"/>
        <v>626.95040963489566</v>
      </c>
      <c r="AD122" s="2090">
        <f t="shared" si="96"/>
        <v>183.93406897129483</v>
      </c>
      <c r="AE122" s="2956">
        <f>'HVAC Deemed Table'!BD132</f>
        <v>626.95040963489566</v>
      </c>
      <c r="AF122" s="2956">
        <v>0</v>
      </c>
      <c r="AG122" s="2956">
        <f>'HVAC Deemed Table'!BD133</f>
        <v>183.93406897129483</v>
      </c>
      <c r="AH122" s="2956">
        <v>0</v>
      </c>
      <c r="AI122" s="2263" t="str">
        <f t="shared" si="92"/>
        <v>per measure</v>
      </c>
      <c r="AJ122" s="160">
        <f>'HVAC Deemed Table'!L132</f>
        <v>2</v>
      </c>
      <c r="AK122" s="2055"/>
      <c r="AL122" s="2055"/>
      <c r="AM122" s="2057">
        <f t="shared" si="93"/>
        <v>9.4741810000000004E-4</v>
      </c>
      <c r="AN122">
        <f t="shared" si="79"/>
        <v>1.021496721239</v>
      </c>
      <c r="AO122" s="2048">
        <f t="shared" si="71"/>
        <v>-2.7876100006096749E-7</v>
      </c>
    </row>
    <row r="123" spans="2:41" x14ac:dyDescent="0.25">
      <c r="B123" s="2240" t="str">
        <f>'HVAC Deemed Table'!C134</f>
        <v>350750_2019_12_</v>
      </c>
      <c r="C123" s="208" t="str">
        <f>'HVAC Deemed Table'!G134</f>
        <v>Cooling RES</v>
      </c>
      <c r="D123" s="208"/>
      <c r="E123" s="208"/>
      <c r="F123" s="208"/>
      <c r="G123" s="208" t="str">
        <f>'HVAC Deemed Table'!E134</f>
        <v>CAC - SEER 15 ROF: MF</v>
      </c>
      <c r="H123" s="622" t="str">
        <f>'HVAC Deemed Table'!D134</f>
        <v>MF</v>
      </c>
      <c r="I123" s="2091">
        <f t="shared" si="99"/>
        <v>230.82</v>
      </c>
      <c r="J123" s="2091">
        <f t="shared" si="100"/>
        <v>0</v>
      </c>
      <c r="K123" s="2113">
        <f>'HVAC Deemed Table'!F134</f>
        <v>230.82</v>
      </c>
      <c r="L123" s="2113">
        <v>0</v>
      </c>
      <c r="M123" s="2113">
        <v>0</v>
      </c>
      <c r="N123" s="2113">
        <v>0</v>
      </c>
      <c r="O123" s="2092">
        <f t="shared" si="97"/>
        <v>0.21868299999999999</v>
      </c>
      <c r="P123" s="2092">
        <f t="shared" si="98"/>
        <v>0</v>
      </c>
      <c r="Q123" s="2086">
        <f>'HVAC Deemed Table'!I134</f>
        <v>0.21868299999999999</v>
      </c>
      <c r="R123" s="2086"/>
      <c r="S123" s="2086"/>
      <c r="T123" s="2086"/>
      <c r="U123" s="2087"/>
      <c r="V123" s="2087"/>
      <c r="W123" s="2087">
        <f>Q123</f>
        <v>0.21868299999999999</v>
      </c>
      <c r="X123" s="2121">
        <f>'HVAC Deemed Table'!J134</f>
        <v>18</v>
      </c>
      <c r="Y123" s="2121"/>
      <c r="Z123" s="88">
        <f t="shared" si="94"/>
        <v>18</v>
      </c>
      <c r="AA123" s="2088">
        <f>'HVAC Deemed Table'!BB134</f>
        <v>3.9939430746824445</v>
      </c>
      <c r="AB123" s="2916">
        <f>'HVAC Deemed Table'!K134</f>
        <v>108</v>
      </c>
      <c r="AC123" s="2090">
        <f t="shared" si="95"/>
        <v>407.12208783926752</v>
      </c>
      <c r="AD123" s="2090">
        <f t="shared" si="96"/>
        <v>0</v>
      </c>
      <c r="AE123" s="2956">
        <f>'HVAC Deemed Table'!BD134</f>
        <v>407.12208783926752</v>
      </c>
      <c r="AF123" s="2956">
        <v>0</v>
      </c>
      <c r="AG123" s="2956">
        <v>0</v>
      </c>
      <c r="AH123" s="2956">
        <v>0</v>
      </c>
      <c r="AI123" s="2263" t="str">
        <f t="shared" si="92"/>
        <v>per measure</v>
      </c>
      <c r="AJ123" s="160">
        <f>'HVAC Deemed Table'!L134</f>
        <v>2.0833333333333335</v>
      </c>
      <c r="AK123" s="2055"/>
      <c r="AL123" s="2055"/>
      <c r="AM123" s="2057">
        <f t="shared" si="93"/>
        <v>9.4741810000000004E-4</v>
      </c>
      <c r="AN123">
        <f t="shared" si="79"/>
        <v>0.21868304584199999</v>
      </c>
      <c r="AO123" s="2048">
        <f t="shared" si="71"/>
        <v>4.5842000001572458E-8</v>
      </c>
    </row>
    <row r="124" spans="2:41" x14ac:dyDescent="0.25">
      <c r="B124" s="2240" t="str">
        <f>'HVAC Deemed Table'!C135</f>
        <v>350751_2019_12_</v>
      </c>
      <c r="C124" s="208" t="str">
        <f>'HVAC Deemed Table'!G135</f>
        <v>Cooling RES</v>
      </c>
      <c r="D124" s="208"/>
      <c r="E124" s="208"/>
      <c r="F124" s="208"/>
      <c r="G124" s="208" t="str">
        <f>'HVAC Deemed Table'!E135</f>
        <v>CAC - SEER 15 ROF: MF_CompE</v>
      </c>
      <c r="H124" s="622" t="str">
        <f>'HVAC Deemed Table'!D135</f>
        <v>MFc</v>
      </c>
      <c r="I124" s="2091">
        <f t="shared" si="99"/>
        <v>155.57</v>
      </c>
      <c r="J124" s="2091">
        <f t="shared" si="100"/>
        <v>0</v>
      </c>
      <c r="K124" s="2113">
        <f>'HVAC Deemed Table'!F135</f>
        <v>155.57</v>
      </c>
      <c r="L124" s="2113">
        <v>0</v>
      </c>
      <c r="M124" s="2113">
        <v>0</v>
      </c>
      <c r="N124" s="2113">
        <v>0</v>
      </c>
      <c r="O124" s="2092">
        <f t="shared" si="97"/>
        <v>0.14738999999999999</v>
      </c>
      <c r="P124" s="2092">
        <f t="shared" si="98"/>
        <v>0</v>
      </c>
      <c r="Q124" s="2086">
        <f>'HVAC Deemed Table'!I135</f>
        <v>0.14738999999999999</v>
      </c>
      <c r="R124" s="2086"/>
      <c r="S124" s="2086"/>
      <c r="T124" s="2086"/>
      <c r="U124" s="2087"/>
      <c r="V124" s="2087"/>
      <c r="W124" s="2087">
        <f>Q124</f>
        <v>0.14738999999999999</v>
      </c>
      <c r="X124" s="2121">
        <f>'HVAC Deemed Table'!J135</f>
        <v>18</v>
      </c>
      <c r="Y124" s="2121"/>
      <c r="Z124" s="88">
        <f t="shared" si="94"/>
        <v>18</v>
      </c>
      <c r="AA124" s="2088">
        <f>'HVAC Deemed Table'!BB135</f>
        <v>2.6918712595457408</v>
      </c>
      <c r="AB124" s="2916">
        <f>'HVAC Deemed Table'!K135</f>
        <v>108</v>
      </c>
      <c r="AC124" s="2090">
        <f t="shared" si="95"/>
        <v>274.39556019909389</v>
      </c>
      <c r="AD124" s="2090">
        <f t="shared" si="96"/>
        <v>0</v>
      </c>
      <c r="AE124" s="2956">
        <f>'HVAC Deemed Table'!BD135</f>
        <v>274.39556019909389</v>
      </c>
      <c r="AF124" s="2956">
        <v>0</v>
      </c>
      <c r="AG124" s="2956">
        <v>0</v>
      </c>
      <c r="AH124" s="2956">
        <v>0</v>
      </c>
      <c r="AI124" s="2263" t="str">
        <f t="shared" si="92"/>
        <v>per measure</v>
      </c>
      <c r="AJ124" s="160">
        <f>'HVAC Deemed Table'!L135</f>
        <v>2</v>
      </c>
      <c r="AK124" s="2055"/>
      <c r="AL124" s="2055"/>
      <c r="AM124" s="2057">
        <f t="shared" si="93"/>
        <v>9.4741810000000004E-4</v>
      </c>
      <c r="AN124">
        <f t="shared" si="79"/>
        <v>0.14738983381699999</v>
      </c>
      <c r="AO124" s="2048">
        <f t="shared" si="71"/>
        <v>-1.6618299999993091E-7</v>
      </c>
    </row>
    <row r="125" spans="2:41" x14ac:dyDescent="0.25">
      <c r="B125" s="2240" t="str">
        <f>'HVAC Deemed Table'!C136</f>
        <v>350800_2019_12_</v>
      </c>
      <c r="C125" s="208" t="str">
        <f>'HVAC Deemed Table'!G136</f>
        <v>Cooling RES</v>
      </c>
      <c r="D125" s="208" t="str">
        <f>'HVAC Deemed Table'!G137</f>
        <v>Cooling RES ER2</v>
      </c>
      <c r="E125" s="208"/>
      <c r="F125" s="208"/>
      <c r="G125" s="208" t="str">
        <f>'HVAC Deemed Table'!E136</f>
        <v>CAC - SEER 16 ER1: SF</v>
      </c>
      <c r="H125" s="622" t="str">
        <f>'HVAC Deemed Table'!D136</f>
        <v>SF</v>
      </c>
      <c r="I125" s="2091">
        <f t="shared" si="99"/>
        <v>2198.3200000000002</v>
      </c>
      <c r="J125" s="2091">
        <f t="shared" si="100"/>
        <v>451.39</v>
      </c>
      <c r="K125" s="2113">
        <f>'HVAC Deemed Table'!F136</f>
        <v>2198.3200000000002</v>
      </c>
      <c r="L125" s="2113">
        <v>0</v>
      </c>
      <c r="M125" s="2113">
        <f>'HVAC Deemed Table'!F137</f>
        <v>451.39</v>
      </c>
      <c r="N125" s="2113">
        <v>0</v>
      </c>
      <c r="O125" s="2092">
        <f t="shared" si="97"/>
        <v>2.0827279999999999</v>
      </c>
      <c r="P125" s="2092">
        <f t="shared" si="98"/>
        <v>0.42765500000000001</v>
      </c>
      <c r="Q125" s="2086">
        <f>'HVAC Deemed Table'!I136</f>
        <v>2.0827279999999999</v>
      </c>
      <c r="R125" s="2086"/>
      <c r="S125" s="2086">
        <f>'HVAC Deemed Table'!I137</f>
        <v>0.42765500000000001</v>
      </c>
      <c r="T125" s="2086"/>
      <c r="U125" s="2087"/>
      <c r="V125" s="2087"/>
      <c r="W125" s="2095">
        <f>P125</f>
        <v>0.42765500000000001</v>
      </c>
      <c r="X125" s="2121">
        <f>'HVAC Deemed Table'!J136</f>
        <v>6</v>
      </c>
      <c r="Y125" s="2121">
        <f>'HVAC Deemed Table'!J137</f>
        <v>12</v>
      </c>
      <c r="Z125" s="88">
        <f t="shared" si="94"/>
        <v>18</v>
      </c>
      <c r="AA125" s="2088">
        <f>'HVAC Deemed Table'!BB136</f>
        <v>2.8879155642837886</v>
      </c>
      <c r="AB125" s="2916">
        <f>'HVAC Deemed Table'!K136</f>
        <v>664.7666390953168</v>
      </c>
      <c r="AC125" s="2090">
        <f t="shared" si="95"/>
        <v>1278.2882650632855</v>
      </c>
      <c r="AD125" s="2090">
        <f t="shared" si="96"/>
        <v>533.68901068941807</v>
      </c>
      <c r="AE125" s="2956">
        <f>'HVAC Deemed Table'!BD136</f>
        <v>1278.2882650632855</v>
      </c>
      <c r="AF125" s="2956">
        <v>0</v>
      </c>
      <c r="AG125" s="2956">
        <f>'HVAC Deemed Table'!BD137</f>
        <v>533.68901068941807</v>
      </c>
      <c r="AH125" s="2956">
        <v>0</v>
      </c>
      <c r="AI125" s="2263" t="str">
        <f t="shared" si="92"/>
        <v>per measure</v>
      </c>
      <c r="AJ125" s="160">
        <f>'HVAC Deemed Table'!L136</f>
        <v>2.9779085812850363</v>
      </c>
      <c r="AK125" s="2055"/>
      <c r="AL125" s="2055"/>
      <c r="AM125" s="2057">
        <f t="shared" si="93"/>
        <v>9.4741810000000004E-4</v>
      </c>
      <c r="AN125">
        <f t="shared" si="79"/>
        <v>2.0827281575920003</v>
      </c>
      <c r="AO125" s="2048">
        <f t="shared" si="71"/>
        <v>1.5759200033826914E-7</v>
      </c>
    </row>
    <row r="126" spans="2:41" x14ac:dyDescent="0.25">
      <c r="B126" s="2240" t="str">
        <f>'HVAC Deemed Table'!C138</f>
        <v>350850_2019_12_</v>
      </c>
      <c r="C126" s="208" t="str">
        <f>'HVAC Deemed Table'!G138</f>
        <v>Cooling RES</v>
      </c>
      <c r="D126" s="208"/>
      <c r="E126" s="208"/>
      <c r="F126" s="208"/>
      <c r="G126" s="208" t="str">
        <f>'HVAC Deemed Table'!E138</f>
        <v>CAC - SEER 16 ROF: SF</v>
      </c>
      <c r="H126" s="622" t="str">
        <f>'HVAC Deemed Table'!D138</f>
        <v>SF</v>
      </c>
      <c r="I126" s="2091">
        <f t="shared" si="99"/>
        <v>458.17</v>
      </c>
      <c r="J126" s="2091">
        <f t="shared" si="100"/>
        <v>0</v>
      </c>
      <c r="K126" s="2113">
        <f>'HVAC Deemed Table'!F138</f>
        <v>458.17</v>
      </c>
      <c r="L126" s="2113">
        <v>0</v>
      </c>
      <c r="M126" s="2113"/>
      <c r="N126" s="2113">
        <v>0</v>
      </c>
      <c r="O126" s="2092">
        <f t="shared" si="97"/>
        <v>0.43407899999999999</v>
      </c>
      <c r="P126" s="2092">
        <f t="shared" si="98"/>
        <v>0</v>
      </c>
      <c r="Q126" s="2086">
        <f>'HVAC Deemed Table'!I138</f>
        <v>0.43407899999999999</v>
      </c>
      <c r="R126" s="2086"/>
      <c r="S126" s="2086"/>
      <c r="T126" s="2086"/>
      <c r="U126" s="2087"/>
      <c r="V126" s="2087"/>
      <c r="W126" s="2087">
        <f>Q126</f>
        <v>0.43407899999999999</v>
      </c>
      <c r="X126" s="2121">
        <f>'HVAC Deemed Table'!J138</f>
        <v>18</v>
      </c>
      <c r="Y126" s="2121"/>
      <c r="Z126" s="88">
        <f t="shared" si="94"/>
        <v>18</v>
      </c>
      <c r="AA126" s="2088">
        <f>'HVAC Deemed Table'!BB138</f>
        <v>3.8742403934064624</v>
      </c>
      <c r="AB126" s="2916">
        <f>'HVAC Deemed Table'!K138</f>
        <v>221</v>
      </c>
      <c r="AC126" s="2090">
        <f t="shared" si="95"/>
        <v>808.12376304183874</v>
      </c>
      <c r="AD126" s="2090">
        <f t="shared" si="96"/>
        <v>0</v>
      </c>
      <c r="AE126" s="2956">
        <f>'HVAC Deemed Table'!BD138</f>
        <v>808.12376304183874</v>
      </c>
      <c r="AF126" s="2956">
        <v>0</v>
      </c>
      <c r="AG126" s="2956"/>
      <c r="AH126" s="2956">
        <v>0</v>
      </c>
      <c r="AI126" s="2263" t="str">
        <f t="shared" si="92"/>
        <v>per measure</v>
      </c>
      <c r="AJ126" s="160">
        <f>'HVAC Deemed Table'!L138</f>
        <v>3.0162082514734774</v>
      </c>
      <c r="AK126" s="2055"/>
      <c r="AL126" s="2055"/>
      <c r="AM126" s="2057">
        <f t="shared" si="93"/>
        <v>9.4741810000000004E-4</v>
      </c>
      <c r="AN126">
        <f t="shared" si="79"/>
        <v>0.43407855087700004</v>
      </c>
      <c r="AO126" s="2048">
        <f t="shared" si="71"/>
        <v>-4.4912299995703009E-7</v>
      </c>
    </row>
    <row r="127" spans="2:41" x14ac:dyDescent="0.25">
      <c r="B127" s="2240" t="str">
        <f>'HVAC Deemed Table'!C139</f>
        <v>350900_2019_12_</v>
      </c>
      <c r="C127" s="208" t="str">
        <f>'HVAC Deemed Table'!G139</f>
        <v>Cooling RES</v>
      </c>
      <c r="D127" s="208" t="str">
        <f>'HVAC Deemed Table'!G140</f>
        <v>Cooling RES ER2</v>
      </c>
      <c r="E127" s="208"/>
      <c r="F127" s="208"/>
      <c r="G127" s="208" t="str">
        <f>'HVAC Deemed Table'!E139</f>
        <v>CAC - SEER 16 ER1: MF</v>
      </c>
      <c r="H127" s="622" t="str">
        <f>'HVAC Deemed Table'!D139</f>
        <v>MF</v>
      </c>
      <c r="I127" s="2091">
        <f t="shared" si="99"/>
        <v>1687.17</v>
      </c>
      <c r="J127" s="2091">
        <f t="shared" si="100"/>
        <v>391.02</v>
      </c>
      <c r="K127" s="2113">
        <f>'HVAC Deemed Table'!F139</f>
        <v>1687.17</v>
      </c>
      <c r="L127" s="2113">
        <v>0</v>
      </c>
      <c r="M127" s="2113">
        <f>'HVAC Deemed Table'!F140</f>
        <v>391.02</v>
      </c>
      <c r="N127" s="2113">
        <v>0</v>
      </c>
      <c r="O127" s="2092">
        <f t="shared" si="97"/>
        <v>1.598455</v>
      </c>
      <c r="P127" s="2092">
        <f t="shared" si="98"/>
        <v>0.37045899999999998</v>
      </c>
      <c r="Q127" s="2086">
        <f>'HVAC Deemed Table'!I139</f>
        <v>1.598455</v>
      </c>
      <c r="R127" s="2086"/>
      <c r="S127" s="2086">
        <f>'HVAC Deemed Table'!I140</f>
        <v>0.37045899999999998</v>
      </c>
      <c r="T127" s="2086"/>
      <c r="U127" s="2087"/>
      <c r="V127" s="2087"/>
      <c r="W127" s="2095">
        <f>P127</f>
        <v>0.37045899999999998</v>
      </c>
      <c r="X127" s="2121">
        <f>'HVAC Deemed Table'!J139</f>
        <v>6</v>
      </c>
      <c r="Y127" s="2121">
        <f>'HVAC Deemed Table'!J140</f>
        <v>12</v>
      </c>
      <c r="Z127" s="88">
        <f t="shared" si="94"/>
        <v>18</v>
      </c>
      <c r="AA127" s="2088">
        <f>'HVAC Deemed Table'!BB139</f>
        <v>2.5310706288772593</v>
      </c>
      <c r="AB127" s="2916">
        <f>'HVAC Deemed Table'!K139</f>
        <v>604.19316515892251</v>
      </c>
      <c r="AC127" s="2090">
        <f t="shared" si="95"/>
        <v>981.06263517905643</v>
      </c>
      <c r="AD127" s="2090">
        <f t="shared" si="96"/>
        <v>462.3121401886977</v>
      </c>
      <c r="AE127" s="2956">
        <f>'HVAC Deemed Table'!BD139</f>
        <v>981.06263517905643</v>
      </c>
      <c r="AF127" s="2956">
        <v>0</v>
      </c>
      <c r="AG127" s="2956">
        <f>'HVAC Deemed Table'!BD140</f>
        <v>462.3121401886977</v>
      </c>
      <c r="AH127" s="2956">
        <v>0</v>
      </c>
      <c r="AI127" s="2263" t="str">
        <f t="shared" si="92"/>
        <v>per measure</v>
      </c>
      <c r="AJ127" s="160">
        <f>'HVAC Deemed Table'!L139</f>
        <v>2.5714285714285716</v>
      </c>
      <c r="AK127" s="2055"/>
      <c r="AL127" s="2055"/>
      <c r="AM127" s="2057">
        <f t="shared" si="93"/>
        <v>9.4741810000000004E-4</v>
      </c>
      <c r="AN127">
        <f t="shared" si="79"/>
        <v>1.598455395777</v>
      </c>
      <c r="AO127" s="2048">
        <f t="shared" si="71"/>
        <v>3.9577700006176997E-7</v>
      </c>
    </row>
    <row r="128" spans="2:41" x14ac:dyDescent="0.25">
      <c r="B128" s="2240" t="str">
        <f>'HVAC Deemed Table'!C141</f>
        <v>350901_2019_12_</v>
      </c>
      <c r="C128" s="208" t="str">
        <f>'HVAC Deemed Table'!G141</f>
        <v>Cooling RES</v>
      </c>
      <c r="D128" s="208" t="str">
        <f>'HVAC Deemed Table'!G142</f>
        <v>Cooling RES ER2</v>
      </c>
      <c r="E128" s="208"/>
      <c r="F128" s="208"/>
      <c r="G128" s="208" t="str">
        <f>'HVAC Deemed Table'!E141</f>
        <v>CAC - SEER 16 ER1: MF_CompE</v>
      </c>
      <c r="H128" s="622" t="str">
        <f>'HVAC Deemed Table'!D141</f>
        <v>MFc</v>
      </c>
      <c r="I128" s="2091">
        <f t="shared" si="99"/>
        <v>951.94</v>
      </c>
      <c r="J128" s="2091">
        <f t="shared" si="100"/>
        <v>218.77</v>
      </c>
      <c r="K128" s="2113">
        <f>'HVAC Deemed Table'!F141</f>
        <v>951.94</v>
      </c>
      <c r="L128" s="2113">
        <v>0</v>
      </c>
      <c r="M128" s="2113">
        <f>'HVAC Deemed Table'!F142</f>
        <v>218.77</v>
      </c>
      <c r="N128" s="2113">
        <v>0</v>
      </c>
      <c r="O128" s="2092">
        <f t="shared" si="97"/>
        <v>0.90188500000000005</v>
      </c>
      <c r="P128" s="2092">
        <f t="shared" si="98"/>
        <v>0.20726700000000001</v>
      </c>
      <c r="Q128" s="2086">
        <f>'HVAC Deemed Table'!I141</f>
        <v>0.90188500000000005</v>
      </c>
      <c r="R128" s="2086"/>
      <c r="S128" s="2086">
        <f>'HVAC Deemed Table'!I142</f>
        <v>0.20726700000000001</v>
      </c>
      <c r="T128" s="2086"/>
      <c r="U128" s="2087"/>
      <c r="V128" s="2087"/>
      <c r="W128" s="2095">
        <f>P128</f>
        <v>0.20726700000000001</v>
      </c>
      <c r="X128" s="2121">
        <f>'HVAC Deemed Table'!J141</f>
        <v>6</v>
      </c>
      <c r="Y128" s="2121">
        <f>'HVAC Deemed Table'!J142</f>
        <v>12</v>
      </c>
      <c r="Z128" s="88">
        <f t="shared" si="94"/>
        <v>18</v>
      </c>
      <c r="AA128" s="2088">
        <f>'HVAC Deemed Table'!BB141</f>
        <v>1.6579107457805751</v>
      </c>
      <c r="AB128" s="2916">
        <f>'HVAC Deemed Table'!K141</f>
        <v>519.03912845694003</v>
      </c>
      <c r="AC128" s="2090">
        <f t="shared" si="95"/>
        <v>553.538034064351</v>
      </c>
      <c r="AD128" s="2090">
        <f t="shared" si="96"/>
        <v>258.65691501478545</v>
      </c>
      <c r="AE128" s="2956">
        <f>'HVAC Deemed Table'!BD141</f>
        <v>553.538034064351</v>
      </c>
      <c r="AF128" s="2956">
        <v>0</v>
      </c>
      <c r="AG128" s="2956">
        <f>'HVAC Deemed Table'!BD142</f>
        <v>258.65691501478545</v>
      </c>
      <c r="AH128" s="2956">
        <v>0</v>
      </c>
      <c r="AI128" s="2263" t="str">
        <f t="shared" si="92"/>
        <v>per measure</v>
      </c>
      <c r="AJ128" s="160">
        <f>'HVAC Deemed Table'!L141</f>
        <v>2</v>
      </c>
      <c r="AK128" s="2055"/>
      <c r="AL128" s="2055"/>
      <c r="AM128" s="2057">
        <f t="shared" si="93"/>
        <v>9.4741810000000004E-4</v>
      </c>
      <c r="AN128">
        <f t="shared" si="79"/>
        <v>0.90188518611400004</v>
      </c>
      <c r="AO128" s="2048">
        <f t="shared" si="71"/>
        <v>1.8611399998924583E-7</v>
      </c>
    </row>
    <row r="129" spans="2:41" x14ac:dyDescent="0.25">
      <c r="B129" s="2240" t="str">
        <f>'HVAC Deemed Table'!C143</f>
        <v>350950_2019_12_</v>
      </c>
      <c r="C129" s="208" t="str">
        <f>'HVAC Deemed Table'!G143</f>
        <v>Cooling RES</v>
      </c>
      <c r="D129" s="208"/>
      <c r="E129" s="208"/>
      <c r="F129" s="208"/>
      <c r="G129" s="208" t="str">
        <f>'HVAC Deemed Table'!E143</f>
        <v>CAC - SEER 16 ROF: MF</v>
      </c>
      <c r="H129" s="622" t="str">
        <f>'HVAC Deemed Table'!D143</f>
        <v>MF</v>
      </c>
      <c r="I129" s="2091">
        <f t="shared" si="99"/>
        <v>408.24</v>
      </c>
      <c r="J129" s="2091">
        <f t="shared" si="100"/>
        <v>0</v>
      </c>
      <c r="K129" s="2113">
        <f>'HVAC Deemed Table'!F143</f>
        <v>408.24</v>
      </c>
      <c r="L129" s="2113">
        <v>0</v>
      </c>
      <c r="M129" s="2113"/>
      <c r="N129" s="2113">
        <v>0</v>
      </c>
      <c r="O129" s="2092">
        <f t="shared" si="97"/>
        <v>0.38677400000000001</v>
      </c>
      <c r="P129" s="2092">
        <f t="shared" si="98"/>
        <v>0</v>
      </c>
      <c r="Q129" s="2086">
        <f>'HVAC Deemed Table'!I143</f>
        <v>0.38677400000000001</v>
      </c>
      <c r="R129" s="2086"/>
      <c r="S129" s="2086"/>
      <c r="T129" s="2086"/>
      <c r="U129" s="2087"/>
      <c r="V129" s="2087"/>
      <c r="W129" s="2087">
        <f>Q129</f>
        <v>0.38677400000000001</v>
      </c>
      <c r="X129" s="2121">
        <f>'HVAC Deemed Table'!J143</f>
        <v>18</v>
      </c>
      <c r="Y129" s="2121"/>
      <c r="Z129" s="88">
        <f t="shared" si="94"/>
        <v>18</v>
      </c>
      <c r="AA129" s="2088">
        <f>'HVAC Deemed Table'!BB143</f>
        <v>3.4520372311680254</v>
      </c>
      <c r="AB129" s="2916">
        <f>'HVAC Deemed Table'!K143</f>
        <v>221</v>
      </c>
      <c r="AC129" s="2090">
        <f t="shared" si="95"/>
        <v>720.05684576510953</v>
      </c>
      <c r="AD129" s="2090">
        <f t="shared" si="96"/>
        <v>0</v>
      </c>
      <c r="AE129" s="2956">
        <f>'HVAC Deemed Table'!BD143</f>
        <v>720.05684576510953</v>
      </c>
      <c r="AF129" s="2956">
        <v>0</v>
      </c>
      <c r="AG129" s="2956"/>
      <c r="AH129" s="2956">
        <v>0</v>
      </c>
      <c r="AI129" s="2263" t="str">
        <f t="shared" si="92"/>
        <v>per measure</v>
      </c>
      <c r="AJ129" s="160">
        <f>'HVAC Deemed Table'!L143</f>
        <v>2.7142857142857144</v>
      </c>
      <c r="AK129" s="2055"/>
      <c r="AL129" s="2055"/>
      <c r="AM129" s="2057">
        <f t="shared" si="93"/>
        <v>9.4741810000000004E-4</v>
      </c>
      <c r="AN129">
        <f t="shared" si="79"/>
        <v>0.38677396514400003</v>
      </c>
      <c r="AO129" s="2048">
        <f t="shared" si="71"/>
        <v>-3.4855999975214047E-8</v>
      </c>
    </row>
    <row r="130" spans="2:41" x14ac:dyDescent="0.25">
      <c r="B130" s="2240" t="str">
        <f>'HVAC Deemed Table'!C144</f>
        <v>350951_2019_12_</v>
      </c>
      <c r="C130" s="208" t="str">
        <f>'HVAC Deemed Table'!G144</f>
        <v>Cooling RES</v>
      </c>
      <c r="D130" s="208"/>
      <c r="E130" s="208"/>
      <c r="F130" s="208"/>
      <c r="G130" s="208" t="str">
        <f>'HVAC Deemed Table'!E144</f>
        <v>CAC - SEER 16 ROF: MF_CompE</v>
      </c>
      <c r="H130" s="622" t="str">
        <f>'HVAC Deemed Table'!D144</f>
        <v>MFc</v>
      </c>
      <c r="I130" s="2091">
        <f t="shared" si="99"/>
        <v>218.77</v>
      </c>
      <c r="J130" s="2091">
        <f t="shared" si="100"/>
        <v>0</v>
      </c>
      <c r="K130" s="2113">
        <f>'HVAC Deemed Table'!F144</f>
        <v>218.77</v>
      </c>
      <c r="L130" s="2113">
        <v>0</v>
      </c>
      <c r="M130" s="2113"/>
      <c r="N130" s="2113">
        <v>0</v>
      </c>
      <c r="O130" s="2092">
        <f t="shared" si="97"/>
        <v>0.20726700000000001</v>
      </c>
      <c r="P130" s="2092">
        <f t="shared" si="98"/>
        <v>0</v>
      </c>
      <c r="Q130" s="2086">
        <f>'HVAC Deemed Table'!I144</f>
        <v>0.20726700000000001</v>
      </c>
      <c r="R130" s="2086"/>
      <c r="S130" s="2086"/>
      <c r="T130" s="2086"/>
      <c r="U130" s="2087"/>
      <c r="V130" s="2087"/>
      <c r="W130" s="2087">
        <f>Q130</f>
        <v>0.20726700000000001</v>
      </c>
      <c r="X130" s="2121">
        <f>'HVAC Deemed Table'!J144</f>
        <v>18</v>
      </c>
      <c r="Y130" s="2121"/>
      <c r="Z130" s="88">
        <f t="shared" si="94"/>
        <v>18</v>
      </c>
      <c r="AA130" s="2088">
        <f>'HVAC Deemed Table'!BB144</f>
        <v>1.8498975726597808</v>
      </c>
      <c r="AB130" s="2916">
        <f>'HVAC Deemed Table'!K144</f>
        <v>221</v>
      </c>
      <c r="AC130" s="2090">
        <f t="shared" si="95"/>
        <v>385.86820534007694</v>
      </c>
      <c r="AD130" s="2090">
        <f t="shared" si="96"/>
        <v>0</v>
      </c>
      <c r="AE130" s="2956">
        <f>'HVAC Deemed Table'!BD144</f>
        <v>385.86820534007694</v>
      </c>
      <c r="AF130" s="2956">
        <v>0</v>
      </c>
      <c r="AG130" s="2956"/>
      <c r="AH130" s="2956">
        <v>0</v>
      </c>
      <c r="AI130" s="2263" t="str">
        <f t="shared" si="92"/>
        <v>per measure</v>
      </c>
      <c r="AJ130" s="160">
        <f>'HVAC Deemed Table'!L144</f>
        <v>2</v>
      </c>
      <c r="AK130" s="2055"/>
      <c r="AL130" s="2055"/>
      <c r="AM130" s="2057">
        <f t="shared" si="93"/>
        <v>9.4741810000000004E-4</v>
      </c>
      <c r="AN130">
        <f t="shared" si="79"/>
        <v>0.20726665773700001</v>
      </c>
      <c r="AO130" s="2048">
        <f t="shared" si="71"/>
        <v>-3.4226299999717824E-7</v>
      </c>
    </row>
    <row r="131" spans="2:41" x14ac:dyDescent="0.25">
      <c r="B131" s="2240" t="str">
        <f>'HVAC Deemed Table'!C145</f>
        <v>351000_2019_12_</v>
      </c>
      <c r="C131" s="208" t="str">
        <f>'HVAC Deemed Table'!G145</f>
        <v>Cooling RES</v>
      </c>
      <c r="D131" s="208" t="str">
        <f>'HVAC Deemed Table'!G146</f>
        <v>Cooling RES ER2</v>
      </c>
      <c r="E131" s="208"/>
      <c r="F131" s="208"/>
      <c r="G131" s="208" t="str">
        <f>'HVAC Deemed Table'!E145</f>
        <v>CAC - SEER 17 ER1: SF</v>
      </c>
      <c r="H131" s="622" t="str">
        <f>'HVAC Deemed Table'!D145</f>
        <v>SF</v>
      </c>
      <c r="I131" s="2091">
        <f t="shared" si="99"/>
        <v>2431.04</v>
      </c>
      <c r="J131" s="2091">
        <f t="shared" si="100"/>
        <v>645.84</v>
      </c>
      <c r="K131" s="2113">
        <f>'HVAC Deemed Table'!F145</f>
        <v>2431.04</v>
      </c>
      <c r="L131" s="2113">
        <v>0</v>
      </c>
      <c r="M131" s="2113">
        <f>'HVAC Deemed Table'!F146</f>
        <v>645.84</v>
      </c>
      <c r="N131" s="2113">
        <v>0</v>
      </c>
      <c r="O131" s="2092">
        <f t="shared" si="97"/>
        <v>2.3032110000000001</v>
      </c>
      <c r="P131" s="2092">
        <f t="shared" si="98"/>
        <v>0.61188100000000001</v>
      </c>
      <c r="Q131" s="2086">
        <f>'HVAC Deemed Table'!I145</f>
        <v>2.3032110000000001</v>
      </c>
      <c r="R131" s="2086"/>
      <c r="S131" s="2086">
        <f>'HVAC Deemed Table'!I146</f>
        <v>0.61188100000000001</v>
      </c>
      <c r="T131" s="2086"/>
      <c r="U131" s="2087"/>
      <c r="V131" s="2087"/>
      <c r="W131" s="2095">
        <f>P131</f>
        <v>0.61188100000000001</v>
      </c>
      <c r="X131" s="2121">
        <f>'HVAC Deemed Table'!J145</f>
        <v>6</v>
      </c>
      <c r="Y131" s="2121">
        <f>'HVAC Deemed Table'!J146</f>
        <v>12</v>
      </c>
      <c r="Z131" s="88">
        <f t="shared" si="94"/>
        <v>18</v>
      </c>
      <c r="AA131" s="2088">
        <f>'HVAC Deemed Table'!BB145</f>
        <v>2.1374841922556125</v>
      </c>
      <c r="AB131" s="2916">
        <f>'HVAC Deemed Table'!K145</f>
        <v>1079.1877052374916</v>
      </c>
      <c r="AC131" s="2090">
        <f t="shared" si="95"/>
        <v>1413.6112594615204</v>
      </c>
      <c r="AD131" s="2090">
        <f t="shared" si="96"/>
        <v>763.59181785961982</v>
      </c>
      <c r="AE131" s="2956">
        <f>'HVAC Deemed Table'!BD145</f>
        <v>1413.6112594615204</v>
      </c>
      <c r="AF131" s="2956">
        <v>0</v>
      </c>
      <c r="AG131" s="2956">
        <f>'HVAC Deemed Table'!BD146</f>
        <v>763.59181785961982</v>
      </c>
      <c r="AH131" s="2956">
        <v>0</v>
      </c>
      <c r="AI131" s="2263" t="str">
        <f t="shared" si="92"/>
        <v>per measure</v>
      </c>
      <c r="AJ131" s="160">
        <f>'HVAC Deemed Table'!L145</f>
        <v>3.0813920817369094</v>
      </c>
      <c r="AK131" s="2055"/>
      <c r="AL131" s="2055"/>
      <c r="AM131" s="2057">
        <f t="shared" si="93"/>
        <v>9.4741810000000004E-4</v>
      </c>
      <c r="AN131">
        <f t="shared" ref="AN131:AN136" si="101">AM131*I131</f>
        <v>2.3032112978240002</v>
      </c>
      <c r="AO131" s="2048">
        <f t="shared" si="71"/>
        <v>2.9782400012834387E-7</v>
      </c>
    </row>
    <row r="132" spans="2:41" x14ac:dyDescent="0.25">
      <c r="B132" s="2240" t="str">
        <f>'HVAC Deemed Table'!C147</f>
        <v>351050_2019_12_</v>
      </c>
      <c r="C132" s="208" t="str">
        <f>'HVAC Deemed Table'!G147</f>
        <v>Cooling RES</v>
      </c>
      <c r="D132" s="208"/>
      <c r="E132" s="208"/>
      <c r="F132" s="208"/>
      <c r="G132" s="208" t="str">
        <f>'HVAC Deemed Table'!E147</f>
        <v>CAC - SEER 17 ROF: SF</v>
      </c>
      <c r="H132" s="622" t="str">
        <f>'HVAC Deemed Table'!D147</f>
        <v>SF</v>
      </c>
      <c r="I132" s="2091">
        <f t="shared" si="99"/>
        <v>665.3</v>
      </c>
      <c r="J132" s="2091">
        <f t="shared" si="100"/>
        <v>0</v>
      </c>
      <c r="K132" s="2113">
        <f>'HVAC Deemed Table'!F147</f>
        <v>665.3</v>
      </c>
      <c r="L132" s="2113">
        <v>0</v>
      </c>
      <c r="M132" s="2113"/>
      <c r="N132" s="2113">
        <v>0</v>
      </c>
      <c r="O132" s="2092">
        <f t="shared" si="97"/>
        <v>0.63031700000000002</v>
      </c>
      <c r="P132" s="2092">
        <f t="shared" si="98"/>
        <v>0</v>
      </c>
      <c r="Q132" s="2086">
        <f>'HVAC Deemed Table'!I147</f>
        <v>0.63031700000000002</v>
      </c>
      <c r="R132" s="2086"/>
      <c r="S132" s="2086"/>
      <c r="T132" s="2086"/>
      <c r="U132" s="2087"/>
      <c r="V132" s="2087"/>
      <c r="W132" s="2087">
        <f>Q132</f>
        <v>0.63031700000000002</v>
      </c>
      <c r="X132" s="2121">
        <f>'HVAC Deemed Table'!J147</f>
        <v>18</v>
      </c>
      <c r="Y132" s="2121"/>
      <c r="Z132" s="88">
        <f t="shared" si="94"/>
        <v>18</v>
      </c>
      <c r="AA132" s="2088">
        <f>'HVAC Deemed Table'!BB147</f>
        <v>2.0052938568198155</v>
      </c>
      <c r="AB132" s="2916">
        <f>'HVAC Deemed Table'!K147</f>
        <v>620</v>
      </c>
      <c r="AC132" s="2090">
        <f t="shared" si="95"/>
        <v>1173.4612470300003</v>
      </c>
      <c r="AD132" s="2090">
        <f t="shared" si="96"/>
        <v>0</v>
      </c>
      <c r="AE132" s="2956">
        <f>'HVAC Deemed Table'!BD147</f>
        <v>1173.4612470300003</v>
      </c>
      <c r="AF132" s="2956">
        <v>0</v>
      </c>
      <c r="AG132" s="2956"/>
      <c r="AH132" s="2956">
        <v>0</v>
      </c>
      <c r="AI132" s="2263" t="str">
        <f t="shared" si="92"/>
        <v>per measure</v>
      </c>
      <c r="AJ132" s="160">
        <f>'HVAC Deemed Table'!L147</f>
        <v>3.2006802721088436</v>
      </c>
      <c r="AK132" s="2055"/>
      <c r="AL132" s="2055"/>
      <c r="AM132" s="2057">
        <f t="shared" si="93"/>
        <v>9.4741810000000004E-4</v>
      </c>
      <c r="AN132">
        <f t="shared" si="101"/>
        <v>0.63031726192999993</v>
      </c>
      <c r="AO132" s="2048">
        <f t="shared" si="71"/>
        <v>2.6192999991181409E-7</v>
      </c>
    </row>
    <row r="133" spans="2:41" x14ac:dyDescent="0.25">
      <c r="B133" s="2240" t="str">
        <f>'HVAC Deemed Table'!C148</f>
        <v>351100_2019_12_</v>
      </c>
      <c r="C133" s="208" t="str">
        <f>'HVAC Deemed Table'!G148</f>
        <v>Cooling RES</v>
      </c>
      <c r="D133" s="208" t="str">
        <f>'HVAC Deemed Table'!G149</f>
        <v>Cooling RES ER2</v>
      </c>
      <c r="E133" s="208"/>
      <c r="F133" s="208"/>
      <c r="G133" s="208" t="str">
        <f>'HVAC Deemed Table'!E148</f>
        <v>CAC - SEER 17 ER1: MF</v>
      </c>
      <c r="H133" s="622" t="str">
        <f>'HVAC Deemed Table'!D148</f>
        <v>MF</v>
      </c>
      <c r="I133" s="2091">
        <f t="shared" si="99"/>
        <v>2200.86</v>
      </c>
      <c r="J133" s="2091">
        <f t="shared" si="100"/>
        <v>475.26</v>
      </c>
      <c r="K133" s="2113">
        <f>'HVAC Deemed Table'!F148</f>
        <v>2200.86</v>
      </c>
      <c r="L133" s="2113">
        <v>0</v>
      </c>
      <c r="M133" s="2113">
        <f>'HVAC Deemed Table'!F149</f>
        <v>475.26</v>
      </c>
      <c r="N133" s="2113">
        <v>0</v>
      </c>
      <c r="O133" s="2092">
        <f t="shared" si="97"/>
        <v>2.0851350000000002</v>
      </c>
      <c r="P133" s="2092">
        <f t="shared" si="98"/>
        <v>0.45027</v>
      </c>
      <c r="Q133" s="2086">
        <f>'HVAC Deemed Table'!I148</f>
        <v>2.0851350000000002</v>
      </c>
      <c r="R133" s="2086"/>
      <c r="S133" s="2086">
        <f>'HVAC Deemed Table'!I149</f>
        <v>0.45027</v>
      </c>
      <c r="T133" s="2086"/>
      <c r="U133" s="2087"/>
      <c r="V133" s="2087"/>
      <c r="W133" s="2095">
        <f>P133</f>
        <v>0.45027</v>
      </c>
      <c r="X133" s="2121">
        <f>'HVAC Deemed Table'!J148</f>
        <v>6</v>
      </c>
      <c r="Y133" s="2121">
        <f>'HVAC Deemed Table'!J149</f>
        <v>12</v>
      </c>
      <c r="Z133" s="88">
        <f t="shared" si="94"/>
        <v>18</v>
      </c>
      <c r="AA133" s="2088">
        <f>'HVAC Deemed Table'!BB148</f>
        <v>1.9794126105104997</v>
      </c>
      <c r="AB133" s="2916">
        <f>'HVAC Deemed Table'!K148</f>
        <v>985.77529401533502</v>
      </c>
      <c r="AC133" s="2090">
        <f t="shared" si="95"/>
        <v>1279.7652348371405</v>
      </c>
      <c r="AD133" s="2090">
        <f t="shared" si="96"/>
        <v>561.91107295299594</v>
      </c>
      <c r="AE133" s="2956">
        <f>'HVAC Deemed Table'!BD148</f>
        <v>1279.7652348371405</v>
      </c>
      <c r="AF133" s="2956">
        <v>0</v>
      </c>
      <c r="AG133" s="2956">
        <f>'HVAC Deemed Table'!BD149</f>
        <v>561.91107295299594</v>
      </c>
      <c r="AH133" s="2956">
        <v>0</v>
      </c>
      <c r="AI133" s="2263" t="str">
        <f t="shared" si="92"/>
        <v>per measure</v>
      </c>
      <c r="AJ133" s="160">
        <f>'HVAC Deemed Table'!L148</f>
        <v>2.4545454545454546</v>
      </c>
      <c r="AK133" s="2055"/>
      <c r="AL133" s="2055"/>
      <c r="AM133" s="2057">
        <f t="shared" si="93"/>
        <v>9.4741810000000004E-4</v>
      </c>
      <c r="AN133">
        <f t="shared" si="101"/>
        <v>2.085134599566</v>
      </c>
      <c r="AO133" s="2048">
        <f t="shared" si="71"/>
        <v>-4.0043400018063835E-7</v>
      </c>
    </row>
    <row r="134" spans="2:41" x14ac:dyDescent="0.25">
      <c r="B134" s="2240" t="str">
        <f>'HVAC Deemed Table'!C150</f>
        <v>351101_2019_12_</v>
      </c>
      <c r="C134" s="208" t="str">
        <f>'HVAC Deemed Table'!G150</f>
        <v>Cooling RES</v>
      </c>
      <c r="D134" s="208" t="str">
        <f>'HVAC Deemed Table'!G151</f>
        <v>Cooling RES ER2</v>
      </c>
      <c r="E134" s="208"/>
      <c r="F134" s="208"/>
      <c r="G134" s="208" t="str">
        <f>'HVAC Deemed Table'!E150</f>
        <v>CAC - SEER 17 ER1: MF_CompE</v>
      </c>
      <c r="H134" s="622" t="str">
        <f>'HVAC Deemed Table'!D150</f>
        <v>MFc</v>
      </c>
      <c r="I134" s="2091">
        <f t="shared" si="99"/>
        <v>928.65</v>
      </c>
      <c r="J134" s="2091">
        <f t="shared" si="100"/>
        <v>274.52999999999997</v>
      </c>
      <c r="K134" s="2113">
        <f>'HVAC Deemed Table'!F150</f>
        <v>928.65</v>
      </c>
      <c r="L134" s="2113">
        <v>0</v>
      </c>
      <c r="M134" s="2113">
        <f>'HVAC Deemed Table'!F151</f>
        <v>274.52999999999997</v>
      </c>
      <c r="N134" s="2113">
        <v>0</v>
      </c>
      <c r="O134" s="2092">
        <f t="shared" si="97"/>
        <v>0.87982000000000005</v>
      </c>
      <c r="P134" s="2092">
        <f t="shared" si="98"/>
        <v>0.26009500000000002</v>
      </c>
      <c r="Q134" s="2086">
        <f>'HVAC Deemed Table'!I150</f>
        <v>0.87982000000000005</v>
      </c>
      <c r="R134" s="2086"/>
      <c r="S134" s="2086">
        <f>'HVAC Deemed Table'!I151</f>
        <v>0.26009500000000002</v>
      </c>
      <c r="T134" s="2086"/>
      <c r="U134" s="2087"/>
      <c r="V134" s="2087"/>
      <c r="W134" s="2095">
        <f>P134</f>
        <v>0.26009500000000002</v>
      </c>
      <c r="X134" s="2121">
        <f>'HVAC Deemed Table'!J150</f>
        <v>6</v>
      </c>
      <c r="Y134" s="2121">
        <f>'HVAC Deemed Table'!J151</f>
        <v>12</v>
      </c>
      <c r="Z134" s="88">
        <f t="shared" si="94"/>
        <v>18</v>
      </c>
      <c r="AA134" s="2088">
        <f>'HVAC Deemed Table'!BB150</f>
        <v>0.99780165886713523</v>
      </c>
      <c r="AB134" s="2916">
        <f>'HVAC Deemed Table'!K150</f>
        <v>918.03912845694003</v>
      </c>
      <c r="AC134" s="2090">
        <f t="shared" si="95"/>
        <v>539.99526790959453</v>
      </c>
      <c r="AD134" s="2090">
        <f t="shared" si="96"/>
        <v>324.58327411897903</v>
      </c>
      <c r="AE134" s="2956">
        <f>'HVAC Deemed Table'!BD150</f>
        <v>539.99526790959453</v>
      </c>
      <c r="AF134" s="2956">
        <v>0</v>
      </c>
      <c r="AG134" s="2956">
        <f>'HVAC Deemed Table'!BD151</f>
        <v>324.58327411897903</v>
      </c>
      <c r="AH134" s="2956">
        <v>0</v>
      </c>
      <c r="AI134" s="2263" t="str">
        <f t="shared" si="92"/>
        <v>per measure</v>
      </c>
      <c r="AJ134" s="160">
        <f>'HVAC Deemed Table'!L150</f>
        <v>2</v>
      </c>
      <c r="AK134" s="2055"/>
      <c r="AL134" s="2055"/>
      <c r="AM134" s="2057">
        <f t="shared" si="93"/>
        <v>9.4741810000000004E-4</v>
      </c>
      <c r="AN134">
        <f t="shared" si="101"/>
        <v>0.87981981856500002</v>
      </c>
      <c r="AO134" s="2048">
        <f t="shared" si="71"/>
        <v>-1.8143500002398838E-7</v>
      </c>
    </row>
    <row r="135" spans="2:41" x14ac:dyDescent="0.25">
      <c r="B135" s="2240" t="str">
        <f>'HVAC Deemed Table'!C152</f>
        <v>351150_2019_12_</v>
      </c>
      <c r="C135" s="208" t="str">
        <f>'HVAC Deemed Table'!G152</f>
        <v>Cooling RES</v>
      </c>
      <c r="D135" s="208"/>
      <c r="E135" s="208"/>
      <c r="F135" s="208"/>
      <c r="G135" s="208" t="str">
        <f>'HVAC Deemed Table'!E152</f>
        <v>CAC - SEER 17 ROF: MF</v>
      </c>
      <c r="H135" s="622" t="str">
        <f>'HVAC Deemed Table'!D152</f>
        <v>MF</v>
      </c>
      <c r="I135" s="2091">
        <f t="shared" si="99"/>
        <v>754.97</v>
      </c>
      <c r="J135" s="2091">
        <f t="shared" si="100"/>
        <v>0</v>
      </c>
      <c r="K135" s="2113">
        <f>'HVAC Deemed Table'!F152</f>
        <v>754.97</v>
      </c>
      <c r="L135" s="2113">
        <v>0</v>
      </c>
      <c r="M135" s="2113"/>
      <c r="N135" s="2113">
        <v>0</v>
      </c>
      <c r="O135" s="2092">
        <f t="shared" si="97"/>
        <v>0.71527200000000002</v>
      </c>
      <c r="P135" s="2092">
        <f t="shared" si="98"/>
        <v>0</v>
      </c>
      <c r="Q135" s="2086">
        <f>'HVAC Deemed Table'!I152</f>
        <v>0.71527200000000002</v>
      </c>
      <c r="R135" s="2086"/>
      <c r="S135" s="2086"/>
      <c r="T135" s="2086"/>
      <c r="U135" s="2087"/>
      <c r="V135" s="2087"/>
      <c r="W135" s="2087">
        <f>Q135</f>
        <v>0.71527200000000002</v>
      </c>
      <c r="X135" s="2121">
        <f>'HVAC Deemed Table'!J152</f>
        <v>18</v>
      </c>
      <c r="Y135" s="2121"/>
      <c r="Z135" s="88">
        <f t="shared" si="94"/>
        <v>18</v>
      </c>
      <c r="AA135" s="2088">
        <f>'HVAC Deemed Table'!BB152</f>
        <v>2.2755699730696772</v>
      </c>
      <c r="AB135" s="2916">
        <f>'HVAC Deemed Table'!K152</f>
        <v>620</v>
      </c>
      <c r="AC135" s="2090">
        <f t="shared" si="95"/>
        <v>1331.6218813621515</v>
      </c>
      <c r="AD135" s="2090">
        <f t="shared" si="96"/>
        <v>0</v>
      </c>
      <c r="AE135" s="2956">
        <f>'HVAC Deemed Table'!BD152</f>
        <v>1331.6218813621515</v>
      </c>
      <c r="AF135" s="2956">
        <v>0</v>
      </c>
      <c r="AG135" s="2956"/>
      <c r="AH135" s="2956">
        <v>0</v>
      </c>
      <c r="AI135" s="2263" t="str">
        <f t="shared" si="92"/>
        <v>per measure</v>
      </c>
      <c r="AJ135" s="160">
        <f>'HVAC Deemed Table'!L152</f>
        <v>4</v>
      </c>
      <c r="AK135" s="2055"/>
      <c r="AL135" s="2055"/>
      <c r="AM135" s="2057">
        <f t="shared" si="93"/>
        <v>9.4741810000000004E-4</v>
      </c>
      <c r="AN135">
        <f t="shared" si="101"/>
        <v>0.71527224295700009</v>
      </c>
      <c r="AO135" s="2048">
        <f t="shared" si="71"/>
        <v>2.4295700007392895E-7</v>
      </c>
    </row>
    <row r="136" spans="2:41" x14ac:dyDescent="0.25">
      <c r="B136" s="2240" t="str">
        <f>'HVAC Deemed Table'!C153</f>
        <v>351151_2019_12_</v>
      </c>
      <c r="C136" s="208" t="str">
        <f>'HVAC Deemed Table'!G153</f>
        <v>Cooling RES</v>
      </c>
      <c r="D136" s="208"/>
      <c r="E136" s="208"/>
      <c r="F136" s="208"/>
      <c r="G136" s="208" t="str">
        <f>'HVAC Deemed Table'!E153</f>
        <v>CAC - SEER 17 ROF: MF_CompE</v>
      </c>
      <c r="H136" s="622" t="str">
        <f>'HVAC Deemed Table'!D153</f>
        <v>MFc</v>
      </c>
      <c r="I136" s="2091">
        <f t="shared" si="99"/>
        <v>274.52999999999997</v>
      </c>
      <c r="J136" s="2091">
        <f t="shared" si="100"/>
        <v>0</v>
      </c>
      <c r="K136" s="2113">
        <f>'HVAC Deemed Table'!F153</f>
        <v>274.52999999999997</v>
      </c>
      <c r="L136" s="2113">
        <v>0</v>
      </c>
      <c r="M136" s="2113"/>
      <c r="N136" s="2113">
        <v>0</v>
      </c>
      <c r="O136" s="2092">
        <f t="shared" si="97"/>
        <v>0.26009500000000002</v>
      </c>
      <c r="P136" s="2092">
        <f t="shared" si="98"/>
        <v>0</v>
      </c>
      <c r="Q136" s="2086">
        <f>'HVAC Deemed Table'!I153</f>
        <v>0.26009500000000002</v>
      </c>
      <c r="R136" s="2086"/>
      <c r="S136" s="2086"/>
      <c r="T136" s="2086"/>
      <c r="U136" s="2087"/>
      <c r="V136" s="2087"/>
      <c r="W136" s="2087">
        <f>Q136</f>
        <v>0.26009500000000002</v>
      </c>
      <c r="X136" s="2121">
        <f>'HVAC Deemed Table'!J153</f>
        <v>18</v>
      </c>
      <c r="Y136" s="2121"/>
      <c r="Z136" s="88">
        <f t="shared" si="94"/>
        <v>18</v>
      </c>
      <c r="AA136" s="2088">
        <f>'HVAC Deemed Table'!BB153</f>
        <v>0.8274662896629249</v>
      </c>
      <c r="AB136" s="2916">
        <f>'HVAC Deemed Table'!K153</f>
        <v>620</v>
      </c>
      <c r="AC136" s="2090">
        <f t="shared" si="95"/>
        <v>484.2181213695265</v>
      </c>
      <c r="AD136" s="2090">
        <f t="shared" si="96"/>
        <v>0</v>
      </c>
      <c r="AE136" s="2956">
        <f>'HVAC Deemed Table'!BD153</f>
        <v>484.2181213695265</v>
      </c>
      <c r="AF136" s="2956">
        <v>0</v>
      </c>
      <c r="AG136" s="2956"/>
      <c r="AH136" s="2956">
        <v>0</v>
      </c>
      <c r="AI136" s="2263" t="str">
        <f t="shared" si="92"/>
        <v>per measure</v>
      </c>
      <c r="AJ136" s="160">
        <f>'HVAC Deemed Table'!L153</f>
        <v>2</v>
      </c>
      <c r="AK136" s="2055"/>
      <c r="AL136" s="2055"/>
      <c r="AM136" s="2057">
        <f t="shared" si="93"/>
        <v>9.4741810000000004E-4</v>
      </c>
      <c r="AN136">
        <f t="shared" si="101"/>
        <v>0.26009469099299998</v>
      </c>
      <c r="AO136" s="2048">
        <f t="shared" si="71"/>
        <v>-3.0900700004332649E-7</v>
      </c>
    </row>
    <row r="137" spans="2:41" s="2277" customFormat="1" x14ac:dyDescent="0.25">
      <c r="B137" s="2240" t="str">
        <f>'HVAC Deemed Table'!C154</f>
        <v>351160_2020_02_</v>
      </c>
      <c r="C137" s="208" t="str">
        <f>'HVAC Deemed Table'!G154</f>
        <v>Cooling RES</v>
      </c>
      <c r="D137" s="208" t="str">
        <f>'HVAC Deemed Table'!G155</f>
        <v>Cooling RES ER2</v>
      </c>
      <c r="E137" s="208"/>
      <c r="F137" s="208"/>
      <c r="G137" s="208" t="str">
        <f>'HVAC Deemed Table'!E154</f>
        <v>CAC - SEER 18 ER1: SF</v>
      </c>
      <c r="H137" s="622" t="str">
        <f>'HVAC Deemed Table'!D154</f>
        <v>SF</v>
      </c>
      <c r="I137" s="2320">
        <f t="shared" ref="I137:I160" si="102">K137+L137</f>
        <v>2017.58</v>
      </c>
      <c r="J137" s="2320">
        <f>M137+N137</f>
        <v>668.46</v>
      </c>
      <c r="K137" s="2113">
        <f>'HVAC Deemed Table'!F154</f>
        <v>2017.58</v>
      </c>
      <c r="L137" s="2113">
        <v>0</v>
      </c>
      <c r="M137" s="2113">
        <f>'HVAC Deemed Table'!F155</f>
        <v>668.46</v>
      </c>
      <c r="N137" s="2113">
        <v>0</v>
      </c>
      <c r="O137" s="2321">
        <f t="shared" ref="O137:O160" si="103">Q137+R137</f>
        <v>1.911492</v>
      </c>
      <c r="P137" s="2321">
        <f t="shared" ref="P137:P160" si="104">S137+T137</f>
        <v>0.63331099999999996</v>
      </c>
      <c r="Q137" s="2086">
        <f>'HVAC Deemed Table'!I154</f>
        <v>1.911492</v>
      </c>
      <c r="R137" s="2086">
        <v>0</v>
      </c>
      <c r="S137" s="2086">
        <f>'HVAC Deemed Table'!I155</f>
        <v>0.63331099999999996</v>
      </c>
      <c r="T137" s="2086">
        <v>0</v>
      </c>
      <c r="U137" s="2087"/>
      <c r="V137" s="2087"/>
      <c r="W137" s="2087">
        <f>P137</f>
        <v>0.63331099999999996</v>
      </c>
      <c r="X137" s="2121">
        <f>'HVAC Deemed Table'!J154</f>
        <v>6</v>
      </c>
      <c r="Y137" s="2121">
        <f>'HVAC Deemed Table'!J155</f>
        <v>12</v>
      </c>
      <c r="Z137" s="2299">
        <f t="shared" si="94"/>
        <v>18</v>
      </c>
      <c r="AA137" s="2088">
        <f>'HVAC Deemed Table'!BB154</f>
        <v>1.6332850893686637</v>
      </c>
      <c r="AB137" s="2916">
        <f>'HVAC Deemed Table'!K154</f>
        <v>1273.7253593520768</v>
      </c>
      <c r="AC137" s="2090">
        <f t="shared" ref="AC137:AC160" si="105">AE137+AF137</f>
        <v>1173.1908174544121</v>
      </c>
      <c r="AD137" s="2090">
        <f t="shared" ref="AD137:AD160" si="106">AG137+AH137</f>
        <v>790.33597573151474</v>
      </c>
      <c r="AE137" s="2956">
        <f>'HVAC Deemed Table'!BD154</f>
        <v>1173.1908174544121</v>
      </c>
      <c r="AF137" s="2956"/>
      <c r="AG137" s="2956">
        <f>'HVAC Deemed Table'!BD155</f>
        <v>790.33597573151474</v>
      </c>
      <c r="AH137" s="2956"/>
      <c r="AI137" s="2263" t="str">
        <f t="shared" si="92"/>
        <v>per measure</v>
      </c>
      <c r="AJ137" s="160">
        <f>'HVAC Deemed Table'!L154</f>
        <v>3</v>
      </c>
      <c r="AK137" s="2055"/>
      <c r="AL137" s="2055"/>
      <c r="AM137" s="2319"/>
      <c r="AO137" s="2318"/>
    </row>
    <row r="138" spans="2:41" s="2277" customFormat="1" x14ac:dyDescent="0.25">
      <c r="B138" s="2240" t="str">
        <f>'HVAC Deemed Table'!C156</f>
        <v>351161_2020_02_</v>
      </c>
      <c r="C138" s="208" t="str">
        <f>'HVAC Deemed Table'!G156</f>
        <v>Cooling RES</v>
      </c>
      <c r="D138" s="208"/>
      <c r="E138" s="208"/>
      <c r="F138" s="208"/>
      <c r="G138" s="208" t="str">
        <f>'HVAC Deemed Table'!E156</f>
        <v>CAC - SEER 18 ROF: SF</v>
      </c>
      <c r="H138" s="622" t="str">
        <f>'HVAC Deemed Table'!D156</f>
        <v>SF</v>
      </c>
      <c r="I138" s="2320">
        <f t="shared" si="102"/>
        <v>668.46</v>
      </c>
      <c r="J138" s="2320">
        <f t="shared" ref="J138:J160" si="107">M138+N138</f>
        <v>0</v>
      </c>
      <c r="K138" s="2113">
        <f>'HVAC Deemed Table'!F156</f>
        <v>668.46</v>
      </c>
      <c r="L138" s="2113">
        <v>0</v>
      </c>
      <c r="M138" s="2113"/>
      <c r="N138" s="2113">
        <v>0</v>
      </c>
      <c r="O138" s="2321">
        <f t="shared" si="103"/>
        <v>0.63331099999999996</v>
      </c>
      <c r="P138" s="2321">
        <f t="shared" si="104"/>
        <v>0</v>
      </c>
      <c r="Q138" s="2086">
        <f>'HVAC Deemed Table'!I156</f>
        <v>0.63331099999999996</v>
      </c>
      <c r="R138" s="2086">
        <v>0</v>
      </c>
      <c r="S138" s="2086"/>
      <c r="T138" s="2086">
        <v>0</v>
      </c>
      <c r="U138" s="2087"/>
      <c r="V138" s="2087"/>
      <c r="W138" s="2087">
        <f t="shared" ref="W138:W160" si="108">Q138</f>
        <v>0.63331099999999996</v>
      </c>
      <c r="X138" s="2121">
        <f>'HVAC Deemed Table'!J156</f>
        <v>18</v>
      </c>
      <c r="Y138" s="2121"/>
      <c r="Z138" s="2299">
        <f t="shared" si="94"/>
        <v>18</v>
      </c>
      <c r="AA138" s="2088">
        <f>'HVAC Deemed Table'!BB156</f>
        <v>1.5111138563765667</v>
      </c>
      <c r="AB138" s="2916">
        <f>'HVAC Deemed Table'!K156</f>
        <v>826.66666666666708</v>
      </c>
      <c r="AC138" s="2090">
        <f t="shared" si="105"/>
        <v>1179.0348792870495</v>
      </c>
      <c r="AD138" s="2090">
        <f t="shared" si="106"/>
        <v>0</v>
      </c>
      <c r="AE138" s="2956">
        <f>'HVAC Deemed Table'!BD156</f>
        <v>1179.0348792870495</v>
      </c>
      <c r="AF138" s="2956"/>
      <c r="AG138" s="2956"/>
      <c r="AH138" s="2956"/>
      <c r="AI138" s="2263" t="str">
        <f t="shared" si="92"/>
        <v>per measure</v>
      </c>
      <c r="AJ138" s="160">
        <f>'HVAC Deemed Table'!L156</f>
        <v>3</v>
      </c>
      <c r="AK138" s="2055"/>
      <c r="AL138" s="2055"/>
      <c r="AM138" s="2319"/>
      <c r="AO138" s="2318"/>
    </row>
    <row r="139" spans="2:41" s="2277" customFormat="1" x14ac:dyDescent="0.25">
      <c r="B139" s="2240" t="str">
        <f>'HVAC Deemed Table'!C157</f>
        <v>351162_2020_02_</v>
      </c>
      <c r="C139" s="208" t="str">
        <f>'HVAC Deemed Table'!G157</f>
        <v>Cooling RES</v>
      </c>
      <c r="D139" s="208" t="str">
        <f>'HVAC Deemed Table'!G158</f>
        <v>Cooling RES ER2</v>
      </c>
      <c r="E139" s="208"/>
      <c r="F139" s="208"/>
      <c r="G139" s="208" t="str">
        <f>'HVAC Deemed Table'!E157</f>
        <v>CAC - SEER 18 ER1: MF</v>
      </c>
      <c r="H139" s="622" t="str">
        <f>'HVAC Deemed Table'!D157</f>
        <v>MF</v>
      </c>
      <c r="I139" s="2320">
        <f t="shared" si="102"/>
        <v>1345.05</v>
      </c>
      <c r="J139" s="2320">
        <f t="shared" si="107"/>
        <v>445.64</v>
      </c>
      <c r="K139" s="2113">
        <f>'HVAC Deemed Table'!F157</f>
        <v>1345.05</v>
      </c>
      <c r="L139" s="2113">
        <v>0</v>
      </c>
      <c r="M139" s="2113">
        <f>'HVAC Deemed Table'!F158</f>
        <v>445.64</v>
      </c>
      <c r="N139" s="2113">
        <v>0</v>
      </c>
      <c r="O139" s="2321">
        <f t="shared" si="103"/>
        <v>1.2743249999999999</v>
      </c>
      <c r="P139" s="2321">
        <f t="shared" si="104"/>
        <v>0.422207</v>
      </c>
      <c r="Q139" s="2086">
        <f>'HVAC Deemed Table'!I157</f>
        <v>1.2743249999999999</v>
      </c>
      <c r="R139" s="2086">
        <v>0</v>
      </c>
      <c r="S139" s="2086">
        <f>'HVAC Deemed Table'!I158</f>
        <v>0.422207</v>
      </c>
      <c r="T139" s="2086">
        <v>0</v>
      </c>
      <c r="U139" s="2087"/>
      <c r="V139" s="2087"/>
      <c r="W139" s="2087">
        <f>P139</f>
        <v>0.422207</v>
      </c>
      <c r="X139" s="2121">
        <f>'HVAC Deemed Table'!J157</f>
        <v>6</v>
      </c>
      <c r="Y139" s="2121">
        <f>'HVAC Deemed Table'!J158</f>
        <v>12</v>
      </c>
      <c r="Z139" s="2299">
        <f t="shared" si="94"/>
        <v>18</v>
      </c>
      <c r="AA139" s="2088">
        <f>'HVAC Deemed Table'!BB157</f>
        <v>1.1415476109487479</v>
      </c>
      <c r="AB139" s="2916">
        <f>'HVAC Deemed Table'!K157</f>
        <v>1214.9316927389714</v>
      </c>
      <c r="AC139" s="2090">
        <f t="shared" si="105"/>
        <v>782.12527335573168</v>
      </c>
      <c r="AD139" s="2090">
        <f t="shared" si="106"/>
        <v>526.89065048767645</v>
      </c>
      <c r="AE139" s="2956">
        <f>'HVAC Deemed Table'!BD157</f>
        <v>782.12527335573168</v>
      </c>
      <c r="AF139" s="2956"/>
      <c r="AG139" s="2956">
        <f>'HVAC Deemed Table'!BD158</f>
        <v>526.89065048767645</v>
      </c>
      <c r="AH139" s="2956"/>
      <c r="AI139" s="2263" t="str">
        <f t="shared" si="92"/>
        <v>per measure</v>
      </c>
      <c r="AJ139" s="160">
        <f>'HVAC Deemed Table'!L157</f>
        <v>2</v>
      </c>
      <c r="AK139" s="2055"/>
      <c r="AL139" s="2055"/>
      <c r="AM139" s="2319"/>
      <c r="AO139" s="2318"/>
    </row>
    <row r="140" spans="2:41" s="2277" customFormat="1" x14ac:dyDescent="0.25">
      <c r="B140" s="2240" t="str">
        <f>'HVAC Deemed Table'!C159</f>
        <v>351163_2020_02_</v>
      </c>
      <c r="C140" s="208" t="str">
        <f>'HVAC Deemed Table'!G159</f>
        <v>Cooling RES</v>
      </c>
      <c r="D140" s="208" t="str">
        <f>'HVAC Deemed Table'!G160</f>
        <v>Cooling RES ER2</v>
      </c>
      <c r="E140" s="208"/>
      <c r="F140" s="208"/>
      <c r="G140" s="208" t="str">
        <f>'HVAC Deemed Table'!E159</f>
        <v>CAC - SEER 18 ER1: MF_CompE</v>
      </c>
      <c r="H140" s="622" t="str">
        <f>'HVAC Deemed Table'!D159</f>
        <v>MFc</v>
      </c>
      <c r="I140" s="2320">
        <f t="shared" si="102"/>
        <v>978.22</v>
      </c>
      <c r="J140" s="2320">
        <f t="shared" si="107"/>
        <v>324.10000000000002</v>
      </c>
      <c r="K140" s="2113">
        <f>'HVAC Deemed Table'!F159</f>
        <v>978.22</v>
      </c>
      <c r="L140" s="2113">
        <v>0</v>
      </c>
      <c r="M140" s="2113">
        <f>'HVAC Deemed Table'!F160</f>
        <v>324.10000000000002</v>
      </c>
      <c r="N140" s="2113">
        <v>0</v>
      </c>
      <c r="O140" s="2321">
        <f t="shared" si="103"/>
        <v>0.92678300000000002</v>
      </c>
      <c r="P140" s="2321">
        <f t="shared" si="104"/>
        <v>0.307058</v>
      </c>
      <c r="Q140" s="2086">
        <f>'HVAC Deemed Table'!I159</f>
        <v>0.92678300000000002</v>
      </c>
      <c r="R140" s="2086">
        <v>0</v>
      </c>
      <c r="S140" s="2086">
        <f>'HVAC Deemed Table'!I160</f>
        <v>0.307058</v>
      </c>
      <c r="T140" s="2086">
        <v>0</v>
      </c>
      <c r="U140" s="2087"/>
      <c r="V140" s="2087"/>
      <c r="W140" s="2087">
        <f>P140</f>
        <v>0.307058</v>
      </c>
      <c r="X140" s="2121">
        <f>'HVAC Deemed Table'!J159</f>
        <v>6</v>
      </c>
      <c r="Y140" s="2121">
        <f>'HVAC Deemed Table'!J160</f>
        <v>12</v>
      </c>
      <c r="Z140" s="2299">
        <f t="shared" si="94"/>
        <v>18</v>
      </c>
      <c r="AA140" s="2088">
        <f>'HVAC Deemed Table'!BB159</f>
        <v>0.89681685377928411</v>
      </c>
      <c r="AB140" s="2916">
        <f>'HVAC Deemed Table'!K159</f>
        <v>1124.705795123607</v>
      </c>
      <c r="AC140" s="2090">
        <f t="shared" si="105"/>
        <v>568.8194378662829</v>
      </c>
      <c r="AD140" s="2090">
        <f t="shared" si="106"/>
        <v>383.19105067555864</v>
      </c>
      <c r="AE140" s="2956">
        <f>'HVAC Deemed Table'!BD159</f>
        <v>568.8194378662829</v>
      </c>
      <c r="AF140" s="2956"/>
      <c r="AG140" s="2956">
        <f>'HVAC Deemed Table'!BD160</f>
        <v>383.19105067555864</v>
      </c>
      <c r="AH140" s="2956"/>
      <c r="AI140" s="2263" t="str">
        <f t="shared" si="92"/>
        <v>per measure</v>
      </c>
      <c r="AJ140" s="160">
        <f>'HVAC Deemed Table'!L159</f>
        <v>2</v>
      </c>
      <c r="AK140" s="2055"/>
      <c r="AL140" s="2055"/>
      <c r="AM140" s="2319"/>
      <c r="AO140" s="2318"/>
    </row>
    <row r="141" spans="2:41" s="2277" customFormat="1" x14ac:dyDescent="0.25">
      <c r="B141" s="2240" t="str">
        <f>'HVAC Deemed Table'!C161</f>
        <v>351164_2020_02_</v>
      </c>
      <c r="C141" s="208" t="str">
        <f>'HVAC Deemed Table'!G161</f>
        <v>Cooling RES</v>
      </c>
      <c r="D141" s="208"/>
      <c r="E141" s="208"/>
      <c r="F141" s="208"/>
      <c r="G141" s="208" t="str">
        <f>'HVAC Deemed Table'!E161</f>
        <v>CAC - SEER 18 ROF: MF</v>
      </c>
      <c r="H141" s="622" t="str">
        <f>'HVAC Deemed Table'!D161</f>
        <v>MF</v>
      </c>
      <c r="I141" s="2320">
        <f t="shared" si="102"/>
        <v>445.64</v>
      </c>
      <c r="J141" s="2320">
        <f t="shared" si="107"/>
        <v>0</v>
      </c>
      <c r="K141" s="2113">
        <f>'HVAC Deemed Table'!F161</f>
        <v>445.64</v>
      </c>
      <c r="L141" s="2113">
        <v>0</v>
      </c>
      <c r="M141" s="2113"/>
      <c r="N141" s="2113">
        <v>0</v>
      </c>
      <c r="O141" s="2321">
        <f t="shared" si="103"/>
        <v>0.422207</v>
      </c>
      <c r="P141" s="2321">
        <f t="shared" si="104"/>
        <v>0</v>
      </c>
      <c r="Q141" s="2086">
        <f>'HVAC Deemed Table'!I161</f>
        <v>0.422207</v>
      </c>
      <c r="R141" s="2086">
        <v>0</v>
      </c>
      <c r="S141" s="2086"/>
      <c r="T141" s="2086">
        <v>0</v>
      </c>
      <c r="U141" s="2087"/>
      <c r="V141" s="2087"/>
      <c r="W141" s="2087">
        <f t="shared" si="108"/>
        <v>0.422207</v>
      </c>
      <c r="X141" s="2121">
        <f>'HVAC Deemed Table'!J161</f>
        <v>18</v>
      </c>
      <c r="Y141" s="2121"/>
      <c r="Z141" s="2299">
        <f t="shared" si="94"/>
        <v>18</v>
      </c>
      <c r="AA141" s="2088">
        <f>'HVAC Deemed Table'!BB161</f>
        <v>1.0074092375843779</v>
      </c>
      <c r="AB141" s="2916">
        <f>'HVAC Deemed Table'!K161</f>
        <v>826.66666666666708</v>
      </c>
      <c r="AC141" s="2090">
        <f t="shared" si="105"/>
        <v>786.02325285803306</v>
      </c>
      <c r="AD141" s="2090">
        <f t="shared" si="106"/>
        <v>0</v>
      </c>
      <c r="AE141" s="2956">
        <f>'HVAC Deemed Table'!BD161</f>
        <v>786.02325285803306</v>
      </c>
      <c r="AF141" s="2956"/>
      <c r="AG141" s="2956"/>
      <c r="AH141" s="2956"/>
      <c r="AI141" s="2263" t="str">
        <f t="shared" si="92"/>
        <v>per measure</v>
      </c>
      <c r="AJ141" s="160">
        <f>'HVAC Deemed Table'!L161</f>
        <v>2</v>
      </c>
      <c r="AK141" s="2055"/>
      <c r="AL141" s="2055"/>
      <c r="AM141" s="2319"/>
      <c r="AO141" s="2318"/>
    </row>
    <row r="142" spans="2:41" s="2277" customFormat="1" x14ac:dyDescent="0.25">
      <c r="B142" s="2240" t="str">
        <f>'HVAC Deemed Table'!C162</f>
        <v>351165_2020_02_</v>
      </c>
      <c r="C142" s="208" t="str">
        <f>'HVAC Deemed Table'!G162</f>
        <v>Cooling RES</v>
      </c>
      <c r="D142" s="208"/>
      <c r="E142" s="208"/>
      <c r="F142" s="208"/>
      <c r="G142" s="208" t="str">
        <f>'HVAC Deemed Table'!E162</f>
        <v>CAC - SEER 18 ROF: MF_CompE</v>
      </c>
      <c r="H142" s="622" t="str">
        <f>'HVAC Deemed Table'!D162</f>
        <v>MFc</v>
      </c>
      <c r="I142" s="2320">
        <f t="shared" si="102"/>
        <v>324.10000000000002</v>
      </c>
      <c r="J142" s="2320">
        <f t="shared" si="107"/>
        <v>0</v>
      </c>
      <c r="K142" s="2113">
        <f>'HVAC Deemed Table'!F162</f>
        <v>324.10000000000002</v>
      </c>
      <c r="L142" s="2113">
        <v>0</v>
      </c>
      <c r="M142" s="2113"/>
      <c r="N142" s="2113">
        <v>0</v>
      </c>
      <c r="O142" s="2321">
        <f t="shared" si="103"/>
        <v>0.307058</v>
      </c>
      <c r="P142" s="2321">
        <f t="shared" si="104"/>
        <v>0</v>
      </c>
      <c r="Q142" s="2086">
        <f>'HVAC Deemed Table'!I162</f>
        <v>0.307058</v>
      </c>
      <c r="R142" s="2086">
        <v>0</v>
      </c>
      <c r="S142" s="2086"/>
      <c r="T142" s="2086">
        <v>0</v>
      </c>
      <c r="U142" s="2087"/>
      <c r="V142" s="2087"/>
      <c r="W142" s="2087">
        <f t="shared" si="108"/>
        <v>0.307058</v>
      </c>
      <c r="X142" s="2121">
        <f>'HVAC Deemed Table'!J162</f>
        <v>18</v>
      </c>
      <c r="Y142" s="2121"/>
      <c r="Z142" s="2299">
        <f t="shared" si="94"/>
        <v>18</v>
      </c>
      <c r="AA142" s="2088">
        <f>'HVAC Deemed Table'!BB162</f>
        <v>0.73265715353446026</v>
      </c>
      <c r="AB142" s="2916">
        <f>'HVAC Deemed Table'!K162</f>
        <v>826.66666666666708</v>
      </c>
      <c r="AC142" s="2090">
        <f t="shared" si="105"/>
        <v>571.65006788279447</v>
      </c>
      <c r="AD142" s="2090">
        <f t="shared" si="106"/>
        <v>0</v>
      </c>
      <c r="AE142" s="2956">
        <f>'HVAC Deemed Table'!BD162</f>
        <v>571.65006788279447</v>
      </c>
      <c r="AF142" s="2956"/>
      <c r="AG142" s="2956"/>
      <c r="AH142" s="2956"/>
      <c r="AI142" s="2263" t="str">
        <f t="shared" si="92"/>
        <v>per measure</v>
      </c>
      <c r="AJ142" s="160">
        <f>'HVAC Deemed Table'!L162</f>
        <v>2</v>
      </c>
      <c r="AK142" s="2055"/>
      <c r="AL142" s="2055"/>
      <c r="AM142" s="2319"/>
      <c r="AO142" s="2318"/>
    </row>
    <row r="143" spans="2:41" s="2277" customFormat="1" x14ac:dyDescent="0.25">
      <c r="B143" s="2240" t="str">
        <f>'HVAC Deemed Table'!C163</f>
        <v>351170_2020_02_</v>
      </c>
      <c r="C143" s="208" t="str">
        <f>'HVAC Deemed Table'!G163</f>
        <v>Cooling RES</v>
      </c>
      <c r="D143" s="208" t="str">
        <f>'HVAC Deemed Table'!G164</f>
        <v>Cooling RES ER2</v>
      </c>
      <c r="E143" s="208"/>
      <c r="F143" s="208"/>
      <c r="G143" s="208" t="str">
        <f>'HVAC Deemed Table'!E163</f>
        <v>CAC - SEER 19 ER1: SF</v>
      </c>
      <c r="H143" s="622" t="str">
        <f>'HVAC Deemed Table'!D163</f>
        <v>SF</v>
      </c>
      <c r="I143" s="2320">
        <f t="shared" si="102"/>
        <v>2109.06</v>
      </c>
      <c r="J143" s="2320">
        <f t="shared" si="107"/>
        <v>759.94</v>
      </c>
      <c r="K143" s="2113">
        <f>'HVAC Deemed Table'!F163</f>
        <v>2109.06</v>
      </c>
      <c r="L143" s="2113">
        <v>0</v>
      </c>
      <c r="M143" s="2113">
        <f>'HVAC Deemed Table'!F164</f>
        <v>759.94</v>
      </c>
      <c r="N143" s="2113">
        <v>0</v>
      </c>
      <c r="O143" s="2321">
        <f t="shared" si="103"/>
        <v>1.998162</v>
      </c>
      <c r="P143" s="2321">
        <f t="shared" si="104"/>
        <v>0.71998099999999998</v>
      </c>
      <c r="Q143" s="2086">
        <f>'HVAC Deemed Table'!I163</f>
        <v>1.998162</v>
      </c>
      <c r="R143" s="2086">
        <v>0</v>
      </c>
      <c r="S143" s="2086">
        <f>'HVAC Deemed Table'!I164</f>
        <v>0.71998099999999998</v>
      </c>
      <c r="T143" s="2086">
        <v>0</v>
      </c>
      <c r="U143" s="2087"/>
      <c r="V143" s="2087"/>
      <c r="W143" s="2087">
        <f>P143</f>
        <v>0.71998099999999998</v>
      </c>
      <c r="X143" s="2121">
        <f>'HVAC Deemed Table'!J163</f>
        <v>6</v>
      </c>
      <c r="Y143" s="2121">
        <f>'HVAC Deemed Table'!J164</f>
        <v>12</v>
      </c>
      <c r="Z143" s="2299">
        <f t="shared" si="94"/>
        <v>18</v>
      </c>
      <c r="AA143" s="2088">
        <f>'HVAC Deemed Table'!BB163</f>
        <v>1.5207527702453778</v>
      </c>
      <c r="AB143" s="2916">
        <f>'HVAC Deemed Table'!K163</f>
        <v>1480.3920260187429</v>
      </c>
      <c r="AC143" s="2090">
        <f t="shared" si="105"/>
        <v>1226.3849886797066</v>
      </c>
      <c r="AD143" s="2090">
        <f t="shared" si="106"/>
        <v>898.49493073244071</v>
      </c>
      <c r="AE143" s="2956">
        <f>'HVAC Deemed Table'!BD163</f>
        <v>1226.3849886797066</v>
      </c>
      <c r="AF143" s="2956"/>
      <c r="AG143" s="2956">
        <f>'HVAC Deemed Table'!BD164</f>
        <v>898.49493073244071</v>
      </c>
      <c r="AH143" s="2956"/>
      <c r="AI143" s="2263" t="str">
        <f t="shared" si="92"/>
        <v>per measure</v>
      </c>
      <c r="AJ143" s="160">
        <f>'HVAC Deemed Table'!L163</f>
        <v>3</v>
      </c>
      <c r="AK143" s="2055"/>
      <c r="AL143" s="2055"/>
      <c r="AM143" s="2319"/>
      <c r="AO143" s="2318"/>
    </row>
    <row r="144" spans="2:41" s="2277" customFormat="1" x14ac:dyDescent="0.25">
      <c r="B144" s="2240" t="str">
        <f>'HVAC Deemed Table'!C165</f>
        <v>351171_2020_02_</v>
      </c>
      <c r="C144" s="208" t="str">
        <f>'HVAC Deemed Table'!G165</f>
        <v>Cooling RES</v>
      </c>
      <c r="D144" s="208"/>
      <c r="E144" s="208"/>
      <c r="F144" s="208"/>
      <c r="G144" s="208" t="str">
        <f>'HVAC Deemed Table'!E165</f>
        <v>CAC - SEER 19 ROF: SF</v>
      </c>
      <c r="H144" s="622" t="str">
        <f>'HVAC Deemed Table'!D165</f>
        <v>SF</v>
      </c>
      <c r="I144" s="2320">
        <f t="shared" si="102"/>
        <v>759.94</v>
      </c>
      <c r="J144" s="2320">
        <f t="shared" si="107"/>
        <v>0</v>
      </c>
      <c r="K144" s="2113">
        <f>'HVAC Deemed Table'!F165</f>
        <v>759.94</v>
      </c>
      <c r="L144" s="2113">
        <v>0</v>
      </c>
      <c r="M144" s="2113"/>
      <c r="N144" s="2113">
        <v>0</v>
      </c>
      <c r="O144" s="2321">
        <f t="shared" si="103"/>
        <v>0.71998099999999998</v>
      </c>
      <c r="P144" s="2321">
        <f t="shared" si="104"/>
        <v>0</v>
      </c>
      <c r="Q144" s="2086">
        <f>'HVAC Deemed Table'!I165</f>
        <v>0.71998099999999998</v>
      </c>
      <c r="R144" s="2086">
        <v>0</v>
      </c>
      <c r="S144" s="2086"/>
      <c r="T144" s="2086">
        <v>0</v>
      </c>
      <c r="U144" s="2087"/>
      <c r="V144" s="2087"/>
      <c r="W144" s="2087">
        <f t="shared" si="108"/>
        <v>0.71998099999999998</v>
      </c>
      <c r="X144" s="2121">
        <f>'HVAC Deemed Table'!J165</f>
        <v>18</v>
      </c>
      <c r="Y144" s="2121"/>
      <c r="Z144" s="2299">
        <f t="shared" si="94"/>
        <v>18</v>
      </c>
      <c r="AA144" s="2088">
        <f>'HVAC Deemed Table'!BB165</f>
        <v>1.3743300888786878</v>
      </c>
      <c r="AB144" s="2916">
        <f>'HVAC Deemed Table'!K165</f>
        <v>1033.3333333333328</v>
      </c>
      <c r="AC144" s="2090">
        <f t="shared" si="105"/>
        <v>1340.3880055132702</v>
      </c>
      <c r="AD144" s="2090">
        <f t="shared" si="106"/>
        <v>0</v>
      </c>
      <c r="AE144" s="2956">
        <f>'HVAC Deemed Table'!BD165</f>
        <v>1340.3880055132702</v>
      </c>
      <c r="AF144" s="2956"/>
      <c r="AG144" s="2956"/>
      <c r="AH144" s="2956"/>
      <c r="AI144" s="2263" t="str">
        <f t="shared" si="92"/>
        <v>per measure</v>
      </c>
      <c r="AJ144" s="160">
        <f>'HVAC Deemed Table'!L165</f>
        <v>3</v>
      </c>
      <c r="AK144" s="2055"/>
      <c r="AL144" s="2055"/>
      <c r="AM144" s="2319"/>
      <c r="AO144" s="2318"/>
    </row>
    <row r="145" spans="2:41" s="2277" customFormat="1" x14ac:dyDescent="0.25">
      <c r="B145" s="2240" t="str">
        <f>'HVAC Deemed Table'!C166</f>
        <v>351172_2020_02_</v>
      </c>
      <c r="C145" s="208" t="str">
        <f>'HVAC Deemed Table'!G166</f>
        <v>Cooling RES</v>
      </c>
      <c r="D145" s="208" t="str">
        <f>'HVAC Deemed Table'!G167</f>
        <v>Cooling RES ER2</v>
      </c>
      <c r="E145" s="208"/>
      <c r="F145" s="208"/>
      <c r="G145" s="208" t="str">
        <f>'HVAC Deemed Table'!E166</f>
        <v>CAC - SEER 19 ER1: MF</v>
      </c>
      <c r="H145" s="622" t="str">
        <f>'HVAC Deemed Table'!D166</f>
        <v>MF</v>
      </c>
      <c r="I145" s="2320">
        <f t="shared" si="102"/>
        <v>1406.04</v>
      </c>
      <c r="J145" s="2320">
        <f t="shared" si="107"/>
        <v>506.62</v>
      </c>
      <c r="K145" s="2113">
        <f>'HVAC Deemed Table'!F166</f>
        <v>1406.04</v>
      </c>
      <c r="L145" s="2113">
        <v>0</v>
      </c>
      <c r="M145" s="2113">
        <f>'HVAC Deemed Table'!F167</f>
        <v>506.62</v>
      </c>
      <c r="N145" s="2113">
        <v>0</v>
      </c>
      <c r="O145" s="2321">
        <f t="shared" si="103"/>
        <v>1.3321080000000001</v>
      </c>
      <c r="P145" s="2321">
        <f t="shared" si="104"/>
        <v>0.47998099999999999</v>
      </c>
      <c r="Q145" s="2086">
        <f>'HVAC Deemed Table'!I166</f>
        <v>1.3321080000000001</v>
      </c>
      <c r="R145" s="2086">
        <v>0</v>
      </c>
      <c r="S145" s="2086">
        <f>'HVAC Deemed Table'!I167</f>
        <v>0.47998099999999999</v>
      </c>
      <c r="T145" s="2086">
        <v>0</v>
      </c>
      <c r="U145" s="2087"/>
      <c r="V145" s="2087"/>
      <c r="W145" s="2087">
        <f>P145</f>
        <v>0.47998099999999999</v>
      </c>
      <c r="X145" s="2121">
        <f>'HVAC Deemed Table'!J166</f>
        <v>6</v>
      </c>
      <c r="Y145" s="2121">
        <f>'HVAC Deemed Table'!J167</f>
        <v>12</v>
      </c>
      <c r="Z145" s="2299">
        <f t="shared" si="94"/>
        <v>18</v>
      </c>
      <c r="AA145" s="2088">
        <f>'HVAC Deemed Table'!BB166</f>
        <v>1.127306751747124</v>
      </c>
      <c r="AB145" s="2916">
        <f>'HVAC Deemed Table'!K166</f>
        <v>1331.3724617902726</v>
      </c>
      <c r="AC145" s="2090">
        <f t="shared" si="105"/>
        <v>817.58999245313771</v>
      </c>
      <c r="AD145" s="2090">
        <f t="shared" si="106"/>
        <v>598.98873833153812</v>
      </c>
      <c r="AE145" s="2956">
        <f>'HVAC Deemed Table'!BD166</f>
        <v>817.58999245313771</v>
      </c>
      <c r="AF145" s="2956"/>
      <c r="AG145" s="2956">
        <f>'HVAC Deemed Table'!BD167</f>
        <v>598.98873833153812</v>
      </c>
      <c r="AH145" s="2956"/>
      <c r="AI145" s="2263" t="str">
        <f t="shared" si="92"/>
        <v>per measure</v>
      </c>
      <c r="AJ145" s="160">
        <f>'HVAC Deemed Table'!L166</f>
        <v>2</v>
      </c>
      <c r="AK145" s="2055"/>
      <c r="AL145" s="2055"/>
      <c r="AM145" s="2319"/>
      <c r="AO145" s="2318"/>
    </row>
    <row r="146" spans="2:41" s="2277" customFormat="1" x14ac:dyDescent="0.25">
      <c r="B146" s="2240" t="str">
        <f>'HVAC Deemed Table'!C168</f>
        <v>351173_2020_02_</v>
      </c>
      <c r="C146" s="208" t="str">
        <f>'HVAC Deemed Table'!G168</f>
        <v>Cooling RES</v>
      </c>
      <c r="D146" s="208" t="str">
        <f>'HVAC Deemed Table'!G169</f>
        <v>Cooling RES ER2</v>
      </c>
      <c r="E146" s="208"/>
      <c r="F146" s="208"/>
      <c r="G146" s="208" t="str">
        <f>'HVAC Deemed Table'!E168</f>
        <v>CAC - SEER 19 ER1: MF_CompE</v>
      </c>
      <c r="H146" s="622" t="str">
        <f>'HVAC Deemed Table'!D168</f>
        <v>MFc</v>
      </c>
      <c r="I146" s="2320">
        <f t="shared" si="102"/>
        <v>1022.57</v>
      </c>
      <c r="J146" s="2320">
        <f t="shared" si="107"/>
        <v>368.45</v>
      </c>
      <c r="K146" s="2113">
        <f>'HVAC Deemed Table'!F168</f>
        <v>1022.57</v>
      </c>
      <c r="L146" s="2113">
        <v>0</v>
      </c>
      <c r="M146" s="2113">
        <f>'HVAC Deemed Table'!F169</f>
        <v>368.45</v>
      </c>
      <c r="N146" s="2113">
        <v>0</v>
      </c>
      <c r="O146" s="2321">
        <f t="shared" si="103"/>
        <v>0.96880100000000002</v>
      </c>
      <c r="P146" s="2321">
        <f t="shared" si="104"/>
        <v>0.349076</v>
      </c>
      <c r="Q146" s="2086">
        <f>'HVAC Deemed Table'!I168</f>
        <v>0.96880100000000002</v>
      </c>
      <c r="R146" s="2086">
        <v>0</v>
      </c>
      <c r="S146" s="2086">
        <f>'HVAC Deemed Table'!I169</f>
        <v>0.349076</v>
      </c>
      <c r="T146" s="2086">
        <v>0</v>
      </c>
      <c r="U146" s="2087"/>
      <c r="V146" s="2087"/>
      <c r="W146" s="2087">
        <f>P146</f>
        <v>0.349076</v>
      </c>
      <c r="X146" s="2121">
        <f>'HVAC Deemed Table'!J168</f>
        <v>6</v>
      </c>
      <c r="Y146" s="2121">
        <f>'HVAC Deemed Table'!J169</f>
        <v>12</v>
      </c>
      <c r="Z146" s="2299">
        <f t="shared" si="94"/>
        <v>18</v>
      </c>
      <c r="AA146" s="2088">
        <f>'HVAC Deemed Table'!BB168</f>
        <v>0.81985649708929442</v>
      </c>
      <c r="AB146" s="2916">
        <f>'HVAC Deemed Table'!K168</f>
        <v>1331.3724617902726</v>
      </c>
      <c r="AC146" s="2090">
        <f t="shared" si="105"/>
        <v>594.60826049245054</v>
      </c>
      <c r="AD146" s="2090">
        <f t="shared" si="106"/>
        <v>435.62709849247011</v>
      </c>
      <c r="AE146" s="2956">
        <f>'HVAC Deemed Table'!BD168</f>
        <v>594.60826049245054</v>
      </c>
      <c r="AF146" s="2956"/>
      <c r="AG146" s="2956">
        <f>'HVAC Deemed Table'!BD169</f>
        <v>435.62709849247011</v>
      </c>
      <c r="AH146" s="2956"/>
      <c r="AI146" s="2263" t="str">
        <f t="shared" si="92"/>
        <v>per measure</v>
      </c>
      <c r="AJ146" s="160">
        <f>'HVAC Deemed Table'!L168</f>
        <v>2</v>
      </c>
      <c r="AK146" s="2055"/>
      <c r="AL146" s="2055"/>
      <c r="AM146" s="2319"/>
      <c r="AO146" s="2318"/>
    </row>
    <row r="147" spans="2:41" s="2277" customFormat="1" x14ac:dyDescent="0.25">
      <c r="B147" s="2240" t="str">
        <f>'HVAC Deemed Table'!C170</f>
        <v>351174_2020_02_</v>
      </c>
      <c r="C147" s="208" t="str">
        <f>'HVAC Deemed Table'!G170</f>
        <v>Cooling RES</v>
      </c>
      <c r="D147" s="208"/>
      <c r="E147" s="208"/>
      <c r="F147" s="208"/>
      <c r="G147" s="208" t="str">
        <f>'HVAC Deemed Table'!E170</f>
        <v>CAC - SEER 19 ROF: MF</v>
      </c>
      <c r="H147" s="622" t="str">
        <f>'HVAC Deemed Table'!D170</f>
        <v>MF</v>
      </c>
      <c r="I147" s="2320">
        <f t="shared" si="102"/>
        <v>506.62</v>
      </c>
      <c r="J147" s="2320">
        <f t="shared" si="107"/>
        <v>0</v>
      </c>
      <c r="K147" s="2113">
        <f>'HVAC Deemed Table'!F170</f>
        <v>506.62</v>
      </c>
      <c r="L147" s="2113">
        <v>0</v>
      </c>
      <c r="M147" s="2113"/>
      <c r="N147" s="2113">
        <v>0</v>
      </c>
      <c r="O147" s="2321">
        <f t="shared" si="103"/>
        <v>0.47998099999999999</v>
      </c>
      <c r="P147" s="2321">
        <f t="shared" si="104"/>
        <v>0</v>
      </c>
      <c r="Q147" s="2086">
        <f>'HVAC Deemed Table'!I170</f>
        <v>0.47998099999999999</v>
      </c>
      <c r="R147" s="2086">
        <v>0</v>
      </c>
      <c r="S147" s="2086"/>
      <c r="T147" s="2086">
        <v>0</v>
      </c>
      <c r="U147" s="2087"/>
      <c r="V147" s="2087"/>
      <c r="W147" s="2087">
        <f t="shared" si="108"/>
        <v>0.47998099999999999</v>
      </c>
      <c r="X147" s="2121">
        <f>'HVAC Deemed Table'!J170</f>
        <v>18</v>
      </c>
      <c r="Y147" s="2121"/>
      <c r="Z147" s="2299">
        <f t="shared" si="94"/>
        <v>18</v>
      </c>
      <c r="AA147" s="2088">
        <f>'HVAC Deemed Table'!BB170</f>
        <v>0.91620800277353565</v>
      </c>
      <c r="AB147" s="2916">
        <f>'HVAC Deemed Table'!K170</f>
        <v>1033.3333333333328</v>
      </c>
      <c r="AC147" s="2090">
        <f t="shared" si="105"/>
        <v>893.58024495767143</v>
      </c>
      <c r="AD147" s="2090">
        <f t="shared" si="106"/>
        <v>0</v>
      </c>
      <c r="AE147" s="2956">
        <f>'HVAC Deemed Table'!BD170</f>
        <v>893.58024495767143</v>
      </c>
      <c r="AF147" s="2956"/>
      <c r="AG147" s="2956"/>
      <c r="AH147" s="2956"/>
      <c r="AI147" s="2263" t="str">
        <f t="shared" si="92"/>
        <v>per measure</v>
      </c>
      <c r="AJ147" s="160">
        <f>'HVAC Deemed Table'!L170</f>
        <v>2</v>
      </c>
      <c r="AK147" s="2055"/>
      <c r="AL147" s="2055"/>
      <c r="AM147" s="2319"/>
      <c r="AO147" s="2318"/>
    </row>
    <row r="148" spans="2:41" s="2277" customFormat="1" x14ac:dyDescent="0.25">
      <c r="B148" s="2240" t="str">
        <f>'HVAC Deemed Table'!C171</f>
        <v>351175_2020_02_</v>
      </c>
      <c r="C148" s="208" t="str">
        <f>'HVAC Deemed Table'!G171</f>
        <v>Cooling RES</v>
      </c>
      <c r="D148" s="208"/>
      <c r="E148" s="208"/>
      <c r="F148" s="208"/>
      <c r="G148" s="208" t="str">
        <f>'HVAC Deemed Table'!E171</f>
        <v>CAC - SEER 19 ROF: MF_CompE</v>
      </c>
      <c r="H148" s="622" t="str">
        <f>'HVAC Deemed Table'!D171</f>
        <v>MFc</v>
      </c>
      <c r="I148" s="2320">
        <f t="shared" si="102"/>
        <v>368.45</v>
      </c>
      <c r="J148" s="2320">
        <f t="shared" si="107"/>
        <v>0</v>
      </c>
      <c r="K148" s="2113">
        <f>'HVAC Deemed Table'!F171</f>
        <v>368.45</v>
      </c>
      <c r="L148" s="2113">
        <v>0</v>
      </c>
      <c r="M148" s="2113"/>
      <c r="N148" s="2113">
        <v>0</v>
      </c>
      <c r="O148" s="2321">
        <f t="shared" si="103"/>
        <v>0.349076</v>
      </c>
      <c r="P148" s="2321">
        <f t="shared" si="104"/>
        <v>0</v>
      </c>
      <c r="Q148" s="2086">
        <f>'HVAC Deemed Table'!I171</f>
        <v>0.349076</v>
      </c>
      <c r="R148" s="2086">
        <v>0</v>
      </c>
      <c r="S148" s="2086"/>
      <c r="T148" s="2086">
        <v>0</v>
      </c>
      <c r="U148" s="2087"/>
      <c r="V148" s="2087"/>
      <c r="W148" s="2087">
        <f t="shared" si="108"/>
        <v>0.349076</v>
      </c>
      <c r="X148" s="2121">
        <f>'HVAC Deemed Table'!J171</f>
        <v>18</v>
      </c>
      <c r="Y148" s="2121"/>
      <c r="Z148" s="2299">
        <f t="shared" si="94"/>
        <v>18</v>
      </c>
      <c r="AA148" s="2088">
        <f>'HVAC Deemed Table'!BB171</f>
        <v>0.66633144886090001</v>
      </c>
      <c r="AB148" s="2916">
        <f>'HVAC Deemed Table'!K171</f>
        <v>1033.3333333333328</v>
      </c>
      <c r="AC148" s="2090">
        <f t="shared" si="105"/>
        <v>649.87493832587347</v>
      </c>
      <c r="AD148" s="2090">
        <f t="shared" si="106"/>
        <v>0</v>
      </c>
      <c r="AE148" s="2956">
        <f>'HVAC Deemed Table'!BD171</f>
        <v>649.87493832587347</v>
      </c>
      <c r="AF148" s="2956"/>
      <c r="AG148" s="2956"/>
      <c r="AH148" s="2956"/>
      <c r="AI148" s="2263" t="str">
        <f t="shared" si="92"/>
        <v>per measure</v>
      </c>
      <c r="AJ148" s="160">
        <f>'HVAC Deemed Table'!L171</f>
        <v>2</v>
      </c>
      <c r="AK148" s="2055"/>
      <c r="AL148" s="2055"/>
      <c r="AM148" s="2319"/>
      <c r="AO148" s="2318"/>
    </row>
    <row r="149" spans="2:41" s="2277" customFormat="1" x14ac:dyDescent="0.25">
      <c r="B149" s="2240" t="str">
        <f>'HVAC Deemed Table'!C172</f>
        <v>351180_2020_02_</v>
      </c>
      <c r="C149" s="208" t="str">
        <f>'HVAC Deemed Table'!G172</f>
        <v>Cooling RES</v>
      </c>
      <c r="D149" s="208" t="str">
        <f>'HVAC Deemed Table'!G173</f>
        <v>Cooling RES ER2</v>
      </c>
      <c r="E149" s="208"/>
      <c r="F149" s="208"/>
      <c r="G149" s="208" t="str">
        <f>'HVAC Deemed Table'!E172</f>
        <v>CAC - SEER 20 ER1: SF</v>
      </c>
      <c r="H149" s="622" t="str">
        <f>'HVAC Deemed Table'!D172</f>
        <v>SF</v>
      </c>
      <c r="I149" s="2320">
        <f t="shared" si="102"/>
        <v>2191.38</v>
      </c>
      <c r="J149" s="2320">
        <f t="shared" si="107"/>
        <v>842.26</v>
      </c>
      <c r="K149" s="2113">
        <f>'HVAC Deemed Table'!F172</f>
        <v>2191.38</v>
      </c>
      <c r="L149" s="2113">
        <v>0</v>
      </c>
      <c r="M149" s="2113">
        <f>'HVAC Deemed Table'!F173</f>
        <v>842.26</v>
      </c>
      <c r="N149" s="2113">
        <v>0</v>
      </c>
      <c r="O149" s="2321">
        <f t="shared" si="103"/>
        <v>2.0761530000000001</v>
      </c>
      <c r="P149" s="2321">
        <f t="shared" si="104"/>
        <v>0.79797200000000001</v>
      </c>
      <c r="Q149" s="2086">
        <f>'HVAC Deemed Table'!I172</f>
        <v>2.0761530000000001</v>
      </c>
      <c r="R149" s="2086">
        <v>0</v>
      </c>
      <c r="S149" s="2086">
        <f>'HVAC Deemed Table'!I173</f>
        <v>0.79797200000000001</v>
      </c>
      <c r="T149" s="2086">
        <v>0</v>
      </c>
      <c r="U149" s="2087"/>
      <c r="V149" s="2087"/>
      <c r="W149" s="2087">
        <f>P149</f>
        <v>0.79797200000000001</v>
      </c>
      <c r="X149" s="2121">
        <f>'HVAC Deemed Table'!J172</f>
        <v>6</v>
      </c>
      <c r="Y149" s="2121">
        <f>'HVAC Deemed Table'!J173</f>
        <v>12</v>
      </c>
      <c r="Z149" s="2299">
        <f t="shared" si="94"/>
        <v>18</v>
      </c>
      <c r="AA149" s="2088">
        <f>'HVAC Deemed Table'!BB172</f>
        <v>1.4256446047238267</v>
      </c>
      <c r="AB149" s="2916">
        <f>'HVAC Deemed Table'!K172</f>
        <v>1687.0586926854098</v>
      </c>
      <c r="AC149" s="2090">
        <f t="shared" si="105"/>
        <v>1274.2527649725166</v>
      </c>
      <c r="AD149" s="2090">
        <f t="shared" si="106"/>
        <v>995.82380235111384</v>
      </c>
      <c r="AE149" s="2956">
        <f>'HVAC Deemed Table'!BD172</f>
        <v>1274.2527649725166</v>
      </c>
      <c r="AF149" s="2956"/>
      <c r="AG149" s="2956">
        <f>'HVAC Deemed Table'!BD173</f>
        <v>995.82380235111384</v>
      </c>
      <c r="AH149" s="2956"/>
      <c r="AI149" s="2263" t="str">
        <f t="shared" si="92"/>
        <v>per measure</v>
      </c>
      <c r="AJ149" s="160">
        <f>'HVAC Deemed Table'!L172</f>
        <v>3</v>
      </c>
      <c r="AK149" s="2055"/>
      <c r="AL149" s="2055"/>
      <c r="AM149" s="2319"/>
      <c r="AO149" s="2318"/>
    </row>
    <row r="150" spans="2:41" s="2277" customFormat="1" x14ac:dyDescent="0.25">
      <c r="B150" s="2240" t="str">
        <f>'HVAC Deemed Table'!C174</f>
        <v>351181_2020_02_</v>
      </c>
      <c r="C150" s="208" t="str">
        <f>'HVAC Deemed Table'!G174</f>
        <v>Cooling RES</v>
      </c>
      <c r="D150" s="208"/>
      <c r="E150" s="208"/>
      <c r="F150" s="208"/>
      <c r="G150" s="208" t="str">
        <f>'HVAC Deemed Table'!E174</f>
        <v>CAC - SEER 20 ROF: SF</v>
      </c>
      <c r="H150" s="622" t="str">
        <f>'HVAC Deemed Table'!D174</f>
        <v>SF</v>
      </c>
      <c r="I150" s="2320">
        <f t="shared" si="102"/>
        <v>842.26</v>
      </c>
      <c r="J150" s="2320">
        <f t="shared" si="107"/>
        <v>0</v>
      </c>
      <c r="K150" s="2113">
        <f>'HVAC Deemed Table'!F174</f>
        <v>842.26</v>
      </c>
      <c r="L150" s="2113">
        <v>0</v>
      </c>
      <c r="M150" s="2113"/>
      <c r="N150" s="2113">
        <v>0</v>
      </c>
      <c r="O150" s="2321">
        <f t="shared" si="103"/>
        <v>0.79797200000000001</v>
      </c>
      <c r="P150" s="2321">
        <f t="shared" si="104"/>
        <v>0</v>
      </c>
      <c r="Q150" s="2086">
        <f>'HVAC Deemed Table'!I174</f>
        <v>0.79797200000000001</v>
      </c>
      <c r="R150" s="2086">
        <v>0</v>
      </c>
      <c r="S150" s="2086"/>
      <c r="T150" s="2086">
        <v>0</v>
      </c>
      <c r="U150" s="2087"/>
      <c r="V150" s="2087"/>
      <c r="W150" s="2087">
        <f t="shared" si="108"/>
        <v>0.79797200000000001</v>
      </c>
      <c r="X150" s="2121">
        <f>'HVAC Deemed Table'!J174</f>
        <v>18</v>
      </c>
      <c r="Y150" s="2121"/>
      <c r="Z150" s="2299">
        <f t="shared" si="94"/>
        <v>18</v>
      </c>
      <c r="AA150" s="2088">
        <f>'HVAC Deemed Table'!BB174</f>
        <v>1.2693362421802632</v>
      </c>
      <c r="AB150" s="2916">
        <f>'HVAC Deemed Table'!K174</f>
        <v>1239.9999999999995</v>
      </c>
      <c r="AC150" s="2090">
        <f t="shared" si="105"/>
        <v>1485.584653424753</v>
      </c>
      <c r="AD150" s="2090">
        <f t="shared" si="106"/>
        <v>0</v>
      </c>
      <c r="AE150" s="2956">
        <f>'HVAC Deemed Table'!BD174</f>
        <v>1485.584653424753</v>
      </c>
      <c r="AF150" s="2956"/>
      <c r="AG150" s="2956"/>
      <c r="AH150" s="2956"/>
      <c r="AI150" s="2263" t="str">
        <f t="shared" si="92"/>
        <v>per measure</v>
      </c>
      <c r="AJ150" s="160">
        <f>'HVAC Deemed Table'!L174</f>
        <v>3</v>
      </c>
      <c r="AK150" s="2055"/>
      <c r="AL150" s="2055"/>
      <c r="AM150" s="2319"/>
      <c r="AO150" s="2318"/>
    </row>
    <row r="151" spans="2:41" s="2277" customFormat="1" x14ac:dyDescent="0.25">
      <c r="B151" s="2240" t="str">
        <f>'HVAC Deemed Table'!C175</f>
        <v>351182_2020_02_</v>
      </c>
      <c r="C151" s="208" t="str">
        <f>'HVAC Deemed Table'!G175</f>
        <v>Cooling RES</v>
      </c>
      <c r="D151" s="208" t="str">
        <f>'HVAC Deemed Table'!G176</f>
        <v>Cooling RES ER2</v>
      </c>
      <c r="E151" s="208"/>
      <c r="F151" s="208"/>
      <c r="G151" s="208" t="str">
        <f>'HVAC Deemed Table'!E175</f>
        <v>CAC - SEER 20 ER1: MF</v>
      </c>
      <c r="H151" s="622" t="str">
        <f>'HVAC Deemed Table'!D175</f>
        <v>MF</v>
      </c>
      <c r="I151" s="2320">
        <f t="shared" si="102"/>
        <v>1460.92</v>
      </c>
      <c r="J151" s="2320">
        <f t="shared" si="107"/>
        <v>561.51</v>
      </c>
      <c r="K151" s="2113">
        <f>'HVAC Deemed Table'!F175</f>
        <v>1460.92</v>
      </c>
      <c r="L151" s="2113">
        <v>0</v>
      </c>
      <c r="M151" s="2113">
        <f>'HVAC Deemed Table'!F176</f>
        <v>561.51</v>
      </c>
      <c r="N151" s="2113">
        <v>0</v>
      </c>
      <c r="O151" s="2321">
        <f t="shared" si="103"/>
        <v>1.3841019999999999</v>
      </c>
      <c r="P151" s="2321">
        <f t="shared" si="104"/>
        <v>0.53198500000000004</v>
      </c>
      <c r="Q151" s="2086">
        <f>'HVAC Deemed Table'!I175</f>
        <v>1.3841019999999999</v>
      </c>
      <c r="R151" s="2086">
        <v>0</v>
      </c>
      <c r="S151" s="2086">
        <f>'HVAC Deemed Table'!I176</f>
        <v>0.53198500000000004</v>
      </c>
      <c r="T151" s="2086">
        <v>0</v>
      </c>
      <c r="U151" s="2087"/>
      <c r="V151" s="2087"/>
      <c r="W151" s="2087">
        <f>P151</f>
        <v>0.53198500000000004</v>
      </c>
      <c r="X151" s="2121">
        <f>'HVAC Deemed Table'!J175</f>
        <v>6</v>
      </c>
      <c r="Y151" s="2121">
        <f>'HVAC Deemed Table'!J176</f>
        <v>12</v>
      </c>
      <c r="Z151" s="2299">
        <f t="shared" si="94"/>
        <v>18</v>
      </c>
      <c r="AA151" s="2088">
        <f>'HVAC Deemed Table'!BB175</f>
        <v>1.0425189415699732</v>
      </c>
      <c r="AB151" s="2916">
        <f>'HVAC Deemed Table'!K175</f>
        <v>1538.0391284569391</v>
      </c>
      <c r="AC151" s="2090">
        <f t="shared" si="105"/>
        <v>849.501843315011</v>
      </c>
      <c r="AD151" s="2090">
        <f t="shared" si="106"/>
        <v>663.88647597912041</v>
      </c>
      <c r="AE151" s="2956">
        <f>'HVAC Deemed Table'!BD175</f>
        <v>849.501843315011</v>
      </c>
      <c r="AF151" s="2956"/>
      <c r="AG151" s="2956">
        <f>'HVAC Deemed Table'!BD176</f>
        <v>663.88647597912041</v>
      </c>
      <c r="AH151" s="2956"/>
      <c r="AI151" s="2263" t="str">
        <f t="shared" si="92"/>
        <v>per measure</v>
      </c>
      <c r="AJ151" s="160">
        <f>'HVAC Deemed Table'!L175</f>
        <v>2</v>
      </c>
      <c r="AK151" s="2055"/>
      <c r="AL151" s="2055"/>
      <c r="AM151" s="2319"/>
      <c r="AO151" s="2318"/>
    </row>
    <row r="152" spans="2:41" s="2277" customFormat="1" x14ac:dyDescent="0.25">
      <c r="B152" s="2240" t="str">
        <f>'HVAC Deemed Table'!C177</f>
        <v>351183_2020_02_</v>
      </c>
      <c r="C152" s="208" t="str">
        <f>'HVAC Deemed Table'!G177</f>
        <v>Cooling RES</v>
      </c>
      <c r="D152" s="208" t="str">
        <f>'HVAC Deemed Table'!G178</f>
        <v>Cooling RES ER2</v>
      </c>
      <c r="E152" s="208"/>
      <c r="F152" s="208"/>
      <c r="G152" s="208" t="str">
        <f>'HVAC Deemed Table'!E177</f>
        <v>CAC - SEER 20 ER1: MF_CompE</v>
      </c>
      <c r="H152" s="622" t="str">
        <f>'HVAC Deemed Table'!D177</f>
        <v>MFc</v>
      </c>
      <c r="I152" s="2320">
        <f t="shared" si="102"/>
        <v>1062.49</v>
      </c>
      <c r="J152" s="2320">
        <f t="shared" si="107"/>
        <v>408.37</v>
      </c>
      <c r="K152" s="2113">
        <f>'HVAC Deemed Table'!F177</f>
        <v>1062.49</v>
      </c>
      <c r="L152" s="2113">
        <v>0</v>
      </c>
      <c r="M152" s="2113">
        <f>'HVAC Deemed Table'!F178</f>
        <v>408.37</v>
      </c>
      <c r="N152" s="2113">
        <v>0</v>
      </c>
      <c r="O152" s="2321">
        <f t="shared" si="103"/>
        <v>1.0066219999999999</v>
      </c>
      <c r="P152" s="2321">
        <f t="shared" si="104"/>
        <v>0.38689699999999999</v>
      </c>
      <c r="Q152" s="2086">
        <f>'HVAC Deemed Table'!I177</f>
        <v>1.0066219999999999</v>
      </c>
      <c r="R152" s="2086">
        <v>0</v>
      </c>
      <c r="S152" s="2086">
        <f>'HVAC Deemed Table'!I178</f>
        <v>0.38689699999999999</v>
      </c>
      <c r="T152" s="2086">
        <v>0</v>
      </c>
      <c r="U152" s="2087"/>
      <c r="V152" s="2087"/>
      <c r="W152" s="2087">
        <f>P152</f>
        <v>0.38689699999999999</v>
      </c>
      <c r="X152" s="2121">
        <f>'HVAC Deemed Table'!J177</f>
        <v>6</v>
      </c>
      <c r="Y152" s="2121">
        <f>'HVAC Deemed Table'!J178</f>
        <v>12</v>
      </c>
      <c r="Z152" s="2299">
        <f t="shared" si="94"/>
        <v>18</v>
      </c>
      <c r="AA152" s="2088">
        <f>'HVAC Deemed Table'!BB177</f>
        <v>0.75819594589679207</v>
      </c>
      <c r="AB152" s="2916">
        <f>'HVAC Deemed Table'!K177</f>
        <v>1538.0391284569391</v>
      </c>
      <c r="AC152" s="2090">
        <f t="shared" si="105"/>
        <v>617.82110827681595</v>
      </c>
      <c r="AD152" s="2090">
        <f t="shared" si="106"/>
        <v>482.82545314525726</v>
      </c>
      <c r="AE152" s="2956">
        <f>'HVAC Deemed Table'!BD177</f>
        <v>617.82110827681595</v>
      </c>
      <c r="AF152" s="2956"/>
      <c r="AG152" s="2956">
        <f>'HVAC Deemed Table'!BD178</f>
        <v>482.82545314525726</v>
      </c>
      <c r="AH152" s="2956"/>
      <c r="AI152" s="2263" t="str">
        <f t="shared" si="92"/>
        <v>per measure</v>
      </c>
      <c r="AJ152" s="160">
        <f>'HVAC Deemed Table'!L177</f>
        <v>2</v>
      </c>
      <c r="AK152" s="2055"/>
      <c r="AL152" s="2055"/>
      <c r="AM152" s="2319"/>
      <c r="AO152" s="2318"/>
    </row>
    <row r="153" spans="2:41" s="2277" customFormat="1" x14ac:dyDescent="0.25">
      <c r="B153" s="2240" t="str">
        <f>'HVAC Deemed Table'!C179</f>
        <v>351184_2020_02_</v>
      </c>
      <c r="C153" s="208" t="str">
        <f>'HVAC Deemed Table'!G179</f>
        <v>Cooling RES</v>
      </c>
      <c r="D153" s="208"/>
      <c r="E153" s="208"/>
      <c r="F153" s="208"/>
      <c r="G153" s="208" t="str">
        <f>'HVAC Deemed Table'!E179</f>
        <v>CAC - SEER 20 ROF: MF</v>
      </c>
      <c r="H153" s="622" t="str">
        <f>'HVAC Deemed Table'!D179</f>
        <v>MF</v>
      </c>
      <c r="I153" s="2320">
        <f t="shared" si="102"/>
        <v>561.51</v>
      </c>
      <c r="J153" s="2320">
        <f t="shared" si="107"/>
        <v>0</v>
      </c>
      <c r="K153" s="2113">
        <f>'HVAC Deemed Table'!F179</f>
        <v>561.51</v>
      </c>
      <c r="L153" s="2113">
        <v>0</v>
      </c>
      <c r="M153" s="2113"/>
      <c r="N153" s="2113">
        <v>0</v>
      </c>
      <c r="O153" s="2321">
        <f t="shared" si="103"/>
        <v>0.53198500000000004</v>
      </c>
      <c r="P153" s="2321">
        <f t="shared" si="104"/>
        <v>0</v>
      </c>
      <c r="Q153" s="2086">
        <f>'HVAC Deemed Table'!I179</f>
        <v>0.53198500000000004</v>
      </c>
      <c r="R153" s="2086">
        <v>0</v>
      </c>
      <c r="S153" s="2086"/>
      <c r="T153" s="2086">
        <v>0</v>
      </c>
      <c r="U153" s="2087"/>
      <c r="V153" s="2087"/>
      <c r="W153" s="2087">
        <f t="shared" si="108"/>
        <v>0.53198500000000004</v>
      </c>
      <c r="X153" s="2121">
        <f>'HVAC Deemed Table'!J179</f>
        <v>18</v>
      </c>
      <c r="Y153" s="2121"/>
      <c r="Z153" s="2299">
        <f t="shared" si="94"/>
        <v>18</v>
      </c>
      <c r="AA153" s="2088">
        <f>'HVAC Deemed Table'!BB179</f>
        <v>0.84622918498639321</v>
      </c>
      <c r="AB153" s="2916">
        <f>'HVAC Deemed Table'!K179</f>
        <v>1239.9999999999995</v>
      </c>
      <c r="AC153" s="2090">
        <f t="shared" si="105"/>
        <v>990.39564830875622</v>
      </c>
      <c r="AD153" s="2090">
        <f t="shared" si="106"/>
        <v>0</v>
      </c>
      <c r="AE153" s="2956">
        <f>'HVAC Deemed Table'!BD179</f>
        <v>990.39564830875622</v>
      </c>
      <c r="AF153" s="2956"/>
      <c r="AG153" s="2956"/>
      <c r="AH153" s="2956"/>
      <c r="AI153" s="2263" t="str">
        <f t="shared" si="92"/>
        <v>per measure</v>
      </c>
      <c r="AJ153" s="160">
        <f>'HVAC Deemed Table'!L179</f>
        <v>2</v>
      </c>
      <c r="AK153" s="2055"/>
      <c r="AL153" s="2055"/>
      <c r="AM153" s="2319"/>
      <c r="AO153" s="2318"/>
    </row>
    <row r="154" spans="2:41" s="2277" customFormat="1" x14ac:dyDescent="0.25">
      <c r="B154" s="2240" t="str">
        <f>'HVAC Deemed Table'!C180</f>
        <v>351185_2020_02_</v>
      </c>
      <c r="C154" s="208" t="str">
        <f>'HVAC Deemed Table'!G180</f>
        <v>Cooling RES</v>
      </c>
      <c r="D154" s="208"/>
      <c r="E154" s="208"/>
      <c r="F154" s="208"/>
      <c r="G154" s="208" t="str">
        <f>'HVAC Deemed Table'!E180</f>
        <v>CAC - SEER 20 ROF: MF_CompE</v>
      </c>
      <c r="H154" s="622" t="str">
        <f>'HVAC Deemed Table'!D180</f>
        <v>MFc</v>
      </c>
      <c r="I154" s="2320">
        <f t="shared" si="102"/>
        <v>408.37</v>
      </c>
      <c r="J154" s="2320">
        <f t="shared" si="107"/>
        <v>0</v>
      </c>
      <c r="K154" s="2113">
        <f>'HVAC Deemed Table'!F180</f>
        <v>408.37</v>
      </c>
      <c r="L154" s="2113">
        <v>0</v>
      </c>
      <c r="M154" s="2113"/>
      <c r="N154" s="2113">
        <v>0</v>
      </c>
      <c r="O154" s="2321">
        <f t="shared" si="103"/>
        <v>0.38689699999999999</v>
      </c>
      <c r="P154" s="2321">
        <f t="shared" si="104"/>
        <v>0</v>
      </c>
      <c r="Q154" s="2086">
        <f>'HVAC Deemed Table'!I180</f>
        <v>0.38689699999999999</v>
      </c>
      <c r="R154" s="2086">
        <v>0</v>
      </c>
      <c r="S154" s="2086"/>
      <c r="T154" s="2086">
        <v>0</v>
      </c>
      <c r="U154" s="2087"/>
      <c r="V154" s="2087"/>
      <c r="W154" s="2087">
        <f t="shared" si="108"/>
        <v>0.38689699999999999</v>
      </c>
      <c r="X154" s="2121">
        <f>'HVAC Deemed Table'!J180</f>
        <v>18</v>
      </c>
      <c r="Y154" s="2121"/>
      <c r="Z154" s="2299">
        <f t="shared" si="94"/>
        <v>18</v>
      </c>
      <c r="AA154" s="2088">
        <f>'HVAC Deemed Table'!BB180</f>
        <v>0.61543803720840839</v>
      </c>
      <c r="AB154" s="2916">
        <f>'HVAC Deemed Table'!K180</f>
        <v>1239.9999999999995</v>
      </c>
      <c r="AC154" s="2090">
        <f t="shared" si="105"/>
        <v>720.28614076302608</v>
      </c>
      <c r="AD154" s="2090">
        <f t="shared" si="106"/>
        <v>0</v>
      </c>
      <c r="AE154" s="2956">
        <f>'HVAC Deemed Table'!BD180</f>
        <v>720.28614076302608</v>
      </c>
      <c r="AF154" s="2956"/>
      <c r="AG154" s="2956"/>
      <c r="AH154" s="2956"/>
      <c r="AI154" s="2263" t="str">
        <f t="shared" si="92"/>
        <v>per measure</v>
      </c>
      <c r="AJ154" s="160">
        <f>'HVAC Deemed Table'!L180</f>
        <v>2</v>
      </c>
      <c r="AK154" s="2055"/>
      <c r="AL154" s="2055"/>
      <c r="AM154" s="2319"/>
      <c r="AO154" s="2318"/>
    </row>
    <row r="155" spans="2:41" s="2277" customFormat="1" x14ac:dyDescent="0.25">
      <c r="B155" s="2240" t="str">
        <f>'HVAC Deemed Table'!C181</f>
        <v>351190_2020_02_</v>
      </c>
      <c r="C155" s="208" t="str">
        <f>'HVAC Deemed Table'!G181</f>
        <v>Cooling RES</v>
      </c>
      <c r="D155" s="208" t="str">
        <f>'HVAC Deemed Table'!G182</f>
        <v>Cooling RES ER2</v>
      </c>
      <c r="E155" s="208"/>
      <c r="F155" s="208"/>
      <c r="G155" s="208" t="str">
        <f>'HVAC Deemed Table'!E181</f>
        <v>CAC - SEER 21+ ER1: SF</v>
      </c>
      <c r="H155" s="622" t="str">
        <f>'HVAC Deemed Table'!D181</f>
        <v>SF</v>
      </c>
      <c r="I155" s="2320">
        <f t="shared" si="102"/>
        <v>2265.87</v>
      </c>
      <c r="J155" s="2320">
        <f t="shared" si="107"/>
        <v>916.75</v>
      </c>
      <c r="K155" s="2113">
        <f>'HVAC Deemed Table'!F181</f>
        <v>2265.87</v>
      </c>
      <c r="L155" s="2113">
        <v>0</v>
      </c>
      <c r="M155" s="2113">
        <f>'HVAC Deemed Table'!F182</f>
        <v>916.75</v>
      </c>
      <c r="N155" s="2113">
        <v>0</v>
      </c>
      <c r="O155" s="2321">
        <f t="shared" si="103"/>
        <v>2.1467260000000001</v>
      </c>
      <c r="P155" s="2321">
        <f t="shared" si="104"/>
        <v>0.86854600000000004</v>
      </c>
      <c r="Q155" s="2086">
        <f>'HVAC Deemed Table'!I181</f>
        <v>2.1467260000000001</v>
      </c>
      <c r="R155" s="2086">
        <v>0</v>
      </c>
      <c r="S155" s="2086">
        <f>'HVAC Deemed Table'!I182</f>
        <v>0.86854600000000004</v>
      </c>
      <c r="T155" s="2086">
        <v>0</v>
      </c>
      <c r="U155" s="2087"/>
      <c r="V155" s="2087"/>
      <c r="W155" s="2087">
        <f>P155</f>
        <v>0.86854600000000004</v>
      </c>
      <c r="X155" s="2121">
        <f>'HVAC Deemed Table'!J181</f>
        <v>6</v>
      </c>
      <c r="Y155" s="2121">
        <f>'HVAC Deemed Table'!J182</f>
        <v>12</v>
      </c>
      <c r="Z155" s="2299">
        <f t="shared" si="94"/>
        <v>18</v>
      </c>
      <c r="AA155" s="2088">
        <f>'HVAC Deemed Table'!BB181</f>
        <v>1.343568439495147</v>
      </c>
      <c r="AB155" s="2916">
        <f>'HVAC Deemed Table'!K181</f>
        <v>1893.7253593520759</v>
      </c>
      <c r="AC155" s="2090">
        <f t="shared" si="105"/>
        <v>1317.5675202695452</v>
      </c>
      <c r="AD155" s="2090">
        <f t="shared" si="106"/>
        <v>1083.8950808602849</v>
      </c>
      <c r="AE155" s="2956">
        <f>'HVAC Deemed Table'!BD181</f>
        <v>1317.5675202695452</v>
      </c>
      <c r="AF155" s="2956"/>
      <c r="AG155" s="2956">
        <f>'HVAC Deemed Table'!BD182</f>
        <v>1083.8950808602849</v>
      </c>
      <c r="AH155" s="2956"/>
      <c r="AI155" s="2263" t="str">
        <f t="shared" si="92"/>
        <v>per measure</v>
      </c>
      <c r="AJ155" s="160">
        <f>'HVAC Deemed Table'!L181</f>
        <v>3</v>
      </c>
      <c r="AK155" s="2055"/>
      <c r="AL155" s="2055"/>
      <c r="AM155" s="2319"/>
      <c r="AO155" s="2318"/>
    </row>
    <row r="156" spans="2:41" s="2277" customFormat="1" x14ac:dyDescent="0.25">
      <c r="B156" s="2240" t="str">
        <f>'HVAC Deemed Table'!C183</f>
        <v>351191_2020_02_</v>
      </c>
      <c r="C156" s="208" t="str">
        <f>'HVAC Deemed Table'!G183</f>
        <v>Cooling RES</v>
      </c>
      <c r="D156" s="208"/>
      <c r="E156" s="208"/>
      <c r="F156" s="208"/>
      <c r="G156" s="208" t="str">
        <f>'HVAC Deemed Table'!E183</f>
        <v>CAC - SEER 21+ ROF: SF</v>
      </c>
      <c r="H156" s="622" t="str">
        <f>'HVAC Deemed Table'!D183</f>
        <v>SF</v>
      </c>
      <c r="I156" s="2320">
        <f t="shared" si="102"/>
        <v>916.75</v>
      </c>
      <c r="J156" s="2320">
        <f t="shared" si="107"/>
        <v>0</v>
      </c>
      <c r="K156" s="2113">
        <f>'HVAC Deemed Table'!F183</f>
        <v>916.75</v>
      </c>
      <c r="L156" s="2113">
        <v>0</v>
      </c>
      <c r="M156" s="2113"/>
      <c r="N156" s="2113">
        <v>0</v>
      </c>
      <c r="O156" s="2321">
        <f t="shared" si="103"/>
        <v>0.86854600000000004</v>
      </c>
      <c r="P156" s="2321">
        <f t="shared" si="104"/>
        <v>0</v>
      </c>
      <c r="Q156" s="2086">
        <f>'HVAC Deemed Table'!I183</f>
        <v>0.86854600000000004</v>
      </c>
      <c r="R156" s="2086">
        <v>0</v>
      </c>
      <c r="S156" s="2086"/>
      <c r="T156" s="2086">
        <v>0</v>
      </c>
      <c r="U156" s="2087"/>
      <c r="V156" s="2087"/>
      <c r="W156" s="2087">
        <f t="shared" si="108"/>
        <v>0.86854600000000004</v>
      </c>
      <c r="X156" s="2121">
        <f>'HVAC Deemed Table'!J183</f>
        <v>18</v>
      </c>
      <c r="Y156" s="2121"/>
      <c r="Z156" s="2299">
        <f t="shared" si="94"/>
        <v>18</v>
      </c>
      <c r="AA156" s="2088">
        <f>'HVAC Deemed Table'!BB183</f>
        <v>1.1842261127565865</v>
      </c>
      <c r="AB156" s="2916">
        <f>'HVAC Deemed Table'!K183</f>
        <v>1446.6666666666663</v>
      </c>
      <c r="AC156" s="2090">
        <f t="shared" si="105"/>
        <v>1616.9706872309528</v>
      </c>
      <c r="AD156" s="2090">
        <f t="shared" si="106"/>
        <v>0</v>
      </c>
      <c r="AE156" s="2956">
        <f>'HVAC Deemed Table'!BD183</f>
        <v>1616.9706872309528</v>
      </c>
      <c r="AF156" s="2956"/>
      <c r="AG156" s="2956"/>
      <c r="AH156" s="2956"/>
      <c r="AI156" s="2263" t="str">
        <f t="shared" si="92"/>
        <v>per measure</v>
      </c>
      <c r="AJ156" s="160">
        <f>'HVAC Deemed Table'!L183</f>
        <v>3</v>
      </c>
      <c r="AK156" s="2055"/>
      <c r="AL156" s="2055"/>
      <c r="AM156" s="2319"/>
      <c r="AO156" s="2318"/>
    </row>
    <row r="157" spans="2:41" s="2277" customFormat="1" x14ac:dyDescent="0.25">
      <c r="B157" s="2240" t="str">
        <f>'HVAC Deemed Table'!C184</f>
        <v>351192_2020_02_</v>
      </c>
      <c r="C157" s="208" t="str">
        <f>'HVAC Deemed Table'!G184</f>
        <v>Cooling RES</v>
      </c>
      <c r="D157" s="208" t="str">
        <f>'HVAC Deemed Table'!G185</f>
        <v>Cooling RES ER2</v>
      </c>
      <c r="E157" s="208"/>
      <c r="F157" s="208"/>
      <c r="G157" s="208" t="str">
        <f>'HVAC Deemed Table'!E184</f>
        <v>CAC - SEER 21+ ER1: MF</v>
      </c>
      <c r="H157" s="622" t="str">
        <f>'HVAC Deemed Table'!D184</f>
        <v>MF</v>
      </c>
      <c r="I157" s="2320">
        <f t="shared" si="102"/>
        <v>1510.58</v>
      </c>
      <c r="J157" s="2320">
        <f t="shared" si="107"/>
        <v>611.16</v>
      </c>
      <c r="K157" s="2113">
        <f>'HVAC Deemed Table'!F184</f>
        <v>1510.58</v>
      </c>
      <c r="L157" s="2113">
        <v>0</v>
      </c>
      <c r="M157" s="2113">
        <f>'HVAC Deemed Table'!F185</f>
        <v>611.16</v>
      </c>
      <c r="N157" s="2113">
        <v>0</v>
      </c>
      <c r="O157" s="2321">
        <f t="shared" si="103"/>
        <v>1.4311510000000001</v>
      </c>
      <c r="P157" s="2321">
        <f t="shared" si="104"/>
        <v>0.57902399999999998</v>
      </c>
      <c r="Q157" s="2086">
        <f>'HVAC Deemed Table'!I184</f>
        <v>1.4311510000000001</v>
      </c>
      <c r="R157" s="2086">
        <v>0</v>
      </c>
      <c r="S157" s="2086">
        <f>'HVAC Deemed Table'!I185</f>
        <v>0.57902399999999998</v>
      </c>
      <c r="T157" s="2086">
        <v>0</v>
      </c>
      <c r="U157" s="2087"/>
      <c r="V157" s="2087"/>
      <c r="W157" s="2087">
        <f>P157</f>
        <v>0.57902399999999998</v>
      </c>
      <c r="X157" s="2121">
        <f>'HVAC Deemed Table'!J184</f>
        <v>6</v>
      </c>
      <c r="Y157" s="2121">
        <f>'HVAC Deemed Table'!J185</f>
        <v>12</v>
      </c>
      <c r="Z157" s="2299">
        <f t="shared" si="94"/>
        <v>18</v>
      </c>
      <c r="AA157" s="2088">
        <f>'HVAC Deemed Table'!BB184</f>
        <v>0.97221247131016508</v>
      </c>
      <c r="AB157" s="2916">
        <f>'HVAC Deemed Table'!K184</f>
        <v>1744.7057951236061</v>
      </c>
      <c r="AC157" s="2090">
        <f t="shared" si="105"/>
        <v>878.37834684636346</v>
      </c>
      <c r="AD157" s="2090">
        <f t="shared" si="106"/>
        <v>722.58883841676766</v>
      </c>
      <c r="AE157" s="2956">
        <f>'HVAC Deemed Table'!BD184</f>
        <v>878.37834684636346</v>
      </c>
      <c r="AF157" s="2956"/>
      <c r="AG157" s="2956">
        <f>'HVAC Deemed Table'!BD185</f>
        <v>722.58883841676766</v>
      </c>
      <c r="AH157" s="2956"/>
      <c r="AI157" s="2263" t="str">
        <f t="shared" si="92"/>
        <v>per measure</v>
      </c>
      <c r="AJ157" s="160">
        <f>'HVAC Deemed Table'!L184</f>
        <v>2</v>
      </c>
      <c r="AK157" s="2055"/>
      <c r="AL157" s="2055"/>
      <c r="AM157" s="2319"/>
      <c r="AO157" s="2318"/>
    </row>
    <row r="158" spans="2:41" s="2277" customFormat="1" x14ac:dyDescent="0.25">
      <c r="B158" s="2240" t="str">
        <f>'HVAC Deemed Table'!C186</f>
        <v>351193_2020_02_</v>
      </c>
      <c r="C158" s="208" t="str">
        <f>'HVAC Deemed Table'!G186</f>
        <v>Cooling RES</v>
      </c>
      <c r="D158" s="208" t="str">
        <f>'HVAC Deemed Table'!G187</f>
        <v>Cooling RES ER2</v>
      </c>
      <c r="E158" s="208"/>
      <c r="F158" s="208"/>
      <c r="G158" s="208" t="str">
        <f>'HVAC Deemed Table'!E186</f>
        <v>CAC - SEER 21+ ER1: MF_CompE</v>
      </c>
      <c r="H158" s="622" t="str">
        <f>'HVAC Deemed Table'!D186</f>
        <v>MFc</v>
      </c>
      <c r="I158" s="2320">
        <f t="shared" si="102"/>
        <v>1098.5999999999999</v>
      </c>
      <c r="J158" s="2320">
        <f t="shared" si="107"/>
        <v>444.48</v>
      </c>
      <c r="K158" s="2113">
        <f>'HVAC Deemed Table'!F186</f>
        <v>1098.5999999999999</v>
      </c>
      <c r="L158" s="2113">
        <v>0</v>
      </c>
      <c r="M158" s="2113">
        <f>'HVAC Deemed Table'!F187</f>
        <v>444.48</v>
      </c>
      <c r="N158" s="2113">
        <v>0</v>
      </c>
      <c r="O158" s="2321">
        <f t="shared" si="103"/>
        <v>1.040834</v>
      </c>
      <c r="P158" s="2321">
        <f t="shared" si="104"/>
        <v>0.42110799999999998</v>
      </c>
      <c r="Q158" s="2086">
        <f>'HVAC Deemed Table'!I186</f>
        <v>1.040834</v>
      </c>
      <c r="R158" s="2086">
        <v>0</v>
      </c>
      <c r="S158" s="2086">
        <f>'HVAC Deemed Table'!I187</f>
        <v>0.42110799999999998</v>
      </c>
      <c r="T158" s="2086">
        <v>0</v>
      </c>
      <c r="U158" s="2087"/>
      <c r="V158" s="2087"/>
      <c r="W158" s="2087">
        <f>P158</f>
        <v>0.42110799999999998</v>
      </c>
      <c r="X158" s="2121">
        <f>'HVAC Deemed Table'!J186</f>
        <v>6</v>
      </c>
      <c r="Y158" s="2121">
        <f>'HVAC Deemed Table'!J187</f>
        <v>12</v>
      </c>
      <c r="Z158" s="2299">
        <f t="shared" si="94"/>
        <v>18</v>
      </c>
      <c r="AA158" s="2088">
        <f>'HVAC Deemed Table'!BB186</f>
        <v>0.70706233144233133</v>
      </c>
      <c r="AB158" s="2916">
        <f>'HVAC Deemed Table'!K186</f>
        <v>1744.7057951236061</v>
      </c>
      <c r="AC158" s="2090">
        <f t="shared" si="105"/>
        <v>638.8185014003991</v>
      </c>
      <c r="AD158" s="2090">
        <f t="shared" si="106"/>
        <v>525.51915521219473</v>
      </c>
      <c r="AE158" s="2956">
        <f>'HVAC Deemed Table'!BD186</f>
        <v>638.8185014003991</v>
      </c>
      <c r="AF158" s="2956"/>
      <c r="AG158" s="2956">
        <f>'HVAC Deemed Table'!BD187</f>
        <v>525.51915521219473</v>
      </c>
      <c r="AH158" s="2956"/>
      <c r="AI158" s="2263" t="str">
        <f t="shared" si="92"/>
        <v>per measure</v>
      </c>
      <c r="AJ158" s="160">
        <f>'HVAC Deemed Table'!L186</f>
        <v>2</v>
      </c>
      <c r="AK158" s="2055"/>
      <c r="AL158" s="2055"/>
      <c r="AM158" s="2319"/>
      <c r="AO158" s="2318"/>
    </row>
    <row r="159" spans="2:41" s="2277" customFormat="1" x14ac:dyDescent="0.25">
      <c r="B159" s="2240" t="str">
        <f>'HVAC Deemed Table'!C188</f>
        <v>351194_2020_02_</v>
      </c>
      <c r="C159" s="208" t="str">
        <f>'HVAC Deemed Table'!G188</f>
        <v>Cooling RES</v>
      </c>
      <c r="D159" s="208"/>
      <c r="E159" s="208"/>
      <c r="F159" s="208"/>
      <c r="G159" s="208" t="str">
        <f>'HVAC Deemed Table'!E188</f>
        <v>CAC - SEER 21+ ROF: MF</v>
      </c>
      <c r="H159" s="622" t="str">
        <f>'HVAC Deemed Table'!D188</f>
        <v>MF</v>
      </c>
      <c r="I159" s="2320">
        <f t="shared" si="102"/>
        <v>611.16</v>
      </c>
      <c r="J159" s="2320">
        <f t="shared" si="107"/>
        <v>0</v>
      </c>
      <c r="K159" s="2113">
        <f>'HVAC Deemed Table'!F188</f>
        <v>611.16</v>
      </c>
      <c r="L159" s="2113">
        <v>0</v>
      </c>
      <c r="M159" s="2113"/>
      <c r="N159" s="2113">
        <v>0</v>
      </c>
      <c r="O159" s="2321">
        <f t="shared" si="103"/>
        <v>0.57902399999999998</v>
      </c>
      <c r="P159" s="2321">
        <f t="shared" si="104"/>
        <v>0</v>
      </c>
      <c r="Q159" s="2086">
        <f>'HVAC Deemed Table'!I188</f>
        <v>0.57902399999999998</v>
      </c>
      <c r="R159" s="2086">
        <v>0</v>
      </c>
      <c r="S159" s="2086"/>
      <c r="T159" s="2086">
        <v>0</v>
      </c>
      <c r="U159" s="2087"/>
      <c r="V159" s="2087"/>
      <c r="W159" s="2087">
        <f t="shared" si="108"/>
        <v>0.57902399999999998</v>
      </c>
      <c r="X159" s="2121">
        <f>'HVAC Deemed Table'!J188</f>
        <v>18</v>
      </c>
      <c r="Y159" s="2121"/>
      <c r="Z159" s="2299">
        <f t="shared" si="94"/>
        <v>18</v>
      </c>
      <c r="AA159" s="2088">
        <f>'HVAC Deemed Table'!BB188</f>
        <v>0.78947546340039865</v>
      </c>
      <c r="AB159" s="2916">
        <f>'HVAC Deemed Table'!K188</f>
        <v>1446.6666666666663</v>
      </c>
      <c r="AC159" s="2090">
        <f t="shared" si="105"/>
        <v>1077.9686994361266</v>
      </c>
      <c r="AD159" s="2090">
        <f t="shared" si="106"/>
        <v>0</v>
      </c>
      <c r="AE159" s="2956">
        <f>'HVAC Deemed Table'!BD188</f>
        <v>1077.9686994361266</v>
      </c>
      <c r="AF159" s="2956"/>
      <c r="AG159" s="2956"/>
      <c r="AH159" s="2956"/>
      <c r="AI159" s="2263" t="str">
        <f t="shared" si="92"/>
        <v>per measure</v>
      </c>
      <c r="AJ159" s="160">
        <f>'HVAC Deemed Table'!L188</f>
        <v>2</v>
      </c>
      <c r="AK159" s="2055"/>
      <c r="AL159" s="2055"/>
      <c r="AM159" s="2319"/>
      <c r="AO159" s="2318"/>
    </row>
    <row r="160" spans="2:41" s="2277" customFormat="1" x14ac:dyDescent="0.25">
      <c r="B160" s="2240" t="str">
        <f>'HVAC Deemed Table'!C189</f>
        <v>351195_2020_02_</v>
      </c>
      <c r="C160" s="208" t="str">
        <f>'HVAC Deemed Table'!G189</f>
        <v>Cooling RES</v>
      </c>
      <c r="D160" s="208"/>
      <c r="E160" s="208"/>
      <c r="F160" s="208"/>
      <c r="G160" s="208" t="str">
        <f>'HVAC Deemed Table'!E189</f>
        <v>CAC - SEER 21+ ROF: MF_CompE</v>
      </c>
      <c r="H160" s="622" t="str">
        <f>'HVAC Deemed Table'!D189</f>
        <v>MFc</v>
      </c>
      <c r="I160" s="2320">
        <f t="shared" si="102"/>
        <v>444.48</v>
      </c>
      <c r="J160" s="2320">
        <f t="shared" si="107"/>
        <v>0</v>
      </c>
      <c r="K160" s="2113">
        <f>'HVAC Deemed Table'!F189</f>
        <v>444.48</v>
      </c>
      <c r="L160" s="2113">
        <v>0</v>
      </c>
      <c r="M160" s="2113"/>
      <c r="N160" s="2113">
        <v>0</v>
      </c>
      <c r="O160" s="2321">
        <f t="shared" si="103"/>
        <v>0.42110799999999998</v>
      </c>
      <c r="P160" s="2321">
        <f t="shared" si="104"/>
        <v>0</v>
      </c>
      <c r="Q160" s="2086">
        <f>'HVAC Deemed Table'!I189</f>
        <v>0.42110799999999998</v>
      </c>
      <c r="R160" s="2086">
        <v>0</v>
      </c>
      <c r="S160" s="2086"/>
      <c r="T160" s="2086">
        <v>0</v>
      </c>
      <c r="U160" s="2087"/>
      <c r="V160" s="2087"/>
      <c r="W160" s="2087">
        <f t="shared" si="108"/>
        <v>0.42110799999999998</v>
      </c>
      <c r="X160" s="2121">
        <f>'HVAC Deemed Table'!J189</f>
        <v>18</v>
      </c>
      <c r="Y160" s="2121"/>
      <c r="Z160" s="2299">
        <f t="shared" si="94"/>
        <v>18</v>
      </c>
      <c r="AA160" s="2088">
        <f>'HVAC Deemed Table'!BB189</f>
        <v>0.57416397338210812</v>
      </c>
      <c r="AB160" s="2916">
        <f>'HVAC Deemed Table'!K189</f>
        <v>1446.6666666666663</v>
      </c>
      <c r="AC160" s="2090">
        <f t="shared" si="105"/>
        <v>783.97723595354671</v>
      </c>
      <c r="AD160" s="2090">
        <f t="shared" si="106"/>
        <v>0</v>
      </c>
      <c r="AE160" s="2956">
        <f>'HVAC Deemed Table'!BD189</f>
        <v>783.97723595354671</v>
      </c>
      <c r="AF160" s="2956"/>
      <c r="AG160" s="2956"/>
      <c r="AH160" s="2956"/>
      <c r="AI160" s="2263" t="str">
        <f t="shared" si="92"/>
        <v>per measure</v>
      </c>
      <c r="AJ160" s="160">
        <f>'HVAC Deemed Table'!L189</f>
        <v>2</v>
      </c>
      <c r="AK160" s="2055"/>
      <c r="AL160" s="2055"/>
      <c r="AM160" s="2319"/>
      <c r="AO160" s="2318"/>
    </row>
    <row r="161" spans="2:41" x14ac:dyDescent="0.25">
      <c r="B161" s="2240" t="str">
        <f>'HVAC Deemed Table'!C784</f>
        <v>351200_2019_12_</v>
      </c>
      <c r="C161" s="208" t="str">
        <f>'HVAC Deemed Table'!G784</f>
        <v>Cooling RES</v>
      </c>
      <c r="D161" s="208" t="str">
        <f>'HVAC Deemed Table'!G785</f>
        <v>Cooling RES ER2</v>
      </c>
      <c r="E161" s="208"/>
      <c r="F161" s="208"/>
      <c r="G161" s="208" t="str">
        <f>'HVAC Deemed Table'!E784</f>
        <v>Ductless AC - ER1 SF</v>
      </c>
      <c r="H161" s="622" t="str">
        <f>'HVAC Deemed Table'!D784</f>
        <v>SF</v>
      </c>
      <c r="I161" s="2091">
        <f t="shared" si="99"/>
        <v>1320.98</v>
      </c>
      <c r="J161" s="2091">
        <f t="shared" si="100"/>
        <v>385.92</v>
      </c>
      <c r="K161" s="2113">
        <f>'HVAC Deemed Table'!F784</f>
        <v>1320.98</v>
      </c>
      <c r="L161" s="2113"/>
      <c r="M161" s="2113">
        <f>'HVAC Deemed Table'!F785</f>
        <v>385.92</v>
      </c>
      <c r="N161" s="2113">
        <v>0</v>
      </c>
      <c r="O161" s="2092">
        <f t="shared" si="97"/>
        <v>1.25152</v>
      </c>
      <c r="P161" s="2092">
        <f t="shared" si="98"/>
        <v>0.36562800000000001</v>
      </c>
      <c r="Q161" s="2086">
        <f>'HVAC Deemed Table'!I784</f>
        <v>1.25152</v>
      </c>
      <c r="R161" s="2086"/>
      <c r="S161" s="2086">
        <f>'HVAC Deemed Table'!I785</f>
        <v>0.36562800000000001</v>
      </c>
      <c r="T161" s="2086"/>
      <c r="U161" s="2087"/>
      <c r="V161" s="2087"/>
      <c r="W161" s="2095">
        <f>P161</f>
        <v>0.36562800000000001</v>
      </c>
      <c r="X161" s="2121">
        <f>'HVAC Deemed Table'!J784</f>
        <v>6</v>
      </c>
      <c r="Y161" s="2121">
        <f>'HVAC Deemed Table'!J785</f>
        <v>12</v>
      </c>
      <c r="Z161" s="88">
        <f t="shared" si="94"/>
        <v>18</v>
      </c>
      <c r="AA161" s="2088">
        <f>'HVAC Deemed Table'!BB784</f>
        <v>1.0536928432039632</v>
      </c>
      <c r="AB161" s="2916">
        <f>'HVAC Deemed Table'!K784</f>
        <v>1231.1592671062349</v>
      </c>
      <c r="AC161" s="2090">
        <f t="shared" si="95"/>
        <v>768.12894955388606</v>
      </c>
      <c r="AD161" s="2090">
        <f t="shared" si="96"/>
        <v>456.28229027063122</v>
      </c>
      <c r="AE161" s="2956">
        <f>'HVAC Deemed Table'!BD784</f>
        <v>768.12894955388606</v>
      </c>
      <c r="AF161" s="2956"/>
      <c r="AG161" s="2956">
        <f>'HVAC Deemed Table'!BD785</f>
        <v>456.28229027063122</v>
      </c>
      <c r="AH161" s="2956">
        <v>0</v>
      </c>
      <c r="AI161" s="2263" t="str">
        <f t="shared" si="92"/>
        <v>per measure</v>
      </c>
      <c r="AJ161" s="2240">
        <f>'HVAC Deemed Table'!L784</f>
        <v>1.3125</v>
      </c>
      <c r="AK161" s="2055"/>
      <c r="AL161" s="2055"/>
      <c r="AM161" s="2057">
        <f t="shared" ref="AM161:AM192" si="109">VLOOKUP(C161,$AS$10:$AT$32,2,FALSE)</f>
        <v>9.4741810000000004E-4</v>
      </c>
      <c r="AN161">
        <f>AM161*I161</f>
        <v>1.251520361738</v>
      </c>
      <c r="AO161" s="2048">
        <f t="shared" si="71"/>
        <v>3.6173799999872358E-7</v>
      </c>
    </row>
    <row r="162" spans="2:41" x14ac:dyDescent="0.25">
      <c r="B162" s="2240" t="str">
        <f>'HVAC Deemed Table'!C786</f>
        <v>351250_2019_12_</v>
      </c>
      <c r="C162" s="208" t="str">
        <f>'HVAC Deemed Table'!G786</f>
        <v>Cooling RES</v>
      </c>
      <c r="D162" s="208"/>
      <c r="E162" s="208"/>
      <c r="F162" s="208"/>
      <c r="G162" s="208" t="str">
        <f>'HVAC Deemed Table'!E786</f>
        <v>Ductless AC - ROF SF</v>
      </c>
      <c r="H162" s="622" t="str">
        <f>'HVAC Deemed Table'!D786</f>
        <v>SF</v>
      </c>
      <c r="I162" s="2091">
        <f t="shared" si="99"/>
        <v>332.95</v>
      </c>
      <c r="J162" s="2091">
        <f t="shared" si="100"/>
        <v>0</v>
      </c>
      <c r="K162" s="2113">
        <f>'HVAC Deemed Table'!F786</f>
        <v>332.95</v>
      </c>
      <c r="L162" s="2113"/>
      <c r="M162" s="2113"/>
      <c r="N162" s="2113">
        <v>0</v>
      </c>
      <c r="O162" s="2092">
        <f t="shared" si="97"/>
        <v>0.31544299999999997</v>
      </c>
      <c r="P162" s="2092">
        <f t="shared" si="98"/>
        <v>0</v>
      </c>
      <c r="Q162" s="2086">
        <f>'HVAC Deemed Table'!I786</f>
        <v>0.31544299999999997</v>
      </c>
      <c r="R162" s="2086"/>
      <c r="S162" s="2086"/>
      <c r="T162" s="2086"/>
      <c r="U162" s="2087"/>
      <c r="V162" s="2087"/>
      <c r="W162" s="2087">
        <f>Q162</f>
        <v>0.31544299999999997</v>
      </c>
      <c r="X162" s="2121">
        <f>'HVAC Deemed Table'!J786</f>
        <v>18</v>
      </c>
      <c r="Y162" s="2121"/>
      <c r="Z162" s="88">
        <f t="shared" si="94"/>
        <v>18</v>
      </c>
      <c r="AA162" s="2088">
        <f>'HVAC Deemed Table'!BB786</f>
        <v>1.8517908389406215</v>
      </c>
      <c r="AB162" s="2916">
        <f>'HVAC Deemed Table'!K786</f>
        <v>336</v>
      </c>
      <c r="AC162" s="2090">
        <f t="shared" si="95"/>
        <v>587.25976581788461</v>
      </c>
      <c r="AD162" s="2090">
        <f t="shared" si="96"/>
        <v>0</v>
      </c>
      <c r="AE162" s="2956">
        <f>'HVAC Deemed Table'!BD786</f>
        <v>587.25976581788461</v>
      </c>
      <c r="AF162" s="2956"/>
      <c r="AG162" s="2956"/>
      <c r="AH162" s="2956">
        <v>0</v>
      </c>
      <c r="AI162" s="2263" t="str">
        <f t="shared" si="92"/>
        <v>per measure</v>
      </c>
      <c r="AJ162" s="2240">
        <f>'HVAC Deemed Table'!L786</f>
        <v>1.3125</v>
      </c>
      <c r="AK162" s="2055"/>
      <c r="AL162" s="2055"/>
      <c r="AM162" s="2057">
        <f t="shared" si="109"/>
        <v>9.4741810000000004E-4</v>
      </c>
      <c r="AN162">
        <f>AM162*I162</f>
        <v>0.31544285639500003</v>
      </c>
      <c r="AO162" s="2048">
        <f t="shared" si="71"/>
        <v>-1.4360499994703346E-7</v>
      </c>
    </row>
    <row r="163" spans="2:41" x14ac:dyDescent="0.25">
      <c r="B163" s="2240" t="str">
        <f>'HVAC Deemed Table'!C787</f>
        <v>351300_2019_12_</v>
      </c>
      <c r="C163" s="208" t="str">
        <f>'HVAC Deemed Table'!G787</f>
        <v>Cooling RES</v>
      </c>
      <c r="D163" s="208" t="str">
        <f>'HVAC Deemed Table'!G788</f>
        <v>Heating RES</v>
      </c>
      <c r="E163" s="208"/>
      <c r="F163" s="208"/>
      <c r="G163" s="208" t="str">
        <f>'HVAC Deemed Table'!E787</f>
        <v>Ductless ASHP - ROF SF NC</v>
      </c>
      <c r="H163" s="622" t="str">
        <f>'HVAC Deemed Table'!D787</f>
        <v>SF</v>
      </c>
      <c r="I163" s="2091">
        <f t="shared" ref="I163:I181" si="110">K163+L163</f>
        <v>728.76</v>
      </c>
      <c r="J163" s="2091">
        <f t="shared" ref="J163:J181" si="111">M163+N163</f>
        <v>0</v>
      </c>
      <c r="K163" s="2113">
        <f>'HVAC Deemed Table'!F787</f>
        <v>214.85</v>
      </c>
      <c r="L163" s="2113">
        <f>'HVAC Deemed Table'!F788</f>
        <v>513.91</v>
      </c>
      <c r="M163" s="2113">
        <v>0</v>
      </c>
      <c r="N163" s="2113">
        <v>0</v>
      </c>
      <c r="O163" s="2092">
        <f t="shared" ref="O163:O181" si="112">Q163+R163</f>
        <v>0.20355300000000001</v>
      </c>
      <c r="P163" s="2092">
        <f t="shared" ref="P163:P181" si="113">S163+T163</f>
        <v>0</v>
      </c>
      <c r="Q163" s="2086">
        <f>'HVAC Deemed Table'!I787</f>
        <v>0.20355300000000001</v>
      </c>
      <c r="R163" s="2086">
        <f>'HVAC Deemed Table'!I788</f>
        <v>0</v>
      </c>
      <c r="S163" s="2086"/>
      <c r="T163" s="2086"/>
      <c r="U163" s="2087"/>
      <c r="V163" s="2087"/>
      <c r="W163" s="2087">
        <f>O163</f>
        <v>0.20355300000000001</v>
      </c>
      <c r="X163" s="2121">
        <f>'HVAC Deemed Table'!J787</f>
        <v>18</v>
      </c>
      <c r="Y163" s="2121"/>
      <c r="Z163" s="88">
        <f t="shared" si="94"/>
        <v>18</v>
      </c>
      <c r="AA163" s="2088">
        <f>'HVAC Deemed Table'!BB787</f>
        <v>1.9436425810497631</v>
      </c>
      <c r="AB163" s="2916">
        <f>'HVAC Deemed Table'!K787</f>
        <v>336</v>
      </c>
      <c r="AC163" s="2090">
        <f t="shared" si="95"/>
        <v>616.38877511346891</v>
      </c>
      <c r="AD163" s="2090">
        <f t="shared" si="96"/>
        <v>0</v>
      </c>
      <c r="AE163" s="2956">
        <f>'HVAC Deemed Table'!BD787</f>
        <v>378.95407924905396</v>
      </c>
      <c r="AF163" s="2956">
        <f>'HVAC Deemed Table'!BD788</f>
        <v>237.43469586441489</v>
      </c>
      <c r="AG163" s="2956">
        <v>0</v>
      </c>
      <c r="AH163" s="2956">
        <v>0</v>
      </c>
      <c r="AI163" s="2263" t="str">
        <f t="shared" si="92"/>
        <v>per measure</v>
      </c>
      <c r="AJ163" s="2240">
        <f>'HVAC Deemed Table'!L787</f>
        <v>1.5</v>
      </c>
      <c r="AK163" s="2055"/>
      <c r="AL163" s="2055"/>
      <c r="AM163" s="2057">
        <f t="shared" si="109"/>
        <v>9.4741810000000004E-4</v>
      </c>
      <c r="AN163" s="132">
        <f>AM163*K163</f>
        <v>0.203552778785</v>
      </c>
      <c r="AO163" s="2048">
        <f t="shared" si="71"/>
        <v>-2.2121500001248684E-7</v>
      </c>
    </row>
    <row r="164" spans="2:41" x14ac:dyDescent="0.25">
      <c r="B164" s="2240" t="str">
        <f>'HVAC Deemed Table'!C789</f>
        <v>351350_2019_12_</v>
      </c>
      <c r="C164" s="208" t="str">
        <f>'HVAC Deemed Table'!G789</f>
        <v>Cooling RES</v>
      </c>
      <c r="D164" s="208" t="str">
        <f>'HVAC Deemed Table'!G790</f>
        <v>Heating RES</v>
      </c>
      <c r="E164" s="208"/>
      <c r="F164" s="208"/>
      <c r="G164" s="208" t="str">
        <f>'HVAC Deemed Table'!E789</f>
        <v>Ductless ASHP - ROF SF</v>
      </c>
      <c r="H164" s="622" t="str">
        <f>'HVAC Deemed Table'!D789</f>
        <v>SF</v>
      </c>
      <c r="I164" s="2091">
        <f t="shared" si="110"/>
        <v>898.12000000000012</v>
      </c>
      <c r="J164" s="2091">
        <f t="shared" si="111"/>
        <v>0</v>
      </c>
      <c r="K164" s="2113">
        <f>'HVAC Deemed Table'!F789</f>
        <v>312.66000000000003</v>
      </c>
      <c r="L164" s="2113">
        <f>'HVAC Deemed Table'!F790</f>
        <v>585.46</v>
      </c>
      <c r="M164" s="2113">
        <v>0</v>
      </c>
      <c r="N164" s="2113">
        <v>0</v>
      </c>
      <c r="O164" s="2092">
        <f t="shared" si="112"/>
        <v>0.29621999999999998</v>
      </c>
      <c r="P164" s="2092">
        <f t="shared" si="113"/>
        <v>0</v>
      </c>
      <c r="Q164" s="2086">
        <f>'HVAC Deemed Table'!I789</f>
        <v>0.29621999999999998</v>
      </c>
      <c r="R164" s="2086">
        <f>'HVAC Deemed Table'!I790</f>
        <v>0</v>
      </c>
      <c r="S164" s="2086"/>
      <c r="T164" s="2086"/>
      <c r="U164" s="2087"/>
      <c r="V164" s="2087"/>
      <c r="W164" s="2087">
        <f>O164</f>
        <v>0.29621999999999998</v>
      </c>
      <c r="X164" s="2121">
        <f>'HVAC Deemed Table'!J789</f>
        <v>18</v>
      </c>
      <c r="Y164" s="2121"/>
      <c r="Z164" s="88">
        <f t="shared" si="94"/>
        <v>18</v>
      </c>
      <c r="AA164" s="2088">
        <f>'HVAC Deemed Table'!BB789</f>
        <v>2.5918777306338989</v>
      </c>
      <c r="AB164" s="2916">
        <f>'HVAC Deemed Table'!K789</f>
        <v>336</v>
      </c>
      <c r="AC164" s="2090">
        <f t="shared" si="95"/>
        <v>821.96405615194897</v>
      </c>
      <c r="AD164" s="2090">
        <f t="shared" si="96"/>
        <v>0</v>
      </c>
      <c r="AE164" s="2956">
        <f>'HVAC Deemed Table'!BD789</f>
        <v>551.47210806613555</v>
      </c>
      <c r="AF164" s="2956">
        <f>'HVAC Deemed Table'!BD790</f>
        <v>270.49194808581342</v>
      </c>
      <c r="AG164" s="2956">
        <v>0</v>
      </c>
      <c r="AH164" s="2956">
        <v>0</v>
      </c>
      <c r="AI164" s="2263" t="str">
        <f t="shared" si="92"/>
        <v>per measure</v>
      </c>
      <c r="AJ164" s="2240">
        <f>'HVAC Deemed Table'!L789</f>
        <v>1.5</v>
      </c>
      <c r="AK164" s="2055"/>
      <c r="AL164" s="2055"/>
      <c r="AM164" s="2057">
        <f t="shared" si="109"/>
        <v>9.4741810000000004E-4</v>
      </c>
      <c r="AN164" s="132">
        <f>AM164*K164</f>
        <v>0.29621974314600003</v>
      </c>
      <c r="AO164" s="2048">
        <f t="shared" si="71"/>
        <v>-2.5685399995811764E-7</v>
      </c>
    </row>
    <row r="165" spans="2:41" x14ac:dyDescent="0.25">
      <c r="B165" s="2240" t="str">
        <f>'HVAC Deemed Table'!C791</f>
        <v>351400_2019_12_</v>
      </c>
      <c r="C165" s="208" t="str">
        <f>'HVAC Deemed Table'!G791</f>
        <v>Cooling RES</v>
      </c>
      <c r="D165" s="208" t="str">
        <f>'HVAC Deemed Table'!G792</f>
        <v>Heating RES</v>
      </c>
      <c r="E165" s="208" t="str">
        <f>'HVAC Deemed Table'!G793</f>
        <v>Cooling RES ER2</v>
      </c>
      <c r="F165" s="208" t="str">
        <f>'HVAC Deemed Table'!G794</f>
        <v>Heating RES ER2</v>
      </c>
      <c r="G165" s="208" t="str">
        <f>'HVAC Deemed Table'!E791</f>
        <v>Ductless ASHP Replace Electric Resistance ER1 SF</v>
      </c>
      <c r="H165" s="622" t="str">
        <f>'HVAC Deemed Table'!D791</f>
        <v>SF</v>
      </c>
      <c r="I165" s="2091">
        <f t="shared" si="110"/>
        <v>4686</v>
      </c>
      <c r="J165" s="2091">
        <f t="shared" si="111"/>
        <v>4033.4100000000003</v>
      </c>
      <c r="K165" s="2113">
        <f>'HVAC Deemed Table'!F791</f>
        <v>1039.47</v>
      </c>
      <c r="L165" s="2113">
        <f>'HVAC Deemed Table'!F792</f>
        <v>3646.53</v>
      </c>
      <c r="M165" s="2113">
        <f>'HVAC Deemed Table'!F793</f>
        <v>386.88</v>
      </c>
      <c r="N165" s="2113">
        <f>'HVAC Deemed Table'!F794</f>
        <v>3646.53</v>
      </c>
      <c r="O165" s="2092">
        <f t="shared" si="112"/>
        <v>0.98481300000000005</v>
      </c>
      <c r="P165" s="2092">
        <f t="shared" si="113"/>
        <v>0.366537</v>
      </c>
      <c r="Q165" s="2086">
        <f>'HVAC Deemed Table'!I791</f>
        <v>0.98481300000000005</v>
      </c>
      <c r="R165" s="2086">
        <f>'HVAC Deemed Table'!I792</f>
        <v>0</v>
      </c>
      <c r="S165" s="2086">
        <f>'HVAC Deemed Table'!I793</f>
        <v>0.366537</v>
      </c>
      <c r="T165" s="2086">
        <f>'HVAC Deemed Table'!I794</f>
        <v>0</v>
      </c>
      <c r="U165" s="2087"/>
      <c r="V165" s="2087"/>
      <c r="W165" s="2095">
        <f>P165</f>
        <v>0.366537</v>
      </c>
      <c r="X165" s="2121">
        <f>'HVAC Deemed Table'!J791</f>
        <v>6</v>
      </c>
      <c r="Y165" s="2121">
        <f>'HVAC Deemed Table'!J793</f>
        <v>12</v>
      </c>
      <c r="Z165" s="88">
        <f t="shared" si="94"/>
        <v>18</v>
      </c>
      <c r="AA165" s="2088">
        <f>'HVAC Deemed Table'!BB791</f>
        <v>1.1620742350001005</v>
      </c>
      <c r="AB165" s="2916">
        <f>'HVAC Deemed Table'!K791</f>
        <v>2504.17</v>
      </c>
      <c r="AC165" s="2090">
        <f t="shared" si="95"/>
        <v>1210.9754559840819</v>
      </c>
      <c r="AD165" s="2090">
        <f t="shared" si="96"/>
        <v>1535.6327904153534</v>
      </c>
      <c r="AE165" s="2956">
        <f>'HVAC Deemed Table'!BD791</f>
        <v>604.43534284605209</v>
      </c>
      <c r="AF165" s="2956">
        <f>'HVAC Deemed Table'!BD792</f>
        <v>606.54011313802982</v>
      </c>
      <c r="AG165" s="2956">
        <f>'HVAC Deemed Table'!BD793</f>
        <v>457.41732084344375</v>
      </c>
      <c r="AH165" s="2956">
        <f>'HVAC Deemed Table'!BD794</f>
        <v>1078.2154695719096</v>
      </c>
      <c r="AI165" s="2263" t="str">
        <f t="shared" si="92"/>
        <v>per measure</v>
      </c>
      <c r="AJ165" s="2240">
        <f>'HVAC Deemed Table'!L791</f>
        <v>1.57</v>
      </c>
      <c r="AK165" s="2055"/>
      <c r="AL165" s="2055"/>
      <c r="AM165" s="2057">
        <f t="shared" si="109"/>
        <v>9.4741810000000004E-4</v>
      </c>
      <c r="AN165" s="132">
        <f>AM165*K165</f>
        <v>0.98481269240700009</v>
      </c>
      <c r="AO165" s="2048">
        <f t="shared" si="71"/>
        <v>-3.0759299995963829E-7</v>
      </c>
    </row>
    <row r="166" spans="2:41" x14ac:dyDescent="0.25">
      <c r="B166" s="2240" t="str">
        <f>'HVAC Deemed Table'!C795</f>
        <v>351450_2019_12_</v>
      </c>
      <c r="C166" s="208" t="str">
        <f>'HVAC Deemed Table'!G795</f>
        <v>Cooling RES</v>
      </c>
      <c r="D166" s="208" t="str">
        <f>'HVAC Deemed Table'!G796</f>
        <v>Heating RES</v>
      </c>
      <c r="E166" s="208"/>
      <c r="F166" s="208"/>
      <c r="G166" s="208" t="str">
        <f>'HVAC Deemed Table'!E795</f>
        <v>Ductless ASHP Replace Electric Resistance ROF SF</v>
      </c>
      <c r="H166" s="622" t="str">
        <f>'HVAC Deemed Table'!D795</f>
        <v>SF</v>
      </c>
      <c r="I166" s="2091">
        <f t="shared" si="110"/>
        <v>4395.3499999999995</v>
      </c>
      <c r="J166" s="2091">
        <f t="shared" si="111"/>
        <v>0</v>
      </c>
      <c r="K166" s="2113">
        <f>'HVAC Deemed Table'!F795</f>
        <v>345.19</v>
      </c>
      <c r="L166" s="2113">
        <f>'HVAC Deemed Table'!F796</f>
        <v>4050.16</v>
      </c>
      <c r="M166" s="2113"/>
      <c r="N166" s="2113"/>
      <c r="O166" s="2092">
        <f t="shared" si="112"/>
        <v>0.32703900000000002</v>
      </c>
      <c r="P166" s="2092">
        <f t="shared" si="113"/>
        <v>0</v>
      </c>
      <c r="Q166" s="2086">
        <f>'HVAC Deemed Table'!I795</f>
        <v>0.32703900000000002</v>
      </c>
      <c r="R166" s="2086">
        <f>'HVAC Deemed Table'!I796</f>
        <v>0</v>
      </c>
      <c r="S166" s="2086"/>
      <c r="T166" s="2086"/>
      <c r="U166" s="2087"/>
      <c r="V166" s="2087"/>
      <c r="W166" s="2087">
        <f>O166</f>
        <v>0.32703900000000002</v>
      </c>
      <c r="X166" s="2121">
        <f>'HVAC Deemed Table'!J795</f>
        <v>18</v>
      </c>
      <c r="Y166" s="2121"/>
      <c r="Z166" s="88">
        <f t="shared" si="94"/>
        <v>18</v>
      </c>
      <c r="AA166" s="2088">
        <f>'HVAC Deemed Table'!BB795</f>
        <v>7.8203962658928186</v>
      </c>
      <c r="AB166" s="2916">
        <f>'HVAC Deemed Table'!K795</f>
        <v>336</v>
      </c>
      <c r="AC166" s="2090">
        <f t="shared" si="95"/>
        <v>2480.087914431323</v>
      </c>
      <c r="AD166" s="2090">
        <f t="shared" si="96"/>
        <v>0</v>
      </c>
      <c r="AE166" s="2956">
        <f>'HVAC Deemed Table'!BD795</f>
        <v>608.84877177556871</v>
      </c>
      <c r="AF166" s="2956">
        <f>'HVAC Deemed Table'!BD796</f>
        <v>1871.2391426557542</v>
      </c>
      <c r="AG166" s="2956"/>
      <c r="AH166" s="2956"/>
      <c r="AI166" s="2263" t="str">
        <f t="shared" si="92"/>
        <v>per measure</v>
      </c>
      <c r="AJ166" s="2240">
        <f>'HVAC Deemed Table'!L795</f>
        <v>1.6</v>
      </c>
      <c r="AK166" s="2055"/>
      <c r="AL166" s="2055"/>
      <c r="AM166" s="2057">
        <f t="shared" si="109"/>
        <v>9.4741810000000004E-4</v>
      </c>
      <c r="AN166" s="132">
        <f>AM166*K166</f>
        <v>0.32703925393900002</v>
      </c>
      <c r="AO166" s="2048">
        <f t="shared" si="71"/>
        <v>2.5393899999448521E-7</v>
      </c>
    </row>
    <row r="167" spans="2:41" x14ac:dyDescent="0.25">
      <c r="B167" s="2240" t="str">
        <f>'HVAC Deemed Table'!C797</f>
        <v>351500_2019_12_</v>
      </c>
      <c r="C167" s="208" t="str">
        <f>'HVAC Deemed Table'!G797</f>
        <v>Cooling RES</v>
      </c>
      <c r="D167" s="208" t="str">
        <f>'HVAC Deemed Table'!G798</f>
        <v>Heating RES</v>
      </c>
      <c r="E167" s="208" t="str">
        <f>'HVAC Deemed Table'!G799</f>
        <v>Cooling RES ER2</v>
      </c>
      <c r="F167" s="208" t="str">
        <f>'HVAC Deemed Table'!G800</f>
        <v>Heating RES ER2</v>
      </c>
      <c r="G167" s="208" t="str">
        <f>'HVAC Deemed Table'!E797</f>
        <v>Ductless ASHP ER1 SF</v>
      </c>
      <c r="H167" s="622" t="str">
        <f>'HVAC Deemed Table'!D797</f>
        <v>SF</v>
      </c>
      <c r="I167" s="2091">
        <f t="shared" si="110"/>
        <v>1800.42</v>
      </c>
      <c r="J167" s="2091">
        <f t="shared" si="111"/>
        <v>827.22</v>
      </c>
      <c r="K167" s="2113">
        <f>'HVAC Deemed Table'!F797</f>
        <v>779.12</v>
      </c>
      <c r="L167" s="2113">
        <f>'HVAC Deemed Table'!F798</f>
        <v>1021.3</v>
      </c>
      <c r="M167" s="2113">
        <f>'HVAC Deemed Table'!F799</f>
        <v>312.22000000000003</v>
      </c>
      <c r="N167" s="2113">
        <f>'HVAC Deemed Table'!F800</f>
        <v>515</v>
      </c>
      <c r="O167" s="2092">
        <f t="shared" si="112"/>
        <v>0.73815200000000003</v>
      </c>
      <c r="P167" s="2092">
        <f t="shared" si="113"/>
        <v>0.29580299999999998</v>
      </c>
      <c r="Q167" s="2086">
        <f>'HVAC Deemed Table'!I797</f>
        <v>0.73815200000000003</v>
      </c>
      <c r="R167" s="2086">
        <f>'HVAC Deemed Table'!I798</f>
        <v>0</v>
      </c>
      <c r="S167" s="2086">
        <f>'HVAC Deemed Table'!I799</f>
        <v>0.29580299999999998</v>
      </c>
      <c r="T167" s="2086">
        <f>'HVAC Deemed Table'!I800</f>
        <v>0</v>
      </c>
      <c r="U167" s="2087"/>
      <c r="V167" s="2087"/>
      <c r="W167" s="2095">
        <f>P167</f>
        <v>0.29580299999999998</v>
      </c>
      <c r="X167" s="2121">
        <f>'HVAC Deemed Table'!J797</f>
        <v>6</v>
      </c>
      <c r="Y167" s="2121">
        <f>'HVAC Deemed Table'!J799</f>
        <v>12</v>
      </c>
      <c r="Z167" s="88">
        <f t="shared" si="94"/>
        <v>18</v>
      </c>
      <c r="AA167" s="2088">
        <f>'HVAC Deemed Table'!BB797</f>
        <v>1.8692976167059803</v>
      </c>
      <c r="AB167" s="2916">
        <f>'HVAC Deemed Table'!K797</f>
        <v>648.60319098531227</v>
      </c>
      <c r="AC167" s="2090">
        <f t="shared" si="95"/>
        <v>622.92234888431699</v>
      </c>
      <c r="AD167" s="2090">
        <f t="shared" si="96"/>
        <v>521.42158608192926</v>
      </c>
      <c r="AE167" s="2956">
        <f>'HVAC Deemed Table'!BD797</f>
        <v>453.04594102592296</v>
      </c>
      <c r="AF167" s="2956">
        <f>'HVAC Deemed Table'!BD798</f>
        <v>169.87640785839409</v>
      </c>
      <c r="AG167" s="2956">
        <f>'HVAC Deemed Table'!BD799</f>
        <v>369.14504733700375</v>
      </c>
      <c r="AH167" s="2956">
        <f>'HVAC Deemed Table'!BD800</f>
        <v>152.27653874492555</v>
      </c>
      <c r="AI167" s="2263" t="str">
        <f t="shared" si="92"/>
        <v>per measure</v>
      </c>
      <c r="AJ167" s="2240">
        <f>'HVAC Deemed Table'!L797</f>
        <v>1.28125</v>
      </c>
      <c r="AK167" s="2055"/>
      <c r="AL167" s="2055"/>
      <c r="AM167" s="2057">
        <f t="shared" si="109"/>
        <v>9.4741810000000004E-4</v>
      </c>
      <c r="AN167" s="132">
        <f>AM167*K167</f>
        <v>0.73815239007200006</v>
      </c>
      <c r="AO167" s="2048">
        <f t="shared" si="71"/>
        <v>3.9007200003382536E-7</v>
      </c>
    </row>
    <row r="168" spans="2:41" x14ac:dyDescent="0.25">
      <c r="B168" s="2240" t="str">
        <f>'HVAC Deemed Table'!C801</f>
        <v>351550_2019_12_</v>
      </c>
      <c r="C168" s="208" t="str">
        <f>'HVAC Deemed Table'!G801</f>
        <v>Cooling RES</v>
      </c>
      <c r="D168" s="208" t="str">
        <f>'HVAC Deemed Table'!G802</f>
        <v>Cooling RES ER2</v>
      </c>
      <c r="E168" s="208"/>
      <c r="F168" s="208"/>
      <c r="G168" s="208" t="str">
        <f>'HVAC Deemed Table'!E801</f>
        <v>Ductless AC - ER1 MF</v>
      </c>
      <c r="H168" s="622" t="str">
        <f>'HVAC Deemed Table'!D801</f>
        <v>MF</v>
      </c>
      <c r="I168" s="2091">
        <f t="shared" si="110"/>
        <v>1320.98</v>
      </c>
      <c r="J168" s="2091">
        <f t="shared" si="111"/>
        <v>385.92</v>
      </c>
      <c r="K168" s="2113">
        <f>'HVAC Deemed Table'!F801</f>
        <v>1320.98</v>
      </c>
      <c r="L168" s="2113"/>
      <c r="M168" s="2113">
        <f>'HVAC Deemed Table'!F802</f>
        <v>385.92</v>
      </c>
      <c r="N168" s="2113"/>
      <c r="O168" s="2092">
        <f t="shared" si="112"/>
        <v>1.25152</v>
      </c>
      <c r="P168" s="2092">
        <f t="shared" si="113"/>
        <v>0.36562800000000001</v>
      </c>
      <c r="Q168" s="2086">
        <f>'HVAC Deemed Table'!I801</f>
        <v>1.25152</v>
      </c>
      <c r="R168" s="2086"/>
      <c r="S168" s="2086">
        <f>'HVAC Deemed Table'!I802</f>
        <v>0.36562800000000001</v>
      </c>
      <c r="T168" s="2086"/>
      <c r="U168" s="2087"/>
      <c r="V168" s="2087"/>
      <c r="W168" s="2095">
        <f>P168</f>
        <v>0.36562800000000001</v>
      </c>
      <c r="X168" s="2121">
        <f>'HVAC Deemed Table'!J801</f>
        <v>6</v>
      </c>
      <c r="Y168" s="2121">
        <f>'HVAC Deemed Table'!J802</f>
        <v>12</v>
      </c>
      <c r="Z168" s="88">
        <f t="shared" si="94"/>
        <v>18</v>
      </c>
      <c r="AA168" s="2088">
        <f>'HVAC Deemed Table'!BB801</f>
        <v>1.0536928432039632</v>
      </c>
      <c r="AB168" s="2916">
        <f>'HVAC Deemed Table'!K801</f>
        <v>1231.1592671062349</v>
      </c>
      <c r="AC168" s="2090">
        <f t="shared" si="95"/>
        <v>768.12894955388606</v>
      </c>
      <c r="AD168" s="2090">
        <f t="shared" si="96"/>
        <v>456.28229027063122</v>
      </c>
      <c r="AE168" s="2956">
        <f>'HVAC Deemed Table'!BD801</f>
        <v>768.12894955388606</v>
      </c>
      <c r="AF168" s="2956"/>
      <c r="AG168" s="2956">
        <f>'HVAC Deemed Table'!BD802</f>
        <v>456.28229027063122</v>
      </c>
      <c r="AH168" s="2956"/>
      <c r="AI168" s="2263" t="str">
        <f t="shared" si="92"/>
        <v>per measure</v>
      </c>
      <c r="AJ168" s="2240">
        <f>'HVAC Deemed Table'!L801</f>
        <v>1.5</v>
      </c>
      <c r="AK168" s="2055"/>
      <c r="AL168" s="2055"/>
      <c r="AM168" s="2057">
        <f t="shared" si="109"/>
        <v>9.4741810000000004E-4</v>
      </c>
      <c r="AN168">
        <f>AM168*I168</f>
        <v>1.251520361738</v>
      </c>
      <c r="AO168" s="2048">
        <f t="shared" si="71"/>
        <v>3.6173799999872358E-7</v>
      </c>
    </row>
    <row r="169" spans="2:41" x14ac:dyDescent="0.25">
      <c r="B169" s="2240" t="str">
        <f>'HVAC Deemed Table'!C803</f>
        <v>351551_2019_12_</v>
      </c>
      <c r="C169" s="208" t="str">
        <f>'HVAC Deemed Table'!G803</f>
        <v>Cooling RES</v>
      </c>
      <c r="D169" s="208" t="str">
        <f>'HVAC Deemed Table'!G804</f>
        <v>Cooling RES ER2</v>
      </c>
      <c r="E169" s="208"/>
      <c r="F169" s="208"/>
      <c r="G169" s="208" t="str">
        <f>'HVAC Deemed Table'!E803</f>
        <v>Ductless AC - ER1 MF_CompE</v>
      </c>
      <c r="H169" s="622" t="str">
        <f>'HVAC Deemed Table'!D803</f>
        <v>MFc</v>
      </c>
      <c r="I169" s="2091">
        <f t="shared" si="110"/>
        <v>867.48</v>
      </c>
      <c r="J169" s="2091">
        <f t="shared" si="111"/>
        <v>253.43</v>
      </c>
      <c r="K169" s="2113">
        <f>'HVAC Deemed Table'!F803</f>
        <v>867.48</v>
      </c>
      <c r="L169" s="2113"/>
      <c r="M169" s="2113">
        <f>'HVAC Deemed Table'!F804</f>
        <v>253.43</v>
      </c>
      <c r="N169" s="2113"/>
      <c r="O169" s="2092">
        <f t="shared" si="112"/>
        <v>0.82186599999999999</v>
      </c>
      <c r="P169" s="2092">
        <f t="shared" si="113"/>
        <v>0.24010400000000001</v>
      </c>
      <c r="Q169" s="2086">
        <f>'HVAC Deemed Table'!I803</f>
        <v>0.82186599999999999</v>
      </c>
      <c r="R169" s="2086"/>
      <c r="S169" s="2086">
        <f>'HVAC Deemed Table'!I804</f>
        <v>0.24010400000000001</v>
      </c>
      <c r="T169" s="2086"/>
      <c r="U169" s="2087"/>
      <c r="V169" s="2087"/>
      <c r="W169" s="2095">
        <f>P169</f>
        <v>0.24010400000000001</v>
      </c>
      <c r="X169" s="2121">
        <f>'HVAC Deemed Table'!J803</f>
        <v>6</v>
      </c>
      <c r="Y169" s="2121">
        <f>'HVAC Deemed Table'!J804</f>
        <v>12</v>
      </c>
      <c r="Z169" s="88">
        <f t="shared" si="94"/>
        <v>18</v>
      </c>
      <c r="AA169" s="2088">
        <f>'HVAC Deemed Table'!BB803</f>
        <v>0.69195257601948434</v>
      </c>
      <c r="AB169" s="2916">
        <f>'HVAC Deemed Table'!K803</f>
        <v>1231.1592671062349</v>
      </c>
      <c r="AC169" s="2090">
        <f t="shared" si="95"/>
        <v>504.42588166286021</v>
      </c>
      <c r="AD169" s="2090">
        <f t="shared" si="96"/>
        <v>299.63624798737061</v>
      </c>
      <c r="AE169" s="2956">
        <f>'HVAC Deemed Table'!BD803</f>
        <v>504.42588166286021</v>
      </c>
      <c r="AF169" s="2956"/>
      <c r="AG169" s="2956">
        <f>'HVAC Deemed Table'!BD804</f>
        <v>299.63624798737061</v>
      </c>
      <c r="AH169" s="2956"/>
      <c r="AI169" s="2263" t="str">
        <f t="shared" si="92"/>
        <v>per measure</v>
      </c>
      <c r="AJ169" s="2240">
        <f>'HVAC Deemed Table'!L803</f>
        <v>1.5</v>
      </c>
      <c r="AK169" s="2055"/>
      <c r="AL169" s="2055"/>
      <c r="AM169" s="2057">
        <f t="shared" si="109"/>
        <v>9.4741810000000004E-4</v>
      </c>
      <c r="AN169">
        <f>AM169*I169</f>
        <v>0.82186625338800001</v>
      </c>
      <c r="AO169" s="2048">
        <f t="shared" si="71"/>
        <v>2.5338800002661088E-7</v>
      </c>
    </row>
    <row r="170" spans="2:41" x14ac:dyDescent="0.25">
      <c r="B170" s="2240" t="str">
        <f>'HVAC Deemed Table'!C805</f>
        <v>351600_2019_12_</v>
      </c>
      <c r="C170" s="208" t="str">
        <f>'HVAC Deemed Table'!G805</f>
        <v>Cooling RES</v>
      </c>
      <c r="D170" s="208"/>
      <c r="E170" s="208"/>
      <c r="F170" s="208"/>
      <c r="G170" s="208" t="str">
        <f>'HVAC Deemed Table'!E805</f>
        <v>Ductless AC - ROF MF</v>
      </c>
      <c r="H170" s="622" t="str">
        <f>'HVAC Deemed Table'!D805</f>
        <v>MF</v>
      </c>
      <c r="I170" s="2091">
        <f t="shared" si="110"/>
        <v>332.95</v>
      </c>
      <c r="J170" s="2091">
        <f t="shared" si="111"/>
        <v>0</v>
      </c>
      <c r="K170" s="2113">
        <f>'HVAC Deemed Table'!F805</f>
        <v>332.95</v>
      </c>
      <c r="L170" s="2113"/>
      <c r="M170" s="2113"/>
      <c r="N170" s="2113"/>
      <c r="O170" s="2092">
        <f t="shared" si="112"/>
        <v>0.31544299999999997</v>
      </c>
      <c r="P170" s="2092">
        <f t="shared" si="113"/>
        <v>0</v>
      </c>
      <c r="Q170" s="2086">
        <f>'HVAC Deemed Table'!I805</f>
        <v>0.31544299999999997</v>
      </c>
      <c r="R170" s="2086"/>
      <c r="S170" s="2086"/>
      <c r="T170" s="2086"/>
      <c r="U170" s="2087"/>
      <c r="V170" s="2087"/>
      <c r="W170" s="2087">
        <f t="shared" ref="W170:W175" si="114">O170</f>
        <v>0.31544299999999997</v>
      </c>
      <c r="X170" s="2121">
        <f>'HVAC Deemed Table'!J805</f>
        <v>18</v>
      </c>
      <c r="Y170" s="2121"/>
      <c r="Z170" s="88">
        <f t="shared" si="94"/>
        <v>18</v>
      </c>
      <c r="AA170" s="2088">
        <f>'HVAC Deemed Table'!BB805</f>
        <v>1.8517908389406215</v>
      </c>
      <c r="AB170" s="2916">
        <f>'HVAC Deemed Table'!K805</f>
        <v>336</v>
      </c>
      <c r="AC170" s="2090">
        <f t="shared" si="95"/>
        <v>587.25976581788461</v>
      </c>
      <c r="AD170" s="2090">
        <f t="shared" si="96"/>
        <v>0</v>
      </c>
      <c r="AE170" s="2956">
        <f>'HVAC Deemed Table'!BD805</f>
        <v>587.25976581788461</v>
      </c>
      <c r="AF170" s="2956"/>
      <c r="AG170" s="2956"/>
      <c r="AH170" s="2956"/>
      <c r="AI170" s="2263" t="str">
        <f t="shared" ref="AI170:AI233" si="115">AI169</f>
        <v>per measure</v>
      </c>
      <c r="AJ170" s="2240">
        <f>'HVAC Deemed Table'!L805</f>
        <v>1.3125</v>
      </c>
      <c r="AK170" s="2055"/>
      <c r="AL170" s="2055"/>
      <c r="AM170" s="2057">
        <f t="shared" si="109"/>
        <v>9.4741810000000004E-4</v>
      </c>
      <c r="AN170">
        <f>AM170*I170</f>
        <v>0.31544285639500003</v>
      </c>
      <c r="AO170" s="2048">
        <f t="shared" si="71"/>
        <v>-1.4360499994703346E-7</v>
      </c>
    </row>
    <row r="171" spans="2:41" x14ac:dyDescent="0.25">
      <c r="B171" s="2240" t="str">
        <f>'HVAC Deemed Table'!C806</f>
        <v>351601_2019_12_</v>
      </c>
      <c r="C171" s="208" t="str">
        <f>'HVAC Deemed Table'!G806</f>
        <v>Cooling RES</v>
      </c>
      <c r="D171" s="208"/>
      <c r="E171" s="208"/>
      <c r="F171" s="208"/>
      <c r="G171" s="208" t="str">
        <f>'HVAC Deemed Table'!E806</f>
        <v>Ductless AC - ROF MF_CompE</v>
      </c>
      <c r="H171" s="622" t="str">
        <f>'HVAC Deemed Table'!D806</f>
        <v>MFc</v>
      </c>
      <c r="I171" s="2091">
        <f t="shared" si="110"/>
        <v>755.93</v>
      </c>
      <c r="J171" s="2091">
        <f t="shared" si="111"/>
        <v>0</v>
      </c>
      <c r="K171" s="2113">
        <f>'HVAC Deemed Table'!F806</f>
        <v>755.93</v>
      </c>
      <c r="L171" s="2113"/>
      <c r="M171" s="2113"/>
      <c r="N171" s="2113"/>
      <c r="O171" s="2092">
        <f t="shared" si="112"/>
        <v>0.71618199999999999</v>
      </c>
      <c r="P171" s="2092">
        <f t="shared" si="113"/>
        <v>0</v>
      </c>
      <c r="Q171" s="2086">
        <f>'HVAC Deemed Table'!I806</f>
        <v>0.71618199999999999</v>
      </c>
      <c r="R171" s="2086"/>
      <c r="S171" s="2086"/>
      <c r="T171" s="2086"/>
      <c r="U171" s="2087"/>
      <c r="V171" s="2087"/>
      <c r="W171" s="2087">
        <f t="shared" si="114"/>
        <v>0.71618199999999999</v>
      </c>
      <c r="X171" s="2121">
        <f>'HVAC Deemed Table'!J806</f>
        <v>18</v>
      </c>
      <c r="Y171" s="2121"/>
      <c r="Z171" s="88">
        <f t="shared" si="94"/>
        <v>18</v>
      </c>
      <c r="AA171" s="2088">
        <f>'HVAC Deemed Table'!BB806</f>
        <v>4.2043077004967229</v>
      </c>
      <c r="AB171" s="2916">
        <f>'HVAC Deemed Table'!K806</f>
        <v>336</v>
      </c>
      <c r="AC171" s="2090">
        <f t="shared" si="95"/>
        <v>1333.3151367313815</v>
      </c>
      <c r="AD171" s="2090">
        <f t="shared" si="96"/>
        <v>0</v>
      </c>
      <c r="AE171" s="2956">
        <f>'HVAC Deemed Table'!BD806</f>
        <v>1333.3151367313815</v>
      </c>
      <c r="AF171" s="2956"/>
      <c r="AG171" s="2956"/>
      <c r="AH171" s="2956"/>
      <c r="AI171" s="2263" t="str">
        <f t="shared" si="115"/>
        <v>per measure</v>
      </c>
      <c r="AJ171" s="2240">
        <f>'HVAC Deemed Table'!L806</f>
        <v>1.3125</v>
      </c>
      <c r="AK171" s="2055"/>
      <c r="AL171" s="2055"/>
      <c r="AM171" s="2057">
        <f t="shared" si="109"/>
        <v>9.4741810000000004E-4</v>
      </c>
      <c r="AN171">
        <f>AM171*I171</f>
        <v>0.71618176433299996</v>
      </c>
      <c r="AO171" s="2048">
        <f t="shared" si="71"/>
        <v>-2.3566700002586316E-7</v>
      </c>
    </row>
    <row r="172" spans="2:41" x14ac:dyDescent="0.25">
      <c r="B172" s="2240" t="str">
        <f>'HVAC Deemed Table'!C807</f>
        <v>351650_2019_12_</v>
      </c>
      <c r="C172" s="208" t="str">
        <f>'HVAC Deemed Table'!G807</f>
        <v>Cooling RES</v>
      </c>
      <c r="D172" s="208" t="str">
        <f>'HVAC Deemed Table'!G808</f>
        <v>Heating RES</v>
      </c>
      <c r="E172" s="208"/>
      <c r="F172" s="208"/>
      <c r="G172" s="208" t="str">
        <f>'HVAC Deemed Table'!E807</f>
        <v>Ductless ASHP - ROF MF NC</v>
      </c>
      <c r="H172" s="622" t="str">
        <f>'HVAC Deemed Table'!D807</f>
        <v>MF</v>
      </c>
      <c r="I172" s="2091">
        <f t="shared" si="110"/>
        <v>728.76</v>
      </c>
      <c r="J172" s="2091">
        <f t="shared" si="111"/>
        <v>0</v>
      </c>
      <c r="K172" s="2113">
        <f>'HVAC Deemed Table'!F807</f>
        <v>214.85</v>
      </c>
      <c r="L172" s="2113">
        <f>'HVAC Deemed Table'!F808</f>
        <v>513.91</v>
      </c>
      <c r="M172" s="2113"/>
      <c r="N172" s="2113"/>
      <c r="O172" s="2092">
        <f t="shared" si="112"/>
        <v>0.20355300000000001</v>
      </c>
      <c r="P172" s="2092">
        <f t="shared" si="113"/>
        <v>0</v>
      </c>
      <c r="Q172" s="2086">
        <f>'HVAC Deemed Table'!I807</f>
        <v>0.20355300000000001</v>
      </c>
      <c r="R172" s="2086">
        <f>'HVAC Deemed Table'!I808</f>
        <v>0</v>
      </c>
      <c r="S172" s="2086"/>
      <c r="T172" s="2086"/>
      <c r="U172" s="2087"/>
      <c r="V172" s="2087"/>
      <c r="W172" s="2087">
        <f t="shared" si="114"/>
        <v>0.20355300000000001</v>
      </c>
      <c r="X172" s="2121">
        <f>'HVAC Deemed Table'!J807</f>
        <v>18</v>
      </c>
      <c r="Y172" s="2121"/>
      <c r="Z172" s="88">
        <f t="shared" si="94"/>
        <v>18</v>
      </c>
      <c r="AA172" s="2088">
        <f>'HVAC Deemed Table'!BB807</f>
        <v>1.9436425810497631</v>
      </c>
      <c r="AB172" s="2916">
        <f>'HVAC Deemed Table'!K807</f>
        <v>336</v>
      </c>
      <c r="AC172" s="2090">
        <f t="shared" si="95"/>
        <v>616.38877511346891</v>
      </c>
      <c r="AD172" s="2090">
        <f t="shared" si="96"/>
        <v>0</v>
      </c>
      <c r="AE172" s="2956">
        <f>'HVAC Deemed Table'!BD807</f>
        <v>378.95407924905396</v>
      </c>
      <c r="AF172" s="2956">
        <f>'HVAC Deemed Table'!BD808</f>
        <v>237.43469586441489</v>
      </c>
      <c r="AG172" s="2956"/>
      <c r="AH172" s="2956"/>
      <c r="AI172" s="2263" t="str">
        <f t="shared" si="115"/>
        <v>per measure</v>
      </c>
      <c r="AJ172" s="2240">
        <f>'HVAC Deemed Table'!L807</f>
        <v>1.5</v>
      </c>
      <c r="AK172" s="2055"/>
      <c r="AL172" s="2055"/>
      <c r="AM172" s="2057">
        <f t="shared" si="109"/>
        <v>9.4741810000000004E-4</v>
      </c>
      <c r="AN172" s="132">
        <f t="shared" ref="AN172:AN203" si="116">AM172*K172</f>
        <v>0.203552778785</v>
      </c>
      <c r="AO172" s="2048">
        <f t="shared" si="71"/>
        <v>-2.2121500001248684E-7</v>
      </c>
    </row>
    <row r="173" spans="2:41" x14ac:dyDescent="0.25">
      <c r="B173" s="2240" t="str">
        <f>'HVAC Deemed Table'!C809</f>
        <v>351651_2019_12_</v>
      </c>
      <c r="C173" s="208" t="str">
        <f>'HVAC Deemed Table'!G809</f>
        <v>Cooling RES</v>
      </c>
      <c r="D173" s="208" t="str">
        <f>'HVAC Deemed Table'!G810</f>
        <v>Heating RES</v>
      </c>
      <c r="E173" s="208"/>
      <c r="F173" s="208"/>
      <c r="G173" s="208" t="str">
        <f>'HVAC Deemed Table'!E809</f>
        <v>Ductless ASHP - ROF MF NC_CompE</v>
      </c>
      <c r="H173" s="622" t="str">
        <f>'HVAC Deemed Table'!D809</f>
        <v>MFc</v>
      </c>
      <c r="I173" s="2091">
        <f t="shared" si="110"/>
        <v>336.40999999999997</v>
      </c>
      <c r="J173" s="2091">
        <f t="shared" si="111"/>
        <v>0</v>
      </c>
      <c r="K173" s="2113">
        <f>'HVAC Deemed Table'!F809</f>
        <v>141.09</v>
      </c>
      <c r="L173" s="2113">
        <f>'HVAC Deemed Table'!F810</f>
        <v>195.32</v>
      </c>
      <c r="M173" s="2113"/>
      <c r="N173" s="2113"/>
      <c r="O173" s="2092">
        <f t="shared" si="112"/>
        <v>0.13367100000000001</v>
      </c>
      <c r="P173" s="2092">
        <f t="shared" si="113"/>
        <v>0</v>
      </c>
      <c r="Q173" s="2086">
        <f>'HVAC Deemed Table'!I809</f>
        <v>0.13367100000000001</v>
      </c>
      <c r="R173" s="2086">
        <f>'HVAC Deemed Table'!I810</f>
        <v>0</v>
      </c>
      <c r="S173" s="2086"/>
      <c r="T173" s="2086"/>
      <c r="U173" s="2087"/>
      <c r="V173" s="2087"/>
      <c r="W173" s="2087">
        <f t="shared" si="114"/>
        <v>0.13367100000000001</v>
      </c>
      <c r="X173" s="2121">
        <f>'HVAC Deemed Table'!J809</f>
        <v>18</v>
      </c>
      <c r="Y173" s="2121"/>
      <c r="Z173" s="88">
        <f t="shared" si="94"/>
        <v>18</v>
      </c>
      <c r="AA173" s="2088">
        <f>'HVAC Deemed Table'!BB809</f>
        <v>1.0692644605538619</v>
      </c>
      <c r="AB173" s="2916">
        <f>'HVAC Deemed Table'!K809</f>
        <v>336</v>
      </c>
      <c r="AC173" s="2090">
        <f t="shared" si="95"/>
        <v>339.09661042576454</v>
      </c>
      <c r="AD173" s="2090">
        <f t="shared" si="96"/>
        <v>0</v>
      </c>
      <c r="AE173" s="2956">
        <f>'HVAC Deemed Table'!BD809</f>
        <v>248.85562504653956</v>
      </c>
      <c r="AF173" s="2956">
        <f>'HVAC Deemed Table'!BD810</f>
        <v>90.240985379224995</v>
      </c>
      <c r="AG173" s="2956"/>
      <c r="AH173" s="2956"/>
      <c r="AI173" s="2263" t="str">
        <f t="shared" si="115"/>
        <v>per measure</v>
      </c>
      <c r="AJ173" s="2240">
        <f>'HVAC Deemed Table'!L809</f>
        <v>1.5</v>
      </c>
      <c r="AK173" s="2055"/>
      <c r="AL173" s="2055"/>
      <c r="AM173" s="2057">
        <f t="shared" si="109"/>
        <v>9.4741810000000004E-4</v>
      </c>
      <c r="AN173" s="132">
        <f t="shared" si="116"/>
        <v>0.13367121972900001</v>
      </c>
      <c r="AO173" s="2048">
        <f t="shared" si="71"/>
        <v>2.1972899999500584E-7</v>
      </c>
    </row>
    <row r="174" spans="2:41" x14ac:dyDescent="0.25">
      <c r="B174" s="2240" t="str">
        <f>'HVAC Deemed Table'!C811</f>
        <v>351700_2019_12_</v>
      </c>
      <c r="C174" s="208" t="str">
        <f>'HVAC Deemed Table'!G811</f>
        <v>Cooling RES</v>
      </c>
      <c r="D174" s="208" t="str">
        <f>'HVAC Deemed Table'!G812</f>
        <v>Heating RES</v>
      </c>
      <c r="E174" s="208"/>
      <c r="F174" s="208"/>
      <c r="G174" s="208" t="str">
        <f>'HVAC Deemed Table'!E811</f>
        <v>Ductless ASHP - ROF MF</v>
      </c>
      <c r="H174" s="622" t="str">
        <f>'HVAC Deemed Table'!D811</f>
        <v>MF</v>
      </c>
      <c r="I174" s="2091">
        <f t="shared" si="110"/>
        <v>898.12000000000012</v>
      </c>
      <c r="J174" s="2091">
        <f t="shared" si="111"/>
        <v>0</v>
      </c>
      <c r="K174" s="2113">
        <f>'HVAC Deemed Table'!F811</f>
        <v>312.66000000000003</v>
      </c>
      <c r="L174" s="2113">
        <f>'HVAC Deemed Table'!F812</f>
        <v>585.46</v>
      </c>
      <c r="M174" s="2113"/>
      <c r="N174" s="2113"/>
      <c r="O174" s="2092">
        <f t="shared" si="112"/>
        <v>0.29621999999999998</v>
      </c>
      <c r="P174" s="2092">
        <f t="shared" si="113"/>
        <v>0</v>
      </c>
      <c r="Q174" s="2086">
        <f>'HVAC Deemed Table'!I811</f>
        <v>0.29621999999999998</v>
      </c>
      <c r="R174" s="2086">
        <f>'HVAC Deemed Table'!I812</f>
        <v>0</v>
      </c>
      <c r="S174" s="2086"/>
      <c r="T174" s="2086"/>
      <c r="U174" s="2087"/>
      <c r="V174" s="2087"/>
      <c r="W174" s="2087">
        <f t="shared" si="114"/>
        <v>0.29621999999999998</v>
      </c>
      <c r="X174" s="2121">
        <f>'HVAC Deemed Table'!J811</f>
        <v>18</v>
      </c>
      <c r="Y174" s="2121"/>
      <c r="Z174" s="88">
        <f t="shared" si="94"/>
        <v>18</v>
      </c>
      <c r="AA174" s="2088">
        <f>'HVAC Deemed Table'!BB811</f>
        <v>2.5918777306338989</v>
      </c>
      <c r="AB174" s="2916">
        <f>'HVAC Deemed Table'!K811</f>
        <v>336</v>
      </c>
      <c r="AC174" s="2090">
        <f t="shared" si="95"/>
        <v>821.96405615194897</v>
      </c>
      <c r="AD174" s="2090">
        <f t="shared" si="96"/>
        <v>0</v>
      </c>
      <c r="AE174" s="2956">
        <f>'HVAC Deemed Table'!BD811</f>
        <v>551.47210806613555</v>
      </c>
      <c r="AF174" s="2956">
        <f>'HVAC Deemed Table'!BD812</f>
        <v>270.49194808581342</v>
      </c>
      <c r="AG174" s="2956"/>
      <c r="AH174" s="2956"/>
      <c r="AI174" s="2263" t="str">
        <f t="shared" si="115"/>
        <v>per measure</v>
      </c>
      <c r="AJ174" s="2240">
        <f>'HVAC Deemed Table'!L811</f>
        <v>1.5184210526315791</v>
      </c>
      <c r="AK174" s="2055"/>
      <c r="AL174" s="2055"/>
      <c r="AM174" s="2057">
        <f t="shared" si="109"/>
        <v>9.4741810000000004E-4</v>
      </c>
      <c r="AN174" s="132">
        <f t="shared" si="116"/>
        <v>0.29621974314600003</v>
      </c>
      <c r="AO174" s="2048">
        <f t="shared" si="71"/>
        <v>-2.5685399995811764E-7</v>
      </c>
    </row>
    <row r="175" spans="2:41" x14ac:dyDescent="0.25">
      <c r="B175" s="2240" t="str">
        <f>'HVAC Deemed Table'!C813</f>
        <v>351701_2019_12_</v>
      </c>
      <c r="C175" s="208" t="str">
        <f>'HVAC Deemed Table'!G813</f>
        <v>Cooling RES</v>
      </c>
      <c r="D175" s="208" t="str">
        <f>'HVAC Deemed Table'!G814</f>
        <v>Heating RES</v>
      </c>
      <c r="E175" s="208"/>
      <c r="F175" s="208"/>
      <c r="G175" s="208" t="str">
        <f>'HVAC Deemed Table'!E813</f>
        <v>Ductless ASHP - ROF MF_CompE</v>
      </c>
      <c r="H175" s="622" t="str">
        <f>'HVAC Deemed Table'!D813</f>
        <v>MFc</v>
      </c>
      <c r="I175" s="2091">
        <f t="shared" si="110"/>
        <v>427.84000000000003</v>
      </c>
      <c r="J175" s="2091">
        <f t="shared" si="111"/>
        <v>0</v>
      </c>
      <c r="K175" s="2113">
        <f>'HVAC Deemed Table'!F813</f>
        <v>205.32</v>
      </c>
      <c r="L175" s="2113">
        <f>'HVAC Deemed Table'!F814</f>
        <v>222.52</v>
      </c>
      <c r="M175" s="2113"/>
      <c r="N175" s="2113"/>
      <c r="O175" s="2092">
        <f t="shared" si="112"/>
        <v>0.194524</v>
      </c>
      <c r="P175" s="2092">
        <f t="shared" si="113"/>
        <v>0</v>
      </c>
      <c r="Q175" s="2086">
        <f>'HVAC Deemed Table'!I813</f>
        <v>0.194524</v>
      </c>
      <c r="R175" s="2086">
        <f>'HVAC Deemed Table'!I814</f>
        <v>0</v>
      </c>
      <c r="S175" s="2086"/>
      <c r="T175" s="2086"/>
      <c r="U175" s="2087"/>
      <c r="V175" s="2087"/>
      <c r="W175" s="2087">
        <f t="shared" si="114"/>
        <v>0.194524</v>
      </c>
      <c r="X175" s="2121">
        <f>'HVAC Deemed Table'!J813</f>
        <v>18</v>
      </c>
      <c r="Y175" s="2121"/>
      <c r="Z175" s="88">
        <f t="shared" si="94"/>
        <v>18</v>
      </c>
      <c r="AA175" s="2088">
        <f>'HVAC Deemed Table'!BB813</f>
        <v>1.4661235357634463</v>
      </c>
      <c r="AB175" s="2916">
        <f>'HVAC Deemed Table'!K813</f>
        <v>336</v>
      </c>
      <c r="AC175" s="2090">
        <f t="shared" si="95"/>
        <v>464.9528154945898</v>
      </c>
      <c r="AD175" s="2090">
        <f t="shared" si="96"/>
        <v>0</v>
      </c>
      <c r="AE175" s="2956">
        <f>'HVAC Deemed Table'!BD813</f>
        <v>362.1449920940924</v>
      </c>
      <c r="AF175" s="2956">
        <f>'HVAC Deemed Table'!BD814</f>
        <v>102.80782340049738</v>
      </c>
      <c r="AG175" s="2956"/>
      <c r="AH175" s="2956"/>
      <c r="AI175" s="2263" t="str">
        <f t="shared" si="115"/>
        <v>per measure</v>
      </c>
      <c r="AJ175" s="2240">
        <f>'HVAC Deemed Table'!L813</f>
        <v>1.5184210526315791</v>
      </c>
      <c r="AK175" s="2055"/>
      <c r="AL175" s="2055"/>
      <c r="AM175" s="2057">
        <f t="shared" si="109"/>
        <v>9.4741810000000004E-4</v>
      </c>
      <c r="AN175" s="132">
        <f t="shared" si="116"/>
        <v>0.19452388429199999</v>
      </c>
      <c r="AO175" s="2048">
        <f t="shared" si="71"/>
        <v>-1.1570800001470261E-7</v>
      </c>
    </row>
    <row r="176" spans="2:41" x14ac:dyDescent="0.25">
      <c r="B176" s="2240" t="str">
        <f>'HVAC Deemed Table'!C815</f>
        <v>351750_2019_12_</v>
      </c>
      <c r="C176" s="208" t="str">
        <f>'HVAC Deemed Table'!G815</f>
        <v>Cooling RES</v>
      </c>
      <c r="D176" s="208" t="str">
        <f>'HVAC Deemed Table'!G816</f>
        <v>Heating RES</v>
      </c>
      <c r="E176" s="208" t="str">
        <f>'HVAC Deemed Table'!G817</f>
        <v>Cooling RES ER2</v>
      </c>
      <c r="F176" s="208" t="str">
        <f>'HVAC Deemed Table'!G818</f>
        <v>Heating RES ER2</v>
      </c>
      <c r="G176" s="208" t="str">
        <f>'HVAC Deemed Table'!E815</f>
        <v>Ductless ASHP Replace Electric Resistance ER1 MF</v>
      </c>
      <c r="H176" s="622" t="str">
        <f>'HVAC Deemed Table'!D815</f>
        <v>MF</v>
      </c>
      <c r="I176" s="2091">
        <f t="shared" si="110"/>
        <v>4686</v>
      </c>
      <c r="J176" s="2091">
        <f t="shared" si="111"/>
        <v>4033.4100000000003</v>
      </c>
      <c r="K176" s="2113">
        <f>'HVAC Deemed Table'!F815</f>
        <v>1039.47</v>
      </c>
      <c r="L176" s="2113">
        <f>'HVAC Deemed Table'!F816</f>
        <v>3646.53</v>
      </c>
      <c r="M176" s="2113">
        <f>'HVAC Deemed Table'!F817</f>
        <v>386.88</v>
      </c>
      <c r="N176" s="2113">
        <f>'HVAC Deemed Table'!F818</f>
        <v>3646.53</v>
      </c>
      <c r="O176" s="2092">
        <f t="shared" si="112"/>
        <v>0.98481300000000005</v>
      </c>
      <c r="P176" s="2092">
        <f t="shared" si="113"/>
        <v>0.366537</v>
      </c>
      <c r="Q176" s="2086">
        <f>'HVAC Deemed Table'!I815</f>
        <v>0.98481300000000005</v>
      </c>
      <c r="R176" s="2086">
        <f>'HVAC Deemed Table'!I816</f>
        <v>0</v>
      </c>
      <c r="S176" s="2086">
        <f>'HVAC Deemed Table'!I817</f>
        <v>0.366537</v>
      </c>
      <c r="T176" s="2086">
        <f>'HVAC Deemed Table'!I818</f>
        <v>0</v>
      </c>
      <c r="U176" s="2087"/>
      <c r="V176" s="2087"/>
      <c r="W176" s="2095">
        <f>P176</f>
        <v>0.366537</v>
      </c>
      <c r="X176" s="2121">
        <f>'HVAC Deemed Table'!J815</f>
        <v>6</v>
      </c>
      <c r="Y176" s="2121">
        <f>'HVAC Deemed Table'!J817</f>
        <v>12</v>
      </c>
      <c r="Z176" s="88">
        <f t="shared" si="94"/>
        <v>18</v>
      </c>
      <c r="AA176" s="2088">
        <f>'HVAC Deemed Table'!BB815</f>
        <v>1.1620742350001005</v>
      </c>
      <c r="AB176" s="2916">
        <f>'HVAC Deemed Table'!K815</f>
        <v>2504.17</v>
      </c>
      <c r="AC176" s="2090">
        <f t="shared" si="95"/>
        <v>1210.9754559840819</v>
      </c>
      <c r="AD176" s="2090">
        <f t="shared" si="96"/>
        <v>1535.6327904153534</v>
      </c>
      <c r="AE176" s="2956">
        <f>'HVAC Deemed Table'!BD815</f>
        <v>604.43534284605209</v>
      </c>
      <c r="AF176" s="2956">
        <f>'HVAC Deemed Table'!BD816</f>
        <v>606.54011313802982</v>
      </c>
      <c r="AG176" s="2956">
        <f>'HVAC Deemed Table'!BD817</f>
        <v>457.41732084344375</v>
      </c>
      <c r="AH176" s="2956">
        <f>'HVAC Deemed Table'!BD818</f>
        <v>1078.2154695719096</v>
      </c>
      <c r="AI176" s="2263" t="str">
        <f t="shared" si="115"/>
        <v>per measure</v>
      </c>
      <c r="AJ176" s="2240">
        <f>'HVAC Deemed Table'!L815</f>
        <v>1.57</v>
      </c>
      <c r="AK176" s="2055"/>
      <c r="AL176" s="2055"/>
      <c r="AM176" s="2057">
        <f t="shared" si="109"/>
        <v>9.4741810000000004E-4</v>
      </c>
      <c r="AN176" s="132">
        <f t="shared" si="116"/>
        <v>0.98481269240700009</v>
      </c>
      <c r="AO176" s="2048">
        <f t="shared" si="71"/>
        <v>-3.0759299995963829E-7</v>
      </c>
    </row>
    <row r="177" spans="2:41" x14ac:dyDescent="0.25">
      <c r="B177" s="2240" t="str">
        <f>'HVAC Deemed Table'!C819</f>
        <v>351751_2019_12_</v>
      </c>
      <c r="C177" s="208" t="str">
        <f>'HVAC Deemed Table'!G819</f>
        <v>Cooling RES</v>
      </c>
      <c r="D177" s="208" t="str">
        <f>'HVAC Deemed Table'!G820</f>
        <v>Heating RES</v>
      </c>
      <c r="E177" s="208" t="str">
        <f>'HVAC Deemed Table'!G821</f>
        <v>Cooling RES ER2</v>
      </c>
      <c r="F177" s="208" t="str">
        <f>'HVAC Deemed Table'!G822</f>
        <v>Heating RES ER2</v>
      </c>
      <c r="G177" s="208" t="str">
        <f>'HVAC Deemed Table'!E819</f>
        <v>Ductless ASHP Replace Electric Resistance ER1 MF_CompE</v>
      </c>
      <c r="H177" s="622" t="str">
        <f>'HVAC Deemed Table'!D819</f>
        <v>MFc</v>
      </c>
      <c r="I177" s="2091">
        <f t="shared" si="110"/>
        <v>2068.5700000000002</v>
      </c>
      <c r="J177" s="2091">
        <f t="shared" si="111"/>
        <v>1640.02</v>
      </c>
      <c r="K177" s="2113">
        <f>'HVAC Deemed Table'!F819</f>
        <v>682.61</v>
      </c>
      <c r="L177" s="2113">
        <f>'HVAC Deemed Table'!F820</f>
        <v>1385.96</v>
      </c>
      <c r="M177" s="2113">
        <f>'HVAC Deemed Table'!F821</f>
        <v>254.06</v>
      </c>
      <c r="N177" s="2113">
        <f>'HVAC Deemed Table'!F822</f>
        <v>1385.96</v>
      </c>
      <c r="O177" s="2092">
        <f t="shared" si="112"/>
        <v>0.64671699999999999</v>
      </c>
      <c r="P177" s="2092">
        <f t="shared" si="113"/>
        <v>0.240701</v>
      </c>
      <c r="Q177" s="2086">
        <f>'HVAC Deemed Table'!I819</f>
        <v>0.64671699999999999</v>
      </c>
      <c r="R177" s="2086">
        <f>'HVAC Deemed Table'!I820</f>
        <v>0</v>
      </c>
      <c r="S177" s="2086">
        <f>'HVAC Deemed Table'!I821</f>
        <v>0.240701</v>
      </c>
      <c r="T177" s="2086">
        <f>'HVAC Deemed Table'!I822</f>
        <v>0</v>
      </c>
      <c r="U177" s="2087"/>
      <c r="V177" s="2087"/>
      <c r="W177" s="2095">
        <f>P177</f>
        <v>0.240701</v>
      </c>
      <c r="X177" s="2121">
        <f>'HVAC Deemed Table'!J819</f>
        <v>6</v>
      </c>
      <c r="Y177" s="2121">
        <f>'HVAC Deemed Table'!J821</f>
        <v>12</v>
      </c>
      <c r="Z177" s="88">
        <f t="shared" si="94"/>
        <v>18</v>
      </c>
      <c r="AA177" s="2088">
        <f>'HVAC Deemed Table'!BB819</f>
        <v>0.56594946220628661</v>
      </c>
      <c r="AB177" s="2916">
        <f>'HVAC Deemed Table'!K819</f>
        <v>2504.17</v>
      </c>
      <c r="AC177" s="2090">
        <f t="shared" si="95"/>
        <v>627.45848796779205</v>
      </c>
      <c r="AD177" s="2090">
        <f t="shared" si="96"/>
        <v>710.18536741032653</v>
      </c>
      <c r="AE177" s="2956">
        <f>'HVAC Deemed Table'!BD819</f>
        <v>396.92690446106542</v>
      </c>
      <c r="AF177" s="2956">
        <f>'HVAC Deemed Table'!BD820</f>
        <v>230.53158350672661</v>
      </c>
      <c r="AG177" s="2956">
        <f>'HVAC Deemed Table'!BD821</f>
        <v>300.38111180077885</v>
      </c>
      <c r="AH177" s="2956">
        <f>'HVAC Deemed Table'!BD822</f>
        <v>409.80425560954762</v>
      </c>
      <c r="AI177" s="2263" t="str">
        <f t="shared" si="115"/>
        <v>per measure</v>
      </c>
      <c r="AJ177" s="2240">
        <f>'HVAC Deemed Table'!L819</f>
        <v>1.57</v>
      </c>
      <c r="AK177" s="2055"/>
      <c r="AL177" s="2055"/>
      <c r="AM177" s="2057">
        <f t="shared" si="109"/>
        <v>9.4741810000000004E-4</v>
      </c>
      <c r="AN177" s="132">
        <f t="shared" si="116"/>
        <v>0.64671706924100003</v>
      </c>
      <c r="AO177" s="2048">
        <f t="shared" si="71"/>
        <v>6.9241000044684142E-8</v>
      </c>
    </row>
    <row r="178" spans="2:41" x14ac:dyDescent="0.25">
      <c r="B178" s="2240" t="str">
        <f>'HVAC Deemed Table'!C823</f>
        <v>351800_2019_12_</v>
      </c>
      <c r="C178" s="208" t="str">
        <f>'HVAC Deemed Table'!G823</f>
        <v>Cooling RES</v>
      </c>
      <c r="D178" s="208" t="str">
        <f>'HVAC Deemed Table'!G824</f>
        <v>Heating RES</v>
      </c>
      <c r="E178" s="208"/>
      <c r="F178" s="208"/>
      <c r="G178" s="208" t="str">
        <f>'HVAC Deemed Table'!E823</f>
        <v>Ductless ASHP Replace Electric Resistance ROF MF</v>
      </c>
      <c r="H178" s="622" t="str">
        <f>'HVAC Deemed Table'!D823</f>
        <v>MF</v>
      </c>
      <c r="I178" s="2091">
        <f t="shared" si="110"/>
        <v>4395.3499999999995</v>
      </c>
      <c r="J178" s="2091">
        <f t="shared" si="111"/>
        <v>0</v>
      </c>
      <c r="K178" s="2113">
        <f>'HVAC Deemed Table'!F823</f>
        <v>345.19</v>
      </c>
      <c r="L178" s="2113">
        <f>'HVAC Deemed Table'!F824</f>
        <v>4050.16</v>
      </c>
      <c r="M178" s="2113"/>
      <c r="N178" s="2113"/>
      <c r="O178" s="2092">
        <f t="shared" si="112"/>
        <v>0.32703900000000002</v>
      </c>
      <c r="P178" s="2092">
        <f t="shared" si="113"/>
        <v>0</v>
      </c>
      <c r="Q178" s="2086">
        <f>'HVAC Deemed Table'!I823</f>
        <v>0.32703900000000002</v>
      </c>
      <c r="R178" s="2086">
        <f>'HVAC Deemed Table'!I824</f>
        <v>0</v>
      </c>
      <c r="S178" s="2086"/>
      <c r="T178" s="2086"/>
      <c r="U178" s="2087"/>
      <c r="V178" s="2087"/>
      <c r="W178" s="2087">
        <f>O178</f>
        <v>0.32703900000000002</v>
      </c>
      <c r="X178" s="2121">
        <f>'HVAC Deemed Table'!J823</f>
        <v>18</v>
      </c>
      <c r="Y178" s="2121"/>
      <c r="Z178" s="88">
        <f t="shared" si="94"/>
        <v>18</v>
      </c>
      <c r="AA178" s="2088">
        <f>'HVAC Deemed Table'!BB823</f>
        <v>7.8203962658928186</v>
      </c>
      <c r="AB178" s="2916">
        <f>'HVAC Deemed Table'!K823</f>
        <v>336</v>
      </c>
      <c r="AC178" s="2090">
        <f t="shared" si="95"/>
        <v>2480.087914431323</v>
      </c>
      <c r="AD178" s="2090">
        <f t="shared" si="96"/>
        <v>0</v>
      </c>
      <c r="AE178" s="2956">
        <f>'HVAC Deemed Table'!BD823</f>
        <v>608.84877177556871</v>
      </c>
      <c r="AF178" s="2956">
        <f>'HVAC Deemed Table'!BD824</f>
        <v>1871.2391426557542</v>
      </c>
      <c r="AG178" s="2956"/>
      <c r="AH178" s="2956"/>
      <c r="AI178" s="2263" t="str">
        <f t="shared" si="115"/>
        <v>per measure</v>
      </c>
      <c r="AJ178" s="2240">
        <f>'HVAC Deemed Table'!L823</f>
        <v>1.6</v>
      </c>
      <c r="AK178" s="2055"/>
      <c r="AL178" s="2055"/>
      <c r="AM178" s="2057">
        <f t="shared" si="109"/>
        <v>9.4741810000000004E-4</v>
      </c>
      <c r="AN178" s="132">
        <f t="shared" si="116"/>
        <v>0.32703925393900002</v>
      </c>
      <c r="AO178" s="2048">
        <f t="shared" si="71"/>
        <v>2.5393899999448521E-7</v>
      </c>
    </row>
    <row r="179" spans="2:41" x14ac:dyDescent="0.25">
      <c r="B179" s="2240" t="str">
        <f>'HVAC Deemed Table'!C825</f>
        <v>351801_2019_12_</v>
      </c>
      <c r="C179" s="208" t="str">
        <f>'HVAC Deemed Table'!G825</f>
        <v>Cooling RES</v>
      </c>
      <c r="D179" s="208" t="str">
        <f>'HVAC Deemed Table'!G826</f>
        <v>Heating RES</v>
      </c>
      <c r="E179" s="208"/>
      <c r="F179" s="208"/>
      <c r="G179" s="208" t="str">
        <f>'HVAC Deemed Table'!E825</f>
        <v>Ductless ASHP Replace Electric Resistance ROF MF_CompE</v>
      </c>
      <c r="H179" s="622" t="str">
        <f>'HVAC Deemed Table'!D825</f>
        <v>MFc</v>
      </c>
      <c r="I179" s="2091">
        <f t="shared" si="110"/>
        <v>1766.05</v>
      </c>
      <c r="J179" s="2091">
        <f t="shared" si="111"/>
        <v>0</v>
      </c>
      <c r="K179" s="2113">
        <f>'HVAC Deemed Table'!F825</f>
        <v>226.68</v>
      </c>
      <c r="L179" s="2113">
        <f>'HVAC Deemed Table'!F826</f>
        <v>1539.37</v>
      </c>
      <c r="M179" s="2113"/>
      <c r="N179" s="2113"/>
      <c r="O179" s="2092">
        <f t="shared" si="112"/>
        <v>0.21476100000000001</v>
      </c>
      <c r="P179" s="2092">
        <f t="shared" si="113"/>
        <v>0</v>
      </c>
      <c r="Q179" s="2086">
        <f>'HVAC Deemed Table'!I825</f>
        <v>0.21476100000000001</v>
      </c>
      <c r="R179" s="2086">
        <f>'HVAC Deemed Table'!I826</f>
        <v>0</v>
      </c>
      <c r="S179" s="2086"/>
      <c r="T179" s="2086"/>
      <c r="U179" s="2087"/>
      <c r="V179" s="2087"/>
      <c r="W179" s="2087">
        <f>O179</f>
        <v>0.21476100000000001</v>
      </c>
      <c r="X179" s="2121">
        <f>'HVAC Deemed Table'!J825</f>
        <v>18</v>
      </c>
      <c r="Y179" s="2121"/>
      <c r="Z179" s="88">
        <f t="shared" si="94"/>
        <v>18</v>
      </c>
      <c r="AA179" s="2088">
        <f>'HVAC Deemed Table'!BB825</f>
        <v>3.5033933215475348</v>
      </c>
      <c r="AB179" s="2916">
        <f>'HVAC Deemed Table'!K825</f>
        <v>336</v>
      </c>
      <c r="AC179" s="2090">
        <f t="shared" si="95"/>
        <v>1111.0336536479203</v>
      </c>
      <c r="AD179" s="2090">
        <f t="shared" si="96"/>
        <v>0</v>
      </c>
      <c r="AE179" s="2956">
        <f>'HVAC Deemed Table'!BD825</f>
        <v>399.81992405946266</v>
      </c>
      <c r="AF179" s="2956">
        <f>'HVAC Deemed Table'!BD826</f>
        <v>711.2137295884578</v>
      </c>
      <c r="AG179" s="2956"/>
      <c r="AH179" s="2956"/>
      <c r="AI179" s="2263" t="str">
        <f t="shared" si="115"/>
        <v>per measure</v>
      </c>
      <c r="AJ179" s="2240">
        <f>'HVAC Deemed Table'!L825</f>
        <v>1.6</v>
      </c>
      <c r="AK179" s="2055"/>
      <c r="AL179" s="2055"/>
      <c r="AM179" s="2057">
        <f t="shared" si="109"/>
        <v>9.4741810000000004E-4</v>
      </c>
      <c r="AN179" s="132">
        <f t="shared" si="116"/>
        <v>0.21476073490800002</v>
      </c>
      <c r="AO179" s="2048">
        <f t="shared" si="71"/>
        <v>-2.6509199999025235E-7</v>
      </c>
    </row>
    <row r="180" spans="2:41" x14ac:dyDescent="0.25">
      <c r="B180" s="2240" t="str">
        <f>'HVAC Deemed Table'!C827</f>
        <v>351850_2019_12_</v>
      </c>
      <c r="C180" s="208" t="str">
        <f>'HVAC Deemed Table'!G827</f>
        <v>Cooling RES</v>
      </c>
      <c r="D180" s="208" t="str">
        <f>'HVAC Deemed Table'!G828</f>
        <v>Heating RES</v>
      </c>
      <c r="E180" s="208" t="str">
        <f>'HVAC Deemed Table'!G829</f>
        <v>Cooling RES ER2</v>
      </c>
      <c r="F180" s="208" t="str">
        <f>'HVAC Deemed Table'!G830</f>
        <v>Heating RES ER2</v>
      </c>
      <c r="G180" s="208" t="str">
        <f>'HVAC Deemed Table'!E827</f>
        <v>Ductless ASHP ER1 MF</v>
      </c>
      <c r="H180" s="622" t="str">
        <f>'HVAC Deemed Table'!D827</f>
        <v>MF</v>
      </c>
      <c r="I180" s="2091">
        <f t="shared" si="110"/>
        <v>1800.42</v>
      </c>
      <c r="J180" s="2091">
        <f t="shared" si="111"/>
        <v>827.22</v>
      </c>
      <c r="K180" s="2113">
        <f>'HVAC Deemed Table'!F827</f>
        <v>779.12</v>
      </c>
      <c r="L180" s="2113">
        <f>'HVAC Deemed Table'!F828</f>
        <v>1021.3</v>
      </c>
      <c r="M180" s="2113">
        <f>'HVAC Deemed Table'!F829</f>
        <v>312.22000000000003</v>
      </c>
      <c r="N180" s="2113">
        <f>'HVAC Deemed Table'!F830</f>
        <v>515</v>
      </c>
      <c r="O180" s="2092">
        <f t="shared" si="112"/>
        <v>0.73815200000000003</v>
      </c>
      <c r="P180" s="2092">
        <f t="shared" si="113"/>
        <v>0.29580299999999998</v>
      </c>
      <c r="Q180" s="2086">
        <f>'HVAC Deemed Table'!I827</f>
        <v>0.73815200000000003</v>
      </c>
      <c r="R180" s="2086">
        <f>'HVAC Deemed Table'!I828</f>
        <v>0</v>
      </c>
      <c r="S180" s="2086">
        <f>'HVAC Deemed Table'!I829</f>
        <v>0.29580299999999998</v>
      </c>
      <c r="T180" s="2086">
        <f>'HVAC Deemed Table'!I830</f>
        <v>0</v>
      </c>
      <c r="U180" s="2087"/>
      <c r="V180" s="2087"/>
      <c r="W180" s="2095">
        <f>P180</f>
        <v>0.29580299999999998</v>
      </c>
      <c r="X180" s="2121">
        <f>'HVAC Deemed Table'!J827</f>
        <v>6</v>
      </c>
      <c r="Y180" s="2121">
        <f>'HVAC Deemed Table'!J829</f>
        <v>12</v>
      </c>
      <c r="Z180" s="88">
        <f t="shared" si="94"/>
        <v>18</v>
      </c>
      <c r="AA180" s="2088">
        <f>'HVAC Deemed Table'!BB827</f>
        <v>1.8692976167059803</v>
      </c>
      <c r="AB180" s="2916">
        <f>'HVAC Deemed Table'!K827</f>
        <v>648.60319098531227</v>
      </c>
      <c r="AC180" s="2090">
        <f t="shared" si="95"/>
        <v>622.92234888431699</v>
      </c>
      <c r="AD180" s="2090">
        <f t="shared" si="96"/>
        <v>521.42158608192926</v>
      </c>
      <c r="AE180" s="2956">
        <f>'HVAC Deemed Table'!BD827</f>
        <v>453.04594102592296</v>
      </c>
      <c r="AF180" s="2956">
        <f>'HVAC Deemed Table'!BD828</f>
        <v>169.87640785839409</v>
      </c>
      <c r="AG180" s="2956">
        <f>'HVAC Deemed Table'!BD829</f>
        <v>369.14504733700375</v>
      </c>
      <c r="AH180" s="2956">
        <f>'HVAC Deemed Table'!BD830</f>
        <v>152.27653874492555</v>
      </c>
      <c r="AI180" s="2263" t="str">
        <f t="shared" si="115"/>
        <v>per measure</v>
      </c>
      <c r="AJ180" s="2240">
        <f>'HVAC Deemed Table'!L827</f>
        <v>1.28125</v>
      </c>
      <c r="AK180" s="2055"/>
      <c r="AL180" s="2055"/>
      <c r="AM180" s="2057">
        <f t="shared" si="109"/>
        <v>9.4741810000000004E-4</v>
      </c>
      <c r="AN180" s="132">
        <f t="shared" si="116"/>
        <v>0.73815239007200006</v>
      </c>
      <c r="AO180" s="2048">
        <f t="shared" si="71"/>
        <v>3.9007200003382536E-7</v>
      </c>
    </row>
    <row r="181" spans="2:41" x14ac:dyDescent="0.25">
      <c r="B181" s="2240" t="str">
        <f>'HVAC Deemed Table'!C831</f>
        <v>351851_2019_12_</v>
      </c>
      <c r="C181" s="208" t="str">
        <f>'HVAC Deemed Table'!G831</f>
        <v>Cooling RES</v>
      </c>
      <c r="D181" s="208" t="str">
        <f>'HVAC Deemed Table'!G832</f>
        <v>Heating RES</v>
      </c>
      <c r="E181" s="208" t="str">
        <f>'HVAC Deemed Table'!G833</f>
        <v>Cooling RES ER2</v>
      </c>
      <c r="F181" s="208" t="str">
        <f>'HVAC Deemed Table'!G834</f>
        <v>Heating RES ER2</v>
      </c>
      <c r="G181" s="208" t="str">
        <f>'HVAC Deemed Table'!E831</f>
        <v>Ductless ASHP ER1 MF_CompE</v>
      </c>
      <c r="H181" s="622" t="str">
        <f>'HVAC Deemed Table'!D831</f>
        <v>MFc</v>
      </c>
      <c r="I181" s="2091">
        <f t="shared" si="110"/>
        <v>899.81</v>
      </c>
      <c r="J181" s="2091">
        <f t="shared" si="111"/>
        <v>400.77</v>
      </c>
      <c r="K181" s="2113">
        <f>'HVAC Deemed Table'!F831</f>
        <v>511.64</v>
      </c>
      <c r="L181" s="2113">
        <f>'HVAC Deemed Table'!F832</f>
        <v>388.17</v>
      </c>
      <c r="M181" s="2113">
        <f>'HVAC Deemed Table'!F833</f>
        <v>205.03</v>
      </c>
      <c r="N181" s="2113">
        <f>'HVAC Deemed Table'!F834</f>
        <v>195.74</v>
      </c>
      <c r="O181" s="2092">
        <f t="shared" si="112"/>
        <v>0.48473699999999997</v>
      </c>
      <c r="P181" s="2092">
        <f t="shared" si="113"/>
        <v>0.194249</v>
      </c>
      <c r="Q181" s="2086">
        <f>'HVAC Deemed Table'!I831</f>
        <v>0.48473699999999997</v>
      </c>
      <c r="R181" s="2086">
        <f>'HVAC Deemed Table'!I832</f>
        <v>0</v>
      </c>
      <c r="S181" s="2086">
        <f>'HVAC Deemed Table'!I833</f>
        <v>0.194249</v>
      </c>
      <c r="T181" s="2086">
        <f>'HVAC Deemed Table'!I834</f>
        <v>0</v>
      </c>
      <c r="U181" s="2087"/>
      <c r="V181" s="2087"/>
      <c r="W181" s="2095">
        <f>P181</f>
        <v>0.194249</v>
      </c>
      <c r="X181" s="2121">
        <f>'HVAC Deemed Table'!J831</f>
        <v>6</v>
      </c>
      <c r="Y181" s="2121">
        <f>'HVAC Deemed Table'!J833</f>
        <v>12</v>
      </c>
      <c r="Z181" s="88">
        <f t="shared" si="94"/>
        <v>18</v>
      </c>
      <c r="AA181" s="2088">
        <f>'HVAC Deemed Table'!BB831</f>
        <v>1.0819799514349249</v>
      </c>
      <c r="AB181" s="2916">
        <f>'HVAC Deemed Table'!K831</f>
        <v>648.60319098531227</v>
      </c>
      <c r="AC181" s="2090">
        <f t="shared" si="95"/>
        <v>362.07623345657754</v>
      </c>
      <c r="AD181" s="2090">
        <f t="shared" si="96"/>
        <v>300.28870196845821</v>
      </c>
      <c r="AE181" s="2956">
        <f>'HVAC Deemed Table'!BD831</f>
        <v>297.51055712406719</v>
      </c>
      <c r="AF181" s="2956">
        <f>'HVAC Deemed Table'!BD832</f>
        <v>64.565676332510364</v>
      </c>
      <c r="AG181" s="2956">
        <f>'HVAC Deemed Table'!BD833</f>
        <v>242.41178994140631</v>
      </c>
      <c r="AH181" s="2956">
        <f>'HVAC Deemed Table'!BD834</f>
        <v>57.876912027051901</v>
      </c>
      <c r="AI181" s="2263" t="str">
        <f t="shared" si="115"/>
        <v>per measure</v>
      </c>
      <c r="AJ181" s="2240">
        <f>'HVAC Deemed Table'!L831</f>
        <v>1.28125</v>
      </c>
      <c r="AK181" s="2055"/>
      <c r="AL181" s="2055"/>
      <c r="AM181" s="2057">
        <f t="shared" si="109"/>
        <v>9.4741810000000004E-4</v>
      </c>
      <c r="AN181" s="132">
        <f t="shared" si="116"/>
        <v>0.484736996684</v>
      </c>
      <c r="AO181" s="2048">
        <f t="shared" si="71"/>
        <v>-3.3159999746068536E-9</v>
      </c>
    </row>
    <row r="182" spans="2:41" x14ac:dyDescent="0.25">
      <c r="B182" s="2240" t="str">
        <f>'HVAC Deemed Table'!C1190</f>
        <v>351900_2019_12_</v>
      </c>
      <c r="C182" s="2096" t="str">
        <f>'HVAC Deemed Table'!G1190</f>
        <v>Cooling Res</v>
      </c>
      <c r="D182" s="2096" t="str">
        <f>'HVAC Deemed Table'!G1191</f>
        <v>Heating Res</v>
      </c>
      <c r="E182" s="208"/>
      <c r="F182" s="208"/>
      <c r="G182" s="208" t="str">
        <f>'HVAC Deemed Table'!E1190</f>
        <v xml:space="preserve">DFHP - SEER 19 MF heat pump base </v>
      </c>
      <c r="H182" s="622" t="str">
        <f>'HVAC Deemed Table'!D1190</f>
        <v>MF</v>
      </c>
      <c r="I182" s="2091">
        <f t="shared" ref="I182:I187" si="117">K182+L182</f>
        <v>1084.6099999999999</v>
      </c>
      <c r="J182" s="2091">
        <f t="shared" ref="J182:J187" si="118">M182+N182</f>
        <v>0</v>
      </c>
      <c r="K182" s="2113">
        <f>'HVAC Deemed Table'!F1190</f>
        <v>433.19</v>
      </c>
      <c r="L182" s="2113">
        <f>'HVAC Deemed Table'!F1191</f>
        <v>651.41999999999996</v>
      </c>
      <c r="M182" s="2113"/>
      <c r="N182" s="2113"/>
      <c r="O182" s="2092">
        <f t="shared" ref="O182:O187" si="119">Q182+R182</f>
        <v>0.410412</v>
      </c>
      <c r="P182" s="2092">
        <f t="shared" ref="P182:P187" si="120">S182+T182</f>
        <v>0</v>
      </c>
      <c r="Q182" s="2086">
        <f>'HVAC Deemed Table'!I1190</f>
        <v>0.410412</v>
      </c>
      <c r="R182" s="2086">
        <f>'HVAC Deemed Table'!I1191</f>
        <v>0</v>
      </c>
      <c r="S182" s="2086"/>
      <c r="T182" s="2086"/>
      <c r="U182" s="2087"/>
      <c r="V182" s="2087"/>
      <c r="W182" s="2087">
        <f t="shared" ref="W182:W187" si="121">O182</f>
        <v>0.410412</v>
      </c>
      <c r="X182" s="2121">
        <f>'HVAC Deemed Table'!J1190</f>
        <v>18</v>
      </c>
      <c r="Y182" s="2121"/>
      <c r="Z182" s="88">
        <f t="shared" si="94"/>
        <v>18</v>
      </c>
      <c r="AA182" s="2088">
        <f>'HVAC Deemed Table'!BB1190</f>
        <v>0.38425379181416769</v>
      </c>
      <c r="AB182" s="2916">
        <f>'HVAC Deemed Table'!K1190</f>
        <v>2936.6</v>
      </c>
      <c r="AC182" s="2090">
        <f t="shared" si="95"/>
        <v>1065.0303775757288</v>
      </c>
      <c r="AD182" s="2090">
        <f t="shared" si="96"/>
        <v>0</v>
      </c>
      <c r="AE182" s="2956">
        <f>'HVAC Deemed Table'!BD1190</f>
        <v>764.06384728832995</v>
      </c>
      <c r="AF182" s="2956">
        <f>'HVAC Deemed Table'!BD1191</f>
        <v>300.96653028739888</v>
      </c>
      <c r="AG182" s="2956"/>
      <c r="AH182" s="2956"/>
      <c r="AI182" s="2263" t="str">
        <f t="shared" si="115"/>
        <v>per measure</v>
      </c>
      <c r="AJ182" s="2240">
        <f>'HVAC Deemed Table'!L1190</f>
        <v>3.4</v>
      </c>
      <c r="AK182" s="2055"/>
      <c r="AL182" s="2055"/>
      <c r="AM182" s="2057">
        <f t="shared" si="109"/>
        <v>9.4741810000000004E-4</v>
      </c>
      <c r="AN182" s="132">
        <f t="shared" si="116"/>
        <v>0.410412046739</v>
      </c>
      <c r="AO182" s="2048">
        <f t="shared" si="71"/>
        <v>4.6739000003626074E-8</v>
      </c>
    </row>
    <row r="183" spans="2:41" x14ac:dyDescent="0.25">
      <c r="B183" s="2240" t="str">
        <f>'HVAC Deemed Table'!C1192</f>
        <v>351901_2019_12_</v>
      </c>
      <c r="C183" s="2096" t="str">
        <f>'HVAC Deemed Table'!G1192</f>
        <v>Cooling Res</v>
      </c>
      <c r="D183" s="2096" t="str">
        <f>'HVAC Deemed Table'!G1193</f>
        <v>Heating Res</v>
      </c>
      <c r="E183" s="208"/>
      <c r="F183" s="208"/>
      <c r="G183" s="208" t="str">
        <f>'HVAC Deemed Table'!E1192</f>
        <v>DFHP - SEER 19 MF heat pump base _CompE</v>
      </c>
      <c r="H183" s="622" t="str">
        <f>'HVAC Deemed Table'!D1192</f>
        <v>MFc</v>
      </c>
      <c r="I183" s="2091">
        <f t="shared" si="117"/>
        <v>611.94000000000005</v>
      </c>
      <c r="J183" s="2091">
        <f t="shared" si="118"/>
        <v>0</v>
      </c>
      <c r="K183" s="2113">
        <f>'HVAC Deemed Table'!F1192</f>
        <v>315.05</v>
      </c>
      <c r="L183" s="2113">
        <f>'HVAC Deemed Table'!F1193</f>
        <v>296.89</v>
      </c>
      <c r="M183" s="2113"/>
      <c r="N183" s="2113"/>
      <c r="O183" s="2092">
        <f t="shared" si="119"/>
        <v>0.29848400000000003</v>
      </c>
      <c r="P183" s="2092">
        <f t="shared" si="120"/>
        <v>0</v>
      </c>
      <c r="Q183" s="2086">
        <f>'HVAC Deemed Table'!I1192</f>
        <v>0.29848400000000003</v>
      </c>
      <c r="R183" s="2086">
        <f>'HVAC Deemed Table'!I1193</f>
        <v>0</v>
      </c>
      <c r="S183" s="2086"/>
      <c r="T183" s="2086"/>
      <c r="U183" s="2087"/>
      <c r="V183" s="2087"/>
      <c r="W183" s="2087">
        <f t="shared" si="121"/>
        <v>0.29848400000000003</v>
      </c>
      <c r="X183" s="2121">
        <f>'HVAC Deemed Table'!J1192</f>
        <v>18</v>
      </c>
      <c r="Y183" s="2121"/>
      <c r="Z183" s="88">
        <f t="shared" si="94"/>
        <v>18</v>
      </c>
      <c r="AA183" s="2088">
        <f>'HVAC Deemed Table'!BB1192</f>
        <v>0.2499763249434484</v>
      </c>
      <c r="AB183" s="2916">
        <f>'HVAC Deemed Table'!K1192</f>
        <v>2936.6</v>
      </c>
      <c r="AC183" s="2090">
        <f t="shared" si="95"/>
        <v>692.85556944684333</v>
      </c>
      <c r="AD183" s="2090">
        <f t="shared" si="96"/>
        <v>0</v>
      </c>
      <c r="AE183" s="2956">
        <f>'HVAC Deemed Table'!BD1192</f>
        <v>555.68760841244796</v>
      </c>
      <c r="AF183" s="2956">
        <f>'HVAC Deemed Table'!BD1193</f>
        <v>137.1679610343954</v>
      </c>
      <c r="AG183" s="2956"/>
      <c r="AH183" s="2956"/>
      <c r="AI183" s="2263" t="str">
        <f t="shared" si="115"/>
        <v>per measure</v>
      </c>
      <c r="AJ183" s="2240">
        <f>'HVAC Deemed Table'!L1192</f>
        <v>3.4</v>
      </c>
      <c r="AK183" s="2055"/>
      <c r="AL183" s="2055"/>
      <c r="AM183" s="2057">
        <f t="shared" si="109"/>
        <v>9.4741810000000004E-4</v>
      </c>
      <c r="AN183" s="132">
        <f t="shared" si="116"/>
        <v>0.29848407240500002</v>
      </c>
      <c r="AO183" s="2048">
        <f t="shared" si="71"/>
        <v>7.2404999995612229E-8</v>
      </c>
    </row>
    <row r="184" spans="2:41" x14ac:dyDescent="0.25">
      <c r="B184" s="2240" t="str">
        <f>'HVAC Deemed Table'!C1194</f>
        <v>351950_2019_12_</v>
      </c>
      <c r="C184" s="2096" t="str">
        <f>'HVAC Deemed Table'!G1194</f>
        <v>Cooling Res</v>
      </c>
      <c r="D184" s="2096" t="str">
        <f>'HVAC Deemed Table'!G1195</f>
        <v>Heating Res</v>
      </c>
      <c r="E184" s="208"/>
      <c r="F184" s="208"/>
      <c r="G184" s="208" t="str">
        <f>'HVAC Deemed Table'!E1194</f>
        <v>DFHP - SEER 20 MF heat pump base</v>
      </c>
      <c r="H184" s="622" t="str">
        <f>'HVAC Deemed Table'!D1194</f>
        <v>MF</v>
      </c>
      <c r="I184" s="2091">
        <f t="shared" si="117"/>
        <v>1629.81</v>
      </c>
      <c r="J184" s="2091">
        <f t="shared" si="118"/>
        <v>0</v>
      </c>
      <c r="K184" s="2113">
        <f>'HVAC Deemed Table'!F1194</f>
        <v>639.09</v>
      </c>
      <c r="L184" s="2113">
        <f>'HVAC Deemed Table'!F1195</f>
        <v>990.72</v>
      </c>
      <c r="M184" s="2113"/>
      <c r="N184" s="2113"/>
      <c r="O184" s="2092">
        <f t="shared" si="119"/>
        <v>0.60548500000000005</v>
      </c>
      <c r="P184" s="2092">
        <f t="shared" si="120"/>
        <v>0</v>
      </c>
      <c r="Q184" s="2086">
        <f>'HVAC Deemed Table'!I1194</f>
        <v>0.60548500000000005</v>
      </c>
      <c r="R184" s="2086">
        <f>'HVAC Deemed Table'!I1195</f>
        <v>0</v>
      </c>
      <c r="S184" s="2086"/>
      <c r="T184" s="2086"/>
      <c r="U184" s="2087"/>
      <c r="V184" s="2087"/>
      <c r="W184" s="2087">
        <f t="shared" si="121"/>
        <v>0.60548500000000005</v>
      </c>
      <c r="X184" s="2121">
        <f>'HVAC Deemed Table'!J1194</f>
        <v>18</v>
      </c>
      <c r="Y184" s="2121"/>
      <c r="Z184" s="88">
        <f t="shared" si="94"/>
        <v>18</v>
      </c>
      <c r="AA184" s="2088">
        <f>'HVAC Deemed Table'!BB1194</f>
        <v>0.52863614821545901</v>
      </c>
      <c r="AB184" s="2916">
        <f>'HVAC Deemed Table'!K1194</f>
        <v>3176.6</v>
      </c>
      <c r="AC184" s="2090">
        <f t="shared" si="95"/>
        <v>1584.9604421153629</v>
      </c>
      <c r="AD184" s="2090">
        <f t="shared" si="96"/>
        <v>0</v>
      </c>
      <c r="AE184" s="2956">
        <f>'HVAC Deemed Table'!BD1194</f>
        <v>1127.2318478346656</v>
      </c>
      <c r="AF184" s="2956">
        <f>'HVAC Deemed Table'!BD1195</f>
        <v>457.72859428069728</v>
      </c>
      <c r="AG184" s="2956"/>
      <c r="AH184" s="2956"/>
      <c r="AI184" s="2263" t="str">
        <f t="shared" si="115"/>
        <v>per measure</v>
      </c>
      <c r="AJ184" s="2240">
        <f>'HVAC Deemed Table'!L1194</f>
        <v>4.4000000000000004</v>
      </c>
      <c r="AK184" s="2055"/>
      <c r="AL184" s="2055"/>
      <c r="AM184" s="2057">
        <f t="shared" si="109"/>
        <v>9.4741810000000004E-4</v>
      </c>
      <c r="AN184" s="132">
        <f t="shared" si="116"/>
        <v>0.60548543352900008</v>
      </c>
      <c r="AO184" s="2048">
        <f t="shared" ref="AO184:AO247" si="122">AN184-O184</f>
        <v>4.3352900003235106E-7</v>
      </c>
    </row>
    <row r="185" spans="2:41" x14ac:dyDescent="0.25">
      <c r="B185" s="2240" t="str">
        <f>'HVAC Deemed Table'!C1196</f>
        <v>351951_2019_12_</v>
      </c>
      <c r="C185" s="2096" t="str">
        <f>'HVAC Deemed Table'!G1196</f>
        <v>Cooling Res</v>
      </c>
      <c r="D185" s="2096" t="str">
        <f>'HVAC Deemed Table'!G1197</f>
        <v>Heating Res</v>
      </c>
      <c r="E185" s="208"/>
      <c r="F185" s="208"/>
      <c r="G185" s="208" t="str">
        <f>'HVAC Deemed Table'!E1196</f>
        <v>DFHP - SEER 20 MF heat pump base_CompE</v>
      </c>
      <c r="H185" s="622" t="str">
        <f>'HVAC Deemed Table'!D1196</f>
        <v>MFc</v>
      </c>
      <c r="I185" s="2091">
        <f t="shared" si="117"/>
        <v>916.33</v>
      </c>
      <c r="J185" s="2091">
        <f t="shared" si="118"/>
        <v>0</v>
      </c>
      <c r="K185" s="2113">
        <f>'HVAC Deemed Table'!F1196</f>
        <v>464.79</v>
      </c>
      <c r="L185" s="2113">
        <f>'HVAC Deemed Table'!F1197</f>
        <v>451.54</v>
      </c>
      <c r="M185" s="2113"/>
      <c r="N185" s="2113"/>
      <c r="O185" s="2092">
        <f t="shared" si="119"/>
        <v>0.44035000000000002</v>
      </c>
      <c r="P185" s="2092">
        <f t="shared" si="120"/>
        <v>0</v>
      </c>
      <c r="Q185" s="2086">
        <f>'HVAC Deemed Table'!I1196</f>
        <v>0.44035000000000002</v>
      </c>
      <c r="R185" s="2086">
        <f>'HVAC Deemed Table'!I1197</f>
        <v>0</v>
      </c>
      <c r="S185" s="2086"/>
      <c r="T185" s="2086"/>
      <c r="U185" s="2087"/>
      <c r="V185" s="2087"/>
      <c r="W185" s="2087">
        <f t="shared" si="121"/>
        <v>0.44035000000000002</v>
      </c>
      <c r="X185" s="2121">
        <f>'HVAC Deemed Table'!J1196</f>
        <v>18</v>
      </c>
      <c r="Y185" s="2121"/>
      <c r="Z185" s="88">
        <f t="shared" si="94"/>
        <v>18</v>
      </c>
      <c r="AA185" s="2088">
        <f>'HVAC Deemed Table'!BB1196</f>
        <v>0.34301134771560521</v>
      </c>
      <c r="AB185" s="2916">
        <f>'HVAC Deemed Table'!K1196</f>
        <v>3176.6</v>
      </c>
      <c r="AC185" s="2090">
        <f t="shared" si="95"/>
        <v>1028.4189213340173</v>
      </c>
      <c r="AD185" s="2090">
        <f t="shared" si="96"/>
        <v>0</v>
      </c>
      <c r="AE185" s="2956">
        <f>'HVAC Deemed Table'!BD1196</f>
        <v>819.8001698588215</v>
      </c>
      <c r="AF185" s="2956">
        <f>'HVAC Deemed Table'!BD1197</f>
        <v>208.61875147519586</v>
      </c>
      <c r="AG185" s="2956"/>
      <c r="AH185" s="2956"/>
      <c r="AI185" s="2263" t="str">
        <f t="shared" si="115"/>
        <v>per measure</v>
      </c>
      <c r="AJ185" s="2240">
        <f>'HVAC Deemed Table'!L1196</f>
        <v>4.4000000000000004</v>
      </c>
      <c r="AK185" s="2055"/>
      <c r="AL185" s="2055"/>
      <c r="AM185" s="2057">
        <f t="shared" si="109"/>
        <v>9.4741810000000004E-4</v>
      </c>
      <c r="AN185" s="132">
        <f t="shared" si="116"/>
        <v>0.44035045869900002</v>
      </c>
      <c r="AO185" s="2048">
        <f t="shared" si="122"/>
        <v>4.5869900000550246E-7</v>
      </c>
    </row>
    <row r="186" spans="2:41" x14ac:dyDescent="0.25">
      <c r="B186" s="2240" t="str">
        <f>'HVAC Deemed Table'!C1198</f>
        <v>352000_2019_12_</v>
      </c>
      <c r="C186" s="2096" t="str">
        <f>'HVAC Deemed Table'!G1198</f>
        <v>Cooling Res</v>
      </c>
      <c r="D186" s="2096" t="str">
        <f>'HVAC Deemed Table'!G1199</f>
        <v>Heating Res</v>
      </c>
      <c r="E186" s="208"/>
      <c r="F186" s="208"/>
      <c r="G186" s="208" t="str">
        <f>'HVAC Deemed Table'!E1198</f>
        <v>DFHP - SEER 21 MF heat pump base</v>
      </c>
      <c r="H186" s="622" t="str">
        <f>'HVAC Deemed Table'!D1198</f>
        <v>MF</v>
      </c>
      <c r="I186" s="2091">
        <f t="shared" si="117"/>
        <v>2255.2200000000003</v>
      </c>
      <c r="J186" s="2091">
        <f t="shared" si="118"/>
        <v>0</v>
      </c>
      <c r="K186" s="2113">
        <f>'HVAC Deemed Table'!F1198</f>
        <v>871.48</v>
      </c>
      <c r="L186" s="2113">
        <f>'HVAC Deemed Table'!F1199</f>
        <v>1383.74</v>
      </c>
      <c r="M186" s="2113"/>
      <c r="N186" s="2113"/>
      <c r="O186" s="2092">
        <f t="shared" si="119"/>
        <v>0.82565599999999995</v>
      </c>
      <c r="P186" s="2092">
        <f t="shared" si="120"/>
        <v>0</v>
      </c>
      <c r="Q186" s="2086">
        <f>'HVAC Deemed Table'!I1198</f>
        <v>0.82565599999999995</v>
      </c>
      <c r="R186" s="2086">
        <f>'HVAC Deemed Table'!I1199</f>
        <v>0</v>
      </c>
      <c r="S186" s="2086"/>
      <c r="T186" s="2086"/>
      <c r="U186" s="2087"/>
      <c r="V186" s="2087"/>
      <c r="W186" s="2087">
        <f t="shared" si="121"/>
        <v>0.82565599999999995</v>
      </c>
      <c r="X186" s="2121">
        <f>'HVAC Deemed Table'!J1198</f>
        <v>18</v>
      </c>
      <c r="Y186" s="2121"/>
      <c r="Z186" s="88">
        <f t="shared" si="94"/>
        <v>18</v>
      </c>
      <c r="AA186" s="2088">
        <f>'HVAC Deemed Table'!BB1198</f>
        <v>0.63583826644202834</v>
      </c>
      <c r="AB186" s="2916">
        <f>'HVAC Deemed Table'!K1198</f>
        <v>3626.6</v>
      </c>
      <c r="AC186" s="2090">
        <f t="shared" si="95"/>
        <v>2176.4332770917035</v>
      </c>
      <c r="AD186" s="2090">
        <f t="shared" si="96"/>
        <v>0</v>
      </c>
      <c r="AE186" s="2956">
        <f>'HVAC Deemed Table'!BD1198</f>
        <v>1537.1231137256948</v>
      </c>
      <c r="AF186" s="2956">
        <f>'HVAC Deemed Table'!BD1199</f>
        <v>639.31016336600862</v>
      </c>
      <c r="AG186" s="2956"/>
      <c r="AH186" s="2956"/>
      <c r="AI186" s="2263" t="str">
        <f t="shared" si="115"/>
        <v>per measure</v>
      </c>
      <c r="AJ186" s="2240">
        <f>'HVAC Deemed Table'!L1198</f>
        <v>5.4</v>
      </c>
      <c r="AK186" s="2055"/>
      <c r="AL186" s="2055"/>
      <c r="AM186" s="2057">
        <f t="shared" si="109"/>
        <v>9.4741810000000004E-4</v>
      </c>
      <c r="AN186" s="132">
        <f t="shared" si="116"/>
        <v>0.82565592578800007</v>
      </c>
      <c r="AO186" s="2048">
        <f t="shared" si="122"/>
        <v>-7.4211999878670554E-8</v>
      </c>
    </row>
    <row r="187" spans="2:41" x14ac:dyDescent="0.25">
      <c r="B187" s="2240" t="str">
        <f>'HVAC Deemed Table'!C1200</f>
        <v>352001_2019_12_</v>
      </c>
      <c r="C187" s="2096" t="str">
        <f>'HVAC Deemed Table'!G1200</f>
        <v>Cooling Res</v>
      </c>
      <c r="D187" s="2096" t="str">
        <f>'HVAC Deemed Table'!G1201</f>
        <v>Heating Res</v>
      </c>
      <c r="E187" s="208"/>
      <c r="F187" s="208"/>
      <c r="G187" s="208" t="str">
        <f>'HVAC Deemed Table'!E1200</f>
        <v>DFHP - SEER 21 MF heat pump base_CompE</v>
      </c>
      <c r="H187" s="622" t="str">
        <f>'HVAC Deemed Table'!D1200</f>
        <v>MFc</v>
      </c>
      <c r="I187" s="2091">
        <f t="shared" si="117"/>
        <v>1264.4699999999998</v>
      </c>
      <c r="J187" s="2091">
        <f t="shared" si="118"/>
        <v>0</v>
      </c>
      <c r="K187" s="2113">
        <f>'HVAC Deemed Table'!F1200</f>
        <v>633.80999999999995</v>
      </c>
      <c r="L187" s="2113">
        <f>'HVAC Deemed Table'!F1201</f>
        <v>630.66</v>
      </c>
      <c r="M187" s="2113"/>
      <c r="N187" s="2113"/>
      <c r="O187" s="2092">
        <f t="shared" si="119"/>
        <v>0.60048299999999999</v>
      </c>
      <c r="P187" s="2092">
        <f t="shared" si="120"/>
        <v>0</v>
      </c>
      <c r="Q187" s="2086">
        <f>'HVAC Deemed Table'!I1200</f>
        <v>0.60048299999999999</v>
      </c>
      <c r="R187" s="2086">
        <f>'HVAC Deemed Table'!I1201</f>
        <v>0</v>
      </c>
      <c r="S187" s="2086"/>
      <c r="T187" s="2086"/>
      <c r="U187" s="2087"/>
      <c r="V187" s="2087"/>
      <c r="W187" s="2087">
        <f t="shared" si="121"/>
        <v>0.60048299999999999</v>
      </c>
      <c r="X187" s="2121">
        <f>'HVAC Deemed Table'!J1200</f>
        <v>18</v>
      </c>
      <c r="Y187" s="2121"/>
      <c r="Z187" s="88">
        <f t="shared" si="94"/>
        <v>18</v>
      </c>
      <c r="AA187" s="2088">
        <f>'HVAC Deemed Table'!BB1200</f>
        <v>0.4117208993065255</v>
      </c>
      <c r="AB187" s="2916">
        <f>'HVAC Deemed Table'!K1200</f>
        <v>3626.6</v>
      </c>
      <c r="AC187" s="2090">
        <f t="shared" si="95"/>
        <v>1409.294019278004</v>
      </c>
      <c r="AD187" s="2090">
        <f t="shared" si="96"/>
        <v>0</v>
      </c>
      <c r="AE187" s="2956">
        <f>'HVAC Deemed Table'!BD1200</f>
        <v>1117.9189433038998</v>
      </c>
      <c r="AF187" s="2956">
        <f>'HVAC Deemed Table'!BD1201</f>
        <v>291.37507597410422</v>
      </c>
      <c r="AG187" s="2956"/>
      <c r="AH187" s="2956"/>
      <c r="AI187" s="2263" t="str">
        <f t="shared" si="115"/>
        <v>per measure</v>
      </c>
      <c r="AJ187" s="2240">
        <f>'HVAC Deemed Table'!L1200</f>
        <v>5.4</v>
      </c>
      <c r="AK187" s="2055"/>
      <c r="AL187" s="2055"/>
      <c r="AM187" s="2057">
        <f t="shared" si="109"/>
        <v>9.4741810000000004E-4</v>
      </c>
      <c r="AN187" s="132">
        <f t="shared" si="116"/>
        <v>0.60048306596099998</v>
      </c>
      <c r="AO187" s="2048">
        <f t="shared" si="122"/>
        <v>6.596099999534033E-8</v>
      </c>
    </row>
    <row r="188" spans="2:41" x14ac:dyDescent="0.25">
      <c r="B188" s="2240" t="str">
        <f>'HVAC Deemed Table'!C1295</f>
        <v>352050_2019_12_</v>
      </c>
      <c r="C188" s="2096" t="str">
        <f>'HVAC Deemed Table'!G1295</f>
        <v>Cooling Res</v>
      </c>
      <c r="D188" s="2096" t="str">
        <f>'HVAC Deemed Table'!G1296</f>
        <v>Heating RES</v>
      </c>
      <c r="E188" s="208"/>
      <c r="F188" s="208"/>
      <c r="G188" s="208" t="str">
        <f>'HVAC Deemed Table'!E1295</f>
        <v>GSHP - EER 23 - replace electric furnace / CAC - Cooling</v>
      </c>
      <c r="H188" s="622" t="str">
        <f>'HVAC Deemed Table'!D1295</f>
        <v>SF</v>
      </c>
      <c r="I188" s="2091">
        <f t="shared" ref="I188:I194" si="123">K188+L188</f>
        <v>18295.59</v>
      </c>
      <c r="J188" s="2091">
        <f t="shared" ref="J188:J194" si="124">M188+N188</f>
        <v>0</v>
      </c>
      <c r="K188" s="2113">
        <f>'HVAC Deemed Table'!F1295</f>
        <v>1387.05</v>
      </c>
      <c r="L188" s="2113">
        <f>'HVAC Deemed Table'!F1296</f>
        <v>16908.54</v>
      </c>
      <c r="M188" s="2113"/>
      <c r="N188" s="2113"/>
      <c r="O188" s="2092">
        <f t="shared" ref="O188:O194" si="125">Q188+R188</f>
        <v>1.3141160000000001</v>
      </c>
      <c r="P188" s="2092">
        <f t="shared" ref="P188:P194" si="126">S188+T188</f>
        <v>0</v>
      </c>
      <c r="Q188" s="2086">
        <f>'HVAC Deemed Table'!I1295</f>
        <v>1.3141160000000001</v>
      </c>
      <c r="R188" s="2086">
        <f>'HVAC Deemed Table'!I1296</f>
        <v>0</v>
      </c>
      <c r="S188" s="2086"/>
      <c r="T188" s="2086"/>
      <c r="U188" s="2087"/>
      <c r="V188" s="2087"/>
      <c r="W188" s="2087">
        <f>O188</f>
        <v>1.3141160000000001</v>
      </c>
      <c r="X188" s="2121">
        <f>'HVAC Deemed Table'!J1295</f>
        <v>18</v>
      </c>
      <c r="Y188" s="2121"/>
      <c r="Z188" s="88">
        <f t="shared" si="94"/>
        <v>18</v>
      </c>
      <c r="AA188" s="2088">
        <f>'HVAC Deemed Table'!BB1295</f>
        <v>2.3041951212001193</v>
      </c>
      <c r="AB188" s="2916">
        <f>'HVAC Deemed Table'!K1295</f>
        <v>4717</v>
      </c>
      <c r="AC188" s="2090">
        <f t="shared" si="95"/>
        <v>10258.507207834791</v>
      </c>
      <c r="AD188" s="2090">
        <f t="shared" si="96"/>
        <v>0</v>
      </c>
      <c r="AE188" s="2956">
        <f>'HVAC Deemed Table'!BD1295</f>
        <v>2446.4894373860843</v>
      </c>
      <c r="AF188" s="2956">
        <f>'HVAC Deemed Table'!BD1296</f>
        <v>7812.017770448706</v>
      </c>
      <c r="AG188" s="2956"/>
      <c r="AH188" s="2956"/>
      <c r="AI188" s="2263" t="str">
        <f t="shared" si="115"/>
        <v>per measure</v>
      </c>
      <c r="AJ188" s="2240">
        <f>'HVAC Deemed Table'!L1295</f>
        <v>3.8125</v>
      </c>
      <c r="AK188" s="2055"/>
      <c r="AL188" s="2055"/>
      <c r="AM188" s="2057">
        <f t="shared" si="109"/>
        <v>9.4741810000000004E-4</v>
      </c>
      <c r="AN188" s="132">
        <f t="shared" si="116"/>
        <v>1.314116275605</v>
      </c>
      <c r="AO188" s="2048">
        <f t="shared" si="122"/>
        <v>2.7560499993306564E-7</v>
      </c>
    </row>
    <row r="189" spans="2:41" x14ac:dyDescent="0.25">
      <c r="B189" s="2240" t="str">
        <f>'HVAC Deemed Table'!C1297</f>
        <v>352100_2019_12_</v>
      </c>
      <c r="C189" s="2096" t="str">
        <f>'HVAC Deemed Table'!G1297</f>
        <v>Cooling Res</v>
      </c>
      <c r="D189" s="2096" t="str">
        <f>'HVAC Deemed Table'!G1298</f>
        <v>Heating RES</v>
      </c>
      <c r="E189" s="2096" t="str">
        <f>'HVAC Deemed Table'!G1299</f>
        <v>Cooling Res ER2</v>
      </c>
      <c r="F189" s="2096" t="str">
        <f>'HVAC Deemed Table'!G1300</f>
        <v>Heating RES ER2</v>
      </c>
      <c r="G189" s="208" t="str">
        <f>'HVAC Deemed Table'!E1297</f>
        <v>GSHP - EER 23 - replace electric furnace / CAC ER1- Cooling</v>
      </c>
      <c r="H189" s="622" t="str">
        <f>'HVAC Deemed Table'!D1297</f>
        <v>SF</v>
      </c>
      <c r="I189" s="2091">
        <f t="shared" si="123"/>
        <v>20284.66</v>
      </c>
      <c r="J189" s="2091">
        <f t="shared" si="124"/>
        <v>17154.07</v>
      </c>
      <c r="K189" s="2113">
        <f>'HVAC Deemed Table'!F1297</f>
        <v>4734.18</v>
      </c>
      <c r="L189" s="2113">
        <f>'HVAC Deemed Table'!F1298</f>
        <v>15550.48</v>
      </c>
      <c r="M189" s="2113">
        <f>'HVAC Deemed Table'!F1299</f>
        <v>1603.59</v>
      </c>
      <c r="N189" s="2113">
        <f>'HVAC Deemed Table'!F1300</f>
        <v>15550.48</v>
      </c>
      <c r="O189" s="2092">
        <f t="shared" si="125"/>
        <v>4.4852480000000003</v>
      </c>
      <c r="P189" s="2092">
        <f t="shared" si="126"/>
        <v>1.5192699999999999</v>
      </c>
      <c r="Q189" s="2086">
        <f>'HVAC Deemed Table'!I1297</f>
        <v>4.4852480000000003</v>
      </c>
      <c r="R189" s="2086">
        <f>'HVAC Deemed Table'!I1298</f>
        <v>0</v>
      </c>
      <c r="S189" s="2086">
        <f>'HVAC Deemed Table'!I1299</f>
        <v>1.5192699999999999</v>
      </c>
      <c r="T189" s="2086">
        <f>'HVAC Deemed Table'!I1300</f>
        <v>0</v>
      </c>
      <c r="U189" s="2087"/>
      <c r="V189" s="2087"/>
      <c r="W189" s="2095">
        <f>P189</f>
        <v>1.5192699999999999</v>
      </c>
      <c r="X189" s="2121">
        <f>'HVAC Deemed Table'!J1297</f>
        <v>6</v>
      </c>
      <c r="Y189" s="2121">
        <f>'HVAC Deemed Table'!J1299</f>
        <v>12</v>
      </c>
      <c r="Z189" s="88">
        <f t="shared" si="94"/>
        <v>18</v>
      </c>
      <c r="AA189" s="2088">
        <f>'HVAC Deemed Table'!BB1297</f>
        <v>2.3880897995487156</v>
      </c>
      <c r="AB189" s="2916">
        <f>'HVAC Deemed Table'!K1297</f>
        <v>5250</v>
      </c>
      <c r="AC189" s="2090">
        <f t="shared" si="95"/>
        <v>5339.4165251639624</v>
      </c>
      <c r="AD189" s="2090">
        <f t="shared" si="96"/>
        <v>6493.9685127131061</v>
      </c>
      <c r="AE189" s="2956">
        <f>'HVAC Deemed Table'!BD1297</f>
        <v>2752.8506944836536</v>
      </c>
      <c r="AF189" s="2956">
        <f>'HVAC Deemed Table'!BD1298</f>
        <v>2586.5658306803093</v>
      </c>
      <c r="AG189" s="2956">
        <f>'HVAC Deemed Table'!BD1299</f>
        <v>1895.9621627671058</v>
      </c>
      <c r="AH189" s="2956">
        <f>'HVAC Deemed Table'!BD1300</f>
        <v>4598.0063499460002</v>
      </c>
      <c r="AI189" s="2263" t="str">
        <f t="shared" si="115"/>
        <v>per measure</v>
      </c>
      <c r="AJ189" s="2240">
        <f>'HVAC Deemed Table'!L1297</f>
        <v>3.8125</v>
      </c>
      <c r="AK189" s="2055"/>
      <c r="AL189" s="2055"/>
      <c r="AM189" s="2057">
        <f t="shared" si="109"/>
        <v>9.4741810000000004E-4</v>
      </c>
      <c r="AN189" s="132">
        <f t="shared" si="116"/>
        <v>4.4852478206580004</v>
      </c>
      <c r="AO189" s="2048">
        <f t="shared" si="122"/>
        <v>-1.7934199991742616E-7</v>
      </c>
    </row>
    <row r="190" spans="2:41" x14ac:dyDescent="0.25">
      <c r="B190" s="2240" t="str">
        <f>'HVAC Deemed Table'!C1301</f>
        <v>352200_2019_12_</v>
      </c>
      <c r="C190" s="2096" t="str">
        <f>'HVAC Deemed Table'!G1301</f>
        <v>Cooling Res</v>
      </c>
      <c r="D190" s="2096" t="str">
        <f>'HVAC Deemed Table'!G1302</f>
        <v>Heating RES</v>
      </c>
      <c r="E190" s="2096" t="str">
        <f>'HVAC Deemed Table'!G1303</f>
        <v>Cooling Res ER2</v>
      </c>
      <c r="F190" s="2096" t="str">
        <f>'HVAC Deemed Table'!G1304</f>
        <v>Heating RES ER2</v>
      </c>
      <c r="G190" s="208" t="str">
        <f>'HVAC Deemed Table'!E1301</f>
        <v>GSHP EER 23 ER1 - Cooling</v>
      </c>
      <c r="H190" s="622" t="str">
        <f>'HVAC Deemed Table'!D1301</f>
        <v>SF</v>
      </c>
      <c r="I190" s="2091">
        <f t="shared" si="123"/>
        <v>5057.8600000000006</v>
      </c>
      <c r="J190" s="2091">
        <f t="shared" si="124"/>
        <v>3721.72</v>
      </c>
      <c r="K190" s="2113">
        <f>'HVAC Deemed Table'!F1301</f>
        <v>2089.52</v>
      </c>
      <c r="L190" s="2113">
        <f>'HVAC Deemed Table'!F1302</f>
        <v>2968.34</v>
      </c>
      <c r="M190" s="2113">
        <f>'HVAC Deemed Table'!F1303</f>
        <v>1536.02</v>
      </c>
      <c r="N190" s="2113">
        <f>'HVAC Deemed Table'!F1304</f>
        <v>2185.6999999999998</v>
      </c>
      <c r="O190" s="2092">
        <f t="shared" si="125"/>
        <v>1.979649</v>
      </c>
      <c r="P190" s="2092">
        <f t="shared" si="126"/>
        <v>1.4552529999999999</v>
      </c>
      <c r="Q190" s="2086">
        <f>'HVAC Deemed Table'!I1301</f>
        <v>1.979649</v>
      </c>
      <c r="R190" s="2086">
        <f>'HVAC Deemed Table'!I1302</f>
        <v>0</v>
      </c>
      <c r="S190" s="2086">
        <f>'HVAC Deemed Table'!I1303</f>
        <v>1.4552529999999999</v>
      </c>
      <c r="T190" s="2086">
        <f>'HVAC Deemed Table'!I1304</f>
        <v>0</v>
      </c>
      <c r="U190" s="2087"/>
      <c r="V190" s="2087"/>
      <c r="W190" s="2095">
        <f>P190</f>
        <v>1.4552529999999999</v>
      </c>
      <c r="X190" s="2121">
        <f>'HVAC Deemed Table'!J1301</f>
        <v>6</v>
      </c>
      <c r="Y190" s="2121">
        <f>'HVAC Deemed Table'!J1303</f>
        <v>12</v>
      </c>
      <c r="Z190" s="88">
        <f t="shared" si="94"/>
        <v>18</v>
      </c>
      <c r="AA190" s="2088">
        <f>'HVAC Deemed Table'!BB1301</f>
        <v>0.90950480414071189</v>
      </c>
      <c r="AB190" s="2916">
        <f>'HVAC Deemed Table'!K1301</f>
        <v>4859</v>
      </c>
      <c r="AC190" s="2090">
        <f t="shared" si="95"/>
        <v>1708.7571820480152</v>
      </c>
      <c r="AD190" s="2090">
        <f t="shared" si="96"/>
        <v>2462.346020707736</v>
      </c>
      <c r="AE190" s="2956">
        <f>'HVAC Deemed Table'!BD1301</f>
        <v>1215.0227881359565</v>
      </c>
      <c r="AF190" s="2956">
        <f>'HVAC Deemed Table'!BD1302</f>
        <v>493.73439391205869</v>
      </c>
      <c r="AG190" s="2956">
        <f>'HVAC Deemed Table'!BD1303</f>
        <v>1816.0725629702918</v>
      </c>
      <c r="AH190" s="2956">
        <f>'HVAC Deemed Table'!BD1304</f>
        <v>646.27345773744423</v>
      </c>
      <c r="AI190" s="2263" t="str">
        <f t="shared" si="115"/>
        <v>per measure</v>
      </c>
      <c r="AJ190" s="2240">
        <f>'HVAC Deemed Table'!L1301</f>
        <v>4.2765957446808507</v>
      </c>
      <c r="AK190" s="2055"/>
      <c r="AL190" s="2055"/>
      <c r="AM190" s="2057">
        <f t="shared" si="109"/>
        <v>9.4741810000000004E-4</v>
      </c>
      <c r="AN190" s="132">
        <f t="shared" si="116"/>
        <v>1.979649068312</v>
      </c>
      <c r="AO190" s="2048">
        <f t="shared" si="122"/>
        <v>6.831200005663618E-8</v>
      </c>
    </row>
    <row r="191" spans="2:41" x14ac:dyDescent="0.25">
      <c r="B191" s="2240" t="str">
        <f>'HVAC Deemed Table'!C1305</f>
        <v>352250_2019_12_</v>
      </c>
      <c r="C191" s="2096" t="str">
        <f>'HVAC Deemed Table'!G1305</f>
        <v>Cooling Res</v>
      </c>
      <c r="D191" s="2096" t="str">
        <f>'HVAC Deemed Table'!G1306</f>
        <v>Heating RES</v>
      </c>
      <c r="E191" s="208"/>
      <c r="F191" s="208"/>
      <c r="G191" s="208" t="str">
        <f>'HVAC Deemed Table'!E1305</f>
        <v>GSHP EER 23 Replace at Fail GSHP</v>
      </c>
      <c r="H191" s="622" t="str">
        <f>'HVAC Deemed Table'!D1305</f>
        <v>SF</v>
      </c>
      <c r="I191" s="2091">
        <f t="shared" si="123"/>
        <v>3753.64</v>
      </c>
      <c r="J191" s="2091">
        <f t="shared" si="124"/>
        <v>0</v>
      </c>
      <c r="K191" s="2113">
        <f>'HVAC Deemed Table'!F1305</f>
        <v>1553.75</v>
      </c>
      <c r="L191" s="2113">
        <f>'HVAC Deemed Table'!F1306</f>
        <v>2199.89</v>
      </c>
      <c r="M191" s="2113"/>
      <c r="N191" s="2113"/>
      <c r="O191" s="2092">
        <f t="shared" si="125"/>
        <v>1.472051</v>
      </c>
      <c r="P191" s="2092">
        <f t="shared" si="126"/>
        <v>0</v>
      </c>
      <c r="Q191" s="2086">
        <f>'HVAC Deemed Table'!I1305</f>
        <v>1.472051</v>
      </c>
      <c r="R191" s="2086">
        <f>'HVAC Deemed Table'!I1306</f>
        <v>0</v>
      </c>
      <c r="S191" s="2086"/>
      <c r="T191" s="2086"/>
      <c r="U191" s="2087"/>
      <c r="V191" s="2087"/>
      <c r="W191" s="2087">
        <f>O191</f>
        <v>1.472051</v>
      </c>
      <c r="X191" s="2121">
        <f>'HVAC Deemed Table'!J1305</f>
        <v>18</v>
      </c>
      <c r="Y191" s="2121"/>
      <c r="Z191" s="88">
        <f t="shared" ref="Z191:Z257" si="127">Y191+X191</f>
        <v>18</v>
      </c>
      <c r="AA191" s="2088">
        <f>'HVAC Deemed Table'!BB1305</f>
        <v>1.2438863687677262</v>
      </c>
      <c r="AB191" s="2916">
        <f>'HVAC Deemed Table'!K1305</f>
        <v>3200</v>
      </c>
      <c r="AC191" s="2090">
        <f t="shared" si="95"/>
        <v>3756.9007834419285</v>
      </c>
      <c r="AD191" s="2090">
        <f t="shared" si="96"/>
        <v>0</v>
      </c>
      <c r="AE191" s="2956">
        <f>'HVAC Deemed Table'!BD1305</f>
        <v>2740.5161770221903</v>
      </c>
      <c r="AF191" s="2956">
        <f>'HVAC Deemed Table'!BD1306</f>
        <v>1016.3846064197382</v>
      </c>
      <c r="AG191" s="2956"/>
      <c r="AH191" s="2956"/>
      <c r="AI191" s="2263" t="str">
        <f t="shared" si="115"/>
        <v>per measure</v>
      </c>
      <c r="AJ191" s="160">
        <f>'HVAC Deemed Table'!L1305</f>
        <v>4.3043478260869561</v>
      </c>
      <c r="AK191" s="2055"/>
      <c r="AL191" s="2055"/>
      <c r="AM191" s="2057">
        <f t="shared" si="109"/>
        <v>9.4741810000000004E-4</v>
      </c>
      <c r="AN191" s="132">
        <f t="shared" si="116"/>
        <v>1.4720508728750001</v>
      </c>
      <c r="AO191" s="2048">
        <f t="shared" si="122"/>
        <v>-1.2712499986022863E-7</v>
      </c>
    </row>
    <row r="192" spans="2:41" x14ac:dyDescent="0.25">
      <c r="B192" s="2240" t="str">
        <f>'HVAC Deemed Table'!C1406</f>
        <v>352300_2019_12_</v>
      </c>
      <c r="C192" s="2096" t="str">
        <f>'HVAC Deemed Table'!G1406</f>
        <v>Cooling Res</v>
      </c>
      <c r="D192" s="2096" t="str">
        <f>'HVAC Deemed Table'!G1407</f>
        <v>Heating Res</v>
      </c>
      <c r="E192" s="2096" t="str">
        <f>'HVAC Deemed Table'!G1408</f>
        <v>Cooling Res ER2</v>
      </c>
      <c r="F192" s="2096" t="str">
        <f>'HVAC Deemed Table'!G1409</f>
        <v>Heating Res ER2</v>
      </c>
      <c r="G192" s="208" t="str">
        <f>'HVAC Deemed Table'!E1406</f>
        <v>ASHP - SEER 15 ER Elec Resist Furnace: HVAC ER1</v>
      </c>
      <c r="H192" s="622" t="str">
        <f>'HVAC Deemed Table'!D1406</f>
        <v>SF</v>
      </c>
      <c r="I192" s="2091">
        <f t="shared" si="123"/>
        <v>11240.130000000001</v>
      </c>
      <c r="J192" s="2091">
        <f t="shared" si="124"/>
        <v>9399.1200000000008</v>
      </c>
      <c r="K192" s="2113">
        <f>'HVAC Deemed Table'!F1406</f>
        <v>2165.13</v>
      </c>
      <c r="L192" s="2113">
        <f>'HVAC Deemed Table'!F1407</f>
        <v>9075</v>
      </c>
      <c r="M192" s="2113">
        <f>'HVAC Deemed Table'!F1408</f>
        <v>324.12</v>
      </c>
      <c r="N192" s="2113">
        <f>'HVAC Deemed Table'!F1409</f>
        <v>9075</v>
      </c>
      <c r="O192" s="2092">
        <f t="shared" si="125"/>
        <v>2.0512830000000002</v>
      </c>
      <c r="P192" s="2092">
        <f t="shared" si="126"/>
        <v>0.30707699999999999</v>
      </c>
      <c r="Q192" s="2086">
        <f>'HVAC Deemed Table'!I1406</f>
        <v>2.0512830000000002</v>
      </c>
      <c r="R192" s="2086">
        <f>'HVAC Deemed Table'!I1407</f>
        <v>0</v>
      </c>
      <c r="S192" s="2086">
        <f>'HVAC Deemed Table'!I1408</f>
        <v>0.30707699999999999</v>
      </c>
      <c r="T192" s="2086">
        <f>'HVAC Deemed Table'!I1409</f>
        <v>0</v>
      </c>
      <c r="U192" s="2087"/>
      <c r="V192" s="2087"/>
      <c r="W192" s="2095">
        <f>P192</f>
        <v>0.30707699999999999</v>
      </c>
      <c r="X192" s="2121">
        <f>'HVAC Deemed Table'!J1406</f>
        <v>6</v>
      </c>
      <c r="Y192" s="2121">
        <f>'HVAC Deemed Table'!J1408</f>
        <v>12</v>
      </c>
      <c r="Z192" s="88">
        <f t="shared" si="127"/>
        <v>18</v>
      </c>
      <c r="AA192" s="637">
        <f>'HVAC Deemed Table'!BB1406</f>
        <v>6.250354634852501</v>
      </c>
      <c r="AB192" s="2917">
        <f>'HVAC Deemed Table'!K1406</f>
        <v>989.09301697589126</v>
      </c>
      <c r="AC192" s="2090">
        <f t="shared" si="95"/>
        <v>2768.4653564787159</v>
      </c>
      <c r="AD192" s="2090">
        <f t="shared" si="96"/>
        <v>3066.5342876510672</v>
      </c>
      <c r="AE192" s="2956">
        <f>'HVAC Deemed Table'!BD1406</f>
        <v>1258.9888056954726</v>
      </c>
      <c r="AF192" s="2956">
        <f>'HVAC Deemed Table'!BD1407</f>
        <v>1509.4765507832433</v>
      </c>
      <c r="AG192" s="2956">
        <f>'HVAC Deemed Table'!BD1408</f>
        <v>383.21469714582554</v>
      </c>
      <c r="AH192" s="2956">
        <f>'HVAC Deemed Table'!BD1409</f>
        <v>2683.3195905052416</v>
      </c>
      <c r="AI192" s="2263" t="str">
        <f t="shared" si="115"/>
        <v>per measure</v>
      </c>
      <c r="AJ192" s="2240">
        <f>'HVAC Deemed Table'!L1406</f>
        <v>2.8714285714285714</v>
      </c>
      <c r="AK192" s="2055"/>
      <c r="AL192" s="2055"/>
      <c r="AM192" s="2057">
        <f t="shared" si="109"/>
        <v>9.4741810000000004E-4</v>
      </c>
      <c r="AN192" s="132">
        <f t="shared" si="116"/>
        <v>2.0512833508530002</v>
      </c>
      <c r="AO192" s="2048">
        <f t="shared" si="122"/>
        <v>3.5085299998627306E-7</v>
      </c>
    </row>
    <row r="193" spans="2:48" x14ac:dyDescent="0.25">
      <c r="B193" s="2240" t="str">
        <f>'HVAC Deemed Table'!C1410</f>
        <v>352350_2019_12_</v>
      </c>
      <c r="C193" s="2096" t="str">
        <f>'HVAC Deemed Table'!G1410</f>
        <v>Cooling Res</v>
      </c>
      <c r="D193" s="2096" t="str">
        <f>'HVAC Deemed Table'!G1411</f>
        <v>Heating Res</v>
      </c>
      <c r="E193" s="2096" t="str">
        <f>'HVAC Deemed Table'!G1412</f>
        <v>Cooling Res ER2</v>
      </c>
      <c r="F193" s="2096" t="str">
        <f>'HVAC Deemed Table'!G1413</f>
        <v>Heating Res ER2</v>
      </c>
      <c r="G193" s="208" t="str">
        <f>'HVAC Deemed Table'!E1410</f>
        <v>ASHP - SEER 15 ER with ASHP: HVAC ER1</v>
      </c>
      <c r="H193" s="622" t="str">
        <f>'HVAC Deemed Table'!D1410</f>
        <v>SF</v>
      </c>
      <c r="I193" s="2091">
        <f t="shared" si="123"/>
        <v>4084.06</v>
      </c>
      <c r="J193" s="2091">
        <f t="shared" si="124"/>
        <v>392.99</v>
      </c>
      <c r="K193" s="2113">
        <f>'HVAC Deemed Table'!F1410</f>
        <v>2190.89</v>
      </c>
      <c r="L193" s="2113">
        <f>'HVAC Deemed Table'!F1411</f>
        <v>1893.17</v>
      </c>
      <c r="M193" s="2113">
        <f>'HVAC Deemed Table'!F1412</f>
        <v>171.72</v>
      </c>
      <c r="N193" s="2113">
        <f>'HVAC Deemed Table'!F1413</f>
        <v>221.27</v>
      </c>
      <c r="O193" s="2092">
        <f t="shared" si="125"/>
        <v>2.0756890000000001</v>
      </c>
      <c r="P193" s="2092">
        <f t="shared" si="126"/>
        <v>0.162691</v>
      </c>
      <c r="Q193" s="2086">
        <f>'HVAC Deemed Table'!I1410</f>
        <v>2.0756890000000001</v>
      </c>
      <c r="R193" s="2086">
        <f>'HVAC Deemed Table'!I1411</f>
        <v>0</v>
      </c>
      <c r="S193" s="2086">
        <f>'HVAC Deemed Table'!I1412</f>
        <v>0.162691</v>
      </c>
      <c r="T193" s="2086">
        <f>'HVAC Deemed Table'!I1413</f>
        <v>0</v>
      </c>
      <c r="U193" s="2087"/>
      <c r="V193" s="2087"/>
      <c r="W193" s="2095">
        <f>P193</f>
        <v>0.162691</v>
      </c>
      <c r="X193" s="2121">
        <f>'HVAC Deemed Table'!J1410</f>
        <v>6</v>
      </c>
      <c r="Y193" s="2121">
        <f>'HVAC Deemed Table'!J1412</f>
        <v>12</v>
      </c>
      <c r="Z193" s="88">
        <f t="shared" si="127"/>
        <v>18</v>
      </c>
      <c r="AA193" s="637">
        <f>'HVAC Deemed Table'!BB1410</f>
        <v>1.8846243356412247</v>
      </c>
      <c r="AB193" s="2917">
        <f>'HVAC Deemed Table'!K1410</f>
        <v>1044.1498640171662</v>
      </c>
      <c r="AC193" s="2090">
        <f t="shared" si="95"/>
        <v>1588.8654379140901</v>
      </c>
      <c r="AD193" s="2090">
        <f t="shared" si="96"/>
        <v>268.45428250424584</v>
      </c>
      <c r="AE193" s="2956">
        <f>'HVAC Deemed Table'!BD1410</f>
        <v>1273.9678377326782</v>
      </c>
      <c r="AF193" s="2956">
        <f>'HVAC Deemed Table'!BD1411</f>
        <v>314.89760018141186</v>
      </c>
      <c r="AG193" s="2956">
        <f>'HVAC Deemed Table'!BD1412</f>
        <v>203.02859371183871</v>
      </c>
      <c r="AH193" s="2956">
        <f>'HVAC Deemed Table'!BD1413</f>
        <v>65.425688792407144</v>
      </c>
      <c r="AI193" s="2263" t="str">
        <f t="shared" si="115"/>
        <v>per measure</v>
      </c>
      <c r="AJ193" s="2240">
        <f>'HVAC Deemed Table'!L1410</f>
        <v>3.1018518518518516</v>
      </c>
      <c r="AK193" s="2055"/>
      <c r="AL193" s="2055"/>
      <c r="AM193" s="2057">
        <f t="shared" ref="AM193:AM224" si="128">VLOOKUP(C193,$AS$10:$AT$32,2,FALSE)</f>
        <v>9.4741810000000004E-4</v>
      </c>
      <c r="AN193" s="132">
        <f t="shared" si="116"/>
        <v>2.0756888411089998</v>
      </c>
      <c r="AO193" s="2048">
        <f t="shared" si="122"/>
        <v>-1.5889100035693104E-7</v>
      </c>
    </row>
    <row r="194" spans="2:48" x14ac:dyDescent="0.25">
      <c r="B194" s="2240" t="str">
        <f>'HVAC Deemed Table'!C1414</f>
        <v>352400_2019_12_</v>
      </c>
      <c r="C194" s="2096" t="str">
        <f>'HVAC Deemed Table'!G1414</f>
        <v>Cooling Res</v>
      </c>
      <c r="D194" s="2096" t="str">
        <f>'HVAC Deemed Table'!G1415</f>
        <v>Heating Res</v>
      </c>
      <c r="E194" s="208"/>
      <c r="F194" s="208"/>
      <c r="G194" s="208" t="str">
        <f>'HVAC Deemed Table'!E1414</f>
        <v>ASHP-  SEER 15 Replace at Fail Elec Resist Furnace: HVAC</v>
      </c>
      <c r="H194" s="622" t="str">
        <f>'HVAC Deemed Table'!D1414</f>
        <v>SF</v>
      </c>
      <c r="I194" s="2091">
        <f t="shared" si="123"/>
        <v>9717.2899999999991</v>
      </c>
      <c r="J194" s="2091">
        <f t="shared" si="124"/>
        <v>0</v>
      </c>
      <c r="K194" s="2113">
        <f>'HVAC Deemed Table'!F1414</f>
        <v>345.06</v>
      </c>
      <c r="L194" s="2113">
        <f>'HVAC Deemed Table'!F1415</f>
        <v>9372.23</v>
      </c>
      <c r="M194" s="2113"/>
      <c r="N194" s="2113"/>
      <c r="O194" s="2092">
        <f t="shared" si="125"/>
        <v>0.32691599999999998</v>
      </c>
      <c r="P194" s="2092">
        <f t="shared" si="126"/>
        <v>0</v>
      </c>
      <c r="Q194" s="2086">
        <f>'HVAC Deemed Table'!I1414</f>
        <v>0.32691599999999998</v>
      </c>
      <c r="R194" s="2086">
        <f>'HVAC Deemed Table'!I1415</f>
        <v>0</v>
      </c>
      <c r="S194" s="2086"/>
      <c r="T194" s="2086"/>
      <c r="U194" s="2087"/>
      <c r="V194" s="2087"/>
      <c r="W194" s="2087">
        <f>O194</f>
        <v>0.32691599999999998</v>
      </c>
      <c r="X194" s="2121">
        <f>'HVAC Deemed Table'!J1414</f>
        <v>18</v>
      </c>
      <c r="Y194" s="2121"/>
      <c r="Z194" s="88">
        <f t="shared" si="127"/>
        <v>18</v>
      </c>
      <c r="AA194" s="637">
        <f>'HVAC Deemed Table'!BB1414</f>
        <v>17.269292851874784</v>
      </c>
      <c r="AB194" s="2917">
        <f>'HVAC Deemed Table'!K1414</f>
        <v>303</v>
      </c>
      <c r="AC194" s="2090">
        <f t="shared" si="95"/>
        <v>4938.7406645757983</v>
      </c>
      <c r="AD194" s="2090">
        <f t="shared" si="96"/>
        <v>0</v>
      </c>
      <c r="AE194" s="2956">
        <f>'HVAC Deemed Table'!BD1414</f>
        <v>608.61947677765215</v>
      </c>
      <c r="AF194" s="2956">
        <f>'HVAC Deemed Table'!BD1415</f>
        <v>4330.1211877981459</v>
      </c>
      <c r="AG194" s="2956"/>
      <c r="AH194" s="2956"/>
      <c r="AI194" s="2263" t="str">
        <f t="shared" si="115"/>
        <v>per measure</v>
      </c>
      <c r="AJ194" s="2240">
        <f>'HVAC Deemed Table'!L1414</f>
        <v>3.2492627883650962</v>
      </c>
      <c r="AK194" s="2055"/>
      <c r="AL194" s="2055"/>
      <c r="AM194" s="2057">
        <f t="shared" si="128"/>
        <v>9.4741810000000004E-4</v>
      </c>
      <c r="AN194" s="132">
        <f t="shared" si="116"/>
        <v>0.32691608958599999</v>
      </c>
      <c r="AO194" s="2048">
        <f t="shared" si="122"/>
        <v>8.9586000007191302E-8</v>
      </c>
    </row>
    <row r="195" spans="2:48" x14ac:dyDescent="0.25">
      <c r="B195" s="2240" t="str">
        <f>'HVAC Deemed Table'!C1416</f>
        <v>352450_2019_12_</v>
      </c>
      <c r="C195" s="2096" t="str">
        <f>'HVAC Deemed Table'!G1416</f>
        <v>Cooling Res</v>
      </c>
      <c r="D195" s="2096" t="str">
        <f>'HVAC Deemed Table'!G1417</f>
        <v>Heating Res</v>
      </c>
      <c r="E195" s="208"/>
      <c r="F195" s="208"/>
      <c r="G195" s="208" t="str">
        <f>'HVAC Deemed Table'!E1416</f>
        <v>ASHP - SEER 15 Replace at Fail with ASHP: HVAC</v>
      </c>
      <c r="H195" s="622" t="str">
        <f>'HVAC Deemed Table'!D1416</f>
        <v>SF</v>
      </c>
      <c r="I195" s="2091">
        <f t="shared" ref="I195:I200" si="129">K195+L195</f>
        <v>529.64</v>
      </c>
      <c r="J195" s="2091">
        <f t="shared" ref="J195:J200" si="130">M195+N195</f>
        <v>0</v>
      </c>
      <c r="K195" s="2113">
        <f>'HVAC Deemed Table'!F1416</f>
        <v>166.02</v>
      </c>
      <c r="L195" s="2113">
        <f>'HVAC Deemed Table'!F1417</f>
        <v>363.62</v>
      </c>
      <c r="M195" s="2113"/>
      <c r="N195" s="2113"/>
      <c r="O195" s="2092">
        <f t="shared" ref="O195:O200" si="131">Q195+R195</f>
        <v>0.15729000000000001</v>
      </c>
      <c r="P195" s="2092">
        <f t="shared" ref="P195:P200" si="132">S195+T195</f>
        <v>0</v>
      </c>
      <c r="Q195" s="2086">
        <f>'HVAC Deemed Table'!I1416</f>
        <v>0.15729000000000001</v>
      </c>
      <c r="R195" s="2086">
        <f>'HVAC Deemed Table'!I1417</f>
        <v>0</v>
      </c>
      <c r="S195" s="2086"/>
      <c r="T195" s="2086"/>
      <c r="U195" s="2087"/>
      <c r="V195" s="2087"/>
      <c r="W195" s="2087">
        <f>O195</f>
        <v>0.15729000000000001</v>
      </c>
      <c r="X195" s="2121">
        <f>'HVAC Deemed Table'!J1416</f>
        <v>18</v>
      </c>
      <c r="Y195" s="2121"/>
      <c r="Z195" s="88">
        <f t="shared" si="127"/>
        <v>18</v>
      </c>
      <c r="AA195" s="637">
        <f>'HVAC Deemed Table'!BB1416</f>
        <v>1.6113688844626437</v>
      </c>
      <c r="AB195" s="2917">
        <f>'HVAC Deemed Table'!K1416</f>
        <v>303</v>
      </c>
      <c r="AC195" s="2090">
        <f t="shared" si="95"/>
        <v>460.82564605208211</v>
      </c>
      <c r="AD195" s="2090">
        <f t="shared" si="96"/>
        <v>0</v>
      </c>
      <c r="AE195" s="2956">
        <f>'HVAC Deemed Table'!BD1416</f>
        <v>292.82735041623431</v>
      </c>
      <c r="AF195" s="2956">
        <f>'HVAC Deemed Table'!BD1417</f>
        <v>167.99829563584782</v>
      </c>
      <c r="AG195" s="2956"/>
      <c r="AH195" s="2956"/>
      <c r="AI195" s="2263" t="str">
        <f t="shared" si="115"/>
        <v>per measure</v>
      </c>
      <c r="AJ195" s="2240">
        <f>'HVAC Deemed Table'!L1416</f>
        <v>2.89</v>
      </c>
      <c r="AK195" s="2055"/>
      <c r="AL195" s="2055"/>
      <c r="AM195" s="2057">
        <f t="shared" si="128"/>
        <v>9.4741810000000004E-4</v>
      </c>
      <c r="AN195" s="132">
        <f t="shared" si="116"/>
        <v>0.157290352962</v>
      </c>
      <c r="AO195" s="2048">
        <f t="shared" si="122"/>
        <v>3.5296199998868794E-7</v>
      </c>
    </row>
    <row r="196" spans="2:48" x14ac:dyDescent="0.25">
      <c r="B196" s="2240" t="str">
        <f>'HVAC Deemed Table'!C1418</f>
        <v>352500_2019_12_</v>
      </c>
      <c r="C196" s="2096" t="str">
        <f>'HVAC Deemed Table'!G1418</f>
        <v>Cooling Res</v>
      </c>
      <c r="D196" s="2096" t="str">
        <f>'HVAC Deemed Table'!G1419</f>
        <v>Heating Res</v>
      </c>
      <c r="E196" s="2096" t="str">
        <f>'HVAC Deemed Table'!G1420</f>
        <v>Cooling Res ER2</v>
      </c>
      <c r="F196" s="2096" t="str">
        <f>'HVAC Deemed Table'!G1421</f>
        <v>Heating Res ER2</v>
      </c>
      <c r="G196" s="208" t="str">
        <f>'HVAC Deemed Table'!E1418</f>
        <v>ASHP - SEER 16 - replace electric furnace / CAC - early replacement SF ER1</v>
      </c>
      <c r="H196" s="622" t="str">
        <f>'HVAC Deemed Table'!D1418</f>
        <v>SF</v>
      </c>
      <c r="I196" s="2091">
        <f t="shared" si="129"/>
        <v>11517.73</v>
      </c>
      <c r="J196" s="2091">
        <f t="shared" si="130"/>
        <v>9713.34</v>
      </c>
      <c r="K196" s="2113">
        <f>'HVAC Deemed Table'!F1418</f>
        <v>2277.63</v>
      </c>
      <c r="L196" s="2113">
        <f>'HVAC Deemed Table'!F1419</f>
        <v>9240.1</v>
      </c>
      <c r="M196" s="2113">
        <f>'HVAC Deemed Table'!F1420</f>
        <v>473.24</v>
      </c>
      <c r="N196" s="2113">
        <f>'HVAC Deemed Table'!F1421</f>
        <v>9240.1</v>
      </c>
      <c r="O196" s="2092">
        <f t="shared" si="131"/>
        <v>2.1578680000000001</v>
      </c>
      <c r="P196" s="2092">
        <f t="shared" si="132"/>
        <v>0.44835599999999998</v>
      </c>
      <c r="Q196" s="2086">
        <f>'HVAC Deemed Table'!I1418</f>
        <v>2.1578680000000001</v>
      </c>
      <c r="R196" s="2086">
        <f>'HVAC Deemed Table'!I1419</f>
        <v>0</v>
      </c>
      <c r="S196" s="2086">
        <f>'HVAC Deemed Table'!I1420</f>
        <v>0.44835599999999998</v>
      </c>
      <c r="T196" s="2086">
        <f>'HVAC Deemed Table'!I1421</f>
        <v>0</v>
      </c>
      <c r="U196" s="2087"/>
      <c r="V196" s="2087"/>
      <c r="W196" s="2095">
        <f>P196</f>
        <v>0.44835599999999998</v>
      </c>
      <c r="X196" s="2121">
        <f>'HVAC Deemed Table'!J1418</f>
        <v>6</v>
      </c>
      <c r="Y196" s="2121">
        <f>'HVAC Deemed Table'!J1420</f>
        <v>12</v>
      </c>
      <c r="Z196" s="88">
        <f t="shared" si="127"/>
        <v>18</v>
      </c>
      <c r="AA196" s="637">
        <f>'HVAC Deemed Table'!BB1418</f>
        <v>5.7065794907556047</v>
      </c>
      <c r="AB196" s="2917">
        <f>'HVAC Deemed Table'!K1418</f>
        <v>1142.384378503531</v>
      </c>
      <c r="AC196" s="2090">
        <f t="shared" ref="AC196:AC259" si="133">AE196+AF196</f>
        <v>2861.3439863553849</v>
      </c>
      <c r="AD196" s="2090">
        <f t="shared" ref="AD196:AD259" si="134">AG196+AH196</f>
        <v>3291.6595671395057</v>
      </c>
      <c r="AE196" s="2956">
        <f>'HVAC Deemed Table'!BD1418</f>
        <v>1324.405774025661</v>
      </c>
      <c r="AF196" s="2956">
        <f>'HVAC Deemed Table'!BD1419</f>
        <v>1536.9382123297241</v>
      </c>
      <c r="AG196" s="2956">
        <f>'HVAC Deemed Table'!BD1420</f>
        <v>559.52277945603635</v>
      </c>
      <c r="AH196" s="2956">
        <f>'HVAC Deemed Table'!BD1421</f>
        <v>2732.1367876834693</v>
      </c>
      <c r="AI196" s="2263" t="str">
        <f t="shared" si="115"/>
        <v>per measure</v>
      </c>
      <c r="AJ196" s="2240">
        <f>'HVAC Deemed Table'!L1418</f>
        <v>2.9479813664596275</v>
      </c>
      <c r="AK196" s="2055"/>
      <c r="AL196" s="2055"/>
      <c r="AM196" s="2057">
        <f t="shared" si="128"/>
        <v>9.4741810000000004E-4</v>
      </c>
      <c r="AN196" s="132">
        <f t="shared" si="116"/>
        <v>2.1578678871030004</v>
      </c>
      <c r="AO196" s="2048">
        <f t="shared" si="122"/>
        <v>-1.1289699974881273E-7</v>
      </c>
    </row>
    <row r="197" spans="2:48" x14ac:dyDescent="0.25">
      <c r="B197" s="2240" t="str">
        <f>'HVAC Deemed Table'!C1422</f>
        <v>352550_2019_12_</v>
      </c>
      <c r="C197" s="2096" t="str">
        <f>'HVAC Deemed Table'!G1422</f>
        <v>Cooling Res</v>
      </c>
      <c r="D197" s="2096" t="str">
        <f>'HVAC Deemed Table'!G1423</f>
        <v>Heating Res</v>
      </c>
      <c r="E197" s="2096" t="str">
        <f>'HVAC Deemed Table'!G1424</f>
        <v>Cooling Res ER2</v>
      </c>
      <c r="F197" s="2096" t="str">
        <f>'HVAC Deemed Table'!G1425</f>
        <v>Heating Res ER2</v>
      </c>
      <c r="G197" s="208" t="str">
        <f>'HVAC Deemed Table'!E1422</f>
        <v>ASHP SEER 16 replace ASHP - early replacement SF ER1</v>
      </c>
      <c r="H197" s="622" t="str">
        <f>'HVAC Deemed Table'!D1422</f>
        <v>SF</v>
      </c>
      <c r="I197" s="2091">
        <f t="shared" si="129"/>
        <v>4382.03</v>
      </c>
      <c r="J197" s="2091">
        <f t="shared" si="130"/>
        <v>859.22</v>
      </c>
      <c r="K197" s="2113">
        <f>'HVAC Deemed Table'!F1422</f>
        <v>2180.1</v>
      </c>
      <c r="L197" s="2113">
        <f>'HVAC Deemed Table'!F1423</f>
        <v>2201.9299999999998</v>
      </c>
      <c r="M197" s="2113">
        <f>'HVAC Deemed Table'!F1424</f>
        <v>333.47</v>
      </c>
      <c r="N197" s="2113">
        <f>'HVAC Deemed Table'!F1425</f>
        <v>525.75</v>
      </c>
      <c r="O197" s="2092">
        <f t="shared" si="131"/>
        <v>2.0654659999999998</v>
      </c>
      <c r="P197" s="2092">
        <f t="shared" si="132"/>
        <v>0.31593599999999999</v>
      </c>
      <c r="Q197" s="2086">
        <f>'HVAC Deemed Table'!I1422</f>
        <v>2.0654659999999998</v>
      </c>
      <c r="R197" s="2086">
        <f>'HVAC Deemed Table'!I1423</f>
        <v>0</v>
      </c>
      <c r="S197" s="2086">
        <f>'HVAC Deemed Table'!I1424</f>
        <v>0.31593599999999999</v>
      </c>
      <c r="T197" s="2086">
        <f>'HVAC Deemed Table'!I1425</f>
        <v>0</v>
      </c>
      <c r="U197" s="2087"/>
      <c r="V197" s="2087"/>
      <c r="W197" s="2095">
        <f>P197</f>
        <v>0.31593599999999999</v>
      </c>
      <c r="X197" s="2121">
        <f>'HVAC Deemed Table'!J1422</f>
        <v>6</v>
      </c>
      <c r="Y197" s="2121">
        <f>'HVAC Deemed Table'!J1424</f>
        <v>12</v>
      </c>
      <c r="Z197" s="88">
        <f t="shared" si="127"/>
        <v>18</v>
      </c>
      <c r="AA197" s="637">
        <f>'HVAC Deemed Table'!BB1422</f>
        <v>1.9589325784413851</v>
      </c>
      <c r="AB197" s="2917">
        <f>'HVAC Deemed Table'!K1422</f>
        <v>1181.0521038690172</v>
      </c>
      <c r="AC197" s="2090">
        <f t="shared" si="133"/>
        <v>1633.9483565585376</v>
      </c>
      <c r="AD197" s="2090">
        <f t="shared" si="134"/>
        <v>549.72454868521538</v>
      </c>
      <c r="AE197" s="2956">
        <f>'HVAC Deemed Table'!BD1422</f>
        <v>1267.6936236146096</v>
      </c>
      <c r="AF197" s="2956">
        <f>'HVAC Deemed Table'!BD1423</f>
        <v>366.25473294392799</v>
      </c>
      <c r="AG197" s="2956">
        <f>'HVAC Deemed Table'!BD1424</f>
        <v>394.26942199561415</v>
      </c>
      <c r="AH197" s="2956">
        <f>'HVAC Deemed Table'!BD1425</f>
        <v>155.4551266896012</v>
      </c>
      <c r="AI197" s="2263" t="str">
        <f t="shared" si="115"/>
        <v>per measure</v>
      </c>
      <c r="AJ197" s="2240">
        <f>'HVAC Deemed Table'!L1422</f>
        <v>3.1098130841121496</v>
      </c>
      <c r="AK197" s="2055"/>
      <c r="AL197" s="2055"/>
      <c r="AM197" s="2057">
        <f t="shared" si="128"/>
        <v>9.4741810000000004E-4</v>
      </c>
      <c r="AN197" s="132">
        <f t="shared" si="116"/>
        <v>2.0654661998099999</v>
      </c>
      <c r="AO197" s="2048">
        <f t="shared" si="122"/>
        <v>1.9981000010105276E-7</v>
      </c>
    </row>
    <row r="198" spans="2:48" x14ac:dyDescent="0.25">
      <c r="B198" s="2240" t="str">
        <f>'HVAC Deemed Table'!C1426</f>
        <v>352600_2019_12_</v>
      </c>
      <c r="C198" s="2096" t="str">
        <f>'HVAC Deemed Table'!G1426</f>
        <v>Cooling Res</v>
      </c>
      <c r="D198" s="2096" t="str">
        <f>'HVAC Deemed Table'!G1427</f>
        <v>Heating Res</v>
      </c>
      <c r="E198" s="208"/>
      <c r="F198" s="208"/>
      <c r="G198" s="208" t="str">
        <f>'HVAC Deemed Table'!E1426</f>
        <v>ASHP - SEER 16 - replace electric furnace / CAC SF</v>
      </c>
      <c r="H198" s="622" t="str">
        <f>'HVAC Deemed Table'!D1426</f>
        <v>SF</v>
      </c>
      <c r="I198" s="2091">
        <f t="shared" si="129"/>
        <v>9968.0999999999985</v>
      </c>
      <c r="J198" s="2091">
        <f t="shared" si="130"/>
        <v>0</v>
      </c>
      <c r="K198" s="2113">
        <f>'HVAC Deemed Table'!F1426</f>
        <v>463.89</v>
      </c>
      <c r="L198" s="2113">
        <f>'HVAC Deemed Table'!F1427</f>
        <v>9504.2099999999991</v>
      </c>
      <c r="M198" s="2113"/>
      <c r="N198" s="2113"/>
      <c r="O198" s="2092">
        <f t="shared" si="131"/>
        <v>0.439498</v>
      </c>
      <c r="P198" s="2092">
        <f t="shared" si="132"/>
        <v>0</v>
      </c>
      <c r="Q198" s="2086">
        <f>'HVAC Deemed Table'!I1426</f>
        <v>0.439498</v>
      </c>
      <c r="R198" s="2086">
        <f>'HVAC Deemed Table'!I1427</f>
        <v>0</v>
      </c>
      <c r="S198" s="2086"/>
      <c r="T198" s="2086"/>
      <c r="U198" s="2087"/>
      <c r="V198" s="2087"/>
      <c r="W198" s="2087">
        <f>O198</f>
        <v>0.439498</v>
      </c>
      <c r="X198" s="2121">
        <f>'HVAC Deemed Table'!J1426</f>
        <v>18</v>
      </c>
      <c r="Y198" s="2121"/>
      <c r="Z198" s="88">
        <f t="shared" si="127"/>
        <v>18</v>
      </c>
      <c r="AA198" s="637">
        <f>'HVAC Deemed Table'!BB1426</f>
        <v>12.601061209307561</v>
      </c>
      <c r="AB198" s="2917">
        <f>'HVAC Deemed Table'!K1426</f>
        <v>438</v>
      </c>
      <c r="AC198" s="2090">
        <f t="shared" si="133"/>
        <v>5209.3108161177079</v>
      </c>
      <c r="AD198" s="2090">
        <f t="shared" si="134"/>
        <v>0</v>
      </c>
      <c r="AE198" s="2956">
        <f>'HVAC Deemed Table'!BD1426</f>
        <v>818.21274295016815</v>
      </c>
      <c r="AF198" s="2956">
        <f>'HVAC Deemed Table'!BD1427</f>
        <v>4391.09807316754</v>
      </c>
      <c r="AG198" s="2956"/>
      <c r="AH198" s="2956"/>
      <c r="AI198" s="2263" t="str">
        <f t="shared" si="115"/>
        <v>per measure</v>
      </c>
      <c r="AJ198" s="2240">
        <f>'HVAC Deemed Table'!L1426</f>
        <v>2.9523809523809521</v>
      </c>
      <c r="AK198" s="2055"/>
      <c r="AL198" s="2055"/>
      <c r="AM198" s="2057">
        <f t="shared" si="128"/>
        <v>9.4741810000000004E-4</v>
      </c>
      <c r="AN198" s="132">
        <f t="shared" si="116"/>
        <v>0.439497782409</v>
      </c>
      <c r="AO198" s="2048">
        <f t="shared" si="122"/>
        <v>-2.1759099999574261E-7</v>
      </c>
    </row>
    <row r="199" spans="2:48" x14ac:dyDescent="0.25">
      <c r="B199" s="2240" t="str">
        <f>'HVAC Deemed Table'!C1428</f>
        <v>352650_2019_12_</v>
      </c>
      <c r="C199" s="2096" t="str">
        <f>'HVAC Deemed Table'!G1428</f>
        <v>Cooling Res</v>
      </c>
      <c r="D199" s="2096" t="str">
        <f>'HVAC Deemed Table'!G1429</f>
        <v>Heating Res</v>
      </c>
      <c r="E199" s="208"/>
      <c r="F199" s="208"/>
      <c r="G199" s="208" t="str">
        <f>'HVAC Deemed Table'!E1428</f>
        <v>ASHP SEER 16 replace ASHP - replace on fail SF</v>
      </c>
      <c r="H199" s="622" t="str">
        <f>'HVAC Deemed Table'!D1428</f>
        <v>SF</v>
      </c>
      <c r="I199" s="2091">
        <f t="shared" si="129"/>
        <v>1230.6599999999999</v>
      </c>
      <c r="J199" s="2091">
        <f t="shared" si="130"/>
        <v>0</v>
      </c>
      <c r="K199" s="2113">
        <f>'HVAC Deemed Table'!F1428</f>
        <v>302.60000000000002</v>
      </c>
      <c r="L199" s="2113">
        <f>'HVAC Deemed Table'!F1429</f>
        <v>928.06</v>
      </c>
      <c r="M199" s="2113"/>
      <c r="N199" s="2113"/>
      <c r="O199" s="2092">
        <f t="shared" si="131"/>
        <v>0.28668900000000003</v>
      </c>
      <c r="P199" s="2092">
        <f t="shared" si="132"/>
        <v>0</v>
      </c>
      <c r="Q199" s="2086">
        <f>'HVAC Deemed Table'!I1428</f>
        <v>0.28668900000000003</v>
      </c>
      <c r="R199" s="2086">
        <f>'HVAC Deemed Table'!I1429</f>
        <v>0</v>
      </c>
      <c r="S199" s="2086"/>
      <c r="T199" s="2086"/>
      <c r="U199" s="2087"/>
      <c r="V199" s="2087"/>
      <c r="W199" s="2087">
        <f>O199</f>
        <v>0.28668900000000003</v>
      </c>
      <c r="X199" s="2121">
        <f>'HVAC Deemed Table'!J1428</f>
        <v>18</v>
      </c>
      <c r="Y199" s="2121"/>
      <c r="Z199" s="88">
        <f t="shared" si="127"/>
        <v>18</v>
      </c>
      <c r="AA199" s="637">
        <f>'HVAC Deemed Table'!BB1428</f>
        <v>2.3282557687533334</v>
      </c>
      <c r="AB199" s="2917">
        <f>'HVAC Deemed Table'!K1428</f>
        <v>438</v>
      </c>
      <c r="AC199" s="2090">
        <f t="shared" si="133"/>
        <v>962.5068680641433</v>
      </c>
      <c r="AD199" s="2090">
        <f t="shared" si="134"/>
        <v>0</v>
      </c>
      <c r="AE199" s="2956">
        <f>'HVAC Deemed Table'!BD1428</f>
        <v>533.72820284274485</v>
      </c>
      <c r="AF199" s="2956">
        <f>'HVAC Deemed Table'!BD1429</f>
        <v>428.77866522139846</v>
      </c>
      <c r="AG199" s="2956"/>
      <c r="AH199" s="2956"/>
      <c r="AI199" s="2263" t="str">
        <f t="shared" si="115"/>
        <v>per measure</v>
      </c>
      <c r="AJ199" s="2240">
        <f>'HVAC Deemed Table'!L1428</f>
        <v>3.25</v>
      </c>
      <c r="AK199" s="2055"/>
      <c r="AL199" s="2055"/>
      <c r="AM199" s="2057">
        <f t="shared" si="128"/>
        <v>9.4741810000000004E-4</v>
      </c>
      <c r="AN199" s="132">
        <f t="shared" si="116"/>
        <v>0.28668871706000004</v>
      </c>
      <c r="AO199" s="2048">
        <f t="shared" si="122"/>
        <v>-2.8293999998485475E-7</v>
      </c>
    </row>
    <row r="200" spans="2:48" x14ac:dyDescent="0.25">
      <c r="B200" s="2240" t="str">
        <f>'HVAC Deemed Table'!C1430</f>
        <v>352700_2019_12_</v>
      </c>
      <c r="C200" s="2096" t="str">
        <f>'HVAC Deemed Table'!G1430</f>
        <v>Cooling Res</v>
      </c>
      <c r="D200" s="2096" t="str">
        <f>'HVAC Deemed Table'!G1431</f>
        <v>Heating Res</v>
      </c>
      <c r="E200" s="2096" t="str">
        <f>'HVAC Deemed Table'!G1432</f>
        <v>Cooling Res ER2</v>
      </c>
      <c r="F200" s="2096" t="str">
        <f>'HVAC Deemed Table'!G1433</f>
        <v>Heating Res ER2</v>
      </c>
      <c r="G200" s="208" t="str">
        <f>'HVAC Deemed Table'!E1430</f>
        <v>ASHP SEER 15 MF ER replace ASHP: HVAC ER1</v>
      </c>
      <c r="H200" s="622" t="str">
        <f>'HVAC Deemed Table'!D1430</f>
        <v>MF</v>
      </c>
      <c r="I200" s="2091">
        <f t="shared" si="129"/>
        <v>2725.22</v>
      </c>
      <c r="J200" s="2091">
        <f t="shared" si="130"/>
        <v>492.9</v>
      </c>
      <c r="K200" s="2113">
        <f>'HVAC Deemed Table'!F1430</f>
        <v>1328.6</v>
      </c>
      <c r="L200" s="2113">
        <f>'HVAC Deemed Table'!F1431</f>
        <v>1396.62</v>
      </c>
      <c r="M200" s="2113">
        <f>'HVAC Deemed Table'!F1432</f>
        <v>103.53</v>
      </c>
      <c r="N200" s="2113">
        <f>'HVAC Deemed Table'!F1433</f>
        <v>389.37</v>
      </c>
      <c r="O200" s="2092">
        <f t="shared" si="131"/>
        <v>1.25874</v>
      </c>
      <c r="P200" s="2092">
        <f t="shared" si="132"/>
        <v>9.8086000000000007E-2</v>
      </c>
      <c r="Q200" s="2086">
        <f>'HVAC Deemed Table'!I1430</f>
        <v>1.25874</v>
      </c>
      <c r="R200" s="2086">
        <f>'HVAC Deemed Table'!I1431</f>
        <v>0</v>
      </c>
      <c r="S200" s="2086">
        <f>'HVAC Deemed Table'!I1432</f>
        <v>9.8086000000000007E-2</v>
      </c>
      <c r="T200" s="2086">
        <f>'HVAC Deemed Table'!I1433</f>
        <v>0</v>
      </c>
      <c r="U200" s="2087"/>
      <c r="V200" s="2087"/>
      <c r="W200" s="2095">
        <f>P200</f>
        <v>9.8086000000000007E-2</v>
      </c>
      <c r="X200" s="2121">
        <f>'HVAC Deemed Table'!J1430</f>
        <v>6</v>
      </c>
      <c r="Y200" s="2121">
        <f>'HVAC Deemed Table'!J1432</f>
        <v>12</v>
      </c>
      <c r="Z200" s="88">
        <f t="shared" si="127"/>
        <v>18</v>
      </c>
      <c r="AA200" s="637">
        <f>'HVAC Deemed Table'!BB1430</f>
        <v>1.7562330685103966</v>
      </c>
      <c r="AB200" s="2917">
        <f>'HVAC Deemed Table'!K1430</f>
        <v>749.51513822467041</v>
      </c>
      <c r="AC200" s="2090">
        <f t="shared" si="133"/>
        <v>1004.864557537147</v>
      </c>
      <c r="AD200" s="2090">
        <f t="shared" si="134"/>
        <v>237.53588710589858</v>
      </c>
      <c r="AE200" s="2956">
        <f>'HVAC Deemed Table'!BD1430</f>
        <v>772.5598588754508</v>
      </c>
      <c r="AF200" s="2956">
        <f>'HVAC Deemed Table'!BD1431</f>
        <v>232.30469866169622</v>
      </c>
      <c r="AG200" s="2956">
        <f>'HVAC Deemed Table'!BD1432</f>
        <v>122.40595333674972</v>
      </c>
      <c r="AH200" s="2956">
        <f>'HVAC Deemed Table'!BD1433</f>
        <v>115.12993376914886</v>
      </c>
      <c r="AI200" s="2263" t="str">
        <f t="shared" si="115"/>
        <v>per measure</v>
      </c>
      <c r="AJ200" s="2240">
        <f>'HVAC Deemed Table'!L1430</f>
        <v>2.875</v>
      </c>
      <c r="AK200" s="2055"/>
      <c r="AL200" s="2055"/>
      <c r="AM200" s="2057">
        <f t="shared" si="128"/>
        <v>9.4741810000000004E-4</v>
      </c>
      <c r="AN200" s="132">
        <f t="shared" si="116"/>
        <v>1.2587396876599999</v>
      </c>
      <c r="AO200" s="2048">
        <f t="shared" si="122"/>
        <v>-3.1234000008595331E-7</v>
      </c>
    </row>
    <row r="201" spans="2:48" x14ac:dyDescent="0.25">
      <c r="B201" s="2240" t="str">
        <f>'HVAC Deemed Table'!C1434</f>
        <v>352701_2019_12_</v>
      </c>
      <c r="C201" s="2096" t="str">
        <f>'HVAC Deemed Table'!G1434</f>
        <v>Cooling Res</v>
      </c>
      <c r="D201" s="2096" t="str">
        <f>'HVAC Deemed Table'!G1435</f>
        <v>Heating Res</v>
      </c>
      <c r="E201" s="2096" t="str">
        <f>'HVAC Deemed Table'!G1436</f>
        <v>Cooling Res ER2</v>
      </c>
      <c r="F201" s="2096" t="str">
        <f>'HVAC Deemed Table'!G1437</f>
        <v>Heating Res ER2</v>
      </c>
      <c r="G201" s="208" t="str">
        <f>'HVAC Deemed Table'!E1434</f>
        <v>ASHP SEER 15 MF ER replace ASHP: HVAC ER1_CompE</v>
      </c>
      <c r="H201" s="622" t="str">
        <f>'HVAC Deemed Table'!D1434</f>
        <v>MFc</v>
      </c>
      <c r="I201" s="2091">
        <f t="shared" ref="I201:I213" si="135">K201+L201</f>
        <v>1465.42</v>
      </c>
      <c r="J201" s="2091">
        <f t="shared" ref="J201:J213" si="136">M201+N201</f>
        <v>161.35</v>
      </c>
      <c r="K201" s="2113">
        <f>'HVAC Deemed Table'!F1434</f>
        <v>1041.8800000000001</v>
      </c>
      <c r="L201" s="2113">
        <f>'HVAC Deemed Table'!F1435</f>
        <v>423.54</v>
      </c>
      <c r="M201" s="2113">
        <f>'HVAC Deemed Table'!F1436</f>
        <v>81.19</v>
      </c>
      <c r="N201" s="2113">
        <f>'HVAC Deemed Table'!F1437</f>
        <v>80.16</v>
      </c>
      <c r="O201" s="2092">
        <f t="shared" ref="O201:O213" si="137">Q201+R201</f>
        <v>0.98709599999999997</v>
      </c>
      <c r="P201" s="2092">
        <f t="shared" ref="P201:P213" si="138">S201+T201</f>
        <v>7.6921000000000003E-2</v>
      </c>
      <c r="Q201" s="2086">
        <f>'HVAC Deemed Table'!I1434</f>
        <v>0.98709599999999997</v>
      </c>
      <c r="R201" s="2086">
        <f>'HVAC Deemed Table'!I1435</f>
        <v>0</v>
      </c>
      <c r="S201" s="2086">
        <f>'HVAC Deemed Table'!I1436</f>
        <v>7.6921000000000003E-2</v>
      </c>
      <c r="T201" s="2086">
        <f>'HVAC Deemed Table'!I1437</f>
        <v>0</v>
      </c>
      <c r="U201" s="2087"/>
      <c r="V201" s="2087"/>
      <c r="W201" s="2095">
        <f>P201</f>
        <v>7.6921000000000003E-2</v>
      </c>
      <c r="X201" s="2121">
        <f>'HVAC Deemed Table'!J1434</f>
        <v>6</v>
      </c>
      <c r="Y201" s="2121">
        <f>'HVAC Deemed Table'!J1436</f>
        <v>12</v>
      </c>
      <c r="Z201" s="88">
        <f t="shared" si="127"/>
        <v>18</v>
      </c>
      <c r="AA201" s="637">
        <f>'HVAC Deemed Table'!BB1434</f>
        <v>1.1251823540310133</v>
      </c>
      <c r="AB201" s="2917">
        <f>'HVAC Deemed Table'!K1434</f>
        <v>749.51513822467041</v>
      </c>
      <c r="AC201" s="2090">
        <f t="shared" si="133"/>
        <v>676.28561205544565</v>
      </c>
      <c r="AD201" s="2090">
        <f t="shared" si="134"/>
        <v>119.69476322488934</v>
      </c>
      <c r="AE201" s="2956">
        <f>'HVAC Deemed Table'!BD1434</f>
        <v>605.83671967872556</v>
      </c>
      <c r="AF201" s="2956">
        <f>'HVAC Deemed Table'!BD1435</f>
        <v>70.448892376720096</v>
      </c>
      <c r="AG201" s="2956">
        <f>'HVAC Deemed Table'!BD1436</f>
        <v>95.992846048591801</v>
      </c>
      <c r="AH201" s="2956">
        <f>'HVAC Deemed Table'!BD1437</f>
        <v>23.701917176297538</v>
      </c>
      <c r="AI201" s="2263" t="str">
        <f t="shared" si="115"/>
        <v>per measure</v>
      </c>
      <c r="AJ201" s="2240">
        <f>'HVAC Deemed Table'!L1434</f>
        <v>2.875</v>
      </c>
      <c r="AK201" s="2055"/>
      <c r="AL201" s="2055"/>
      <c r="AM201" s="2057">
        <f t="shared" si="128"/>
        <v>9.4741810000000004E-4</v>
      </c>
      <c r="AN201" s="132">
        <f t="shared" si="116"/>
        <v>0.98709597002800009</v>
      </c>
      <c r="AO201" s="2053">
        <f t="shared" si="122"/>
        <v>-2.9971999881972522E-8</v>
      </c>
      <c r="AP201" s="211">
        <f>AO201/O201</f>
        <v>-3.036381454485939E-8</v>
      </c>
      <c r="AQ201" s="2070" t="s">
        <v>3316</v>
      </c>
      <c r="AR201" s="2069"/>
      <c r="AS201" s="2069"/>
      <c r="AT201" s="2069"/>
      <c r="AU201" s="2069"/>
      <c r="AV201" s="2069"/>
    </row>
    <row r="202" spans="2:48" x14ac:dyDescent="0.25">
      <c r="B202" s="2240" t="str">
        <f>'HVAC Deemed Table'!C1438</f>
        <v>352750_2019_12_</v>
      </c>
      <c r="C202" s="2096" t="str">
        <f>'HVAC Deemed Table'!G1438</f>
        <v>Cooling Res</v>
      </c>
      <c r="D202" s="2096" t="str">
        <f>'HVAC Deemed Table'!G1439</f>
        <v>Heating Res</v>
      </c>
      <c r="E202" s="2096" t="str">
        <f>'HVAC Deemed Table'!G1440</f>
        <v>Cooling Res ER2</v>
      </c>
      <c r="F202" s="2096" t="str">
        <f>'HVAC Deemed Table'!G1441</f>
        <v>Heating Res ER2</v>
      </c>
      <c r="G202" s="208" t="str">
        <f>'HVAC Deemed Table'!E1438</f>
        <v>ASHP SEER 15 MF ER replace Elec Resist Furnace: HVAC ER1</v>
      </c>
      <c r="H202" s="622" t="str">
        <f>'HVAC Deemed Table'!D1438</f>
        <v>MF</v>
      </c>
      <c r="I202" s="2091">
        <f t="shared" si="135"/>
        <v>7024.83</v>
      </c>
      <c r="J202" s="2091">
        <f t="shared" si="136"/>
        <v>5942.4</v>
      </c>
      <c r="K202" s="2113">
        <f>'HVAC Deemed Table'!F1438</f>
        <v>1281.8399999999999</v>
      </c>
      <c r="L202" s="2113">
        <f>'HVAC Deemed Table'!F1439</f>
        <v>5742.99</v>
      </c>
      <c r="M202" s="2113">
        <f>'HVAC Deemed Table'!F1440</f>
        <v>199.41</v>
      </c>
      <c r="N202" s="2113">
        <f>'HVAC Deemed Table'!F1441</f>
        <v>5742.99</v>
      </c>
      <c r="O202" s="2092">
        <f t="shared" si="137"/>
        <v>1.2144379999999999</v>
      </c>
      <c r="P202" s="2092">
        <f t="shared" si="138"/>
        <v>0.18892500000000001</v>
      </c>
      <c r="Q202" s="2086">
        <f>'HVAC Deemed Table'!I1438</f>
        <v>1.2144379999999999</v>
      </c>
      <c r="R202" s="2086">
        <f>'HVAC Deemed Table'!I1439</f>
        <v>0</v>
      </c>
      <c r="S202" s="2086">
        <f>'HVAC Deemed Table'!I1440</f>
        <v>0.18892500000000001</v>
      </c>
      <c r="T202" s="2086">
        <f>'HVAC Deemed Table'!I1441</f>
        <v>0</v>
      </c>
      <c r="U202" s="2087"/>
      <c r="V202" s="2087"/>
      <c r="W202" s="2095">
        <f>P202</f>
        <v>0.18892500000000001</v>
      </c>
      <c r="X202" s="2121">
        <f>'HVAC Deemed Table'!J1438</f>
        <v>6</v>
      </c>
      <c r="Y202" s="2121">
        <f>'HVAC Deemed Table'!J1440</f>
        <v>12</v>
      </c>
      <c r="Z202" s="88">
        <f t="shared" si="127"/>
        <v>18</v>
      </c>
      <c r="AA202" s="637">
        <f>'HVAC Deemed Table'!BB1438</f>
        <v>5.2742573235033703</v>
      </c>
      <c r="AB202" s="2917">
        <f>'HVAC Deemed Table'!K1438</f>
        <v>730.10143656272817</v>
      </c>
      <c r="AC202" s="2090">
        <f t="shared" si="133"/>
        <v>1700.6213108086381</v>
      </c>
      <c r="AD202" s="2090">
        <f t="shared" si="134"/>
        <v>1933.8693439259532</v>
      </c>
      <c r="AE202" s="2956">
        <f>'HVAC Deemed Table'!BD1438</f>
        <v>745.36965941660981</v>
      </c>
      <c r="AF202" s="2956">
        <f>'HVAC Deemed Table'!BD1439</f>
        <v>955.25165139202841</v>
      </c>
      <c r="AG202" s="2956">
        <f>'HVAC Deemed Table'!BD1440</f>
        <v>235.7671317963997</v>
      </c>
      <c r="AH202" s="2956">
        <f>'HVAC Deemed Table'!BD1441</f>
        <v>1698.1022121295534</v>
      </c>
      <c r="AI202" s="2263" t="str">
        <f t="shared" si="115"/>
        <v>per measure</v>
      </c>
      <c r="AJ202" s="2240">
        <f>'HVAC Deemed Table'!L1438</f>
        <v>2.75</v>
      </c>
      <c r="AK202" s="2055"/>
      <c r="AL202" s="2055"/>
      <c r="AM202" s="2057">
        <f t="shared" si="128"/>
        <v>9.4741810000000004E-4</v>
      </c>
      <c r="AN202" s="132">
        <f t="shared" si="116"/>
        <v>1.2144384173039999</v>
      </c>
      <c r="AO202" s="2048">
        <f t="shared" si="122"/>
        <v>4.1730400002215617E-7</v>
      </c>
    </row>
    <row r="203" spans="2:48" x14ac:dyDescent="0.25">
      <c r="B203" s="2240" t="str">
        <f>'HVAC Deemed Table'!C1442</f>
        <v>352751_2019_12_</v>
      </c>
      <c r="C203" s="2096" t="str">
        <f>'HVAC Deemed Table'!G1442</f>
        <v>Cooling Res</v>
      </c>
      <c r="D203" s="2096" t="str">
        <f>'HVAC Deemed Table'!G1443</f>
        <v>Heating Res</v>
      </c>
      <c r="E203" s="2096" t="str">
        <f>'HVAC Deemed Table'!G1444</f>
        <v>Cooling Res ER2</v>
      </c>
      <c r="F203" s="2096" t="str">
        <f>'HVAC Deemed Table'!G1445</f>
        <v>Heating Res ER2</v>
      </c>
      <c r="G203" s="208" t="str">
        <f>'HVAC Deemed Table'!E1442</f>
        <v>ASHP SEER 15 MF ER replace Elec Resist Furnace: HVAC ER1_CompE</v>
      </c>
      <c r="H203" s="622" t="str">
        <f>'HVAC Deemed Table'!D1442</f>
        <v>MFc</v>
      </c>
      <c r="I203" s="2091">
        <f t="shared" si="135"/>
        <v>2881.2599999999998</v>
      </c>
      <c r="J203" s="2091">
        <f t="shared" si="136"/>
        <v>2102.87</v>
      </c>
      <c r="K203" s="2113">
        <f>'HVAC Deemed Table'!F1442</f>
        <v>923.42</v>
      </c>
      <c r="L203" s="2113">
        <f>'HVAC Deemed Table'!F1443</f>
        <v>1957.84</v>
      </c>
      <c r="M203" s="2113">
        <f>'HVAC Deemed Table'!F1444</f>
        <v>145.03</v>
      </c>
      <c r="N203" s="2113">
        <f>'HVAC Deemed Table'!F1445</f>
        <v>1957.84</v>
      </c>
      <c r="O203" s="2092">
        <f t="shared" si="137"/>
        <v>0.874865</v>
      </c>
      <c r="P203" s="2092">
        <f t="shared" si="138"/>
        <v>0.137404</v>
      </c>
      <c r="Q203" s="2086">
        <f>'HVAC Deemed Table'!I1442</f>
        <v>0.874865</v>
      </c>
      <c r="R203" s="2086">
        <f>'HVAC Deemed Table'!I1443</f>
        <v>0</v>
      </c>
      <c r="S203" s="2086">
        <f>'HVAC Deemed Table'!I1444</f>
        <v>0.137404</v>
      </c>
      <c r="T203" s="2086">
        <f>'HVAC Deemed Table'!I1445</f>
        <v>0</v>
      </c>
      <c r="U203" s="2087"/>
      <c r="V203" s="2087"/>
      <c r="W203" s="2095">
        <f>P203</f>
        <v>0.137404</v>
      </c>
      <c r="X203" s="2121">
        <f>'HVAC Deemed Table'!J1442</f>
        <v>6</v>
      </c>
      <c r="Y203" s="2121">
        <f>'HVAC Deemed Table'!J1444</f>
        <v>12</v>
      </c>
      <c r="Z203" s="88">
        <f t="shared" si="127"/>
        <v>18</v>
      </c>
      <c r="AA203" s="637">
        <f>'HVAC Deemed Table'!BB1442</f>
        <v>2.3407054463473398</v>
      </c>
      <c r="AB203" s="2917">
        <f>'HVAC Deemed Table'!K1442</f>
        <v>730.10143656272817</v>
      </c>
      <c r="AC203" s="2090">
        <f t="shared" si="133"/>
        <v>862.60849363666921</v>
      </c>
      <c r="AD203" s="2090">
        <f t="shared" si="134"/>
        <v>750.37159975492511</v>
      </c>
      <c r="AE203" s="2956">
        <f>'HVAC Deemed Table'!BD1442</f>
        <v>536.95410573744448</v>
      </c>
      <c r="AF203" s="2956">
        <f>'HVAC Deemed Table'!BD1443</f>
        <v>325.65438789922479</v>
      </c>
      <c r="AG203" s="2956">
        <f>'HVAC Deemed Table'!BD1444</f>
        <v>171.4723791406241</v>
      </c>
      <c r="AH203" s="2956">
        <f>'HVAC Deemed Table'!BD1445</f>
        <v>578.89922061430104</v>
      </c>
      <c r="AI203" s="2263" t="str">
        <f t="shared" si="115"/>
        <v>per measure</v>
      </c>
      <c r="AJ203" s="2240">
        <f>'HVAC Deemed Table'!L1442</f>
        <v>2.75</v>
      </c>
      <c r="AK203" s="2055"/>
      <c r="AL203" s="2055"/>
      <c r="AM203" s="2057">
        <f t="shared" si="128"/>
        <v>9.4741810000000004E-4</v>
      </c>
      <c r="AN203" s="132">
        <f t="shared" si="116"/>
        <v>0.87486482190199999</v>
      </c>
      <c r="AO203" s="2053">
        <f t="shared" si="122"/>
        <v>-1.7809800001433729E-7</v>
      </c>
      <c r="AP203" s="211">
        <f>AO203/O203</f>
        <v>-2.0357197969325244E-7</v>
      </c>
    </row>
    <row r="204" spans="2:48" x14ac:dyDescent="0.25">
      <c r="B204" s="2240" t="str">
        <f>'HVAC Deemed Table'!C1446</f>
        <v>352800_2019_12_</v>
      </c>
      <c r="C204" s="2096" t="str">
        <f>'HVAC Deemed Table'!G1446</f>
        <v>Cooling Res</v>
      </c>
      <c r="D204" s="2096" t="str">
        <f>'HVAC Deemed Table'!G1447</f>
        <v>Heating Res</v>
      </c>
      <c r="E204" s="208"/>
      <c r="F204" s="208"/>
      <c r="G204" s="208" t="str">
        <f>'HVAC Deemed Table'!E1446</f>
        <v>ASHP SEER 15 MF replace at Fail Elec Resist Furnace: HVAC</v>
      </c>
      <c r="H204" s="622" t="str">
        <f>'HVAC Deemed Table'!D1446</f>
        <v>MF</v>
      </c>
      <c r="I204" s="2091">
        <f t="shared" si="135"/>
        <v>5565.47</v>
      </c>
      <c r="J204" s="2091">
        <f t="shared" si="136"/>
        <v>0</v>
      </c>
      <c r="K204" s="2113">
        <f>'HVAC Deemed Table'!F1446</f>
        <v>196.21</v>
      </c>
      <c r="L204" s="2113">
        <f>'HVAC Deemed Table'!F1447</f>
        <v>5369.26</v>
      </c>
      <c r="M204" s="2113"/>
      <c r="N204" s="2113"/>
      <c r="O204" s="2092">
        <f t="shared" si="137"/>
        <v>0.185893</v>
      </c>
      <c r="P204" s="2092">
        <f t="shared" si="138"/>
        <v>0</v>
      </c>
      <c r="Q204" s="2086">
        <f>'HVAC Deemed Table'!I1446</f>
        <v>0.185893</v>
      </c>
      <c r="R204" s="2086">
        <f>'HVAC Deemed Table'!I1447</f>
        <v>0</v>
      </c>
      <c r="S204" s="2086"/>
      <c r="T204" s="2086"/>
      <c r="U204" s="2087"/>
      <c r="V204" s="2087"/>
      <c r="W204" s="2087">
        <f>O204</f>
        <v>0.185893</v>
      </c>
      <c r="X204" s="2121">
        <f>'HVAC Deemed Table'!J1446</f>
        <v>18</v>
      </c>
      <c r="Y204" s="2121"/>
      <c r="Z204" s="88">
        <f t="shared" si="127"/>
        <v>18</v>
      </c>
      <c r="AA204" s="637">
        <f>'HVAC Deemed Table'!BB1446</f>
        <v>9.8843352671619051</v>
      </c>
      <c r="AB204" s="2917">
        <f>'HVAC Deemed Table'!K1446</f>
        <v>303</v>
      </c>
      <c r="AC204" s="2090">
        <f t="shared" si="133"/>
        <v>2826.7612892402612</v>
      </c>
      <c r="AD204" s="2090">
        <f t="shared" si="134"/>
        <v>0</v>
      </c>
      <c r="AE204" s="2956">
        <f>'HVAC Deemed Table'!BD1446</f>
        <v>346.0767041631691</v>
      </c>
      <c r="AF204" s="2956">
        <f>'HVAC Deemed Table'!BD1447</f>
        <v>2480.6845850770924</v>
      </c>
      <c r="AG204" s="2956"/>
      <c r="AH204" s="2956"/>
      <c r="AI204" s="2263" t="str">
        <f t="shared" si="115"/>
        <v>per measure</v>
      </c>
      <c r="AJ204" s="2240">
        <f>'HVAC Deemed Table'!L1446</f>
        <v>2.6</v>
      </c>
      <c r="AK204" s="2055"/>
      <c r="AL204" s="2055"/>
      <c r="AM204" s="2057">
        <f t="shared" si="128"/>
        <v>9.4741810000000004E-4</v>
      </c>
      <c r="AN204" s="132">
        <f t="shared" ref="AN204:AN235" si="139">AM204*K204</f>
        <v>0.18589290540100001</v>
      </c>
      <c r="AO204" s="2048">
        <f t="shared" si="122"/>
        <v>-9.4598999994532917E-8</v>
      </c>
    </row>
    <row r="205" spans="2:48" x14ac:dyDescent="0.25">
      <c r="B205" s="2240" t="str">
        <f>'HVAC Deemed Table'!C1448</f>
        <v>352801_2019_12_</v>
      </c>
      <c r="C205" s="2096" t="str">
        <f>'HVAC Deemed Table'!G1448</f>
        <v>Cooling Res</v>
      </c>
      <c r="D205" s="2096" t="str">
        <f>'HVAC Deemed Table'!G1449</f>
        <v>Heating Res</v>
      </c>
      <c r="E205" s="208"/>
      <c r="F205" s="208"/>
      <c r="G205" s="208" t="str">
        <f>'HVAC Deemed Table'!E1448</f>
        <v>ASHP SEER 15 MF replace at Fail Elec Resist Furnace: HVAC_CompE</v>
      </c>
      <c r="H205" s="622" t="str">
        <f>'HVAC Deemed Table'!D1448</f>
        <v>MFc</v>
      </c>
      <c r="I205" s="2091">
        <f t="shared" si="135"/>
        <v>3035.58</v>
      </c>
      <c r="J205" s="2091">
        <f t="shared" si="136"/>
        <v>0</v>
      </c>
      <c r="K205" s="2113">
        <f>'HVAC Deemed Table'!F1448</f>
        <v>219.54</v>
      </c>
      <c r="L205" s="2113">
        <f>'HVAC Deemed Table'!F1449</f>
        <v>2816.04</v>
      </c>
      <c r="M205" s="2113"/>
      <c r="N205" s="2113"/>
      <c r="O205" s="2092">
        <f t="shared" si="137"/>
        <v>0.20799599999999999</v>
      </c>
      <c r="P205" s="2092">
        <f t="shared" si="138"/>
        <v>0</v>
      </c>
      <c r="Q205" s="2086">
        <f>'HVAC Deemed Table'!I1448</f>
        <v>0.20799599999999999</v>
      </c>
      <c r="R205" s="2086">
        <f>'HVAC Deemed Table'!I1449</f>
        <v>0</v>
      </c>
      <c r="S205" s="2086"/>
      <c r="T205" s="2086"/>
      <c r="U205" s="2087"/>
      <c r="V205" s="2087"/>
      <c r="W205" s="2087">
        <f>O205</f>
        <v>0.20799599999999999</v>
      </c>
      <c r="X205" s="2121">
        <f>'HVAC Deemed Table'!J1448</f>
        <v>18</v>
      </c>
      <c r="Y205" s="2121"/>
      <c r="Z205" s="88">
        <f t="shared" si="127"/>
        <v>18</v>
      </c>
      <c r="AA205" s="637">
        <f>'HVAC Deemed Table'!BB1448</f>
        <v>5.9034156925921462</v>
      </c>
      <c r="AB205" s="2917">
        <f>'HVAC Deemed Table'!K1448</f>
        <v>303</v>
      </c>
      <c r="AC205" s="2090">
        <f t="shared" si="133"/>
        <v>1688.2821659796318</v>
      </c>
      <c r="AD205" s="2090">
        <f t="shared" si="134"/>
        <v>0</v>
      </c>
      <c r="AE205" s="2956">
        <f>'HVAC Deemed Table'!BD1448</f>
        <v>387.22633725081357</v>
      </c>
      <c r="AF205" s="2956">
        <f>'HVAC Deemed Table'!BD1449</f>
        <v>1301.0558287288181</v>
      </c>
      <c r="AG205" s="2956"/>
      <c r="AH205" s="2956"/>
      <c r="AI205" s="2263" t="str">
        <f t="shared" si="115"/>
        <v>per measure</v>
      </c>
      <c r="AJ205" s="2240">
        <f>'HVAC Deemed Table'!L1448</f>
        <v>2.6</v>
      </c>
      <c r="AK205" s="2055"/>
      <c r="AL205" s="2055"/>
      <c r="AM205" s="2057">
        <f t="shared" si="128"/>
        <v>9.4741810000000004E-4</v>
      </c>
      <c r="AN205" s="132">
        <f t="shared" si="139"/>
        <v>0.207996169674</v>
      </c>
      <c r="AO205" s="2053">
        <f t="shared" si="122"/>
        <v>1.6967400001677291E-7</v>
      </c>
      <c r="AP205" s="211">
        <f>AO205/O205</f>
        <v>8.1575607231279888E-7</v>
      </c>
    </row>
    <row r="206" spans="2:48" x14ac:dyDescent="0.25">
      <c r="B206" s="2240" t="str">
        <f>'HVAC Deemed Table'!C1450</f>
        <v>352850_2019_12_</v>
      </c>
      <c r="C206" s="2096" t="str">
        <f>'HVAC Deemed Table'!G1450</f>
        <v>Cooling Res</v>
      </c>
      <c r="D206" s="2096" t="str">
        <f>'HVAC Deemed Table'!G1451</f>
        <v>Heating Res</v>
      </c>
      <c r="E206" s="2096" t="str">
        <f>'HVAC Deemed Table'!G1452</f>
        <v>Cooling Res ER2</v>
      </c>
      <c r="F206" s="2096" t="str">
        <f>'HVAC Deemed Table'!G1453</f>
        <v>Heating Res ER2</v>
      </c>
      <c r="G206" s="208" t="str">
        <f>'HVAC Deemed Table'!E1450</f>
        <v>ASHP SEER 16 MF ER replace ASHP: HVAC ER1</v>
      </c>
      <c r="H206" s="622" t="str">
        <f>'HVAC Deemed Table'!D1450</f>
        <v>MF</v>
      </c>
      <c r="I206" s="2091">
        <f t="shared" si="135"/>
        <v>3086</v>
      </c>
      <c r="J206" s="2091">
        <f t="shared" si="136"/>
        <v>842.32</v>
      </c>
      <c r="K206" s="2113">
        <f>'HVAC Deemed Table'!F1450</f>
        <v>1287.24</v>
      </c>
      <c r="L206" s="2113">
        <f>'HVAC Deemed Table'!F1451</f>
        <v>1798.76</v>
      </c>
      <c r="M206" s="2113">
        <f>'HVAC Deemed Table'!F1452</f>
        <v>199.71</v>
      </c>
      <c r="N206" s="2113">
        <f>'HVAC Deemed Table'!F1453</f>
        <v>642.61</v>
      </c>
      <c r="O206" s="2092">
        <f t="shared" si="137"/>
        <v>1.219554</v>
      </c>
      <c r="P206" s="2092">
        <f t="shared" si="138"/>
        <v>0.18920899999999999</v>
      </c>
      <c r="Q206" s="2086">
        <f>'HVAC Deemed Table'!I1450</f>
        <v>1.219554</v>
      </c>
      <c r="R206" s="2086">
        <f>'HVAC Deemed Table'!I1451</f>
        <v>0</v>
      </c>
      <c r="S206" s="2086">
        <f>'HVAC Deemed Table'!I1452</f>
        <v>0.18920899999999999</v>
      </c>
      <c r="T206" s="2086">
        <f>'HVAC Deemed Table'!I1453</f>
        <v>0</v>
      </c>
      <c r="U206" s="2087"/>
      <c r="V206" s="2087"/>
      <c r="W206" s="2095">
        <f>P206</f>
        <v>0.18920899999999999</v>
      </c>
      <c r="X206" s="2121">
        <f>'HVAC Deemed Table'!J1450</f>
        <v>6</v>
      </c>
      <c r="Y206" s="2121">
        <f>'HVAC Deemed Table'!J1452</f>
        <v>12</v>
      </c>
      <c r="Z206" s="88">
        <f t="shared" si="127"/>
        <v>18</v>
      </c>
      <c r="AA206" s="637">
        <f>'HVAC Deemed Table'!BB1450</f>
        <v>1.6428107268754624</v>
      </c>
      <c r="AB206" s="2917">
        <f>'HVAC Deemed Table'!K1450</f>
        <v>950.52172387527389</v>
      </c>
      <c r="AC206" s="2090">
        <f t="shared" si="133"/>
        <v>1047.7037279445985</v>
      </c>
      <c r="AD206" s="2090">
        <f t="shared" si="134"/>
        <v>426.13042411812523</v>
      </c>
      <c r="AE206" s="2956">
        <f>'HVAC Deemed Table'!BD1450</f>
        <v>748.50967389645893</v>
      </c>
      <c r="AF206" s="2956">
        <f>'HVAC Deemed Table'!BD1451</f>
        <v>299.19405404813961</v>
      </c>
      <c r="AG206" s="2956">
        <f>'HVAC Deemed Table'!BD1452</f>
        <v>236.12182885040363</v>
      </c>
      <c r="AH206" s="2956">
        <f>'HVAC Deemed Table'!BD1453</f>
        <v>190.00859526772157</v>
      </c>
      <c r="AI206" s="2263" t="str">
        <f t="shared" si="115"/>
        <v>per measure</v>
      </c>
      <c r="AJ206" s="2240">
        <f>'HVAC Deemed Table'!L1450</f>
        <v>3.3</v>
      </c>
      <c r="AK206" s="2055"/>
      <c r="AL206" s="2055"/>
      <c r="AM206" s="2057">
        <f t="shared" si="128"/>
        <v>9.4741810000000004E-4</v>
      </c>
      <c r="AN206" s="132">
        <f t="shared" si="139"/>
        <v>1.2195544750440002</v>
      </c>
      <c r="AO206" s="2048">
        <f t="shared" si="122"/>
        <v>4.7504400013664849E-7</v>
      </c>
    </row>
    <row r="207" spans="2:48" x14ac:dyDescent="0.25">
      <c r="B207" s="2240" t="str">
        <f>'HVAC Deemed Table'!C1454</f>
        <v>352851_2019_12_</v>
      </c>
      <c r="C207" s="2096" t="str">
        <f>'HVAC Deemed Table'!G1454</f>
        <v>Cooling Res</v>
      </c>
      <c r="D207" s="2096" t="str">
        <f>'HVAC Deemed Table'!G1455</f>
        <v>Heating Res</v>
      </c>
      <c r="E207" s="2096" t="str">
        <f>'HVAC Deemed Table'!G1456</f>
        <v>Cooling Res ER2</v>
      </c>
      <c r="F207" s="2096" t="str">
        <f>'HVAC Deemed Table'!G1457</f>
        <v>Heating Res ER2</v>
      </c>
      <c r="G207" s="208" t="str">
        <f>'HVAC Deemed Table'!E1454</f>
        <v>ASHP SEER 16 MF ER replace ASHP: HVAC ER1_CompE</v>
      </c>
      <c r="H207" s="622" t="str">
        <f>'HVAC Deemed Table'!D1454</f>
        <v>MFc</v>
      </c>
      <c r="I207" s="2091">
        <f t="shared" si="135"/>
        <v>1549.38</v>
      </c>
      <c r="J207" s="2091">
        <f t="shared" si="136"/>
        <v>364.32</v>
      </c>
      <c r="K207" s="2113">
        <f>'HVAC Deemed Table'!F1454</f>
        <v>936.17</v>
      </c>
      <c r="L207" s="2113">
        <f>'HVAC Deemed Table'!F1455</f>
        <v>613.21</v>
      </c>
      <c r="M207" s="2113">
        <f>'HVAC Deemed Table'!F1456</f>
        <v>145.25</v>
      </c>
      <c r="N207" s="2113">
        <f>'HVAC Deemed Table'!F1457</f>
        <v>219.07</v>
      </c>
      <c r="O207" s="2092">
        <f t="shared" si="137"/>
        <v>0.88694399999999995</v>
      </c>
      <c r="P207" s="2092">
        <f t="shared" si="138"/>
        <v>0.13761200000000001</v>
      </c>
      <c r="Q207" s="2086">
        <f>'HVAC Deemed Table'!I1454</f>
        <v>0.88694399999999995</v>
      </c>
      <c r="R207" s="2086">
        <f>'HVAC Deemed Table'!I1455</f>
        <v>0</v>
      </c>
      <c r="S207" s="2086">
        <f>'HVAC Deemed Table'!I1456</f>
        <v>0.13761200000000001</v>
      </c>
      <c r="T207" s="2086">
        <f>'HVAC Deemed Table'!I1457</f>
        <v>0</v>
      </c>
      <c r="U207" s="2087"/>
      <c r="V207" s="2087"/>
      <c r="W207" s="2095">
        <f>P207</f>
        <v>0.13761200000000001</v>
      </c>
      <c r="X207" s="2121">
        <f>'HVAC Deemed Table'!J1454</f>
        <v>6</v>
      </c>
      <c r="Y207" s="2121">
        <f>'HVAC Deemed Table'!J1456</f>
        <v>12</v>
      </c>
      <c r="Z207" s="88">
        <f t="shared" si="127"/>
        <v>18</v>
      </c>
      <c r="AA207" s="637">
        <f>'HVAC Deemed Table'!BB1454</f>
        <v>0.984095364419867</v>
      </c>
      <c r="AB207" s="2917">
        <f>'HVAC Deemed Table'!K1454</f>
        <v>950.52172387527389</v>
      </c>
      <c r="AC207" s="2090">
        <f t="shared" si="133"/>
        <v>646.36539693671625</v>
      </c>
      <c r="AD207" s="2090">
        <f t="shared" si="134"/>
        <v>236.50767738705707</v>
      </c>
      <c r="AE207" s="2956">
        <f>'HVAC Deemed Table'!BD1454</f>
        <v>544.36802881486585</v>
      </c>
      <c r="AF207" s="2956">
        <f>'HVAC Deemed Table'!BD1455</f>
        <v>101.99736812185043</v>
      </c>
      <c r="AG207" s="2956">
        <f>'HVAC Deemed Table'!BD1456</f>
        <v>171.73249031356028</v>
      </c>
      <c r="AH207" s="2956">
        <f>'HVAC Deemed Table'!BD1457</f>
        <v>64.775187073496781</v>
      </c>
      <c r="AI207" s="2263" t="str">
        <f t="shared" si="115"/>
        <v>per measure</v>
      </c>
      <c r="AJ207" s="2240">
        <f>'HVAC Deemed Table'!L1454</f>
        <v>3.3</v>
      </c>
      <c r="AK207" s="2055"/>
      <c r="AL207" s="2055"/>
      <c r="AM207" s="2057">
        <f t="shared" si="128"/>
        <v>9.4741810000000004E-4</v>
      </c>
      <c r="AN207" s="132">
        <f t="shared" si="139"/>
        <v>0.88694440267700003</v>
      </c>
      <c r="AO207" s="2053">
        <f t="shared" si="122"/>
        <v>4.0267700007756702E-7</v>
      </c>
      <c r="AP207" s="211">
        <f>AO207/O207</f>
        <v>4.5400498800100914E-7</v>
      </c>
    </row>
    <row r="208" spans="2:48" x14ac:dyDescent="0.25">
      <c r="B208" s="2240" t="str">
        <f>'HVAC Deemed Table'!C1458</f>
        <v>352900_2019_12_</v>
      </c>
      <c r="C208" s="2096" t="str">
        <f>'HVAC Deemed Table'!G1458</f>
        <v>Cooling Res</v>
      </c>
      <c r="D208" s="2096" t="str">
        <f>'HVAC Deemed Table'!G1459</f>
        <v>Heating Res</v>
      </c>
      <c r="E208" s="208"/>
      <c r="F208" s="208"/>
      <c r="G208" s="208" t="str">
        <f>'HVAC Deemed Table'!E1458</f>
        <v>ASHP - SEER 16 - replace on fail MF</v>
      </c>
      <c r="H208" s="622" t="str">
        <f>'HVAC Deemed Table'!D1458</f>
        <v>MF</v>
      </c>
      <c r="I208" s="2091">
        <f t="shared" si="135"/>
        <v>966.40000000000009</v>
      </c>
      <c r="J208" s="2091">
        <f t="shared" si="136"/>
        <v>0</v>
      </c>
      <c r="K208" s="2113">
        <f>'HVAC Deemed Table'!F1458</f>
        <v>199.71</v>
      </c>
      <c r="L208" s="2113">
        <f>'HVAC Deemed Table'!F1459</f>
        <v>766.69</v>
      </c>
      <c r="M208" s="2113"/>
      <c r="N208" s="2113"/>
      <c r="O208" s="2092">
        <f t="shared" si="137"/>
        <v>0.18920899999999999</v>
      </c>
      <c r="P208" s="2092">
        <f t="shared" si="138"/>
        <v>0</v>
      </c>
      <c r="Q208" s="2086">
        <f>'HVAC Deemed Table'!I1458</f>
        <v>0.18920899999999999</v>
      </c>
      <c r="R208" s="2086">
        <f>'HVAC Deemed Table'!I1459</f>
        <v>0</v>
      </c>
      <c r="S208" s="2086"/>
      <c r="T208" s="2086"/>
      <c r="U208" s="2087"/>
      <c r="V208" s="2087"/>
      <c r="W208" s="2087">
        <f>O208</f>
        <v>0.18920899999999999</v>
      </c>
      <c r="X208" s="2121">
        <f>'HVAC Deemed Table'!J1458</f>
        <v>18</v>
      </c>
      <c r="Y208" s="2121"/>
      <c r="Z208" s="88">
        <f t="shared" si="127"/>
        <v>18</v>
      </c>
      <c r="AA208" s="637">
        <f>'HVAC Deemed Table'!BB1458</f>
        <v>1.708923083266116</v>
      </c>
      <c r="AB208" s="2917">
        <f>'HVAC Deemed Table'!K1458</f>
        <v>438</v>
      </c>
      <c r="AC208" s="2090">
        <f t="shared" si="133"/>
        <v>706.47315759373168</v>
      </c>
      <c r="AD208" s="2090">
        <f t="shared" si="134"/>
        <v>0</v>
      </c>
      <c r="AE208" s="2956">
        <f>'HVAC Deemed Table'!BD1458</f>
        <v>352.25003103015393</v>
      </c>
      <c r="AF208" s="2956">
        <f>'HVAC Deemed Table'!BD1459</f>
        <v>354.22312656357781</v>
      </c>
      <c r="AG208" s="2956"/>
      <c r="AH208" s="2956"/>
      <c r="AI208" s="2263" t="str">
        <f t="shared" si="115"/>
        <v>per measure</v>
      </c>
      <c r="AJ208" s="2240">
        <f>'HVAC Deemed Table'!L1458</f>
        <v>3.3</v>
      </c>
      <c r="AK208" s="2055"/>
      <c r="AL208" s="2055"/>
      <c r="AM208" s="2057">
        <f t="shared" si="128"/>
        <v>9.4741810000000004E-4</v>
      </c>
      <c r="AN208" s="132">
        <f t="shared" si="139"/>
        <v>0.18920886875100001</v>
      </c>
      <c r="AO208" s="2048">
        <f t="shared" si="122"/>
        <v>-1.312489999738542E-7</v>
      </c>
    </row>
    <row r="209" spans="2:42" x14ac:dyDescent="0.25">
      <c r="B209" s="2240" t="str">
        <f>'HVAC Deemed Table'!C1460</f>
        <v>352901_2019_12_</v>
      </c>
      <c r="C209" s="2096" t="str">
        <f>'HVAC Deemed Table'!G1460</f>
        <v>Cooling Res</v>
      </c>
      <c r="D209" s="2096" t="str">
        <f>'HVAC Deemed Table'!G1461</f>
        <v>Heating Res</v>
      </c>
      <c r="E209" s="208"/>
      <c r="F209" s="208"/>
      <c r="G209" s="208" t="str">
        <f>'HVAC Deemed Table'!E1460</f>
        <v>ASHP - SEER 16 - replace on fail MF_CompE</v>
      </c>
      <c r="H209" s="622" t="str">
        <f>'HVAC Deemed Table'!D1460</f>
        <v>MFc</v>
      </c>
      <c r="I209" s="2091">
        <f t="shared" si="135"/>
        <v>406.62</v>
      </c>
      <c r="J209" s="2091">
        <f t="shared" si="136"/>
        <v>0</v>
      </c>
      <c r="K209" s="2113">
        <f>'HVAC Deemed Table'!F1460</f>
        <v>145.25</v>
      </c>
      <c r="L209" s="2113">
        <f>'HVAC Deemed Table'!F1461</f>
        <v>261.37</v>
      </c>
      <c r="M209" s="2113"/>
      <c r="N209" s="2113"/>
      <c r="O209" s="2092">
        <f t="shared" si="137"/>
        <v>0.13761200000000001</v>
      </c>
      <c r="P209" s="2092">
        <f t="shared" si="138"/>
        <v>0</v>
      </c>
      <c r="Q209" s="2086">
        <f>'HVAC Deemed Table'!I1460</f>
        <v>0.13761200000000001</v>
      </c>
      <c r="R209" s="2086">
        <f>'HVAC Deemed Table'!I1461</f>
        <v>0</v>
      </c>
      <c r="S209" s="2086"/>
      <c r="T209" s="2086"/>
      <c r="U209" s="2087"/>
      <c r="V209" s="2087"/>
      <c r="W209" s="2087">
        <f>O209</f>
        <v>0.13761200000000001</v>
      </c>
      <c r="X209" s="2121">
        <f>'HVAC Deemed Table'!J1460</f>
        <v>18</v>
      </c>
      <c r="Y209" s="2121"/>
      <c r="Z209" s="88">
        <f t="shared" si="127"/>
        <v>18</v>
      </c>
      <c r="AA209" s="637">
        <f>'HVAC Deemed Table'!BB1460</f>
        <v>0.91182363411783474</v>
      </c>
      <c r="AB209" s="2917">
        <f>'HVAC Deemed Table'!K1460</f>
        <v>438</v>
      </c>
      <c r="AC209" s="2090">
        <f t="shared" si="133"/>
        <v>376.95021401001566</v>
      </c>
      <c r="AD209" s="2090">
        <f t="shared" si="134"/>
        <v>0</v>
      </c>
      <c r="AE209" s="2956">
        <f>'HVAC Deemed Table'!BD1460</f>
        <v>256.19306497987009</v>
      </c>
      <c r="AF209" s="2956">
        <f>'HVAC Deemed Table'!BD1461</f>
        <v>120.7571490301456</v>
      </c>
      <c r="AG209" s="2956"/>
      <c r="AH209" s="2956"/>
      <c r="AI209" s="2263" t="str">
        <f t="shared" si="115"/>
        <v>per measure</v>
      </c>
      <c r="AJ209" s="2240">
        <f>'HVAC Deemed Table'!L1460</f>
        <v>3.3</v>
      </c>
      <c r="AK209" s="2055"/>
      <c r="AL209" s="2055"/>
      <c r="AM209" s="2057">
        <f t="shared" si="128"/>
        <v>9.4741810000000004E-4</v>
      </c>
      <c r="AN209" s="132">
        <f t="shared" si="139"/>
        <v>0.13761247902500001</v>
      </c>
      <c r="AO209" s="2048">
        <f t="shared" si="122"/>
        <v>4.7902499999974424E-7</v>
      </c>
    </row>
    <row r="210" spans="2:42" x14ac:dyDescent="0.25">
      <c r="B210" s="2240" t="str">
        <f>'HVAC Deemed Table'!C1462</f>
        <v>352950_2019_12_</v>
      </c>
      <c r="C210" s="2096" t="str">
        <f>'HVAC Deemed Table'!G1462</f>
        <v>Cooling Res</v>
      </c>
      <c r="D210" s="2096" t="str">
        <f>'HVAC Deemed Table'!G1463</f>
        <v>Heating Res</v>
      </c>
      <c r="E210" s="208"/>
      <c r="F210" s="208"/>
      <c r="G210" s="208" t="str">
        <f>'HVAC Deemed Table'!E1462</f>
        <v>ASHP - SEER 16 - replace electric furnace / CAC MF</v>
      </c>
      <c r="H210" s="622" t="str">
        <f>'HVAC Deemed Table'!D1462</f>
        <v>MF</v>
      </c>
      <c r="I210" s="2091">
        <f t="shared" si="135"/>
        <v>4552.54</v>
      </c>
      <c r="J210" s="2091">
        <f t="shared" si="136"/>
        <v>0</v>
      </c>
      <c r="K210" s="2113">
        <f>'HVAC Deemed Table'!F1462</f>
        <v>245.36</v>
      </c>
      <c r="L210" s="2113">
        <f>'HVAC Deemed Table'!F1463</f>
        <v>4307.18</v>
      </c>
      <c r="M210" s="2113"/>
      <c r="N210" s="2113"/>
      <c r="O210" s="2092">
        <f t="shared" si="137"/>
        <v>0.232459</v>
      </c>
      <c r="P210" s="2092">
        <f t="shared" si="138"/>
        <v>0</v>
      </c>
      <c r="Q210" s="2086">
        <f>'HVAC Deemed Table'!I1462</f>
        <v>0.232459</v>
      </c>
      <c r="R210" s="2086">
        <f>'HVAC Deemed Table'!I1463</f>
        <v>0</v>
      </c>
      <c r="S210" s="2086"/>
      <c r="T210" s="2086"/>
      <c r="U210" s="2087"/>
      <c r="V210" s="2087"/>
      <c r="W210" s="2087">
        <f>O210</f>
        <v>0.232459</v>
      </c>
      <c r="X210" s="2121">
        <f>'HVAC Deemed Table'!J1462</f>
        <v>18</v>
      </c>
      <c r="Y210" s="2121"/>
      <c r="Z210" s="88">
        <f t="shared" si="127"/>
        <v>18</v>
      </c>
      <c r="AA210" s="637">
        <f>'HVAC Deemed Table'!BB1462</f>
        <v>5.8605211376387798</v>
      </c>
      <c r="AB210" s="2917">
        <f>'HVAC Deemed Table'!K1462</f>
        <v>438</v>
      </c>
      <c r="AC210" s="2090">
        <f t="shared" si="133"/>
        <v>2422.7543730871025</v>
      </c>
      <c r="AD210" s="2090">
        <f t="shared" si="134"/>
        <v>0</v>
      </c>
      <c r="AE210" s="2956">
        <f>'HVAC Deemed Table'!BD1462</f>
        <v>432.76785145239882</v>
      </c>
      <c r="AF210" s="2956">
        <f>'HVAC Deemed Table'!BD1463</f>
        <v>1989.9865216347039</v>
      </c>
      <c r="AG210" s="2956"/>
      <c r="AH210" s="2956"/>
      <c r="AI210" s="2263" t="str">
        <f t="shared" si="115"/>
        <v>per measure</v>
      </c>
      <c r="AJ210" s="2240">
        <f>'HVAC Deemed Table'!L1462</f>
        <v>2</v>
      </c>
      <c r="AK210" s="2055"/>
      <c r="AL210" s="2055"/>
      <c r="AM210" s="2057">
        <f t="shared" si="128"/>
        <v>9.4741810000000004E-4</v>
      </c>
      <c r="AN210" s="132">
        <f t="shared" si="139"/>
        <v>0.23245850501600002</v>
      </c>
      <c r="AO210" s="2048">
        <f t="shared" si="122"/>
        <v>-4.9498399998237907E-7</v>
      </c>
    </row>
    <row r="211" spans="2:42" x14ac:dyDescent="0.25">
      <c r="B211" s="2240" t="str">
        <f>'HVAC Deemed Table'!C1464</f>
        <v>352951_2019_12_</v>
      </c>
      <c r="C211" s="2096" t="str">
        <f>'HVAC Deemed Table'!G1464</f>
        <v>Cooling Res</v>
      </c>
      <c r="D211" s="2096" t="str">
        <f>'HVAC Deemed Table'!G1465</f>
        <v>Heating Res</v>
      </c>
      <c r="E211" s="208"/>
      <c r="F211" s="208"/>
      <c r="G211" s="208" t="str">
        <f>'HVAC Deemed Table'!E1464</f>
        <v>ASHP - SEER 16 - replace electric furnace / CAC MF_CompE</v>
      </c>
      <c r="H211" s="622" t="str">
        <f>'HVAC Deemed Table'!D1464</f>
        <v>MFc</v>
      </c>
      <c r="I211" s="2091">
        <f t="shared" si="135"/>
        <v>1646.81</v>
      </c>
      <c r="J211" s="2091">
        <f t="shared" si="136"/>
        <v>0</v>
      </c>
      <c r="K211" s="2113">
        <f>'HVAC Deemed Table'!F1464</f>
        <v>178.45</v>
      </c>
      <c r="L211" s="2113">
        <f>'HVAC Deemed Table'!F1465</f>
        <v>1468.36</v>
      </c>
      <c r="M211" s="2113"/>
      <c r="N211" s="2113"/>
      <c r="O211" s="2092">
        <f t="shared" si="137"/>
        <v>0.169067</v>
      </c>
      <c r="P211" s="2092">
        <f t="shared" si="138"/>
        <v>0</v>
      </c>
      <c r="Q211" s="2086">
        <f>'HVAC Deemed Table'!I1464</f>
        <v>0.169067</v>
      </c>
      <c r="R211" s="2086">
        <f>'HVAC Deemed Table'!I1465</f>
        <v>0</v>
      </c>
      <c r="S211" s="2086"/>
      <c r="T211" s="2086"/>
      <c r="U211" s="2087"/>
      <c r="V211" s="2087"/>
      <c r="W211" s="2087">
        <f>O211</f>
        <v>0.169067</v>
      </c>
      <c r="X211" s="2121">
        <f>'HVAC Deemed Table'!J1464</f>
        <v>18</v>
      </c>
      <c r="Y211" s="2121"/>
      <c r="Z211" s="88">
        <f t="shared" si="127"/>
        <v>18</v>
      </c>
      <c r="AA211" s="637">
        <f>'HVAC Deemed Table'!BB1464</f>
        <v>2.4023979770006005</v>
      </c>
      <c r="AB211" s="2917">
        <f>'HVAC Deemed Table'!K1464</f>
        <v>438</v>
      </c>
      <c r="AC211" s="2090">
        <f t="shared" si="133"/>
        <v>993.15744589548171</v>
      </c>
      <c r="AD211" s="2090">
        <f t="shared" si="134"/>
        <v>0</v>
      </c>
      <c r="AE211" s="2956">
        <f>'HVAC Deemed Table'!BD1464</f>
        <v>314.7514798324118</v>
      </c>
      <c r="AF211" s="2956">
        <f>'HVAC Deemed Table'!BD1465</f>
        <v>678.40596606306985</v>
      </c>
      <c r="AG211" s="2956"/>
      <c r="AH211" s="2956"/>
      <c r="AI211" s="2263" t="str">
        <f t="shared" si="115"/>
        <v>per measure</v>
      </c>
      <c r="AJ211" s="2240">
        <f>'HVAC Deemed Table'!L1464</f>
        <v>2</v>
      </c>
      <c r="AK211" s="2055"/>
      <c r="AL211" s="2055"/>
      <c r="AM211" s="2057">
        <f t="shared" si="128"/>
        <v>9.4741810000000004E-4</v>
      </c>
      <c r="AN211" s="132">
        <f t="shared" si="139"/>
        <v>0.16906675994500001</v>
      </c>
      <c r="AO211" s="2053">
        <f t="shared" si="122"/>
        <v>-2.4005499998924762E-7</v>
      </c>
      <c r="AP211" s="211">
        <f>AO211/O211</f>
        <v>-1.4198808755655901E-6</v>
      </c>
    </row>
    <row r="212" spans="2:42" x14ac:dyDescent="0.25">
      <c r="B212" s="2240" t="str">
        <f>'HVAC Deemed Table'!C1466</f>
        <v>353000_2019_12_</v>
      </c>
      <c r="C212" s="2096" t="str">
        <f>'HVAC Deemed Table'!G1466</f>
        <v>Cooling Res</v>
      </c>
      <c r="D212" s="2096" t="str">
        <f>'HVAC Deemed Table'!G1467</f>
        <v>Heating Res</v>
      </c>
      <c r="E212" s="2096" t="str">
        <f>'HVAC Deemed Table'!G1468</f>
        <v>Cooling Res ER2</v>
      </c>
      <c r="F212" s="2096" t="str">
        <f>'HVAC Deemed Table'!G1469</f>
        <v>Heating Res ER2</v>
      </c>
      <c r="G212" s="208" t="str">
        <f>'HVAC Deemed Table'!E1466</f>
        <v>ASHP - SEER 16 - replace electric furnace / CAC - early replacement MF ER1</v>
      </c>
      <c r="H212" s="622" t="str">
        <f>'HVAC Deemed Table'!D1466</f>
        <v>MF</v>
      </c>
      <c r="I212" s="2091">
        <f t="shared" si="135"/>
        <v>7432.3600000000006</v>
      </c>
      <c r="J212" s="2091">
        <f t="shared" si="136"/>
        <v>6467.74</v>
      </c>
      <c r="K212" s="2113">
        <f>'HVAC Deemed Table'!F1466</f>
        <v>1329.6</v>
      </c>
      <c r="L212" s="2113">
        <f>'HVAC Deemed Table'!F1467</f>
        <v>6102.76</v>
      </c>
      <c r="M212" s="2113">
        <f>'HVAC Deemed Table'!F1468</f>
        <v>364.98</v>
      </c>
      <c r="N212" s="2113">
        <f>'HVAC Deemed Table'!F1469</f>
        <v>6102.76</v>
      </c>
      <c r="O212" s="2092">
        <f t="shared" si="137"/>
        <v>1.259687</v>
      </c>
      <c r="P212" s="2092">
        <f t="shared" si="138"/>
        <v>0.34578900000000001</v>
      </c>
      <c r="Q212" s="2086">
        <f>'HVAC Deemed Table'!I1466</f>
        <v>1.259687</v>
      </c>
      <c r="R212" s="2086">
        <f>'HVAC Deemed Table'!I1467</f>
        <v>0</v>
      </c>
      <c r="S212" s="2086">
        <f>'HVAC Deemed Table'!I1468</f>
        <v>0.34578900000000001</v>
      </c>
      <c r="T212" s="2086">
        <f>'HVAC Deemed Table'!I1469</f>
        <v>0</v>
      </c>
      <c r="U212" s="2087"/>
      <c r="V212" s="2087"/>
      <c r="W212" s="2095">
        <f>P212</f>
        <v>0.34578900000000001</v>
      </c>
      <c r="X212" s="2121">
        <f>'HVAC Deemed Table'!J1466</f>
        <v>6</v>
      </c>
      <c r="Y212" s="2121">
        <f>'HVAC Deemed Table'!J1468</f>
        <v>12</v>
      </c>
      <c r="Z212" s="88">
        <f t="shared" si="127"/>
        <v>18</v>
      </c>
      <c r="AA212" s="637">
        <f>'HVAC Deemed Table'!BB1466</f>
        <v>4.4856222640471959</v>
      </c>
      <c r="AB212" s="2917">
        <f>'HVAC Deemed Table'!K1466</f>
        <v>950.52172387527389</v>
      </c>
      <c r="AC212" s="2090">
        <f t="shared" si="133"/>
        <v>1788.2347992431182</v>
      </c>
      <c r="AD212" s="2090">
        <f t="shared" si="134"/>
        <v>2236.0043768545211</v>
      </c>
      <c r="AE212" s="2956">
        <f>'HVAC Deemed Table'!BD1466</f>
        <v>773.1413430383858</v>
      </c>
      <c r="AF212" s="2956">
        <f>'HVAC Deemed Table'!BD1467</f>
        <v>1015.0934562047323</v>
      </c>
      <c r="AG212" s="2956">
        <f>'HVAC Deemed Table'!BD1468</f>
        <v>431.52443590115826</v>
      </c>
      <c r="AH212" s="2956">
        <f>'HVAC Deemed Table'!BD1469</f>
        <v>1804.479940953363</v>
      </c>
      <c r="AI212" s="2263" t="str">
        <f t="shared" si="115"/>
        <v>per measure</v>
      </c>
      <c r="AJ212" s="2240">
        <f>'HVAC Deemed Table'!L1466</f>
        <v>3.3</v>
      </c>
      <c r="AK212" s="2055"/>
      <c r="AL212" s="2055"/>
      <c r="AM212" s="2057">
        <f t="shared" si="128"/>
        <v>9.4741810000000004E-4</v>
      </c>
      <c r="AN212" s="132">
        <f t="shared" si="139"/>
        <v>1.2596871057599999</v>
      </c>
      <c r="AO212" s="2048">
        <f t="shared" si="122"/>
        <v>1.0575999986883744E-7</v>
      </c>
    </row>
    <row r="213" spans="2:42" x14ac:dyDescent="0.25">
      <c r="B213" s="2240" t="str">
        <f>'HVAC Deemed Table'!C1470</f>
        <v>353001_2019_12_</v>
      </c>
      <c r="C213" s="2096" t="str">
        <f>'HVAC Deemed Table'!G1470</f>
        <v>Cooling Res</v>
      </c>
      <c r="D213" s="2096" t="str">
        <f>'HVAC Deemed Table'!G1471</f>
        <v>Heating Res</v>
      </c>
      <c r="E213" s="2096" t="str">
        <f>'HVAC Deemed Table'!G1472</f>
        <v>Cooling Res ER2</v>
      </c>
      <c r="F213" s="2096" t="str">
        <f>'HVAC Deemed Table'!G1473</f>
        <v>Heating Res ER2</v>
      </c>
      <c r="G213" s="208" t="str">
        <f>'HVAC Deemed Table'!E1470</f>
        <v>ASHP - SEER 16 - replace electric furnace / CAC - early replacement MF ER1_CompE</v>
      </c>
      <c r="H213" s="622" t="str">
        <f>'HVAC Deemed Table'!D1470</f>
        <v>MFc</v>
      </c>
      <c r="I213" s="2091">
        <f t="shared" si="135"/>
        <v>3047.47</v>
      </c>
      <c r="J213" s="2091">
        <f t="shared" si="136"/>
        <v>2345.9299999999998</v>
      </c>
      <c r="K213" s="2113">
        <f>'HVAC Deemed Table'!F1470</f>
        <v>966.98</v>
      </c>
      <c r="L213" s="2113">
        <f>'HVAC Deemed Table'!F1471</f>
        <v>2080.4899999999998</v>
      </c>
      <c r="M213" s="2113">
        <f>'HVAC Deemed Table'!F1472</f>
        <v>265.44</v>
      </c>
      <c r="N213" s="2113">
        <f>'HVAC Deemed Table'!F1473</f>
        <v>2080.4899999999998</v>
      </c>
      <c r="O213" s="2092">
        <f t="shared" si="137"/>
        <v>0.916134</v>
      </c>
      <c r="P213" s="2092">
        <f t="shared" si="138"/>
        <v>0.25148300000000001</v>
      </c>
      <c r="Q213" s="2086">
        <f>'HVAC Deemed Table'!I1470</f>
        <v>0.916134</v>
      </c>
      <c r="R213" s="2086">
        <f>'HVAC Deemed Table'!I1471</f>
        <v>0</v>
      </c>
      <c r="S213" s="2086">
        <f>'HVAC Deemed Table'!I1472</f>
        <v>0.25148300000000001</v>
      </c>
      <c r="T213" s="2086">
        <f>'HVAC Deemed Table'!I1473</f>
        <v>0</v>
      </c>
      <c r="U213" s="2087"/>
      <c r="V213" s="2087"/>
      <c r="W213" s="2095">
        <f>P213</f>
        <v>0.25148300000000001</v>
      </c>
      <c r="X213" s="2121">
        <f>'HVAC Deemed Table'!J1470</f>
        <v>6</v>
      </c>
      <c r="Y213" s="2121">
        <f>'HVAC Deemed Table'!J1472</f>
        <v>12</v>
      </c>
      <c r="Z213" s="88">
        <f t="shared" si="127"/>
        <v>18</v>
      </c>
      <c r="AA213" s="637">
        <f>'HVAC Deemed Table'!BB1470</f>
        <v>2.0479922108811186</v>
      </c>
      <c r="AB213" s="2917">
        <f>'HVAC Deemed Table'!K1470</f>
        <v>950.52172387527389</v>
      </c>
      <c r="AC213" s="2090">
        <f t="shared" si="133"/>
        <v>908.33874806652193</v>
      </c>
      <c r="AD213" s="2090">
        <f t="shared" si="134"/>
        <v>929.00064482621428</v>
      </c>
      <c r="AE213" s="2956">
        <f>'HVAC Deemed Table'!BD1470</f>
        <v>562.28355587489341</v>
      </c>
      <c r="AF213" s="2956">
        <f>'HVAC Deemed Table'!BD1471</f>
        <v>346.05519219162858</v>
      </c>
      <c r="AG213" s="2956">
        <f>'HVAC Deemed Table'!BD1472</f>
        <v>313.83595338266053</v>
      </c>
      <c r="AH213" s="2956">
        <f>'HVAC Deemed Table'!BD1473</f>
        <v>615.16469144355369</v>
      </c>
      <c r="AI213" s="2263" t="str">
        <f t="shared" si="115"/>
        <v>per measure</v>
      </c>
      <c r="AJ213" s="2240">
        <f>'HVAC Deemed Table'!L1470</f>
        <v>3.3</v>
      </c>
      <c r="AK213" s="2055"/>
      <c r="AL213" s="2055"/>
      <c r="AM213" s="2057">
        <f t="shared" si="128"/>
        <v>9.4741810000000004E-4</v>
      </c>
      <c r="AN213" s="132">
        <f t="shared" si="139"/>
        <v>0.91613435433800006</v>
      </c>
      <c r="AO213" s="2053">
        <f t="shared" si="122"/>
        <v>3.5433800005257865E-7</v>
      </c>
      <c r="AP213" s="211">
        <f>AO213/O213</f>
        <v>3.8677529712092191E-7</v>
      </c>
    </row>
    <row r="214" spans="2:42" x14ac:dyDescent="0.25">
      <c r="B214" s="2240" t="str">
        <f>'HVAC Deemed Table'!C1474</f>
        <v>353050_2019_12_</v>
      </c>
      <c r="C214" s="2096" t="str">
        <f>'HVAC Deemed Table'!G1474</f>
        <v>Cooling Res</v>
      </c>
      <c r="D214" s="2096" t="str">
        <f>'HVAC Deemed Table'!G1475</f>
        <v>Heating Res</v>
      </c>
      <c r="E214" s="208"/>
      <c r="F214" s="208"/>
      <c r="G214" s="208" t="str">
        <f>'HVAC Deemed Table'!E1474</f>
        <v xml:space="preserve">ASHP SEER 15 - replace on Fail MF </v>
      </c>
      <c r="H214" s="622" t="str">
        <f>'HVAC Deemed Table'!D1474</f>
        <v>MF</v>
      </c>
      <c r="I214" s="2091">
        <f t="shared" ref="I214:I224" si="140">K214+L214</f>
        <v>362.87</v>
      </c>
      <c r="J214" s="2091">
        <f t="shared" ref="J214:J224" si="141">M214+N214</f>
        <v>0</v>
      </c>
      <c r="K214" s="2113">
        <f>'HVAC Deemed Table'!F1474</f>
        <v>109.34</v>
      </c>
      <c r="L214" s="2113">
        <f>'HVAC Deemed Table'!F1475</f>
        <v>253.53</v>
      </c>
      <c r="M214" s="2113"/>
      <c r="N214" s="2113"/>
      <c r="O214" s="2092">
        <f t="shared" ref="O214:O221" si="142">Q214+R214</f>
        <v>0.103591</v>
      </c>
      <c r="P214" s="2092">
        <f t="shared" ref="P214:P221" si="143">S214+T214</f>
        <v>0</v>
      </c>
      <c r="Q214" s="2086">
        <f>'HVAC Deemed Table'!I1474</f>
        <v>0.103591</v>
      </c>
      <c r="R214" s="2086">
        <f>'HVAC Deemed Table'!I1475</f>
        <v>0</v>
      </c>
      <c r="S214" s="2086"/>
      <c r="T214" s="2086"/>
      <c r="U214" s="2087"/>
      <c r="V214" s="2087"/>
      <c r="W214" s="2087">
        <f t="shared" ref="W214:W224" si="144">O214</f>
        <v>0.103591</v>
      </c>
      <c r="X214" s="2121">
        <f>'HVAC Deemed Table'!J1474</f>
        <v>18</v>
      </c>
      <c r="Y214" s="2121"/>
      <c r="Z214" s="88">
        <f t="shared" si="127"/>
        <v>18</v>
      </c>
      <c r="AA214" s="637">
        <f>'HVAC Deemed Table'!BB1474</f>
        <v>1.0839407911241059</v>
      </c>
      <c r="AB214" s="2917">
        <f>'HVAC Deemed Table'!K1474</f>
        <v>303</v>
      </c>
      <c r="AC214" s="2090">
        <f t="shared" si="133"/>
        <v>309.98967410156115</v>
      </c>
      <c r="AD214" s="2090">
        <f t="shared" si="134"/>
        <v>0</v>
      </c>
      <c r="AE214" s="2956">
        <f>'HVAC Deemed Table'!BD1474</f>
        <v>192.85473132460581</v>
      </c>
      <c r="AF214" s="2956">
        <f>'HVAC Deemed Table'!BD1475</f>
        <v>117.13494277695533</v>
      </c>
      <c r="AG214" s="2956"/>
      <c r="AH214" s="2956"/>
      <c r="AI214" s="2263" t="str">
        <f t="shared" si="115"/>
        <v>per measure</v>
      </c>
      <c r="AJ214" s="2240">
        <f>'HVAC Deemed Table'!L1474</f>
        <v>3.1</v>
      </c>
      <c r="AK214" s="2055"/>
      <c r="AL214" s="2055"/>
      <c r="AM214" s="2057">
        <f t="shared" si="128"/>
        <v>9.4741810000000004E-4</v>
      </c>
      <c r="AN214" s="132">
        <f t="shared" si="139"/>
        <v>0.10359069505400001</v>
      </c>
      <c r="AO214" s="2048">
        <f t="shared" si="122"/>
        <v>-3.0494599999320027E-7</v>
      </c>
    </row>
    <row r="215" spans="2:42" x14ac:dyDescent="0.25">
      <c r="B215" s="2240" t="str">
        <f>'HVAC Deemed Table'!C1476</f>
        <v>353051_2019_12_</v>
      </c>
      <c r="C215" s="2096" t="str">
        <f>'HVAC Deemed Table'!G1476</f>
        <v>Cooling Res</v>
      </c>
      <c r="D215" s="2096" t="str">
        <f>'HVAC Deemed Table'!G1477</f>
        <v>Heating Res</v>
      </c>
      <c r="E215" s="208"/>
      <c r="F215" s="208"/>
      <c r="G215" s="208" t="str">
        <f>'HVAC Deemed Table'!E1476</f>
        <v>ASHP SEER 15 - replace on Fail MF _CompE</v>
      </c>
      <c r="H215" s="622" t="str">
        <f>'HVAC Deemed Table'!D1476</f>
        <v>MFc</v>
      </c>
      <c r="I215" s="2091">
        <f t="shared" si="140"/>
        <v>165.95</v>
      </c>
      <c r="J215" s="2091">
        <f t="shared" si="141"/>
        <v>0</v>
      </c>
      <c r="K215" s="2113">
        <f>'HVAC Deemed Table'!F1476</f>
        <v>79.52</v>
      </c>
      <c r="L215" s="2113">
        <f>'HVAC Deemed Table'!F1477</f>
        <v>86.43</v>
      </c>
      <c r="M215" s="2113"/>
      <c r="N215" s="2113"/>
      <c r="O215" s="2092">
        <f t="shared" si="142"/>
        <v>7.5339000000000003E-2</v>
      </c>
      <c r="P215" s="2092">
        <f t="shared" si="143"/>
        <v>0</v>
      </c>
      <c r="Q215" s="2086">
        <f>'HVAC Deemed Table'!I1476</f>
        <v>7.5339000000000003E-2</v>
      </c>
      <c r="R215" s="2086">
        <f>'HVAC Deemed Table'!I1477</f>
        <v>0</v>
      </c>
      <c r="S215" s="2086"/>
      <c r="T215" s="2086"/>
      <c r="U215" s="2087"/>
      <c r="V215" s="2087"/>
      <c r="W215" s="2087">
        <f t="shared" si="144"/>
        <v>7.5339000000000003E-2</v>
      </c>
      <c r="X215" s="2121">
        <f>'HVAC Deemed Table'!J1476</f>
        <v>18</v>
      </c>
      <c r="Y215" s="2121"/>
      <c r="Z215" s="88">
        <f t="shared" si="127"/>
        <v>18</v>
      </c>
      <c r="AA215" s="637">
        <f>'HVAC Deemed Table'!BB1476</f>
        <v>0.63007044732450812</v>
      </c>
      <c r="AB215" s="2917">
        <f>'HVAC Deemed Table'!K1476</f>
        <v>303</v>
      </c>
      <c r="AC215" s="2090">
        <f t="shared" si="133"/>
        <v>180.19003826269554</v>
      </c>
      <c r="AD215" s="2090">
        <f t="shared" si="134"/>
        <v>0</v>
      </c>
      <c r="AE215" s="2956">
        <f>'HVAC Deemed Table'!BD1476</f>
        <v>140.25798641789513</v>
      </c>
      <c r="AF215" s="2956">
        <f>'HVAC Deemed Table'!BD1477</f>
        <v>39.932051844800419</v>
      </c>
      <c r="AG215" s="2956"/>
      <c r="AH215" s="2956"/>
      <c r="AI215" s="2263" t="str">
        <f t="shared" si="115"/>
        <v>per measure</v>
      </c>
      <c r="AJ215" s="2240">
        <f>'HVAC Deemed Table'!L1476</f>
        <v>3.1</v>
      </c>
      <c r="AK215" s="2055"/>
      <c r="AL215" s="2055"/>
      <c r="AM215" s="2057">
        <f t="shared" si="128"/>
        <v>9.4741810000000004E-4</v>
      </c>
      <c r="AN215" s="132">
        <f t="shared" si="139"/>
        <v>7.5338687311999997E-2</v>
      </c>
      <c r="AO215" s="2053">
        <f t="shared" si="122"/>
        <v>-3.1268800000650021E-7</v>
      </c>
      <c r="AP215" s="211">
        <f>AO215/O215</f>
        <v>-4.150413464560191E-6</v>
      </c>
    </row>
    <row r="216" spans="2:42" x14ac:dyDescent="0.25">
      <c r="B216" s="2240" t="str">
        <f>'HVAC Deemed Table'!C1478</f>
        <v>353100_2019_12_</v>
      </c>
      <c r="C216" s="2096" t="str">
        <f>'HVAC Deemed Table'!G1478</f>
        <v>Cooling Res</v>
      </c>
      <c r="D216" s="2096" t="str">
        <f>'HVAC Deemed Table'!G1479</f>
        <v>Heating Res</v>
      </c>
      <c r="E216" s="208"/>
      <c r="F216" s="208"/>
      <c r="G216" s="208" t="str">
        <f>'HVAC Deemed Table'!E1478</f>
        <v>ASHP - SEER 17 - replace electric furnace / CAC SF</v>
      </c>
      <c r="H216" s="622" t="str">
        <f>'HVAC Deemed Table'!D1478</f>
        <v>SF</v>
      </c>
      <c r="I216" s="2091">
        <f t="shared" si="140"/>
        <v>10087.1</v>
      </c>
      <c r="J216" s="2091">
        <f t="shared" si="141"/>
        <v>0</v>
      </c>
      <c r="K216" s="2113">
        <f>'HVAC Deemed Table'!F1478</f>
        <v>528.48</v>
      </c>
      <c r="L216" s="2113">
        <f>'HVAC Deemed Table'!F1479</f>
        <v>9558.6200000000008</v>
      </c>
      <c r="M216" s="2113"/>
      <c r="N216" s="2113"/>
      <c r="O216" s="2092">
        <f t="shared" si="142"/>
        <v>0.50069200000000003</v>
      </c>
      <c r="P216" s="2092">
        <f t="shared" si="143"/>
        <v>0</v>
      </c>
      <c r="Q216" s="2086">
        <f>'HVAC Deemed Table'!I1478</f>
        <v>0.50069200000000003</v>
      </c>
      <c r="R216" s="2086">
        <f>'HVAC Deemed Table'!I1479</f>
        <v>0</v>
      </c>
      <c r="S216" s="2086"/>
      <c r="T216" s="2086"/>
      <c r="U216" s="2087"/>
      <c r="V216" s="2087"/>
      <c r="W216" s="2087">
        <f t="shared" si="144"/>
        <v>0.50069200000000003</v>
      </c>
      <c r="X216" s="2121">
        <f>'HVAC Deemed Table'!J1478</f>
        <v>18</v>
      </c>
      <c r="Y216" s="2121"/>
      <c r="Z216" s="88">
        <f t="shared" si="127"/>
        <v>18</v>
      </c>
      <c r="AA216" s="637">
        <f>'HVAC Deemed Table'!BB1478</f>
        <v>7.8267978873137816</v>
      </c>
      <c r="AB216" s="2917">
        <f>'HVAC Deemed Table'!K1478</f>
        <v>724</v>
      </c>
      <c r="AC216" s="2090">
        <f t="shared" si="133"/>
        <v>5348.3734501323052</v>
      </c>
      <c r="AD216" s="2090">
        <f t="shared" si="134"/>
        <v>0</v>
      </c>
      <c r="AE216" s="2956">
        <f>'HVAC Deemed Table'!BD1478</f>
        <v>932.13708076118235</v>
      </c>
      <c r="AF216" s="2956">
        <f>'HVAC Deemed Table'!BD1479</f>
        <v>4416.2363693711231</v>
      </c>
      <c r="AG216" s="2956"/>
      <c r="AH216" s="2956"/>
      <c r="AI216" s="2263" t="str">
        <f t="shared" si="115"/>
        <v>per measure</v>
      </c>
      <c r="AJ216" s="2240">
        <f>'HVAC Deemed Table'!L1478</f>
        <v>2.8</v>
      </c>
      <c r="AK216" s="2055"/>
      <c r="AL216" s="2055"/>
      <c r="AM216" s="2057">
        <f t="shared" si="128"/>
        <v>9.4741810000000004E-4</v>
      </c>
      <c r="AN216" s="132">
        <f t="shared" si="139"/>
        <v>0.500691517488</v>
      </c>
      <c r="AO216" s="2048">
        <f t="shared" si="122"/>
        <v>-4.8251200002180639E-7</v>
      </c>
    </row>
    <row r="217" spans="2:42" x14ac:dyDescent="0.25">
      <c r="B217" s="2240" t="str">
        <f>'HVAC Deemed Table'!C1480</f>
        <v>353150_2019_12_</v>
      </c>
      <c r="C217" s="2096" t="str">
        <f>'HVAC Deemed Table'!G1480</f>
        <v>Cooling Res</v>
      </c>
      <c r="D217" s="2096" t="str">
        <f>'HVAC Deemed Table'!G1481</f>
        <v>Heating Res</v>
      </c>
      <c r="E217" s="208"/>
      <c r="F217" s="208"/>
      <c r="G217" s="208" t="str">
        <f>'HVAC Deemed Table'!E1480</f>
        <v>ASHP - SEER 17 - replace electric furnace / CAC MF</v>
      </c>
      <c r="H217" s="622" t="str">
        <f>'HVAC Deemed Table'!D1480</f>
        <v>MF</v>
      </c>
      <c r="I217" s="2091">
        <f t="shared" si="140"/>
        <v>6556.62</v>
      </c>
      <c r="J217" s="2091">
        <f t="shared" si="141"/>
        <v>0</v>
      </c>
      <c r="K217" s="2113">
        <f>'HVAC Deemed Table'!F1480</f>
        <v>343.51</v>
      </c>
      <c r="L217" s="2113">
        <f>'HVAC Deemed Table'!F1481</f>
        <v>6213.11</v>
      </c>
      <c r="M217" s="2113"/>
      <c r="N217" s="2113"/>
      <c r="O217" s="2092">
        <f t="shared" si="142"/>
        <v>0.32544800000000002</v>
      </c>
      <c r="P217" s="2092">
        <f t="shared" si="143"/>
        <v>0</v>
      </c>
      <c r="Q217" s="2086">
        <f>'HVAC Deemed Table'!I1480</f>
        <v>0.32544800000000002</v>
      </c>
      <c r="R217" s="2086">
        <f>'HVAC Deemed Table'!I1481</f>
        <v>0</v>
      </c>
      <c r="S217" s="2086"/>
      <c r="T217" s="2086"/>
      <c r="U217" s="2087"/>
      <c r="V217" s="2087"/>
      <c r="W217" s="2087">
        <f t="shared" si="144"/>
        <v>0.32544800000000002</v>
      </c>
      <c r="X217" s="2121">
        <f>'HVAC Deemed Table'!J1480</f>
        <v>18</v>
      </c>
      <c r="Y217" s="2121"/>
      <c r="Z217" s="88">
        <f t="shared" si="127"/>
        <v>18</v>
      </c>
      <c r="AA217" s="637">
        <f>'HVAC Deemed Table'!BB1480</f>
        <v>5.0874181972428625</v>
      </c>
      <c r="AB217" s="2917">
        <f>'HVAC Deemed Table'!K1480</f>
        <v>724</v>
      </c>
      <c r="AC217" s="2090">
        <f t="shared" si="133"/>
        <v>3476.4424490833712</v>
      </c>
      <c r="AD217" s="2090">
        <f t="shared" si="134"/>
        <v>0</v>
      </c>
      <c r="AE217" s="2956">
        <f>'HVAC Deemed Table'!BD1480</f>
        <v>605.88557487941591</v>
      </c>
      <c r="AF217" s="2956">
        <f>'HVAC Deemed Table'!BD1481</f>
        <v>2870.5568742039554</v>
      </c>
      <c r="AG217" s="2956"/>
      <c r="AH217" s="2956"/>
      <c r="AI217" s="2263" t="str">
        <f t="shared" si="115"/>
        <v>per measure</v>
      </c>
      <c r="AJ217" s="2240">
        <f>'HVAC Deemed Table'!L1480</f>
        <v>2.8</v>
      </c>
      <c r="AK217" s="2055"/>
      <c r="AL217" s="2055"/>
      <c r="AM217" s="2057">
        <f t="shared" si="128"/>
        <v>9.4741810000000004E-4</v>
      </c>
      <c r="AN217" s="132">
        <f t="shared" si="139"/>
        <v>0.325447591531</v>
      </c>
      <c r="AO217" s="2048">
        <f t="shared" si="122"/>
        <v>-4.0846900001278996E-7</v>
      </c>
    </row>
    <row r="218" spans="2:42" x14ac:dyDescent="0.25">
      <c r="B218" s="2240" t="str">
        <f>'HVAC Deemed Table'!C1482</f>
        <v>353151_2019_12_</v>
      </c>
      <c r="C218" s="2096" t="str">
        <f>'HVAC Deemed Table'!G1482</f>
        <v>Cooling Res</v>
      </c>
      <c r="D218" s="2096" t="str">
        <f>'HVAC Deemed Table'!G1483</f>
        <v>Heating Res</v>
      </c>
      <c r="E218" s="208"/>
      <c r="F218" s="208"/>
      <c r="G218" s="208" t="str">
        <f>'HVAC Deemed Table'!E1482</f>
        <v>ASHP - SEER 17 - replace electric furnace / CAC MF_CompE</v>
      </c>
      <c r="H218" s="622" t="str">
        <f>'HVAC Deemed Table'!D1482</f>
        <v>MFc</v>
      </c>
      <c r="I218" s="2091">
        <f t="shared" si="140"/>
        <v>2367.9299999999998</v>
      </c>
      <c r="J218" s="2091">
        <f t="shared" si="141"/>
        <v>0</v>
      </c>
      <c r="K218" s="2113">
        <f>'HVAC Deemed Table'!F1482</f>
        <v>249.83</v>
      </c>
      <c r="L218" s="2113">
        <f>'HVAC Deemed Table'!F1483</f>
        <v>2118.1</v>
      </c>
      <c r="M218" s="2113"/>
      <c r="N218" s="2113"/>
      <c r="O218" s="2092">
        <f t="shared" si="142"/>
        <v>0.23669299999999999</v>
      </c>
      <c r="P218" s="2092">
        <f t="shared" si="143"/>
        <v>0</v>
      </c>
      <c r="Q218" s="2086">
        <f>'HVAC Deemed Table'!I1482</f>
        <v>0.23669299999999999</v>
      </c>
      <c r="R218" s="2086">
        <f>'HVAC Deemed Table'!I1483</f>
        <v>0</v>
      </c>
      <c r="S218" s="2086"/>
      <c r="T218" s="2086"/>
      <c r="U218" s="2087"/>
      <c r="V218" s="2087"/>
      <c r="W218" s="2087">
        <f t="shared" si="144"/>
        <v>0.23669299999999999</v>
      </c>
      <c r="X218" s="2121">
        <f>'HVAC Deemed Table'!J1482</f>
        <v>18</v>
      </c>
      <c r="Y218" s="2121"/>
      <c r="Z218" s="88">
        <f t="shared" si="127"/>
        <v>18</v>
      </c>
      <c r="AA218" s="637">
        <f>'HVAC Deemed Table'!BB1482</f>
        <v>2.0769249443850204</v>
      </c>
      <c r="AB218" s="2917">
        <f>'HVAC Deemed Table'!K1482</f>
        <v>724</v>
      </c>
      <c r="AC218" s="2090">
        <f t="shared" si="133"/>
        <v>1419.2483810615902</v>
      </c>
      <c r="AD218" s="2090">
        <f t="shared" si="134"/>
        <v>0</v>
      </c>
      <c r="AE218" s="2956">
        <f>'HVAC Deemed Table'!BD1482</f>
        <v>440.65207176537655</v>
      </c>
      <c r="AF218" s="2956">
        <f>'HVAC Deemed Table'!BD1483</f>
        <v>978.59630929621369</v>
      </c>
      <c r="AG218" s="2956"/>
      <c r="AH218" s="2956"/>
      <c r="AI218" s="2263" t="str">
        <f t="shared" si="115"/>
        <v>per measure</v>
      </c>
      <c r="AJ218" s="2240">
        <f>'HVAC Deemed Table'!L1482</f>
        <v>2.8</v>
      </c>
      <c r="AK218" s="2055"/>
      <c r="AL218" s="2055"/>
      <c r="AM218" s="2057">
        <f t="shared" si="128"/>
        <v>9.4741810000000004E-4</v>
      </c>
      <c r="AN218" s="132">
        <f t="shared" si="139"/>
        <v>0.23669346392300003</v>
      </c>
      <c r="AO218" s="2053">
        <f t="shared" si="122"/>
        <v>4.6392300004360898E-7</v>
      </c>
      <c r="AP218" s="211">
        <f>AO218/O218</f>
        <v>1.9600199416273779E-6</v>
      </c>
    </row>
    <row r="219" spans="2:42" x14ac:dyDescent="0.25">
      <c r="B219" s="2240" t="str">
        <f>'HVAC Deemed Table'!C1484</f>
        <v>353200_2019_12_</v>
      </c>
      <c r="C219" s="2096" t="str">
        <f>'HVAC Deemed Table'!G1484</f>
        <v>Cooling Res</v>
      </c>
      <c r="D219" s="2096" t="str">
        <f>'HVAC Deemed Table'!G1485</f>
        <v>Heating Res</v>
      </c>
      <c r="E219" s="208"/>
      <c r="F219" s="208"/>
      <c r="G219" s="208" t="str">
        <f>'HVAC Deemed Table'!E1484</f>
        <v>ASHP - SEER 18 - replace electric furnace / CAC SF</v>
      </c>
      <c r="H219" s="622" t="str">
        <f>'HVAC Deemed Table'!D1484</f>
        <v>SF</v>
      </c>
      <c r="I219" s="2091">
        <f t="shared" si="140"/>
        <v>11424.35</v>
      </c>
      <c r="J219" s="2091">
        <f t="shared" si="141"/>
        <v>0</v>
      </c>
      <c r="K219" s="2113">
        <f>'HVAC Deemed Table'!F1484</f>
        <v>759.94</v>
      </c>
      <c r="L219" s="2113">
        <f>'HVAC Deemed Table'!F1485</f>
        <v>10664.41</v>
      </c>
      <c r="M219" s="2113"/>
      <c r="N219" s="2113"/>
      <c r="O219" s="2092">
        <f t="shared" si="142"/>
        <v>0.71998099999999998</v>
      </c>
      <c r="P219" s="2092">
        <f t="shared" si="143"/>
        <v>0</v>
      </c>
      <c r="Q219" s="2086">
        <f>'HVAC Deemed Table'!I1484</f>
        <v>0.71998099999999998</v>
      </c>
      <c r="R219" s="2086">
        <f>'HVAC Deemed Table'!I1485</f>
        <v>0</v>
      </c>
      <c r="S219" s="2086"/>
      <c r="T219" s="2086"/>
      <c r="U219" s="2087"/>
      <c r="V219" s="2087"/>
      <c r="W219" s="2087">
        <f t="shared" si="144"/>
        <v>0.71998099999999998</v>
      </c>
      <c r="X219" s="2121">
        <f>'HVAC Deemed Table'!J1484</f>
        <v>18</v>
      </c>
      <c r="Y219" s="2121"/>
      <c r="Z219" s="88">
        <f t="shared" si="127"/>
        <v>18</v>
      </c>
      <c r="AA219" s="637">
        <f>'HVAC Deemed Table'!BB1484</f>
        <v>6.8961434318247061</v>
      </c>
      <c r="AB219" s="2917">
        <f>'HVAC Deemed Table'!K1484</f>
        <v>962.92000000000007</v>
      </c>
      <c r="AC219" s="2090">
        <f t="shared" si="133"/>
        <v>6267.5171622205244</v>
      </c>
      <c r="AD219" s="2090">
        <f t="shared" si="134"/>
        <v>0</v>
      </c>
      <c r="AE219" s="2956">
        <f>'HVAC Deemed Table'!BD1484</f>
        <v>1340.3880055132702</v>
      </c>
      <c r="AF219" s="2956">
        <f>'HVAC Deemed Table'!BD1485</f>
        <v>4927.129156707254</v>
      </c>
      <c r="AG219" s="2956"/>
      <c r="AH219" s="2956"/>
      <c r="AI219" s="2263" t="str">
        <f t="shared" si="115"/>
        <v>per measure</v>
      </c>
      <c r="AJ219" s="2240">
        <f>'HVAC Deemed Table'!L1484</f>
        <v>3</v>
      </c>
      <c r="AK219" s="2055"/>
      <c r="AL219" s="2055"/>
      <c r="AM219" s="2057">
        <f t="shared" si="128"/>
        <v>9.4741810000000004E-4</v>
      </c>
      <c r="AN219" s="132">
        <f t="shared" si="139"/>
        <v>0.71998091091400007</v>
      </c>
      <c r="AO219" s="2048">
        <f t="shared" si="122"/>
        <v>-8.9085999910309965E-8</v>
      </c>
    </row>
    <row r="220" spans="2:42" x14ac:dyDescent="0.25">
      <c r="B220" s="2240" t="str">
        <f>'HVAC Deemed Table'!C1486</f>
        <v>353250_2019_12_</v>
      </c>
      <c r="C220" s="2096" t="str">
        <f>'HVAC Deemed Table'!G1486</f>
        <v>Cooling Res</v>
      </c>
      <c r="D220" s="2096" t="str">
        <f>'HVAC Deemed Table'!G1487</f>
        <v>Heating Res</v>
      </c>
      <c r="E220" s="208"/>
      <c r="F220" s="208"/>
      <c r="G220" s="208" t="str">
        <f>'HVAC Deemed Table'!E1486</f>
        <v>ASHP - SEER 18 - replace electric furnace / CAC MF</v>
      </c>
      <c r="H220" s="622" t="str">
        <f>'HVAC Deemed Table'!D1486</f>
        <v>MF</v>
      </c>
      <c r="I220" s="2091">
        <f t="shared" si="140"/>
        <v>9678.83</v>
      </c>
      <c r="J220" s="2091">
        <f t="shared" si="141"/>
        <v>0</v>
      </c>
      <c r="K220" s="2113">
        <f>'HVAC Deemed Table'!F1486</f>
        <v>658.61</v>
      </c>
      <c r="L220" s="2113">
        <f>'HVAC Deemed Table'!F1487</f>
        <v>9020.2199999999993</v>
      </c>
      <c r="M220" s="2113"/>
      <c r="N220" s="2113"/>
      <c r="O220" s="2092">
        <f t="shared" si="142"/>
        <v>0.62397899999999995</v>
      </c>
      <c r="P220" s="2092">
        <f t="shared" si="143"/>
        <v>0</v>
      </c>
      <c r="Q220" s="2086">
        <f>'HVAC Deemed Table'!I1486</f>
        <v>0.62397899999999995</v>
      </c>
      <c r="R220" s="2086">
        <f>'HVAC Deemed Table'!I1487</f>
        <v>0</v>
      </c>
      <c r="S220" s="2086"/>
      <c r="T220" s="2086"/>
      <c r="U220" s="2087"/>
      <c r="V220" s="2087"/>
      <c r="W220" s="2087">
        <f t="shared" si="144"/>
        <v>0.62397899999999995</v>
      </c>
      <c r="X220" s="2121">
        <f>'HVAC Deemed Table'!J1486</f>
        <v>18</v>
      </c>
      <c r="Y220" s="2121"/>
      <c r="Z220" s="88">
        <f t="shared" si="127"/>
        <v>18</v>
      </c>
      <c r="AA220" s="637">
        <f>'HVAC Deemed Table'!BB1486</f>
        <v>5.8636569964627734</v>
      </c>
      <c r="AB220" s="2917">
        <f>'HVAC Deemed Table'!K1486</f>
        <v>962.92000000000007</v>
      </c>
      <c r="AC220" s="2090">
        <f t="shared" si="133"/>
        <v>5329.1482728022029</v>
      </c>
      <c r="AD220" s="2090">
        <f t="shared" si="134"/>
        <v>0</v>
      </c>
      <c r="AE220" s="2956">
        <f>'HVAC Deemed Table'!BD1486</f>
        <v>1161.6613736756781</v>
      </c>
      <c r="AF220" s="2956">
        <f>'HVAC Deemed Table'!BD1487</f>
        <v>4167.4868991265248</v>
      </c>
      <c r="AG220" s="2956"/>
      <c r="AH220" s="2956"/>
      <c r="AI220" s="2263" t="str">
        <f t="shared" si="115"/>
        <v>per measure</v>
      </c>
      <c r="AJ220" s="2240">
        <f>'HVAC Deemed Table'!L1486</f>
        <v>4</v>
      </c>
      <c r="AK220" s="2055"/>
      <c r="AL220" s="2055"/>
      <c r="AM220" s="2057">
        <f t="shared" si="128"/>
        <v>9.4741810000000004E-4</v>
      </c>
      <c r="AN220" s="132">
        <f t="shared" si="139"/>
        <v>0.62397903484100004</v>
      </c>
      <c r="AO220" s="2048">
        <f t="shared" si="122"/>
        <v>3.4841000084995244E-8</v>
      </c>
    </row>
    <row r="221" spans="2:42" x14ac:dyDescent="0.25">
      <c r="B221" s="2240" t="str">
        <f>'HVAC Deemed Table'!C1488</f>
        <v>353251_2019_12_</v>
      </c>
      <c r="C221" s="2096" t="str">
        <f>'HVAC Deemed Table'!G1488</f>
        <v>Cooling Res</v>
      </c>
      <c r="D221" s="2096" t="str">
        <f>'HVAC Deemed Table'!G1489</f>
        <v>Heating Res</v>
      </c>
      <c r="E221" s="208"/>
      <c r="F221" s="208"/>
      <c r="G221" s="208" t="str">
        <f>'HVAC Deemed Table'!E1488</f>
        <v>ASHP - SEER 18 - replace electric furnace / CAC MF_CompE</v>
      </c>
      <c r="H221" s="622" t="str">
        <f>'HVAC Deemed Table'!D1488</f>
        <v>MFc</v>
      </c>
      <c r="I221" s="2091">
        <f t="shared" si="140"/>
        <v>3554.0699999999997</v>
      </c>
      <c r="J221" s="2091">
        <f t="shared" si="141"/>
        <v>0</v>
      </c>
      <c r="K221" s="2113">
        <f>'HVAC Deemed Table'!F1488</f>
        <v>478.99</v>
      </c>
      <c r="L221" s="2113">
        <f>'HVAC Deemed Table'!F1489</f>
        <v>3075.08</v>
      </c>
      <c r="M221" s="2113"/>
      <c r="N221" s="2113"/>
      <c r="O221" s="2092">
        <f t="shared" si="142"/>
        <v>0.45380399999999999</v>
      </c>
      <c r="P221" s="2092">
        <f t="shared" si="143"/>
        <v>0</v>
      </c>
      <c r="Q221" s="2086">
        <f>'HVAC Deemed Table'!I1488</f>
        <v>0.45380399999999999</v>
      </c>
      <c r="R221" s="2086">
        <f>'HVAC Deemed Table'!I1489</f>
        <v>0</v>
      </c>
      <c r="S221" s="2086"/>
      <c r="T221" s="2086"/>
      <c r="U221" s="2087"/>
      <c r="V221" s="2087"/>
      <c r="W221" s="2087">
        <f t="shared" si="144"/>
        <v>0.45380399999999999</v>
      </c>
      <c r="X221" s="2121">
        <f>'HVAC Deemed Table'!J1488</f>
        <v>18</v>
      </c>
      <c r="Y221" s="2121"/>
      <c r="Z221" s="88">
        <f t="shared" si="127"/>
        <v>18</v>
      </c>
      <c r="AA221" s="637">
        <f>'HVAC Deemed Table'!BB1488</f>
        <v>2.492818604749838</v>
      </c>
      <c r="AB221" s="2917">
        <f>'HVAC Deemed Table'!K1488</f>
        <v>962.92000000000007</v>
      </c>
      <c r="AC221" s="2090">
        <f t="shared" si="133"/>
        <v>2265.5827190993055</v>
      </c>
      <c r="AD221" s="2090">
        <f t="shared" si="134"/>
        <v>0</v>
      </c>
      <c r="AE221" s="2956">
        <f>'HVAC Deemed Table'!BD1488</f>
        <v>844.846238862017</v>
      </c>
      <c r="AF221" s="2956">
        <f>'HVAC Deemed Table'!BD1489</f>
        <v>1420.7364802372886</v>
      </c>
      <c r="AG221" s="2956"/>
      <c r="AH221" s="2956"/>
      <c r="AI221" s="2263" t="str">
        <f t="shared" si="115"/>
        <v>per measure</v>
      </c>
      <c r="AJ221" s="2240">
        <f>'HVAC Deemed Table'!L1488</f>
        <v>4</v>
      </c>
      <c r="AK221" s="2055"/>
      <c r="AL221" s="2055"/>
      <c r="AM221" s="2057">
        <f t="shared" si="128"/>
        <v>9.4741810000000004E-4</v>
      </c>
      <c r="AN221" s="132">
        <f t="shared" si="139"/>
        <v>0.45380379571900004</v>
      </c>
      <c r="AO221" s="2053">
        <f t="shared" si="122"/>
        <v>-2.0428099994918014E-7</v>
      </c>
      <c r="AP221" s="211">
        <f>AO221/O221</f>
        <v>-4.5015248862764577E-7</v>
      </c>
    </row>
    <row r="222" spans="2:42" x14ac:dyDescent="0.25">
      <c r="B222" s="2240" t="str">
        <f>'HVAC Deemed Table'!C1490</f>
        <v>353300_2019_12_</v>
      </c>
      <c r="C222" s="2096" t="str">
        <f>'HVAC Deemed Table'!G1490</f>
        <v>Cooling Res</v>
      </c>
      <c r="D222" s="2096" t="str">
        <f>'HVAC Deemed Table'!G1491</f>
        <v>Heating Res</v>
      </c>
      <c r="E222" s="208"/>
      <c r="F222" s="208"/>
      <c r="G222" s="208" t="str">
        <f>'HVAC Deemed Table'!E1490</f>
        <v>ASHP - SEER 19 - replace electric furnace / CAC SF</v>
      </c>
      <c r="H222" s="622" t="str">
        <f>'HVAC Deemed Table'!D1490</f>
        <v>SF</v>
      </c>
      <c r="I222" s="2091">
        <f t="shared" si="140"/>
        <v>10267.890000000001</v>
      </c>
      <c r="J222" s="2091">
        <f t="shared" si="141"/>
        <v>0</v>
      </c>
      <c r="K222" s="2113">
        <f>'HVAC Deemed Table'!F1490</f>
        <v>709.27</v>
      </c>
      <c r="L222" s="2113">
        <f>'HVAC Deemed Table'!F1491</f>
        <v>9558.6200000000008</v>
      </c>
      <c r="M222" s="2113"/>
      <c r="N222" s="2113"/>
      <c r="O222" s="2092">
        <f t="shared" ref="O222:O237" si="145">Q222+R222</f>
        <v>0.67197499999999999</v>
      </c>
      <c r="P222" s="2092">
        <f t="shared" ref="P222:P237" si="146">S222+T222</f>
        <v>0</v>
      </c>
      <c r="Q222" s="2086">
        <f>'HVAC Deemed Table'!I1490</f>
        <v>0.67197499999999999</v>
      </c>
      <c r="R222" s="2086">
        <f>'HVAC Deemed Table'!I1491</f>
        <v>0</v>
      </c>
      <c r="S222" s="2086"/>
      <c r="T222" s="2086"/>
      <c r="U222" s="2087"/>
      <c r="V222" s="2087"/>
      <c r="W222" s="2087">
        <f t="shared" si="144"/>
        <v>0.67197499999999999</v>
      </c>
      <c r="X222" s="2121">
        <f>'HVAC Deemed Table'!J1490</f>
        <v>18</v>
      </c>
      <c r="Y222" s="2121"/>
      <c r="Z222" s="88">
        <f t="shared" si="127"/>
        <v>18</v>
      </c>
      <c r="AA222" s="637">
        <f>'HVAC Deemed Table'!BB1490</f>
        <v>4.9885379871248992</v>
      </c>
      <c r="AB222" s="2917">
        <f>'HVAC Deemed Table'!K1490</f>
        <v>1203.6500000000003</v>
      </c>
      <c r="AC222" s="2090">
        <f t="shared" si="133"/>
        <v>5667.2522399272157</v>
      </c>
      <c r="AD222" s="2090">
        <f t="shared" si="134"/>
        <v>0</v>
      </c>
      <c r="AE222" s="2956">
        <f>'HVAC Deemed Table'!BD1490</f>
        <v>1251.0158705560925</v>
      </c>
      <c r="AF222" s="2956">
        <f>'HVAC Deemed Table'!BD1491</f>
        <v>4416.2363693711231</v>
      </c>
      <c r="AG222" s="2956"/>
      <c r="AH222" s="2956"/>
      <c r="AI222" s="2263" t="str">
        <f t="shared" si="115"/>
        <v>per measure</v>
      </c>
      <c r="AJ222" s="2240">
        <f>'HVAC Deemed Table'!L1490</f>
        <v>2.8</v>
      </c>
      <c r="AK222" s="2055"/>
      <c r="AL222" s="2055"/>
      <c r="AM222" s="2057">
        <f t="shared" si="128"/>
        <v>9.4741810000000004E-4</v>
      </c>
      <c r="AN222" s="132">
        <f t="shared" si="139"/>
        <v>0.67197523578700002</v>
      </c>
      <c r="AO222" s="2048">
        <f t="shared" si="122"/>
        <v>2.35787000035792E-7</v>
      </c>
    </row>
    <row r="223" spans="2:42" x14ac:dyDescent="0.25">
      <c r="B223" s="2240" t="str">
        <f>'HVAC Deemed Table'!C1492</f>
        <v>353350_2019_12_</v>
      </c>
      <c r="C223" s="2096" t="str">
        <f>'HVAC Deemed Table'!G1492</f>
        <v>Cooling Res</v>
      </c>
      <c r="D223" s="2096" t="str">
        <f>'HVAC Deemed Table'!G1493</f>
        <v>Heating Res</v>
      </c>
      <c r="E223" s="208"/>
      <c r="F223" s="208"/>
      <c r="G223" s="208" t="str">
        <f>'HVAC Deemed Table'!E1492</f>
        <v>ASHP - SEER 19 - replace electric furnace / CAC MF</v>
      </c>
      <c r="H223" s="622" t="str">
        <f>'HVAC Deemed Table'!D1492</f>
        <v>MF</v>
      </c>
      <c r="I223" s="2091">
        <f t="shared" si="140"/>
        <v>6674.1399999999994</v>
      </c>
      <c r="J223" s="2091">
        <f t="shared" si="141"/>
        <v>0</v>
      </c>
      <c r="K223" s="2113">
        <f>'HVAC Deemed Table'!F1492</f>
        <v>461.03</v>
      </c>
      <c r="L223" s="2113">
        <f>'HVAC Deemed Table'!F1493</f>
        <v>6213.11</v>
      </c>
      <c r="M223" s="2113"/>
      <c r="N223" s="2113"/>
      <c r="O223" s="2092">
        <f t="shared" si="145"/>
        <v>0.43678800000000001</v>
      </c>
      <c r="P223" s="2092">
        <f t="shared" si="146"/>
        <v>0</v>
      </c>
      <c r="Q223" s="2086">
        <f>'HVAC Deemed Table'!I1492</f>
        <v>0.43678800000000001</v>
      </c>
      <c r="R223" s="2086">
        <f>'HVAC Deemed Table'!I1493</f>
        <v>0</v>
      </c>
      <c r="S223" s="2086"/>
      <c r="T223" s="2086"/>
      <c r="U223" s="2087"/>
      <c r="V223" s="2087"/>
      <c r="W223" s="2087">
        <f t="shared" si="144"/>
        <v>0.43678800000000001</v>
      </c>
      <c r="X223" s="2121">
        <f>'HVAC Deemed Table'!J1492</f>
        <v>18</v>
      </c>
      <c r="Y223" s="2121"/>
      <c r="Z223" s="88">
        <f t="shared" si="127"/>
        <v>18</v>
      </c>
      <c r="AA223" s="637">
        <f>'HVAC Deemed Table'!BB1492</f>
        <v>3.24255952500175</v>
      </c>
      <c r="AB223" s="2917">
        <f>'HVAC Deemed Table'!K1492</f>
        <v>1203.6500000000003</v>
      </c>
      <c r="AC223" s="2090">
        <f t="shared" si="133"/>
        <v>3683.7251271999589</v>
      </c>
      <c r="AD223" s="2090">
        <f t="shared" si="134"/>
        <v>0</v>
      </c>
      <c r="AE223" s="2956">
        <f>'HVAC Deemed Table'!BD1492</f>
        <v>813.16825299600339</v>
      </c>
      <c r="AF223" s="2956">
        <f>'HVAC Deemed Table'!BD1493</f>
        <v>2870.5568742039554</v>
      </c>
      <c r="AG223" s="2956"/>
      <c r="AH223" s="2956"/>
      <c r="AI223" s="2263" t="str">
        <f t="shared" si="115"/>
        <v>per measure</v>
      </c>
      <c r="AJ223" s="2240">
        <f>'HVAC Deemed Table'!L1492</f>
        <v>2.8</v>
      </c>
      <c r="AK223" s="2055"/>
      <c r="AL223" s="2055"/>
      <c r="AM223" s="2057">
        <f t="shared" si="128"/>
        <v>9.4741810000000004E-4</v>
      </c>
      <c r="AN223" s="132">
        <f t="shared" si="139"/>
        <v>0.43678816664299996</v>
      </c>
      <c r="AO223" s="2048">
        <f t="shared" si="122"/>
        <v>1.6664299995472476E-7</v>
      </c>
    </row>
    <row r="224" spans="2:42" x14ac:dyDescent="0.25">
      <c r="B224" s="2240" t="str">
        <f>'HVAC Deemed Table'!C1494</f>
        <v>353351_2019_12_</v>
      </c>
      <c r="C224" s="2096" t="str">
        <f>'HVAC Deemed Table'!G1494</f>
        <v>Cooling Res</v>
      </c>
      <c r="D224" s="2096" t="str">
        <f>'HVAC Deemed Table'!G1495</f>
        <v>Heating Res</v>
      </c>
      <c r="E224" s="208"/>
      <c r="F224" s="208"/>
      <c r="G224" s="208" t="str">
        <f>'HVAC Deemed Table'!E1494</f>
        <v>ASHP - SEER 19 - replace electric furnace / CAC MF_CompE</v>
      </c>
      <c r="H224" s="622" t="str">
        <f>'HVAC Deemed Table'!D1494</f>
        <v>MFc</v>
      </c>
      <c r="I224" s="2091">
        <f t="shared" si="140"/>
        <v>2453.39</v>
      </c>
      <c r="J224" s="2091">
        <f t="shared" si="141"/>
        <v>0</v>
      </c>
      <c r="K224" s="2113">
        <f>'HVAC Deemed Table'!F1494</f>
        <v>335.29</v>
      </c>
      <c r="L224" s="2113">
        <f>'HVAC Deemed Table'!F1495</f>
        <v>2118.1</v>
      </c>
      <c r="M224" s="2113"/>
      <c r="N224" s="2113"/>
      <c r="O224" s="2092">
        <f t="shared" si="145"/>
        <v>0.31766</v>
      </c>
      <c r="P224" s="2092">
        <f t="shared" si="146"/>
        <v>0</v>
      </c>
      <c r="Q224" s="2086">
        <f>'HVAC Deemed Table'!I1494</f>
        <v>0.31766</v>
      </c>
      <c r="R224" s="2086">
        <f>'HVAC Deemed Table'!I1495</f>
        <v>0</v>
      </c>
      <c r="S224" s="2086"/>
      <c r="T224" s="2086"/>
      <c r="U224" s="2087"/>
      <c r="V224" s="2087"/>
      <c r="W224" s="2087">
        <f t="shared" si="144"/>
        <v>0.31766</v>
      </c>
      <c r="X224" s="2121">
        <f>'HVAC Deemed Table'!J1494</f>
        <v>18</v>
      </c>
      <c r="Y224" s="2121"/>
      <c r="Z224" s="88">
        <f t="shared" si="127"/>
        <v>18</v>
      </c>
      <c r="AA224" s="637">
        <f>'HVAC Deemed Table'!BB1494</f>
        <v>1.3819610322673985</v>
      </c>
      <c r="AB224" s="2917">
        <f>'HVAC Deemed Table'!K1494</f>
        <v>1203.6500000000003</v>
      </c>
      <c r="AC224" s="2090">
        <f t="shared" si="133"/>
        <v>1569.9833850765967</v>
      </c>
      <c r="AD224" s="2090">
        <f t="shared" si="134"/>
        <v>0</v>
      </c>
      <c r="AE224" s="2956">
        <f>'HVAC Deemed Table'!BD1494</f>
        <v>591.38707578038304</v>
      </c>
      <c r="AF224" s="2956">
        <f>'HVAC Deemed Table'!BD1495</f>
        <v>978.59630929621369</v>
      </c>
      <c r="AG224" s="2956"/>
      <c r="AH224" s="2956"/>
      <c r="AI224" s="2263" t="str">
        <f t="shared" si="115"/>
        <v>per measure</v>
      </c>
      <c r="AJ224" s="2240">
        <f>'HVAC Deemed Table'!L1494</f>
        <v>2.8</v>
      </c>
      <c r="AK224" s="2055"/>
      <c r="AL224" s="2055"/>
      <c r="AM224" s="2057">
        <f t="shared" si="128"/>
        <v>9.4741810000000004E-4</v>
      </c>
      <c r="AN224" s="132">
        <f t="shared" si="139"/>
        <v>0.31765981474900001</v>
      </c>
      <c r="AO224" s="2053">
        <f t="shared" si="122"/>
        <v>-1.8525099998445427E-7</v>
      </c>
      <c r="AP224" s="211">
        <f>AO224/O224</f>
        <v>-5.8317383360969043E-7</v>
      </c>
    </row>
    <row r="225" spans="2:42" x14ac:dyDescent="0.25">
      <c r="B225" s="2240" t="str">
        <f>'HVAC Deemed Table'!C1496</f>
        <v>353400_2019_12_</v>
      </c>
      <c r="C225" s="2096" t="str">
        <f>'HVAC Deemed Table'!G1496</f>
        <v>Cooling Res</v>
      </c>
      <c r="D225" s="2096" t="str">
        <f>'HVAC Deemed Table'!G1497</f>
        <v>Heating Res</v>
      </c>
      <c r="E225" s="2096" t="str">
        <f>'HVAC Deemed Table'!G1498</f>
        <v>Cooling Res ER2</v>
      </c>
      <c r="F225" s="2096" t="str">
        <f>'HVAC Deemed Table'!G1499</f>
        <v>Heating Res ER2</v>
      </c>
      <c r="G225" s="208" t="str">
        <f>'HVAC Deemed Table'!E1496</f>
        <v>ASHP - SEER 20 - replace electric furnace / CAC - early replacement SF ER1</v>
      </c>
      <c r="H225" s="622" t="str">
        <f>'HVAC Deemed Table'!D1496</f>
        <v>SF</v>
      </c>
      <c r="I225" s="2091">
        <f t="shared" ref="I225:I231" si="147">K225+L225</f>
        <v>12664.09</v>
      </c>
      <c r="J225" s="2091">
        <f t="shared" ref="J225:J231" si="148">M225+N225</f>
        <v>11270</v>
      </c>
      <c r="K225" s="2113">
        <f>'HVAC Deemed Table'!F1496</f>
        <v>2264.4299999999998</v>
      </c>
      <c r="L225" s="2113">
        <f>'HVAC Deemed Table'!F1497</f>
        <v>10399.66</v>
      </c>
      <c r="M225" s="2113">
        <f>'HVAC Deemed Table'!F1498</f>
        <v>870.34</v>
      </c>
      <c r="N225" s="2113">
        <f>'HVAC Deemed Table'!F1499</f>
        <v>10399.66</v>
      </c>
      <c r="O225" s="2092">
        <f t="shared" si="145"/>
        <v>2.145362</v>
      </c>
      <c r="P225" s="2092">
        <f t="shared" si="146"/>
        <v>0.82457599999999998</v>
      </c>
      <c r="Q225" s="2086">
        <f>'HVAC Deemed Table'!I1496</f>
        <v>2.145362</v>
      </c>
      <c r="R225" s="2086">
        <f>'HVAC Deemed Table'!I1497</f>
        <v>0</v>
      </c>
      <c r="S225" s="2086">
        <f>'HVAC Deemed Table'!I1498</f>
        <v>0.82457599999999998</v>
      </c>
      <c r="T225" s="2086">
        <f>'HVAC Deemed Table'!I1499</f>
        <v>0</v>
      </c>
      <c r="U225" s="2087"/>
      <c r="V225" s="2087"/>
      <c r="W225" s="2095">
        <f>P225</f>
        <v>0.82457599999999998</v>
      </c>
      <c r="X225" s="2121">
        <f>'HVAC Deemed Table'!J1496</f>
        <v>6</v>
      </c>
      <c r="Y225" s="2121">
        <f>'HVAC Deemed Table'!J1498</f>
        <v>12</v>
      </c>
      <c r="Z225" s="88">
        <f t="shared" si="127"/>
        <v>18</v>
      </c>
      <c r="AA225" s="637">
        <f>'HVAC Deemed Table'!BB1496</f>
        <v>3.4671485585176707</v>
      </c>
      <c r="AB225" s="2917">
        <f>'HVAC Deemed Table'!K1496</f>
        <v>2185.0873864864097</v>
      </c>
      <c r="AC225" s="2090">
        <f t="shared" si="133"/>
        <v>3046.5420735562921</v>
      </c>
      <c r="AD225" s="2090">
        <f t="shared" si="134"/>
        <v>4104.0219493710301</v>
      </c>
      <c r="AE225" s="2956">
        <f>'HVAC Deemed Table'!BD1496</f>
        <v>1316.7301830749186</v>
      </c>
      <c r="AF225" s="2956">
        <f>'HVAC Deemed Table'!BD1497</f>
        <v>1729.8118904813734</v>
      </c>
      <c r="AG225" s="2956">
        <f>'HVAC Deemed Table'!BD1498</f>
        <v>1029.0234466058801</v>
      </c>
      <c r="AH225" s="2956">
        <f>'HVAC Deemed Table'!BD1499</f>
        <v>3074.9985027651505</v>
      </c>
      <c r="AI225" s="2263" t="str">
        <f t="shared" si="115"/>
        <v>per measure</v>
      </c>
      <c r="AJ225" s="2240">
        <f>'HVAC Deemed Table'!L1496</f>
        <v>3.1</v>
      </c>
      <c r="AK225" s="2055"/>
      <c r="AL225" s="2055"/>
      <c r="AM225" s="2057">
        <f t="shared" ref="AM225:AM256" si="149">VLOOKUP(C225,$AS$10:$AT$32,2,FALSE)</f>
        <v>9.4741810000000004E-4</v>
      </c>
      <c r="AN225" s="132">
        <f t="shared" si="139"/>
        <v>2.1453619681829998</v>
      </c>
      <c r="AO225" s="2048">
        <f t="shared" si="122"/>
        <v>-3.1817000145650809E-8</v>
      </c>
    </row>
    <row r="226" spans="2:42" x14ac:dyDescent="0.25">
      <c r="B226" s="2240" t="str">
        <f>'HVAC Deemed Table'!C1500</f>
        <v>353450_2019_12_</v>
      </c>
      <c r="C226" s="2096" t="str">
        <f>'HVAC Deemed Table'!G1500</f>
        <v>Cooling Res</v>
      </c>
      <c r="D226" s="2096" t="str">
        <f>'HVAC Deemed Table'!G1501</f>
        <v>Heating Res</v>
      </c>
      <c r="E226" s="208"/>
      <c r="F226" s="208"/>
      <c r="G226" s="208" t="str">
        <f>'HVAC Deemed Table'!E1500</f>
        <v>ASHP - SEER 20 - replace electric furnace / CAC SF</v>
      </c>
      <c r="H226" s="622" t="str">
        <f>'HVAC Deemed Table'!D1500</f>
        <v>SF</v>
      </c>
      <c r="I226" s="2091">
        <f t="shared" si="147"/>
        <v>11822.55</v>
      </c>
      <c r="J226" s="2091">
        <f t="shared" si="148"/>
        <v>0</v>
      </c>
      <c r="K226" s="2113">
        <f>'HVAC Deemed Table'!F1500</f>
        <v>898.41</v>
      </c>
      <c r="L226" s="2113">
        <f>'HVAC Deemed Table'!F1501</f>
        <v>10924.14</v>
      </c>
      <c r="M226" s="2113"/>
      <c r="N226" s="2113"/>
      <c r="O226" s="2092">
        <f t="shared" si="145"/>
        <v>0.85116999999999998</v>
      </c>
      <c r="P226" s="2092">
        <f t="shared" si="146"/>
        <v>0</v>
      </c>
      <c r="Q226" s="2086">
        <f>'HVAC Deemed Table'!I1500</f>
        <v>0.85116999999999998</v>
      </c>
      <c r="R226" s="2086">
        <f>'HVAC Deemed Table'!I1501</f>
        <v>0</v>
      </c>
      <c r="S226" s="2086"/>
      <c r="T226" s="2086"/>
      <c r="U226" s="2087"/>
      <c r="V226" s="2087"/>
      <c r="W226" s="2087">
        <f>O226</f>
        <v>0.85116999999999998</v>
      </c>
      <c r="X226" s="2121">
        <f>'HVAC Deemed Table'!J1500</f>
        <v>18</v>
      </c>
      <c r="Y226" s="2121"/>
      <c r="Z226" s="88">
        <f t="shared" si="127"/>
        <v>18</v>
      </c>
      <c r="AA226" s="637">
        <f>'HVAC Deemed Table'!BB1500</f>
        <v>4.8646064342312112</v>
      </c>
      <c r="AB226" s="2917">
        <f>'HVAC Deemed Table'!K1500</f>
        <v>1444.3799999999994</v>
      </c>
      <c r="AC226" s="2090">
        <f t="shared" si="133"/>
        <v>6631.751053775246</v>
      </c>
      <c r="AD226" s="2090">
        <f t="shared" si="134"/>
        <v>0</v>
      </c>
      <c r="AE226" s="2956">
        <f>'HVAC Deemed Table'!BD1500</f>
        <v>1584.6224544479524</v>
      </c>
      <c r="AF226" s="2956">
        <f>'HVAC Deemed Table'!BD1501</f>
        <v>5047.1285993272932</v>
      </c>
      <c r="AG226" s="2956"/>
      <c r="AH226" s="2956"/>
      <c r="AI226" s="2263" t="str">
        <f t="shared" si="115"/>
        <v>per measure</v>
      </c>
      <c r="AJ226" s="2240">
        <f>'HVAC Deemed Table'!L1500</f>
        <v>3.2</v>
      </c>
      <c r="AK226" s="2055"/>
      <c r="AL226" s="2055"/>
      <c r="AM226" s="2057">
        <f t="shared" si="149"/>
        <v>9.4741810000000004E-4</v>
      </c>
      <c r="AN226" s="132">
        <f t="shared" si="139"/>
        <v>0.85116989522099995</v>
      </c>
      <c r="AO226" s="2048">
        <f t="shared" si="122"/>
        <v>-1.047790000319182E-7</v>
      </c>
    </row>
    <row r="227" spans="2:42" x14ac:dyDescent="0.25">
      <c r="B227" s="2240" t="str">
        <f>'HVAC Deemed Table'!C1502</f>
        <v>353500_2019_12_</v>
      </c>
      <c r="C227" s="2096" t="str">
        <f>'HVAC Deemed Table'!G1502</f>
        <v>Cooling Res</v>
      </c>
      <c r="D227" s="2096" t="str">
        <f>'HVAC Deemed Table'!G1503</f>
        <v>Heating Res</v>
      </c>
      <c r="E227" s="208"/>
      <c r="F227" s="208"/>
      <c r="G227" s="208" t="str">
        <f>'HVAC Deemed Table'!E1502</f>
        <v>ASHP - SEER 20 - replace electric furnace / CAC MF</v>
      </c>
      <c r="H227" s="622" t="str">
        <f>'HVAC Deemed Table'!D1502</f>
        <v>MF</v>
      </c>
      <c r="I227" s="2091">
        <f t="shared" si="147"/>
        <v>7684.66</v>
      </c>
      <c r="J227" s="2091">
        <f t="shared" si="148"/>
        <v>0</v>
      </c>
      <c r="K227" s="2113">
        <f>'HVAC Deemed Table'!F1502</f>
        <v>583.97</v>
      </c>
      <c r="L227" s="2113">
        <f>'HVAC Deemed Table'!F1503</f>
        <v>7100.69</v>
      </c>
      <c r="M227" s="2113"/>
      <c r="N227" s="2113"/>
      <c r="O227" s="2092">
        <f t="shared" si="145"/>
        <v>0.55326399999999998</v>
      </c>
      <c r="P227" s="2092">
        <f t="shared" si="146"/>
        <v>0</v>
      </c>
      <c r="Q227" s="2086">
        <f>'HVAC Deemed Table'!I1502</f>
        <v>0.55326399999999998</v>
      </c>
      <c r="R227" s="2086">
        <f>'HVAC Deemed Table'!I1503</f>
        <v>0</v>
      </c>
      <c r="S227" s="2086"/>
      <c r="T227" s="2086"/>
      <c r="U227" s="2087"/>
      <c r="V227" s="2087"/>
      <c r="W227" s="2087">
        <f>O227</f>
        <v>0.55326399999999998</v>
      </c>
      <c r="X227" s="2121">
        <f>'HVAC Deemed Table'!J1502</f>
        <v>18</v>
      </c>
      <c r="Y227" s="2121"/>
      <c r="Z227" s="88">
        <f t="shared" si="127"/>
        <v>18</v>
      </c>
      <c r="AA227" s="637">
        <f>'HVAC Deemed Table'!BB1502</f>
        <v>3.1619983716836453</v>
      </c>
      <c r="AB227" s="2917">
        <f>'HVAC Deemed Table'!K1502</f>
        <v>1444.3799999999994</v>
      </c>
      <c r="AC227" s="2090">
        <f t="shared" si="133"/>
        <v>4310.6438962646735</v>
      </c>
      <c r="AD227" s="2090">
        <f t="shared" si="134"/>
        <v>0</v>
      </c>
      <c r="AE227" s="2956">
        <f>'HVAC Deemed Table'!BD1502</f>
        <v>1030.0107687180362</v>
      </c>
      <c r="AF227" s="2956">
        <f>'HVAC Deemed Table'!BD1503</f>
        <v>3280.6331275466368</v>
      </c>
      <c r="AG227" s="2956"/>
      <c r="AH227" s="2956"/>
      <c r="AI227" s="2263" t="str">
        <f t="shared" si="115"/>
        <v>per measure</v>
      </c>
      <c r="AJ227" s="2240">
        <f>'HVAC Deemed Table'!L1502</f>
        <v>3.2</v>
      </c>
      <c r="AK227" s="2055"/>
      <c r="AL227" s="2055"/>
      <c r="AM227" s="2057">
        <f t="shared" si="149"/>
        <v>9.4741810000000004E-4</v>
      </c>
      <c r="AN227" s="132">
        <f t="shared" si="139"/>
        <v>0.55326374785700005</v>
      </c>
      <c r="AO227" s="2048">
        <f t="shared" si="122"/>
        <v>-2.5214299992359912E-7</v>
      </c>
    </row>
    <row r="228" spans="2:42" x14ac:dyDescent="0.25">
      <c r="B228" s="2240" t="str">
        <f>'HVAC Deemed Table'!C1504</f>
        <v>353501_2019_12_</v>
      </c>
      <c r="C228" s="2096" t="str">
        <f>'HVAC Deemed Table'!G1504</f>
        <v>Cooling Res</v>
      </c>
      <c r="D228" s="2096" t="str">
        <f>'HVAC Deemed Table'!G1505</f>
        <v>Heating Res</v>
      </c>
      <c r="E228" s="208"/>
      <c r="F228" s="208"/>
      <c r="G228" s="208" t="str">
        <f>'HVAC Deemed Table'!E1504</f>
        <v>ASHP - SEER 20 - replace electric furnace / CAC MF_CompE</v>
      </c>
      <c r="H228" s="622" t="str">
        <f>'HVAC Deemed Table'!D1504</f>
        <v>MFc</v>
      </c>
      <c r="I228" s="2091">
        <f t="shared" si="147"/>
        <v>2845.39</v>
      </c>
      <c r="J228" s="2091">
        <f t="shared" si="148"/>
        <v>0</v>
      </c>
      <c r="K228" s="2113">
        <f>'HVAC Deemed Table'!F1504</f>
        <v>424.7</v>
      </c>
      <c r="L228" s="2113">
        <f>'HVAC Deemed Table'!F1505</f>
        <v>2420.69</v>
      </c>
      <c r="M228" s="2113"/>
      <c r="N228" s="2113"/>
      <c r="O228" s="2092">
        <f t="shared" si="145"/>
        <v>0.402368</v>
      </c>
      <c r="P228" s="2092">
        <f t="shared" si="146"/>
        <v>0</v>
      </c>
      <c r="Q228" s="2086">
        <f>'HVAC Deemed Table'!I1504</f>
        <v>0.402368</v>
      </c>
      <c r="R228" s="2086">
        <f>'HVAC Deemed Table'!I1505</f>
        <v>0</v>
      </c>
      <c r="S228" s="2086"/>
      <c r="T228" s="2086"/>
      <c r="U228" s="2087"/>
      <c r="V228" s="2087"/>
      <c r="W228" s="2087">
        <f>O228</f>
        <v>0.402368</v>
      </c>
      <c r="X228" s="2121">
        <f>'HVAC Deemed Table'!J1504</f>
        <v>18</v>
      </c>
      <c r="Y228" s="2121"/>
      <c r="Z228" s="88">
        <f t="shared" si="127"/>
        <v>18</v>
      </c>
      <c r="AA228" s="637">
        <f>'HVAC Deemed Table'!BB1504</f>
        <v>1.3698627450752061</v>
      </c>
      <c r="AB228" s="2917">
        <f>'HVAC Deemed Table'!K1504</f>
        <v>1444.3799999999994</v>
      </c>
      <c r="AC228" s="2090">
        <f t="shared" si="133"/>
        <v>1867.4868822385326</v>
      </c>
      <c r="AD228" s="2090">
        <f t="shared" si="134"/>
        <v>0</v>
      </c>
      <c r="AE228" s="2956">
        <f>'HVAC Deemed Table'!BD1504</f>
        <v>749.089120116701</v>
      </c>
      <c r="AF228" s="2956">
        <f>'HVAC Deemed Table'!BD1505</f>
        <v>1118.3977621218316</v>
      </c>
      <c r="AG228" s="2956"/>
      <c r="AH228" s="2956"/>
      <c r="AI228" s="2263" t="str">
        <f t="shared" si="115"/>
        <v>per measure</v>
      </c>
      <c r="AJ228" s="2240">
        <f>'HVAC Deemed Table'!L1504</f>
        <v>3.2</v>
      </c>
      <c r="AK228" s="2055"/>
      <c r="AL228" s="2055"/>
      <c r="AM228" s="2057">
        <f t="shared" si="149"/>
        <v>9.4741810000000004E-4</v>
      </c>
      <c r="AN228" s="132">
        <f t="shared" si="139"/>
        <v>0.40236846707000001</v>
      </c>
      <c r="AO228" s="2053">
        <f t="shared" si="122"/>
        <v>4.6707000000978383E-7</v>
      </c>
      <c r="AP228" s="211">
        <f>AO228/O228</f>
        <v>1.1608030459921859E-6</v>
      </c>
    </row>
    <row r="229" spans="2:42" x14ac:dyDescent="0.25">
      <c r="B229" s="2240" t="str">
        <f>'HVAC Deemed Table'!C1506</f>
        <v>353550_2019_12_</v>
      </c>
      <c r="C229" s="2096" t="str">
        <f>'HVAC Deemed Table'!G1506</f>
        <v>Cooling Res</v>
      </c>
      <c r="D229" s="2096" t="str">
        <f>'HVAC Deemed Table'!G1507</f>
        <v>Heating Res</v>
      </c>
      <c r="E229" s="2096" t="str">
        <f>'HVAC Deemed Table'!G1508</f>
        <v>Cooling Res ER2</v>
      </c>
      <c r="F229" s="2096" t="str">
        <f>'HVAC Deemed Table'!G1509</f>
        <v>Heating Res ER2</v>
      </c>
      <c r="G229" s="208" t="str">
        <f>'HVAC Deemed Table'!E1506</f>
        <v>ASHP - SEER 21 - replace electric furnace / CAC - early replacement SF ER1</v>
      </c>
      <c r="H229" s="622" t="str">
        <f>'HVAC Deemed Table'!D1506</f>
        <v>SF</v>
      </c>
      <c r="I229" s="2091">
        <f t="shared" si="147"/>
        <v>12741.06</v>
      </c>
      <c r="J229" s="2091">
        <f t="shared" si="148"/>
        <v>11346.97</v>
      </c>
      <c r="K229" s="2113">
        <f>'HVAC Deemed Table'!F1506</f>
        <v>2341.4</v>
      </c>
      <c r="L229" s="2113">
        <f>'HVAC Deemed Table'!F1507</f>
        <v>10399.66</v>
      </c>
      <c r="M229" s="2113">
        <f>'HVAC Deemed Table'!F1508</f>
        <v>947.31</v>
      </c>
      <c r="N229" s="2113">
        <f>'HVAC Deemed Table'!F1509</f>
        <v>10399.66</v>
      </c>
      <c r="O229" s="2092">
        <f t="shared" si="145"/>
        <v>2.2182849999999998</v>
      </c>
      <c r="P229" s="2092">
        <f t="shared" si="146"/>
        <v>0.89749900000000005</v>
      </c>
      <c r="Q229" s="2086">
        <f>'HVAC Deemed Table'!I1506</f>
        <v>2.2182849999999998</v>
      </c>
      <c r="R229" s="2086">
        <f>'HVAC Deemed Table'!I1507</f>
        <v>0</v>
      </c>
      <c r="S229" s="2086">
        <f>'HVAC Deemed Table'!I1508</f>
        <v>0.89749900000000005</v>
      </c>
      <c r="T229" s="2086">
        <f>'HVAC Deemed Table'!I1509</f>
        <v>0</v>
      </c>
      <c r="U229" s="2087"/>
      <c r="V229" s="2087"/>
      <c r="W229" s="2095">
        <f>P229</f>
        <v>0.89749900000000005</v>
      </c>
      <c r="X229" s="2121">
        <f>'HVAC Deemed Table'!J1506</f>
        <v>6</v>
      </c>
      <c r="Y229" s="2121">
        <f>'HVAC Deemed Table'!J1508</f>
        <v>12</v>
      </c>
      <c r="Z229" s="88">
        <f t="shared" si="127"/>
        <v>18</v>
      </c>
      <c r="AA229" s="637">
        <f>'HVAC Deemed Table'!BB1506</f>
        <v>3.176071342155943</v>
      </c>
      <c r="AB229" s="2917">
        <f>'HVAC Deemed Table'!K1506</f>
        <v>2430.6319864864099</v>
      </c>
      <c r="AC229" s="2090">
        <f t="shared" si="133"/>
        <v>3091.2989095774001</v>
      </c>
      <c r="AD229" s="2090">
        <f t="shared" si="134"/>
        <v>4195.0253901933011</v>
      </c>
      <c r="AE229" s="2956">
        <f>'HVAC Deemed Table'!BD1506</f>
        <v>1361.4870190960264</v>
      </c>
      <c r="AF229" s="2956">
        <f>'HVAC Deemed Table'!BD1507</f>
        <v>1729.8118904813734</v>
      </c>
      <c r="AG229" s="2956">
        <f>'HVAC Deemed Table'!BD1508</f>
        <v>1120.0268874281501</v>
      </c>
      <c r="AH229" s="2956">
        <f>'HVAC Deemed Table'!BD1509</f>
        <v>3074.9985027651505</v>
      </c>
      <c r="AI229" s="2263" t="str">
        <f t="shared" si="115"/>
        <v>per measure</v>
      </c>
      <c r="AJ229" s="2240">
        <f>'HVAC Deemed Table'!L1506</f>
        <v>3.1</v>
      </c>
      <c r="AK229" s="2055"/>
      <c r="AL229" s="2055"/>
      <c r="AM229" s="2057">
        <f t="shared" si="149"/>
        <v>9.4741810000000004E-4</v>
      </c>
      <c r="AN229" s="132">
        <f t="shared" si="139"/>
        <v>2.21828473934</v>
      </c>
      <c r="AO229" s="2048">
        <f t="shared" si="122"/>
        <v>-2.6065999980673382E-7</v>
      </c>
    </row>
    <row r="230" spans="2:42" x14ac:dyDescent="0.25">
      <c r="B230" s="2240" t="str">
        <f>'HVAC Deemed Table'!C1510</f>
        <v>353600_2019_12_</v>
      </c>
      <c r="C230" s="2096" t="str">
        <f>'HVAC Deemed Table'!G1510</f>
        <v>Cooling Res</v>
      </c>
      <c r="D230" s="2096" t="str">
        <f>'HVAC Deemed Table'!G1511</f>
        <v>Heating Res</v>
      </c>
      <c r="E230" s="2096" t="str">
        <f>'HVAC Deemed Table'!G1512</f>
        <v>Cooling Res ER2</v>
      </c>
      <c r="F230" s="2096" t="str">
        <f>'HVAC Deemed Table'!G1513</f>
        <v>Heating Res ER2</v>
      </c>
      <c r="G230" s="208" t="str">
        <f>'HVAC Deemed Table'!E1510</f>
        <v>ASHP - SEER 21 - replace electric furnace / CAC - early replacement MF ER1</v>
      </c>
      <c r="H230" s="622" t="str">
        <f>'HVAC Deemed Table'!D1510</f>
        <v>MF</v>
      </c>
      <c r="I230" s="2091">
        <f t="shared" si="147"/>
        <v>8281.69</v>
      </c>
      <c r="J230" s="2091">
        <f t="shared" si="148"/>
        <v>7375.53</v>
      </c>
      <c r="K230" s="2113">
        <f>'HVAC Deemed Table'!F1510</f>
        <v>1521.91</v>
      </c>
      <c r="L230" s="2113">
        <f>'HVAC Deemed Table'!F1511</f>
        <v>6759.78</v>
      </c>
      <c r="M230" s="2113">
        <f>'HVAC Deemed Table'!F1512</f>
        <v>615.75</v>
      </c>
      <c r="N230" s="2113">
        <f>'HVAC Deemed Table'!F1513</f>
        <v>6759.78</v>
      </c>
      <c r="O230" s="2092">
        <f t="shared" si="145"/>
        <v>1.4418850000000001</v>
      </c>
      <c r="P230" s="2092">
        <f t="shared" si="146"/>
        <v>0.58337300000000003</v>
      </c>
      <c r="Q230" s="2086">
        <f>'HVAC Deemed Table'!I1510</f>
        <v>1.4418850000000001</v>
      </c>
      <c r="R230" s="2086">
        <f>'HVAC Deemed Table'!I1511</f>
        <v>0</v>
      </c>
      <c r="S230" s="2086">
        <f>'HVAC Deemed Table'!I1512</f>
        <v>0.58337300000000003</v>
      </c>
      <c r="T230" s="2086">
        <f>'HVAC Deemed Table'!I1513</f>
        <v>0</v>
      </c>
      <c r="U230" s="2087"/>
      <c r="V230" s="2087"/>
      <c r="W230" s="2095">
        <f>P230</f>
        <v>0.58337300000000003</v>
      </c>
      <c r="X230" s="2121">
        <f>'HVAC Deemed Table'!J1510</f>
        <v>6</v>
      </c>
      <c r="Y230" s="2121">
        <f>'HVAC Deemed Table'!J1512</f>
        <v>12</v>
      </c>
      <c r="Z230" s="88">
        <f t="shared" si="127"/>
        <v>18</v>
      </c>
      <c r="AA230" s="637">
        <f>'HVAC Deemed Table'!BB1510</f>
        <v>2.3109256909244333</v>
      </c>
      <c r="AB230" s="2917">
        <f>'HVAC Deemed Table'!K1510</f>
        <v>2171.3844012161662</v>
      </c>
      <c r="AC230" s="2090">
        <f t="shared" si="133"/>
        <v>2009.3444575588142</v>
      </c>
      <c r="AD230" s="2090">
        <f t="shared" si="134"/>
        <v>2726.7650258229751</v>
      </c>
      <c r="AE230" s="2956">
        <f>'HVAC Deemed Table'!BD1510</f>
        <v>884.96656241241715</v>
      </c>
      <c r="AF230" s="2956">
        <f>'HVAC Deemed Table'!BD1511</f>
        <v>1124.3778951463969</v>
      </c>
      <c r="AG230" s="2956">
        <f>'HVAC Deemed Table'!BD1512</f>
        <v>728.01570334302755</v>
      </c>
      <c r="AH230" s="2956">
        <f>'HVAC Deemed Table'!BD1513</f>
        <v>1998.7493224799473</v>
      </c>
      <c r="AI230" s="2263" t="str">
        <f t="shared" si="115"/>
        <v>per measure</v>
      </c>
      <c r="AJ230" s="2240">
        <f>'HVAC Deemed Table'!L1510</f>
        <v>3.1</v>
      </c>
      <c r="AK230" s="2055"/>
      <c r="AL230" s="2055"/>
      <c r="AM230" s="2057">
        <f t="shared" si="149"/>
        <v>9.4741810000000004E-4</v>
      </c>
      <c r="AN230" s="132">
        <f t="shared" si="139"/>
        <v>1.4418850805710002</v>
      </c>
      <c r="AO230" s="2048">
        <f t="shared" si="122"/>
        <v>8.0571000093954126E-8</v>
      </c>
    </row>
    <row r="231" spans="2:42" x14ac:dyDescent="0.25">
      <c r="B231" s="2240" t="str">
        <f>'HVAC Deemed Table'!C1514</f>
        <v>353601_2019_12_</v>
      </c>
      <c r="C231" s="2096" t="str">
        <f>'HVAC Deemed Table'!G1514</f>
        <v>Cooling Res</v>
      </c>
      <c r="D231" s="2096" t="str">
        <f>'HVAC Deemed Table'!G1515</f>
        <v>Heating Res</v>
      </c>
      <c r="E231" s="2096" t="str">
        <f>'HVAC Deemed Table'!G1516</f>
        <v>Cooling Res ER2</v>
      </c>
      <c r="F231" s="2096" t="str">
        <f>'HVAC Deemed Table'!G1517</f>
        <v>Heating Res ER2</v>
      </c>
      <c r="G231" s="208" t="str">
        <f>'HVAC Deemed Table'!E1514</f>
        <v>ASHP - SEER 21 - replace electric furnace / CAC - early replacement MF ER1_CompE</v>
      </c>
      <c r="H231" s="622" t="str">
        <f>'HVAC Deemed Table'!D1514</f>
        <v>MFc</v>
      </c>
      <c r="I231" s="2091">
        <f t="shared" si="147"/>
        <v>3411.3099999999995</v>
      </c>
      <c r="J231" s="2091">
        <f t="shared" si="148"/>
        <v>2752.29</v>
      </c>
      <c r="K231" s="2113">
        <f>'HVAC Deemed Table'!F1514</f>
        <v>1106.8399999999999</v>
      </c>
      <c r="L231" s="2113">
        <f>'HVAC Deemed Table'!F1515</f>
        <v>2304.4699999999998</v>
      </c>
      <c r="M231" s="2113">
        <f>'HVAC Deemed Table'!F1516</f>
        <v>447.82</v>
      </c>
      <c r="N231" s="2113">
        <f>'HVAC Deemed Table'!F1517</f>
        <v>2304.4699999999998</v>
      </c>
      <c r="O231" s="2092">
        <f t="shared" si="145"/>
        <v>1.04864</v>
      </c>
      <c r="P231" s="2092">
        <f t="shared" si="146"/>
        <v>0.42427300000000001</v>
      </c>
      <c r="Q231" s="2086">
        <f>'HVAC Deemed Table'!I1514</f>
        <v>1.04864</v>
      </c>
      <c r="R231" s="2086">
        <f>'HVAC Deemed Table'!I1515</f>
        <v>0</v>
      </c>
      <c r="S231" s="2086">
        <f>'HVAC Deemed Table'!I1516</f>
        <v>0.42427300000000001</v>
      </c>
      <c r="T231" s="2086">
        <f>'HVAC Deemed Table'!I1517</f>
        <v>0</v>
      </c>
      <c r="U231" s="2087"/>
      <c r="V231" s="2087"/>
      <c r="W231" s="2095">
        <f>P231</f>
        <v>0.42427300000000001</v>
      </c>
      <c r="X231" s="2121">
        <f>'HVAC Deemed Table'!J1514</f>
        <v>6</v>
      </c>
      <c r="Y231" s="2121">
        <f>'HVAC Deemed Table'!J1516</f>
        <v>12</v>
      </c>
      <c r="Z231" s="88">
        <f t="shared" si="127"/>
        <v>18</v>
      </c>
      <c r="AA231" s="637">
        <f>'HVAC Deemed Table'!BB1514</f>
        <v>1.09189705127851</v>
      </c>
      <c r="AB231" s="2917">
        <f>'HVAC Deemed Table'!K1514</f>
        <v>2171.3844012161662</v>
      </c>
      <c r="AC231" s="2090">
        <f t="shared" si="133"/>
        <v>1026.9205013694805</v>
      </c>
      <c r="AD231" s="2090">
        <f t="shared" si="134"/>
        <v>1210.8597958273901</v>
      </c>
      <c r="AE231" s="2956">
        <f>'HVAC Deemed Table'!BD1514</f>
        <v>643.60993090298348</v>
      </c>
      <c r="AF231" s="2956">
        <f>'HVAC Deemed Table'!BD1515</f>
        <v>383.31057046649704</v>
      </c>
      <c r="AG231" s="2956">
        <f>'HVAC Deemed Table'!BD1516</f>
        <v>529.46811574677156</v>
      </c>
      <c r="AH231" s="2956">
        <f>'HVAC Deemed Table'!BD1517</f>
        <v>681.39168008061858</v>
      </c>
      <c r="AI231" s="2263" t="str">
        <f t="shared" si="115"/>
        <v>per measure</v>
      </c>
      <c r="AJ231" s="2240">
        <f>'HVAC Deemed Table'!L1514</f>
        <v>3.1</v>
      </c>
      <c r="AK231" s="2055"/>
      <c r="AL231" s="2055"/>
      <c r="AM231" s="2057">
        <f t="shared" si="149"/>
        <v>9.4741810000000004E-4</v>
      </c>
      <c r="AN231" s="132">
        <f t="shared" si="139"/>
        <v>1.0486402498039999</v>
      </c>
      <c r="AO231" s="2053">
        <f t="shared" si="122"/>
        <v>2.4980399992990954E-7</v>
      </c>
      <c r="AP231" s="211">
        <f>AO231/O231</f>
        <v>2.3821711924960857E-7</v>
      </c>
    </row>
    <row r="232" spans="2:42" x14ac:dyDescent="0.25">
      <c r="B232" s="2240" t="str">
        <f>'HVAC Deemed Table'!C1518</f>
        <v>353650_2019_12_</v>
      </c>
      <c r="C232" s="2096" t="str">
        <f>'HVAC Deemed Table'!G1518</f>
        <v>Cooling Res</v>
      </c>
      <c r="D232" s="2096" t="str">
        <f>'HVAC Deemed Table'!G1519</f>
        <v>Heating Res</v>
      </c>
      <c r="E232" s="208"/>
      <c r="F232" s="208"/>
      <c r="G232" s="208" t="str">
        <f>'HVAC Deemed Table'!E1518</f>
        <v>ASHP - SEER 21 - replace electric furnace / CAC SF</v>
      </c>
      <c r="H232" s="622" t="str">
        <f>'HVAC Deemed Table'!D1518</f>
        <v>SF</v>
      </c>
      <c r="I232" s="2091">
        <f t="shared" ref="I232:I240" si="150">K232+L232</f>
        <v>11902</v>
      </c>
      <c r="J232" s="2091">
        <f t="shared" ref="J232:J240" si="151">M232+N232</f>
        <v>0</v>
      </c>
      <c r="K232" s="2113">
        <f>'HVAC Deemed Table'!F1518</f>
        <v>977.86</v>
      </c>
      <c r="L232" s="2113">
        <f>'HVAC Deemed Table'!F1519</f>
        <v>10924.14</v>
      </c>
      <c r="M232" s="2113"/>
      <c r="N232" s="2113"/>
      <c r="O232" s="2092">
        <f t="shared" si="145"/>
        <v>0.92644199999999999</v>
      </c>
      <c r="P232" s="2092">
        <f t="shared" si="146"/>
        <v>0</v>
      </c>
      <c r="Q232" s="2086">
        <f>'HVAC Deemed Table'!I1518</f>
        <v>0.92644199999999999</v>
      </c>
      <c r="R232" s="2086">
        <f>'HVAC Deemed Table'!I1519</f>
        <v>0</v>
      </c>
      <c r="S232" s="2086"/>
      <c r="T232" s="2086"/>
      <c r="U232" s="2087"/>
      <c r="V232" s="2087"/>
      <c r="W232" s="2087">
        <f>O232</f>
        <v>0.92644199999999999</v>
      </c>
      <c r="X232" s="2121">
        <f>'HVAC Deemed Table'!J1518</f>
        <v>18</v>
      </c>
      <c r="Y232" s="2121"/>
      <c r="Z232" s="88">
        <f t="shared" si="127"/>
        <v>18</v>
      </c>
      <c r="AA232" s="637">
        <f>'HVAC Deemed Table'!BB1518</f>
        <v>4.2456407613027976</v>
      </c>
      <c r="AB232" s="2917">
        <f>'HVAC Deemed Table'!K1518</f>
        <v>1689.9245999999991</v>
      </c>
      <c r="AC232" s="2090">
        <f t="shared" si="133"/>
        <v>6771.8855736558007</v>
      </c>
      <c r="AD232" s="2090">
        <f t="shared" si="134"/>
        <v>0</v>
      </c>
      <c r="AE232" s="2956">
        <f>'HVAC Deemed Table'!BD1518</f>
        <v>1724.7569743285078</v>
      </c>
      <c r="AF232" s="2956">
        <f>'HVAC Deemed Table'!BD1519</f>
        <v>5047.1285993272932</v>
      </c>
      <c r="AG232" s="2956"/>
      <c r="AH232" s="2956"/>
      <c r="AI232" s="2263" t="str">
        <f t="shared" si="115"/>
        <v>per measure</v>
      </c>
      <c r="AJ232" s="2240">
        <f>'HVAC Deemed Table'!L1518</f>
        <v>3.2</v>
      </c>
      <c r="AK232" s="2055"/>
      <c r="AL232" s="2055"/>
      <c r="AM232" s="2057">
        <f t="shared" si="149"/>
        <v>9.4741810000000004E-4</v>
      </c>
      <c r="AN232" s="132">
        <f t="shared" si="139"/>
        <v>0.9264422632660001</v>
      </c>
      <c r="AO232" s="2048">
        <f t="shared" si="122"/>
        <v>2.6326600011117307E-7</v>
      </c>
    </row>
    <row r="233" spans="2:42" x14ac:dyDescent="0.25">
      <c r="B233" s="2240" t="str">
        <f>'HVAC Deemed Table'!C1520</f>
        <v>353700_2019_12_</v>
      </c>
      <c r="C233" s="2096" t="str">
        <f>'HVAC Deemed Table'!G1520</f>
        <v>Cooling Res</v>
      </c>
      <c r="D233" s="2096" t="str">
        <f>'HVAC Deemed Table'!G1521</f>
        <v>Heating Res</v>
      </c>
      <c r="E233" s="208"/>
      <c r="F233" s="208"/>
      <c r="G233" s="208" t="str">
        <f>'HVAC Deemed Table'!E1520</f>
        <v>ASHP-  SEER 21+ replace at Fail Elec Resist Furnace MF</v>
      </c>
      <c r="H233" s="622" t="str">
        <f>'HVAC Deemed Table'!D1520</f>
        <v>SF</v>
      </c>
      <c r="I233" s="2091">
        <f t="shared" si="150"/>
        <v>7736.2999999999993</v>
      </c>
      <c r="J233" s="2091">
        <f t="shared" si="151"/>
        <v>0</v>
      </c>
      <c r="K233" s="2113">
        <f>'HVAC Deemed Table'!F1520</f>
        <v>635.61</v>
      </c>
      <c r="L233" s="2113">
        <f>'HVAC Deemed Table'!F1521</f>
        <v>7100.69</v>
      </c>
      <c r="M233" s="2113"/>
      <c r="N233" s="2113"/>
      <c r="O233" s="2092">
        <f t="shared" si="145"/>
        <v>0.60218799999999995</v>
      </c>
      <c r="P233" s="2092">
        <f t="shared" si="146"/>
        <v>0</v>
      </c>
      <c r="Q233" s="2086">
        <f>'HVAC Deemed Table'!I1520</f>
        <v>0.60218799999999995</v>
      </c>
      <c r="R233" s="2086">
        <f>'HVAC Deemed Table'!I1521</f>
        <v>0</v>
      </c>
      <c r="S233" s="2086"/>
      <c r="T233" s="2086"/>
      <c r="U233" s="2087"/>
      <c r="V233" s="2087"/>
      <c r="W233" s="2087">
        <f>O233</f>
        <v>0.60218799999999995</v>
      </c>
      <c r="X233" s="2121">
        <f>'HVAC Deemed Table'!J1520</f>
        <v>18</v>
      </c>
      <c r="Y233" s="2121"/>
      <c r="Z233" s="88">
        <f t="shared" si="127"/>
        <v>18</v>
      </c>
      <c r="AA233" s="637">
        <f>'HVAC Deemed Table'!BB1520</f>
        <v>2.7596673110064098</v>
      </c>
      <c r="AB233" s="2917">
        <f>'HVAC Deemed Table'!K1520</f>
        <v>1689.9245999999991</v>
      </c>
      <c r="AC233" s="2090">
        <f t="shared" si="133"/>
        <v>4401.7269246678434</v>
      </c>
      <c r="AD233" s="2090">
        <f t="shared" si="134"/>
        <v>0</v>
      </c>
      <c r="AE233" s="2956">
        <f>'HVAC Deemed Table'!BD1520</f>
        <v>1121.0937971212063</v>
      </c>
      <c r="AF233" s="2956">
        <f>'HVAC Deemed Table'!BD1521</f>
        <v>3280.6331275466368</v>
      </c>
      <c r="AG233" s="2956"/>
      <c r="AH233" s="2956"/>
      <c r="AI233" s="2263" t="str">
        <f t="shared" si="115"/>
        <v>per measure</v>
      </c>
      <c r="AJ233" s="2240">
        <f>'HVAC Deemed Table'!L1520</f>
        <v>3.2</v>
      </c>
      <c r="AK233" s="2055"/>
      <c r="AL233" s="2055"/>
      <c r="AM233" s="2057">
        <f t="shared" si="149"/>
        <v>9.4741810000000004E-4</v>
      </c>
      <c r="AN233" s="132">
        <f t="shared" si="139"/>
        <v>0.60218841854100003</v>
      </c>
      <c r="AO233" s="2048">
        <f t="shared" si="122"/>
        <v>4.1854100008009709E-7</v>
      </c>
    </row>
    <row r="234" spans="2:42" x14ac:dyDescent="0.25">
      <c r="B234" s="2240" t="str">
        <f>'HVAC Deemed Table'!C1522</f>
        <v>353701_2019_12_</v>
      </c>
      <c r="C234" s="2096" t="str">
        <f>'HVAC Deemed Table'!G1522</f>
        <v>Cooling Res</v>
      </c>
      <c r="D234" s="2096" t="str">
        <f>'HVAC Deemed Table'!G1523</f>
        <v>Heating Res</v>
      </c>
      <c r="E234" s="208"/>
      <c r="F234" s="208"/>
      <c r="G234" s="208" t="str">
        <f>'HVAC Deemed Table'!E1522</f>
        <v>ASHP-  SEER 21+ replace at Fail Elec Resist Furnace MF_CompE</v>
      </c>
      <c r="H234" s="622" t="str">
        <f>'HVAC Deemed Table'!D1522</f>
        <v>MFc</v>
      </c>
      <c r="I234" s="2091">
        <f t="shared" si="150"/>
        <v>2882.95</v>
      </c>
      <c r="J234" s="2091">
        <f t="shared" si="151"/>
        <v>0</v>
      </c>
      <c r="K234" s="2113">
        <f>'HVAC Deemed Table'!F1522</f>
        <v>462.26</v>
      </c>
      <c r="L234" s="2113">
        <f>'HVAC Deemed Table'!F1523</f>
        <v>2420.69</v>
      </c>
      <c r="M234" s="2113"/>
      <c r="N234" s="2113"/>
      <c r="O234" s="2092">
        <f t="shared" si="145"/>
        <v>0.43795299999999998</v>
      </c>
      <c r="P234" s="2092">
        <f t="shared" si="146"/>
        <v>0</v>
      </c>
      <c r="Q234" s="2086">
        <f>'HVAC Deemed Table'!I1522</f>
        <v>0.43795299999999998</v>
      </c>
      <c r="R234" s="2086">
        <f>'HVAC Deemed Table'!I1523</f>
        <v>0</v>
      </c>
      <c r="S234" s="2086"/>
      <c r="T234" s="2086"/>
      <c r="U234" s="2087"/>
      <c r="V234" s="2087"/>
      <c r="W234" s="2087">
        <f>O234</f>
        <v>0.43795299999999998</v>
      </c>
      <c r="X234" s="2121">
        <f>'HVAC Deemed Table'!J1522</f>
        <v>18</v>
      </c>
      <c r="Y234" s="2121"/>
      <c r="Z234" s="88">
        <f t="shared" si="127"/>
        <v>18</v>
      </c>
      <c r="AA234" s="637">
        <f>'HVAC Deemed Table'!BB1522</f>
        <v>1.2123574985084911</v>
      </c>
      <c r="AB234" s="2917">
        <f>'HVAC Deemed Table'!K1522</f>
        <v>1689.9245999999991</v>
      </c>
      <c r="AC234" s="2090">
        <f t="shared" si="133"/>
        <v>1933.7354985596612</v>
      </c>
      <c r="AD234" s="2090">
        <f t="shared" si="134"/>
        <v>0</v>
      </c>
      <c r="AE234" s="2956">
        <f>'HVAC Deemed Table'!BD1522</f>
        <v>815.33773643782956</v>
      </c>
      <c r="AF234" s="2956">
        <f>'HVAC Deemed Table'!BD1523</f>
        <v>1118.3977621218316</v>
      </c>
      <c r="AG234" s="2956"/>
      <c r="AH234" s="2956"/>
      <c r="AI234" s="2263" t="str">
        <f t="shared" ref="AI234:AI277" si="152">AI233</f>
        <v>per measure</v>
      </c>
      <c r="AJ234" s="2240">
        <f>'HVAC Deemed Table'!L1522</f>
        <v>3.2</v>
      </c>
      <c r="AK234" s="2055"/>
      <c r="AL234" s="2055"/>
      <c r="AM234" s="2057">
        <f t="shared" si="149"/>
        <v>9.4741810000000004E-4</v>
      </c>
      <c r="AN234" s="132">
        <f t="shared" si="139"/>
        <v>0.437953490906</v>
      </c>
      <c r="AO234" s="2048">
        <f t="shared" si="122"/>
        <v>4.9090600001688856E-7</v>
      </c>
    </row>
    <row r="235" spans="2:42" x14ac:dyDescent="0.25">
      <c r="B235" s="2240" t="str">
        <f>'HVAC Deemed Table'!C1524</f>
        <v>353750_2019_12_</v>
      </c>
      <c r="C235" s="2096" t="str">
        <f>'HVAC Deemed Table'!G1524</f>
        <v>Cooling Res</v>
      </c>
      <c r="D235" s="2096" t="str">
        <f>'HVAC Deemed Table'!G1525</f>
        <v>Heating Res</v>
      </c>
      <c r="E235" s="2096" t="str">
        <f>'HVAC Deemed Table'!G1526</f>
        <v>Cooling Res ER2</v>
      </c>
      <c r="F235" s="2096" t="str">
        <f>'HVAC Deemed Table'!G1527</f>
        <v>Heating Res ER2</v>
      </c>
      <c r="G235" s="208" t="str">
        <f>'HVAC Deemed Table'!E1524</f>
        <v>ASHP SEER 17 replace ASHP - early replacement SF ER1</v>
      </c>
      <c r="H235" s="622" t="str">
        <f>'HVAC Deemed Table'!D1524</f>
        <v>SF</v>
      </c>
      <c r="I235" s="2091">
        <f t="shared" si="150"/>
        <v>4874.2000000000007</v>
      </c>
      <c r="J235" s="2091">
        <f t="shared" si="151"/>
        <v>1422.4</v>
      </c>
      <c r="K235" s="2113">
        <f>'HVAC Deemed Table'!F1524</f>
        <v>2106.88</v>
      </c>
      <c r="L235" s="2113">
        <f>'HVAC Deemed Table'!F1525</f>
        <v>2767.32</v>
      </c>
      <c r="M235" s="2113">
        <f>'HVAC Deemed Table'!F1526</f>
        <v>433.77</v>
      </c>
      <c r="N235" s="2113">
        <f>'HVAC Deemed Table'!F1527</f>
        <v>988.63</v>
      </c>
      <c r="O235" s="2092">
        <f t="shared" si="145"/>
        <v>1.9960960000000001</v>
      </c>
      <c r="P235" s="2092">
        <f t="shared" si="146"/>
        <v>0.41096199999999999</v>
      </c>
      <c r="Q235" s="2086">
        <f>'HVAC Deemed Table'!I1524</f>
        <v>1.9960960000000001</v>
      </c>
      <c r="R235" s="2086">
        <f>'HVAC Deemed Table'!I1525</f>
        <v>0</v>
      </c>
      <c r="S235" s="2086">
        <f>'HVAC Deemed Table'!I1526</f>
        <v>0.41096199999999999</v>
      </c>
      <c r="T235" s="2086">
        <f>'HVAC Deemed Table'!I1527</f>
        <v>0</v>
      </c>
      <c r="U235" s="2087"/>
      <c r="V235" s="2087"/>
      <c r="W235" s="2095">
        <f>P235</f>
        <v>0.41096199999999999</v>
      </c>
      <c r="X235" s="2121">
        <f>'HVAC Deemed Table'!J1524</f>
        <v>6</v>
      </c>
      <c r="Y235" s="2121">
        <f>'HVAC Deemed Table'!J1526</f>
        <v>12</v>
      </c>
      <c r="Z235" s="88">
        <f t="shared" si="127"/>
        <v>18</v>
      </c>
      <c r="AA235" s="637">
        <f>'HVAC Deemed Table'!BB1524</f>
        <v>1.7446555997670108</v>
      </c>
      <c r="AB235" s="2917">
        <f>'HVAC Deemed Table'!K1524</f>
        <v>1512.4949598081143</v>
      </c>
      <c r="AC235" s="2090">
        <f t="shared" si="133"/>
        <v>1685.4153860985564</v>
      </c>
      <c r="AD235" s="2090">
        <f t="shared" si="134"/>
        <v>805.17715873259624</v>
      </c>
      <c r="AE235" s="2956">
        <f>'HVAC Deemed Table'!BD1524</f>
        <v>1225.1173532045084</v>
      </c>
      <c r="AF235" s="2956">
        <f>'HVAC Deemed Table'!BD1525</f>
        <v>460.29803289404794</v>
      </c>
      <c r="AG235" s="2956">
        <f>'HVAC Deemed Table'!BD1526</f>
        <v>512.85647038425498</v>
      </c>
      <c r="AH235" s="2956">
        <f>'HVAC Deemed Table'!BD1527</f>
        <v>292.32068834834126</v>
      </c>
      <c r="AI235" s="2263" t="str">
        <f t="shared" si="152"/>
        <v>per measure</v>
      </c>
      <c r="AJ235" s="2240">
        <f>'HVAC Deemed Table'!L1524</f>
        <v>3.3</v>
      </c>
      <c r="AK235" s="2055"/>
      <c r="AL235" s="2055"/>
      <c r="AM235" s="2057">
        <f t="shared" si="149"/>
        <v>9.4741810000000004E-4</v>
      </c>
      <c r="AN235" s="132">
        <f t="shared" si="139"/>
        <v>1.9960962465280001</v>
      </c>
      <c r="AO235" s="2048">
        <f t="shared" si="122"/>
        <v>2.4652800001412345E-7</v>
      </c>
    </row>
    <row r="236" spans="2:42" x14ac:dyDescent="0.25">
      <c r="B236" s="2240" t="str">
        <f>'HVAC Deemed Table'!C1528</f>
        <v>353800_2019_12_</v>
      </c>
      <c r="C236" s="2096" t="str">
        <f>'HVAC Deemed Table'!G1528</f>
        <v>Cooling Res</v>
      </c>
      <c r="D236" s="2096" t="str">
        <f>'HVAC Deemed Table'!G1529</f>
        <v>Heating Res</v>
      </c>
      <c r="E236" s="208"/>
      <c r="F236" s="208"/>
      <c r="G236" s="208" t="str">
        <f>'HVAC Deemed Table'!E1528</f>
        <v>ASHP SEER 17 replace ASHP - replace on fail SF</v>
      </c>
      <c r="H236" s="622" t="str">
        <f>'HVAC Deemed Table'!D1528</f>
        <v>SF</v>
      </c>
      <c r="I236" s="2091">
        <f t="shared" si="150"/>
        <v>1613.29</v>
      </c>
      <c r="J236" s="2091">
        <f t="shared" si="151"/>
        <v>0</v>
      </c>
      <c r="K236" s="2113">
        <f>'HVAC Deemed Table'!F1528</f>
        <v>433.77</v>
      </c>
      <c r="L236" s="2113">
        <f>'HVAC Deemed Table'!F1529</f>
        <v>1179.52</v>
      </c>
      <c r="M236" s="2113"/>
      <c r="N236" s="2113"/>
      <c r="O236" s="2092">
        <f t="shared" si="145"/>
        <v>0.41096199999999999</v>
      </c>
      <c r="P236" s="2092">
        <f t="shared" si="146"/>
        <v>0</v>
      </c>
      <c r="Q236" s="2086">
        <f>'HVAC Deemed Table'!I1528</f>
        <v>0.41096199999999999</v>
      </c>
      <c r="R236" s="2086">
        <f>'HVAC Deemed Table'!I1529</f>
        <v>0</v>
      </c>
      <c r="S236" s="2086"/>
      <c r="T236" s="2086"/>
      <c r="U236" s="2087"/>
      <c r="V236" s="2087"/>
      <c r="W236" s="2087">
        <f>O236</f>
        <v>0.41096199999999999</v>
      </c>
      <c r="X236" s="2121">
        <f>'HVAC Deemed Table'!J1528</f>
        <v>18</v>
      </c>
      <c r="Y236" s="2121"/>
      <c r="Z236" s="88">
        <f t="shared" si="127"/>
        <v>18</v>
      </c>
      <c r="AA236" s="637">
        <f>'HVAC Deemed Table'!BB1528</f>
        <v>1.9171156267724738</v>
      </c>
      <c r="AB236" s="2917">
        <f>'HVAC Deemed Table'!K1528</f>
        <v>724</v>
      </c>
      <c r="AC236" s="2090">
        <f t="shared" si="133"/>
        <v>1310.0440904042198</v>
      </c>
      <c r="AD236" s="2090">
        <f t="shared" si="134"/>
        <v>0</v>
      </c>
      <c r="AE236" s="2956">
        <f>'HVAC Deemed Table'!BD1528</f>
        <v>765.08685574057313</v>
      </c>
      <c r="AF236" s="2956">
        <f>'HVAC Deemed Table'!BD1529</f>
        <v>544.95723466364666</v>
      </c>
      <c r="AG236" s="2956"/>
      <c r="AH236" s="2956"/>
      <c r="AI236" s="2263" t="str">
        <f t="shared" si="152"/>
        <v>per measure</v>
      </c>
      <c r="AJ236" s="2240">
        <f>'HVAC Deemed Table'!L1528</f>
        <v>3.3</v>
      </c>
      <c r="AK236" s="2055"/>
      <c r="AL236" s="2055"/>
      <c r="AM236" s="2057">
        <f t="shared" si="149"/>
        <v>9.4741810000000004E-4</v>
      </c>
      <c r="AN236" s="132">
        <f t="shared" ref="AN236:AN267" si="153">AM236*K236</f>
        <v>0.41096154923700001</v>
      </c>
      <c r="AO236" s="2048">
        <f t="shared" si="122"/>
        <v>-4.50762999981702E-7</v>
      </c>
    </row>
    <row r="237" spans="2:42" x14ac:dyDescent="0.25">
      <c r="B237" s="2240" t="str">
        <f>'HVAC Deemed Table'!C1530</f>
        <v>353850_2019_12_</v>
      </c>
      <c r="C237" s="2096" t="str">
        <f>'HVAC Deemed Table'!G1530</f>
        <v>Cooling Res</v>
      </c>
      <c r="D237" s="2096" t="str">
        <f>'HVAC Deemed Table'!G1531</f>
        <v>Heating Res</v>
      </c>
      <c r="E237" s="2096" t="str">
        <f>'HVAC Deemed Table'!G1532</f>
        <v>Cooling Res ER2</v>
      </c>
      <c r="F237" s="2096" t="str">
        <f>'HVAC Deemed Table'!G1533</f>
        <v>Heating Res ER2</v>
      </c>
      <c r="G237" s="208" t="str">
        <f>'HVAC Deemed Table'!E1530</f>
        <v>ASHP SEER 18 replace ASHP - early replacement SF ER1</v>
      </c>
      <c r="H237" s="622" t="str">
        <f>'HVAC Deemed Table'!D1530</f>
        <v>SF</v>
      </c>
      <c r="I237" s="2091">
        <f t="shared" si="150"/>
        <v>5838.84</v>
      </c>
      <c r="J237" s="2091">
        <f t="shared" si="151"/>
        <v>1885.3899999999999</v>
      </c>
      <c r="K237" s="2113">
        <f>'HVAC Deemed Table'!F1530</f>
        <v>2735.03</v>
      </c>
      <c r="L237" s="2113">
        <f>'HVAC Deemed Table'!F1531</f>
        <v>3103.81</v>
      </c>
      <c r="M237" s="2113">
        <f>'HVAC Deemed Table'!F1532</f>
        <v>695.03</v>
      </c>
      <c r="N237" s="2113">
        <f>'HVAC Deemed Table'!F1533</f>
        <v>1190.3599999999999</v>
      </c>
      <c r="O237" s="2092">
        <f t="shared" si="145"/>
        <v>2.5912169999999999</v>
      </c>
      <c r="P237" s="2092">
        <f t="shared" si="146"/>
        <v>0.65848399999999996</v>
      </c>
      <c r="Q237" s="2086">
        <f>'HVAC Deemed Table'!I1530</f>
        <v>2.5912169999999999</v>
      </c>
      <c r="R237" s="2086">
        <f>'HVAC Deemed Table'!I1531</f>
        <v>0</v>
      </c>
      <c r="S237" s="2086">
        <f>'HVAC Deemed Table'!I1532</f>
        <v>0.65848399999999996</v>
      </c>
      <c r="T237" s="2086">
        <f>'HVAC Deemed Table'!I1533</f>
        <v>0</v>
      </c>
      <c r="U237" s="2087"/>
      <c r="V237" s="2087"/>
      <c r="W237" s="2095">
        <f>P237</f>
        <v>0.65848399999999996</v>
      </c>
      <c r="X237" s="2121">
        <f>'HVAC Deemed Table'!J1530</f>
        <v>6</v>
      </c>
      <c r="Y237" s="2121">
        <f>'HVAC Deemed Table'!J1532</f>
        <v>12</v>
      </c>
      <c r="Z237" s="88">
        <f t="shared" si="127"/>
        <v>18</v>
      </c>
      <c r="AA237" s="637">
        <f>'HVAC Deemed Table'!BB1530</f>
        <v>1.9189719183657661</v>
      </c>
      <c r="AB237" s="2917">
        <f>'HVAC Deemed Table'!K1530</f>
        <v>1811.1494264602443</v>
      </c>
      <c r="AC237" s="2090">
        <f t="shared" si="133"/>
        <v>2106.6442238806776</v>
      </c>
      <c r="AD237" s="2090">
        <f t="shared" si="134"/>
        <v>1173.719050627554</v>
      </c>
      <c r="AE237" s="2956">
        <f>'HVAC Deemed Table'!BD1530</f>
        <v>1590.3766301521334</v>
      </c>
      <c r="AF237" s="2956">
        <f>'HVAC Deemed Table'!BD1531</f>
        <v>516.26759372854417</v>
      </c>
      <c r="AG237" s="2956">
        <f>'HVAC Deemed Table'!BD1532</f>
        <v>821.75031148112771</v>
      </c>
      <c r="AH237" s="2956">
        <f>'HVAC Deemed Table'!BD1533</f>
        <v>351.96873914642634</v>
      </c>
      <c r="AI237" s="2263" t="str">
        <f t="shared" si="152"/>
        <v>per measure</v>
      </c>
      <c r="AJ237" s="2240">
        <f>'HVAC Deemed Table'!L1530</f>
        <v>3.55</v>
      </c>
      <c r="AK237" s="2055"/>
      <c r="AL237" s="2055"/>
      <c r="AM237" s="2057">
        <f t="shared" si="149"/>
        <v>9.4741810000000004E-4</v>
      </c>
      <c r="AN237" s="132">
        <f t="shared" si="153"/>
        <v>2.5912169260430002</v>
      </c>
      <c r="AO237" s="2048">
        <f t="shared" si="122"/>
        <v>-7.3956999635527154E-8</v>
      </c>
    </row>
    <row r="238" spans="2:42" x14ac:dyDescent="0.25">
      <c r="B238" s="2240" t="str">
        <f>'HVAC Deemed Table'!C1534</f>
        <v>353950_2019_12_</v>
      </c>
      <c r="C238" s="2096" t="str">
        <f>'HVAC Deemed Table'!G1534</f>
        <v>Cooling Res</v>
      </c>
      <c r="D238" s="2096" t="str">
        <f>'HVAC Deemed Table'!G1535</f>
        <v>Heating Res</v>
      </c>
      <c r="E238" s="208"/>
      <c r="F238" s="208"/>
      <c r="G238" s="208" t="str">
        <f>'HVAC Deemed Table'!E1534</f>
        <v>ASHP - SEER 18 - replace on fail SF</v>
      </c>
      <c r="H238" s="622" t="str">
        <f>'HVAC Deemed Table'!D1534</f>
        <v>SF</v>
      </c>
      <c r="I238" s="2091">
        <f t="shared" si="150"/>
        <v>1725.75</v>
      </c>
      <c r="J238" s="2091">
        <f t="shared" si="151"/>
        <v>0</v>
      </c>
      <c r="K238" s="2113">
        <f>'HVAC Deemed Table'!F1534</f>
        <v>546.23</v>
      </c>
      <c r="L238" s="2113">
        <f>'HVAC Deemed Table'!F1535</f>
        <v>1179.52</v>
      </c>
      <c r="M238" s="2113"/>
      <c r="N238" s="2113"/>
      <c r="O238" s="2092">
        <f t="shared" ref="O238:O256" si="154">Q238+R238</f>
        <v>0.51750799999999997</v>
      </c>
      <c r="P238" s="2092">
        <f t="shared" ref="P238:P256" si="155">S238+T238</f>
        <v>0</v>
      </c>
      <c r="Q238" s="2086">
        <f>'HVAC Deemed Table'!I1534</f>
        <v>0.51750799999999997</v>
      </c>
      <c r="R238" s="2086">
        <f>'HVAC Deemed Table'!I1535</f>
        <v>0</v>
      </c>
      <c r="S238" s="2086"/>
      <c r="T238" s="2086"/>
      <c r="U238" s="2087"/>
      <c r="V238" s="2087"/>
      <c r="W238" s="2087">
        <f>O238</f>
        <v>0.51750799999999997</v>
      </c>
      <c r="X238" s="2121">
        <f>'HVAC Deemed Table'!J1534</f>
        <v>18</v>
      </c>
      <c r="Y238" s="2121"/>
      <c r="Z238" s="88">
        <f t="shared" si="127"/>
        <v>18</v>
      </c>
      <c r="AA238" s="637">
        <f>'HVAC Deemed Table'!BB1534</f>
        <v>1.6596932401743794</v>
      </c>
      <c r="AB238" s="2917">
        <f>'HVAC Deemed Table'!K1534</f>
        <v>962.92000000000007</v>
      </c>
      <c r="AC238" s="2090">
        <f t="shared" si="133"/>
        <v>1508.4019016788234</v>
      </c>
      <c r="AD238" s="2090">
        <f t="shared" si="134"/>
        <v>0</v>
      </c>
      <c r="AE238" s="2956">
        <f>'HVAC Deemed Table'!BD1534</f>
        <v>963.44466701517683</v>
      </c>
      <c r="AF238" s="2956">
        <f>'HVAC Deemed Table'!BD1535</f>
        <v>544.95723466364666</v>
      </c>
      <c r="AG238" s="2956"/>
      <c r="AH238" s="2956"/>
      <c r="AI238" s="2263" t="str">
        <f t="shared" si="152"/>
        <v>per measure</v>
      </c>
      <c r="AJ238" s="2240">
        <f>'HVAC Deemed Table'!L1534</f>
        <v>3.3</v>
      </c>
      <c r="AK238" s="2055"/>
      <c r="AL238" s="2055"/>
      <c r="AM238" s="2057">
        <f t="shared" si="149"/>
        <v>9.4741810000000004E-4</v>
      </c>
      <c r="AN238" s="132">
        <f t="shared" si="153"/>
        <v>0.51750818876300009</v>
      </c>
      <c r="AO238" s="2048">
        <f t="shared" si="122"/>
        <v>1.8876300011960723E-7</v>
      </c>
    </row>
    <row r="239" spans="2:42" x14ac:dyDescent="0.25">
      <c r="B239" s="2240" t="str">
        <f>'HVAC Deemed Table'!C1536</f>
        <v>354000_2019_12_</v>
      </c>
      <c r="C239" s="2096" t="str">
        <f>'HVAC Deemed Table'!G1536</f>
        <v>Cooling Res</v>
      </c>
      <c r="D239" s="2096" t="str">
        <f>'HVAC Deemed Table'!G1537</f>
        <v>Heating Res</v>
      </c>
      <c r="E239" s="2096" t="str">
        <f>'HVAC Deemed Table'!G1538</f>
        <v>Cooling Res ER2</v>
      </c>
      <c r="F239" s="2096" t="str">
        <f>'HVAC Deemed Table'!G1539</f>
        <v>Heating Res ER2</v>
      </c>
      <c r="G239" s="208" t="str">
        <f>'HVAC Deemed Table'!E1536</f>
        <v>ASHP SEER 19 replace ASHP - early replacement SF ER1</v>
      </c>
      <c r="H239" s="622" t="str">
        <f>'HVAC Deemed Table'!D1536</f>
        <v>SF</v>
      </c>
      <c r="I239" s="2091">
        <f t="shared" si="150"/>
        <v>5087.2800000000007</v>
      </c>
      <c r="J239" s="2091">
        <f t="shared" si="151"/>
        <v>1635.48</v>
      </c>
      <c r="K239" s="2113">
        <f>'HVAC Deemed Table'!F1536</f>
        <v>2319.96</v>
      </c>
      <c r="L239" s="2113">
        <f>'HVAC Deemed Table'!F1537</f>
        <v>2767.32</v>
      </c>
      <c r="M239" s="2113">
        <f>'HVAC Deemed Table'!F1538</f>
        <v>646.85</v>
      </c>
      <c r="N239" s="2113">
        <f>'HVAC Deemed Table'!F1539</f>
        <v>988.63</v>
      </c>
      <c r="O239" s="2092">
        <f t="shared" si="154"/>
        <v>2.197972</v>
      </c>
      <c r="P239" s="2092">
        <f t="shared" si="155"/>
        <v>0.61283699999999997</v>
      </c>
      <c r="Q239" s="2086">
        <f>'HVAC Deemed Table'!I1536</f>
        <v>2.197972</v>
      </c>
      <c r="R239" s="2086">
        <f>'HVAC Deemed Table'!I1537</f>
        <v>0</v>
      </c>
      <c r="S239" s="2086">
        <f>'HVAC Deemed Table'!I1538</f>
        <v>0.61283699999999997</v>
      </c>
      <c r="T239" s="2086">
        <f>'HVAC Deemed Table'!I1539</f>
        <v>0</v>
      </c>
      <c r="U239" s="2087"/>
      <c r="V239" s="2087"/>
      <c r="W239" s="2095">
        <f>P239</f>
        <v>0.61283699999999997</v>
      </c>
      <c r="X239" s="2121">
        <f>'HVAC Deemed Table'!J1536</f>
        <v>6</v>
      </c>
      <c r="Y239" s="2121">
        <f>'HVAC Deemed Table'!J1538</f>
        <v>12</v>
      </c>
      <c r="Z239" s="88">
        <f t="shared" si="127"/>
        <v>18</v>
      </c>
      <c r="AA239" s="637">
        <f>'HVAC Deemed Table'!BB1536</f>
        <v>1.5244758862894483</v>
      </c>
      <c r="AB239" s="2917">
        <f>'HVAC Deemed Table'!K1536</f>
        <v>1992.1449598081149</v>
      </c>
      <c r="AC239" s="2090">
        <f t="shared" si="133"/>
        <v>1809.3180315367476</v>
      </c>
      <c r="AD239" s="2090">
        <f t="shared" si="134"/>
        <v>1057.1066529564409</v>
      </c>
      <c r="AE239" s="2956">
        <f>'HVAC Deemed Table'!BD1536</f>
        <v>1349.0199986426996</v>
      </c>
      <c r="AF239" s="2956">
        <f>'HVAC Deemed Table'!BD1537</f>
        <v>460.29803289404794</v>
      </c>
      <c r="AG239" s="2956">
        <f>'HVAC Deemed Table'!BD1538</f>
        <v>764.78596460809968</v>
      </c>
      <c r="AH239" s="2956">
        <f>'HVAC Deemed Table'!BD1539</f>
        <v>292.32068834834126</v>
      </c>
      <c r="AI239" s="2263" t="str">
        <f t="shared" si="152"/>
        <v>per measure</v>
      </c>
      <c r="AJ239" s="2240">
        <f>'HVAC Deemed Table'!L1536</f>
        <v>3.3</v>
      </c>
      <c r="AK239" s="2055"/>
      <c r="AL239" s="2055"/>
      <c r="AM239" s="2057">
        <f t="shared" si="149"/>
        <v>9.4741810000000004E-4</v>
      </c>
      <c r="AN239" s="132">
        <f t="shared" si="153"/>
        <v>2.197972095276</v>
      </c>
      <c r="AO239" s="2048">
        <f t="shared" si="122"/>
        <v>9.5275999978383652E-8</v>
      </c>
    </row>
    <row r="240" spans="2:42" x14ac:dyDescent="0.25">
      <c r="B240" s="2240" t="str">
        <f>'HVAC Deemed Table'!C1540</f>
        <v>354050_2019_12_</v>
      </c>
      <c r="C240" s="2096" t="str">
        <f>'HVAC Deemed Table'!G1540</f>
        <v>Cooling Res</v>
      </c>
      <c r="D240" s="2096" t="str">
        <f>'HVAC Deemed Table'!G1541</f>
        <v>Heating Res</v>
      </c>
      <c r="E240" s="208"/>
      <c r="F240" s="208"/>
      <c r="G240" s="208" t="str">
        <f>'HVAC Deemed Table'!E1540</f>
        <v>ASHP SEER 19 replace ASHP - replace on fail SF</v>
      </c>
      <c r="H240" s="622" t="str">
        <f>'HVAC Deemed Table'!D1540</f>
        <v>SF</v>
      </c>
      <c r="I240" s="2091">
        <f t="shared" si="150"/>
        <v>1826.37</v>
      </c>
      <c r="J240" s="2091">
        <f t="shared" si="151"/>
        <v>0</v>
      </c>
      <c r="K240" s="2113">
        <f>'HVAC Deemed Table'!F1540</f>
        <v>646.85</v>
      </c>
      <c r="L240" s="2113">
        <f>'HVAC Deemed Table'!F1541</f>
        <v>1179.52</v>
      </c>
      <c r="M240" s="2113"/>
      <c r="N240" s="2113"/>
      <c r="O240" s="2092">
        <f t="shared" si="154"/>
        <v>0.61283699999999997</v>
      </c>
      <c r="P240" s="2092">
        <f t="shared" si="155"/>
        <v>0</v>
      </c>
      <c r="Q240" s="2086">
        <f>'HVAC Deemed Table'!I1540</f>
        <v>0.61283699999999997</v>
      </c>
      <c r="R240" s="2086">
        <f>'HVAC Deemed Table'!I1541</f>
        <v>0</v>
      </c>
      <c r="S240" s="2086"/>
      <c r="T240" s="2086"/>
      <c r="U240" s="2087"/>
      <c r="V240" s="2087"/>
      <c r="W240" s="2087">
        <f>O240</f>
        <v>0.61283699999999997</v>
      </c>
      <c r="X240" s="2121">
        <f>'HVAC Deemed Table'!J1540</f>
        <v>18</v>
      </c>
      <c r="Y240" s="2121"/>
      <c r="Z240" s="88">
        <f t="shared" si="127"/>
        <v>18</v>
      </c>
      <c r="AA240" s="637">
        <f>'HVAC Deemed Table'!BB1540</f>
        <v>1.4839744657958689</v>
      </c>
      <c r="AB240" s="2917">
        <f>'HVAC Deemed Table'!K1540</f>
        <v>1203.6500000000003</v>
      </c>
      <c r="AC240" s="2090">
        <f t="shared" si="133"/>
        <v>1685.8762300662556</v>
      </c>
      <c r="AD240" s="2090">
        <f t="shared" si="134"/>
        <v>0</v>
      </c>
      <c r="AE240" s="2956">
        <f>'HVAC Deemed Table'!BD1540</f>
        <v>1140.918995402609</v>
      </c>
      <c r="AF240" s="2956">
        <f>'HVAC Deemed Table'!BD1541</f>
        <v>544.95723466364666</v>
      </c>
      <c r="AG240" s="2956"/>
      <c r="AH240" s="2956"/>
      <c r="AI240" s="2263" t="str">
        <f t="shared" si="152"/>
        <v>per measure</v>
      </c>
      <c r="AJ240" s="2240">
        <f>'HVAC Deemed Table'!L1540</f>
        <v>3.3</v>
      </c>
      <c r="AK240" s="2055"/>
      <c r="AL240" s="2055"/>
      <c r="AM240" s="2057">
        <f t="shared" si="149"/>
        <v>9.4741810000000004E-4</v>
      </c>
      <c r="AN240" s="132">
        <f t="shared" si="153"/>
        <v>0.61283739798500003</v>
      </c>
      <c r="AO240" s="2048">
        <f t="shared" si="122"/>
        <v>3.9798500006682502E-7</v>
      </c>
    </row>
    <row r="241" spans="2:42" x14ac:dyDescent="0.25">
      <c r="B241" s="2240" t="str">
        <f>'HVAC Deemed Table'!C1542</f>
        <v>354100_2019_12_</v>
      </c>
      <c r="C241" s="2096" t="str">
        <f>'HVAC Deemed Table'!G1542</f>
        <v>Cooling Res</v>
      </c>
      <c r="D241" s="2096" t="str">
        <f>'HVAC Deemed Table'!G1543</f>
        <v>Heating Res</v>
      </c>
      <c r="E241" s="2096" t="str">
        <f>'HVAC Deemed Table'!G1544</f>
        <v>Cooling Res ER2</v>
      </c>
      <c r="F241" s="2096" t="str">
        <f>'HVAC Deemed Table'!G1545</f>
        <v>Heating Res ER2</v>
      </c>
      <c r="G241" s="208" t="str">
        <f>'HVAC Deemed Table'!E1542</f>
        <v>ASHP - SEER 17 - replace electric furnace / CAC - early replacement SF ER1</v>
      </c>
      <c r="H241" s="622" t="str">
        <f>'HVAC Deemed Table'!D1542</f>
        <v>SF</v>
      </c>
      <c r="I241" s="2091">
        <f t="shared" ref="I241:I256" si="156">K241+L241</f>
        <v>12378.85</v>
      </c>
      <c r="J241" s="2091">
        <f t="shared" ref="J241:J256" si="157">M241+N241</f>
        <v>10984.76</v>
      </c>
      <c r="K241" s="2113">
        <f>'HVAC Deemed Table'!F1542</f>
        <v>1979.19</v>
      </c>
      <c r="L241" s="2113">
        <f>'HVAC Deemed Table'!F1543</f>
        <v>10399.66</v>
      </c>
      <c r="M241" s="2113">
        <f>'HVAC Deemed Table'!F1544</f>
        <v>585.1</v>
      </c>
      <c r="N241" s="2113">
        <f>'HVAC Deemed Table'!F1545</f>
        <v>10399.66</v>
      </c>
      <c r="O241" s="2092">
        <f t="shared" si="154"/>
        <v>1.8751199999999999</v>
      </c>
      <c r="P241" s="2092">
        <f t="shared" si="155"/>
        <v>0.55433399999999999</v>
      </c>
      <c r="Q241" s="2086">
        <f>'HVAC Deemed Table'!I1542</f>
        <v>1.8751199999999999</v>
      </c>
      <c r="R241" s="2086">
        <f>'HVAC Deemed Table'!I1543</f>
        <v>0</v>
      </c>
      <c r="S241" s="2086">
        <f>'HVAC Deemed Table'!I1544</f>
        <v>0.55433399999999999</v>
      </c>
      <c r="T241" s="2086">
        <f>'HVAC Deemed Table'!I1545</f>
        <v>0</v>
      </c>
      <c r="U241" s="2087"/>
      <c r="V241" s="2087"/>
      <c r="W241" s="2095">
        <f t="shared" ref="W241:W256" si="158">P241</f>
        <v>0.55433399999999999</v>
      </c>
      <c r="X241" s="2121">
        <f>'HVAC Deemed Table'!J1542</f>
        <v>6</v>
      </c>
      <c r="Y241" s="2121">
        <f>'HVAC Deemed Table'!J1544</f>
        <v>12</v>
      </c>
      <c r="Z241" s="88">
        <f t="shared" si="127"/>
        <v>18</v>
      </c>
      <c r="AA241" s="637">
        <f>'HVAC Deemed Table'!BB1542</f>
        <v>4.8084547055912488</v>
      </c>
      <c r="AB241" s="2917">
        <f>'HVAC Deemed Table'!K1542</f>
        <v>1464.7073864864105</v>
      </c>
      <c r="AC241" s="2090">
        <f t="shared" si="133"/>
        <v>2880.6795309207109</v>
      </c>
      <c r="AD241" s="2090">
        <f t="shared" si="134"/>
        <v>3766.775990424112</v>
      </c>
      <c r="AE241" s="2956">
        <f>'HVAC Deemed Table'!BD1542</f>
        <v>1150.8676404393373</v>
      </c>
      <c r="AF241" s="2956">
        <f>'HVAC Deemed Table'!BD1543</f>
        <v>1729.8118904813734</v>
      </c>
      <c r="AG241" s="2956">
        <f>'HVAC Deemed Table'!BD1544</f>
        <v>691.77748765896126</v>
      </c>
      <c r="AH241" s="2956">
        <f>'HVAC Deemed Table'!BD1545</f>
        <v>3074.9985027651505</v>
      </c>
      <c r="AI241" s="2263" t="str">
        <f t="shared" si="152"/>
        <v>per measure</v>
      </c>
      <c r="AJ241" s="2240">
        <f>'HVAC Deemed Table'!L1542</f>
        <v>3.1</v>
      </c>
      <c r="AK241" s="2055"/>
      <c r="AL241" s="2055"/>
      <c r="AM241" s="2057">
        <f t="shared" si="149"/>
        <v>9.4741810000000004E-4</v>
      </c>
      <c r="AN241" s="132">
        <f t="shared" si="153"/>
        <v>1.875120429339</v>
      </c>
      <c r="AO241" s="2048">
        <f t="shared" si="122"/>
        <v>4.2933900012975812E-7</v>
      </c>
    </row>
    <row r="242" spans="2:42" x14ac:dyDescent="0.25">
      <c r="B242" s="2240" t="str">
        <f>'HVAC Deemed Table'!C1546</f>
        <v>354150_2019_12_</v>
      </c>
      <c r="C242" s="2096" t="str">
        <f>'HVAC Deemed Table'!G1546</f>
        <v>Cooling Res</v>
      </c>
      <c r="D242" s="2096" t="str">
        <f>'HVAC Deemed Table'!G1547</f>
        <v>Heating Res</v>
      </c>
      <c r="E242" s="2096" t="str">
        <f>'HVAC Deemed Table'!G1548</f>
        <v>Cooling Res ER2</v>
      </c>
      <c r="F242" s="2096" t="str">
        <f>'HVAC Deemed Table'!G1549</f>
        <v>Heating Res ER2</v>
      </c>
      <c r="G242" s="208" t="str">
        <f>'HVAC Deemed Table'!E1546</f>
        <v>ASHP - SEER 17 - replace electric furnace / CAC - early replacement MF ER1</v>
      </c>
      <c r="H242" s="622" t="str">
        <f>'HVAC Deemed Table'!D1546</f>
        <v>MF</v>
      </c>
      <c r="I242" s="2091">
        <f t="shared" si="156"/>
        <v>8046.25</v>
      </c>
      <c r="J242" s="2091">
        <f t="shared" si="157"/>
        <v>7140.0999999999995</v>
      </c>
      <c r="K242" s="2113">
        <f>'HVAC Deemed Table'!F1546</f>
        <v>1286.47</v>
      </c>
      <c r="L242" s="2113">
        <f>'HVAC Deemed Table'!F1547</f>
        <v>6759.78</v>
      </c>
      <c r="M242" s="2113">
        <f>'HVAC Deemed Table'!F1548</f>
        <v>380.32</v>
      </c>
      <c r="N242" s="2113">
        <f>'HVAC Deemed Table'!F1549</f>
        <v>6759.78</v>
      </c>
      <c r="O242" s="2092">
        <f t="shared" si="154"/>
        <v>1.218825</v>
      </c>
      <c r="P242" s="2092">
        <f t="shared" si="155"/>
        <v>0.36032199999999998</v>
      </c>
      <c r="Q242" s="2086">
        <f>'HVAC Deemed Table'!I1546</f>
        <v>1.218825</v>
      </c>
      <c r="R242" s="2086">
        <f>'HVAC Deemed Table'!I1547</f>
        <v>0</v>
      </c>
      <c r="S242" s="2086">
        <f>'HVAC Deemed Table'!I1548</f>
        <v>0.36032199999999998</v>
      </c>
      <c r="T242" s="2086">
        <f>'HVAC Deemed Table'!I1549</f>
        <v>0</v>
      </c>
      <c r="U242" s="2087"/>
      <c r="V242" s="2087"/>
      <c r="W242" s="2095">
        <f t="shared" si="158"/>
        <v>0.36032199999999998</v>
      </c>
      <c r="X242" s="2121">
        <f>'HVAC Deemed Table'!J1546</f>
        <v>6</v>
      </c>
      <c r="Y242" s="2121">
        <f>'HVAC Deemed Table'!J1548</f>
        <v>12</v>
      </c>
      <c r="Z242" s="88">
        <f t="shared" si="127"/>
        <v>18</v>
      </c>
      <c r="AA242" s="637">
        <f>'HVAC Deemed Table'!BB1546</f>
        <v>3.79767207759211</v>
      </c>
      <c r="AB242" s="2917">
        <f>'HVAC Deemed Table'!K1546</f>
        <v>1205.4598012161669</v>
      </c>
      <c r="AC242" s="2090">
        <f t="shared" si="133"/>
        <v>1872.4398262373959</v>
      </c>
      <c r="AD242" s="2090">
        <f t="shared" si="134"/>
        <v>2448.4106010758387</v>
      </c>
      <c r="AE242" s="2956">
        <f>'HVAC Deemed Table'!BD1546</f>
        <v>748.061931090999</v>
      </c>
      <c r="AF242" s="2956">
        <f>'HVAC Deemed Table'!BD1547</f>
        <v>1124.3778951463969</v>
      </c>
      <c r="AG242" s="2956">
        <f>'HVAC Deemed Table'!BD1548</f>
        <v>449.66127859589153</v>
      </c>
      <c r="AH242" s="2956">
        <f>'HVAC Deemed Table'!BD1549</f>
        <v>1998.7493224799473</v>
      </c>
      <c r="AI242" s="2263" t="str">
        <f t="shared" si="152"/>
        <v>per measure</v>
      </c>
      <c r="AJ242" s="2240">
        <f>'HVAC Deemed Table'!L1546</f>
        <v>3.1</v>
      </c>
      <c r="AK242" s="2055"/>
      <c r="AL242" s="2055"/>
      <c r="AM242" s="2057">
        <f t="shared" si="149"/>
        <v>9.4741810000000004E-4</v>
      </c>
      <c r="AN242" s="132">
        <f t="shared" si="153"/>
        <v>1.2188249631070001</v>
      </c>
      <c r="AO242" s="2048">
        <f t="shared" si="122"/>
        <v>-3.6892999988324959E-8</v>
      </c>
    </row>
    <row r="243" spans="2:42" x14ac:dyDescent="0.25">
      <c r="B243" s="2240" t="str">
        <f>'HVAC Deemed Table'!C1550</f>
        <v>354151_2019_12_</v>
      </c>
      <c r="C243" s="2096" t="str">
        <f>'HVAC Deemed Table'!G1550</f>
        <v>Cooling Res</v>
      </c>
      <c r="D243" s="2096" t="str">
        <f>'HVAC Deemed Table'!G1551</f>
        <v>Heating Res</v>
      </c>
      <c r="E243" s="2096" t="str">
        <f>'HVAC Deemed Table'!G1552</f>
        <v>Cooling Res ER2</v>
      </c>
      <c r="F243" s="2096" t="str">
        <f>'HVAC Deemed Table'!G1553</f>
        <v>Heating Res ER2</v>
      </c>
      <c r="G243" s="208" t="str">
        <f>'HVAC Deemed Table'!E1550</f>
        <v>ASHP - SEER 17 - replace electric furnace / CAC - early replacement MF ER1_CompE</v>
      </c>
      <c r="H243" s="622" t="str">
        <f>'HVAC Deemed Table'!D1550</f>
        <v>MFc</v>
      </c>
      <c r="I243" s="2091">
        <f t="shared" si="156"/>
        <v>3240.0899999999997</v>
      </c>
      <c r="J243" s="2091">
        <f t="shared" si="157"/>
        <v>2581.06</v>
      </c>
      <c r="K243" s="2113">
        <f>'HVAC Deemed Table'!F1550</f>
        <v>935.62</v>
      </c>
      <c r="L243" s="2113">
        <f>'HVAC Deemed Table'!F1551</f>
        <v>2304.4699999999998</v>
      </c>
      <c r="M243" s="2113">
        <f>'HVAC Deemed Table'!F1552</f>
        <v>276.58999999999997</v>
      </c>
      <c r="N243" s="2113">
        <f>'HVAC Deemed Table'!F1553</f>
        <v>2304.4699999999998</v>
      </c>
      <c r="O243" s="2092">
        <f t="shared" si="154"/>
        <v>0.88642299999999996</v>
      </c>
      <c r="P243" s="2092">
        <f t="shared" si="155"/>
        <v>0.262046</v>
      </c>
      <c r="Q243" s="2086">
        <f>'HVAC Deemed Table'!I1550</f>
        <v>0.88642299999999996</v>
      </c>
      <c r="R243" s="2086">
        <f>'HVAC Deemed Table'!I1551</f>
        <v>0</v>
      </c>
      <c r="S243" s="2086">
        <f>'HVAC Deemed Table'!I1552</f>
        <v>0.262046</v>
      </c>
      <c r="T243" s="2086">
        <f>'HVAC Deemed Table'!I1553</f>
        <v>0</v>
      </c>
      <c r="U243" s="2087"/>
      <c r="V243" s="2087"/>
      <c r="W243" s="2095">
        <f t="shared" si="158"/>
        <v>0.262046</v>
      </c>
      <c r="X243" s="2121">
        <f>'HVAC Deemed Table'!J1550</f>
        <v>6</v>
      </c>
      <c r="Y243" s="2121">
        <f>'HVAC Deemed Table'!J1552</f>
        <v>12</v>
      </c>
      <c r="Z243" s="88">
        <f t="shared" si="127"/>
        <v>18</v>
      </c>
      <c r="AA243" s="637">
        <f>'HVAC Deemed Table'!BB1550</f>
        <v>1.7013819924277789</v>
      </c>
      <c r="AB243" s="2917">
        <f>'HVAC Deemed Table'!K1550</f>
        <v>1205.4598012161669</v>
      </c>
      <c r="AC243" s="2090">
        <f t="shared" si="133"/>
        <v>927.35878299174874</v>
      </c>
      <c r="AD243" s="2090">
        <f t="shared" si="134"/>
        <v>1008.4105406370911</v>
      </c>
      <c r="AE243" s="2956">
        <f>'HVAC Deemed Table'!BD1550</f>
        <v>544.04821252525164</v>
      </c>
      <c r="AF243" s="2956">
        <f>'HVAC Deemed Table'!BD1551</f>
        <v>383.31057046649704</v>
      </c>
      <c r="AG243" s="2956">
        <f>'HVAC Deemed Table'!BD1552</f>
        <v>327.01886055647253</v>
      </c>
      <c r="AH243" s="2956">
        <f>'HVAC Deemed Table'!BD1553</f>
        <v>681.39168008061858</v>
      </c>
      <c r="AI243" s="2263" t="str">
        <f t="shared" si="152"/>
        <v>per measure</v>
      </c>
      <c r="AJ243" s="2240">
        <f>'HVAC Deemed Table'!L1550</f>
        <v>3.1</v>
      </c>
      <c r="AK243" s="2055"/>
      <c r="AL243" s="2055"/>
      <c r="AM243" s="2057">
        <f t="shared" si="149"/>
        <v>9.4741810000000004E-4</v>
      </c>
      <c r="AN243" s="132">
        <f t="shared" si="153"/>
        <v>0.88642332272200008</v>
      </c>
      <c r="AO243" s="2053">
        <f t="shared" si="122"/>
        <v>3.227220001233988E-7</v>
      </c>
      <c r="AP243" s="211">
        <f>AO243/O243</f>
        <v>3.6407223201947472E-7</v>
      </c>
    </row>
    <row r="244" spans="2:42" x14ac:dyDescent="0.25">
      <c r="B244" s="2240" t="str">
        <f>'HVAC Deemed Table'!C1554</f>
        <v>354200_2019_12_</v>
      </c>
      <c r="C244" s="2096" t="str">
        <f>'HVAC Deemed Table'!G1554</f>
        <v>Cooling Res</v>
      </c>
      <c r="D244" s="2096" t="str">
        <f>'HVAC Deemed Table'!G1555</f>
        <v>Heating Res</v>
      </c>
      <c r="E244" s="2096" t="str">
        <f>'HVAC Deemed Table'!G1556</f>
        <v>Cooling Res ER2</v>
      </c>
      <c r="F244" s="2096" t="str">
        <f>'HVAC Deemed Table'!G1557</f>
        <v>Heating Res ER2</v>
      </c>
      <c r="G244" s="208" t="str">
        <f>'HVAC Deemed Table'!E1554</f>
        <v>ASHP SEER 17 replace ASHP - early replacement MF ER1</v>
      </c>
      <c r="H244" s="622" t="str">
        <f>'HVAC Deemed Table'!D1554</f>
        <v>MF</v>
      </c>
      <c r="I244" s="2091">
        <f t="shared" si="156"/>
        <v>3168.23</v>
      </c>
      <c r="J244" s="2091">
        <f t="shared" si="157"/>
        <v>924.56</v>
      </c>
      <c r="K244" s="2113">
        <f>'HVAC Deemed Table'!F1554</f>
        <v>1369.47</v>
      </c>
      <c r="L244" s="2113">
        <f>'HVAC Deemed Table'!F1555</f>
        <v>1798.76</v>
      </c>
      <c r="M244" s="2113">
        <f>'HVAC Deemed Table'!F1556</f>
        <v>281.95</v>
      </c>
      <c r="N244" s="2113">
        <f>'HVAC Deemed Table'!F1557</f>
        <v>642.61</v>
      </c>
      <c r="O244" s="2092">
        <f t="shared" si="154"/>
        <v>1.297461</v>
      </c>
      <c r="P244" s="2092">
        <f t="shared" si="155"/>
        <v>0.267125</v>
      </c>
      <c r="Q244" s="2086">
        <f>'HVAC Deemed Table'!I1554</f>
        <v>1.297461</v>
      </c>
      <c r="R244" s="2086">
        <f>'HVAC Deemed Table'!I1555</f>
        <v>0</v>
      </c>
      <c r="S244" s="2086">
        <f>'HVAC Deemed Table'!I1556</f>
        <v>0.267125</v>
      </c>
      <c r="T244" s="2086">
        <f>'HVAC Deemed Table'!I1557</f>
        <v>0</v>
      </c>
      <c r="U244" s="2087"/>
      <c r="V244" s="2087"/>
      <c r="W244" s="2095">
        <f t="shared" si="158"/>
        <v>0.267125</v>
      </c>
      <c r="X244" s="2121">
        <f>'HVAC Deemed Table'!J1554</f>
        <v>6</v>
      </c>
      <c r="Y244" s="2121">
        <f>'HVAC Deemed Table'!J1556</f>
        <v>12</v>
      </c>
      <c r="Z244" s="88">
        <f t="shared" si="127"/>
        <v>18</v>
      </c>
      <c r="AA244" s="637">
        <f>'HVAC Deemed Table'!BB1554</f>
        <v>1.3871227963822939</v>
      </c>
      <c r="AB244" s="2917">
        <f>'HVAC Deemed Table'!K1554</f>
        <v>1236.5217238752739</v>
      </c>
      <c r="AC244" s="2090">
        <f t="shared" si="133"/>
        <v>1095.5191706627443</v>
      </c>
      <c r="AD244" s="2090">
        <f t="shared" si="134"/>
        <v>523.36470985573067</v>
      </c>
      <c r="AE244" s="2956">
        <f>'HVAC Deemed Table'!BD1554</f>
        <v>796.32511661460455</v>
      </c>
      <c r="AF244" s="2956">
        <f>'HVAC Deemed Table'!BD1555</f>
        <v>299.19405404813961</v>
      </c>
      <c r="AG244" s="2956">
        <f>'HVAC Deemed Table'!BD1556</f>
        <v>333.35611458800912</v>
      </c>
      <c r="AH244" s="2956">
        <f>'HVAC Deemed Table'!BD1557</f>
        <v>190.00859526772157</v>
      </c>
      <c r="AI244" s="2263" t="str">
        <f t="shared" si="152"/>
        <v>per measure</v>
      </c>
      <c r="AJ244" s="2240">
        <f>'HVAC Deemed Table'!L1554</f>
        <v>3.3</v>
      </c>
      <c r="AK244" s="2055"/>
      <c r="AL244" s="2055"/>
      <c r="AM244" s="2057">
        <f t="shared" si="149"/>
        <v>9.4741810000000004E-4</v>
      </c>
      <c r="AN244" s="132">
        <f t="shared" si="153"/>
        <v>1.297460665407</v>
      </c>
      <c r="AO244" s="2048">
        <f t="shared" si="122"/>
        <v>-3.3459299997318226E-7</v>
      </c>
    </row>
    <row r="245" spans="2:42" x14ac:dyDescent="0.25">
      <c r="B245" s="2240" t="str">
        <f>'HVAC Deemed Table'!C1558</f>
        <v>354201_2019_12_</v>
      </c>
      <c r="C245" s="2096" t="str">
        <f>'HVAC Deemed Table'!G1558</f>
        <v>Cooling Res</v>
      </c>
      <c r="D245" s="2096" t="str">
        <f>'HVAC Deemed Table'!G1559</f>
        <v>Heating Res</v>
      </c>
      <c r="E245" s="2096" t="str">
        <f>'HVAC Deemed Table'!G1560</f>
        <v>Cooling Res ER2</v>
      </c>
      <c r="F245" s="2096" t="str">
        <f>'HVAC Deemed Table'!G1561</f>
        <v>Heating Res ER2</v>
      </c>
      <c r="G245" s="208" t="str">
        <f>'HVAC Deemed Table'!E1558</f>
        <v>ASHP SEER 17 replace ASHP - early replacement MF ER1_CompE</v>
      </c>
      <c r="H245" s="622" t="str">
        <f>'HVAC Deemed Table'!D1558</f>
        <v>MFc</v>
      </c>
      <c r="I245" s="2091">
        <f t="shared" si="156"/>
        <v>1609.19</v>
      </c>
      <c r="J245" s="2091">
        <f t="shared" si="157"/>
        <v>424.12</v>
      </c>
      <c r="K245" s="2113">
        <f>'HVAC Deemed Table'!F1558</f>
        <v>995.98</v>
      </c>
      <c r="L245" s="2113">
        <f>'HVAC Deemed Table'!F1559</f>
        <v>613.21</v>
      </c>
      <c r="M245" s="2113">
        <f>'HVAC Deemed Table'!F1560</f>
        <v>205.05</v>
      </c>
      <c r="N245" s="2113">
        <f>'HVAC Deemed Table'!F1561</f>
        <v>219.07</v>
      </c>
      <c r="O245" s="2092">
        <f t="shared" si="154"/>
        <v>0.94360900000000003</v>
      </c>
      <c r="P245" s="2092">
        <f t="shared" si="155"/>
        <v>0.194268</v>
      </c>
      <c r="Q245" s="2086">
        <f>'HVAC Deemed Table'!I1558</f>
        <v>0.94360900000000003</v>
      </c>
      <c r="R245" s="2086">
        <f>'HVAC Deemed Table'!I1559</f>
        <v>0</v>
      </c>
      <c r="S245" s="2086">
        <f>'HVAC Deemed Table'!I1560</f>
        <v>0.194268</v>
      </c>
      <c r="T245" s="2086">
        <f>'HVAC Deemed Table'!I1561</f>
        <v>0</v>
      </c>
      <c r="U245" s="2087"/>
      <c r="V245" s="2087"/>
      <c r="W245" s="2095">
        <f t="shared" si="158"/>
        <v>0.194268</v>
      </c>
      <c r="X245" s="2121">
        <f>'HVAC Deemed Table'!J1558</f>
        <v>6</v>
      </c>
      <c r="Y245" s="2121">
        <f>'HVAC Deemed Table'!J1560</f>
        <v>12</v>
      </c>
      <c r="Z245" s="88">
        <f t="shared" si="127"/>
        <v>18</v>
      </c>
      <c r="AA245" s="637">
        <f>'HVAC Deemed Table'!BB1558</f>
        <v>0.84686072713994065</v>
      </c>
      <c r="AB245" s="2917">
        <f>'HVAC Deemed Table'!K1558</f>
        <v>1236.5217238752739</v>
      </c>
      <c r="AC245" s="2090">
        <f t="shared" si="133"/>
        <v>681.14396472185911</v>
      </c>
      <c r="AD245" s="2090">
        <f t="shared" si="134"/>
        <v>307.21062348517</v>
      </c>
      <c r="AE245" s="2956">
        <f>'HVAC Deemed Table'!BD1558</f>
        <v>579.14659660000871</v>
      </c>
      <c r="AF245" s="2956">
        <f>'HVAC Deemed Table'!BD1559</f>
        <v>101.99736812185043</v>
      </c>
      <c r="AG245" s="2956">
        <f>'HVAC Deemed Table'!BD1560</f>
        <v>242.43543641167324</v>
      </c>
      <c r="AH245" s="2956">
        <f>'HVAC Deemed Table'!BD1561</f>
        <v>64.775187073496781</v>
      </c>
      <c r="AI245" s="2263" t="str">
        <f t="shared" si="152"/>
        <v>per measure</v>
      </c>
      <c r="AJ245" s="2240">
        <f>'HVAC Deemed Table'!L1558</f>
        <v>3.3</v>
      </c>
      <c r="AK245" s="2055"/>
      <c r="AL245" s="2055"/>
      <c r="AM245" s="2057">
        <f t="shared" si="149"/>
        <v>9.4741810000000004E-4</v>
      </c>
      <c r="AN245" s="132">
        <f t="shared" si="153"/>
        <v>0.94360947923800009</v>
      </c>
      <c r="AO245" s="2053">
        <f t="shared" si="122"/>
        <v>4.7923800006177686E-7</v>
      </c>
      <c r="AP245" s="211">
        <f>AO245/O245</f>
        <v>5.0787773332151015E-7</v>
      </c>
    </row>
    <row r="246" spans="2:42" x14ac:dyDescent="0.25">
      <c r="B246" s="2240" t="str">
        <f>'HVAC Deemed Table'!C1562</f>
        <v>354250_2019_12_</v>
      </c>
      <c r="C246" s="2096" t="str">
        <f>'HVAC Deemed Table'!G1562</f>
        <v>Cooling Res</v>
      </c>
      <c r="D246" s="2096" t="str">
        <f>'HVAC Deemed Table'!G1563</f>
        <v>Heating Res</v>
      </c>
      <c r="E246" s="2096" t="str">
        <f>'HVAC Deemed Table'!G1564</f>
        <v>Cooling Res ER2</v>
      </c>
      <c r="F246" s="2096" t="str">
        <f>'HVAC Deemed Table'!G1565</f>
        <v>Heating Res ER2</v>
      </c>
      <c r="G246" s="208" t="str">
        <f>'HVAC Deemed Table'!E1562</f>
        <v>ASHP - SEER 18 - replace electric furnace / CAC - early replacement SF ER1</v>
      </c>
      <c r="H246" s="622" t="str">
        <f>'HVAC Deemed Table'!D1562</f>
        <v>SF</v>
      </c>
      <c r="I246" s="2091">
        <f t="shared" si="156"/>
        <v>14483.560000000001</v>
      </c>
      <c r="J246" s="2091">
        <f t="shared" si="157"/>
        <v>12597.09</v>
      </c>
      <c r="K246" s="2113">
        <f>'HVAC Deemed Table'!F1562</f>
        <v>2709.13</v>
      </c>
      <c r="L246" s="2113">
        <f>'HVAC Deemed Table'!F1563</f>
        <v>11774.43</v>
      </c>
      <c r="M246" s="2113">
        <f>'HVAC Deemed Table'!F1564</f>
        <v>822.66</v>
      </c>
      <c r="N246" s="2113">
        <f>'HVAC Deemed Table'!F1565</f>
        <v>11774.43</v>
      </c>
      <c r="O246" s="2092">
        <f t="shared" si="154"/>
        <v>2.5666790000000002</v>
      </c>
      <c r="P246" s="2092">
        <f t="shared" si="155"/>
        <v>0.77940299999999996</v>
      </c>
      <c r="Q246" s="2086">
        <f>'HVAC Deemed Table'!I1562</f>
        <v>2.5666790000000002</v>
      </c>
      <c r="R246" s="2086">
        <f>'HVAC Deemed Table'!I1563</f>
        <v>0</v>
      </c>
      <c r="S246" s="2086">
        <f>'HVAC Deemed Table'!I1564</f>
        <v>0.77940299999999996</v>
      </c>
      <c r="T246" s="2086">
        <f>'HVAC Deemed Table'!I1565</f>
        <v>0</v>
      </c>
      <c r="U246" s="2087"/>
      <c r="V246" s="2087"/>
      <c r="W246" s="2095">
        <f t="shared" si="158"/>
        <v>0.77940299999999996</v>
      </c>
      <c r="X246" s="2121">
        <f>'HVAC Deemed Table'!J1562</f>
        <v>6</v>
      </c>
      <c r="Y246" s="2121">
        <f>'HVAC Deemed Table'!J1564</f>
        <v>12</v>
      </c>
      <c r="Z246" s="88">
        <f t="shared" si="127"/>
        <v>18</v>
      </c>
      <c r="AA246" s="637">
        <f>'HVAC Deemed Table'!BB1562</f>
        <v>4.7583516155183521</v>
      </c>
      <c r="AB246" s="2917">
        <f>'HVAC Deemed Table'!K1562</f>
        <v>1778.604441180808</v>
      </c>
      <c r="AC246" s="2090">
        <f t="shared" si="133"/>
        <v>3533.7983924080113</v>
      </c>
      <c r="AD246" s="2090">
        <f t="shared" si="134"/>
        <v>4454.144331575766</v>
      </c>
      <c r="AE246" s="2956">
        <f>'HVAC Deemed Table'!BD1562</f>
        <v>1575.3161903321165</v>
      </c>
      <c r="AF246" s="2956">
        <f>'HVAC Deemed Table'!BD1563</f>
        <v>1958.4822020758947</v>
      </c>
      <c r="AG246" s="2956">
        <f>'HVAC Deemed Table'!BD1564</f>
        <v>972.65026148952495</v>
      </c>
      <c r="AH246" s="2956">
        <f>'HVAC Deemed Table'!BD1565</f>
        <v>3481.4940700862408</v>
      </c>
      <c r="AI246" s="2263" t="str">
        <f t="shared" si="152"/>
        <v>per measure</v>
      </c>
      <c r="AJ246" s="2240">
        <f>'HVAC Deemed Table'!L1562</f>
        <v>3.4137931034482758</v>
      </c>
      <c r="AK246" s="2055"/>
      <c r="AL246" s="2055"/>
      <c r="AM246" s="2057">
        <f t="shared" si="149"/>
        <v>9.4741810000000004E-4</v>
      </c>
      <c r="AN246" s="132">
        <f t="shared" si="153"/>
        <v>2.5666787972530001</v>
      </c>
      <c r="AO246" s="2048">
        <f t="shared" si="122"/>
        <v>-2.0274700007760771E-7</v>
      </c>
    </row>
    <row r="247" spans="2:42" x14ac:dyDescent="0.25">
      <c r="B247" s="2240" t="str">
        <f>'HVAC Deemed Table'!C1566</f>
        <v>354300_2019_12_</v>
      </c>
      <c r="C247" s="2096" t="str">
        <f>'HVAC Deemed Table'!G1566</f>
        <v>Cooling Res</v>
      </c>
      <c r="D247" s="2096" t="str">
        <f>'HVAC Deemed Table'!G1567</f>
        <v>Heating Res</v>
      </c>
      <c r="E247" s="2096" t="str">
        <f>'HVAC Deemed Table'!G1568</f>
        <v>Cooling Res ER2</v>
      </c>
      <c r="F247" s="2096" t="str">
        <f>'HVAC Deemed Table'!G1569</f>
        <v>Heating Res ER2</v>
      </c>
      <c r="G247" s="208" t="str">
        <f>'HVAC Deemed Table'!E1566</f>
        <v>ASHP - SEER 18 - replace electric furnace / CAC - early replacement MF ER1</v>
      </c>
      <c r="H247" s="622" t="str">
        <f>'HVAC Deemed Table'!D1566</f>
        <v>MF</v>
      </c>
      <c r="I247" s="2091">
        <f t="shared" si="156"/>
        <v>11658.88</v>
      </c>
      <c r="J247" s="2091">
        <f t="shared" si="157"/>
        <v>9599.5499999999993</v>
      </c>
      <c r="K247" s="2113">
        <f>'HVAC Deemed Table'!F1566</f>
        <v>2638.66</v>
      </c>
      <c r="L247" s="2113">
        <f>'HVAC Deemed Table'!F1567</f>
        <v>9020.2199999999993</v>
      </c>
      <c r="M247" s="2113">
        <f>'HVAC Deemed Table'!F1568</f>
        <v>579.33000000000004</v>
      </c>
      <c r="N247" s="2113">
        <f>'HVAC Deemed Table'!F1569</f>
        <v>9020.2199999999993</v>
      </c>
      <c r="O247" s="2092">
        <f t="shared" si="154"/>
        <v>2.499914</v>
      </c>
      <c r="P247" s="2092">
        <f t="shared" si="155"/>
        <v>0.54886800000000002</v>
      </c>
      <c r="Q247" s="2086">
        <f>'HVAC Deemed Table'!I1566</f>
        <v>2.499914</v>
      </c>
      <c r="R247" s="2086">
        <f>'HVAC Deemed Table'!I1567</f>
        <v>0</v>
      </c>
      <c r="S247" s="2086">
        <f>'HVAC Deemed Table'!I1568</f>
        <v>0.54886800000000002</v>
      </c>
      <c r="T247" s="2086">
        <f>'HVAC Deemed Table'!I1569</f>
        <v>0</v>
      </c>
      <c r="U247" s="2087"/>
      <c r="V247" s="2087"/>
      <c r="W247" s="2095">
        <f t="shared" si="158"/>
        <v>0.54886800000000002</v>
      </c>
      <c r="X247" s="2121">
        <f>'HVAC Deemed Table'!J1566</f>
        <v>6</v>
      </c>
      <c r="Y247" s="2121">
        <f>'HVAC Deemed Table'!J1568</f>
        <v>12</v>
      </c>
      <c r="Z247" s="88">
        <f t="shared" si="127"/>
        <v>18</v>
      </c>
      <c r="AA247" s="637">
        <f>'HVAC Deemed Table'!BB1566</f>
        <v>4.2715391633262163</v>
      </c>
      <c r="AB247" s="2917">
        <f>'HVAC Deemed Table'!K1566</f>
        <v>1584.1584531821509</v>
      </c>
      <c r="AC247" s="2090">
        <f t="shared" si="133"/>
        <v>3034.7038027922381</v>
      </c>
      <c r="AD247" s="2090">
        <f t="shared" si="134"/>
        <v>3352.0775786913264</v>
      </c>
      <c r="AE247" s="2956">
        <f>'HVAC Deemed Table'!BD1566</f>
        <v>1534.3390013700864</v>
      </c>
      <c r="AF247" s="2956">
        <f>'HVAC Deemed Table'!BD1567</f>
        <v>1500.3648014221517</v>
      </c>
      <c r="AG247" s="2956">
        <f>'HVAC Deemed Table'!BD1568</f>
        <v>684.95548098695281</v>
      </c>
      <c r="AH247" s="2956">
        <f>'HVAC Deemed Table'!BD1569</f>
        <v>2667.1220977043736</v>
      </c>
      <c r="AI247" s="2263" t="str">
        <f t="shared" si="152"/>
        <v>per measure</v>
      </c>
      <c r="AJ247" s="2240">
        <f>'HVAC Deemed Table'!L1566</f>
        <v>4</v>
      </c>
      <c r="AK247" s="2055"/>
      <c r="AL247" s="2055"/>
      <c r="AM247" s="2057">
        <f t="shared" si="149"/>
        <v>9.4741810000000004E-4</v>
      </c>
      <c r="AN247" s="132">
        <f t="shared" si="153"/>
        <v>2.4999142437459998</v>
      </c>
      <c r="AO247" s="2048">
        <f t="shared" si="122"/>
        <v>2.4374599982834866E-7</v>
      </c>
    </row>
    <row r="248" spans="2:42" x14ac:dyDescent="0.25">
      <c r="B248" s="2240" t="str">
        <f>'HVAC Deemed Table'!C1570</f>
        <v>354301_2019_12_</v>
      </c>
      <c r="C248" s="2096" t="str">
        <f>'HVAC Deemed Table'!G1570</f>
        <v>Cooling Res</v>
      </c>
      <c r="D248" s="2096" t="str">
        <f>'HVAC Deemed Table'!G1571</f>
        <v>Heating Res</v>
      </c>
      <c r="E248" s="2096" t="str">
        <f>'HVAC Deemed Table'!G1572</f>
        <v>Cooling Res ER2</v>
      </c>
      <c r="F248" s="2096" t="str">
        <f>'HVAC Deemed Table'!G1573</f>
        <v>Heating Res ER2</v>
      </c>
      <c r="G248" s="208" t="str">
        <f>'HVAC Deemed Table'!E1570</f>
        <v>ASHP - SEER 18 - replace electric furnace / CAC - early replacement MF ER1_CompE</v>
      </c>
      <c r="H248" s="622" t="str">
        <f>'HVAC Deemed Table'!D1570</f>
        <v>MFc</v>
      </c>
      <c r="I248" s="2091">
        <f t="shared" si="156"/>
        <v>4346.7700000000004</v>
      </c>
      <c r="J248" s="2091">
        <f t="shared" si="157"/>
        <v>3496.41</v>
      </c>
      <c r="K248" s="2113">
        <f>'HVAC Deemed Table'!F1570</f>
        <v>1271.69</v>
      </c>
      <c r="L248" s="2113">
        <f>'HVAC Deemed Table'!F1571</f>
        <v>3075.08</v>
      </c>
      <c r="M248" s="2113">
        <f>'HVAC Deemed Table'!F1572</f>
        <v>421.33</v>
      </c>
      <c r="N248" s="2113">
        <f>'HVAC Deemed Table'!F1573</f>
        <v>3075.08</v>
      </c>
      <c r="O248" s="2092">
        <f t="shared" si="154"/>
        <v>1.2048220000000001</v>
      </c>
      <c r="P248" s="2092">
        <f t="shared" si="155"/>
        <v>0.39917599999999998</v>
      </c>
      <c r="Q248" s="2086">
        <f>'HVAC Deemed Table'!I1570</f>
        <v>1.2048220000000001</v>
      </c>
      <c r="R248" s="2086">
        <f>'HVAC Deemed Table'!I1571</f>
        <v>0</v>
      </c>
      <c r="S248" s="2086">
        <f>'HVAC Deemed Table'!I1572</f>
        <v>0.39917599999999998</v>
      </c>
      <c r="T248" s="2086">
        <f>'HVAC Deemed Table'!I1573</f>
        <v>0</v>
      </c>
      <c r="U248" s="2087"/>
      <c r="V248" s="2087"/>
      <c r="W248" s="2095">
        <f t="shared" si="158"/>
        <v>0.39917599999999998</v>
      </c>
      <c r="X248" s="2121">
        <f>'HVAC Deemed Table'!J1570</f>
        <v>6</v>
      </c>
      <c r="Y248" s="2121">
        <f>'HVAC Deemed Table'!J1572</f>
        <v>12</v>
      </c>
      <c r="Z248" s="88">
        <f t="shared" si="127"/>
        <v>18</v>
      </c>
      <c r="AA248" s="637">
        <f>'HVAC Deemed Table'!BB1570</f>
        <v>1.777930992873062</v>
      </c>
      <c r="AB248" s="2917">
        <f>'HVAC Deemed Table'!K1570</f>
        <v>1584.1584531821509</v>
      </c>
      <c r="AC248" s="2090">
        <f t="shared" si="133"/>
        <v>1250.956427315165</v>
      </c>
      <c r="AD248" s="2090">
        <f t="shared" si="134"/>
        <v>1407.3960139631693</v>
      </c>
      <c r="AE248" s="2956">
        <f>'HVAC Deemed Table'!BD1570</f>
        <v>739.46759516281952</v>
      </c>
      <c r="AF248" s="2956">
        <f>'HVAC Deemed Table'!BD1571</f>
        <v>511.48883215234554</v>
      </c>
      <c r="AG248" s="2956">
        <f>'HVAC Deemed Table'!BD1572</f>
        <v>498.14836587822617</v>
      </c>
      <c r="AH248" s="2956">
        <f>'HVAC Deemed Table'!BD1573</f>
        <v>909.24764808494308</v>
      </c>
      <c r="AI248" s="2263" t="str">
        <f t="shared" si="152"/>
        <v>per measure</v>
      </c>
      <c r="AJ248" s="2240">
        <f>'HVAC Deemed Table'!L1570</f>
        <v>4</v>
      </c>
      <c r="AK248" s="2055"/>
      <c r="AL248" s="2055"/>
      <c r="AM248" s="2057">
        <f t="shared" si="149"/>
        <v>9.4741810000000004E-4</v>
      </c>
      <c r="AN248" s="132">
        <f t="shared" si="153"/>
        <v>1.2048221235890002</v>
      </c>
      <c r="AO248" s="2053">
        <f t="shared" ref="AO248:AO311" si="159">AN248-O248</f>
        <v>1.2358900014497465E-7</v>
      </c>
      <c r="AP248" s="211">
        <f>AO248/O248</f>
        <v>1.0257863829260641E-7</v>
      </c>
    </row>
    <row r="249" spans="2:42" x14ac:dyDescent="0.25">
      <c r="B249" s="2240" t="str">
        <f>'HVAC Deemed Table'!C1574</f>
        <v>354350_2019_12_</v>
      </c>
      <c r="C249" s="2096" t="str">
        <f>'HVAC Deemed Table'!G1574</f>
        <v>Cooling Res</v>
      </c>
      <c r="D249" s="2096" t="str">
        <f>'HVAC Deemed Table'!G1575</f>
        <v>Heating Res</v>
      </c>
      <c r="E249" s="2096" t="str">
        <f>'HVAC Deemed Table'!G1576</f>
        <v>Cooling Res ER2</v>
      </c>
      <c r="F249" s="2096" t="str">
        <f>'HVAC Deemed Table'!G1577</f>
        <v>Heating Res ER2</v>
      </c>
      <c r="G249" s="208" t="str">
        <f>'HVAC Deemed Table'!E1574</f>
        <v>ASHP SEER 18 replace ASHP - early replacement MF ER1</v>
      </c>
      <c r="H249" s="622" t="str">
        <f>'HVAC Deemed Table'!D1574</f>
        <v>MF</v>
      </c>
      <c r="I249" s="2091">
        <f t="shared" si="156"/>
        <v>3241.33</v>
      </c>
      <c r="J249" s="2091">
        <f t="shared" si="157"/>
        <v>997.66000000000008</v>
      </c>
      <c r="K249" s="2113">
        <f>'HVAC Deemed Table'!F1574</f>
        <v>1442.57</v>
      </c>
      <c r="L249" s="2113">
        <f>'HVAC Deemed Table'!F1575</f>
        <v>1798.76</v>
      </c>
      <c r="M249" s="2113">
        <f>'HVAC Deemed Table'!F1576</f>
        <v>355.05</v>
      </c>
      <c r="N249" s="2113">
        <f>'HVAC Deemed Table'!F1577</f>
        <v>642.61</v>
      </c>
      <c r="O249" s="2092">
        <f t="shared" si="154"/>
        <v>1.366717</v>
      </c>
      <c r="P249" s="2092">
        <f t="shared" si="155"/>
        <v>0.33638099999999999</v>
      </c>
      <c r="Q249" s="2086">
        <f>'HVAC Deemed Table'!I1574</f>
        <v>1.366717</v>
      </c>
      <c r="R249" s="2086">
        <f>'HVAC Deemed Table'!I1575</f>
        <v>0</v>
      </c>
      <c r="S249" s="2086">
        <f>'HVAC Deemed Table'!I1576</f>
        <v>0.33638099999999999</v>
      </c>
      <c r="T249" s="2086">
        <f>'HVAC Deemed Table'!I1577</f>
        <v>0</v>
      </c>
      <c r="U249" s="2087"/>
      <c r="V249" s="2087"/>
      <c r="W249" s="2095">
        <f t="shared" si="158"/>
        <v>0.33638099999999999</v>
      </c>
      <c r="X249" s="2121">
        <f>'HVAC Deemed Table'!J1574</f>
        <v>6</v>
      </c>
      <c r="Y249" s="2121">
        <f>'HVAC Deemed Table'!J1576</f>
        <v>12</v>
      </c>
      <c r="Z249" s="88">
        <f t="shared" si="127"/>
        <v>18</v>
      </c>
      <c r="AA249" s="637">
        <f>'HVAC Deemed Table'!BB1574</f>
        <v>1.2550908489826855</v>
      </c>
      <c r="AB249" s="2917">
        <f>'HVAC Deemed Table'!K1574</f>
        <v>1475.441723875274</v>
      </c>
      <c r="AC249" s="2090">
        <f t="shared" si="133"/>
        <v>1138.025662973293</v>
      </c>
      <c r="AD249" s="2090">
        <f t="shared" si="134"/>
        <v>609.79255868135033</v>
      </c>
      <c r="AE249" s="2956">
        <f>'HVAC Deemed Table'!BD1574</f>
        <v>838.83160892515355</v>
      </c>
      <c r="AF249" s="2956">
        <f>'HVAC Deemed Table'!BD1575</f>
        <v>299.19405404813961</v>
      </c>
      <c r="AG249" s="2956">
        <f>'HVAC Deemed Table'!BD1576</f>
        <v>419.78396341362878</v>
      </c>
      <c r="AH249" s="2956">
        <f>'HVAC Deemed Table'!BD1577</f>
        <v>190.00859526772157</v>
      </c>
      <c r="AI249" s="2263" t="str">
        <f t="shared" si="152"/>
        <v>per measure</v>
      </c>
      <c r="AJ249" s="2240">
        <f>'HVAC Deemed Table'!L1574</f>
        <v>3.3</v>
      </c>
      <c r="AK249" s="2055"/>
      <c r="AL249" s="2055"/>
      <c r="AM249" s="2057">
        <f t="shared" si="149"/>
        <v>9.4741810000000004E-4</v>
      </c>
      <c r="AN249" s="132">
        <f t="shared" si="153"/>
        <v>1.366716928517</v>
      </c>
      <c r="AO249" s="2048">
        <f t="shared" si="159"/>
        <v>-7.1482999963734528E-8</v>
      </c>
    </row>
    <row r="250" spans="2:42" x14ac:dyDescent="0.25">
      <c r="B250" s="2240" t="str">
        <f>'HVAC Deemed Table'!C1578</f>
        <v>354351_2019_12_</v>
      </c>
      <c r="C250" s="2096" t="str">
        <f>'HVAC Deemed Table'!G1578</f>
        <v>Cooling Res</v>
      </c>
      <c r="D250" s="2096" t="str">
        <f>'HVAC Deemed Table'!G1579</f>
        <v>Heating Res</v>
      </c>
      <c r="E250" s="2096" t="str">
        <f>'HVAC Deemed Table'!G1580</f>
        <v>Cooling Res ER2</v>
      </c>
      <c r="F250" s="2096" t="str">
        <f>'HVAC Deemed Table'!G1581</f>
        <v>Heating Res ER2</v>
      </c>
      <c r="G250" s="208" t="str">
        <f>'HVAC Deemed Table'!E1578</f>
        <v>ASHP SEER 18 replace ASHP - early replacement MF ER1_CompE</v>
      </c>
      <c r="H250" s="622" t="str">
        <f>'HVAC Deemed Table'!D1578</f>
        <v>MFc</v>
      </c>
      <c r="I250" s="2091">
        <f t="shared" si="156"/>
        <v>1662.3500000000001</v>
      </c>
      <c r="J250" s="2091">
        <f t="shared" si="157"/>
        <v>477.29</v>
      </c>
      <c r="K250" s="2113">
        <f>'HVAC Deemed Table'!F1578</f>
        <v>1049.1400000000001</v>
      </c>
      <c r="L250" s="2113">
        <f>'HVAC Deemed Table'!F1579</f>
        <v>613.21</v>
      </c>
      <c r="M250" s="2113">
        <f>'HVAC Deemed Table'!F1580</f>
        <v>258.22000000000003</v>
      </c>
      <c r="N250" s="2113">
        <f>'HVAC Deemed Table'!F1581</f>
        <v>219.07</v>
      </c>
      <c r="O250" s="2092">
        <f t="shared" si="154"/>
        <v>0.99397400000000002</v>
      </c>
      <c r="P250" s="2092">
        <f t="shared" si="155"/>
        <v>0.244642</v>
      </c>
      <c r="Q250" s="2086">
        <f>'HVAC Deemed Table'!I1578</f>
        <v>0.99397400000000002</v>
      </c>
      <c r="R250" s="2086">
        <f>'HVAC Deemed Table'!I1579</f>
        <v>0</v>
      </c>
      <c r="S250" s="2086">
        <f>'HVAC Deemed Table'!I1580</f>
        <v>0.244642</v>
      </c>
      <c r="T250" s="2086">
        <f>'HVAC Deemed Table'!I1581</f>
        <v>0</v>
      </c>
      <c r="U250" s="2087"/>
      <c r="V250" s="2087"/>
      <c r="W250" s="2095">
        <f t="shared" si="158"/>
        <v>0.244642</v>
      </c>
      <c r="X250" s="2121">
        <f>'HVAC Deemed Table'!J1578</f>
        <v>6</v>
      </c>
      <c r="Y250" s="2121">
        <f>'HVAC Deemed Table'!J1580</f>
        <v>12</v>
      </c>
      <c r="Z250" s="88">
        <f t="shared" si="127"/>
        <v>18</v>
      </c>
      <c r="AA250" s="637">
        <f>'HVAC Deemed Table'!BB1578</f>
        <v>0.77706707719975077</v>
      </c>
      <c r="AB250" s="2917">
        <f>'HVAC Deemed Table'!K1578</f>
        <v>1475.441723875274</v>
      </c>
      <c r="AC250" s="2090">
        <f t="shared" si="133"/>
        <v>712.05566282348411</v>
      </c>
      <c r="AD250" s="2090">
        <f t="shared" si="134"/>
        <v>370.07476468979655</v>
      </c>
      <c r="AE250" s="2956">
        <f>'HVAC Deemed Table'!BD1578</f>
        <v>610.05829470163371</v>
      </c>
      <c r="AF250" s="2956">
        <f>'HVAC Deemed Table'!BD1579</f>
        <v>101.99736812185043</v>
      </c>
      <c r="AG250" s="2956">
        <f>'HVAC Deemed Table'!BD1580</f>
        <v>305.29957761629976</v>
      </c>
      <c r="AH250" s="2956">
        <f>'HVAC Deemed Table'!BD1581</f>
        <v>64.775187073496781</v>
      </c>
      <c r="AI250" s="2263" t="str">
        <f t="shared" si="152"/>
        <v>per measure</v>
      </c>
      <c r="AJ250" s="2240">
        <f>'HVAC Deemed Table'!L1578</f>
        <v>3.3</v>
      </c>
      <c r="AK250" s="2055"/>
      <c r="AL250" s="2055"/>
      <c r="AM250" s="2057">
        <f t="shared" si="149"/>
        <v>9.4741810000000004E-4</v>
      </c>
      <c r="AN250" s="132">
        <f t="shared" si="153"/>
        <v>0.99397422543400016</v>
      </c>
      <c r="AO250" s="2053">
        <f t="shared" si="159"/>
        <v>2.2543400013397275E-7</v>
      </c>
      <c r="AP250" s="211">
        <f>AO250/O250</f>
        <v>2.2680070115915783E-7</v>
      </c>
    </row>
    <row r="251" spans="2:42" x14ac:dyDescent="0.25">
      <c r="B251" s="2240" t="str">
        <f>'HVAC Deemed Table'!C1582</f>
        <v>354400_2019_12_</v>
      </c>
      <c r="C251" s="2096" t="str">
        <f>'HVAC Deemed Table'!G1582</f>
        <v>Cooling Res</v>
      </c>
      <c r="D251" s="2096" t="str">
        <f>'HVAC Deemed Table'!G1583</f>
        <v>Heating Res</v>
      </c>
      <c r="E251" s="2096" t="str">
        <f>'HVAC Deemed Table'!G1584</f>
        <v>Cooling Res ER2</v>
      </c>
      <c r="F251" s="2096" t="str">
        <f>'HVAC Deemed Table'!G1585</f>
        <v>Heating Res ER2</v>
      </c>
      <c r="G251" s="208" t="str">
        <f>'HVAC Deemed Table'!E1582</f>
        <v>ASHP - SEER 19 - replace electric furnace / CAC - early replacement SF ER1</v>
      </c>
      <c r="H251" s="622" t="str">
        <f>'HVAC Deemed Table'!D1582</f>
        <v>SF</v>
      </c>
      <c r="I251" s="2091">
        <f t="shared" si="156"/>
        <v>12579.02</v>
      </c>
      <c r="J251" s="2091">
        <f t="shared" si="157"/>
        <v>11184.93</v>
      </c>
      <c r="K251" s="2113">
        <f>'HVAC Deemed Table'!F1582</f>
        <v>2179.36</v>
      </c>
      <c r="L251" s="2113">
        <f>'HVAC Deemed Table'!F1583</f>
        <v>10399.66</v>
      </c>
      <c r="M251" s="2113">
        <f>'HVAC Deemed Table'!F1584</f>
        <v>785.27</v>
      </c>
      <c r="N251" s="2113">
        <f>'HVAC Deemed Table'!F1585</f>
        <v>10399.66</v>
      </c>
      <c r="O251" s="2092">
        <f t="shared" si="154"/>
        <v>2.064765</v>
      </c>
      <c r="P251" s="2092">
        <f t="shared" si="155"/>
        <v>0.74397899999999995</v>
      </c>
      <c r="Q251" s="2086">
        <f>'HVAC Deemed Table'!I1582</f>
        <v>2.064765</v>
      </c>
      <c r="R251" s="2086">
        <f>'HVAC Deemed Table'!I1583</f>
        <v>0</v>
      </c>
      <c r="S251" s="2086">
        <f>'HVAC Deemed Table'!I1584</f>
        <v>0.74397899999999995</v>
      </c>
      <c r="T251" s="2086">
        <f>'HVAC Deemed Table'!I1585</f>
        <v>0</v>
      </c>
      <c r="U251" s="2087"/>
      <c r="V251" s="2087"/>
      <c r="W251" s="2095">
        <f t="shared" si="158"/>
        <v>0.74397899999999995</v>
      </c>
      <c r="X251" s="2121">
        <f>'HVAC Deemed Table'!J1582</f>
        <v>6</v>
      </c>
      <c r="Y251" s="2121">
        <f>'HVAC Deemed Table'!J1584</f>
        <v>12</v>
      </c>
      <c r="Z251" s="88">
        <f t="shared" si="127"/>
        <v>18</v>
      </c>
      <c r="AA251" s="637">
        <f>'HVAC Deemed Table'!BB1582</f>
        <v>3.8146524457068041</v>
      </c>
      <c r="AB251" s="2917">
        <f>'HVAC Deemed Table'!K1582</f>
        <v>1944.3573864864111</v>
      </c>
      <c r="AC251" s="2090">
        <f t="shared" si="133"/>
        <v>2997.075215815411</v>
      </c>
      <c r="AD251" s="2090">
        <f t="shared" si="134"/>
        <v>4003.4416880906547</v>
      </c>
      <c r="AE251" s="2956">
        <f>'HVAC Deemed Table'!BD1582</f>
        <v>1267.2633253340377</v>
      </c>
      <c r="AF251" s="2956">
        <f>'HVAC Deemed Table'!BD1583</f>
        <v>1729.8118904813734</v>
      </c>
      <c r="AG251" s="2956">
        <f>'HVAC Deemed Table'!BD1584</f>
        <v>928.44318532550415</v>
      </c>
      <c r="AH251" s="2956">
        <f>'HVAC Deemed Table'!BD1585</f>
        <v>3074.9985027651505</v>
      </c>
      <c r="AI251" s="2263" t="str">
        <f t="shared" si="152"/>
        <v>per measure</v>
      </c>
      <c r="AJ251" s="2240">
        <f>'HVAC Deemed Table'!L1582</f>
        <v>3.1</v>
      </c>
      <c r="AK251" s="2055"/>
      <c r="AL251" s="2055"/>
      <c r="AM251" s="2057">
        <f t="shared" si="149"/>
        <v>9.4741810000000004E-4</v>
      </c>
      <c r="AN251" s="132">
        <f t="shared" si="153"/>
        <v>2.0647651104160003</v>
      </c>
      <c r="AO251" s="2048">
        <f t="shared" si="159"/>
        <v>1.1041600034289445E-7</v>
      </c>
    </row>
    <row r="252" spans="2:42" x14ac:dyDescent="0.25">
      <c r="B252" s="2240" t="str">
        <f>'HVAC Deemed Table'!C1586</f>
        <v>354450_2019_12_</v>
      </c>
      <c r="C252" s="2096" t="str">
        <f>'HVAC Deemed Table'!G1586</f>
        <v>Cooling Res</v>
      </c>
      <c r="D252" s="2096" t="str">
        <f>'HVAC Deemed Table'!G1587</f>
        <v>Heating Res</v>
      </c>
      <c r="E252" s="2096" t="str">
        <f>'HVAC Deemed Table'!G1588</f>
        <v>Cooling Res ER2</v>
      </c>
      <c r="F252" s="2096" t="str">
        <f>'HVAC Deemed Table'!G1589</f>
        <v>Heating Res ER2</v>
      </c>
      <c r="G252" s="208" t="str">
        <f>'HVAC Deemed Table'!E1586</f>
        <v>ASHP - SEER 19 - replace electric furnace / CAC - early replacement MF ER1</v>
      </c>
      <c r="H252" s="622" t="str">
        <f>'HVAC Deemed Table'!D1586</f>
        <v>MF</v>
      </c>
      <c r="I252" s="2091">
        <f t="shared" si="156"/>
        <v>8176.36</v>
      </c>
      <c r="J252" s="2091">
        <f t="shared" si="157"/>
        <v>7270.2</v>
      </c>
      <c r="K252" s="2113">
        <f>'HVAC Deemed Table'!F1586</f>
        <v>1416.58</v>
      </c>
      <c r="L252" s="2113">
        <f>'HVAC Deemed Table'!F1587</f>
        <v>6759.78</v>
      </c>
      <c r="M252" s="2113">
        <f>'HVAC Deemed Table'!F1588</f>
        <v>510.42</v>
      </c>
      <c r="N252" s="2113">
        <f>'HVAC Deemed Table'!F1589</f>
        <v>6759.78</v>
      </c>
      <c r="O252" s="2092">
        <f t="shared" si="154"/>
        <v>1.3420939999999999</v>
      </c>
      <c r="P252" s="2092">
        <f t="shared" si="155"/>
        <v>0.48358099999999998</v>
      </c>
      <c r="Q252" s="2086">
        <f>'HVAC Deemed Table'!I1586</f>
        <v>1.3420939999999999</v>
      </c>
      <c r="R252" s="2086">
        <f>'HVAC Deemed Table'!I1587</f>
        <v>0</v>
      </c>
      <c r="S252" s="2086">
        <f>'HVAC Deemed Table'!I1588</f>
        <v>0.48358099999999998</v>
      </c>
      <c r="T252" s="2086">
        <f>'HVAC Deemed Table'!I1589</f>
        <v>0</v>
      </c>
      <c r="U252" s="2087"/>
      <c r="V252" s="2087"/>
      <c r="W252" s="2095">
        <f t="shared" si="158"/>
        <v>0.48358099999999998</v>
      </c>
      <c r="X252" s="2121">
        <f>'HVAC Deemed Table'!J1586</f>
        <v>6</v>
      </c>
      <c r="Y252" s="2121">
        <f>'HVAC Deemed Table'!J1588</f>
        <v>12</v>
      </c>
      <c r="Z252" s="88">
        <f t="shared" si="127"/>
        <v>18</v>
      </c>
      <c r="AA252" s="637">
        <f>'HVAC Deemed Table'!BB1586</f>
        <v>2.8609839612822618</v>
      </c>
      <c r="AB252" s="2917">
        <f>'HVAC Deemed Table'!K1586</f>
        <v>1685.1098012161674</v>
      </c>
      <c r="AC252" s="2090">
        <f t="shared" si="133"/>
        <v>1948.0967306768696</v>
      </c>
      <c r="AD252" s="2090">
        <f t="shared" si="134"/>
        <v>2602.2308901622018</v>
      </c>
      <c r="AE252" s="2956">
        <f>'HVAC Deemed Table'!BD1586</f>
        <v>823.71883553047269</v>
      </c>
      <c r="AF252" s="2956">
        <f>'HVAC Deemed Table'!BD1587</f>
        <v>1124.3778951463969</v>
      </c>
      <c r="AG252" s="2956">
        <f>'HVAC Deemed Table'!BD1588</f>
        <v>603.48156768225431</v>
      </c>
      <c r="AH252" s="2956">
        <f>'HVAC Deemed Table'!BD1589</f>
        <v>1998.7493224799473</v>
      </c>
      <c r="AI252" s="2263" t="str">
        <f t="shared" si="152"/>
        <v>per measure</v>
      </c>
      <c r="AJ252" s="2240">
        <f>'HVAC Deemed Table'!L1586</f>
        <v>3.1</v>
      </c>
      <c r="AK252" s="2055"/>
      <c r="AL252" s="2055"/>
      <c r="AM252" s="2057">
        <f t="shared" si="149"/>
        <v>9.4741810000000004E-4</v>
      </c>
      <c r="AN252" s="132">
        <f t="shared" si="153"/>
        <v>1.3420935320980001</v>
      </c>
      <c r="AO252" s="2048">
        <f t="shared" si="159"/>
        <v>-4.6790199981217029E-7</v>
      </c>
    </row>
    <row r="253" spans="2:42" x14ac:dyDescent="0.25">
      <c r="B253" s="2240" t="str">
        <f>'HVAC Deemed Table'!C1590</f>
        <v>354451_2019_12_</v>
      </c>
      <c r="C253" s="2096" t="str">
        <f>'HVAC Deemed Table'!G1590</f>
        <v>Cooling Res</v>
      </c>
      <c r="D253" s="2096" t="str">
        <f>'HVAC Deemed Table'!G1591</f>
        <v>Heating Res</v>
      </c>
      <c r="E253" s="2096" t="str">
        <f>'HVAC Deemed Table'!G1592</f>
        <v>Cooling Res ER2</v>
      </c>
      <c r="F253" s="2096" t="str">
        <f>'HVAC Deemed Table'!G1593</f>
        <v>Heating Res ER2</v>
      </c>
      <c r="G253" s="208" t="str">
        <f>'HVAC Deemed Table'!E1590</f>
        <v>ASHP - SEER 19 - replace electric furnace / CAC - early replacement MF ER1_CompE</v>
      </c>
      <c r="H253" s="622" t="str">
        <f>'HVAC Deemed Table'!D1590</f>
        <v>MFc</v>
      </c>
      <c r="I253" s="2091">
        <f t="shared" si="156"/>
        <v>3334.71</v>
      </c>
      <c r="J253" s="2091">
        <f t="shared" si="157"/>
        <v>2675.6899999999996</v>
      </c>
      <c r="K253" s="2113">
        <f>'HVAC Deemed Table'!F1590</f>
        <v>1030.24</v>
      </c>
      <c r="L253" s="2113">
        <f>'HVAC Deemed Table'!F1591</f>
        <v>2304.4699999999998</v>
      </c>
      <c r="M253" s="2113">
        <f>'HVAC Deemed Table'!F1592</f>
        <v>371.22</v>
      </c>
      <c r="N253" s="2113">
        <f>'HVAC Deemed Table'!F1593</f>
        <v>2304.4699999999998</v>
      </c>
      <c r="O253" s="2092">
        <f t="shared" si="154"/>
        <v>0.97606800000000005</v>
      </c>
      <c r="P253" s="2092">
        <f t="shared" si="155"/>
        <v>0.35170099999999999</v>
      </c>
      <c r="Q253" s="2086">
        <f>'HVAC Deemed Table'!I1590</f>
        <v>0.97606800000000005</v>
      </c>
      <c r="R253" s="2086">
        <f>'HVAC Deemed Table'!I1591</f>
        <v>0</v>
      </c>
      <c r="S253" s="2086">
        <f>'HVAC Deemed Table'!I1592</f>
        <v>0.35170099999999999</v>
      </c>
      <c r="T253" s="2086">
        <f>'HVAC Deemed Table'!I1593</f>
        <v>0</v>
      </c>
      <c r="U253" s="2087"/>
      <c r="V253" s="2087"/>
      <c r="W253" s="2095">
        <f t="shared" si="158"/>
        <v>0.35170099999999999</v>
      </c>
      <c r="X253" s="2121">
        <f>'HVAC Deemed Table'!J1590</f>
        <v>6</v>
      </c>
      <c r="Y253" s="2121">
        <f>'HVAC Deemed Table'!J1592</f>
        <v>12</v>
      </c>
      <c r="Z253" s="88">
        <f t="shared" si="127"/>
        <v>18</v>
      </c>
      <c r="AA253" s="637">
        <f>'HVAC Deemed Table'!BB1590</f>
        <v>1.3220394594007598</v>
      </c>
      <c r="AB253" s="2917">
        <f>'HVAC Deemed Table'!K1590</f>
        <v>1685.1098012161674</v>
      </c>
      <c r="AC253" s="2090">
        <f t="shared" si="133"/>
        <v>982.37881448865915</v>
      </c>
      <c r="AD253" s="2090">
        <f t="shared" si="134"/>
        <v>1120.2938147050581</v>
      </c>
      <c r="AE253" s="2956">
        <f>'HVAC Deemed Table'!BD1590</f>
        <v>599.06824402216205</v>
      </c>
      <c r="AF253" s="2956">
        <f>'HVAC Deemed Table'!BD1591</f>
        <v>383.31057046649704</v>
      </c>
      <c r="AG253" s="2956">
        <f>'HVAC Deemed Table'!BD1592</f>
        <v>438.90213462443961</v>
      </c>
      <c r="AH253" s="2956">
        <f>'HVAC Deemed Table'!BD1593</f>
        <v>681.39168008061858</v>
      </c>
      <c r="AI253" s="2263" t="str">
        <f t="shared" si="152"/>
        <v>per measure</v>
      </c>
      <c r="AJ253" s="2240">
        <f>'HVAC Deemed Table'!L1590</f>
        <v>3.1</v>
      </c>
      <c r="AK253" s="2055"/>
      <c r="AL253" s="2055"/>
      <c r="AM253" s="2057">
        <f t="shared" si="149"/>
        <v>9.4741810000000004E-4</v>
      </c>
      <c r="AN253" s="132">
        <f t="shared" si="153"/>
        <v>0.976068023344</v>
      </c>
      <c r="AO253" s="2053">
        <f t="shared" si="159"/>
        <v>2.3343999955294237E-8</v>
      </c>
      <c r="AP253" s="211">
        <f>AO253/O253</f>
        <v>2.3916366436861198E-8</v>
      </c>
    </row>
    <row r="254" spans="2:42" x14ac:dyDescent="0.25">
      <c r="B254" s="2240" t="str">
        <f>'HVAC Deemed Table'!C1594</f>
        <v>354500_2019_12_</v>
      </c>
      <c r="C254" s="2096" t="str">
        <f>'HVAC Deemed Table'!G1594</f>
        <v>Cooling Res</v>
      </c>
      <c r="D254" s="2096" t="str">
        <f>'HVAC Deemed Table'!G1595</f>
        <v>Heating Res</v>
      </c>
      <c r="E254" s="2096" t="str">
        <f>'HVAC Deemed Table'!G1596</f>
        <v>Cooling Res ER2</v>
      </c>
      <c r="F254" s="2096" t="str">
        <f>'HVAC Deemed Table'!G1597</f>
        <v>Heating Res ER2</v>
      </c>
      <c r="G254" s="208" t="str">
        <f>'HVAC Deemed Table'!E1594</f>
        <v>ASHP SEER 19 replace ASHP - early replacement MF ER1</v>
      </c>
      <c r="H254" s="622" t="str">
        <f>'HVAC Deemed Table'!D1594</f>
        <v>MF</v>
      </c>
      <c r="I254" s="2091">
        <f t="shared" si="156"/>
        <v>3306.73</v>
      </c>
      <c r="J254" s="2091">
        <f t="shared" si="157"/>
        <v>1063.06</v>
      </c>
      <c r="K254" s="2113">
        <f>'HVAC Deemed Table'!F1594</f>
        <v>1507.97</v>
      </c>
      <c r="L254" s="2113">
        <f>'HVAC Deemed Table'!F1595</f>
        <v>1798.76</v>
      </c>
      <c r="M254" s="2113">
        <f>'HVAC Deemed Table'!F1596</f>
        <v>420.45</v>
      </c>
      <c r="N254" s="2113">
        <f>'HVAC Deemed Table'!F1597</f>
        <v>642.61</v>
      </c>
      <c r="O254" s="2092">
        <f t="shared" si="154"/>
        <v>1.4286779999999999</v>
      </c>
      <c r="P254" s="2092">
        <f t="shared" si="155"/>
        <v>0.39834199999999997</v>
      </c>
      <c r="Q254" s="2086">
        <f>'HVAC Deemed Table'!I1594</f>
        <v>1.4286779999999999</v>
      </c>
      <c r="R254" s="2086">
        <f>'HVAC Deemed Table'!I1595</f>
        <v>0</v>
      </c>
      <c r="S254" s="2086">
        <f>'HVAC Deemed Table'!I1596</f>
        <v>0.39834199999999997</v>
      </c>
      <c r="T254" s="2086">
        <f>'HVAC Deemed Table'!I1597</f>
        <v>0</v>
      </c>
      <c r="U254" s="2087"/>
      <c r="V254" s="2087"/>
      <c r="W254" s="2095">
        <f t="shared" si="158"/>
        <v>0.39834199999999997</v>
      </c>
      <c r="X254" s="2121">
        <f>'HVAC Deemed Table'!J1594</f>
        <v>6</v>
      </c>
      <c r="Y254" s="2121">
        <f>'HVAC Deemed Table'!J1596</f>
        <v>12</v>
      </c>
      <c r="Z254" s="88">
        <f t="shared" si="127"/>
        <v>18</v>
      </c>
      <c r="AA254" s="637">
        <f>'HVAC Deemed Table'!BB1594</f>
        <v>1.1502519854045077</v>
      </c>
      <c r="AB254" s="2917">
        <f>'HVAC Deemed Table'!K1594</f>
        <v>1716.1717238752744</v>
      </c>
      <c r="AC254" s="2090">
        <f t="shared" si="133"/>
        <v>1176.0547272292426</v>
      </c>
      <c r="AD254" s="2090">
        <f t="shared" si="134"/>
        <v>687.11651645420295</v>
      </c>
      <c r="AE254" s="2956">
        <f>'HVAC Deemed Table'!BD1594</f>
        <v>876.86067318110304</v>
      </c>
      <c r="AF254" s="2956">
        <f>'HVAC Deemed Table'!BD1595</f>
        <v>299.19405404813961</v>
      </c>
      <c r="AG254" s="2956">
        <f>'HVAC Deemed Table'!BD1596</f>
        <v>497.10792118648141</v>
      </c>
      <c r="AH254" s="2956">
        <f>'HVAC Deemed Table'!BD1597</f>
        <v>190.00859526772157</v>
      </c>
      <c r="AI254" s="2263" t="str">
        <f t="shared" si="152"/>
        <v>per measure</v>
      </c>
      <c r="AJ254" s="2240">
        <f>'HVAC Deemed Table'!L1594</f>
        <v>3.3</v>
      </c>
      <c r="AK254" s="2055"/>
      <c r="AL254" s="2055"/>
      <c r="AM254" s="2057">
        <f t="shared" si="149"/>
        <v>9.4741810000000004E-4</v>
      </c>
      <c r="AN254" s="132">
        <f t="shared" si="153"/>
        <v>1.4286780722570001</v>
      </c>
      <c r="AO254" s="2048">
        <f t="shared" si="159"/>
        <v>7.2257000161002338E-8</v>
      </c>
    </row>
    <row r="255" spans="2:42" x14ac:dyDescent="0.25">
      <c r="B255" s="2240" t="str">
        <f>'HVAC Deemed Table'!C1598</f>
        <v>354501_2019_12_</v>
      </c>
      <c r="C255" s="2096" t="str">
        <f>'HVAC Deemed Table'!G1598</f>
        <v>Cooling Res</v>
      </c>
      <c r="D255" s="2096" t="str">
        <f>'HVAC Deemed Table'!G1599</f>
        <v>Heating Res</v>
      </c>
      <c r="E255" s="2096" t="str">
        <f>'HVAC Deemed Table'!G1600</f>
        <v>Cooling Res ER2</v>
      </c>
      <c r="F255" s="2096" t="str">
        <f>'HVAC Deemed Table'!G1601</f>
        <v>Heating Res ER2</v>
      </c>
      <c r="G255" s="208" t="str">
        <f>'HVAC Deemed Table'!E1598</f>
        <v>ASHP SEER 19 replace ASHP - early replacement MF ER1_CompE</v>
      </c>
      <c r="H255" s="622" t="str">
        <f>'HVAC Deemed Table'!D1598</f>
        <v>MFc</v>
      </c>
      <c r="I255" s="2091">
        <f t="shared" si="156"/>
        <v>1709.92</v>
      </c>
      <c r="J255" s="2091">
        <f t="shared" si="157"/>
        <v>524.84999999999991</v>
      </c>
      <c r="K255" s="2113">
        <f>'HVAC Deemed Table'!F1598</f>
        <v>1096.71</v>
      </c>
      <c r="L255" s="2113">
        <f>'HVAC Deemed Table'!F1599</f>
        <v>613.21</v>
      </c>
      <c r="M255" s="2113">
        <f>'HVAC Deemed Table'!F1600</f>
        <v>305.77999999999997</v>
      </c>
      <c r="N255" s="2113">
        <f>'HVAC Deemed Table'!F1601</f>
        <v>219.07</v>
      </c>
      <c r="O255" s="2092">
        <f t="shared" si="154"/>
        <v>1.0390429999999999</v>
      </c>
      <c r="P255" s="2092">
        <f t="shared" si="155"/>
        <v>0.28970200000000002</v>
      </c>
      <c r="Q255" s="2086">
        <f>'HVAC Deemed Table'!I1598</f>
        <v>1.0390429999999999</v>
      </c>
      <c r="R255" s="2086">
        <f>'HVAC Deemed Table'!I1599</f>
        <v>0</v>
      </c>
      <c r="S255" s="2086">
        <f>'HVAC Deemed Table'!I1600</f>
        <v>0.28970200000000002</v>
      </c>
      <c r="T255" s="2086">
        <f>'HVAC Deemed Table'!I1601</f>
        <v>0</v>
      </c>
      <c r="U255" s="2087"/>
      <c r="V255" s="2087"/>
      <c r="W255" s="2095">
        <f t="shared" si="158"/>
        <v>0.28970200000000002</v>
      </c>
      <c r="X255" s="2121">
        <f>'HVAC Deemed Table'!J1598</f>
        <v>6</v>
      </c>
      <c r="Y255" s="2121">
        <f>'HVAC Deemed Table'!J1600</f>
        <v>12</v>
      </c>
      <c r="Z255" s="88">
        <f>Y255+X255</f>
        <v>18</v>
      </c>
      <c r="AA255" s="637">
        <f>'HVAC Deemed Table'!BB1598</f>
        <v>0.71985878971820694</v>
      </c>
      <c r="AB255" s="2917">
        <f>'HVAC Deemed Table'!K1598</f>
        <v>1716.1717238752744</v>
      </c>
      <c r="AC255" s="2090">
        <f t="shared" si="133"/>
        <v>739.71686445430237</v>
      </c>
      <c r="AD255" s="2090">
        <f t="shared" si="134"/>
        <v>426.30607098454988</v>
      </c>
      <c r="AE255" s="2956">
        <f>'HVAC Deemed Table'!BD1598</f>
        <v>637.71949633245197</v>
      </c>
      <c r="AF255" s="2956">
        <f>'HVAC Deemed Table'!BD1599</f>
        <v>101.99736812185043</v>
      </c>
      <c r="AG255" s="2956">
        <f>'HVAC Deemed Table'!BD1600</f>
        <v>361.53088391105308</v>
      </c>
      <c r="AH255" s="2956">
        <f>'HVAC Deemed Table'!BD1601</f>
        <v>64.775187073496781</v>
      </c>
      <c r="AI255" s="2263" t="str">
        <f t="shared" si="152"/>
        <v>per measure</v>
      </c>
      <c r="AJ255" s="2240">
        <f>'HVAC Deemed Table'!L1598</f>
        <v>3.3</v>
      </c>
      <c r="AK255" s="2055"/>
      <c r="AL255" s="2055"/>
      <c r="AM255" s="2057">
        <f t="shared" si="149"/>
        <v>9.4741810000000004E-4</v>
      </c>
      <c r="AN255" s="132">
        <f t="shared" si="153"/>
        <v>1.0390429044510001</v>
      </c>
      <c r="AO255" s="2053">
        <f t="shared" si="159"/>
        <v>-9.5548999823336089E-8</v>
      </c>
      <c r="AP255" s="211">
        <f>AO255/O255</f>
        <v>-9.1958657941332645E-8</v>
      </c>
    </row>
    <row r="256" spans="2:42" x14ac:dyDescent="0.25">
      <c r="B256" s="2240" t="str">
        <f>'HVAC Deemed Table'!C1602</f>
        <v>354550_2019_12_</v>
      </c>
      <c r="C256" s="2096" t="str">
        <f>'HVAC Deemed Table'!G1602</f>
        <v>Cooling Res</v>
      </c>
      <c r="D256" s="2096" t="str">
        <f>'HVAC Deemed Table'!G1603</f>
        <v>Heating Res</v>
      </c>
      <c r="E256" s="2096" t="str">
        <f>'HVAC Deemed Table'!G1604</f>
        <v>Cooling Res ER2</v>
      </c>
      <c r="F256" s="2096" t="str">
        <f>'HVAC Deemed Table'!G1605</f>
        <v>Heating Res ER2</v>
      </c>
      <c r="G256" s="208" t="str">
        <f>'HVAC Deemed Table'!E1602</f>
        <v>ASHP SEER 20 replace ASHP - early replacement SF ER1</v>
      </c>
      <c r="H256" s="622" t="str">
        <f>'HVAC Deemed Table'!D1602</f>
        <v>SF</v>
      </c>
      <c r="I256" s="2091">
        <f t="shared" si="156"/>
        <v>5177.84</v>
      </c>
      <c r="J256" s="2091">
        <f t="shared" si="157"/>
        <v>1726.04</v>
      </c>
      <c r="K256" s="2113">
        <f>'HVAC Deemed Table'!F1602</f>
        <v>2410.52</v>
      </c>
      <c r="L256" s="2113">
        <f>'HVAC Deemed Table'!F1603</f>
        <v>2767.32</v>
      </c>
      <c r="M256" s="2113">
        <f>'HVAC Deemed Table'!F1604</f>
        <v>737.41</v>
      </c>
      <c r="N256" s="2113">
        <f>'HVAC Deemed Table'!F1605</f>
        <v>988.63</v>
      </c>
      <c r="O256" s="2092">
        <f t="shared" si="154"/>
        <v>2.2837700000000001</v>
      </c>
      <c r="P256" s="2092">
        <f t="shared" si="155"/>
        <v>0.69863600000000003</v>
      </c>
      <c r="Q256" s="2086">
        <f>'HVAC Deemed Table'!I1602</f>
        <v>2.2837700000000001</v>
      </c>
      <c r="R256" s="2086">
        <f>'HVAC Deemed Table'!I1603</f>
        <v>0</v>
      </c>
      <c r="S256" s="2086">
        <f>'HVAC Deemed Table'!I1604</f>
        <v>0.69863600000000003</v>
      </c>
      <c r="T256" s="2086">
        <f>'HVAC Deemed Table'!I1605</f>
        <v>0</v>
      </c>
      <c r="U256" s="2087"/>
      <c r="V256" s="2087"/>
      <c r="W256" s="2095">
        <f t="shared" si="158"/>
        <v>0.69863600000000003</v>
      </c>
      <c r="X256" s="2121">
        <f>'HVAC Deemed Table'!J1602</f>
        <v>6</v>
      </c>
      <c r="Y256" s="2121">
        <f>'HVAC Deemed Table'!J1604</f>
        <v>12</v>
      </c>
      <c r="Z256" s="88">
        <f t="shared" si="127"/>
        <v>18</v>
      </c>
      <c r="AA256" s="637">
        <f>'HVAC Deemed Table'!BB1602</f>
        <v>1.4359117255891336</v>
      </c>
      <c r="AB256" s="2917">
        <f>'HVAC Deemed Table'!K1602</f>
        <v>2232.8749598081135</v>
      </c>
      <c r="AC256" s="2090">
        <f t="shared" si="133"/>
        <v>1861.9772373321421</v>
      </c>
      <c r="AD256" s="2090">
        <f t="shared" si="134"/>
        <v>1164.1778703250882</v>
      </c>
      <c r="AE256" s="2956">
        <f>'HVAC Deemed Table'!BD1602</f>
        <v>1401.6792044380941</v>
      </c>
      <c r="AF256" s="2956">
        <f>'HVAC Deemed Table'!BD1603</f>
        <v>460.29803289404794</v>
      </c>
      <c r="AG256" s="2956">
        <f>'HVAC Deemed Table'!BD1604</f>
        <v>871.85718197674692</v>
      </c>
      <c r="AH256" s="2956">
        <f>'HVAC Deemed Table'!BD1605</f>
        <v>292.32068834834126</v>
      </c>
      <c r="AI256" s="2263" t="str">
        <f t="shared" si="152"/>
        <v>per measure</v>
      </c>
      <c r="AJ256" s="2240">
        <f>'HVAC Deemed Table'!L1602</f>
        <v>3.3</v>
      </c>
      <c r="AK256" s="2055"/>
      <c r="AL256" s="2055"/>
      <c r="AM256" s="2057">
        <f t="shared" si="149"/>
        <v>9.4741810000000004E-4</v>
      </c>
      <c r="AN256" s="132">
        <f t="shared" si="153"/>
        <v>2.2837702784120002</v>
      </c>
      <c r="AO256" s="2048">
        <f t="shared" si="159"/>
        <v>2.7841200012090894E-7</v>
      </c>
    </row>
    <row r="257" spans="2:42" x14ac:dyDescent="0.25">
      <c r="B257" s="2240" t="str">
        <f>'HVAC Deemed Table'!C1606</f>
        <v>354600_2019_12_</v>
      </c>
      <c r="C257" s="2096" t="str">
        <f>'HVAC Deemed Table'!G1606</f>
        <v>Cooling Res</v>
      </c>
      <c r="D257" s="2096" t="str">
        <f>'HVAC Deemed Table'!G1607</f>
        <v>Heating Res</v>
      </c>
      <c r="E257" s="208"/>
      <c r="F257" s="208"/>
      <c r="G257" s="208" t="str">
        <f>'HVAC Deemed Table'!E1606</f>
        <v>ASHP SEER 20 replace ASHP - replace on fail SF</v>
      </c>
      <c r="H257" s="622" t="str">
        <f>'HVAC Deemed Table'!D1606</f>
        <v>SF</v>
      </c>
      <c r="I257" s="2091">
        <f t="shared" ref="I257:I265" si="160">K257+L257</f>
        <v>1916.9299999999998</v>
      </c>
      <c r="J257" s="2091">
        <f t="shared" ref="J257:J265" si="161">M257+N257</f>
        <v>0</v>
      </c>
      <c r="K257" s="2113">
        <f>'HVAC Deemed Table'!F1606</f>
        <v>737.41</v>
      </c>
      <c r="L257" s="2113">
        <f>'HVAC Deemed Table'!F1607</f>
        <v>1179.52</v>
      </c>
      <c r="M257" s="2113"/>
      <c r="N257" s="2113"/>
      <c r="O257" s="2092">
        <f t="shared" ref="O257:O265" si="162">Q257+R257</f>
        <v>0.69863600000000003</v>
      </c>
      <c r="P257" s="2092">
        <f t="shared" ref="P257:P265" si="163">S257+T257</f>
        <v>0</v>
      </c>
      <c r="Q257" s="2086">
        <f>'HVAC Deemed Table'!I1606</f>
        <v>0.69863600000000003</v>
      </c>
      <c r="R257" s="2086">
        <f>'HVAC Deemed Table'!I1607</f>
        <v>0</v>
      </c>
      <c r="S257" s="2086"/>
      <c r="T257" s="2086"/>
      <c r="U257" s="2087"/>
      <c r="V257" s="2087"/>
      <c r="W257" s="2087">
        <f>O257</f>
        <v>0.69863600000000003</v>
      </c>
      <c r="X257" s="2121">
        <f>'HVAC Deemed Table'!J1606</f>
        <v>18</v>
      </c>
      <c r="Y257" s="2121"/>
      <c r="Z257" s="88">
        <f t="shared" si="127"/>
        <v>18</v>
      </c>
      <c r="AA257" s="637">
        <f>'HVAC Deemed Table'!BB1606</f>
        <v>1.3538128810268077</v>
      </c>
      <c r="AB257" s="2917">
        <f>'HVAC Deemed Table'!K1606</f>
        <v>1444.3799999999994</v>
      </c>
      <c r="AC257" s="2090">
        <f t="shared" si="133"/>
        <v>1845.6066532302971</v>
      </c>
      <c r="AD257" s="2090">
        <f t="shared" si="134"/>
        <v>0</v>
      </c>
      <c r="AE257" s="2956">
        <f>'HVAC Deemed Table'!BD1606</f>
        <v>1300.6494185666504</v>
      </c>
      <c r="AF257" s="2956">
        <f>'HVAC Deemed Table'!BD1607</f>
        <v>544.95723466364666</v>
      </c>
      <c r="AG257" s="2956"/>
      <c r="AH257" s="2956"/>
      <c r="AI257" s="2263" t="str">
        <f t="shared" si="152"/>
        <v>per measure</v>
      </c>
      <c r="AJ257" s="2240">
        <f>'HVAC Deemed Table'!L1606</f>
        <v>3.3</v>
      </c>
      <c r="AK257" s="2055"/>
      <c r="AL257" s="2055"/>
      <c r="AM257" s="2057">
        <f t="shared" ref="AM257:AM288" si="164">VLOOKUP(C257,$AS$10:$AT$32,2,FALSE)</f>
        <v>9.4741810000000004E-4</v>
      </c>
      <c r="AN257" s="132">
        <f t="shared" si="153"/>
        <v>0.69863558112099999</v>
      </c>
      <c r="AO257" s="2048">
        <f t="shared" si="159"/>
        <v>-4.1887900004144996E-7</v>
      </c>
    </row>
    <row r="258" spans="2:42" x14ac:dyDescent="0.25">
      <c r="B258" s="2240" t="str">
        <f>'HVAC Deemed Table'!C1608</f>
        <v>354650_2019_12_</v>
      </c>
      <c r="C258" s="2096" t="str">
        <f>'HVAC Deemed Table'!G1608</f>
        <v>Cooling Res</v>
      </c>
      <c r="D258" s="2096" t="str">
        <f>'HVAC Deemed Table'!G1609</f>
        <v>Heating Res</v>
      </c>
      <c r="E258" s="2096" t="str">
        <f>'HVAC Deemed Table'!G1610</f>
        <v>Cooling Res ER2</v>
      </c>
      <c r="F258" s="2096" t="str">
        <f>'HVAC Deemed Table'!G1611</f>
        <v>Heating Res ER2</v>
      </c>
      <c r="G258" s="208" t="str">
        <f>'HVAC Deemed Table'!E1608</f>
        <v>ASHP - SEER 20 - replace electric furnace / CAC - early replacement MF ER1</v>
      </c>
      <c r="H258" s="622" t="str">
        <f>'HVAC Deemed Table'!D1608</f>
        <v>MF</v>
      </c>
      <c r="I258" s="2091">
        <f t="shared" si="160"/>
        <v>8231.66</v>
      </c>
      <c r="J258" s="2091">
        <f t="shared" si="161"/>
        <v>7325.5</v>
      </c>
      <c r="K258" s="2113">
        <f>'HVAC Deemed Table'!F1608</f>
        <v>1471.88</v>
      </c>
      <c r="L258" s="2113">
        <f>'HVAC Deemed Table'!F1609</f>
        <v>6759.78</v>
      </c>
      <c r="M258" s="2113">
        <f>'HVAC Deemed Table'!F1610</f>
        <v>565.72</v>
      </c>
      <c r="N258" s="2113">
        <f>'HVAC Deemed Table'!F1611</f>
        <v>6759.78</v>
      </c>
      <c r="O258" s="2092">
        <f t="shared" si="162"/>
        <v>1.3944859999999999</v>
      </c>
      <c r="P258" s="2092">
        <f t="shared" si="163"/>
        <v>0.53597300000000003</v>
      </c>
      <c r="Q258" s="2086">
        <f>'HVAC Deemed Table'!I1608</f>
        <v>1.3944859999999999</v>
      </c>
      <c r="R258" s="2086">
        <f>'HVAC Deemed Table'!I1609</f>
        <v>0</v>
      </c>
      <c r="S258" s="2086">
        <f>'HVAC Deemed Table'!I1610</f>
        <v>0.53597300000000003</v>
      </c>
      <c r="T258" s="2086">
        <f>'HVAC Deemed Table'!I1611</f>
        <v>0</v>
      </c>
      <c r="U258" s="2087"/>
      <c r="V258" s="2087"/>
      <c r="W258" s="2095">
        <f>P258</f>
        <v>0.53597300000000003</v>
      </c>
      <c r="X258" s="2121">
        <f>'HVAC Deemed Table'!J1608</f>
        <v>6</v>
      </c>
      <c r="Y258" s="2121">
        <f>'HVAC Deemed Table'!J1610</f>
        <v>12</v>
      </c>
      <c r="Z258" s="88">
        <f t="shared" ref="Z258:Z298" si="165">Y258+X258</f>
        <v>18</v>
      </c>
      <c r="AA258" s="637">
        <f>'HVAC Deemed Table'!BB1608</f>
        <v>2.5570217316389692</v>
      </c>
      <c r="AB258" s="2917">
        <f>'HVAC Deemed Table'!K1608</f>
        <v>1925.8398012161661</v>
      </c>
      <c r="AC258" s="2090">
        <f t="shared" si="133"/>
        <v>1980.2528048871757</v>
      </c>
      <c r="AD258" s="2090">
        <f t="shared" si="134"/>
        <v>2667.613380450256</v>
      </c>
      <c r="AE258" s="2956">
        <f>'HVAC Deemed Table'!BD1608</f>
        <v>855.87490974077878</v>
      </c>
      <c r="AF258" s="2956">
        <f>'HVAC Deemed Table'!BD1609</f>
        <v>1124.3778951463969</v>
      </c>
      <c r="AG258" s="2956">
        <f>'HVAC Deemed Table'!BD1610</f>
        <v>668.86405797030864</v>
      </c>
      <c r="AH258" s="2956">
        <f>'HVAC Deemed Table'!BD1611</f>
        <v>1998.7493224799473</v>
      </c>
      <c r="AI258" s="2263" t="str">
        <f t="shared" si="152"/>
        <v>per measure</v>
      </c>
      <c r="AJ258" s="2240">
        <f>'HVAC Deemed Table'!L1608</f>
        <v>3.1</v>
      </c>
      <c r="AK258" s="2055"/>
      <c r="AL258" s="2055"/>
      <c r="AM258" s="2057">
        <f t="shared" si="164"/>
        <v>9.4741810000000004E-4</v>
      </c>
      <c r="AN258" s="132">
        <f t="shared" si="153"/>
        <v>1.3944857530280002</v>
      </c>
      <c r="AO258" s="2048">
        <f t="shared" si="159"/>
        <v>-2.4697199973999773E-7</v>
      </c>
    </row>
    <row r="259" spans="2:42" x14ac:dyDescent="0.25">
      <c r="B259" s="2240" t="str">
        <f>'HVAC Deemed Table'!C1612</f>
        <v>354651_2019_12_</v>
      </c>
      <c r="C259" s="2096" t="str">
        <f>'HVAC Deemed Table'!G1612</f>
        <v>Cooling Res</v>
      </c>
      <c r="D259" s="2096" t="str">
        <f>'HVAC Deemed Table'!G1613</f>
        <v>Heating Res</v>
      </c>
      <c r="E259" s="2096" t="str">
        <f>'HVAC Deemed Table'!G1614</f>
        <v>Cooling Res ER2</v>
      </c>
      <c r="F259" s="2096" t="str">
        <f>'HVAC Deemed Table'!G1615</f>
        <v>Heating Res ER2</v>
      </c>
      <c r="G259" s="208" t="str">
        <f>'HVAC Deemed Table'!E1612</f>
        <v>ASHP - SEER 20 - replace electric furnace / CAC - early replacement MF ER1_CompE</v>
      </c>
      <c r="H259" s="622" t="str">
        <f>'HVAC Deemed Table'!D1612</f>
        <v>MFc</v>
      </c>
      <c r="I259" s="2091">
        <f t="shared" si="160"/>
        <v>3374.93</v>
      </c>
      <c r="J259" s="2091">
        <f t="shared" si="161"/>
        <v>2715.8999999999996</v>
      </c>
      <c r="K259" s="2113">
        <f>'HVAC Deemed Table'!F1612</f>
        <v>1070.46</v>
      </c>
      <c r="L259" s="2113">
        <f>'HVAC Deemed Table'!F1613</f>
        <v>2304.4699999999998</v>
      </c>
      <c r="M259" s="2113">
        <f>'HVAC Deemed Table'!F1614</f>
        <v>411.43</v>
      </c>
      <c r="N259" s="2113">
        <f>'HVAC Deemed Table'!F1615</f>
        <v>2304.4699999999998</v>
      </c>
      <c r="O259" s="2092">
        <f t="shared" si="162"/>
        <v>1.014173</v>
      </c>
      <c r="P259" s="2092">
        <f t="shared" si="163"/>
        <v>0.38979599999999998</v>
      </c>
      <c r="Q259" s="2086">
        <f>'HVAC Deemed Table'!I1612</f>
        <v>1.014173</v>
      </c>
      <c r="R259" s="2086">
        <f>'HVAC Deemed Table'!I1613</f>
        <v>0</v>
      </c>
      <c r="S259" s="2086">
        <f>'HVAC Deemed Table'!I1614</f>
        <v>0.38979599999999998</v>
      </c>
      <c r="T259" s="2086">
        <f>'HVAC Deemed Table'!I1615</f>
        <v>0</v>
      </c>
      <c r="U259" s="2087"/>
      <c r="V259" s="2087"/>
      <c r="W259" s="2095">
        <f>P259</f>
        <v>0.38979599999999998</v>
      </c>
      <c r="X259" s="2121">
        <f>'HVAC Deemed Table'!J1612</f>
        <v>6</v>
      </c>
      <c r="Y259" s="2121">
        <f>'HVAC Deemed Table'!J1614</f>
        <v>12</v>
      </c>
      <c r="Z259" s="88">
        <f t="shared" si="165"/>
        <v>18</v>
      </c>
      <c r="AA259" s="637">
        <f>'HVAC Deemed Table'!BB1612</f>
        <v>1.1958058077888361</v>
      </c>
      <c r="AB259" s="2917">
        <f>'HVAC Deemed Table'!K1612</f>
        <v>1925.8398012161661</v>
      </c>
      <c r="AC259" s="2090">
        <f t="shared" si="133"/>
        <v>1005.766107521905</v>
      </c>
      <c r="AD259" s="2090">
        <f t="shared" si="134"/>
        <v>1167.8350431767158</v>
      </c>
      <c r="AE259" s="2956">
        <f>'HVAC Deemed Table'!BD1612</f>
        <v>622.45553705540806</v>
      </c>
      <c r="AF259" s="2956">
        <f>'HVAC Deemed Table'!BD1613</f>
        <v>383.31057046649704</v>
      </c>
      <c r="AG259" s="2956">
        <f>'HVAC Deemed Table'!BD1614</f>
        <v>486.44336309609713</v>
      </c>
      <c r="AH259" s="2956">
        <f>'HVAC Deemed Table'!BD1615</f>
        <v>681.39168008061858</v>
      </c>
      <c r="AI259" s="2263" t="str">
        <f t="shared" si="152"/>
        <v>per measure</v>
      </c>
      <c r="AJ259" s="2240">
        <f>'HVAC Deemed Table'!L1612</f>
        <v>3.1</v>
      </c>
      <c r="AK259" s="2055"/>
      <c r="AL259" s="2055"/>
      <c r="AM259" s="2057">
        <f t="shared" si="164"/>
        <v>9.4741810000000004E-4</v>
      </c>
      <c r="AN259" s="132">
        <f t="shared" si="153"/>
        <v>1.014173179326</v>
      </c>
      <c r="AO259" s="2053">
        <f t="shared" si="159"/>
        <v>1.7932600004932908E-7</v>
      </c>
      <c r="AP259" s="211">
        <f>AO259/O259</f>
        <v>1.7681993116492854E-7</v>
      </c>
    </row>
    <row r="260" spans="2:42" x14ac:dyDescent="0.25">
      <c r="B260" s="2240" t="str">
        <f>'HVAC Deemed Table'!C1616</f>
        <v>354700_2019_12_</v>
      </c>
      <c r="C260" s="2096" t="str">
        <f>'HVAC Deemed Table'!G1616</f>
        <v>Cooling Res</v>
      </c>
      <c r="D260" s="2096" t="str">
        <f>'HVAC Deemed Table'!G1617</f>
        <v>Heating Res</v>
      </c>
      <c r="E260" s="2096" t="str">
        <f>'HVAC Deemed Table'!G1618</f>
        <v>Cooling Res ER2</v>
      </c>
      <c r="F260" s="2096" t="str">
        <f>'HVAC Deemed Table'!G1619</f>
        <v>Heating Res ER2</v>
      </c>
      <c r="G260" s="208" t="str">
        <f>'HVAC Deemed Table'!E1616</f>
        <v>ASHP SEER 20 replace ASHP - early replacement MF ER1</v>
      </c>
      <c r="H260" s="622" t="str">
        <f>'HVAC Deemed Table'!D1616</f>
        <v>MF</v>
      </c>
      <c r="I260" s="2091">
        <f t="shared" si="160"/>
        <v>3365.6</v>
      </c>
      <c r="J260" s="2091">
        <f t="shared" si="161"/>
        <v>1121.93</v>
      </c>
      <c r="K260" s="2113">
        <f>'HVAC Deemed Table'!F1616</f>
        <v>1566.84</v>
      </c>
      <c r="L260" s="2113">
        <f>'HVAC Deemed Table'!F1617</f>
        <v>1798.76</v>
      </c>
      <c r="M260" s="2113">
        <f>'HVAC Deemed Table'!F1618</f>
        <v>479.32</v>
      </c>
      <c r="N260" s="2113">
        <f>'HVAC Deemed Table'!F1619</f>
        <v>642.61</v>
      </c>
      <c r="O260" s="2092">
        <f t="shared" si="162"/>
        <v>1.484453</v>
      </c>
      <c r="P260" s="2092">
        <f t="shared" si="163"/>
        <v>0.45411600000000002</v>
      </c>
      <c r="Q260" s="2086">
        <f>'HVAC Deemed Table'!I1616</f>
        <v>1.484453</v>
      </c>
      <c r="R260" s="2086">
        <f>'HVAC Deemed Table'!I1617</f>
        <v>0</v>
      </c>
      <c r="S260" s="2086">
        <f>'HVAC Deemed Table'!I1618</f>
        <v>0.45411600000000002</v>
      </c>
      <c r="T260" s="2086">
        <f>'HVAC Deemed Table'!I1619</f>
        <v>0</v>
      </c>
      <c r="U260" s="2087"/>
      <c r="V260" s="2087"/>
      <c r="W260" s="2095">
        <f>P260</f>
        <v>0.45411600000000002</v>
      </c>
      <c r="X260" s="2121">
        <f>'HVAC Deemed Table'!J1616</f>
        <v>6</v>
      </c>
      <c r="Y260" s="2121">
        <f>'HVAC Deemed Table'!J1618</f>
        <v>12</v>
      </c>
      <c r="Z260" s="88">
        <f t="shared" si="165"/>
        <v>18</v>
      </c>
      <c r="AA260" s="637">
        <f>'HVAC Deemed Table'!BB1616</f>
        <v>1.0649709532952181</v>
      </c>
      <c r="AB260" s="2917">
        <f>'HVAC Deemed Table'!K1616</f>
        <v>1956.9017238752731</v>
      </c>
      <c r="AC260" s="2090">
        <f t="shared" ref="AC260:AC323" si="166">AE260+AF260</f>
        <v>1210.2866999012265</v>
      </c>
      <c r="AD260" s="2090">
        <f t="shared" ref="AD260:AD323" si="167">AG260+AH260</f>
        <v>756.71990168490379</v>
      </c>
      <c r="AE260" s="2956">
        <f>'HVAC Deemed Table'!BD1616</f>
        <v>911.09264585308688</v>
      </c>
      <c r="AF260" s="2956">
        <f>'HVAC Deemed Table'!BD1617</f>
        <v>299.19405404813961</v>
      </c>
      <c r="AG260" s="2956">
        <f>'HVAC Deemed Table'!BD1618</f>
        <v>566.71130641718219</v>
      </c>
      <c r="AH260" s="2956">
        <f>'HVAC Deemed Table'!BD1619</f>
        <v>190.00859526772157</v>
      </c>
      <c r="AI260" s="2263" t="str">
        <f t="shared" si="152"/>
        <v>per measure</v>
      </c>
      <c r="AJ260" s="2240">
        <f>'HVAC Deemed Table'!L1616</f>
        <v>3.3</v>
      </c>
      <c r="AK260" s="2055"/>
      <c r="AL260" s="2055"/>
      <c r="AM260" s="2057">
        <f t="shared" si="164"/>
        <v>9.4741810000000004E-4</v>
      </c>
      <c r="AN260" s="132">
        <f t="shared" si="153"/>
        <v>1.4844525758039999</v>
      </c>
      <c r="AO260" s="2048">
        <f t="shared" si="159"/>
        <v>-4.2419600010390468E-7</v>
      </c>
    </row>
    <row r="261" spans="2:42" x14ac:dyDescent="0.25">
      <c r="B261" s="2240" t="str">
        <f>'HVAC Deemed Table'!C1620</f>
        <v>354701_2019_12_</v>
      </c>
      <c r="C261" s="2096" t="str">
        <f>'HVAC Deemed Table'!G1620</f>
        <v>Cooling Res</v>
      </c>
      <c r="D261" s="2096" t="str">
        <f>'HVAC Deemed Table'!G1621</f>
        <v>Heating Res</v>
      </c>
      <c r="E261" s="2096" t="str">
        <f>'HVAC Deemed Table'!G1622</f>
        <v>Cooling Res ER2</v>
      </c>
      <c r="F261" s="2096" t="str">
        <f>'HVAC Deemed Table'!G1623</f>
        <v>Heating Res ER2</v>
      </c>
      <c r="G261" s="208" t="str">
        <f>'HVAC Deemed Table'!E1620</f>
        <v>ASHP SEER 20 replace ASHP - early replacement MF ER1_CompE</v>
      </c>
      <c r="H261" s="622" t="str">
        <f>'HVAC Deemed Table'!D1620</f>
        <v>MFc</v>
      </c>
      <c r="I261" s="2091">
        <f t="shared" si="160"/>
        <v>1752.73</v>
      </c>
      <c r="J261" s="2091">
        <f t="shared" si="161"/>
        <v>567.66</v>
      </c>
      <c r="K261" s="2113">
        <f>'HVAC Deemed Table'!F1620</f>
        <v>1139.52</v>
      </c>
      <c r="L261" s="2113">
        <f>'HVAC Deemed Table'!F1621</f>
        <v>613.21</v>
      </c>
      <c r="M261" s="2113">
        <f>'HVAC Deemed Table'!F1622</f>
        <v>348.59</v>
      </c>
      <c r="N261" s="2113">
        <f>'HVAC Deemed Table'!F1623</f>
        <v>219.07</v>
      </c>
      <c r="O261" s="2092">
        <f t="shared" si="162"/>
        <v>1.079602</v>
      </c>
      <c r="P261" s="2092">
        <f t="shared" si="163"/>
        <v>0.33026</v>
      </c>
      <c r="Q261" s="2086">
        <f>'HVAC Deemed Table'!I1620</f>
        <v>1.079602</v>
      </c>
      <c r="R261" s="2086">
        <f>'HVAC Deemed Table'!I1621</f>
        <v>0</v>
      </c>
      <c r="S261" s="2086">
        <f>'HVAC Deemed Table'!I1622</f>
        <v>0.33026</v>
      </c>
      <c r="T261" s="2086">
        <f>'HVAC Deemed Table'!I1623</f>
        <v>0</v>
      </c>
      <c r="U261" s="2087"/>
      <c r="V261" s="2087"/>
      <c r="W261" s="2095">
        <f>P261</f>
        <v>0.33026</v>
      </c>
      <c r="X261" s="2121">
        <f>'HVAC Deemed Table'!J1620</f>
        <v>6</v>
      </c>
      <c r="Y261" s="2121">
        <f>'HVAC Deemed Table'!J1622</f>
        <v>12</v>
      </c>
      <c r="Z261" s="88">
        <f t="shared" si="165"/>
        <v>18</v>
      </c>
      <c r="AA261" s="637">
        <f>'HVAC Deemed Table'!BB1620</f>
        <v>0.67218637132586789</v>
      </c>
      <c r="AB261" s="2917">
        <f>'HVAC Deemed Table'!K1620</f>
        <v>1956.9017238752731</v>
      </c>
      <c r="AC261" s="2090">
        <f t="shared" si="166"/>
        <v>764.61020146955002</v>
      </c>
      <c r="AD261" s="2090">
        <f t="shared" si="167"/>
        <v>476.92134059090802</v>
      </c>
      <c r="AE261" s="2956">
        <f>'HVAC Deemed Table'!BD1620</f>
        <v>662.61283334769962</v>
      </c>
      <c r="AF261" s="2956">
        <f>'HVAC Deemed Table'!BD1621</f>
        <v>101.99736812185043</v>
      </c>
      <c r="AG261" s="2956">
        <f>'HVAC Deemed Table'!BD1622</f>
        <v>412.14615351741122</v>
      </c>
      <c r="AH261" s="2956">
        <f>'HVAC Deemed Table'!BD1623</f>
        <v>64.775187073496781</v>
      </c>
      <c r="AI261" s="2263" t="str">
        <f t="shared" si="152"/>
        <v>per measure</v>
      </c>
      <c r="AJ261" s="2240">
        <f>'HVAC Deemed Table'!L1620</f>
        <v>3.3</v>
      </c>
      <c r="AK261" s="2055"/>
      <c r="AL261" s="2055"/>
      <c r="AM261" s="2057">
        <f t="shared" si="164"/>
        <v>9.4741810000000004E-4</v>
      </c>
      <c r="AN261" s="132">
        <f t="shared" si="153"/>
        <v>1.0796018733120001</v>
      </c>
      <c r="AO261" s="2053">
        <f t="shared" si="159"/>
        <v>-1.2668799986848001E-7</v>
      </c>
      <c r="AP261" s="211">
        <f>AO261/O261</f>
        <v>-1.1734694810539441E-7</v>
      </c>
    </row>
    <row r="262" spans="2:42" x14ac:dyDescent="0.25">
      <c r="B262" s="2240" t="str">
        <f>'HVAC Deemed Table'!C1624</f>
        <v>354750_2019_12_</v>
      </c>
      <c r="C262" s="2096" t="str">
        <f>'HVAC Deemed Table'!G1624</f>
        <v>Cooling Res</v>
      </c>
      <c r="D262" s="2096" t="str">
        <f>'HVAC Deemed Table'!G1625</f>
        <v>Heating Res</v>
      </c>
      <c r="E262" s="2096" t="str">
        <f>'HVAC Deemed Table'!G1626</f>
        <v>Cooling Res ER2</v>
      </c>
      <c r="F262" s="2096" t="str">
        <f>'HVAC Deemed Table'!G1627</f>
        <v>Heating Res ER2</v>
      </c>
      <c r="G262" s="208" t="str">
        <f>'HVAC Deemed Table'!E1624</f>
        <v>ASHP SEER 21 replace ASHP - early replacement SF ER1</v>
      </c>
      <c r="H262" s="622" t="str">
        <f>'HVAC Deemed Table'!D1624</f>
        <v>SF</v>
      </c>
      <c r="I262" s="2091">
        <f t="shared" si="160"/>
        <v>5259.77</v>
      </c>
      <c r="J262" s="2091">
        <f t="shared" si="161"/>
        <v>1807.97</v>
      </c>
      <c r="K262" s="2113">
        <f>'HVAC Deemed Table'!F1624</f>
        <v>2492.4499999999998</v>
      </c>
      <c r="L262" s="2113">
        <f>'HVAC Deemed Table'!F1625</f>
        <v>2767.32</v>
      </c>
      <c r="M262" s="2113">
        <f>'HVAC Deemed Table'!F1626</f>
        <v>819.34</v>
      </c>
      <c r="N262" s="2113">
        <f>'HVAC Deemed Table'!F1627</f>
        <v>988.63</v>
      </c>
      <c r="O262" s="2092">
        <f t="shared" si="162"/>
        <v>2.3613919999999999</v>
      </c>
      <c r="P262" s="2092">
        <f t="shared" si="163"/>
        <v>0.776258</v>
      </c>
      <c r="Q262" s="2086">
        <f>'HVAC Deemed Table'!I1624</f>
        <v>2.3613919999999999</v>
      </c>
      <c r="R262" s="2086">
        <f>'HVAC Deemed Table'!I1625</f>
        <v>0</v>
      </c>
      <c r="S262" s="2086">
        <f>'HVAC Deemed Table'!I1626</f>
        <v>0.776258</v>
      </c>
      <c r="T262" s="2086">
        <f>'HVAC Deemed Table'!I1627</f>
        <v>0</v>
      </c>
      <c r="U262" s="2087"/>
      <c r="V262" s="2087"/>
      <c r="W262" s="2095">
        <f>P262</f>
        <v>0.776258</v>
      </c>
      <c r="X262" s="2121">
        <f>'HVAC Deemed Table'!J1624</f>
        <v>6</v>
      </c>
      <c r="Y262" s="2121">
        <f>'HVAC Deemed Table'!J1626</f>
        <v>12</v>
      </c>
      <c r="Z262" s="88">
        <f t="shared" si="165"/>
        <v>18</v>
      </c>
      <c r="AA262" s="637">
        <f>'HVAC Deemed Table'!BB1624</f>
        <v>1.3554276383834953</v>
      </c>
      <c r="AB262" s="2917">
        <f>'HVAC Deemed Table'!K1624</f>
        <v>2478.4195598081137</v>
      </c>
      <c r="AC262" s="2090">
        <f t="shared" si="166"/>
        <v>1909.618234801407</v>
      </c>
      <c r="AD262" s="2090">
        <f t="shared" si="167"/>
        <v>1261.0456357735563</v>
      </c>
      <c r="AE262" s="2956">
        <f>'HVAC Deemed Table'!BD1624</f>
        <v>1449.320201907359</v>
      </c>
      <c r="AF262" s="2956">
        <f>'HVAC Deemed Table'!BD1625</f>
        <v>460.29803289404794</v>
      </c>
      <c r="AG262" s="2956">
        <f>'HVAC Deemed Table'!BD1626</f>
        <v>968.72494742521508</v>
      </c>
      <c r="AH262" s="2956">
        <f>'HVAC Deemed Table'!BD1627</f>
        <v>292.32068834834126</v>
      </c>
      <c r="AI262" s="2263" t="str">
        <f t="shared" si="152"/>
        <v>per measure</v>
      </c>
      <c r="AJ262" s="2240">
        <f>'HVAC Deemed Table'!L1624</f>
        <v>3.3</v>
      </c>
      <c r="AK262" s="2055"/>
      <c r="AL262" s="2055"/>
      <c r="AM262" s="2057">
        <f t="shared" si="164"/>
        <v>9.4741810000000004E-4</v>
      </c>
      <c r="AN262" s="132">
        <f t="shared" si="153"/>
        <v>2.3613922433450001</v>
      </c>
      <c r="AO262" s="2048">
        <f t="shared" si="159"/>
        <v>2.4334500015044114E-7</v>
      </c>
    </row>
    <row r="263" spans="2:42" x14ac:dyDescent="0.25">
      <c r="B263" s="2240" t="str">
        <f>'HVAC Deemed Table'!C1628</f>
        <v>354800_2019_12_</v>
      </c>
      <c r="C263" s="2096" t="str">
        <f>'HVAC Deemed Table'!G1628</f>
        <v>Cooling Res</v>
      </c>
      <c r="D263" s="2096" t="str">
        <f>'HVAC Deemed Table'!G1629</f>
        <v>Heating Res</v>
      </c>
      <c r="E263" s="208"/>
      <c r="F263" s="208"/>
      <c r="G263" s="208" t="str">
        <f>'HVAC Deemed Table'!E1628</f>
        <v>ASHP SEER 21 replace ASHP - replace on fail SF</v>
      </c>
      <c r="H263" s="622" t="str">
        <f>'HVAC Deemed Table'!D1628</f>
        <v>SF</v>
      </c>
      <c r="I263" s="2091">
        <f t="shared" si="160"/>
        <v>1998.8600000000001</v>
      </c>
      <c r="J263" s="2091">
        <f t="shared" si="161"/>
        <v>0</v>
      </c>
      <c r="K263" s="2113">
        <f>'HVAC Deemed Table'!F1628</f>
        <v>819.34</v>
      </c>
      <c r="L263" s="2113">
        <f>'HVAC Deemed Table'!F1629</f>
        <v>1179.52</v>
      </c>
      <c r="M263" s="2113"/>
      <c r="N263" s="2113"/>
      <c r="O263" s="2092">
        <f t="shared" si="162"/>
        <v>0.776258</v>
      </c>
      <c r="P263" s="2092">
        <f t="shared" si="163"/>
        <v>0</v>
      </c>
      <c r="Q263" s="2086">
        <f>'HVAC Deemed Table'!I1628</f>
        <v>0.776258</v>
      </c>
      <c r="R263" s="2086">
        <f>'HVAC Deemed Table'!I1629</f>
        <v>0</v>
      </c>
      <c r="S263" s="2086"/>
      <c r="T263" s="2086"/>
      <c r="U263" s="2087"/>
      <c r="V263" s="2087"/>
      <c r="W263" s="2087">
        <f>O263</f>
        <v>0.776258</v>
      </c>
      <c r="X263" s="2121">
        <f>'HVAC Deemed Table'!J1628</f>
        <v>18</v>
      </c>
      <c r="Y263" s="2121"/>
      <c r="Z263" s="88">
        <f t="shared" si="165"/>
        <v>18</v>
      </c>
      <c r="AA263" s="637">
        <f>'HVAC Deemed Table'!BB1628</f>
        <v>1.2477049469596688</v>
      </c>
      <c r="AB263" s="2917">
        <f>'HVAC Deemed Table'!K1628</f>
        <v>1689.9245999999991</v>
      </c>
      <c r="AC263" s="2090">
        <f t="shared" si="166"/>
        <v>1990.1154161480306</v>
      </c>
      <c r="AD263" s="2090">
        <f t="shared" si="167"/>
        <v>0</v>
      </c>
      <c r="AE263" s="2956">
        <f>'HVAC Deemed Table'!BD1628</f>
        <v>1445.1581814843839</v>
      </c>
      <c r="AF263" s="2956">
        <f>'HVAC Deemed Table'!BD1629</f>
        <v>544.95723466364666</v>
      </c>
      <c r="AG263" s="2956"/>
      <c r="AH263" s="2956"/>
      <c r="AI263" s="2263" t="str">
        <f t="shared" si="152"/>
        <v>per measure</v>
      </c>
      <c r="AJ263" s="2240">
        <f>'HVAC Deemed Table'!L1628</f>
        <v>3.3</v>
      </c>
      <c r="AK263" s="2055"/>
      <c r="AL263" s="2055"/>
      <c r="AM263" s="2057">
        <f t="shared" si="164"/>
        <v>9.4741810000000004E-4</v>
      </c>
      <c r="AN263" s="132">
        <f t="shared" si="153"/>
        <v>0.7762575460540001</v>
      </c>
      <c r="AO263" s="2048">
        <f t="shared" si="159"/>
        <v>-4.5394599990089546E-7</v>
      </c>
    </row>
    <row r="264" spans="2:42" x14ac:dyDescent="0.25">
      <c r="B264" s="2240" t="str">
        <f>'HVAC Deemed Table'!C1630</f>
        <v>354850_2019_12_</v>
      </c>
      <c r="C264" s="2096" t="str">
        <f>'HVAC Deemed Table'!G1630</f>
        <v>Cooling Res</v>
      </c>
      <c r="D264" s="2096" t="str">
        <f>'HVAC Deemed Table'!G1631</f>
        <v>Heating Res</v>
      </c>
      <c r="E264" s="208"/>
      <c r="F264" s="208"/>
      <c r="G264" s="208" t="str">
        <f>'HVAC Deemed Table'!E1630</f>
        <v>ASHP - SEER 21 - replace electric furnace / CAC MF</v>
      </c>
      <c r="H264" s="622" t="str">
        <f>'HVAC Deemed Table'!D1630</f>
        <v>MF</v>
      </c>
      <c r="I264" s="2091">
        <f t="shared" si="160"/>
        <v>6769.2699999999995</v>
      </c>
      <c r="J264" s="2091">
        <f t="shared" si="161"/>
        <v>0</v>
      </c>
      <c r="K264" s="2113">
        <f>'HVAC Deemed Table'!F1630</f>
        <v>556.16</v>
      </c>
      <c r="L264" s="2113">
        <f>'HVAC Deemed Table'!F1631</f>
        <v>6213.11</v>
      </c>
      <c r="M264" s="2113"/>
      <c r="N264" s="2113"/>
      <c r="O264" s="2092">
        <f t="shared" si="162"/>
        <v>0.52691600000000005</v>
      </c>
      <c r="P264" s="2092">
        <f t="shared" si="163"/>
        <v>0</v>
      </c>
      <c r="Q264" s="2086">
        <f>'HVAC Deemed Table'!I1630</f>
        <v>0.52691600000000005</v>
      </c>
      <c r="R264" s="2086">
        <f>'HVAC Deemed Table'!I1631</f>
        <v>0</v>
      </c>
      <c r="S264" s="2086"/>
      <c r="T264" s="2086"/>
      <c r="U264" s="2087"/>
      <c r="V264" s="2087"/>
      <c r="W264" s="2087">
        <f>O264</f>
        <v>0.52691600000000005</v>
      </c>
      <c r="X264" s="2121">
        <f>'HVAC Deemed Table'!J1630</f>
        <v>18</v>
      </c>
      <c r="Y264" s="2121"/>
      <c r="Z264" s="88">
        <f t="shared" si="165"/>
        <v>18</v>
      </c>
      <c r="AA264" s="637">
        <f>'HVAC Deemed Table'!BB1630</f>
        <v>2.4147120897912031</v>
      </c>
      <c r="AB264" s="2917">
        <f>'HVAC Deemed Table'!K1630</f>
        <v>1689.9245999999991</v>
      </c>
      <c r="AC264" s="2090">
        <f t="shared" si="166"/>
        <v>3851.5161514446063</v>
      </c>
      <c r="AD264" s="2090">
        <f t="shared" si="167"/>
        <v>0</v>
      </c>
      <c r="AE264" s="2956">
        <f>'HVAC Deemed Table'!BD1630</f>
        <v>980.95927724065086</v>
      </c>
      <c r="AF264" s="2956">
        <f>'HVAC Deemed Table'!BD1631</f>
        <v>2870.5568742039554</v>
      </c>
      <c r="AG264" s="2956"/>
      <c r="AH264" s="2956"/>
      <c r="AI264" s="2263" t="str">
        <f t="shared" si="152"/>
        <v>per measure</v>
      </c>
      <c r="AJ264" s="2240">
        <f>'HVAC Deemed Table'!L1630</f>
        <v>2.8</v>
      </c>
      <c r="AK264" s="2055"/>
      <c r="AL264" s="2055"/>
      <c r="AM264" s="2057">
        <f t="shared" si="164"/>
        <v>9.4741810000000004E-4</v>
      </c>
      <c r="AN264" s="132">
        <f t="shared" si="153"/>
        <v>0.52691605049599999</v>
      </c>
      <c r="AO264" s="2048">
        <f t="shared" si="159"/>
        <v>5.049599993700582E-8</v>
      </c>
    </row>
    <row r="265" spans="2:42" x14ac:dyDescent="0.25">
      <c r="B265" s="2240" t="str">
        <f>'HVAC Deemed Table'!C1632</f>
        <v>354851_2019_12_</v>
      </c>
      <c r="C265" s="2096" t="str">
        <f>'HVAC Deemed Table'!G1632</f>
        <v>Cooling Res</v>
      </c>
      <c r="D265" s="2096" t="str">
        <f>'HVAC Deemed Table'!G1633</f>
        <v>Heating Res</v>
      </c>
      <c r="E265" s="208"/>
      <c r="F265" s="208"/>
      <c r="G265" s="208" t="str">
        <f>'HVAC Deemed Table'!E1632</f>
        <v>ASHP - SEER 21 - replace electric furnace / CAC MF_CompE</v>
      </c>
      <c r="H265" s="622" t="str">
        <f>'HVAC Deemed Table'!D1632</f>
        <v>MFc</v>
      </c>
      <c r="I265" s="2091">
        <f t="shared" si="160"/>
        <v>2522.58</v>
      </c>
      <c r="J265" s="2091">
        <f t="shared" si="161"/>
        <v>0</v>
      </c>
      <c r="K265" s="2113">
        <f>'HVAC Deemed Table'!F1632</f>
        <v>404.48</v>
      </c>
      <c r="L265" s="2113">
        <f>'HVAC Deemed Table'!F1633</f>
        <v>2118.1</v>
      </c>
      <c r="M265" s="2113"/>
      <c r="N265" s="2113"/>
      <c r="O265" s="2092">
        <f t="shared" si="162"/>
        <v>0.383212</v>
      </c>
      <c r="P265" s="2092">
        <f t="shared" si="163"/>
        <v>0</v>
      </c>
      <c r="Q265" s="2086">
        <f>'HVAC Deemed Table'!I1632</f>
        <v>0.383212</v>
      </c>
      <c r="R265" s="2086">
        <f>'HVAC Deemed Table'!I1633</f>
        <v>0</v>
      </c>
      <c r="S265" s="2086"/>
      <c r="T265" s="2086"/>
      <c r="U265" s="2087"/>
      <c r="V265" s="2087"/>
      <c r="W265" s="2087">
        <f>O265</f>
        <v>0.383212</v>
      </c>
      <c r="X265" s="2121">
        <f>'HVAC Deemed Table'!J1632</f>
        <v>18</v>
      </c>
      <c r="Y265" s="2121"/>
      <c r="Z265" s="88">
        <f t="shared" si="165"/>
        <v>18</v>
      </c>
      <c r="AA265" s="637">
        <f>'HVAC Deemed Table'!BB1632</f>
        <v>1.0608144895170573</v>
      </c>
      <c r="AB265" s="2917">
        <f>'HVAC Deemed Table'!K1632</f>
        <v>1689.9245999999991</v>
      </c>
      <c r="AC265" s="2090">
        <f t="shared" si="166"/>
        <v>1692.0212381985052</v>
      </c>
      <c r="AD265" s="2090">
        <f t="shared" si="167"/>
        <v>0</v>
      </c>
      <c r="AE265" s="2956">
        <f>'HVAC Deemed Table'!BD1632</f>
        <v>713.42492890229164</v>
      </c>
      <c r="AF265" s="2956">
        <f>'HVAC Deemed Table'!BD1633</f>
        <v>978.59630929621369</v>
      </c>
      <c r="AG265" s="2956"/>
      <c r="AH265" s="2956"/>
      <c r="AI265" s="2263" t="str">
        <f t="shared" si="152"/>
        <v>per measure</v>
      </c>
      <c r="AJ265" s="2240">
        <f>'HVAC Deemed Table'!L1632</f>
        <v>2.8</v>
      </c>
      <c r="AK265" s="2055"/>
      <c r="AL265" s="2055"/>
      <c r="AM265" s="2057">
        <f t="shared" si="164"/>
        <v>9.4741810000000004E-4</v>
      </c>
      <c r="AN265" s="132">
        <f t="shared" si="153"/>
        <v>0.38321167308800003</v>
      </c>
      <c r="AO265" s="2053">
        <f t="shared" si="159"/>
        <v>-3.2691199997048059E-7</v>
      </c>
      <c r="AP265" s="211">
        <f>AO265/O265</f>
        <v>-8.5308393257643449E-7</v>
      </c>
    </row>
    <row r="266" spans="2:42" x14ac:dyDescent="0.25">
      <c r="B266" s="2240" t="str">
        <f>'HVAC Deemed Table'!C1634</f>
        <v>354900_2019_12_</v>
      </c>
      <c r="C266" s="2096" t="str">
        <f>'HVAC Deemed Table'!G1634</f>
        <v>Cooling Res</v>
      </c>
      <c r="D266" s="2096" t="str">
        <f>'HVAC Deemed Table'!G1635</f>
        <v>Heating Res</v>
      </c>
      <c r="E266" s="2096" t="str">
        <f>'HVAC Deemed Table'!G1636</f>
        <v>Cooling Res ER2</v>
      </c>
      <c r="F266" s="2096" t="str">
        <f>'HVAC Deemed Table'!G1637</f>
        <v>Heating Res ER2</v>
      </c>
      <c r="G266" s="208" t="str">
        <f>'HVAC Deemed Table'!E1634</f>
        <v>ASHP SEER 21 replace ASHP - early replacement MF ER1</v>
      </c>
      <c r="H266" s="622" t="str">
        <f>'HVAC Deemed Table'!D1634</f>
        <v>MF</v>
      </c>
      <c r="I266" s="2091">
        <f>K266+L266</f>
        <v>3418.8599999999997</v>
      </c>
      <c r="J266" s="2091">
        <f>M266+N266</f>
        <v>1175.18</v>
      </c>
      <c r="K266" s="2113">
        <f>'HVAC Deemed Table'!F1634</f>
        <v>1620.1</v>
      </c>
      <c r="L266" s="2113">
        <f>'HVAC Deemed Table'!F1635</f>
        <v>1798.76</v>
      </c>
      <c r="M266" s="2113">
        <f>'HVAC Deemed Table'!F1636</f>
        <v>532.57000000000005</v>
      </c>
      <c r="N266" s="2113">
        <f>'HVAC Deemed Table'!F1637</f>
        <v>642.61</v>
      </c>
      <c r="O266" s="2092">
        <f>Q266+R266</f>
        <v>1.5349120000000001</v>
      </c>
      <c r="P266" s="2092">
        <f>S266+T266</f>
        <v>0.50456599999999996</v>
      </c>
      <c r="Q266" s="2086">
        <f>'HVAC Deemed Table'!I1634</f>
        <v>1.5349120000000001</v>
      </c>
      <c r="R266" s="2086">
        <f>'HVAC Deemed Table'!I1635</f>
        <v>0</v>
      </c>
      <c r="S266" s="2086">
        <f>'HVAC Deemed Table'!I1636</f>
        <v>0.50456599999999996</v>
      </c>
      <c r="T266" s="2086">
        <f>'HVAC Deemed Table'!I1637</f>
        <v>0</v>
      </c>
      <c r="U266" s="2087"/>
      <c r="V266" s="2087"/>
      <c r="W266" s="2095">
        <f>P266</f>
        <v>0.50456599999999996</v>
      </c>
      <c r="X266" s="2121">
        <f>'HVAC Deemed Table'!J1634</f>
        <v>6</v>
      </c>
      <c r="Y266" s="2121">
        <f>'HVAC Deemed Table'!J1636</f>
        <v>12</v>
      </c>
      <c r="Z266" s="88">
        <f t="shared" si="165"/>
        <v>18</v>
      </c>
      <c r="AA266" s="637">
        <f>'HVAC Deemed Table'!BB1634</f>
        <v>0.99142521406446316</v>
      </c>
      <c r="AB266" s="2917">
        <f>'HVAC Deemed Table'!K1634</f>
        <v>2202.4463238752733</v>
      </c>
      <c r="AC266" s="2090">
        <f t="shared" si="166"/>
        <v>1241.256546419145</v>
      </c>
      <c r="AD266" s="2090">
        <f t="shared" si="167"/>
        <v>819.67862877059815</v>
      </c>
      <c r="AE266" s="2956">
        <f>'HVAC Deemed Table'!BD1634</f>
        <v>942.06249237100542</v>
      </c>
      <c r="AF266" s="2956">
        <f>'HVAC Deemed Table'!BD1635</f>
        <v>299.19405404813961</v>
      </c>
      <c r="AG266" s="2956">
        <f>'HVAC Deemed Table'!BD1636</f>
        <v>629.67003350287655</v>
      </c>
      <c r="AH266" s="2956">
        <f>'HVAC Deemed Table'!BD1637</f>
        <v>190.00859526772157</v>
      </c>
      <c r="AI266" s="2263" t="str">
        <f t="shared" si="152"/>
        <v>per measure</v>
      </c>
      <c r="AJ266" s="2240">
        <f>'HVAC Deemed Table'!L1634</f>
        <v>3.3</v>
      </c>
      <c r="AK266" s="2055"/>
      <c r="AL266" s="2055"/>
      <c r="AM266" s="2057">
        <f t="shared" si="164"/>
        <v>9.4741810000000004E-4</v>
      </c>
      <c r="AN266" s="132">
        <f t="shared" si="153"/>
        <v>1.53491206381</v>
      </c>
      <c r="AO266" s="2048">
        <f t="shared" si="159"/>
        <v>6.3809999950592555E-8</v>
      </c>
    </row>
    <row r="267" spans="2:42" x14ac:dyDescent="0.25">
      <c r="B267" s="2240" t="str">
        <f>'HVAC Deemed Table'!C1638</f>
        <v>354901_2019_12_</v>
      </c>
      <c r="C267" s="2096" t="str">
        <f>'HVAC Deemed Table'!G1638</f>
        <v>Cooling Res</v>
      </c>
      <c r="D267" s="2096" t="str">
        <f>'HVAC Deemed Table'!G1639</f>
        <v>Heating Res</v>
      </c>
      <c r="E267" s="2096" t="str">
        <f>'HVAC Deemed Table'!G1640</f>
        <v>Cooling Res ER2</v>
      </c>
      <c r="F267" s="2096" t="str">
        <f>'HVAC Deemed Table'!G1641</f>
        <v>Heating Res ER2</v>
      </c>
      <c r="G267" s="208" t="str">
        <f>'HVAC Deemed Table'!E1638</f>
        <v>ASHP SEER 21 replace ASHP - early replacement MF ER1_CompE</v>
      </c>
      <c r="H267" s="622" t="str">
        <f>'HVAC Deemed Table'!D1638</f>
        <v>MFc</v>
      </c>
      <c r="I267" s="2091">
        <f>K267+L267</f>
        <v>1791.46</v>
      </c>
      <c r="J267" s="2091">
        <f>M267+N267</f>
        <v>606.4</v>
      </c>
      <c r="K267" s="2113">
        <f>'HVAC Deemed Table'!F1638</f>
        <v>1178.25</v>
      </c>
      <c r="L267" s="2113">
        <f>'HVAC Deemed Table'!F1639</f>
        <v>613.21</v>
      </c>
      <c r="M267" s="2113">
        <f>'HVAC Deemed Table'!F1640</f>
        <v>387.33</v>
      </c>
      <c r="N267" s="2113">
        <f>'HVAC Deemed Table'!F1641</f>
        <v>219.07</v>
      </c>
      <c r="O267" s="2092">
        <f>Q267+R267</f>
        <v>1.116295</v>
      </c>
      <c r="P267" s="2092">
        <f>S267+T267</f>
        <v>0.36696299999999998</v>
      </c>
      <c r="Q267" s="2086">
        <f>'HVAC Deemed Table'!I1638</f>
        <v>1.116295</v>
      </c>
      <c r="R267" s="2086">
        <f>'HVAC Deemed Table'!I1639</f>
        <v>0</v>
      </c>
      <c r="S267" s="2086">
        <f>'HVAC Deemed Table'!I1640</f>
        <v>0.36696299999999998</v>
      </c>
      <c r="T267" s="2086">
        <f>'HVAC Deemed Table'!I1641</f>
        <v>0</v>
      </c>
      <c r="U267" s="2087"/>
      <c r="V267" s="2087"/>
      <c r="W267" s="2095">
        <f>P267</f>
        <v>0.36696299999999998</v>
      </c>
      <c r="X267" s="2121">
        <f>'HVAC Deemed Table'!J1638</f>
        <v>6</v>
      </c>
      <c r="Y267" s="2121">
        <f>'HVAC Deemed Table'!J1640</f>
        <v>12</v>
      </c>
      <c r="Z267" s="88">
        <f t="shared" si="165"/>
        <v>18</v>
      </c>
      <c r="AA267" s="637">
        <f>'HVAC Deemed Table'!BB1638</f>
        <v>0.63011390195139227</v>
      </c>
      <c r="AB267" s="2917">
        <f>'HVAC Deemed Table'!K1638</f>
        <v>2202.4463238752733</v>
      </c>
      <c r="AC267" s="2090">
        <f t="shared" si="166"/>
        <v>787.13108310002281</v>
      </c>
      <c r="AD267" s="2090">
        <f t="shared" si="167"/>
        <v>522.72455349794632</v>
      </c>
      <c r="AE267" s="2956">
        <f>'HVAC Deemed Table'!BD1638</f>
        <v>685.13371497817241</v>
      </c>
      <c r="AF267" s="2956">
        <f>'HVAC Deemed Table'!BD1639</f>
        <v>101.99736812185043</v>
      </c>
      <c r="AG267" s="2956">
        <f>'HVAC Deemed Table'!BD1640</f>
        <v>457.94936642444958</v>
      </c>
      <c r="AH267" s="2956">
        <f>'HVAC Deemed Table'!BD1641</f>
        <v>64.775187073496781</v>
      </c>
      <c r="AI267" s="2263" t="str">
        <f t="shared" si="152"/>
        <v>per measure</v>
      </c>
      <c r="AJ267" s="2240">
        <f>'HVAC Deemed Table'!L1638</f>
        <v>3.3</v>
      </c>
      <c r="AK267" s="2055"/>
      <c r="AL267" s="2055"/>
      <c r="AM267" s="2057">
        <f t="shared" si="164"/>
        <v>9.4741810000000004E-4</v>
      </c>
      <c r="AN267" s="132">
        <f t="shared" si="153"/>
        <v>1.1162953763250001</v>
      </c>
      <c r="AO267" s="2053">
        <f t="shared" si="159"/>
        <v>3.7632500005102543E-7</v>
      </c>
      <c r="AP267" s="211">
        <f>AO267/O267</f>
        <v>3.3711966823377819E-7</v>
      </c>
    </row>
    <row r="268" spans="2:42" x14ac:dyDescent="0.25">
      <c r="B268" s="2240" t="str">
        <f>'HVAC Deemed Table'!C1642</f>
        <v>354950_2019_12_</v>
      </c>
      <c r="C268" s="2096" t="str">
        <f>'HVAC Deemed Table'!G1642</f>
        <v>Cooling Res</v>
      </c>
      <c r="D268" s="2096" t="str">
        <f>'HVAC Deemed Table'!G1643</f>
        <v>Heating Res</v>
      </c>
      <c r="E268" s="208"/>
      <c r="F268" s="208"/>
      <c r="G268" s="208" t="str">
        <f>'HVAC Deemed Table'!E1642</f>
        <v>ASHP - SEER 17 - replace on fail MF</v>
      </c>
      <c r="H268" s="622" t="str">
        <f>'HVAC Deemed Table'!D1642</f>
        <v>MF</v>
      </c>
      <c r="I268" s="2091">
        <f t="shared" ref="I268:I277" si="168">K268+L268</f>
        <v>1048.6400000000001</v>
      </c>
      <c r="J268" s="2091">
        <f t="shared" ref="J268:J277" si="169">M268+N268</f>
        <v>0</v>
      </c>
      <c r="K268" s="2113">
        <f>'HVAC Deemed Table'!F1642</f>
        <v>281.95</v>
      </c>
      <c r="L268" s="2113">
        <f>'HVAC Deemed Table'!F1643</f>
        <v>766.69</v>
      </c>
      <c r="M268" s="2113"/>
      <c r="N268" s="2113"/>
      <c r="O268" s="2092">
        <f t="shared" ref="O268:O277" si="170">Q268+R268</f>
        <v>0.267125</v>
      </c>
      <c r="P268" s="2092">
        <f t="shared" ref="P268:P277" si="171">S268+T268</f>
        <v>0</v>
      </c>
      <c r="Q268" s="2086">
        <f>'HVAC Deemed Table'!I1642</f>
        <v>0.267125</v>
      </c>
      <c r="R268" s="2086">
        <f>'HVAC Deemed Table'!I1643</f>
        <v>0</v>
      </c>
      <c r="S268" s="2086"/>
      <c r="T268" s="2086"/>
      <c r="U268" s="2087"/>
      <c r="V268" s="2087"/>
      <c r="W268" s="2087">
        <f t="shared" ref="W268:W277" si="172">O268</f>
        <v>0.267125</v>
      </c>
      <c r="X268" s="2121">
        <f>'HVAC Deemed Table'!J1642</f>
        <v>18</v>
      </c>
      <c r="Y268" s="2121"/>
      <c r="Z268" s="88">
        <f t="shared" si="165"/>
        <v>18</v>
      </c>
      <c r="AA268" s="637">
        <f>'HVAC Deemed Table'!BB1642</f>
        <v>1.2461252190526704</v>
      </c>
      <c r="AB268" s="2917">
        <f>'HVAC Deemed Table'!K1642</f>
        <v>724</v>
      </c>
      <c r="AC268" s="2090">
        <f t="shared" si="166"/>
        <v>851.52870089111218</v>
      </c>
      <c r="AD268" s="2090">
        <f t="shared" si="167"/>
        <v>0</v>
      </c>
      <c r="AE268" s="2956">
        <f>'HVAC Deemed Table'!BD1642</f>
        <v>497.30557432753437</v>
      </c>
      <c r="AF268" s="2956">
        <f>'HVAC Deemed Table'!BD1643</f>
        <v>354.22312656357781</v>
      </c>
      <c r="AG268" s="2956"/>
      <c r="AH268" s="2956"/>
      <c r="AI268" s="2263" t="str">
        <f t="shared" si="152"/>
        <v>per measure</v>
      </c>
      <c r="AJ268" s="2240">
        <f>'HVAC Deemed Table'!L1642</f>
        <v>3.3</v>
      </c>
      <c r="AK268" s="2055"/>
      <c r="AL268" s="2055"/>
      <c r="AM268" s="2057">
        <f t="shared" si="164"/>
        <v>9.4741810000000004E-4</v>
      </c>
      <c r="AN268" s="132">
        <f t="shared" ref="AN268:AN277" si="173">AM268*K268</f>
        <v>0.26712453329500002</v>
      </c>
      <c r="AO268" s="2048">
        <f t="shared" si="159"/>
        <v>-4.6670499997958359E-7</v>
      </c>
    </row>
    <row r="269" spans="2:42" x14ac:dyDescent="0.25">
      <c r="B269" s="2240" t="str">
        <f>'HVAC Deemed Table'!C1644</f>
        <v>354951_2019_12_</v>
      </c>
      <c r="C269" s="2096" t="str">
        <f>'HVAC Deemed Table'!G1644</f>
        <v>Cooling Res</v>
      </c>
      <c r="D269" s="2096" t="str">
        <f>'HVAC Deemed Table'!G1645</f>
        <v>Heating Res</v>
      </c>
      <c r="E269" s="208"/>
      <c r="F269" s="208"/>
      <c r="G269" s="208" t="str">
        <f>'HVAC Deemed Table'!E1644</f>
        <v>ASHP - SEER 17 - replace on fail MF_CompE</v>
      </c>
      <c r="H269" s="622" t="str">
        <f>'HVAC Deemed Table'!D1644</f>
        <v>MFc</v>
      </c>
      <c r="I269" s="2091">
        <f t="shared" si="168"/>
        <v>466.42</v>
      </c>
      <c r="J269" s="2091">
        <f t="shared" si="169"/>
        <v>0</v>
      </c>
      <c r="K269" s="2113">
        <f>'HVAC Deemed Table'!F1644</f>
        <v>205.05</v>
      </c>
      <c r="L269" s="2113">
        <f>'HVAC Deemed Table'!F1645</f>
        <v>261.37</v>
      </c>
      <c r="M269" s="2113"/>
      <c r="N269" s="2113"/>
      <c r="O269" s="2092">
        <f t="shared" si="170"/>
        <v>0.194268</v>
      </c>
      <c r="P269" s="2092">
        <f t="shared" si="171"/>
        <v>0</v>
      </c>
      <c r="Q269" s="2086">
        <f>'HVAC Deemed Table'!I1644</f>
        <v>0.194268</v>
      </c>
      <c r="R269" s="2086">
        <f>'HVAC Deemed Table'!I1645</f>
        <v>0</v>
      </c>
      <c r="S269" s="2086"/>
      <c r="T269" s="2086"/>
      <c r="U269" s="2087"/>
      <c r="V269" s="2087"/>
      <c r="W269" s="2087">
        <f t="shared" si="172"/>
        <v>0.194268</v>
      </c>
      <c r="X269" s="2121">
        <f>'HVAC Deemed Table'!J1644</f>
        <v>18</v>
      </c>
      <c r="Y269" s="2121"/>
      <c r="Z269" s="88">
        <f t="shared" si="165"/>
        <v>18</v>
      </c>
      <c r="AA269" s="637">
        <f>'HVAC Deemed Table'!BB1644</f>
        <v>0.70598101502515853</v>
      </c>
      <c r="AB269" s="2917">
        <f>'HVAC Deemed Table'!K1644</f>
        <v>724</v>
      </c>
      <c r="AC269" s="2090">
        <f t="shared" si="166"/>
        <v>482.42591305164206</v>
      </c>
      <c r="AD269" s="2090">
        <f t="shared" si="167"/>
        <v>0</v>
      </c>
      <c r="AE269" s="2956">
        <f>'HVAC Deemed Table'!BD1644</f>
        <v>361.66876402149649</v>
      </c>
      <c r="AF269" s="2956">
        <f>'HVAC Deemed Table'!BD1645</f>
        <v>120.7571490301456</v>
      </c>
      <c r="AG269" s="2956"/>
      <c r="AH269" s="2956"/>
      <c r="AI269" s="2263" t="str">
        <f t="shared" si="152"/>
        <v>per measure</v>
      </c>
      <c r="AJ269" s="2240">
        <f>'HVAC Deemed Table'!L1644</f>
        <v>3.3</v>
      </c>
      <c r="AK269" s="2055"/>
      <c r="AL269" s="2055"/>
      <c r="AM269" s="2057">
        <f t="shared" si="164"/>
        <v>9.4741810000000004E-4</v>
      </c>
      <c r="AN269" s="132">
        <f t="shared" si="173"/>
        <v>0.19426808140500001</v>
      </c>
      <c r="AO269" s="2053">
        <f t="shared" si="159"/>
        <v>8.1405000018630602E-8</v>
      </c>
      <c r="AP269" s="211">
        <f>AO269/O269</f>
        <v>4.1903452971477858E-7</v>
      </c>
    </row>
    <row r="270" spans="2:42" x14ac:dyDescent="0.25">
      <c r="B270" s="2240" t="str">
        <f>'HVAC Deemed Table'!C1646</f>
        <v>355000_2019_12_</v>
      </c>
      <c r="C270" s="2096" t="str">
        <f>'HVAC Deemed Table'!G1646</f>
        <v>Cooling Res</v>
      </c>
      <c r="D270" s="2096" t="str">
        <f>'HVAC Deemed Table'!G1647</f>
        <v>Heating Res</v>
      </c>
      <c r="E270" s="208"/>
      <c r="F270" s="208"/>
      <c r="G270" s="208" t="str">
        <f>'HVAC Deemed Table'!E1646</f>
        <v>ASHP - SEER 18 - replace on fail MF</v>
      </c>
      <c r="H270" s="622" t="str">
        <f>'HVAC Deemed Table'!D1646</f>
        <v>MF</v>
      </c>
      <c r="I270" s="2091">
        <f t="shared" si="168"/>
        <v>1121.74</v>
      </c>
      <c r="J270" s="2091">
        <f t="shared" si="169"/>
        <v>0</v>
      </c>
      <c r="K270" s="2113">
        <f>'HVAC Deemed Table'!F1646</f>
        <v>355.05</v>
      </c>
      <c r="L270" s="2113">
        <f>'HVAC Deemed Table'!F1647</f>
        <v>766.69</v>
      </c>
      <c r="M270" s="2113"/>
      <c r="N270" s="2113"/>
      <c r="O270" s="2092">
        <f t="shared" si="170"/>
        <v>0.33638099999999999</v>
      </c>
      <c r="P270" s="2092">
        <f t="shared" si="171"/>
        <v>0</v>
      </c>
      <c r="Q270" s="2086">
        <f>'HVAC Deemed Table'!I1646</f>
        <v>0.33638099999999999</v>
      </c>
      <c r="R270" s="2086">
        <f>'HVAC Deemed Table'!I1647</f>
        <v>0</v>
      </c>
      <c r="S270" s="2086"/>
      <c r="T270" s="2086"/>
      <c r="U270" s="2087"/>
      <c r="V270" s="2087"/>
      <c r="W270" s="2087">
        <f t="shared" si="172"/>
        <v>0.33638099999999999</v>
      </c>
      <c r="X270" s="2121">
        <f>'HVAC Deemed Table'!J1646</f>
        <v>18</v>
      </c>
      <c r="Y270" s="2121"/>
      <c r="Z270" s="88">
        <f t="shared" si="165"/>
        <v>18</v>
      </c>
      <c r="AA270" s="637">
        <f>'HVAC Deemed Table'!BB1646</f>
        <v>1.0788025931831349</v>
      </c>
      <c r="AB270" s="2917">
        <f>'HVAC Deemed Table'!K1646</f>
        <v>962.92000000000007</v>
      </c>
      <c r="AC270" s="2090">
        <f t="shared" si="166"/>
        <v>980.46304202728095</v>
      </c>
      <c r="AD270" s="2090">
        <f t="shared" si="167"/>
        <v>0</v>
      </c>
      <c r="AE270" s="2956">
        <f>'HVAC Deemed Table'!BD1646</f>
        <v>626.23991546370314</v>
      </c>
      <c r="AF270" s="2956">
        <f>'HVAC Deemed Table'!BD1647</f>
        <v>354.22312656357781</v>
      </c>
      <c r="AG270" s="2956"/>
      <c r="AH270" s="2956"/>
      <c r="AI270" s="2263" t="str">
        <f t="shared" si="152"/>
        <v>per measure</v>
      </c>
      <c r="AJ270" s="2240">
        <f>'HVAC Deemed Table'!L1646</f>
        <v>3.3</v>
      </c>
      <c r="AK270" s="2055"/>
      <c r="AL270" s="2055"/>
      <c r="AM270" s="2057">
        <f t="shared" si="164"/>
        <v>9.4741810000000004E-4</v>
      </c>
      <c r="AN270" s="132">
        <f t="shared" si="173"/>
        <v>0.33638079640500002</v>
      </c>
      <c r="AO270" s="2048">
        <f t="shared" si="159"/>
        <v>-2.0359499997013586E-7</v>
      </c>
    </row>
    <row r="271" spans="2:42" x14ac:dyDescent="0.25">
      <c r="B271" s="2240" t="str">
        <f>'HVAC Deemed Table'!C1648</f>
        <v>355001_2019_12_</v>
      </c>
      <c r="C271" s="2096" t="str">
        <f>'HVAC Deemed Table'!G1648</f>
        <v>Cooling Res</v>
      </c>
      <c r="D271" s="2096" t="str">
        <f>'HVAC Deemed Table'!G1649</f>
        <v>Heating Res</v>
      </c>
      <c r="E271" s="208"/>
      <c r="F271" s="208"/>
      <c r="G271" s="208" t="str">
        <f>'HVAC Deemed Table'!E1648</f>
        <v>ASHP - SEER 18 - replace on fail MF_CompE</v>
      </c>
      <c r="H271" s="622" t="str">
        <f>'HVAC Deemed Table'!D1648</f>
        <v>MFc</v>
      </c>
      <c r="I271" s="2091">
        <f t="shared" si="168"/>
        <v>799.37</v>
      </c>
      <c r="J271" s="2091">
        <f t="shared" si="169"/>
        <v>0</v>
      </c>
      <c r="K271" s="2113">
        <f>'HVAC Deemed Table'!F1648</f>
        <v>397.26</v>
      </c>
      <c r="L271" s="2113">
        <f>'HVAC Deemed Table'!F1649</f>
        <v>402.11</v>
      </c>
      <c r="M271" s="2113"/>
      <c r="N271" s="2113"/>
      <c r="O271" s="2092">
        <f t="shared" si="170"/>
        <v>0.37637100000000001</v>
      </c>
      <c r="P271" s="2092">
        <f t="shared" si="171"/>
        <v>0</v>
      </c>
      <c r="Q271" s="2086">
        <f>'HVAC Deemed Table'!I1648</f>
        <v>0.37637100000000001</v>
      </c>
      <c r="R271" s="2086">
        <f>'HVAC Deemed Table'!I1649</f>
        <v>0</v>
      </c>
      <c r="S271" s="2086"/>
      <c r="T271" s="2086"/>
      <c r="U271" s="2087"/>
      <c r="V271" s="2087"/>
      <c r="W271" s="2087">
        <f t="shared" si="172"/>
        <v>0.37637100000000001</v>
      </c>
      <c r="X271" s="2121">
        <f>'HVAC Deemed Table'!J1648</f>
        <v>18</v>
      </c>
      <c r="Y271" s="2121"/>
      <c r="Z271" s="88">
        <f t="shared" si="165"/>
        <v>18</v>
      </c>
      <c r="AA271" s="637">
        <f>'HVAC Deemed Table'!BB1648</f>
        <v>0.97538382125003487</v>
      </c>
      <c r="AB271" s="2917">
        <f>'HVAC Deemed Table'!K1648</f>
        <v>962.92000000000007</v>
      </c>
      <c r="AC271" s="2090">
        <f t="shared" si="166"/>
        <v>886.47153294769566</v>
      </c>
      <c r="AD271" s="2090">
        <f t="shared" si="167"/>
        <v>0</v>
      </c>
      <c r="AE271" s="2956">
        <f>'HVAC Deemed Table'!BD1648</f>
        <v>700.69023747953997</v>
      </c>
      <c r="AF271" s="2956">
        <f>'HVAC Deemed Table'!BD1649</f>
        <v>185.78129546815566</v>
      </c>
      <c r="AG271" s="2956"/>
      <c r="AH271" s="2956"/>
      <c r="AI271" s="2263" t="str">
        <f t="shared" si="152"/>
        <v>per measure</v>
      </c>
      <c r="AJ271" s="2240">
        <f>'HVAC Deemed Table'!L1648</f>
        <v>3.3</v>
      </c>
      <c r="AK271" s="2055"/>
      <c r="AL271" s="2055"/>
      <c r="AM271" s="2057">
        <f t="shared" si="164"/>
        <v>9.4741810000000004E-4</v>
      </c>
      <c r="AN271" s="132">
        <f t="shared" si="173"/>
        <v>0.37637131440600002</v>
      </c>
      <c r="AO271" s="2053">
        <f t="shared" si="159"/>
        <v>3.1440600001264585E-7</v>
      </c>
      <c r="AP271" s="211">
        <f>AO271/O271</f>
        <v>8.3536191686566142E-7</v>
      </c>
    </row>
    <row r="272" spans="2:42" x14ac:dyDescent="0.25">
      <c r="B272" s="2240" t="str">
        <f>'HVAC Deemed Table'!C1650</f>
        <v>355050_2019_12_</v>
      </c>
      <c r="C272" s="2096" t="str">
        <f>'HVAC Deemed Table'!G1650</f>
        <v>Cooling Res</v>
      </c>
      <c r="D272" s="2096" t="str">
        <f>'HVAC Deemed Table'!G1651</f>
        <v>Heating Res</v>
      </c>
      <c r="E272" s="208"/>
      <c r="F272" s="208"/>
      <c r="G272" s="208" t="str">
        <f>'HVAC Deemed Table'!E1650</f>
        <v>ASHP - SEER 19 - replace on fail MF</v>
      </c>
      <c r="H272" s="622" t="str">
        <f>'HVAC Deemed Table'!D1650</f>
        <v>MF</v>
      </c>
      <c r="I272" s="2091">
        <f t="shared" si="168"/>
        <v>1187.1400000000001</v>
      </c>
      <c r="J272" s="2091">
        <f t="shared" si="169"/>
        <v>0</v>
      </c>
      <c r="K272" s="2113">
        <f>'HVAC Deemed Table'!F1650</f>
        <v>420.45</v>
      </c>
      <c r="L272" s="2113">
        <f>'HVAC Deemed Table'!F1651</f>
        <v>766.69</v>
      </c>
      <c r="M272" s="2113"/>
      <c r="N272" s="2113"/>
      <c r="O272" s="2092">
        <f t="shared" si="170"/>
        <v>0.39834199999999997</v>
      </c>
      <c r="P272" s="2092">
        <f t="shared" si="171"/>
        <v>0</v>
      </c>
      <c r="Q272" s="2086">
        <f>'HVAC Deemed Table'!I1650</f>
        <v>0.39834199999999997</v>
      </c>
      <c r="R272" s="2086">
        <f>'HVAC Deemed Table'!I1651</f>
        <v>0</v>
      </c>
      <c r="S272" s="2086"/>
      <c r="T272" s="2086"/>
      <c r="U272" s="2087"/>
      <c r="V272" s="2087"/>
      <c r="W272" s="2087">
        <f t="shared" si="172"/>
        <v>0.39834199999999997</v>
      </c>
      <c r="X272" s="2121">
        <f>'HVAC Deemed Table'!J1650</f>
        <v>18</v>
      </c>
      <c r="Y272" s="2121"/>
      <c r="Z272" s="88">
        <f t="shared" si="165"/>
        <v>18</v>
      </c>
      <c r="AA272" s="637">
        <f>'HVAC Deemed Table'!BB1650</f>
        <v>0.96458033470478943</v>
      </c>
      <c r="AB272" s="2917">
        <f>'HVAC Deemed Table'!K1650</f>
        <v>1203.6500000000003</v>
      </c>
      <c r="AC272" s="2090">
        <f t="shared" si="166"/>
        <v>1095.816064056083</v>
      </c>
      <c r="AD272" s="2090">
        <f t="shared" si="167"/>
        <v>0</v>
      </c>
      <c r="AE272" s="2956">
        <f>'HVAC Deemed Table'!BD1650</f>
        <v>741.59293749250514</v>
      </c>
      <c r="AF272" s="2956">
        <f>'HVAC Deemed Table'!BD1651</f>
        <v>354.22312656357781</v>
      </c>
      <c r="AG272" s="2956"/>
      <c r="AH272" s="2956"/>
      <c r="AI272" s="2263" t="str">
        <f t="shared" si="152"/>
        <v>per measure</v>
      </c>
      <c r="AJ272" s="2240">
        <f>'HVAC Deemed Table'!L1650</f>
        <v>3.3</v>
      </c>
      <c r="AK272" s="2055"/>
      <c r="AL272" s="2055"/>
      <c r="AM272" s="2057">
        <f t="shared" si="164"/>
        <v>9.4741810000000004E-4</v>
      </c>
      <c r="AN272" s="132">
        <f t="shared" si="173"/>
        <v>0.39834194014500002</v>
      </c>
      <c r="AO272" s="2048">
        <f t="shared" si="159"/>
        <v>-5.9854999956421295E-8</v>
      </c>
    </row>
    <row r="273" spans="2:42" x14ac:dyDescent="0.25">
      <c r="B273" s="2240" t="str">
        <f>'HVAC Deemed Table'!C1652</f>
        <v>355051_2019_12_</v>
      </c>
      <c r="C273" s="2096" t="str">
        <f>'HVAC Deemed Table'!G1652</f>
        <v>Cooling Res</v>
      </c>
      <c r="D273" s="2096" t="str">
        <f>'HVAC Deemed Table'!G1653</f>
        <v>Heating Res</v>
      </c>
      <c r="E273" s="208"/>
      <c r="F273" s="208"/>
      <c r="G273" s="208" t="str">
        <f>'HVAC Deemed Table'!E1652</f>
        <v>ASHP - SEER 19 - replace on fail MF_CompE</v>
      </c>
      <c r="H273" s="622" t="str">
        <f>'HVAC Deemed Table'!D1652</f>
        <v>MFc</v>
      </c>
      <c r="I273" s="2091">
        <f t="shared" si="168"/>
        <v>567.15</v>
      </c>
      <c r="J273" s="2091">
        <f t="shared" si="169"/>
        <v>0</v>
      </c>
      <c r="K273" s="2113">
        <f>'HVAC Deemed Table'!F1652</f>
        <v>305.77999999999997</v>
      </c>
      <c r="L273" s="2113">
        <f>'HVAC Deemed Table'!F1653</f>
        <v>261.37</v>
      </c>
      <c r="M273" s="2113"/>
      <c r="N273" s="2113"/>
      <c r="O273" s="2092">
        <f t="shared" si="170"/>
        <v>0.28970200000000002</v>
      </c>
      <c r="P273" s="2092">
        <f t="shared" si="171"/>
        <v>0</v>
      </c>
      <c r="Q273" s="2086">
        <f>'HVAC Deemed Table'!I1652</f>
        <v>0.28970200000000002</v>
      </c>
      <c r="R273" s="2086">
        <f>'HVAC Deemed Table'!I1653</f>
        <v>0</v>
      </c>
      <c r="S273" s="2086"/>
      <c r="T273" s="2086"/>
      <c r="U273" s="2087"/>
      <c r="V273" s="2087"/>
      <c r="W273" s="2087">
        <f t="shared" si="172"/>
        <v>0.28970200000000002</v>
      </c>
      <c r="X273" s="2121">
        <f>'HVAC Deemed Table'!J1652</f>
        <v>18</v>
      </c>
      <c r="Y273" s="2121"/>
      <c r="Z273" s="88">
        <f t="shared" si="165"/>
        <v>18</v>
      </c>
      <c r="AA273" s="637">
        <f>'HVAC Deemed Table'!BB1652</f>
        <v>0.58104089126434699</v>
      </c>
      <c r="AB273" s="2917">
        <f>'HVAC Deemed Table'!K1652</f>
        <v>1203.6500000000003</v>
      </c>
      <c r="AC273" s="2090">
        <f t="shared" si="166"/>
        <v>660.09426028346513</v>
      </c>
      <c r="AD273" s="2090">
        <f t="shared" si="167"/>
        <v>0</v>
      </c>
      <c r="AE273" s="2956">
        <f>'HVAC Deemed Table'!BD1652</f>
        <v>539.33711125331956</v>
      </c>
      <c r="AF273" s="2956">
        <f>'HVAC Deemed Table'!BD1653</f>
        <v>120.7571490301456</v>
      </c>
      <c r="AG273" s="2956"/>
      <c r="AH273" s="2956"/>
      <c r="AI273" s="2263" t="str">
        <f t="shared" si="152"/>
        <v>per measure</v>
      </c>
      <c r="AJ273" s="2240">
        <f>'HVAC Deemed Table'!L1652</f>
        <v>3.3</v>
      </c>
      <c r="AK273" s="2055"/>
      <c r="AL273" s="2055"/>
      <c r="AM273" s="2057">
        <f t="shared" si="164"/>
        <v>9.4741810000000004E-4</v>
      </c>
      <c r="AN273" s="132">
        <f t="shared" si="173"/>
        <v>0.28970150661799998</v>
      </c>
      <c r="AO273" s="2053">
        <f t="shared" si="159"/>
        <v>-4.933820000330158E-7</v>
      </c>
      <c r="AP273" s="211">
        <f>AO273/O273</f>
        <v>-1.7030672899497269E-6</v>
      </c>
    </row>
    <row r="274" spans="2:42" x14ac:dyDescent="0.25">
      <c r="B274" s="2240" t="str">
        <f>'HVAC Deemed Table'!C1654</f>
        <v>355100_2019_12_</v>
      </c>
      <c r="C274" s="2096" t="str">
        <f>'HVAC Deemed Table'!G1654</f>
        <v>Cooling Res</v>
      </c>
      <c r="D274" s="2096" t="str">
        <f>'HVAC Deemed Table'!G1655</f>
        <v>Heating Res</v>
      </c>
      <c r="E274" s="208"/>
      <c r="F274" s="208"/>
      <c r="G274" s="208" t="str">
        <f>'HVAC Deemed Table'!E1654</f>
        <v>ASHP - SEER 20 - replace on fail MF</v>
      </c>
      <c r="H274" s="622" t="str">
        <f>'HVAC Deemed Table'!D1654</f>
        <v>MF</v>
      </c>
      <c r="I274" s="2091">
        <f t="shared" si="168"/>
        <v>1246.01</v>
      </c>
      <c r="J274" s="2091">
        <f t="shared" si="169"/>
        <v>0</v>
      </c>
      <c r="K274" s="2113">
        <f>'HVAC Deemed Table'!F1654</f>
        <v>479.32</v>
      </c>
      <c r="L274" s="2113">
        <f>'HVAC Deemed Table'!F1655</f>
        <v>766.69</v>
      </c>
      <c r="M274" s="2113"/>
      <c r="N274" s="2113"/>
      <c r="O274" s="2092">
        <f t="shared" si="170"/>
        <v>0.45411600000000002</v>
      </c>
      <c r="P274" s="2092">
        <f t="shared" si="171"/>
        <v>0</v>
      </c>
      <c r="Q274" s="2086">
        <f>'HVAC Deemed Table'!I1654</f>
        <v>0.45411600000000002</v>
      </c>
      <c r="R274" s="2086">
        <f>'HVAC Deemed Table'!I1655</f>
        <v>0</v>
      </c>
      <c r="S274" s="2086"/>
      <c r="T274" s="2086"/>
      <c r="U274" s="2087"/>
      <c r="V274" s="2087"/>
      <c r="W274" s="2087">
        <f t="shared" si="172"/>
        <v>0.45411600000000002</v>
      </c>
      <c r="X274" s="2121">
        <f>'HVAC Deemed Table'!J1654</f>
        <v>18</v>
      </c>
      <c r="Y274" s="2121"/>
      <c r="Z274" s="88">
        <f t="shared" si="165"/>
        <v>18</v>
      </c>
      <c r="AA274" s="637">
        <f>'HVAC Deemed Table'!BB1654</f>
        <v>0.87998357881258038</v>
      </c>
      <c r="AB274" s="2917">
        <f>'HVAC Deemed Table'!K1654</f>
        <v>1444.3799999999994</v>
      </c>
      <c r="AC274" s="2090">
        <f t="shared" si="166"/>
        <v>1199.6514219587675</v>
      </c>
      <c r="AD274" s="2090">
        <f t="shared" si="167"/>
        <v>0</v>
      </c>
      <c r="AE274" s="2956">
        <f>'HVAC Deemed Table'!BD1654</f>
        <v>845.42829539518982</v>
      </c>
      <c r="AF274" s="2956">
        <f>'HVAC Deemed Table'!BD1655</f>
        <v>354.22312656357781</v>
      </c>
      <c r="AG274" s="2956"/>
      <c r="AH274" s="2956"/>
      <c r="AI274" s="2263" t="str">
        <f t="shared" si="152"/>
        <v>per measure</v>
      </c>
      <c r="AJ274" s="2240">
        <f>'HVAC Deemed Table'!L1654</f>
        <v>3.3</v>
      </c>
      <c r="AK274" s="2055"/>
      <c r="AL274" s="2055"/>
      <c r="AM274" s="2057">
        <f t="shared" si="164"/>
        <v>9.4741810000000004E-4</v>
      </c>
      <c r="AN274" s="132">
        <f t="shared" si="173"/>
        <v>0.45411644369199999</v>
      </c>
      <c r="AO274" s="2048">
        <f t="shared" si="159"/>
        <v>4.436919999739608E-7</v>
      </c>
    </row>
    <row r="275" spans="2:42" x14ac:dyDescent="0.25">
      <c r="B275" s="2240" t="str">
        <f>'HVAC Deemed Table'!C1656</f>
        <v>355101_2019_12_</v>
      </c>
      <c r="C275" s="2096" t="str">
        <f>'HVAC Deemed Table'!G1656</f>
        <v>Cooling Res</v>
      </c>
      <c r="D275" s="2096" t="str">
        <f>'HVAC Deemed Table'!G1657</f>
        <v>Heating Res</v>
      </c>
      <c r="E275" s="208"/>
      <c r="F275" s="208"/>
      <c r="G275" s="208" t="str">
        <f>'HVAC Deemed Table'!E1656</f>
        <v>ASHP - SEER 20 - replace on fail MF_CompE</v>
      </c>
      <c r="H275" s="622" t="str">
        <f>'HVAC Deemed Table'!D1656</f>
        <v>MFc</v>
      </c>
      <c r="I275" s="2091">
        <f t="shared" si="168"/>
        <v>609.96</v>
      </c>
      <c r="J275" s="2091">
        <f t="shared" si="169"/>
        <v>0</v>
      </c>
      <c r="K275" s="2113">
        <f>'HVAC Deemed Table'!F1656</f>
        <v>348.59</v>
      </c>
      <c r="L275" s="2113">
        <f>'HVAC Deemed Table'!F1657</f>
        <v>261.37</v>
      </c>
      <c r="M275" s="2113"/>
      <c r="N275" s="2113"/>
      <c r="O275" s="2092">
        <f t="shared" si="170"/>
        <v>0.33026</v>
      </c>
      <c r="P275" s="2092">
        <f t="shared" si="171"/>
        <v>0</v>
      </c>
      <c r="Q275" s="2086">
        <f>'HVAC Deemed Table'!I1656</f>
        <v>0.33026</v>
      </c>
      <c r="R275" s="2086">
        <f>'HVAC Deemed Table'!I1657</f>
        <v>0</v>
      </c>
      <c r="S275" s="2086"/>
      <c r="T275" s="2086"/>
      <c r="U275" s="2087"/>
      <c r="V275" s="2087"/>
      <c r="W275" s="2087">
        <f t="shared" si="172"/>
        <v>0.33026</v>
      </c>
      <c r="X275" s="2121">
        <f>'HVAC Deemed Table'!J1656</f>
        <v>18</v>
      </c>
      <c r="Y275" s="2121"/>
      <c r="Z275" s="88">
        <f t="shared" si="165"/>
        <v>18</v>
      </c>
      <c r="AA275" s="637">
        <f>'HVAC Deemed Table'!BB1656</f>
        <v>0.5395887768356824</v>
      </c>
      <c r="AB275" s="2917">
        <f>'HVAC Deemed Table'!K1656</f>
        <v>1444.3799999999994</v>
      </c>
      <c r="AC275" s="2090">
        <f t="shared" si="166"/>
        <v>735.60286690507087</v>
      </c>
      <c r="AD275" s="2090">
        <f t="shared" si="167"/>
        <v>0</v>
      </c>
      <c r="AE275" s="2956">
        <f>'HVAC Deemed Table'!BD1656</f>
        <v>614.8457178749253</v>
      </c>
      <c r="AF275" s="2956">
        <f>'HVAC Deemed Table'!BD1657</f>
        <v>120.7571490301456</v>
      </c>
      <c r="AG275" s="2956"/>
      <c r="AH275" s="2956"/>
      <c r="AI275" s="2263" t="str">
        <f t="shared" si="152"/>
        <v>per measure</v>
      </c>
      <c r="AJ275" s="2240">
        <f>'HVAC Deemed Table'!L1656</f>
        <v>3.3</v>
      </c>
      <c r="AK275" s="2055"/>
      <c r="AL275" s="2055"/>
      <c r="AM275" s="2057">
        <f t="shared" si="164"/>
        <v>9.4741810000000004E-4</v>
      </c>
      <c r="AN275" s="132">
        <f t="shared" si="173"/>
        <v>0.330260475479</v>
      </c>
      <c r="AO275" s="2053">
        <f t="shared" si="159"/>
        <v>4.754790000061071E-7</v>
      </c>
      <c r="AP275" s="211">
        <f>AO275/O275</f>
        <v>1.4397111366986831E-6</v>
      </c>
    </row>
    <row r="276" spans="2:42" x14ac:dyDescent="0.25">
      <c r="B276" s="2240" t="str">
        <f>'HVAC Deemed Table'!C1658</f>
        <v>355150_2019_12_</v>
      </c>
      <c r="C276" s="2096" t="str">
        <f>'HVAC Deemed Table'!G1658</f>
        <v>Cooling Res</v>
      </c>
      <c r="D276" s="2096" t="str">
        <f>'HVAC Deemed Table'!G1659</f>
        <v>Heating Res</v>
      </c>
      <c r="E276" s="208"/>
      <c r="F276" s="208"/>
      <c r="G276" s="208" t="str">
        <f>'HVAC Deemed Table'!E1658</f>
        <v>ASHP - SEER 21 - replace on fail MF</v>
      </c>
      <c r="H276" s="622" t="str">
        <f>'HVAC Deemed Table'!D1658</f>
        <v>MF</v>
      </c>
      <c r="I276" s="2091">
        <f t="shared" si="168"/>
        <v>1299.2600000000002</v>
      </c>
      <c r="J276" s="2091">
        <f t="shared" si="169"/>
        <v>0</v>
      </c>
      <c r="K276" s="2113">
        <f>'HVAC Deemed Table'!F1658</f>
        <v>532.57000000000005</v>
      </c>
      <c r="L276" s="2113">
        <f>'HVAC Deemed Table'!F1659</f>
        <v>766.69</v>
      </c>
      <c r="M276" s="2113"/>
      <c r="N276" s="2113"/>
      <c r="O276" s="2092">
        <f t="shared" si="170"/>
        <v>0.50456599999999996</v>
      </c>
      <c r="P276" s="2092">
        <f t="shared" si="171"/>
        <v>0</v>
      </c>
      <c r="Q276" s="2086">
        <f>'HVAC Deemed Table'!I1658</f>
        <v>0.50456599999999996</v>
      </c>
      <c r="R276" s="2086">
        <f>'HVAC Deemed Table'!I1659</f>
        <v>0</v>
      </c>
      <c r="S276" s="2086"/>
      <c r="T276" s="2086"/>
      <c r="U276" s="2087"/>
      <c r="V276" s="2087"/>
      <c r="W276" s="2087">
        <f t="shared" si="172"/>
        <v>0.50456599999999996</v>
      </c>
      <c r="X276" s="2121">
        <f>'HVAC Deemed Table'!J1658</f>
        <v>18</v>
      </c>
      <c r="Y276" s="2121"/>
      <c r="Z276" s="88">
        <f t="shared" si="165"/>
        <v>18</v>
      </c>
      <c r="AA276" s="637">
        <f>'HVAC Deemed Table'!BB1658</f>
        <v>0.81100768902567399</v>
      </c>
      <c r="AB276" s="2917">
        <f>'HVAC Deemed Table'!K1658</f>
        <v>1689.9245999999991</v>
      </c>
      <c r="AC276" s="2090">
        <f t="shared" si="166"/>
        <v>1293.574180720751</v>
      </c>
      <c r="AD276" s="2090">
        <f t="shared" si="167"/>
        <v>0</v>
      </c>
      <c r="AE276" s="2956">
        <f>'HVAC Deemed Table'!BD1658</f>
        <v>939.35105415717328</v>
      </c>
      <c r="AF276" s="2956">
        <f>'HVAC Deemed Table'!BD1659</f>
        <v>354.22312656357781</v>
      </c>
      <c r="AG276" s="2956"/>
      <c r="AH276" s="2956"/>
      <c r="AI276" s="2263" t="str">
        <f t="shared" si="152"/>
        <v>per measure</v>
      </c>
      <c r="AJ276" s="2240">
        <f>'HVAC Deemed Table'!L1658</f>
        <v>3.3</v>
      </c>
      <c r="AK276" s="2055"/>
      <c r="AL276" s="2055"/>
      <c r="AM276" s="2057">
        <f t="shared" si="164"/>
        <v>9.4741810000000004E-4</v>
      </c>
      <c r="AN276" s="132">
        <f t="shared" si="173"/>
        <v>0.50456645751700002</v>
      </c>
      <c r="AO276" s="2048">
        <f t="shared" si="159"/>
        <v>4.5751700006313456E-7</v>
      </c>
    </row>
    <row r="277" spans="2:42" x14ac:dyDescent="0.25">
      <c r="B277" s="2240" t="str">
        <f>'HVAC Deemed Table'!C1660</f>
        <v>355151_2019_12_</v>
      </c>
      <c r="C277" s="2096" t="str">
        <f>'HVAC Deemed Table'!G1660</f>
        <v>Cooling Res</v>
      </c>
      <c r="D277" s="2096" t="str">
        <f>'HVAC Deemed Table'!G1661</f>
        <v>Heating Res</v>
      </c>
      <c r="E277" s="208"/>
      <c r="F277" s="208"/>
      <c r="G277" s="208" t="str">
        <f>'HVAC Deemed Table'!E1660</f>
        <v>ASHP - SEER 21 - replace on fail MF_CompE</v>
      </c>
      <c r="H277" s="622" t="str">
        <f>'HVAC Deemed Table'!D1660</f>
        <v>MFc</v>
      </c>
      <c r="I277" s="2091">
        <f t="shared" si="168"/>
        <v>648.70000000000005</v>
      </c>
      <c r="J277" s="2091">
        <f t="shared" si="169"/>
        <v>0</v>
      </c>
      <c r="K277" s="2113">
        <f>'HVAC Deemed Table'!F1660</f>
        <v>387.33</v>
      </c>
      <c r="L277" s="2113">
        <f>'HVAC Deemed Table'!F1661</f>
        <v>261.37</v>
      </c>
      <c r="M277" s="2113"/>
      <c r="N277" s="2113"/>
      <c r="O277" s="2092">
        <f t="shared" si="170"/>
        <v>0.36696299999999998</v>
      </c>
      <c r="P277" s="2092">
        <f t="shared" si="171"/>
        <v>0</v>
      </c>
      <c r="Q277" s="2086">
        <f>'HVAC Deemed Table'!I1660</f>
        <v>0.36696299999999998</v>
      </c>
      <c r="R277" s="2086">
        <f>'HVAC Deemed Table'!I1661</f>
        <v>0</v>
      </c>
      <c r="S277" s="2086"/>
      <c r="T277" s="2086"/>
      <c r="U277" s="2087"/>
      <c r="V277" s="2087"/>
      <c r="W277" s="2087">
        <f t="shared" si="172"/>
        <v>0.36696299999999998</v>
      </c>
      <c r="X277" s="2121">
        <f>'HVAC Deemed Table'!J1660</f>
        <v>18</v>
      </c>
      <c r="Y277" s="2121"/>
      <c r="Z277" s="88">
        <f t="shared" si="165"/>
        <v>18</v>
      </c>
      <c r="AA277" s="637">
        <f>'HVAC Deemed Table'!BB1660</f>
        <v>0.5040264970834335</v>
      </c>
      <c r="AB277" s="2917">
        <f>'HVAC Deemed Table'!K1660</f>
        <v>1689.9245999999991</v>
      </c>
      <c r="AC277" s="2090">
        <f t="shared" si="166"/>
        <v>803.93277628421151</v>
      </c>
      <c r="AD277" s="2090">
        <f t="shared" si="167"/>
        <v>0</v>
      </c>
      <c r="AE277" s="2956">
        <f>'HVAC Deemed Table'!BD1660</f>
        <v>683.17562725406594</v>
      </c>
      <c r="AF277" s="2956">
        <f>'HVAC Deemed Table'!BD1661</f>
        <v>120.7571490301456</v>
      </c>
      <c r="AG277" s="2956"/>
      <c r="AH277" s="2956"/>
      <c r="AI277" s="2263" t="str">
        <f t="shared" si="152"/>
        <v>per measure</v>
      </c>
      <c r="AJ277" s="2240">
        <f>'HVAC Deemed Table'!L1660</f>
        <v>3.3</v>
      </c>
      <c r="AK277" s="2055"/>
      <c r="AL277" s="2055"/>
      <c r="AM277" s="2057">
        <f t="shared" si="164"/>
        <v>9.4741810000000004E-4</v>
      </c>
      <c r="AN277" s="132">
        <f t="shared" si="173"/>
        <v>0.36696345267300001</v>
      </c>
      <c r="AO277" s="2053">
        <f t="shared" si="159"/>
        <v>4.526730000287138E-7</v>
      </c>
      <c r="AP277" s="211">
        <f>AO277/O277</f>
        <v>1.2335657819145631E-6</v>
      </c>
    </row>
    <row r="278" spans="2:42" x14ac:dyDescent="0.25">
      <c r="B278" s="2240" t="str">
        <f>'Income Eligible Deemed Table'!C7</f>
        <v>400050_2019_12_</v>
      </c>
      <c r="C278" s="2096" t="str">
        <f>'Income Eligible Deemed Table'!G7</f>
        <v>Cooling RES</v>
      </c>
      <c r="D278" s="208"/>
      <c r="E278" s="208"/>
      <c r="F278" s="208"/>
      <c r="G278" s="208" t="str">
        <f>'Income Eligible Deemed Table'!E7</f>
        <v>AC General Tune-Up (no charge or coil clean) SF</v>
      </c>
      <c r="H278" s="622" t="str">
        <f>'Income Eligible Deemed Table'!D7</f>
        <v>SFLI</v>
      </c>
      <c r="I278" s="2091">
        <f t="shared" ref="I278:I289" si="174">K278+L278</f>
        <v>142.51</v>
      </c>
      <c r="J278" s="2091">
        <f t="shared" ref="J278:J344" si="175">M278+N278</f>
        <v>0</v>
      </c>
      <c r="K278" s="2113">
        <f>'Income Eligible Deemed Table'!F7</f>
        <v>142.51</v>
      </c>
      <c r="L278" s="2113"/>
      <c r="M278" s="2113"/>
      <c r="N278" s="2113"/>
      <c r="O278" s="2092">
        <f t="shared" ref="O278:O289" si="176">Q278+R278</f>
        <v>0.135017</v>
      </c>
      <c r="P278" s="2092">
        <f t="shared" ref="P278:P327" si="177">S278+T278</f>
        <v>0</v>
      </c>
      <c r="Q278" s="2086">
        <f>'Income Eligible Deemed Table'!I7</f>
        <v>0.135017</v>
      </c>
      <c r="R278" s="2086"/>
      <c r="S278" s="2086"/>
      <c r="T278" s="2086"/>
      <c r="U278" s="2087">
        <v>0</v>
      </c>
      <c r="V278" s="2087">
        <v>0</v>
      </c>
      <c r="W278" s="2087">
        <v>0</v>
      </c>
      <c r="X278" s="2121">
        <f>'Income Eligible Deemed Table'!J7</f>
        <v>2</v>
      </c>
      <c r="Y278" s="2121"/>
      <c r="Z278" s="88">
        <f t="shared" si="165"/>
        <v>2</v>
      </c>
      <c r="AA278" s="637">
        <f>'Income Eligible Deemed Table'!BB7</f>
        <v>0.36910615743656439</v>
      </c>
      <c r="AB278" s="2917">
        <f>'Income Eligible Deemed Table'!K7</f>
        <v>70</v>
      </c>
      <c r="AC278" s="2089">
        <f t="shared" si="166"/>
        <v>24.386437961830584</v>
      </c>
      <c r="AD278" s="2089">
        <f t="shared" si="167"/>
        <v>0</v>
      </c>
      <c r="AE278" s="2955">
        <f>'Income Eligible Deemed Table'!BD7</f>
        <v>24.386437961830584</v>
      </c>
      <c r="AF278" s="2956"/>
      <c r="AG278" s="2956"/>
      <c r="AH278" s="2956"/>
      <c r="AI278" s="2240" t="str">
        <f>'Income Eligible Deemed Table'!L7</f>
        <v>per measure</v>
      </c>
      <c r="AM278" s="2057">
        <f t="shared" si="164"/>
        <v>9.4741810000000004E-4</v>
      </c>
      <c r="AN278">
        <f t="shared" ref="AN278:AN309" si="178">AM278*I278</f>
        <v>0.135016553431</v>
      </c>
      <c r="AO278" s="2048">
        <f t="shared" si="159"/>
        <v>-4.4656900000106248E-7</v>
      </c>
    </row>
    <row r="279" spans="2:42" x14ac:dyDescent="0.25">
      <c r="B279" s="2240" t="str">
        <f>'Income Eligible Deemed Table'!C8</f>
        <v>400100_2019_12_</v>
      </c>
      <c r="C279" s="2096" t="str">
        <f>'Income Eligible Deemed Table'!G8</f>
        <v>Cooling RES</v>
      </c>
      <c r="D279" s="208"/>
      <c r="E279" s="208"/>
      <c r="F279" s="208"/>
      <c r="G279" s="208" t="str">
        <f>'Income Eligible Deemed Table'!E8</f>
        <v>AC General Tune-Up (no charge or coil clean) MF</v>
      </c>
      <c r="H279" s="622" t="str">
        <f>'Income Eligible Deemed Table'!D8</f>
        <v>MFLI</v>
      </c>
      <c r="I279" s="2091">
        <f t="shared" si="174"/>
        <v>92.63</v>
      </c>
      <c r="J279" s="2091">
        <f t="shared" si="175"/>
        <v>0</v>
      </c>
      <c r="K279" s="2113">
        <f>'Income Eligible Deemed Table'!F8</f>
        <v>92.63</v>
      </c>
      <c r="L279" s="2113"/>
      <c r="M279" s="2113"/>
      <c r="N279" s="2113"/>
      <c r="O279" s="2092">
        <f t="shared" si="176"/>
        <v>8.7759000000000004E-2</v>
      </c>
      <c r="P279" s="2092">
        <f t="shared" si="177"/>
        <v>0</v>
      </c>
      <c r="Q279" s="2086">
        <f>'Income Eligible Deemed Table'!I8</f>
        <v>8.7759000000000004E-2</v>
      </c>
      <c r="R279" s="2086"/>
      <c r="S279" s="2086"/>
      <c r="T279" s="2086"/>
      <c r="U279" s="2087">
        <v>0</v>
      </c>
      <c r="V279" s="2087">
        <v>0</v>
      </c>
      <c r="W279" s="2087">
        <v>0</v>
      </c>
      <c r="X279" s="2121">
        <f>'Income Eligible Deemed Table'!J8</f>
        <v>2</v>
      </c>
      <c r="Y279" s="2121"/>
      <c r="Z279" s="88">
        <f t="shared" si="165"/>
        <v>2</v>
      </c>
      <c r="AA279" s="637">
        <f>'Income Eligible Deemed Table'!BB8</f>
        <v>0.23991511727842932</v>
      </c>
      <c r="AB279" s="2917">
        <f>'Income Eligible Deemed Table'!K8</f>
        <v>70</v>
      </c>
      <c r="AC279" s="2089">
        <f t="shared" si="166"/>
        <v>15.85092799385564</v>
      </c>
      <c r="AD279" s="2089">
        <f t="shared" si="167"/>
        <v>0</v>
      </c>
      <c r="AE279" s="2955">
        <f>'Income Eligible Deemed Table'!BD8</f>
        <v>15.85092799385564</v>
      </c>
      <c r="AF279" s="2956"/>
      <c r="AG279" s="2956"/>
      <c r="AH279" s="2956"/>
      <c r="AI279" s="2240" t="str">
        <f>'Income Eligible Deemed Table'!L8</f>
        <v>per measure</v>
      </c>
      <c r="AM279" s="2057">
        <f t="shared" si="164"/>
        <v>9.4741810000000004E-4</v>
      </c>
      <c r="AN279">
        <f t="shared" si="178"/>
        <v>8.7759338603000003E-2</v>
      </c>
      <c r="AO279" s="2048">
        <f t="shared" si="159"/>
        <v>3.3860299999965981E-7</v>
      </c>
    </row>
    <row r="280" spans="2:42" x14ac:dyDescent="0.25">
      <c r="B280" s="2240" t="str">
        <f>'Income Eligible Deemed Table'!C9</f>
        <v>400101_2019_12_</v>
      </c>
      <c r="C280" s="2096" t="str">
        <f>'Income Eligible Deemed Table'!G9</f>
        <v>Cooling RES</v>
      </c>
      <c r="D280" s="208"/>
      <c r="E280" s="208"/>
      <c r="F280" s="208"/>
      <c r="G280" s="208" t="str">
        <f>'Income Eligible Deemed Table'!E9</f>
        <v>AC General Tune-Up (no charge or coil clean) MF_CompE</v>
      </c>
      <c r="H280" s="622" t="str">
        <f>'Income Eligible Deemed Table'!D9</f>
        <v>MFLIc</v>
      </c>
      <c r="I280" s="2091">
        <f t="shared" si="174"/>
        <v>67.37</v>
      </c>
      <c r="J280" s="2091">
        <f t="shared" si="175"/>
        <v>0</v>
      </c>
      <c r="K280" s="2113">
        <f>'Income Eligible Deemed Table'!F9</f>
        <v>67.37</v>
      </c>
      <c r="L280" s="2113"/>
      <c r="M280" s="2113"/>
      <c r="N280" s="2113"/>
      <c r="O280" s="2092">
        <f t="shared" si="176"/>
        <v>6.3827999999999996E-2</v>
      </c>
      <c r="P280" s="2092">
        <f t="shared" si="177"/>
        <v>0</v>
      </c>
      <c r="Q280" s="2086">
        <f>'Income Eligible Deemed Table'!I9</f>
        <v>6.3827999999999996E-2</v>
      </c>
      <c r="R280" s="2086"/>
      <c r="S280" s="2086"/>
      <c r="T280" s="2086"/>
      <c r="U280" s="2087">
        <v>0</v>
      </c>
      <c r="V280" s="2087">
        <v>0</v>
      </c>
      <c r="W280" s="2087">
        <v>0</v>
      </c>
      <c r="X280" s="2121">
        <f>'Income Eligible Deemed Table'!J9</f>
        <v>2</v>
      </c>
      <c r="Y280" s="2121"/>
      <c r="Z280" s="88">
        <f t="shared" si="165"/>
        <v>2</v>
      </c>
      <c r="AA280" s="637">
        <f>'Income Eligible Deemed Table'!BB9</f>
        <v>0.17449078539401688</v>
      </c>
      <c r="AB280" s="2917">
        <f>'Income Eligible Deemed Table'!K9</f>
        <v>70</v>
      </c>
      <c r="AC280" s="2089">
        <f t="shared" si="166"/>
        <v>11.528414325229996</v>
      </c>
      <c r="AD280" s="2089">
        <f t="shared" si="167"/>
        <v>0</v>
      </c>
      <c r="AE280" s="2955">
        <f>'Income Eligible Deemed Table'!BD9</f>
        <v>11.528414325229996</v>
      </c>
      <c r="AF280" s="2956"/>
      <c r="AG280" s="2956"/>
      <c r="AH280" s="2956"/>
      <c r="AI280" s="2240" t="str">
        <f>'Income Eligible Deemed Table'!L9</f>
        <v>per measure</v>
      </c>
      <c r="AM280" s="2057">
        <f t="shared" si="164"/>
        <v>9.4741810000000004E-4</v>
      </c>
      <c r="AN280">
        <f t="shared" si="178"/>
        <v>6.3827557397000009E-2</v>
      </c>
      <c r="AO280" s="2048">
        <f t="shared" si="159"/>
        <v>-4.4260299998655217E-7</v>
      </c>
    </row>
    <row r="281" spans="2:42" x14ac:dyDescent="0.25">
      <c r="B281" s="2240" t="str">
        <f>'Income Eligible Deemed Table'!C10</f>
        <v>400150_2019_12_</v>
      </c>
      <c r="C281" s="2096" t="str">
        <f>'Income Eligible Deemed Table'!G10</f>
        <v>Cooling RES</v>
      </c>
      <c r="D281" s="208"/>
      <c r="E281" s="208"/>
      <c r="F281" s="208"/>
      <c r="G281" s="208" t="str">
        <f>'Income Eligible Deemed Table'!E10</f>
        <v>AC Tune-up / Refrigerant charge SF</v>
      </c>
      <c r="H281" s="622" t="str">
        <f>'Income Eligible Deemed Table'!D10</f>
        <v>SFLI</v>
      </c>
      <c r="I281" s="2091">
        <f t="shared" si="174"/>
        <v>594.39</v>
      </c>
      <c r="J281" s="2091">
        <f t="shared" si="175"/>
        <v>0</v>
      </c>
      <c r="K281" s="2113">
        <f>'Income Eligible Deemed Table'!F10</f>
        <v>594.39</v>
      </c>
      <c r="L281" s="2113"/>
      <c r="M281" s="2113"/>
      <c r="N281" s="2113"/>
      <c r="O281" s="2092">
        <f t="shared" si="176"/>
        <v>0.56313599999999997</v>
      </c>
      <c r="P281" s="2092">
        <f t="shared" si="177"/>
        <v>0</v>
      </c>
      <c r="Q281" s="2086">
        <f>'Income Eligible Deemed Table'!I10</f>
        <v>0.56313599999999997</v>
      </c>
      <c r="R281" s="2086"/>
      <c r="S281" s="2086"/>
      <c r="T281" s="2086"/>
      <c r="U281" s="2087">
        <v>0</v>
      </c>
      <c r="V281" s="2087">
        <v>0</v>
      </c>
      <c r="W281" s="2087">
        <v>0</v>
      </c>
      <c r="X281" s="2121">
        <f>'Income Eligible Deemed Table'!J10</f>
        <v>2</v>
      </c>
      <c r="Y281" s="2121"/>
      <c r="Z281" s="88">
        <f t="shared" si="165"/>
        <v>2</v>
      </c>
      <c r="AA281" s="637">
        <f>'Income Eligible Deemed Table'!BB10</f>
        <v>1.3304252094338942</v>
      </c>
      <c r="AB281" s="2917">
        <f>'Income Eligible Deemed Table'!K10</f>
        <v>81</v>
      </c>
      <c r="AC281" s="2089">
        <f t="shared" si="166"/>
        <v>101.71254550650819</v>
      </c>
      <c r="AD281" s="2089">
        <f t="shared" si="167"/>
        <v>0</v>
      </c>
      <c r="AE281" s="2955">
        <f>'Income Eligible Deemed Table'!BD10</f>
        <v>101.71254550650819</v>
      </c>
      <c r="AF281" s="2956"/>
      <c r="AG281" s="2956"/>
      <c r="AH281" s="2956"/>
      <c r="AI281" s="2240" t="str">
        <f>'Income Eligible Deemed Table'!L10</f>
        <v>per measure</v>
      </c>
      <c r="AM281" s="2057">
        <f t="shared" si="164"/>
        <v>9.4741810000000004E-4</v>
      </c>
      <c r="AN281">
        <f t="shared" si="178"/>
        <v>0.563135844459</v>
      </c>
      <c r="AO281" s="2048">
        <f t="shared" si="159"/>
        <v>-1.555409999687285E-7</v>
      </c>
    </row>
    <row r="282" spans="2:42" x14ac:dyDescent="0.25">
      <c r="B282" s="2240" t="str">
        <f>'Income Eligible Deemed Table'!C11</f>
        <v>400200_2019_12_</v>
      </c>
      <c r="C282" s="2096" t="str">
        <f>'Income Eligible Deemed Table'!G11</f>
        <v>Cooling RES</v>
      </c>
      <c r="D282" s="208"/>
      <c r="E282" s="208"/>
      <c r="F282" s="208"/>
      <c r="G282" s="208" t="str">
        <f>'Income Eligible Deemed Table'!E11</f>
        <v>AC Tune-up / Refrigerant charge MF</v>
      </c>
      <c r="H282" s="622" t="str">
        <f>'Income Eligible Deemed Table'!D11</f>
        <v>MFLI</v>
      </c>
      <c r="I282" s="2091">
        <f t="shared" si="174"/>
        <v>386.36</v>
      </c>
      <c r="J282" s="2091">
        <f t="shared" si="175"/>
        <v>0</v>
      </c>
      <c r="K282" s="2113">
        <f>'Income Eligible Deemed Table'!F11</f>
        <v>386.36</v>
      </c>
      <c r="L282" s="2113"/>
      <c r="M282" s="2113"/>
      <c r="N282" s="2113"/>
      <c r="O282" s="2092">
        <f t="shared" si="176"/>
        <v>0.36604399999999998</v>
      </c>
      <c r="P282" s="2092">
        <f t="shared" si="177"/>
        <v>0</v>
      </c>
      <c r="Q282" s="2086">
        <f>'Income Eligible Deemed Table'!I11</f>
        <v>0.36604399999999998</v>
      </c>
      <c r="R282" s="2086"/>
      <c r="S282" s="2086"/>
      <c r="T282" s="2086"/>
      <c r="U282" s="2087">
        <v>0</v>
      </c>
      <c r="V282" s="2087">
        <v>0</v>
      </c>
      <c r="W282" s="2087">
        <v>0</v>
      </c>
      <c r="X282" s="2121">
        <f>'Income Eligible Deemed Table'!J11</f>
        <v>2</v>
      </c>
      <c r="Y282" s="2121"/>
      <c r="Z282" s="88">
        <f t="shared" si="165"/>
        <v>2</v>
      </c>
      <c r="AA282" s="637">
        <f>'Income Eligible Deemed Table'!BB11</f>
        <v>0.86479093510469462</v>
      </c>
      <c r="AB282" s="2917">
        <f>'Income Eligible Deemed Table'!K11</f>
        <v>81</v>
      </c>
      <c r="AC282" s="2089">
        <f t="shared" si="166"/>
        <v>66.114266865012041</v>
      </c>
      <c r="AD282" s="2089">
        <f t="shared" si="167"/>
        <v>0</v>
      </c>
      <c r="AE282" s="2955">
        <f>'Income Eligible Deemed Table'!BD11</f>
        <v>66.114266865012041</v>
      </c>
      <c r="AF282" s="2956"/>
      <c r="AG282" s="2956"/>
      <c r="AH282" s="2956"/>
      <c r="AI282" s="2240" t="str">
        <f>'Income Eligible Deemed Table'!L11</f>
        <v>per measure</v>
      </c>
      <c r="AM282" s="2057">
        <f t="shared" si="164"/>
        <v>9.4741810000000004E-4</v>
      </c>
      <c r="AN282">
        <f t="shared" si="178"/>
        <v>0.36604445711600003</v>
      </c>
      <c r="AO282" s="2048">
        <f t="shared" si="159"/>
        <v>4.5711600005216013E-7</v>
      </c>
    </row>
    <row r="283" spans="2:42" x14ac:dyDescent="0.25">
      <c r="B283" s="2240" t="str">
        <f>'Income Eligible Deemed Table'!C12</f>
        <v>400201_2019_12_</v>
      </c>
      <c r="C283" s="2096" t="str">
        <f>'Income Eligible Deemed Table'!G12</f>
        <v>Cooling RES</v>
      </c>
      <c r="D283" s="208"/>
      <c r="E283" s="208"/>
      <c r="F283" s="208"/>
      <c r="G283" s="208" t="str">
        <f>'Income Eligible Deemed Table'!E12</f>
        <v>AC Tune-up / Refrigerant charge MF_CompE</v>
      </c>
      <c r="H283" s="622" t="str">
        <f>'Income Eligible Deemed Table'!D12</f>
        <v>MFLIc</v>
      </c>
      <c r="I283" s="2091">
        <f t="shared" si="174"/>
        <v>280.99</v>
      </c>
      <c r="J283" s="2091">
        <f t="shared" si="175"/>
        <v>0</v>
      </c>
      <c r="K283" s="2113">
        <f>'Income Eligible Deemed Table'!F12</f>
        <v>280.99</v>
      </c>
      <c r="L283" s="2113"/>
      <c r="M283" s="2113"/>
      <c r="N283" s="2113"/>
      <c r="O283" s="2092">
        <f t="shared" si="176"/>
        <v>0.26621499999999998</v>
      </c>
      <c r="P283" s="2092">
        <f t="shared" si="177"/>
        <v>0</v>
      </c>
      <c r="Q283" s="2086">
        <f>'Income Eligible Deemed Table'!I12</f>
        <v>0.26621499999999998</v>
      </c>
      <c r="R283" s="2086"/>
      <c r="S283" s="2086"/>
      <c r="T283" s="2086"/>
      <c r="U283" s="2087">
        <v>0</v>
      </c>
      <c r="V283" s="2087">
        <v>0</v>
      </c>
      <c r="W283" s="2087">
        <v>0</v>
      </c>
      <c r="X283" s="2121">
        <f>'Income Eligible Deemed Table'!J12</f>
        <v>2</v>
      </c>
      <c r="Y283" s="2121"/>
      <c r="Z283" s="88">
        <f t="shared" si="165"/>
        <v>2</v>
      </c>
      <c r="AA283" s="637">
        <f>'Income Eligible Deemed Table'!BB12</f>
        <v>0.62894089671567488</v>
      </c>
      <c r="AB283" s="2917">
        <f>'Income Eligible Deemed Table'!K12</f>
        <v>81</v>
      </c>
      <c r="AC283" s="2089">
        <f t="shared" si="166"/>
        <v>48.083258738999206</v>
      </c>
      <c r="AD283" s="2089">
        <f t="shared" si="167"/>
        <v>0</v>
      </c>
      <c r="AE283" s="2955">
        <f>'Income Eligible Deemed Table'!BD12</f>
        <v>48.083258738999206</v>
      </c>
      <c r="AF283" s="2956"/>
      <c r="AG283" s="2956"/>
      <c r="AH283" s="2956"/>
      <c r="AI283" s="2240" t="str">
        <f>'Income Eligible Deemed Table'!L12</f>
        <v>per measure</v>
      </c>
      <c r="AM283" s="2057">
        <f t="shared" si="164"/>
        <v>9.4741810000000004E-4</v>
      </c>
      <c r="AN283">
        <f t="shared" si="178"/>
        <v>0.26621501191900004</v>
      </c>
      <c r="AO283" s="2048">
        <f t="shared" si="159"/>
        <v>1.1919000064697371E-8</v>
      </c>
    </row>
    <row r="284" spans="2:42" x14ac:dyDescent="0.25">
      <c r="B284" s="2240" t="str">
        <f>'Income Eligible Deemed Table'!C13</f>
        <v>400250_2019_12_</v>
      </c>
      <c r="C284" s="2096" t="str">
        <f>'Income Eligible Deemed Table'!G13</f>
        <v>Cooling RES</v>
      </c>
      <c r="D284" s="208"/>
      <c r="E284" s="208"/>
      <c r="F284" s="208"/>
      <c r="G284" s="208" t="str">
        <f>'Income Eligible Deemed Table'!E13</f>
        <v>AC Tune-up / Indoor Coil (Evaporator) Cleaning SF</v>
      </c>
      <c r="H284" s="622" t="str">
        <f>'Income Eligible Deemed Table'!D13</f>
        <v>SFLI</v>
      </c>
      <c r="I284" s="2091">
        <f t="shared" si="174"/>
        <v>98.38</v>
      </c>
      <c r="J284" s="2091">
        <f t="shared" si="175"/>
        <v>0</v>
      </c>
      <c r="K284" s="2113">
        <f>'Income Eligible Deemed Table'!F13</f>
        <v>98.38</v>
      </c>
      <c r="L284" s="2113"/>
      <c r="M284" s="2113"/>
      <c r="N284" s="2113"/>
      <c r="O284" s="2092">
        <f t="shared" si="176"/>
        <v>9.3206999999999998E-2</v>
      </c>
      <c r="P284" s="2092">
        <f t="shared" si="177"/>
        <v>0</v>
      </c>
      <c r="Q284" s="2086">
        <f>'Income Eligible Deemed Table'!I13</f>
        <v>9.3206999999999998E-2</v>
      </c>
      <c r="R284" s="2086"/>
      <c r="S284" s="2086"/>
      <c r="T284" s="2086"/>
      <c r="U284" s="2087">
        <v>0</v>
      </c>
      <c r="V284" s="2087">
        <v>0</v>
      </c>
      <c r="W284" s="2087">
        <v>0</v>
      </c>
      <c r="X284" s="2121">
        <f>'Income Eligible Deemed Table'!J13</f>
        <v>2</v>
      </c>
      <c r="Y284" s="2121"/>
      <c r="Z284" s="88">
        <f t="shared" si="165"/>
        <v>2</v>
      </c>
      <c r="AA284" s="637">
        <f>'Income Eligible Deemed Table'!BB13</f>
        <v>0.28311981045080037</v>
      </c>
      <c r="AB284" s="2917">
        <f>'Income Eligible Deemed Table'!K13</f>
        <v>63</v>
      </c>
      <c r="AC284" s="2089">
        <f t="shared" si="166"/>
        <v>16.834873108447781</v>
      </c>
      <c r="AD284" s="2089">
        <f t="shared" si="167"/>
        <v>0</v>
      </c>
      <c r="AE284" s="2955">
        <f>'Income Eligible Deemed Table'!BD13</f>
        <v>16.834873108447781</v>
      </c>
      <c r="AF284" s="2956"/>
      <c r="AG284" s="2956"/>
      <c r="AH284" s="2956"/>
      <c r="AI284" s="2240" t="str">
        <f>'Income Eligible Deemed Table'!L13</f>
        <v>per measure</v>
      </c>
      <c r="AM284" s="2057">
        <f t="shared" si="164"/>
        <v>9.4741810000000004E-4</v>
      </c>
      <c r="AN284">
        <f t="shared" si="178"/>
        <v>9.3206992678000006E-2</v>
      </c>
      <c r="AO284" s="2048">
        <f t="shared" si="159"/>
        <v>-7.3219999924267753E-9</v>
      </c>
    </row>
    <row r="285" spans="2:42" x14ac:dyDescent="0.25">
      <c r="B285" s="2240" t="str">
        <f>'Income Eligible Deemed Table'!C14</f>
        <v>400300_2019_12_</v>
      </c>
      <c r="C285" s="2096" t="str">
        <f>'Income Eligible Deemed Table'!G14</f>
        <v>Cooling RES</v>
      </c>
      <c r="D285" s="208"/>
      <c r="E285" s="208"/>
      <c r="F285" s="208"/>
      <c r="G285" s="208" t="str">
        <f>'Income Eligible Deemed Table'!E14</f>
        <v>AC Tune-up /Indoor Coil (Evaporator) Cleaning MF</v>
      </c>
      <c r="H285" s="622" t="str">
        <f>'Income Eligible Deemed Table'!D14</f>
        <v>MFLI</v>
      </c>
      <c r="I285" s="2091">
        <f t="shared" si="174"/>
        <v>63.95</v>
      </c>
      <c r="J285" s="2091">
        <f t="shared" si="175"/>
        <v>0</v>
      </c>
      <c r="K285" s="2113">
        <f>'Income Eligible Deemed Table'!F14</f>
        <v>63.95</v>
      </c>
      <c r="L285" s="2113"/>
      <c r="M285" s="2113"/>
      <c r="N285" s="2113"/>
      <c r="O285" s="2092">
        <f t="shared" si="176"/>
        <v>6.0587000000000002E-2</v>
      </c>
      <c r="P285" s="2092">
        <f t="shared" si="177"/>
        <v>0</v>
      </c>
      <c r="Q285" s="2086">
        <f>'Income Eligible Deemed Table'!I14</f>
        <v>6.0587000000000002E-2</v>
      </c>
      <c r="R285" s="2086"/>
      <c r="S285" s="2086"/>
      <c r="T285" s="2086"/>
      <c r="U285" s="2087">
        <v>0</v>
      </c>
      <c r="V285" s="2087">
        <v>0</v>
      </c>
      <c r="W285" s="2087">
        <v>0</v>
      </c>
      <c r="X285" s="2121">
        <f>'Income Eligible Deemed Table'!J14</f>
        <v>2</v>
      </c>
      <c r="Y285" s="2121"/>
      <c r="Z285" s="88">
        <f t="shared" si="165"/>
        <v>2</v>
      </c>
      <c r="AA285" s="637">
        <f>'Income Eligible Deemed Table'!BB14</f>
        <v>0.18403651024932594</v>
      </c>
      <c r="AB285" s="2917">
        <f>'Income Eligible Deemed Table'!K14</f>
        <v>63</v>
      </c>
      <c r="AC285" s="2089">
        <f t="shared" si="166"/>
        <v>10.94318088315954</v>
      </c>
      <c r="AD285" s="2089">
        <f t="shared" si="167"/>
        <v>0</v>
      </c>
      <c r="AE285" s="2955">
        <f>'Income Eligible Deemed Table'!BD14</f>
        <v>10.94318088315954</v>
      </c>
      <c r="AF285" s="2956"/>
      <c r="AG285" s="2956"/>
      <c r="AH285" s="2956"/>
      <c r="AI285" s="2240" t="str">
        <f>'Income Eligible Deemed Table'!L14</f>
        <v>per measure</v>
      </c>
      <c r="AM285" s="2057">
        <f t="shared" si="164"/>
        <v>9.4741810000000004E-4</v>
      </c>
      <c r="AN285">
        <f t="shared" si="178"/>
        <v>6.0587387495000006E-2</v>
      </c>
      <c r="AO285" s="2048">
        <f t="shared" si="159"/>
        <v>3.8749500000379022E-7</v>
      </c>
    </row>
    <row r="286" spans="2:42" x14ac:dyDescent="0.25">
      <c r="B286" s="2240" t="str">
        <f>'Income Eligible Deemed Table'!C15</f>
        <v>400301_2019_12_</v>
      </c>
      <c r="C286" s="2096" t="str">
        <f>'Income Eligible Deemed Table'!G15</f>
        <v>Cooling RES</v>
      </c>
      <c r="D286" s="208"/>
      <c r="E286" s="208"/>
      <c r="F286" s="208"/>
      <c r="G286" s="208" t="str">
        <f>'Income Eligible Deemed Table'!E15</f>
        <v>AC Tune-up /Indoor Coil (Evaporator) Cleaning MF_CompE</v>
      </c>
      <c r="H286" s="622" t="str">
        <f>'Income Eligible Deemed Table'!D15</f>
        <v>MFLIc</v>
      </c>
      <c r="I286" s="2091">
        <f t="shared" si="174"/>
        <v>46.51</v>
      </c>
      <c r="J286" s="2091">
        <f t="shared" si="175"/>
        <v>0</v>
      </c>
      <c r="K286" s="2113">
        <f>'Income Eligible Deemed Table'!F15</f>
        <v>46.51</v>
      </c>
      <c r="L286" s="2113"/>
      <c r="M286" s="2113"/>
      <c r="N286" s="2113"/>
      <c r="O286" s="2092">
        <f t="shared" si="176"/>
        <v>4.4063999999999999E-2</v>
      </c>
      <c r="P286" s="2092">
        <f t="shared" si="177"/>
        <v>0</v>
      </c>
      <c r="Q286" s="2086">
        <f>'Income Eligible Deemed Table'!I15</f>
        <v>4.4063999999999999E-2</v>
      </c>
      <c r="R286" s="2086"/>
      <c r="S286" s="2086"/>
      <c r="T286" s="2086"/>
      <c r="U286" s="2087">
        <v>0</v>
      </c>
      <c r="V286" s="2087">
        <v>0</v>
      </c>
      <c r="W286" s="2087">
        <v>0</v>
      </c>
      <c r="X286" s="2121">
        <f>'Income Eligible Deemed Table'!J15</f>
        <v>2</v>
      </c>
      <c r="Y286" s="2121"/>
      <c r="Z286" s="88">
        <f t="shared" si="165"/>
        <v>2</v>
      </c>
      <c r="AA286" s="637">
        <f>'Income Eligible Deemed Table'!BB15</f>
        <v>0.13384735092566299</v>
      </c>
      <c r="AB286" s="2917">
        <f>'Income Eligible Deemed Table'!K15</f>
        <v>63</v>
      </c>
      <c r="AC286" s="2089">
        <f t="shared" si="166"/>
        <v>7.9588325703792053</v>
      </c>
      <c r="AD286" s="2089">
        <f t="shared" si="167"/>
        <v>0</v>
      </c>
      <c r="AE286" s="2955">
        <f>'Income Eligible Deemed Table'!BD15</f>
        <v>7.9588325703792053</v>
      </c>
      <c r="AF286" s="2956"/>
      <c r="AG286" s="2956"/>
      <c r="AH286" s="2956"/>
      <c r="AI286" s="2240" t="str">
        <f>'Income Eligible Deemed Table'!L15</f>
        <v>per measure</v>
      </c>
      <c r="AM286" s="2057">
        <f t="shared" si="164"/>
        <v>9.4741810000000004E-4</v>
      </c>
      <c r="AN286">
        <f t="shared" si="178"/>
        <v>4.4064415831000001E-2</v>
      </c>
      <c r="AO286" s="2048">
        <f t="shared" si="159"/>
        <v>4.1583100000158746E-7</v>
      </c>
    </row>
    <row r="287" spans="2:42" x14ac:dyDescent="0.25">
      <c r="B287" s="2240" t="str">
        <f>'Income Eligible Deemed Table'!C16</f>
        <v>400350_2019_12_</v>
      </c>
      <c r="C287" s="2096" t="str">
        <f>'Income Eligible Deemed Table'!G16</f>
        <v>Cooling RES</v>
      </c>
      <c r="D287" s="208"/>
      <c r="E287" s="208"/>
      <c r="F287" s="208"/>
      <c r="G287" s="208" t="str">
        <f>'Income Eligible Deemed Table'!E16</f>
        <v>AC Tune-up /Outdoor Coil (Condenser) Cleaning SF</v>
      </c>
      <c r="H287" s="622" t="str">
        <f>'Income Eligible Deemed Table'!D16</f>
        <v>SFLI</v>
      </c>
      <c r="I287" s="2091">
        <f t="shared" si="174"/>
        <v>196.76</v>
      </c>
      <c r="J287" s="2091">
        <f t="shared" si="175"/>
        <v>0</v>
      </c>
      <c r="K287" s="2113">
        <f>'Income Eligible Deemed Table'!F16</f>
        <v>196.76</v>
      </c>
      <c r="L287" s="2113"/>
      <c r="M287" s="2113"/>
      <c r="N287" s="2113"/>
      <c r="O287" s="2092">
        <f t="shared" si="176"/>
        <v>0.186414</v>
      </c>
      <c r="P287" s="2092">
        <f t="shared" si="177"/>
        <v>0</v>
      </c>
      <c r="Q287" s="2086">
        <f>'Income Eligible Deemed Table'!I16</f>
        <v>0.186414</v>
      </c>
      <c r="R287" s="2086"/>
      <c r="S287" s="2086"/>
      <c r="T287" s="2086"/>
      <c r="U287" s="2087">
        <v>0</v>
      </c>
      <c r="V287" s="2087">
        <v>0</v>
      </c>
      <c r="W287" s="2087">
        <v>0</v>
      </c>
      <c r="X287" s="2121">
        <f>'Income Eligible Deemed Table'!J16</f>
        <v>2</v>
      </c>
      <c r="Y287" s="2121"/>
      <c r="Z287" s="88">
        <f t="shared" si="165"/>
        <v>2</v>
      </c>
      <c r="AA287" s="637">
        <f>'Income Eligible Deemed Table'!BB16</f>
        <v>1.150745036025834</v>
      </c>
      <c r="AB287" s="2917">
        <f>'Income Eligible Deemed Table'!K16</f>
        <v>31</v>
      </c>
      <c r="AC287" s="2089">
        <f t="shared" si="166"/>
        <v>33.669746216895561</v>
      </c>
      <c r="AD287" s="2089">
        <f t="shared" si="167"/>
        <v>0</v>
      </c>
      <c r="AE287" s="2955">
        <f>'Income Eligible Deemed Table'!BD16</f>
        <v>33.669746216895561</v>
      </c>
      <c r="AF287" s="2956"/>
      <c r="AG287" s="2956"/>
      <c r="AH287" s="2956"/>
      <c r="AI287" s="2240" t="str">
        <f>'Income Eligible Deemed Table'!L16</f>
        <v>per measure</v>
      </c>
      <c r="AM287" s="2057">
        <f t="shared" si="164"/>
        <v>9.4741810000000004E-4</v>
      </c>
      <c r="AN287">
        <f t="shared" si="178"/>
        <v>0.18641398535600001</v>
      </c>
      <c r="AO287" s="2048">
        <f t="shared" si="159"/>
        <v>-1.4643999984853551E-8</v>
      </c>
    </row>
    <row r="288" spans="2:42" x14ac:dyDescent="0.25">
      <c r="B288" s="2240" t="str">
        <f>'Income Eligible Deemed Table'!C17</f>
        <v>400400_2019_12_</v>
      </c>
      <c r="C288" s="2096" t="str">
        <f>'Income Eligible Deemed Table'!G17</f>
        <v>Cooling RES</v>
      </c>
      <c r="D288" s="208"/>
      <c r="E288" s="208"/>
      <c r="F288" s="208"/>
      <c r="G288" s="208" t="str">
        <f>'Income Eligible Deemed Table'!E17</f>
        <v>AC Tune-up /Outdoor Coil (Condenser) Cleaning MF</v>
      </c>
      <c r="H288" s="622" t="str">
        <f>'Income Eligible Deemed Table'!D17</f>
        <v>MFLI</v>
      </c>
      <c r="I288" s="2091">
        <f t="shared" si="174"/>
        <v>127.89</v>
      </c>
      <c r="J288" s="2091">
        <f t="shared" si="175"/>
        <v>0</v>
      </c>
      <c r="K288" s="2113">
        <f>'Income Eligible Deemed Table'!F17</f>
        <v>127.89</v>
      </c>
      <c r="L288" s="2113"/>
      <c r="M288" s="2113"/>
      <c r="N288" s="2113"/>
      <c r="O288" s="2092">
        <f t="shared" si="176"/>
        <v>0.12116499999999999</v>
      </c>
      <c r="P288" s="2092">
        <f t="shared" si="177"/>
        <v>0</v>
      </c>
      <c r="Q288" s="2086">
        <f>'Income Eligible Deemed Table'!I17</f>
        <v>0.12116499999999999</v>
      </c>
      <c r="R288" s="2086"/>
      <c r="S288" s="2086"/>
      <c r="T288" s="2086"/>
      <c r="U288" s="2087">
        <v>0</v>
      </c>
      <c r="V288" s="2087">
        <v>0</v>
      </c>
      <c r="W288" s="2087">
        <v>0</v>
      </c>
      <c r="X288" s="2121">
        <f>'Income Eligible Deemed Table'!J17</f>
        <v>2</v>
      </c>
      <c r="Y288" s="2121"/>
      <c r="Z288" s="88">
        <f t="shared" si="165"/>
        <v>2</v>
      </c>
      <c r="AA288" s="637">
        <f>'Income Eligible Deemed Table'!BB17</f>
        <v>0.74796087953518953</v>
      </c>
      <c r="AB288" s="2917">
        <f>'Income Eligible Deemed Table'!K17</f>
        <v>31</v>
      </c>
      <c r="AC288" s="2089">
        <f t="shared" si="166"/>
        <v>21.884650557424138</v>
      </c>
      <c r="AD288" s="2089">
        <f t="shared" si="167"/>
        <v>0</v>
      </c>
      <c r="AE288" s="2955">
        <f>'Income Eligible Deemed Table'!BD17</f>
        <v>21.884650557424138</v>
      </c>
      <c r="AF288" s="2956"/>
      <c r="AG288" s="2956"/>
      <c r="AH288" s="2956"/>
      <c r="AI288" s="2240" t="str">
        <f>'Income Eligible Deemed Table'!L17</f>
        <v>per measure</v>
      </c>
      <c r="AM288" s="2057">
        <f t="shared" si="164"/>
        <v>9.4741810000000004E-4</v>
      </c>
      <c r="AN288">
        <f t="shared" si="178"/>
        <v>0.12116530080900001</v>
      </c>
      <c r="AO288" s="2048">
        <f t="shared" si="159"/>
        <v>3.0080900001450139E-7</v>
      </c>
    </row>
    <row r="289" spans="2:41" x14ac:dyDescent="0.25">
      <c r="B289" s="2240" t="str">
        <f>'Income Eligible Deemed Table'!C18</f>
        <v>400401_2019_12_</v>
      </c>
      <c r="C289" s="2096" t="str">
        <f>'Income Eligible Deemed Table'!G18</f>
        <v>Cooling RES</v>
      </c>
      <c r="D289" s="208"/>
      <c r="E289" s="208"/>
      <c r="F289" s="208"/>
      <c r="G289" s="208" t="str">
        <f>'Income Eligible Deemed Table'!E18</f>
        <v>AC Tune-up /Outdoor Coil (Condenser) Cleaning MF_CompE</v>
      </c>
      <c r="H289" s="622" t="str">
        <f>'Income Eligible Deemed Table'!D18</f>
        <v>MFLIc</v>
      </c>
      <c r="I289" s="2091">
        <f t="shared" si="174"/>
        <v>93.01</v>
      </c>
      <c r="J289" s="2091">
        <f t="shared" si="175"/>
        <v>0</v>
      </c>
      <c r="K289" s="2113">
        <f>'Income Eligible Deemed Table'!F18</f>
        <v>93.01</v>
      </c>
      <c r="L289" s="2113"/>
      <c r="M289" s="2113"/>
      <c r="N289" s="2113"/>
      <c r="O289" s="2092">
        <f t="shared" si="176"/>
        <v>8.8119000000000003E-2</v>
      </c>
      <c r="P289" s="2092">
        <f t="shared" si="177"/>
        <v>0</v>
      </c>
      <c r="Q289" s="2086">
        <f>'Income Eligible Deemed Table'!I18</f>
        <v>8.8119000000000003E-2</v>
      </c>
      <c r="R289" s="2086"/>
      <c r="S289" s="2086"/>
      <c r="T289" s="2086"/>
      <c r="U289" s="2087">
        <v>0</v>
      </c>
      <c r="V289" s="2087">
        <v>0</v>
      </c>
      <c r="W289" s="2087">
        <v>0</v>
      </c>
      <c r="X289" s="2121">
        <f>'Income Eligible Deemed Table'!J18</f>
        <v>2</v>
      </c>
      <c r="Y289" s="2121"/>
      <c r="Z289" s="88">
        <f t="shared" si="165"/>
        <v>2</v>
      </c>
      <c r="AA289" s="637">
        <f>'Income Eligible Deemed Table'!BB18</f>
        <v>0.54396623196159188</v>
      </c>
      <c r="AB289" s="2917">
        <f>'Income Eligible Deemed Table'!K18</f>
        <v>31</v>
      </c>
      <c r="AC289" s="2089">
        <f t="shared" si="166"/>
        <v>15.91595393186347</v>
      </c>
      <c r="AD289" s="2089">
        <f t="shared" si="167"/>
        <v>0</v>
      </c>
      <c r="AE289" s="2955">
        <f>'Income Eligible Deemed Table'!BD18</f>
        <v>15.91595393186347</v>
      </c>
      <c r="AF289" s="2956"/>
      <c r="AG289" s="2956"/>
      <c r="AH289" s="2956"/>
      <c r="AI289" s="2240" t="str">
        <f>'Income Eligible Deemed Table'!L18</f>
        <v>per measure</v>
      </c>
      <c r="AM289" s="2057">
        <f t="shared" ref="AM289:AM320" si="179">VLOOKUP(C289,$AS$10:$AT$32,2,FALSE)</f>
        <v>9.4741810000000004E-4</v>
      </c>
      <c r="AN289">
        <f t="shared" si="178"/>
        <v>8.8119357481000013E-2</v>
      </c>
      <c r="AO289" s="2048">
        <f t="shared" si="159"/>
        <v>3.5748100001009586E-7</v>
      </c>
    </row>
    <row r="290" spans="2:41" x14ac:dyDescent="0.25">
      <c r="B290" s="2240" t="str">
        <f>'Income Eligible Deemed Table'!C52</f>
        <v>400450_2019_12_</v>
      </c>
      <c r="C290" s="208" t="str">
        <f>'Income Eligible Deemed Table'!G52</f>
        <v>Building Shell RES</v>
      </c>
      <c r="D290" s="208"/>
      <c r="E290" s="208"/>
      <c r="F290" s="208"/>
      <c r="G290" s="208" t="str">
        <f>'Income Eligible Deemed Table'!E52</f>
        <v>Air Sealing (Infiltration reduction) - 30% MF LI DI electric furnace base</v>
      </c>
      <c r="H290" s="622" t="str">
        <f>'Income Eligible Deemed Table'!D52</f>
        <v>MFLI</v>
      </c>
      <c r="I290" s="2084">
        <f>'Income Eligible Deemed Table'!F52</f>
        <v>0.33</v>
      </c>
      <c r="J290" s="2091">
        <f t="shared" si="175"/>
        <v>0</v>
      </c>
      <c r="K290" s="2115"/>
      <c r="L290" s="2115"/>
      <c r="M290" s="2113"/>
      <c r="N290" s="2113"/>
      <c r="O290" s="2085">
        <f>'Income Eligible Deemed Table'!K52</f>
        <v>1.54E-4</v>
      </c>
      <c r="P290" s="2092">
        <f t="shared" si="177"/>
        <v>0</v>
      </c>
      <c r="Q290" s="2097"/>
      <c r="R290" s="2097"/>
      <c r="S290" s="2086"/>
      <c r="T290" s="2086"/>
      <c r="U290" s="2087"/>
      <c r="V290" s="2087"/>
      <c r="W290" s="2087">
        <f t="shared" ref="W290:W297" si="180">O290</f>
        <v>1.54E-4</v>
      </c>
      <c r="X290" s="2121">
        <f>'Income Eligible Deemed Table'!L52</f>
        <v>15</v>
      </c>
      <c r="Y290" s="2121"/>
      <c r="Z290" s="88">
        <f t="shared" si="165"/>
        <v>15</v>
      </c>
      <c r="AA290" s="637">
        <f>'Income Eligible Deemed Table'!BB52</f>
        <v>2.7496621881200949</v>
      </c>
      <c r="AB290" s="2917">
        <f>'Income Eligible Deemed Table'!M52</f>
        <v>0.12</v>
      </c>
      <c r="AC290" s="2089">
        <f t="shared" si="166"/>
        <v>0.31142941252893941</v>
      </c>
      <c r="AD290" s="2089">
        <f t="shared" si="167"/>
        <v>0</v>
      </c>
      <c r="AE290" s="2955">
        <f>'Income Eligible Deemed Table'!BD52</f>
        <v>0.31142941252893941</v>
      </c>
      <c r="AF290" s="2956"/>
      <c r="AG290" s="2956"/>
      <c r="AH290" s="2956"/>
      <c r="AI290" s="2249" t="str">
        <f>'Income Eligible Deemed Table'!N51</f>
        <v>Units (sq. ft)</v>
      </c>
      <c r="AM290" s="2057">
        <f t="shared" si="179"/>
        <v>4.6608050000000002E-4</v>
      </c>
      <c r="AN290">
        <f t="shared" si="178"/>
        <v>1.53806565E-4</v>
      </c>
      <c r="AO290" s="2048">
        <f t="shared" si="159"/>
        <v>-1.9343499999999961E-7</v>
      </c>
    </row>
    <row r="291" spans="2:41" x14ac:dyDescent="0.25">
      <c r="B291" s="2240" t="str">
        <f>'Income Eligible Deemed Table'!C53</f>
        <v>400500_2019_12_</v>
      </c>
      <c r="C291" s="208" t="str">
        <f>'Income Eligible Deemed Table'!G53</f>
        <v>Building Shell RES</v>
      </c>
      <c r="D291" s="208"/>
      <c r="E291" s="208"/>
      <c r="F291" s="208"/>
      <c r="G291" s="208" t="str">
        <f>'Income Eligible Deemed Table'!E53</f>
        <v>Air Sealing (Infiltration reduction) - 30% MF LI DI heat pump base</v>
      </c>
      <c r="H291" s="622"/>
      <c r="I291" s="2084">
        <f>'Income Eligible Deemed Table'!F53</f>
        <v>0.25</v>
      </c>
      <c r="J291" s="2091">
        <f t="shared" si="175"/>
        <v>0</v>
      </c>
      <c r="K291" s="2115"/>
      <c r="L291" s="2115"/>
      <c r="M291" s="2113"/>
      <c r="N291" s="2113"/>
      <c r="O291" s="2085">
        <f>'Income Eligible Deemed Table'!K53</f>
        <v>1.17E-4</v>
      </c>
      <c r="P291" s="2092">
        <f t="shared" si="177"/>
        <v>0</v>
      </c>
      <c r="Q291" s="2097"/>
      <c r="R291" s="2097"/>
      <c r="S291" s="2086"/>
      <c r="T291" s="2086"/>
      <c r="U291" s="2087"/>
      <c r="V291" s="2087"/>
      <c r="W291" s="2087">
        <f t="shared" si="180"/>
        <v>1.17E-4</v>
      </c>
      <c r="X291" s="2121">
        <f>'Income Eligible Deemed Table'!L53</f>
        <v>15</v>
      </c>
      <c r="Y291" s="2121"/>
      <c r="Z291" s="88">
        <f t="shared" si="165"/>
        <v>15</v>
      </c>
      <c r="AA291" s="637">
        <f>'Income Eligible Deemed Table'!BB53</f>
        <v>2.0830774152424958</v>
      </c>
      <c r="AB291" s="2917">
        <f>'Income Eligible Deemed Table'!M53</f>
        <v>0.12</v>
      </c>
      <c r="AC291" s="2089">
        <f t="shared" si="166"/>
        <v>0.23593137312798437</v>
      </c>
      <c r="AD291" s="2089">
        <f t="shared" si="167"/>
        <v>0</v>
      </c>
      <c r="AE291" s="2955">
        <f>'Income Eligible Deemed Table'!BD53</f>
        <v>0.23593137312798437</v>
      </c>
      <c r="AF291" s="2956"/>
      <c r="AG291" s="2956"/>
      <c r="AH291" s="2956"/>
      <c r="AI291" s="2249" t="str">
        <f>AI290</f>
        <v>Units (sq. ft)</v>
      </c>
      <c r="AM291" s="2057">
        <f t="shared" si="179"/>
        <v>4.6608050000000002E-4</v>
      </c>
      <c r="AN291">
        <f t="shared" si="178"/>
        <v>1.16520125E-4</v>
      </c>
      <c r="AO291" s="2048">
        <f t="shared" si="159"/>
        <v>-4.7987499999999344E-7</v>
      </c>
    </row>
    <row r="292" spans="2:41" x14ac:dyDescent="0.25">
      <c r="B292" s="2240" t="str">
        <f>'Income Eligible Deemed Table'!C54</f>
        <v>400550_2019_12_</v>
      </c>
      <c r="C292" s="208" t="str">
        <f>'Income Eligible Deemed Table'!G54</f>
        <v>Building Shell RES</v>
      </c>
      <c r="D292" s="208"/>
      <c r="E292" s="208"/>
      <c r="F292" s="208"/>
      <c r="G292" s="208" t="str">
        <f>'Income Eligible Deemed Table'!E54</f>
        <v>Air Sealing (Infiltration reduction) - 30% SF LI DI electric furnace base</v>
      </c>
      <c r="H292" s="622"/>
      <c r="I292" s="2084">
        <f>'Income Eligible Deemed Table'!F54</f>
        <v>0.36</v>
      </c>
      <c r="J292" s="2091">
        <f t="shared" si="175"/>
        <v>0</v>
      </c>
      <c r="K292" s="2115"/>
      <c r="L292" s="2115"/>
      <c r="M292" s="2113"/>
      <c r="N292" s="2113"/>
      <c r="O292" s="2085">
        <f>'Income Eligible Deemed Table'!K54</f>
        <v>1.6799999999999999E-4</v>
      </c>
      <c r="P292" s="2092">
        <f t="shared" si="177"/>
        <v>0</v>
      </c>
      <c r="Q292" s="2097"/>
      <c r="R292" s="2097"/>
      <c r="S292" s="2086"/>
      <c r="T292" s="2086"/>
      <c r="U292" s="2087"/>
      <c r="V292" s="2087"/>
      <c r="W292" s="2087">
        <f t="shared" si="180"/>
        <v>1.6799999999999999E-4</v>
      </c>
      <c r="X292" s="2121">
        <f>'Income Eligible Deemed Table'!L54</f>
        <v>15</v>
      </c>
      <c r="Y292" s="2121"/>
      <c r="Z292" s="88">
        <f t="shared" si="165"/>
        <v>15</v>
      </c>
      <c r="AA292" s="637">
        <f>'Income Eligible Deemed Table'!BB54</f>
        <v>2.9996314779491935</v>
      </c>
      <c r="AB292" s="2917">
        <f>'Income Eligible Deemed Table'!M54</f>
        <v>0.12</v>
      </c>
      <c r="AC292" s="2089">
        <f t="shared" si="166"/>
        <v>0.33974117730429748</v>
      </c>
      <c r="AD292" s="2089">
        <f t="shared" si="167"/>
        <v>0</v>
      </c>
      <c r="AE292" s="2955">
        <f>'Income Eligible Deemed Table'!BD54</f>
        <v>0.33974117730429748</v>
      </c>
      <c r="AF292" s="2956"/>
      <c r="AG292" s="2956"/>
      <c r="AH292" s="2956"/>
      <c r="AI292" s="2249" t="str">
        <f t="shared" ref="AI292:AI297" si="181">AI291</f>
        <v>Units (sq. ft)</v>
      </c>
      <c r="AM292" s="2057">
        <f t="shared" si="179"/>
        <v>4.6608050000000002E-4</v>
      </c>
      <c r="AN292">
        <f t="shared" si="178"/>
        <v>1.6778898E-4</v>
      </c>
      <c r="AO292" s="2048">
        <f t="shared" si="159"/>
        <v>-2.1101999999998972E-7</v>
      </c>
    </row>
    <row r="293" spans="2:41" x14ac:dyDescent="0.25">
      <c r="B293" s="2240" t="str">
        <f>'Income Eligible Deemed Table'!C55</f>
        <v>400551_2019_12_</v>
      </c>
      <c r="C293" s="208" t="str">
        <f>'Income Eligible Deemed Table'!G55</f>
        <v>Building Shell RES</v>
      </c>
      <c r="D293" s="208"/>
      <c r="E293" s="208"/>
      <c r="F293" s="208"/>
      <c r="G293" s="208" t="str">
        <f>'Income Eligible Deemed Table'!E55</f>
        <v>Air Sealing (Infiltration reduction) - 30% SF LI DI Gas furnace base</v>
      </c>
      <c r="H293" s="622"/>
      <c r="I293" s="2084">
        <f>'Income Eligible Deemed Table'!F55</f>
        <v>0.06</v>
      </c>
      <c r="J293" s="2091">
        <f t="shared" si="175"/>
        <v>0</v>
      </c>
      <c r="K293" s="2115"/>
      <c r="L293" s="2115"/>
      <c r="M293" s="2113"/>
      <c r="N293" s="2113"/>
      <c r="O293" s="2085">
        <f>'Income Eligible Deemed Table'!K55</f>
        <v>2.8E-5</v>
      </c>
      <c r="P293" s="2092">
        <f t="shared" si="177"/>
        <v>0</v>
      </c>
      <c r="Q293" s="2097"/>
      <c r="R293" s="2097"/>
      <c r="S293" s="2086"/>
      <c r="T293" s="2086"/>
      <c r="U293" s="2087"/>
      <c r="V293" s="2087"/>
      <c r="W293" s="2087">
        <f t="shared" si="180"/>
        <v>2.8E-5</v>
      </c>
      <c r="X293" s="2121">
        <f>'Income Eligible Deemed Table'!L55</f>
        <v>15</v>
      </c>
      <c r="Y293" s="2121"/>
      <c r="Z293" s="88">
        <f t="shared" si="165"/>
        <v>15</v>
      </c>
      <c r="AA293" s="637">
        <f>'Income Eligible Deemed Table'!BB55</f>
        <v>0.49993857965819899</v>
      </c>
      <c r="AB293" s="2917">
        <f>'Income Eligible Deemed Table'!M55</f>
        <v>0.12</v>
      </c>
      <c r="AC293" s="2089">
        <f t="shared" si="166"/>
        <v>5.6623529550716249E-2</v>
      </c>
      <c r="AD293" s="2089">
        <f t="shared" si="167"/>
        <v>0</v>
      </c>
      <c r="AE293" s="2955">
        <f>'Income Eligible Deemed Table'!BD55</f>
        <v>5.6623529550716249E-2</v>
      </c>
      <c r="AF293" s="2956"/>
      <c r="AG293" s="2956"/>
      <c r="AH293" s="2956"/>
      <c r="AI293" s="2249" t="str">
        <f t="shared" si="181"/>
        <v>Units (sq. ft)</v>
      </c>
      <c r="AM293" s="2057">
        <f t="shared" si="179"/>
        <v>4.6608050000000002E-4</v>
      </c>
      <c r="AN293">
        <f t="shared" si="178"/>
        <v>2.7964829999999999E-5</v>
      </c>
      <c r="AO293" s="2048">
        <f t="shared" si="159"/>
        <v>-3.5170000000000546E-8</v>
      </c>
    </row>
    <row r="294" spans="2:41" x14ac:dyDescent="0.25">
      <c r="B294" s="2240" t="str">
        <f>'Income Eligible Deemed Table'!C56</f>
        <v>400600_2019_12_</v>
      </c>
      <c r="C294" s="208" t="str">
        <f>'Income Eligible Deemed Table'!G56</f>
        <v>Building Shell RES</v>
      </c>
      <c r="D294" s="208"/>
      <c r="E294" s="208"/>
      <c r="F294" s="208"/>
      <c r="G294" s="208" t="str">
        <f>'Income Eligible Deemed Table'!E56</f>
        <v>Air Sealing (Infiltration reduction) - 30% SF LI DI heat pump base</v>
      </c>
      <c r="H294" s="622"/>
      <c r="I294" s="2084">
        <f>'Income Eligible Deemed Table'!F56</f>
        <v>0.31</v>
      </c>
      <c r="J294" s="2091">
        <f t="shared" si="175"/>
        <v>0</v>
      </c>
      <c r="K294" s="2115"/>
      <c r="L294" s="2115"/>
      <c r="M294" s="2113"/>
      <c r="N294" s="2113"/>
      <c r="O294" s="2085">
        <f>'Income Eligible Deemed Table'!K56</f>
        <v>1.44E-4</v>
      </c>
      <c r="P294" s="2092">
        <f t="shared" si="177"/>
        <v>0</v>
      </c>
      <c r="Q294" s="2097"/>
      <c r="R294" s="2097"/>
      <c r="S294" s="2086"/>
      <c r="T294" s="2086"/>
      <c r="U294" s="2087"/>
      <c r="V294" s="2087"/>
      <c r="W294" s="2087">
        <f t="shared" si="180"/>
        <v>1.44E-4</v>
      </c>
      <c r="X294" s="2121">
        <f>'Income Eligible Deemed Table'!L56</f>
        <v>15</v>
      </c>
      <c r="Y294" s="2121"/>
      <c r="Z294" s="88">
        <f t="shared" si="165"/>
        <v>15</v>
      </c>
      <c r="AA294" s="637">
        <f>'Income Eligible Deemed Table'!BB56</f>
        <v>2.5830159949006943</v>
      </c>
      <c r="AB294" s="2917">
        <f>'Income Eligible Deemed Table'!M56</f>
        <v>0.12</v>
      </c>
      <c r="AC294" s="2089">
        <f t="shared" si="166"/>
        <v>0.2925549026787006</v>
      </c>
      <c r="AD294" s="2089">
        <f t="shared" si="167"/>
        <v>0</v>
      </c>
      <c r="AE294" s="2955">
        <f>'Income Eligible Deemed Table'!BD56</f>
        <v>0.2925549026787006</v>
      </c>
      <c r="AF294" s="2956"/>
      <c r="AG294" s="2956"/>
      <c r="AH294" s="2956"/>
      <c r="AI294" s="2249" t="str">
        <f t="shared" si="181"/>
        <v>Units (sq. ft)</v>
      </c>
      <c r="AM294" s="2057">
        <f t="shared" si="179"/>
        <v>4.6608050000000002E-4</v>
      </c>
      <c r="AN294">
        <f t="shared" si="178"/>
        <v>1.4448495500000001E-4</v>
      </c>
      <c r="AO294" s="2048">
        <f t="shared" si="159"/>
        <v>4.8495500000001E-7</v>
      </c>
    </row>
    <row r="295" spans="2:41" x14ac:dyDescent="0.25">
      <c r="B295" s="2240" t="str">
        <f>'Income Eligible Deemed Table'!C57</f>
        <v>400650_2019_12_</v>
      </c>
      <c r="C295" s="208" t="str">
        <f>'Income Eligible Deemed Table'!G57</f>
        <v>Building Shell RES</v>
      </c>
      <c r="D295" s="208"/>
      <c r="E295" s="208"/>
      <c r="F295" s="208"/>
      <c r="G295" s="208" t="str">
        <f>'Income Eligible Deemed Table'!E57</f>
        <v>MH Adjusted Air Sealing (Infiltration reduction) - 30% SF LI DI electric furnace base</v>
      </c>
      <c r="H295" s="622"/>
      <c r="I295" s="2084">
        <f>'Income Eligible Deemed Table'!F57</f>
        <v>0.48</v>
      </c>
      <c r="J295" s="2091">
        <f t="shared" si="175"/>
        <v>0</v>
      </c>
      <c r="K295" s="2115"/>
      <c r="L295" s="2115"/>
      <c r="M295" s="2113"/>
      <c r="N295" s="2113"/>
      <c r="O295" s="2085">
        <f>'Income Eligible Deemed Table'!K57</f>
        <v>2.24E-4</v>
      </c>
      <c r="P295" s="2092">
        <f t="shared" si="177"/>
        <v>0</v>
      </c>
      <c r="Q295" s="2097"/>
      <c r="R295" s="2097"/>
      <c r="S295" s="2086"/>
      <c r="T295" s="2086"/>
      <c r="U295" s="2087"/>
      <c r="V295" s="2087"/>
      <c r="W295" s="2087">
        <f t="shared" si="180"/>
        <v>2.24E-4</v>
      </c>
      <c r="X295" s="2121">
        <f>'Income Eligible Deemed Table'!L57</f>
        <v>15</v>
      </c>
      <c r="Y295" s="2121"/>
      <c r="Z295" s="88">
        <f t="shared" si="165"/>
        <v>15</v>
      </c>
      <c r="AA295" s="637">
        <f>'Income Eligible Deemed Table'!BB57</f>
        <v>3.9995086372655919</v>
      </c>
      <c r="AB295" s="2917">
        <f>'Income Eligible Deemed Table'!M57</f>
        <v>0.12</v>
      </c>
      <c r="AC295" s="2089">
        <f t="shared" si="166"/>
        <v>0.45298823640572999</v>
      </c>
      <c r="AD295" s="2089">
        <f t="shared" si="167"/>
        <v>0</v>
      </c>
      <c r="AE295" s="2955">
        <f>'Income Eligible Deemed Table'!BD57</f>
        <v>0.45298823640572999</v>
      </c>
      <c r="AF295" s="2956"/>
      <c r="AG295" s="2956"/>
      <c r="AH295" s="2956"/>
      <c r="AI295" s="2249" t="str">
        <f t="shared" si="181"/>
        <v>Units (sq. ft)</v>
      </c>
      <c r="AM295" s="2057">
        <f t="shared" si="179"/>
        <v>4.6608050000000002E-4</v>
      </c>
      <c r="AN295">
        <f t="shared" si="178"/>
        <v>2.2371863999999999E-4</v>
      </c>
      <c r="AO295" s="2048">
        <f t="shared" si="159"/>
        <v>-2.8136000000000437E-7</v>
      </c>
    </row>
    <row r="296" spans="2:41" x14ac:dyDescent="0.25">
      <c r="B296" s="2240" t="str">
        <f>'Income Eligible Deemed Table'!C58</f>
        <v>400651_2019_12_</v>
      </c>
      <c r="C296" s="208" t="str">
        <f>'Income Eligible Deemed Table'!G58</f>
        <v>Building Shell RES</v>
      </c>
      <c r="D296" s="208"/>
      <c r="E296" s="208"/>
      <c r="F296" s="208"/>
      <c r="G296" s="208" t="str">
        <f>'Income Eligible Deemed Table'!E58</f>
        <v>MH Adjusted Air Sealing (Infiltration reduction) - 30% SF LI DI heat pump base</v>
      </c>
      <c r="H296" s="622"/>
      <c r="I296" s="2084">
        <f>'Income Eligible Deemed Table'!F58</f>
        <v>0.45</v>
      </c>
      <c r="J296" s="2091">
        <f t="shared" si="175"/>
        <v>0</v>
      </c>
      <c r="K296" s="2115"/>
      <c r="L296" s="2115"/>
      <c r="M296" s="2113"/>
      <c r="N296" s="2113"/>
      <c r="O296" s="2085">
        <f>'Income Eligible Deemed Table'!K58</f>
        <v>2.1000000000000001E-4</v>
      </c>
      <c r="P296" s="2092">
        <f t="shared" si="177"/>
        <v>0</v>
      </c>
      <c r="Q296" s="2097"/>
      <c r="R296" s="2097"/>
      <c r="S296" s="2086"/>
      <c r="T296" s="2086"/>
      <c r="U296" s="2087"/>
      <c r="V296" s="2087"/>
      <c r="W296" s="2087">
        <f t="shared" si="180"/>
        <v>2.1000000000000001E-4</v>
      </c>
      <c r="X296" s="2121">
        <f>'Income Eligible Deemed Table'!L58</f>
        <v>15</v>
      </c>
      <c r="Y296" s="2121"/>
      <c r="Z296" s="88">
        <f t="shared" si="165"/>
        <v>15</v>
      </c>
      <c r="AA296" s="637">
        <f>'Income Eligible Deemed Table'!BB58</f>
        <v>3.7495393474364924</v>
      </c>
      <c r="AB296" s="2917">
        <f>'Income Eligible Deemed Table'!M58</f>
        <v>0.12</v>
      </c>
      <c r="AC296" s="2089">
        <f t="shared" si="166"/>
        <v>0.42467647163037187</v>
      </c>
      <c r="AD296" s="2089">
        <f t="shared" si="167"/>
        <v>0</v>
      </c>
      <c r="AE296" s="2955">
        <f>'Income Eligible Deemed Table'!BD58</f>
        <v>0.42467647163037187</v>
      </c>
      <c r="AF296" s="2956"/>
      <c r="AG296" s="2956"/>
      <c r="AH296" s="2956"/>
      <c r="AI296" s="2249" t="str">
        <f t="shared" si="181"/>
        <v>Units (sq. ft)</v>
      </c>
      <c r="AM296" s="2057">
        <f t="shared" si="179"/>
        <v>4.6608050000000002E-4</v>
      </c>
      <c r="AN296">
        <f t="shared" si="178"/>
        <v>2.0973622500000002E-4</v>
      </c>
      <c r="AO296" s="2048">
        <f t="shared" si="159"/>
        <v>-2.6377499999998715E-7</v>
      </c>
    </row>
    <row r="297" spans="2:41" x14ac:dyDescent="0.25">
      <c r="B297" s="2240" t="str">
        <f>'Income Eligible Deemed Table'!C59</f>
        <v>400652_2019_12_</v>
      </c>
      <c r="C297" s="208" t="str">
        <f>'Income Eligible Deemed Table'!G59</f>
        <v>Building Shell RES</v>
      </c>
      <c r="D297" s="208"/>
      <c r="E297" s="208"/>
      <c r="F297" s="208"/>
      <c r="G297" s="208" t="str">
        <f>'Income Eligible Deemed Table'!E59</f>
        <v>MH Adjusted Air Sealing (Infiltration reduction) - 30% SF LI DI gas furnace base</v>
      </c>
      <c r="H297" s="622"/>
      <c r="I297" s="2084">
        <f>'Income Eligible Deemed Table'!F59</f>
        <v>0.08</v>
      </c>
      <c r="J297" s="2091">
        <f t="shared" si="175"/>
        <v>0</v>
      </c>
      <c r="K297" s="2115"/>
      <c r="L297" s="2115"/>
      <c r="M297" s="2113"/>
      <c r="N297" s="2113"/>
      <c r="O297" s="2085">
        <f>'Income Eligible Deemed Table'!K59</f>
        <v>3.6999999999999998E-5</v>
      </c>
      <c r="P297" s="2092">
        <f t="shared" si="177"/>
        <v>0</v>
      </c>
      <c r="Q297" s="2097"/>
      <c r="R297" s="2097"/>
      <c r="S297" s="2086"/>
      <c r="T297" s="2086"/>
      <c r="U297" s="2087"/>
      <c r="V297" s="2087"/>
      <c r="W297" s="2087">
        <f t="shared" si="180"/>
        <v>3.6999999999999998E-5</v>
      </c>
      <c r="X297" s="2121">
        <f>'Income Eligible Deemed Table'!L59</f>
        <v>15</v>
      </c>
      <c r="Y297" s="2121"/>
      <c r="Z297" s="88">
        <f t="shared" si="165"/>
        <v>15</v>
      </c>
      <c r="AA297" s="637">
        <f>'Income Eligible Deemed Table'!BB59</f>
        <v>0.66658477287759854</v>
      </c>
      <c r="AB297" s="2917">
        <f>'Income Eligible Deemed Table'!M59</f>
        <v>0.12</v>
      </c>
      <c r="AC297" s="2089">
        <f t="shared" si="166"/>
        <v>7.5498039400954994E-2</v>
      </c>
      <c r="AD297" s="2089">
        <f t="shared" si="167"/>
        <v>0</v>
      </c>
      <c r="AE297" s="2955">
        <f>'Income Eligible Deemed Table'!BD59</f>
        <v>7.5498039400954994E-2</v>
      </c>
      <c r="AF297" s="2956"/>
      <c r="AG297" s="2956"/>
      <c r="AH297" s="2956"/>
      <c r="AI297" s="2249" t="str">
        <f t="shared" si="181"/>
        <v>Units (sq. ft)</v>
      </c>
      <c r="AM297" s="2057">
        <f t="shared" si="179"/>
        <v>4.6608050000000002E-4</v>
      </c>
      <c r="AN297">
        <f t="shared" si="178"/>
        <v>3.7286440000000005E-5</v>
      </c>
      <c r="AO297" s="2048">
        <f t="shared" si="159"/>
        <v>2.8644000000000737E-7</v>
      </c>
    </row>
    <row r="298" spans="2:41" x14ac:dyDescent="0.25">
      <c r="B298" s="2240" t="str">
        <f>'Income Eligible Deemed Table'!C116</f>
        <v>400700_2019_12_</v>
      </c>
      <c r="C298" s="208" t="str">
        <f>'Income Eligible Deemed Table'!G116</f>
        <v>Building Shell RES</v>
      </c>
      <c r="D298" s="208"/>
      <c r="E298" s="208"/>
      <c r="F298" s="208"/>
      <c r="G298" s="208" t="str">
        <f>'Income Eligible Deemed Table'!E116</f>
        <v>Ceiling Insulation R11-R49 MF LI DI electric furnace base</v>
      </c>
      <c r="H298" s="622" t="str">
        <f>'Income Eligible Deemed Table'!D116</f>
        <v>MFLI</v>
      </c>
      <c r="I298" s="2084">
        <f>'Income Eligible Deemed Table'!F116</f>
        <v>1.06</v>
      </c>
      <c r="J298" s="2091">
        <f t="shared" si="175"/>
        <v>0</v>
      </c>
      <c r="K298" s="2115"/>
      <c r="L298" s="2115"/>
      <c r="M298" s="2113"/>
      <c r="N298" s="2113"/>
      <c r="O298" s="2085">
        <f>'Income Eligible Deemed Table'!K116</f>
        <v>4.9399999999999997E-4</v>
      </c>
      <c r="P298" s="2092">
        <f t="shared" si="177"/>
        <v>0</v>
      </c>
      <c r="Q298" s="2097"/>
      <c r="R298" s="2097"/>
      <c r="S298" s="2086"/>
      <c r="T298" s="2086"/>
      <c r="U298" s="2087"/>
      <c r="V298" s="2087"/>
      <c r="W298" s="2087">
        <f>O298</f>
        <v>4.9399999999999997E-4</v>
      </c>
      <c r="X298" s="2121">
        <f>'Income Eligible Deemed Table'!L116</f>
        <v>25</v>
      </c>
      <c r="Y298" s="2121"/>
      <c r="Z298" s="88">
        <f t="shared" si="165"/>
        <v>25</v>
      </c>
      <c r="AA298" s="637">
        <f>'Income Eligible Deemed Table'!BB116</f>
        <v>0.73564454661671608</v>
      </c>
      <c r="AB298" s="2917">
        <f>'Income Eligible Deemed Table'!M116</f>
        <v>2.1249043458397576</v>
      </c>
      <c r="AC298" s="2089">
        <f t="shared" si="166"/>
        <v>1.4753886683333441</v>
      </c>
      <c r="AD298" s="2089">
        <f t="shared" si="167"/>
        <v>0</v>
      </c>
      <c r="AE298" s="2955">
        <f>'Income Eligible Deemed Table'!BD116</f>
        <v>1.4753886683333441</v>
      </c>
      <c r="AF298" s="2956"/>
      <c r="AG298" s="2956"/>
      <c r="AH298" s="2956"/>
      <c r="AI298" s="2251" t="str">
        <f>'Income Eligible Deemed Table'!N115</f>
        <v>Units - area of ceiling/attic (ft2)</v>
      </c>
      <c r="AM298" s="2057">
        <f t="shared" si="179"/>
        <v>4.6608050000000002E-4</v>
      </c>
      <c r="AN298">
        <f t="shared" si="178"/>
        <v>4.9404533000000001E-4</v>
      </c>
      <c r="AO298" s="2048">
        <f t="shared" si="159"/>
        <v>4.5330000000040442E-8</v>
      </c>
    </row>
    <row r="299" spans="2:41" x14ac:dyDescent="0.25">
      <c r="B299" s="2240" t="str">
        <f>'Income Eligible Deemed Table'!C117</f>
        <v>400750_2019_12_</v>
      </c>
      <c r="C299" s="208" t="str">
        <f>'Income Eligible Deemed Table'!G117</f>
        <v>Building Shell RES</v>
      </c>
      <c r="D299" s="208"/>
      <c r="E299" s="208"/>
      <c r="F299" s="208"/>
      <c r="G299" s="208" t="str">
        <f>'Income Eligible Deemed Table'!E117</f>
        <v>Ceiling Insulation R11-R49 MF LI DI heat pump base</v>
      </c>
      <c r="H299" s="622" t="str">
        <f>'Income Eligible Deemed Table'!D117</f>
        <v>MFLI</v>
      </c>
      <c r="I299" s="2084">
        <f>'Income Eligible Deemed Table'!F117</f>
        <v>0.66</v>
      </c>
      <c r="J299" s="2091">
        <f t="shared" si="175"/>
        <v>0</v>
      </c>
      <c r="K299" s="2115"/>
      <c r="L299" s="2115"/>
      <c r="M299" s="2113"/>
      <c r="N299" s="2113"/>
      <c r="O299" s="2085">
        <f>'Income Eligible Deemed Table'!K117</f>
        <v>3.0800000000000001E-4</v>
      </c>
      <c r="P299" s="2092">
        <f t="shared" si="177"/>
        <v>0</v>
      </c>
      <c r="Q299" s="2097"/>
      <c r="R299" s="2097"/>
      <c r="S299" s="2086"/>
      <c r="T299" s="2086"/>
      <c r="U299" s="2087"/>
      <c r="V299" s="2087"/>
      <c r="W299" s="2087">
        <f t="shared" ref="W299:W328" si="182">O299</f>
        <v>3.0800000000000001E-4</v>
      </c>
      <c r="X299" s="2121">
        <f>'Income Eligible Deemed Table'!L117</f>
        <v>25</v>
      </c>
      <c r="Y299" s="2121"/>
      <c r="Z299" s="88">
        <f t="shared" ref="Z299:Z339" si="183">Y299+X299</f>
        <v>25</v>
      </c>
      <c r="AA299" s="637">
        <f>'Income Eligible Deemed Table'!BB117</f>
        <v>0.45804283091229497</v>
      </c>
      <c r="AB299" s="2917">
        <f>'Income Eligible Deemed Table'!M117</f>
        <v>2.1249043458397576</v>
      </c>
      <c r="AC299" s="2089">
        <f t="shared" si="166"/>
        <v>0.91863822745283696</v>
      </c>
      <c r="AD299" s="2089">
        <f t="shared" si="167"/>
        <v>0</v>
      </c>
      <c r="AE299" s="2955">
        <f>'Income Eligible Deemed Table'!BD117</f>
        <v>0.91863822745283696</v>
      </c>
      <c r="AF299" s="2956"/>
      <c r="AG299" s="2956"/>
      <c r="AH299" s="2956"/>
      <c r="AI299" s="2251" t="str">
        <f>AI298</f>
        <v>Units - area of ceiling/attic (ft2)</v>
      </c>
      <c r="AM299" s="2057">
        <f t="shared" si="179"/>
        <v>4.6608050000000002E-4</v>
      </c>
      <c r="AN299">
        <f t="shared" si="178"/>
        <v>3.0761313000000001E-4</v>
      </c>
      <c r="AO299" s="2048">
        <f t="shared" si="159"/>
        <v>-3.8686999999999923E-7</v>
      </c>
    </row>
    <row r="300" spans="2:41" x14ac:dyDescent="0.25">
      <c r="B300" s="2240" t="str">
        <f>'Income Eligible Deemed Table'!C118</f>
        <v>400800_2019_12_</v>
      </c>
      <c r="C300" s="208" t="str">
        <f>'Income Eligible Deemed Table'!G118</f>
        <v>Building Shell RES</v>
      </c>
      <c r="D300" s="208"/>
      <c r="E300" s="208"/>
      <c r="F300" s="208"/>
      <c r="G300" s="208" t="str">
        <f>'Income Eligible Deemed Table'!E118</f>
        <v>Ceiling Insulation R11-R49 MF LI DI gas heat electric cool base</v>
      </c>
      <c r="H300" s="622" t="str">
        <f>'Income Eligible Deemed Table'!D118</f>
        <v>MFLI</v>
      </c>
      <c r="I300" s="2084">
        <f>'Income Eligible Deemed Table'!F118</f>
        <v>0.14000000000000001</v>
      </c>
      <c r="J300" s="2091">
        <f t="shared" si="175"/>
        <v>0</v>
      </c>
      <c r="K300" s="2115"/>
      <c r="L300" s="2115"/>
      <c r="M300" s="2113"/>
      <c r="N300" s="2113"/>
      <c r="O300" s="2085">
        <f>'Income Eligible Deemed Table'!K118</f>
        <v>6.4999999999999994E-5</v>
      </c>
      <c r="P300" s="2092">
        <f t="shared" si="177"/>
        <v>0</v>
      </c>
      <c r="Q300" s="2097"/>
      <c r="R300" s="2097"/>
      <c r="S300" s="2086"/>
      <c r="T300" s="2086"/>
      <c r="U300" s="2087"/>
      <c r="V300" s="2087"/>
      <c r="W300" s="2087">
        <f t="shared" si="182"/>
        <v>6.4999999999999994E-5</v>
      </c>
      <c r="X300" s="2121">
        <f>'Income Eligible Deemed Table'!L118</f>
        <v>25</v>
      </c>
      <c r="Y300" s="2121"/>
      <c r="Z300" s="88">
        <f t="shared" si="183"/>
        <v>25</v>
      </c>
      <c r="AA300" s="637">
        <f>'Income Eligible Deemed Table'!BB118</f>
        <v>9.7160600496547414E-2</v>
      </c>
      <c r="AB300" s="2917">
        <f>'Income Eligible Deemed Table'!M118</f>
        <v>2.1249043458397576</v>
      </c>
      <c r="AC300" s="2089">
        <f t="shared" si="166"/>
        <v>0.19486265430817754</v>
      </c>
      <c r="AD300" s="2089">
        <f t="shared" si="167"/>
        <v>0</v>
      </c>
      <c r="AE300" s="2955">
        <f>'Income Eligible Deemed Table'!BD118</f>
        <v>0.19486265430817754</v>
      </c>
      <c r="AF300" s="2956"/>
      <c r="AG300" s="2956"/>
      <c r="AH300" s="2956"/>
      <c r="AI300" s="2251" t="str">
        <f t="shared" ref="AI300:AI327" si="184">AI299</f>
        <v>Units - area of ceiling/attic (ft2)</v>
      </c>
      <c r="AM300" s="2057">
        <f t="shared" si="179"/>
        <v>4.6608050000000002E-4</v>
      </c>
      <c r="AN300">
        <f t="shared" si="178"/>
        <v>6.5251270000000008E-5</v>
      </c>
      <c r="AO300" s="2048">
        <f t="shared" si="159"/>
        <v>2.512700000000136E-7</v>
      </c>
    </row>
    <row r="301" spans="2:41" x14ac:dyDescent="0.25">
      <c r="B301" s="2240" t="str">
        <f>'Income Eligible Deemed Table'!C119</f>
        <v>400850_2019_12_</v>
      </c>
      <c r="C301" s="208" t="str">
        <f>'Income Eligible Deemed Table'!G119</f>
        <v>Building Shell RES</v>
      </c>
      <c r="D301" s="208"/>
      <c r="E301" s="208"/>
      <c r="F301" s="208"/>
      <c r="G301" s="208" t="str">
        <f>'Income Eligible Deemed Table'!E119</f>
        <v>Ceiling Insulation R11-R49 SF LI DI electric furnace base</v>
      </c>
      <c r="H301" s="622" t="str">
        <f>'Income Eligible Deemed Table'!D119</f>
        <v>SFLI</v>
      </c>
      <c r="I301" s="2084">
        <f>'Income Eligible Deemed Table'!F119</f>
        <v>1.06</v>
      </c>
      <c r="J301" s="2091">
        <f t="shared" si="175"/>
        <v>0</v>
      </c>
      <c r="K301" s="2115"/>
      <c r="L301" s="2115"/>
      <c r="M301" s="2113"/>
      <c r="N301" s="2113"/>
      <c r="O301" s="2085">
        <f>'Income Eligible Deemed Table'!K119</f>
        <v>4.9399999999999997E-4</v>
      </c>
      <c r="P301" s="2092">
        <f t="shared" si="177"/>
        <v>0</v>
      </c>
      <c r="Q301" s="2097"/>
      <c r="R301" s="2097"/>
      <c r="S301" s="2086"/>
      <c r="T301" s="2086"/>
      <c r="U301" s="2087"/>
      <c r="V301" s="2087"/>
      <c r="W301" s="2087">
        <f t="shared" si="182"/>
        <v>4.9399999999999997E-4</v>
      </c>
      <c r="X301" s="2121">
        <f>'Income Eligible Deemed Table'!L119</f>
        <v>25</v>
      </c>
      <c r="Y301" s="2121"/>
      <c r="Z301" s="88">
        <f t="shared" si="183"/>
        <v>25</v>
      </c>
      <c r="AA301" s="637">
        <f>'Income Eligible Deemed Table'!BB119</f>
        <v>0.73564355809296633</v>
      </c>
      <c r="AB301" s="2917">
        <f>'Income Eligible Deemed Table'!M119</f>
        <v>2.1249072011878249</v>
      </c>
      <c r="AC301" s="2089">
        <f t="shared" si="166"/>
        <v>1.4753886683333441</v>
      </c>
      <c r="AD301" s="2089">
        <f t="shared" si="167"/>
        <v>0</v>
      </c>
      <c r="AE301" s="2955">
        <f>'Income Eligible Deemed Table'!BD119</f>
        <v>1.4753886683333441</v>
      </c>
      <c r="AF301" s="2956"/>
      <c r="AG301" s="2956"/>
      <c r="AH301" s="2956"/>
      <c r="AI301" s="2251" t="str">
        <f t="shared" si="184"/>
        <v>Units - area of ceiling/attic (ft2)</v>
      </c>
      <c r="AM301" s="2057">
        <f t="shared" si="179"/>
        <v>4.6608050000000002E-4</v>
      </c>
      <c r="AN301">
        <f t="shared" si="178"/>
        <v>4.9404533000000001E-4</v>
      </c>
      <c r="AO301" s="2048">
        <f t="shared" si="159"/>
        <v>4.5330000000040442E-8</v>
      </c>
    </row>
    <row r="302" spans="2:41" x14ac:dyDescent="0.25">
      <c r="B302" s="2240" t="str">
        <f>'Income Eligible Deemed Table'!C120</f>
        <v>400900_2019_12_</v>
      </c>
      <c r="C302" s="208" t="str">
        <f>'Income Eligible Deemed Table'!G120</f>
        <v>Building Shell RES</v>
      </c>
      <c r="D302" s="208"/>
      <c r="E302" s="208"/>
      <c r="F302" s="208"/>
      <c r="G302" s="208" t="str">
        <f>'Income Eligible Deemed Table'!E120</f>
        <v>Ceiling Insulation R11-R49 SF LI DI heat pump base</v>
      </c>
      <c r="H302" s="622" t="str">
        <f>'Income Eligible Deemed Table'!D120</f>
        <v>SFLI</v>
      </c>
      <c r="I302" s="2084">
        <f>'Income Eligible Deemed Table'!F120</f>
        <v>0.66</v>
      </c>
      <c r="J302" s="2091">
        <f t="shared" si="175"/>
        <v>0</v>
      </c>
      <c r="K302" s="2115"/>
      <c r="L302" s="2115"/>
      <c r="M302" s="2113"/>
      <c r="N302" s="2113"/>
      <c r="O302" s="2085">
        <f>'Income Eligible Deemed Table'!K120</f>
        <v>3.0800000000000001E-4</v>
      </c>
      <c r="P302" s="2092">
        <f t="shared" si="177"/>
        <v>0</v>
      </c>
      <c r="Q302" s="2097"/>
      <c r="R302" s="2097"/>
      <c r="S302" s="2086"/>
      <c r="T302" s="2086"/>
      <c r="U302" s="2087"/>
      <c r="V302" s="2087"/>
      <c r="W302" s="2087">
        <f t="shared" si="182"/>
        <v>3.0800000000000001E-4</v>
      </c>
      <c r="X302" s="2121">
        <f>'Income Eligible Deemed Table'!L120</f>
        <v>25</v>
      </c>
      <c r="Y302" s="2121"/>
      <c r="Z302" s="88">
        <f t="shared" si="183"/>
        <v>25</v>
      </c>
      <c r="AA302" s="637">
        <f>'Income Eligible Deemed Table'!BB120</f>
        <v>0.4580422154163753</v>
      </c>
      <c r="AB302" s="2917">
        <f>'Income Eligible Deemed Table'!M120</f>
        <v>2.1249072011878249</v>
      </c>
      <c r="AC302" s="2089">
        <f t="shared" si="166"/>
        <v>0.91863822745283696</v>
      </c>
      <c r="AD302" s="2089">
        <f t="shared" si="167"/>
        <v>0</v>
      </c>
      <c r="AE302" s="2955">
        <f>'Income Eligible Deemed Table'!BD120</f>
        <v>0.91863822745283696</v>
      </c>
      <c r="AF302" s="2956"/>
      <c r="AG302" s="2956"/>
      <c r="AH302" s="2956"/>
      <c r="AI302" s="2251" t="str">
        <f t="shared" si="184"/>
        <v>Units - area of ceiling/attic (ft2)</v>
      </c>
      <c r="AM302" s="2057">
        <f t="shared" si="179"/>
        <v>4.6608050000000002E-4</v>
      </c>
      <c r="AN302">
        <f t="shared" si="178"/>
        <v>3.0761313000000001E-4</v>
      </c>
      <c r="AO302" s="2048">
        <f t="shared" si="159"/>
        <v>-3.8686999999999923E-7</v>
      </c>
    </row>
    <row r="303" spans="2:41" x14ac:dyDescent="0.25">
      <c r="B303" s="2240" t="str">
        <f>'Income Eligible Deemed Table'!C121</f>
        <v>400950_2019_12_</v>
      </c>
      <c r="C303" s="208" t="str">
        <f>'Income Eligible Deemed Table'!G121</f>
        <v>Building Shell RES</v>
      </c>
      <c r="D303" s="208"/>
      <c r="E303" s="208"/>
      <c r="F303" s="208"/>
      <c r="G303" s="208" t="str">
        <f>'Income Eligible Deemed Table'!E121</f>
        <v>Ceiling Insulation R11-R49 SF LI DI gas heat electric cool base</v>
      </c>
      <c r="H303" s="622" t="str">
        <f>'Income Eligible Deemed Table'!D121</f>
        <v>SFLI</v>
      </c>
      <c r="I303" s="2084">
        <f>'Income Eligible Deemed Table'!F121</f>
        <v>0.14000000000000001</v>
      </c>
      <c r="J303" s="2091">
        <f t="shared" si="175"/>
        <v>0</v>
      </c>
      <c r="K303" s="2115"/>
      <c r="L303" s="2115"/>
      <c r="M303" s="2113"/>
      <c r="N303" s="2113"/>
      <c r="O303" s="2085">
        <f>'Income Eligible Deemed Table'!K121</f>
        <v>6.4999999999999994E-5</v>
      </c>
      <c r="P303" s="2092">
        <f t="shared" si="177"/>
        <v>0</v>
      </c>
      <c r="Q303" s="2097"/>
      <c r="R303" s="2097"/>
      <c r="S303" s="2086"/>
      <c r="T303" s="2086"/>
      <c r="U303" s="2087"/>
      <c r="V303" s="2087"/>
      <c r="W303" s="2087">
        <f t="shared" si="182"/>
        <v>6.4999999999999994E-5</v>
      </c>
      <c r="X303" s="2121">
        <f>'Income Eligible Deemed Table'!L121</f>
        <v>25</v>
      </c>
      <c r="Y303" s="2121"/>
      <c r="Z303" s="88">
        <f t="shared" si="183"/>
        <v>25</v>
      </c>
      <c r="AA303" s="637">
        <f>'Income Eligible Deemed Table'!BB121</f>
        <v>9.7160469936806881E-2</v>
      </c>
      <c r="AB303" s="2917">
        <f>'Income Eligible Deemed Table'!M121</f>
        <v>2.1249072011878249</v>
      </c>
      <c r="AC303" s="2089">
        <f t="shared" si="166"/>
        <v>0.19486265430817754</v>
      </c>
      <c r="AD303" s="2089">
        <f t="shared" si="167"/>
        <v>0</v>
      </c>
      <c r="AE303" s="2955">
        <f>'Income Eligible Deemed Table'!BD121</f>
        <v>0.19486265430817754</v>
      </c>
      <c r="AF303" s="2956"/>
      <c r="AG303" s="2956"/>
      <c r="AH303" s="2956"/>
      <c r="AI303" s="2251" t="str">
        <f t="shared" si="184"/>
        <v>Units - area of ceiling/attic (ft2)</v>
      </c>
      <c r="AM303" s="2057">
        <f t="shared" si="179"/>
        <v>4.6608050000000002E-4</v>
      </c>
      <c r="AN303">
        <f t="shared" si="178"/>
        <v>6.5251270000000008E-5</v>
      </c>
      <c r="AO303" s="2048">
        <f t="shared" si="159"/>
        <v>2.512700000000136E-7</v>
      </c>
    </row>
    <row r="304" spans="2:41" x14ac:dyDescent="0.25">
      <c r="B304" s="2240" t="str">
        <f>'Income Eligible Deemed Table'!C122</f>
        <v>401000_2019_12_</v>
      </c>
      <c r="C304" s="208" t="str">
        <f>'Income Eligible Deemed Table'!G122</f>
        <v>Building Shell RES</v>
      </c>
      <c r="D304" s="208"/>
      <c r="E304" s="208"/>
      <c r="F304" s="208"/>
      <c r="G304" s="208" t="str">
        <f>'Income Eligible Deemed Table'!E122</f>
        <v>Ceiling Insulation R5-R30 MF LI DI electric furnace base</v>
      </c>
      <c r="H304" s="622" t="str">
        <f>'Income Eligible Deemed Table'!D122</f>
        <v>MFLI</v>
      </c>
      <c r="I304" s="2084">
        <f>'Income Eligible Deemed Table'!F122</f>
        <v>1.71</v>
      </c>
      <c r="J304" s="2091">
        <f t="shared" si="175"/>
        <v>0</v>
      </c>
      <c r="K304" s="2115"/>
      <c r="L304" s="2115"/>
      <c r="M304" s="2113"/>
      <c r="N304" s="2113"/>
      <c r="O304" s="2085">
        <f>'Income Eligible Deemed Table'!K122</f>
        <v>7.9699999999999997E-4</v>
      </c>
      <c r="P304" s="2092">
        <f t="shared" si="177"/>
        <v>0</v>
      </c>
      <c r="Q304" s="2097"/>
      <c r="R304" s="2097"/>
      <c r="S304" s="2086"/>
      <c r="T304" s="2086"/>
      <c r="U304" s="2087"/>
      <c r="V304" s="2087"/>
      <c r="W304" s="2087">
        <f t="shared" si="182"/>
        <v>7.9699999999999997E-4</v>
      </c>
      <c r="X304" s="2121">
        <f>'Income Eligible Deemed Table'!L122</f>
        <v>25</v>
      </c>
      <c r="Y304" s="2121"/>
      <c r="Z304" s="88">
        <f t="shared" si="183"/>
        <v>25</v>
      </c>
      <c r="AA304" s="637">
        <f>'Income Eligible Deemed Table'!BB122</f>
        <v>2.1680871992176587</v>
      </c>
      <c r="AB304" s="2917">
        <f>'Income Eligible Deemed Table'!M122</f>
        <v>1.1631103074141049</v>
      </c>
      <c r="AC304" s="2089">
        <f t="shared" si="166"/>
        <v>2.3801081347641682</v>
      </c>
      <c r="AD304" s="2089">
        <f t="shared" si="167"/>
        <v>0</v>
      </c>
      <c r="AE304" s="2955">
        <f>'Income Eligible Deemed Table'!BD122</f>
        <v>2.3801081347641682</v>
      </c>
      <c r="AF304" s="2956"/>
      <c r="AG304" s="2956"/>
      <c r="AH304" s="2956"/>
      <c r="AI304" s="2251" t="str">
        <f t="shared" si="184"/>
        <v>Units - area of ceiling/attic (ft2)</v>
      </c>
      <c r="AM304" s="2057">
        <f t="shared" si="179"/>
        <v>4.6608050000000002E-4</v>
      </c>
      <c r="AN304">
        <f t="shared" si="178"/>
        <v>7.9699765500000001E-4</v>
      </c>
      <c r="AO304" s="2048">
        <f t="shared" si="159"/>
        <v>-2.3449999999539811E-9</v>
      </c>
    </row>
    <row r="305" spans="2:41" x14ac:dyDescent="0.25">
      <c r="B305" s="2240" t="str">
        <f>'Income Eligible Deemed Table'!C123</f>
        <v>401050_2019_12_</v>
      </c>
      <c r="C305" s="208" t="str">
        <f>'Income Eligible Deemed Table'!G123</f>
        <v>Building Shell RES</v>
      </c>
      <c r="D305" s="208"/>
      <c r="E305" s="208"/>
      <c r="F305" s="208"/>
      <c r="G305" s="208" t="str">
        <f>'Income Eligible Deemed Table'!E123</f>
        <v>Ceiling Insulation R5-R30 MF LI DI heat pump base</v>
      </c>
      <c r="H305" s="622" t="str">
        <f>'Income Eligible Deemed Table'!D123</f>
        <v>MFLI</v>
      </c>
      <c r="I305" s="2084">
        <f>'Income Eligible Deemed Table'!F123</f>
        <v>1.07</v>
      </c>
      <c r="J305" s="2091">
        <f t="shared" si="175"/>
        <v>0</v>
      </c>
      <c r="K305" s="2115"/>
      <c r="L305" s="2115"/>
      <c r="M305" s="2113"/>
      <c r="N305" s="2113"/>
      <c r="O305" s="2085">
        <f>'Income Eligible Deemed Table'!K123</f>
        <v>4.9899999999999999E-4</v>
      </c>
      <c r="P305" s="2092">
        <f t="shared" si="177"/>
        <v>0</v>
      </c>
      <c r="Q305" s="2097"/>
      <c r="R305" s="2097"/>
      <c r="S305" s="2086"/>
      <c r="T305" s="2086"/>
      <c r="U305" s="2087"/>
      <c r="V305" s="2087"/>
      <c r="W305" s="2087">
        <f t="shared" si="182"/>
        <v>4.9899999999999999E-4</v>
      </c>
      <c r="X305" s="2121">
        <f>'Income Eligible Deemed Table'!L123</f>
        <v>25</v>
      </c>
      <c r="Y305" s="2121"/>
      <c r="Z305" s="88">
        <f t="shared" si="183"/>
        <v>25</v>
      </c>
      <c r="AA305" s="637">
        <f>'Income Eligible Deemed Table'!BB123</f>
        <v>1.3566393585747922</v>
      </c>
      <c r="AB305" s="2917">
        <f>'Income Eligible Deemed Table'!M123</f>
        <v>1.1631103074141049</v>
      </c>
      <c r="AC305" s="2089">
        <f t="shared" si="166"/>
        <v>1.4893074293553568</v>
      </c>
      <c r="AD305" s="2089">
        <f t="shared" si="167"/>
        <v>0</v>
      </c>
      <c r="AE305" s="2955">
        <f>'Income Eligible Deemed Table'!BD123</f>
        <v>1.4893074293553568</v>
      </c>
      <c r="AF305" s="2956"/>
      <c r="AG305" s="2956"/>
      <c r="AH305" s="2956"/>
      <c r="AI305" s="2251" t="str">
        <f t="shared" si="184"/>
        <v>Units - area of ceiling/attic (ft2)</v>
      </c>
      <c r="AM305" s="2057">
        <f t="shared" si="179"/>
        <v>4.6608050000000002E-4</v>
      </c>
      <c r="AN305">
        <f t="shared" si="178"/>
        <v>4.9870613500000002E-4</v>
      </c>
      <c r="AO305" s="2048">
        <f t="shared" si="159"/>
        <v>-2.9386499999996436E-7</v>
      </c>
    </row>
    <row r="306" spans="2:41" x14ac:dyDescent="0.25">
      <c r="B306" s="2240" t="str">
        <f>'Income Eligible Deemed Table'!C124</f>
        <v>401100_2019_12_</v>
      </c>
      <c r="C306" s="208" t="str">
        <f>'Income Eligible Deemed Table'!G124</f>
        <v>Building Shell RES</v>
      </c>
      <c r="D306" s="208"/>
      <c r="E306" s="208"/>
      <c r="F306" s="208"/>
      <c r="G306" s="208" t="str">
        <f>'Income Eligible Deemed Table'!E124</f>
        <v>Ceiling Insulation R5-R30 MF LI DI gas heat electric cool base</v>
      </c>
      <c r="H306" s="622" t="str">
        <f>'Income Eligible Deemed Table'!D124</f>
        <v>MFLI</v>
      </c>
      <c r="I306" s="2084">
        <f>'Income Eligible Deemed Table'!F124</f>
        <v>0.23</v>
      </c>
      <c r="J306" s="2091">
        <f t="shared" si="175"/>
        <v>0</v>
      </c>
      <c r="K306" s="2115"/>
      <c r="L306" s="2115"/>
      <c r="M306" s="2113"/>
      <c r="N306" s="2113"/>
      <c r="O306" s="2085">
        <f>'Income Eligible Deemed Table'!K124</f>
        <v>1.07E-4</v>
      </c>
      <c r="P306" s="2092">
        <f t="shared" si="177"/>
        <v>0</v>
      </c>
      <c r="Q306" s="2097"/>
      <c r="R306" s="2097"/>
      <c r="S306" s="2086"/>
      <c r="T306" s="2086"/>
      <c r="U306" s="2087"/>
      <c r="V306" s="2087"/>
      <c r="W306" s="2087">
        <f t="shared" si="182"/>
        <v>1.07E-4</v>
      </c>
      <c r="X306" s="2121">
        <f>'Income Eligible Deemed Table'!L124</f>
        <v>25</v>
      </c>
      <c r="Y306" s="2121"/>
      <c r="Z306" s="88">
        <f t="shared" si="183"/>
        <v>25</v>
      </c>
      <c r="AA306" s="637">
        <f>'Income Eligible Deemed Table'!BB124</f>
        <v>0.29161406773103016</v>
      </c>
      <c r="AB306" s="2917">
        <f>'Income Eligible Deemed Table'!M124</f>
        <v>1.1631103074141049</v>
      </c>
      <c r="AC306" s="2089">
        <f t="shared" si="166"/>
        <v>0.32013150350629166</v>
      </c>
      <c r="AD306" s="2089">
        <f t="shared" si="167"/>
        <v>0</v>
      </c>
      <c r="AE306" s="2955">
        <f>'Income Eligible Deemed Table'!BD124</f>
        <v>0.32013150350629166</v>
      </c>
      <c r="AF306" s="2956"/>
      <c r="AG306" s="2956"/>
      <c r="AH306" s="2956"/>
      <c r="AI306" s="2251" t="str">
        <f t="shared" si="184"/>
        <v>Units - area of ceiling/attic (ft2)</v>
      </c>
      <c r="AM306" s="2057">
        <f t="shared" si="179"/>
        <v>4.6608050000000002E-4</v>
      </c>
      <c r="AN306">
        <f t="shared" si="178"/>
        <v>1.0719851500000001E-4</v>
      </c>
      <c r="AO306" s="2048">
        <f t="shared" si="159"/>
        <v>1.9851500000001617E-7</v>
      </c>
    </row>
    <row r="307" spans="2:41" x14ac:dyDescent="0.25">
      <c r="B307" s="2240" t="str">
        <f>'Income Eligible Deemed Table'!C125</f>
        <v>401150_2019_12_</v>
      </c>
      <c r="C307" s="208" t="str">
        <f>'Income Eligible Deemed Table'!G125</f>
        <v>Building Shell RES</v>
      </c>
      <c r="D307" s="208"/>
      <c r="E307" s="208"/>
      <c r="F307" s="208"/>
      <c r="G307" s="208" t="str">
        <f>'Income Eligible Deemed Table'!E125</f>
        <v>Ceiling Insulation R5-R30 SF LI DI electric furnace base</v>
      </c>
      <c r="H307" s="622" t="str">
        <f>'Income Eligible Deemed Table'!D125</f>
        <v>SFLI</v>
      </c>
      <c r="I307" s="2084">
        <f>'Income Eligible Deemed Table'!F125</f>
        <v>1.71</v>
      </c>
      <c r="J307" s="2091">
        <f t="shared" si="175"/>
        <v>0</v>
      </c>
      <c r="K307" s="2115"/>
      <c r="L307" s="2115"/>
      <c r="M307" s="2113"/>
      <c r="N307" s="2113"/>
      <c r="O307" s="2085">
        <f>'Income Eligible Deemed Table'!K125</f>
        <v>7.9699999999999997E-4</v>
      </c>
      <c r="P307" s="2092">
        <f t="shared" si="177"/>
        <v>0</v>
      </c>
      <c r="Q307" s="2097"/>
      <c r="R307" s="2097"/>
      <c r="S307" s="2086"/>
      <c r="T307" s="2086"/>
      <c r="U307" s="2087"/>
      <c r="V307" s="2087"/>
      <c r="W307" s="2087">
        <f t="shared" si="182"/>
        <v>7.9699999999999997E-4</v>
      </c>
      <c r="X307" s="2121">
        <f>'Income Eligible Deemed Table'!L125</f>
        <v>25</v>
      </c>
      <c r="Y307" s="2121"/>
      <c r="Z307" s="88">
        <f t="shared" si="183"/>
        <v>25</v>
      </c>
      <c r="AA307" s="637">
        <f>'Income Eligible Deemed Table'!BB125</f>
        <v>2.168104053260361</v>
      </c>
      <c r="AB307" s="2917">
        <f>'Income Eligible Deemed Table'!M125</f>
        <v>1.1631012658227848</v>
      </c>
      <c r="AC307" s="2089">
        <f t="shared" si="166"/>
        <v>2.3801081347641682</v>
      </c>
      <c r="AD307" s="2089">
        <f t="shared" si="167"/>
        <v>0</v>
      </c>
      <c r="AE307" s="2955">
        <f>'Income Eligible Deemed Table'!BD125</f>
        <v>2.3801081347641682</v>
      </c>
      <c r="AF307" s="2956"/>
      <c r="AG307" s="2956"/>
      <c r="AH307" s="2956"/>
      <c r="AI307" s="2251" t="str">
        <f t="shared" si="184"/>
        <v>Units - area of ceiling/attic (ft2)</v>
      </c>
      <c r="AM307" s="2057">
        <f t="shared" si="179"/>
        <v>4.6608050000000002E-4</v>
      </c>
      <c r="AN307">
        <f t="shared" si="178"/>
        <v>7.9699765500000001E-4</v>
      </c>
      <c r="AO307" s="2048">
        <f t="shared" si="159"/>
        <v>-2.3449999999539811E-9</v>
      </c>
    </row>
    <row r="308" spans="2:41" x14ac:dyDescent="0.25">
      <c r="B308" s="2240" t="str">
        <f>'Income Eligible Deemed Table'!C126</f>
        <v>401200_2019_12_</v>
      </c>
      <c r="C308" s="208" t="str">
        <f>'Income Eligible Deemed Table'!G126</f>
        <v>Building Shell RES</v>
      </c>
      <c r="D308" s="208"/>
      <c r="E308" s="208"/>
      <c r="F308" s="208"/>
      <c r="G308" s="208" t="str">
        <f>'Income Eligible Deemed Table'!E126</f>
        <v>Ceiling Insulation R5-R30 SF LI DI heat pump base</v>
      </c>
      <c r="H308" s="622" t="str">
        <f>'Income Eligible Deemed Table'!D126</f>
        <v>SFLI</v>
      </c>
      <c r="I308" s="2084">
        <f>'Income Eligible Deemed Table'!F126</f>
        <v>1.07</v>
      </c>
      <c r="J308" s="2091">
        <f t="shared" si="175"/>
        <v>0</v>
      </c>
      <c r="K308" s="2115"/>
      <c r="L308" s="2115"/>
      <c r="M308" s="2113"/>
      <c r="N308" s="2113"/>
      <c r="O308" s="2085">
        <f>'Income Eligible Deemed Table'!K126</f>
        <v>4.9899999999999999E-4</v>
      </c>
      <c r="P308" s="2092">
        <f t="shared" si="177"/>
        <v>0</v>
      </c>
      <c r="Q308" s="2097"/>
      <c r="R308" s="2097"/>
      <c r="S308" s="2086"/>
      <c r="T308" s="2086"/>
      <c r="U308" s="2087"/>
      <c r="V308" s="2087"/>
      <c r="W308" s="2087">
        <f t="shared" si="182"/>
        <v>4.9899999999999999E-4</v>
      </c>
      <c r="X308" s="2121">
        <f>'Income Eligible Deemed Table'!L126</f>
        <v>25</v>
      </c>
      <c r="Y308" s="2121"/>
      <c r="Z308" s="88">
        <f t="shared" si="183"/>
        <v>25</v>
      </c>
      <c r="AA308" s="637">
        <f>'Income Eligible Deemed Table'!BB126</f>
        <v>1.356649904671688</v>
      </c>
      <c r="AB308" s="2917">
        <f>'Income Eligible Deemed Table'!M126</f>
        <v>1.1631012658227848</v>
      </c>
      <c r="AC308" s="2089">
        <f t="shared" si="166"/>
        <v>1.4893074293553568</v>
      </c>
      <c r="AD308" s="2089">
        <f t="shared" si="167"/>
        <v>0</v>
      </c>
      <c r="AE308" s="2955">
        <f>'Income Eligible Deemed Table'!BD126</f>
        <v>1.4893074293553568</v>
      </c>
      <c r="AF308" s="2956"/>
      <c r="AG308" s="2956"/>
      <c r="AH308" s="2956"/>
      <c r="AI308" s="2251" t="str">
        <f t="shared" si="184"/>
        <v>Units - area of ceiling/attic (ft2)</v>
      </c>
      <c r="AM308" s="2057">
        <f t="shared" si="179"/>
        <v>4.6608050000000002E-4</v>
      </c>
      <c r="AN308">
        <f t="shared" si="178"/>
        <v>4.9870613500000002E-4</v>
      </c>
      <c r="AO308" s="2048">
        <f t="shared" si="159"/>
        <v>-2.9386499999996436E-7</v>
      </c>
    </row>
    <row r="309" spans="2:41" x14ac:dyDescent="0.25">
      <c r="B309" s="2240" t="str">
        <f>'Income Eligible Deemed Table'!C127</f>
        <v>401250_2019_12_</v>
      </c>
      <c r="C309" s="208" t="str">
        <f>'Income Eligible Deemed Table'!G127</f>
        <v>Building Shell RES</v>
      </c>
      <c r="D309" s="208"/>
      <c r="E309" s="208"/>
      <c r="F309" s="208"/>
      <c r="G309" s="208" t="str">
        <f>'Income Eligible Deemed Table'!E127</f>
        <v>Ceiling Insulation R5-R30 SF LI DI gas heat electric cool base</v>
      </c>
      <c r="H309" s="622" t="str">
        <f>'Income Eligible Deemed Table'!D127</f>
        <v>SFLI</v>
      </c>
      <c r="I309" s="2084">
        <f>'Income Eligible Deemed Table'!F127</f>
        <v>0.23</v>
      </c>
      <c r="J309" s="2091">
        <f t="shared" si="175"/>
        <v>0</v>
      </c>
      <c r="K309" s="2115"/>
      <c r="L309" s="2115"/>
      <c r="M309" s="2113"/>
      <c r="N309" s="2113"/>
      <c r="O309" s="2085">
        <f>'Income Eligible Deemed Table'!K127</f>
        <v>1.07E-4</v>
      </c>
      <c r="P309" s="2092">
        <f t="shared" si="177"/>
        <v>0</v>
      </c>
      <c r="Q309" s="2097"/>
      <c r="R309" s="2097"/>
      <c r="S309" s="2086"/>
      <c r="T309" s="2086"/>
      <c r="U309" s="2087"/>
      <c r="V309" s="2087"/>
      <c r="W309" s="2087">
        <f t="shared" si="182"/>
        <v>1.07E-4</v>
      </c>
      <c r="X309" s="2121">
        <f>'Income Eligible Deemed Table'!L127</f>
        <v>25</v>
      </c>
      <c r="Y309" s="2121"/>
      <c r="Z309" s="88">
        <f t="shared" si="183"/>
        <v>25</v>
      </c>
      <c r="AA309" s="637">
        <f>'Income Eligible Deemed Table'!BB127</f>
        <v>0.29161633464905445</v>
      </c>
      <c r="AB309" s="2917">
        <f>'Income Eligible Deemed Table'!M127</f>
        <v>1.1631012658227848</v>
      </c>
      <c r="AC309" s="2089">
        <f t="shared" si="166"/>
        <v>0.32013150350629166</v>
      </c>
      <c r="AD309" s="2089">
        <f t="shared" si="167"/>
        <v>0</v>
      </c>
      <c r="AE309" s="2955">
        <f>'Income Eligible Deemed Table'!BD127</f>
        <v>0.32013150350629166</v>
      </c>
      <c r="AF309" s="2956"/>
      <c r="AG309" s="2956"/>
      <c r="AH309" s="2956"/>
      <c r="AI309" s="2251" t="str">
        <f t="shared" si="184"/>
        <v>Units - area of ceiling/attic (ft2)</v>
      </c>
      <c r="AM309" s="2057">
        <f t="shared" si="179"/>
        <v>4.6608050000000002E-4</v>
      </c>
      <c r="AN309">
        <f t="shared" si="178"/>
        <v>1.0719851500000001E-4</v>
      </c>
      <c r="AO309" s="2048">
        <f t="shared" si="159"/>
        <v>1.9851500000001617E-7</v>
      </c>
    </row>
    <row r="310" spans="2:41" x14ac:dyDescent="0.25">
      <c r="B310" s="2240" t="str">
        <f>'Income Eligible Deemed Table'!C128</f>
        <v>401300_2019_12_</v>
      </c>
      <c r="C310" s="208" t="str">
        <f>'Income Eligible Deemed Table'!G128</f>
        <v>Building Shell RES</v>
      </c>
      <c r="D310" s="208"/>
      <c r="E310" s="208"/>
      <c r="F310" s="208"/>
      <c r="G310" s="208" t="str">
        <f>'Income Eligible Deemed Table'!E128</f>
        <v>Ceiling Insulation R5-R38 MF LI DI electric furnace base</v>
      </c>
      <c r="H310" s="622" t="str">
        <f>'Income Eligible Deemed Table'!D128</f>
        <v>MFLI</v>
      </c>
      <c r="I310" s="2084">
        <f>'Income Eligible Deemed Table'!F128</f>
        <v>1.84</v>
      </c>
      <c r="J310" s="2091">
        <f t="shared" si="175"/>
        <v>0</v>
      </c>
      <c r="K310" s="2115"/>
      <c r="L310" s="2115"/>
      <c r="M310" s="2113"/>
      <c r="N310" s="2113"/>
      <c r="O310" s="2085">
        <f>'Income Eligible Deemed Table'!K128</f>
        <v>8.5800000000000004E-4</v>
      </c>
      <c r="P310" s="2092">
        <f t="shared" si="177"/>
        <v>0</v>
      </c>
      <c r="Q310" s="2097"/>
      <c r="R310" s="2097"/>
      <c r="S310" s="2086"/>
      <c r="T310" s="2086"/>
      <c r="U310" s="2087"/>
      <c r="V310" s="2087"/>
      <c r="W310" s="2087">
        <f t="shared" si="182"/>
        <v>8.5800000000000004E-4</v>
      </c>
      <c r="X310" s="2121">
        <f>'Income Eligible Deemed Table'!L128</f>
        <v>25</v>
      </c>
      <c r="Y310" s="2121"/>
      <c r="Z310" s="88">
        <f t="shared" si="183"/>
        <v>25</v>
      </c>
      <c r="AA310" s="637">
        <f>'Income Eligible Deemed Table'!BB128</f>
        <v>1.6141399677218247</v>
      </c>
      <c r="AB310" s="2917">
        <f>'Income Eligible Deemed Table'!M128</f>
        <v>1.6810404785088331</v>
      </c>
      <c r="AC310" s="2089">
        <f t="shared" si="166"/>
        <v>2.5610520280503333</v>
      </c>
      <c r="AD310" s="2089">
        <f t="shared" si="167"/>
        <v>0</v>
      </c>
      <c r="AE310" s="2955">
        <f>'Income Eligible Deemed Table'!BD128</f>
        <v>2.5610520280503333</v>
      </c>
      <c r="AF310" s="2956"/>
      <c r="AG310" s="2956"/>
      <c r="AH310" s="2956"/>
      <c r="AI310" s="2251" t="str">
        <f t="shared" si="184"/>
        <v>Units - area of ceiling/attic (ft2)</v>
      </c>
      <c r="AM310" s="2057">
        <f t="shared" si="179"/>
        <v>4.6608050000000002E-4</v>
      </c>
      <c r="AN310">
        <f t="shared" ref="AN310:AN346" si="185">AM310*I310</f>
        <v>8.5758812000000012E-4</v>
      </c>
      <c r="AO310" s="2048">
        <f t="shared" si="159"/>
        <v>-4.1187999999991922E-7</v>
      </c>
    </row>
    <row r="311" spans="2:41" x14ac:dyDescent="0.25">
      <c r="B311" s="2240" t="str">
        <f>'Income Eligible Deemed Table'!C129</f>
        <v>401350_2019_12_</v>
      </c>
      <c r="C311" s="208" t="str">
        <f>'Income Eligible Deemed Table'!G129</f>
        <v>Building Shell RES</v>
      </c>
      <c r="D311" s="208"/>
      <c r="E311" s="208"/>
      <c r="F311" s="208"/>
      <c r="G311" s="208" t="str">
        <f>'Income Eligible Deemed Table'!E129</f>
        <v>Ceiling Insulation R5-R38 MF LI DI heat pump base</v>
      </c>
      <c r="H311" s="622" t="str">
        <f>'Income Eligible Deemed Table'!D129</f>
        <v>MFLI</v>
      </c>
      <c r="I311" s="2084">
        <f>'Income Eligible Deemed Table'!F129</f>
        <v>1.1499999999999999</v>
      </c>
      <c r="J311" s="2091">
        <f t="shared" si="175"/>
        <v>0</v>
      </c>
      <c r="K311" s="2115"/>
      <c r="L311" s="2115"/>
      <c r="M311" s="2113"/>
      <c r="N311" s="2113"/>
      <c r="O311" s="2085">
        <f>'Income Eligible Deemed Table'!K129</f>
        <v>5.3600000000000002E-4</v>
      </c>
      <c r="P311" s="2092">
        <f t="shared" si="177"/>
        <v>0</v>
      </c>
      <c r="Q311" s="2097"/>
      <c r="R311" s="2097"/>
      <c r="S311" s="2086"/>
      <c r="T311" s="2086"/>
      <c r="U311" s="2087"/>
      <c r="V311" s="2087"/>
      <c r="W311" s="2087">
        <f t="shared" si="182"/>
        <v>5.3600000000000002E-4</v>
      </c>
      <c r="X311" s="2121">
        <f>'Income Eligible Deemed Table'!L129</f>
        <v>25</v>
      </c>
      <c r="Y311" s="2121"/>
      <c r="Z311" s="88">
        <f t="shared" si="183"/>
        <v>25</v>
      </c>
      <c r="AA311" s="637">
        <f>'Income Eligible Deemed Table'!BB129</f>
        <v>1.0088374798261404</v>
      </c>
      <c r="AB311" s="2917">
        <f>'Income Eligible Deemed Table'!M129</f>
        <v>1.6810404785088331</v>
      </c>
      <c r="AC311" s="2089">
        <f t="shared" si="166"/>
        <v>1.6006575175314581</v>
      </c>
      <c r="AD311" s="2089">
        <f t="shared" si="167"/>
        <v>0</v>
      </c>
      <c r="AE311" s="2955">
        <f>'Income Eligible Deemed Table'!BD129</f>
        <v>1.6006575175314581</v>
      </c>
      <c r="AF311" s="2956"/>
      <c r="AG311" s="2956"/>
      <c r="AH311" s="2956"/>
      <c r="AI311" s="2251" t="str">
        <f t="shared" si="184"/>
        <v>Units - area of ceiling/attic (ft2)</v>
      </c>
      <c r="AM311" s="2057">
        <f t="shared" si="179"/>
        <v>4.6608050000000002E-4</v>
      </c>
      <c r="AN311">
        <f t="shared" si="185"/>
        <v>5.3599257499999998E-4</v>
      </c>
      <c r="AO311" s="2048">
        <f t="shared" si="159"/>
        <v>-7.4250000000383037E-9</v>
      </c>
    </row>
    <row r="312" spans="2:41" x14ac:dyDescent="0.25">
      <c r="B312" s="2240" t="str">
        <f>'Income Eligible Deemed Table'!C130</f>
        <v>401400_2019_12_</v>
      </c>
      <c r="C312" s="208" t="str">
        <f>'Income Eligible Deemed Table'!G130</f>
        <v>Building Shell RES</v>
      </c>
      <c r="D312" s="208"/>
      <c r="E312" s="208"/>
      <c r="F312" s="208"/>
      <c r="G312" s="208" t="str">
        <f>'Income Eligible Deemed Table'!E130</f>
        <v>Ceiling Insulation R5-R38 MF LI DI gas heat electric cool base</v>
      </c>
      <c r="H312" s="622" t="str">
        <f>'Income Eligible Deemed Table'!D130</f>
        <v>MFLI</v>
      </c>
      <c r="I312" s="2084">
        <f>'Income Eligible Deemed Table'!F130</f>
        <v>0.25</v>
      </c>
      <c r="J312" s="2091">
        <f t="shared" si="175"/>
        <v>0</v>
      </c>
      <c r="K312" s="2115"/>
      <c r="L312" s="2115"/>
      <c r="M312" s="2113"/>
      <c r="N312" s="2113"/>
      <c r="O312" s="2085">
        <f>'Income Eligible Deemed Table'!K130</f>
        <v>1.17E-4</v>
      </c>
      <c r="P312" s="2092">
        <f t="shared" si="177"/>
        <v>0</v>
      </c>
      <c r="Q312" s="2097"/>
      <c r="R312" s="2097"/>
      <c r="S312" s="2086"/>
      <c r="T312" s="2086"/>
      <c r="U312" s="2087"/>
      <c r="V312" s="2087"/>
      <c r="W312" s="2087">
        <f t="shared" si="182"/>
        <v>1.17E-4</v>
      </c>
      <c r="X312" s="2121">
        <f>'Income Eligible Deemed Table'!L130</f>
        <v>25</v>
      </c>
      <c r="Y312" s="2121"/>
      <c r="Z312" s="88">
        <f t="shared" si="183"/>
        <v>25</v>
      </c>
      <c r="AA312" s="637">
        <f>'Income Eligible Deemed Table'!BB130</f>
        <v>0.21931249561437835</v>
      </c>
      <c r="AB312" s="2917">
        <f>'Income Eligible Deemed Table'!M130</f>
        <v>1.6810404785088331</v>
      </c>
      <c r="AC312" s="2089">
        <f t="shared" si="166"/>
        <v>0.347969025550317</v>
      </c>
      <c r="AD312" s="2089">
        <f t="shared" si="167"/>
        <v>0</v>
      </c>
      <c r="AE312" s="2955">
        <f>'Income Eligible Deemed Table'!BD130</f>
        <v>0.347969025550317</v>
      </c>
      <c r="AF312" s="2956"/>
      <c r="AG312" s="2956"/>
      <c r="AH312" s="2956"/>
      <c r="AI312" s="2251" t="str">
        <f t="shared" si="184"/>
        <v>Units - area of ceiling/attic (ft2)</v>
      </c>
      <c r="AM312" s="2057">
        <f t="shared" si="179"/>
        <v>4.6608050000000002E-4</v>
      </c>
      <c r="AN312">
        <f t="shared" si="185"/>
        <v>1.16520125E-4</v>
      </c>
      <c r="AO312" s="2048">
        <f t="shared" ref="AO312:AO385" si="186">AN312-O312</f>
        <v>-4.7987499999999344E-7</v>
      </c>
    </row>
    <row r="313" spans="2:41" x14ac:dyDescent="0.25">
      <c r="B313" s="2240" t="str">
        <f>'Income Eligible Deemed Table'!C131</f>
        <v>401450_2019_12_</v>
      </c>
      <c r="C313" s="208" t="str">
        <f>'Income Eligible Deemed Table'!G131</f>
        <v>Building Shell RES</v>
      </c>
      <c r="D313" s="208"/>
      <c r="E313" s="208"/>
      <c r="F313" s="208"/>
      <c r="G313" s="208" t="str">
        <f>'Income Eligible Deemed Table'!E131</f>
        <v>Ceiling Insulation R5-R38 SF LI DI electric furnace base</v>
      </c>
      <c r="H313" s="622" t="str">
        <f>'Income Eligible Deemed Table'!D131</f>
        <v>SFLI</v>
      </c>
      <c r="I313" s="2084">
        <f>'Income Eligible Deemed Table'!F131</f>
        <v>1.84</v>
      </c>
      <c r="J313" s="2091">
        <f t="shared" si="175"/>
        <v>0</v>
      </c>
      <c r="K313" s="2115"/>
      <c r="L313" s="2115"/>
      <c r="M313" s="2113"/>
      <c r="N313" s="2113"/>
      <c r="O313" s="2085">
        <f>'Income Eligible Deemed Table'!K131</f>
        <v>8.5800000000000004E-4</v>
      </c>
      <c r="P313" s="2092">
        <f t="shared" si="177"/>
        <v>0</v>
      </c>
      <c r="Q313" s="2097"/>
      <c r="R313" s="2097"/>
      <c r="S313" s="2086"/>
      <c r="T313" s="2086"/>
      <c r="U313" s="2087"/>
      <c r="V313" s="2087"/>
      <c r="W313" s="2087">
        <f t="shared" si="182"/>
        <v>8.5800000000000004E-4</v>
      </c>
      <c r="X313" s="2121">
        <f>'Income Eligible Deemed Table'!L131</f>
        <v>25</v>
      </c>
      <c r="Y313" s="2121"/>
      <c r="Z313" s="88">
        <f t="shared" si="183"/>
        <v>25</v>
      </c>
      <c r="AA313" s="637">
        <f>'Income Eligible Deemed Table'!BB131</f>
        <v>1.6141406355499737</v>
      </c>
      <c r="AB313" s="2917">
        <f>'Income Eligible Deemed Table'!M131</f>
        <v>1.6810397830018082</v>
      </c>
      <c r="AC313" s="2089">
        <f t="shared" si="166"/>
        <v>2.5610520280503333</v>
      </c>
      <c r="AD313" s="2089">
        <f t="shared" si="167"/>
        <v>0</v>
      </c>
      <c r="AE313" s="2955">
        <f>'Income Eligible Deemed Table'!BD131</f>
        <v>2.5610520280503333</v>
      </c>
      <c r="AF313" s="2956"/>
      <c r="AG313" s="2956"/>
      <c r="AH313" s="2956"/>
      <c r="AI313" s="2251" t="str">
        <f t="shared" si="184"/>
        <v>Units - area of ceiling/attic (ft2)</v>
      </c>
      <c r="AM313" s="2057">
        <f t="shared" si="179"/>
        <v>4.6608050000000002E-4</v>
      </c>
      <c r="AN313">
        <f t="shared" si="185"/>
        <v>8.5758812000000012E-4</v>
      </c>
      <c r="AO313" s="2048">
        <f t="shared" si="186"/>
        <v>-4.1187999999991922E-7</v>
      </c>
    </row>
    <row r="314" spans="2:41" x14ac:dyDescent="0.25">
      <c r="B314" s="2240" t="str">
        <f>'Income Eligible Deemed Table'!C132</f>
        <v>401500_2019_12_</v>
      </c>
      <c r="C314" s="208" t="str">
        <f>'Income Eligible Deemed Table'!G132</f>
        <v>Building Shell RES</v>
      </c>
      <c r="D314" s="208"/>
      <c r="E314" s="208"/>
      <c r="F314" s="208"/>
      <c r="G314" s="208" t="str">
        <f>'Income Eligible Deemed Table'!E132</f>
        <v>Ceiling Insulation R5-R38 SF LI DI heat pump base</v>
      </c>
      <c r="H314" s="622" t="str">
        <f>'Income Eligible Deemed Table'!D132</f>
        <v>SFLI</v>
      </c>
      <c r="I314" s="2084">
        <f>'Income Eligible Deemed Table'!F132</f>
        <v>1.1499999999999999</v>
      </c>
      <c r="J314" s="2091">
        <f t="shared" si="175"/>
        <v>0</v>
      </c>
      <c r="K314" s="2115"/>
      <c r="L314" s="2115"/>
      <c r="M314" s="2113"/>
      <c r="N314" s="2113"/>
      <c r="O314" s="2085">
        <f>'Income Eligible Deemed Table'!K132</f>
        <v>5.3600000000000002E-4</v>
      </c>
      <c r="P314" s="2092">
        <f t="shared" si="177"/>
        <v>0</v>
      </c>
      <c r="Q314" s="2097"/>
      <c r="R314" s="2097"/>
      <c r="S314" s="2086"/>
      <c r="T314" s="2086"/>
      <c r="U314" s="2087"/>
      <c r="V314" s="2087"/>
      <c r="W314" s="2087">
        <f t="shared" si="182"/>
        <v>5.3600000000000002E-4</v>
      </c>
      <c r="X314" s="2121">
        <f>'Income Eligible Deemed Table'!L132</f>
        <v>25</v>
      </c>
      <c r="Y314" s="2121"/>
      <c r="Z314" s="88">
        <f t="shared" si="183"/>
        <v>25</v>
      </c>
      <c r="AA314" s="637">
        <f>'Income Eligible Deemed Table'!BB132</f>
        <v>1.0088378972187335</v>
      </c>
      <c r="AB314" s="2917">
        <f>'Income Eligible Deemed Table'!M132</f>
        <v>1.6810397830018082</v>
      </c>
      <c r="AC314" s="2089">
        <f t="shared" si="166"/>
        <v>1.6006575175314581</v>
      </c>
      <c r="AD314" s="2089">
        <f t="shared" si="167"/>
        <v>0</v>
      </c>
      <c r="AE314" s="2955">
        <f>'Income Eligible Deemed Table'!BD132</f>
        <v>1.6006575175314581</v>
      </c>
      <c r="AF314" s="2956"/>
      <c r="AG314" s="2956"/>
      <c r="AH314" s="2956"/>
      <c r="AI314" s="2251" t="str">
        <f t="shared" si="184"/>
        <v>Units - area of ceiling/attic (ft2)</v>
      </c>
      <c r="AM314" s="2057">
        <f t="shared" si="179"/>
        <v>4.6608050000000002E-4</v>
      </c>
      <c r="AN314">
        <f t="shared" si="185"/>
        <v>5.3599257499999998E-4</v>
      </c>
      <c r="AO314" s="2048">
        <f t="shared" si="186"/>
        <v>-7.4250000000383037E-9</v>
      </c>
    </row>
    <row r="315" spans="2:41" x14ac:dyDescent="0.25">
      <c r="B315" s="2240" t="str">
        <f>'Income Eligible Deemed Table'!C133</f>
        <v>401550_2019_12_</v>
      </c>
      <c r="C315" s="208" t="str">
        <f>'Income Eligible Deemed Table'!G133</f>
        <v>Building Shell RES</v>
      </c>
      <c r="D315" s="208"/>
      <c r="E315" s="208"/>
      <c r="F315" s="208"/>
      <c r="G315" s="208" t="str">
        <f>'Income Eligible Deemed Table'!E133</f>
        <v>Ceiling Insulation R5-R38 SF LI DI gas heat electric cool base</v>
      </c>
      <c r="H315" s="622" t="str">
        <f>'Income Eligible Deemed Table'!D133</f>
        <v>SFLI</v>
      </c>
      <c r="I315" s="2084">
        <f>'Income Eligible Deemed Table'!F133</f>
        <v>0.25</v>
      </c>
      <c r="J315" s="2091">
        <f t="shared" si="175"/>
        <v>0</v>
      </c>
      <c r="K315" s="2115"/>
      <c r="L315" s="2115"/>
      <c r="M315" s="2113"/>
      <c r="N315" s="2113"/>
      <c r="O315" s="2085">
        <f>'Income Eligible Deemed Table'!K133</f>
        <v>1.17E-4</v>
      </c>
      <c r="P315" s="2092">
        <f t="shared" si="177"/>
        <v>0</v>
      </c>
      <c r="Q315" s="2097"/>
      <c r="R315" s="2097"/>
      <c r="S315" s="2086"/>
      <c r="T315" s="2086"/>
      <c r="U315" s="2087"/>
      <c r="V315" s="2087"/>
      <c r="W315" s="2087">
        <f t="shared" si="182"/>
        <v>1.17E-4</v>
      </c>
      <c r="X315" s="2121">
        <f>'Income Eligible Deemed Table'!L133</f>
        <v>25</v>
      </c>
      <c r="Y315" s="2121"/>
      <c r="Z315" s="88">
        <f t="shared" si="183"/>
        <v>25</v>
      </c>
      <c r="AA315" s="637">
        <f>'Income Eligible Deemed Table'!BB133</f>
        <v>0.21931258635189857</v>
      </c>
      <c r="AB315" s="2917">
        <f>'Income Eligible Deemed Table'!M133</f>
        <v>1.6810397830018082</v>
      </c>
      <c r="AC315" s="2089">
        <f t="shared" si="166"/>
        <v>0.347969025550317</v>
      </c>
      <c r="AD315" s="2089">
        <f t="shared" si="167"/>
        <v>0</v>
      </c>
      <c r="AE315" s="2955">
        <f>'Income Eligible Deemed Table'!BD133</f>
        <v>0.347969025550317</v>
      </c>
      <c r="AF315" s="2956"/>
      <c r="AG315" s="2956"/>
      <c r="AH315" s="2956"/>
      <c r="AI315" s="2251" t="str">
        <f t="shared" si="184"/>
        <v>Units - area of ceiling/attic (ft2)</v>
      </c>
      <c r="AM315" s="2057">
        <f t="shared" si="179"/>
        <v>4.6608050000000002E-4</v>
      </c>
      <c r="AN315">
        <f t="shared" si="185"/>
        <v>1.16520125E-4</v>
      </c>
      <c r="AO315" s="2048">
        <f t="shared" si="186"/>
        <v>-4.7987499999999344E-7</v>
      </c>
    </row>
    <row r="316" spans="2:41" x14ac:dyDescent="0.25">
      <c r="B316" s="2240" t="str">
        <f>'Income Eligible Deemed Table'!C134</f>
        <v>401600_2019_12_</v>
      </c>
      <c r="C316" s="208" t="str">
        <f>'Income Eligible Deemed Table'!G134</f>
        <v>Building Shell RES</v>
      </c>
      <c r="D316" s="208"/>
      <c r="E316" s="208"/>
      <c r="F316" s="208"/>
      <c r="G316" s="208" t="str">
        <f>'Income Eligible Deemed Table'!E134</f>
        <v>Ceiling Insulation R5-R49 MF LI DI electric furnace base</v>
      </c>
      <c r="H316" s="622" t="str">
        <f>'Income Eligible Deemed Table'!D134</f>
        <v>MFLI</v>
      </c>
      <c r="I316" s="2084">
        <f>'Income Eligible Deemed Table'!F134</f>
        <v>1.96</v>
      </c>
      <c r="J316" s="2091">
        <f t="shared" si="175"/>
        <v>0</v>
      </c>
      <c r="K316" s="2115"/>
      <c r="L316" s="2115"/>
      <c r="M316" s="2113"/>
      <c r="N316" s="2113"/>
      <c r="O316" s="2085">
        <f>'Income Eligible Deemed Table'!K134</f>
        <v>9.1399999999999999E-4</v>
      </c>
      <c r="P316" s="2092">
        <f t="shared" si="177"/>
        <v>0</v>
      </c>
      <c r="Q316" s="2097"/>
      <c r="R316" s="2097"/>
      <c r="S316" s="2086"/>
      <c r="T316" s="2086"/>
      <c r="U316" s="2087"/>
      <c r="V316" s="2087"/>
      <c r="W316" s="2087">
        <f t="shared" si="182"/>
        <v>9.1399999999999999E-4</v>
      </c>
      <c r="X316" s="2121">
        <f>'Income Eligible Deemed Table'!L134</f>
        <v>25</v>
      </c>
      <c r="Y316" s="2121"/>
      <c r="Z316" s="88">
        <f t="shared" si="183"/>
        <v>25</v>
      </c>
      <c r="AA316" s="637">
        <f>'Income Eligible Deemed Table'!BB134</f>
        <v>1.1252122422118687</v>
      </c>
      <c r="AB316" s="2917">
        <f>'Income Eligible Deemed Table'!M134</f>
        <v>2.568757824454027</v>
      </c>
      <c r="AC316" s="2089">
        <f t="shared" si="166"/>
        <v>2.7280771603144851</v>
      </c>
      <c r="AD316" s="2089">
        <f t="shared" si="167"/>
        <v>0</v>
      </c>
      <c r="AE316" s="2955">
        <f>'Income Eligible Deemed Table'!BD134</f>
        <v>2.7280771603144851</v>
      </c>
      <c r="AF316" s="2956"/>
      <c r="AG316" s="2956"/>
      <c r="AH316" s="2956"/>
      <c r="AI316" s="2251" t="str">
        <f t="shared" si="184"/>
        <v>Units - area of ceiling/attic (ft2)</v>
      </c>
      <c r="AM316" s="2057">
        <f t="shared" si="179"/>
        <v>4.6608050000000002E-4</v>
      </c>
      <c r="AN316">
        <f t="shared" si="185"/>
        <v>9.1351778E-4</v>
      </c>
      <c r="AO316" s="2048">
        <f t="shared" si="186"/>
        <v>-4.8221999999998807E-7</v>
      </c>
    </row>
    <row r="317" spans="2:41" x14ac:dyDescent="0.25">
      <c r="B317" s="2240" t="str">
        <f>'Income Eligible Deemed Table'!C135</f>
        <v>401650_2019_12_</v>
      </c>
      <c r="C317" s="208" t="str">
        <f>'Income Eligible Deemed Table'!G135</f>
        <v>Building Shell RES</v>
      </c>
      <c r="D317" s="208"/>
      <c r="E317" s="208"/>
      <c r="F317" s="208"/>
      <c r="G317" s="208" t="str">
        <f>'Income Eligible Deemed Table'!E135</f>
        <v>Ceiling Insulation R5-R49 MF LI DI heat pump base</v>
      </c>
      <c r="H317" s="622" t="str">
        <f>'Income Eligible Deemed Table'!D135</f>
        <v>MFLI</v>
      </c>
      <c r="I317" s="2084">
        <f>'Income Eligible Deemed Table'!F135</f>
        <v>1.22</v>
      </c>
      <c r="J317" s="2091">
        <f t="shared" si="175"/>
        <v>0</v>
      </c>
      <c r="K317" s="2115"/>
      <c r="L317" s="2115"/>
      <c r="M317" s="2113"/>
      <c r="N317" s="2113"/>
      <c r="O317" s="2085">
        <f>'Income Eligible Deemed Table'!K135</f>
        <v>5.6899999999999995E-4</v>
      </c>
      <c r="P317" s="2092">
        <f t="shared" si="177"/>
        <v>0</v>
      </c>
      <c r="Q317" s="2097"/>
      <c r="R317" s="2097"/>
      <c r="S317" s="2086"/>
      <c r="T317" s="2086"/>
      <c r="U317" s="2087"/>
      <c r="V317" s="2087"/>
      <c r="W317" s="2087">
        <f t="shared" si="182"/>
        <v>5.6899999999999995E-4</v>
      </c>
      <c r="X317" s="2121">
        <f>'Income Eligible Deemed Table'!L135</f>
        <v>25</v>
      </c>
      <c r="Y317" s="2121"/>
      <c r="Z317" s="88">
        <f t="shared" si="183"/>
        <v>25</v>
      </c>
      <c r="AA317" s="637">
        <f>'Income Eligible Deemed Table'!BB135</f>
        <v>0.70038721198902032</v>
      </c>
      <c r="AB317" s="2917">
        <f>'Income Eligible Deemed Table'!M135</f>
        <v>2.568757824454027</v>
      </c>
      <c r="AC317" s="2089">
        <f t="shared" si="166"/>
        <v>1.6980888446855469</v>
      </c>
      <c r="AD317" s="2089">
        <f t="shared" si="167"/>
        <v>0</v>
      </c>
      <c r="AE317" s="2955">
        <f>'Income Eligible Deemed Table'!BD135</f>
        <v>1.6980888446855469</v>
      </c>
      <c r="AF317" s="2956"/>
      <c r="AG317" s="2956"/>
      <c r="AH317" s="2956"/>
      <c r="AI317" s="2251" t="str">
        <f t="shared" si="184"/>
        <v>Units - area of ceiling/attic (ft2)</v>
      </c>
      <c r="AM317" s="2057">
        <f t="shared" si="179"/>
        <v>4.6608050000000002E-4</v>
      </c>
      <c r="AN317">
        <f t="shared" si="185"/>
        <v>5.6861821000000004E-4</v>
      </c>
      <c r="AO317" s="2048">
        <f t="shared" si="186"/>
        <v>-3.8178999999991491E-7</v>
      </c>
    </row>
    <row r="318" spans="2:41" x14ac:dyDescent="0.25">
      <c r="B318" s="2240" t="str">
        <f>'Income Eligible Deemed Table'!C136</f>
        <v>401700_2019_12_</v>
      </c>
      <c r="C318" s="208" t="str">
        <f>'Income Eligible Deemed Table'!G136</f>
        <v>Building Shell RES</v>
      </c>
      <c r="D318" s="208"/>
      <c r="E318" s="208"/>
      <c r="F318" s="208"/>
      <c r="G318" s="208" t="str">
        <f>'Income Eligible Deemed Table'!E136</f>
        <v>Ceiling Insulation R5-R49 MF LI DI gas heat electric cool base</v>
      </c>
      <c r="H318" s="622" t="str">
        <f>'Income Eligible Deemed Table'!D136</f>
        <v>MFLI</v>
      </c>
      <c r="I318" s="2084">
        <f>'Income Eligible Deemed Table'!F136</f>
        <v>0.26</v>
      </c>
      <c r="J318" s="2091">
        <f t="shared" si="175"/>
        <v>0</v>
      </c>
      <c r="K318" s="2115"/>
      <c r="L318" s="2115"/>
      <c r="M318" s="2113"/>
      <c r="N318" s="2113"/>
      <c r="O318" s="2085">
        <f>'Income Eligible Deemed Table'!K136</f>
        <v>1.21E-4</v>
      </c>
      <c r="P318" s="2092">
        <f t="shared" si="177"/>
        <v>0</v>
      </c>
      <c r="Q318" s="2097"/>
      <c r="R318" s="2097"/>
      <c r="S318" s="2086"/>
      <c r="T318" s="2086"/>
      <c r="U318" s="2087"/>
      <c r="V318" s="2087"/>
      <c r="W318" s="2087">
        <f t="shared" si="182"/>
        <v>1.21E-4</v>
      </c>
      <c r="X318" s="2121">
        <f>'Income Eligible Deemed Table'!L136</f>
        <v>25</v>
      </c>
      <c r="Y318" s="2121"/>
      <c r="Z318" s="88">
        <f t="shared" si="183"/>
        <v>25</v>
      </c>
      <c r="AA318" s="637">
        <f>'Income Eligible Deemed Table'!BB136</f>
        <v>0.14926284845667645</v>
      </c>
      <c r="AB318" s="2917">
        <f>'Income Eligible Deemed Table'!M136</f>
        <v>2.568757824454027</v>
      </c>
      <c r="AC318" s="2089">
        <f t="shared" si="166"/>
        <v>0.36188778657232967</v>
      </c>
      <c r="AD318" s="2089">
        <f t="shared" si="167"/>
        <v>0</v>
      </c>
      <c r="AE318" s="2955">
        <f>'Income Eligible Deemed Table'!BD136</f>
        <v>0.36188778657232967</v>
      </c>
      <c r="AF318" s="2956"/>
      <c r="AG318" s="2956"/>
      <c r="AH318" s="2956"/>
      <c r="AI318" s="2251" t="str">
        <f t="shared" si="184"/>
        <v>Units - area of ceiling/attic (ft2)</v>
      </c>
      <c r="AM318" s="2057">
        <f t="shared" si="179"/>
        <v>4.6608050000000002E-4</v>
      </c>
      <c r="AN318">
        <f t="shared" si="185"/>
        <v>1.2118093000000001E-4</v>
      </c>
      <c r="AO318" s="2048">
        <f t="shared" si="186"/>
        <v>1.8093000000001251E-7</v>
      </c>
    </row>
    <row r="319" spans="2:41" x14ac:dyDescent="0.25">
      <c r="B319" s="2240" t="str">
        <f>'Income Eligible Deemed Table'!C137</f>
        <v>401750_2019_12_</v>
      </c>
      <c r="C319" s="208" t="str">
        <f>'Income Eligible Deemed Table'!G137</f>
        <v>Building Shell RES</v>
      </c>
      <c r="D319" s="208"/>
      <c r="E319" s="208"/>
      <c r="F319" s="208"/>
      <c r="G319" s="208" t="str">
        <f>'Income Eligible Deemed Table'!E137</f>
        <v>Ceiling Insulation R5-R49 SF LI DI electric furnace base</v>
      </c>
      <c r="H319" s="622" t="str">
        <f>'Income Eligible Deemed Table'!D137</f>
        <v>SFLI</v>
      </c>
      <c r="I319" s="2084">
        <f>'Income Eligible Deemed Table'!F137</f>
        <v>1.96</v>
      </c>
      <c r="J319" s="2091">
        <f t="shared" si="175"/>
        <v>0</v>
      </c>
      <c r="K319" s="2115"/>
      <c r="L319" s="2115"/>
      <c r="M319" s="2113"/>
      <c r="N319" s="2113"/>
      <c r="O319" s="2085">
        <f>'Income Eligible Deemed Table'!K137</f>
        <v>9.1399999999999999E-4</v>
      </c>
      <c r="P319" s="2092">
        <f t="shared" si="177"/>
        <v>0</v>
      </c>
      <c r="Q319" s="2097"/>
      <c r="R319" s="2097"/>
      <c r="S319" s="2086"/>
      <c r="T319" s="2086"/>
      <c r="U319" s="2087"/>
      <c r="V319" s="2087"/>
      <c r="W319" s="2087">
        <f t="shared" si="182"/>
        <v>9.1399999999999999E-4</v>
      </c>
      <c r="X319" s="2121">
        <f>'Income Eligible Deemed Table'!L137</f>
        <v>25</v>
      </c>
      <c r="Y319" s="2121"/>
      <c r="Z319" s="88">
        <f t="shared" si="183"/>
        <v>25</v>
      </c>
      <c r="AA319" s="637">
        <f>'Income Eligible Deemed Table'!BB137</f>
        <v>1.1252146794823854</v>
      </c>
      <c r="AB319" s="2917">
        <f>'Income Eligible Deemed Table'!M137</f>
        <v>2.5687522603978299</v>
      </c>
      <c r="AC319" s="2089">
        <f t="shared" si="166"/>
        <v>2.7280771603144851</v>
      </c>
      <c r="AD319" s="2089">
        <f t="shared" si="167"/>
        <v>0</v>
      </c>
      <c r="AE319" s="2955">
        <f>'Income Eligible Deemed Table'!BD137</f>
        <v>2.7280771603144851</v>
      </c>
      <c r="AF319" s="2956"/>
      <c r="AG319" s="2956"/>
      <c r="AH319" s="2956"/>
      <c r="AI319" s="2251" t="str">
        <f t="shared" si="184"/>
        <v>Units - area of ceiling/attic (ft2)</v>
      </c>
      <c r="AM319" s="2057">
        <f t="shared" si="179"/>
        <v>4.6608050000000002E-4</v>
      </c>
      <c r="AN319">
        <f t="shared" si="185"/>
        <v>9.1351778E-4</v>
      </c>
      <c r="AO319" s="2048">
        <f t="shared" si="186"/>
        <v>-4.8221999999998807E-7</v>
      </c>
    </row>
    <row r="320" spans="2:41" x14ac:dyDescent="0.25">
      <c r="B320" s="2240" t="str">
        <f>'Income Eligible Deemed Table'!C138</f>
        <v>401800_2019_12_</v>
      </c>
      <c r="C320" s="208" t="str">
        <f>'Income Eligible Deemed Table'!G138</f>
        <v>Building Shell RES</v>
      </c>
      <c r="D320" s="208"/>
      <c r="E320" s="208"/>
      <c r="F320" s="208"/>
      <c r="G320" s="208" t="str">
        <f>'Income Eligible Deemed Table'!E138</f>
        <v>Ceiling Insulation R5-R49 SF LI DI heat pump base</v>
      </c>
      <c r="H320" s="622" t="str">
        <f>'Income Eligible Deemed Table'!D138</f>
        <v>SFLI</v>
      </c>
      <c r="I320" s="2084">
        <f>'Income Eligible Deemed Table'!F138</f>
        <v>1.22</v>
      </c>
      <c r="J320" s="2091">
        <f t="shared" si="175"/>
        <v>0</v>
      </c>
      <c r="K320" s="2115"/>
      <c r="L320" s="2115"/>
      <c r="M320" s="2113"/>
      <c r="N320" s="2113"/>
      <c r="O320" s="2085">
        <f>'Income Eligible Deemed Table'!K138</f>
        <v>5.6899999999999995E-4</v>
      </c>
      <c r="P320" s="2092">
        <f t="shared" si="177"/>
        <v>0</v>
      </c>
      <c r="Q320" s="2097"/>
      <c r="R320" s="2097"/>
      <c r="S320" s="2086"/>
      <c r="T320" s="2086"/>
      <c r="U320" s="2087"/>
      <c r="V320" s="2087"/>
      <c r="W320" s="2087">
        <f t="shared" si="182"/>
        <v>5.6899999999999995E-4</v>
      </c>
      <c r="X320" s="2121">
        <f>'Income Eligible Deemed Table'!L138</f>
        <v>25</v>
      </c>
      <c r="Y320" s="2121"/>
      <c r="Z320" s="88">
        <f t="shared" si="183"/>
        <v>25</v>
      </c>
      <c r="AA320" s="637">
        <f>'Income Eligible Deemed Table'!BB138</f>
        <v>0.70038872906556648</v>
      </c>
      <c r="AB320" s="2917">
        <f>'Income Eligible Deemed Table'!M138</f>
        <v>2.5687522603978299</v>
      </c>
      <c r="AC320" s="2089">
        <f t="shared" si="166"/>
        <v>1.6980888446855469</v>
      </c>
      <c r="AD320" s="2089">
        <f t="shared" si="167"/>
        <v>0</v>
      </c>
      <c r="AE320" s="2955">
        <f>'Income Eligible Deemed Table'!BD138</f>
        <v>1.6980888446855469</v>
      </c>
      <c r="AF320" s="2956"/>
      <c r="AG320" s="2956"/>
      <c r="AH320" s="2956"/>
      <c r="AI320" s="2251" t="str">
        <f t="shared" si="184"/>
        <v>Units - area of ceiling/attic (ft2)</v>
      </c>
      <c r="AM320" s="2057">
        <f t="shared" si="179"/>
        <v>4.6608050000000002E-4</v>
      </c>
      <c r="AN320">
        <f t="shared" si="185"/>
        <v>5.6861821000000004E-4</v>
      </c>
      <c r="AO320" s="2048">
        <f t="shared" si="186"/>
        <v>-3.8178999999991491E-7</v>
      </c>
    </row>
    <row r="321" spans="2:41" x14ac:dyDescent="0.25">
      <c r="B321" s="2240" t="str">
        <f>'Income Eligible Deemed Table'!C139</f>
        <v>401850_2019_12_</v>
      </c>
      <c r="C321" s="208" t="str">
        <f>'Income Eligible Deemed Table'!G139</f>
        <v>Building Shell RES</v>
      </c>
      <c r="D321" s="208"/>
      <c r="E321" s="208"/>
      <c r="F321" s="208"/>
      <c r="G321" s="208" t="str">
        <f>'Income Eligible Deemed Table'!E139</f>
        <v>Ceiling Insulation R5-R49 SF LI DI gas heat electric cool base</v>
      </c>
      <c r="H321" s="622" t="str">
        <f>'Income Eligible Deemed Table'!D139</f>
        <v>SFLI</v>
      </c>
      <c r="I321" s="2084">
        <f>'Income Eligible Deemed Table'!F139</f>
        <v>0.26</v>
      </c>
      <c r="J321" s="2091">
        <f t="shared" si="175"/>
        <v>0</v>
      </c>
      <c r="K321" s="2115"/>
      <c r="L321" s="2115"/>
      <c r="M321" s="2113"/>
      <c r="N321" s="2113"/>
      <c r="O321" s="2085">
        <f>'Income Eligible Deemed Table'!K139</f>
        <v>1.21E-4</v>
      </c>
      <c r="P321" s="2092">
        <f t="shared" si="177"/>
        <v>0</v>
      </c>
      <c r="Q321" s="2097"/>
      <c r="R321" s="2097"/>
      <c r="S321" s="2086"/>
      <c r="T321" s="2086"/>
      <c r="U321" s="2087"/>
      <c r="V321" s="2087"/>
      <c r="W321" s="2087">
        <f t="shared" si="182"/>
        <v>1.21E-4</v>
      </c>
      <c r="X321" s="2121">
        <f>'Income Eligible Deemed Table'!L139</f>
        <v>25</v>
      </c>
      <c r="Y321" s="2121"/>
      <c r="Z321" s="88">
        <f t="shared" si="183"/>
        <v>25</v>
      </c>
      <c r="AA321" s="637">
        <f>'Income Eligible Deemed Table'!BB139</f>
        <v>0.14926317176807155</v>
      </c>
      <c r="AB321" s="2917">
        <f>'Income Eligible Deemed Table'!M139</f>
        <v>2.5687522603978299</v>
      </c>
      <c r="AC321" s="2089">
        <f t="shared" si="166"/>
        <v>0.36188778657232967</v>
      </c>
      <c r="AD321" s="2089">
        <f t="shared" si="167"/>
        <v>0</v>
      </c>
      <c r="AE321" s="2955">
        <f>'Income Eligible Deemed Table'!BD139</f>
        <v>0.36188778657232967</v>
      </c>
      <c r="AF321" s="2956"/>
      <c r="AG321" s="2956"/>
      <c r="AH321" s="2956"/>
      <c r="AI321" s="2251" t="str">
        <f t="shared" si="184"/>
        <v>Units - area of ceiling/attic (ft2)</v>
      </c>
      <c r="AM321" s="2057">
        <f t="shared" ref="AM321:AM330" si="187">VLOOKUP(C321,$AS$10:$AT$32,2,FALSE)</f>
        <v>4.6608050000000002E-4</v>
      </c>
      <c r="AN321">
        <f t="shared" si="185"/>
        <v>1.2118093000000001E-4</v>
      </c>
      <c r="AO321" s="2048">
        <f t="shared" si="186"/>
        <v>1.8093000000001251E-7</v>
      </c>
    </row>
    <row r="322" spans="2:41" x14ac:dyDescent="0.25">
      <c r="B322" s="2240" t="str">
        <f>'Income Eligible Deemed Table'!C140</f>
        <v>401900_2019_12_</v>
      </c>
      <c r="C322" s="208" t="str">
        <f>'Income Eligible Deemed Table'!G140</f>
        <v>Building Shell RES</v>
      </c>
      <c r="D322" s="208"/>
      <c r="E322" s="208"/>
      <c r="F322" s="208"/>
      <c r="G322" s="208" t="str">
        <f>'Income Eligible Deemed Table'!E140</f>
        <v>Ceiling Insulation R5-R60 MF LI DI electric furnace base</v>
      </c>
      <c r="H322" s="622" t="str">
        <f>'Income Eligible Deemed Table'!D140</f>
        <v>MFLI</v>
      </c>
      <c r="I322" s="2084">
        <f>'Income Eligible Deemed Table'!F140</f>
        <v>2.0299999999999998</v>
      </c>
      <c r="J322" s="2091">
        <f t="shared" si="175"/>
        <v>0</v>
      </c>
      <c r="K322" s="2115"/>
      <c r="L322" s="2115"/>
      <c r="M322" s="2113"/>
      <c r="N322" s="2113"/>
      <c r="O322" s="2085">
        <f>'Income Eligible Deemed Table'!K140</f>
        <v>9.4600000000000001E-4</v>
      </c>
      <c r="P322" s="2092">
        <f t="shared" si="177"/>
        <v>0</v>
      </c>
      <c r="Q322" s="2097"/>
      <c r="R322" s="2097"/>
      <c r="S322" s="2086"/>
      <c r="T322" s="2086"/>
      <c r="U322" s="2087"/>
      <c r="V322" s="2087"/>
      <c r="W322" s="2087">
        <f t="shared" si="182"/>
        <v>9.4600000000000001E-4</v>
      </c>
      <c r="X322" s="2121">
        <f>'Income Eligible Deemed Table'!L140</f>
        <v>25</v>
      </c>
      <c r="Y322" s="2121"/>
      <c r="Z322" s="88">
        <f t="shared" si="183"/>
        <v>25</v>
      </c>
      <c r="AA322" s="637">
        <f>'Income Eligible Deemed Table'!BB140</f>
        <v>0.87422987318422674</v>
      </c>
      <c r="AB322" s="2917">
        <f>'Income Eligible Deemed Table'!M140</f>
        <v>3.424301015440256</v>
      </c>
      <c r="AC322" s="2089">
        <f t="shared" si="166"/>
        <v>2.8255084874685736</v>
      </c>
      <c r="AD322" s="2089">
        <f t="shared" si="167"/>
        <v>0</v>
      </c>
      <c r="AE322" s="2955">
        <f>'Income Eligible Deemed Table'!BD140</f>
        <v>2.8255084874685736</v>
      </c>
      <c r="AF322" s="2956"/>
      <c r="AG322" s="2956"/>
      <c r="AH322" s="2956"/>
      <c r="AI322" s="2251" t="str">
        <f t="shared" si="184"/>
        <v>Units - area of ceiling/attic (ft2)</v>
      </c>
      <c r="AM322" s="2057">
        <f t="shared" si="187"/>
        <v>4.6608050000000002E-4</v>
      </c>
      <c r="AN322">
        <f t="shared" si="185"/>
        <v>9.4614341499999995E-4</v>
      </c>
      <c r="AO322" s="2048">
        <f t="shared" si="186"/>
        <v>1.4341499999994279E-7</v>
      </c>
    </row>
    <row r="323" spans="2:41" x14ac:dyDescent="0.25">
      <c r="B323" s="2240" t="str">
        <f>'Income Eligible Deemed Table'!C141</f>
        <v>401950_2019_12_</v>
      </c>
      <c r="C323" s="208" t="str">
        <f>'Income Eligible Deemed Table'!G141</f>
        <v>Building Shell RES</v>
      </c>
      <c r="D323" s="208"/>
      <c r="E323" s="208"/>
      <c r="F323" s="208"/>
      <c r="G323" s="208" t="str">
        <f>'Income Eligible Deemed Table'!E141</f>
        <v>Ceiling Insulation R5-R60 MF LI DI heat pump base</v>
      </c>
      <c r="H323" s="622" t="str">
        <f>'Income Eligible Deemed Table'!D141</f>
        <v>MFLI</v>
      </c>
      <c r="I323" s="2084">
        <f>'Income Eligible Deemed Table'!F141</f>
        <v>1.27</v>
      </c>
      <c r="J323" s="2091">
        <f t="shared" si="175"/>
        <v>0</v>
      </c>
      <c r="K323" s="2115"/>
      <c r="L323" s="2115"/>
      <c r="M323" s="2113"/>
      <c r="N323" s="2113"/>
      <c r="O323" s="2085">
        <f>'Income Eligible Deemed Table'!K141</f>
        <v>5.9199999999999997E-4</v>
      </c>
      <c r="P323" s="2092">
        <f t="shared" si="177"/>
        <v>0</v>
      </c>
      <c r="Q323" s="2097"/>
      <c r="R323" s="2097"/>
      <c r="S323" s="2086"/>
      <c r="T323" s="2086"/>
      <c r="U323" s="2087"/>
      <c r="V323" s="2087"/>
      <c r="W323" s="2087">
        <f t="shared" si="182"/>
        <v>5.9199999999999997E-4</v>
      </c>
      <c r="X323" s="2121">
        <f>'Income Eligible Deemed Table'!L141</f>
        <v>25</v>
      </c>
      <c r="Y323" s="2121"/>
      <c r="Z323" s="88">
        <f t="shared" si="183"/>
        <v>25</v>
      </c>
      <c r="AA323" s="637">
        <f>'Income Eligible Deemed Table'!BB141</f>
        <v>0.5469319896275705</v>
      </c>
      <c r="AB323" s="2917">
        <f>'Income Eligible Deemed Table'!M141</f>
        <v>3.424301015440256</v>
      </c>
      <c r="AC323" s="2089">
        <f t="shared" si="166"/>
        <v>1.7676826497956104</v>
      </c>
      <c r="AD323" s="2089">
        <f t="shared" si="167"/>
        <v>0</v>
      </c>
      <c r="AE323" s="2955">
        <f>'Income Eligible Deemed Table'!BD141</f>
        <v>1.7676826497956104</v>
      </c>
      <c r="AF323" s="2956"/>
      <c r="AG323" s="2956"/>
      <c r="AH323" s="2956"/>
      <c r="AI323" s="2251" t="str">
        <f t="shared" si="184"/>
        <v>Units - area of ceiling/attic (ft2)</v>
      </c>
      <c r="AM323" s="2057">
        <f t="shared" si="187"/>
        <v>4.6608050000000002E-4</v>
      </c>
      <c r="AN323">
        <f t="shared" si="185"/>
        <v>5.9192223500000008E-4</v>
      </c>
      <c r="AO323" s="2048">
        <f t="shared" si="186"/>
        <v>-7.7764999999890318E-8</v>
      </c>
    </row>
    <row r="324" spans="2:41" x14ac:dyDescent="0.25">
      <c r="B324" s="2240" t="str">
        <f>'Income Eligible Deemed Table'!C142</f>
        <v>402000_2019_12_</v>
      </c>
      <c r="C324" s="208" t="str">
        <f>'Income Eligible Deemed Table'!G142</f>
        <v>Building Shell RES</v>
      </c>
      <c r="D324" s="208"/>
      <c r="E324" s="208"/>
      <c r="F324" s="208"/>
      <c r="G324" s="208" t="str">
        <f>'Income Eligible Deemed Table'!E142</f>
        <v>Ceiling Insulation R5-R60 MF LI DI gas heat electric cool base</v>
      </c>
      <c r="H324" s="622" t="str">
        <f>'Income Eligible Deemed Table'!D142</f>
        <v>MFLI</v>
      </c>
      <c r="I324" s="2084">
        <f>'Income Eligible Deemed Table'!F142</f>
        <v>0.27</v>
      </c>
      <c r="J324" s="2091">
        <f t="shared" si="175"/>
        <v>0</v>
      </c>
      <c r="K324" s="2115"/>
      <c r="L324" s="2115"/>
      <c r="M324" s="2113"/>
      <c r="N324" s="2113"/>
      <c r="O324" s="2085">
        <f>'Income Eligible Deemed Table'!K142</f>
        <v>1.26E-4</v>
      </c>
      <c r="P324" s="2092">
        <f t="shared" si="177"/>
        <v>0</v>
      </c>
      <c r="Q324" s="2097"/>
      <c r="R324" s="2097"/>
      <c r="S324" s="2086"/>
      <c r="T324" s="2086"/>
      <c r="U324" s="2087"/>
      <c r="V324" s="2087"/>
      <c r="W324" s="2087">
        <f t="shared" si="182"/>
        <v>1.26E-4</v>
      </c>
      <c r="X324" s="2121">
        <f>'Income Eligible Deemed Table'!L142</f>
        <v>25</v>
      </c>
      <c r="Y324" s="2121"/>
      <c r="Z324" s="88">
        <f t="shared" si="183"/>
        <v>25</v>
      </c>
      <c r="AA324" s="637">
        <f>'Income Eligible Deemed Table'!BB142</f>
        <v>0.11627687968460163</v>
      </c>
      <c r="AB324" s="2917">
        <f>'Income Eligible Deemed Table'!M142</f>
        <v>3.424301015440256</v>
      </c>
      <c r="AC324" s="2089">
        <f t="shared" ref="AC324:AC397" si="188">AE324+AF324</f>
        <v>0.3758065475943424</v>
      </c>
      <c r="AD324" s="2089">
        <f t="shared" ref="AD324:AD397" si="189">AG324+AH324</f>
        <v>0</v>
      </c>
      <c r="AE324" s="2955">
        <f>'Income Eligible Deemed Table'!BD142</f>
        <v>0.3758065475943424</v>
      </c>
      <c r="AF324" s="2956"/>
      <c r="AG324" s="2956"/>
      <c r="AH324" s="2956"/>
      <c r="AI324" s="2251" t="str">
        <f t="shared" si="184"/>
        <v>Units - area of ceiling/attic (ft2)</v>
      </c>
      <c r="AM324" s="2057">
        <f t="shared" si="187"/>
        <v>4.6608050000000002E-4</v>
      </c>
      <c r="AN324">
        <f t="shared" si="185"/>
        <v>1.2584173500000001E-4</v>
      </c>
      <c r="AO324" s="2048">
        <f t="shared" si="186"/>
        <v>-1.5826499999999229E-7</v>
      </c>
    </row>
    <row r="325" spans="2:41" x14ac:dyDescent="0.25">
      <c r="B325" s="2240" t="str">
        <f>'Income Eligible Deemed Table'!C143</f>
        <v>402050_2019_12_</v>
      </c>
      <c r="C325" s="208" t="str">
        <f>'Income Eligible Deemed Table'!G143</f>
        <v>Building Shell RES</v>
      </c>
      <c r="D325" s="208"/>
      <c r="E325" s="208"/>
      <c r="F325" s="208"/>
      <c r="G325" s="208" t="str">
        <f>'Income Eligible Deemed Table'!E143</f>
        <v>Ceiling Insulation R5-R60 SF LI DI electric furnace base</v>
      </c>
      <c r="H325" s="622" t="str">
        <f>'Income Eligible Deemed Table'!D143</f>
        <v>SFLI</v>
      </c>
      <c r="I325" s="2084">
        <f>'Income Eligible Deemed Table'!F143</f>
        <v>2.0299999999999998</v>
      </c>
      <c r="J325" s="2091">
        <f t="shared" si="175"/>
        <v>0</v>
      </c>
      <c r="K325" s="2115"/>
      <c r="L325" s="2115"/>
      <c r="M325" s="2113"/>
      <c r="N325" s="2113"/>
      <c r="O325" s="2085">
        <f>'Income Eligible Deemed Table'!K143</f>
        <v>9.4600000000000001E-4</v>
      </c>
      <c r="P325" s="2092">
        <f t="shared" si="177"/>
        <v>0</v>
      </c>
      <c r="Q325" s="2097"/>
      <c r="R325" s="2097"/>
      <c r="S325" s="2086"/>
      <c r="T325" s="2086"/>
      <c r="U325" s="2087"/>
      <c r="V325" s="2087"/>
      <c r="W325" s="2087">
        <f t="shared" si="182"/>
        <v>9.4600000000000001E-4</v>
      </c>
      <c r="X325" s="2121">
        <f>'Income Eligible Deemed Table'!L143</f>
        <v>25</v>
      </c>
      <c r="Y325" s="2121"/>
      <c r="Z325" s="88">
        <f t="shared" si="183"/>
        <v>25</v>
      </c>
      <c r="AA325" s="637">
        <f>'Income Eligible Deemed Table'!BB143</f>
        <v>0.87422916292829866</v>
      </c>
      <c r="AB325" s="2917">
        <f>'Income Eligible Deemed Table'!M143</f>
        <v>3.4243037974683546</v>
      </c>
      <c r="AC325" s="2089">
        <f t="shared" si="188"/>
        <v>2.8255084874685736</v>
      </c>
      <c r="AD325" s="2089">
        <f t="shared" si="189"/>
        <v>0</v>
      </c>
      <c r="AE325" s="2955">
        <f>'Income Eligible Deemed Table'!BD143</f>
        <v>2.8255084874685736</v>
      </c>
      <c r="AF325" s="2956"/>
      <c r="AG325" s="2956"/>
      <c r="AH325" s="2956"/>
      <c r="AI325" s="2251" t="str">
        <f t="shared" si="184"/>
        <v>Units - area of ceiling/attic (ft2)</v>
      </c>
      <c r="AM325" s="2057">
        <f t="shared" si="187"/>
        <v>4.6608050000000002E-4</v>
      </c>
      <c r="AN325">
        <f t="shared" si="185"/>
        <v>9.4614341499999995E-4</v>
      </c>
      <c r="AO325" s="2048">
        <f t="shared" si="186"/>
        <v>1.4341499999994279E-7</v>
      </c>
    </row>
    <row r="326" spans="2:41" x14ac:dyDescent="0.25">
      <c r="B326" s="2240" t="str">
        <f>'Income Eligible Deemed Table'!C144</f>
        <v>402100_2019_12_</v>
      </c>
      <c r="C326" s="208" t="str">
        <f>'Income Eligible Deemed Table'!G144</f>
        <v>Building Shell RES</v>
      </c>
      <c r="D326" s="208"/>
      <c r="E326" s="208"/>
      <c r="F326" s="208"/>
      <c r="G326" s="208" t="str">
        <f>'Income Eligible Deemed Table'!E144</f>
        <v>Ceiling Insulation R5-R60 SF LI DI heat pump base</v>
      </c>
      <c r="H326" s="622" t="str">
        <f>'Income Eligible Deemed Table'!D144</f>
        <v>SFLI</v>
      </c>
      <c r="I326" s="2084">
        <f>'Income Eligible Deemed Table'!F144</f>
        <v>1.27</v>
      </c>
      <c r="J326" s="2091">
        <f t="shared" si="175"/>
        <v>0</v>
      </c>
      <c r="K326" s="2115"/>
      <c r="L326" s="2115"/>
      <c r="M326" s="2113"/>
      <c r="N326" s="2113"/>
      <c r="O326" s="2085">
        <f>'Income Eligible Deemed Table'!K144</f>
        <v>5.9199999999999997E-4</v>
      </c>
      <c r="P326" s="2092">
        <f t="shared" si="177"/>
        <v>0</v>
      </c>
      <c r="Q326" s="2097"/>
      <c r="R326" s="2097"/>
      <c r="S326" s="2086"/>
      <c r="T326" s="2086"/>
      <c r="U326" s="2087"/>
      <c r="V326" s="2087"/>
      <c r="W326" s="2087">
        <f t="shared" si="182"/>
        <v>5.9199999999999997E-4</v>
      </c>
      <c r="X326" s="2121">
        <f>'Income Eligible Deemed Table'!L144</f>
        <v>25</v>
      </c>
      <c r="Y326" s="2121"/>
      <c r="Z326" s="88">
        <f t="shared" si="183"/>
        <v>25</v>
      </c>
      <c r="AA326" s="637">
        <f>'Income Eligible Deemed Table'!BB144</f>
        <v>0.54693154528026577</v>
      </c>
      <c r="AB326" s="2917">
        <f>'Income Eligible Deemed Table'!M144</f>
        <v>3.4243037974683546</v>
      </c>
      <c r="AC326" s="2089">
        <f t="shared" si="188"/>
        <v>1.7676826497956104</v>
      </c>
      <c r="AD326" s="2089">
        <f t="shared" si="189"/>
        <v>0</v>
      </c>
      <c r="AE326" s="2955">
        <f>'Income Eligible Deemed Table'!BD144</f>
        <v>1.7676826497956104</v>
      </c>
      <c r="AF326" s="2956"/>
      <c r="AG326" s="2956"/>
      <c r="AH326" s="2956"/>
      <c r="AI326" s="2251" t="str">
        <f t="shared" si="184"/>
        <v>Units - area of ceiling/attic (ft2)</v>
      </c>
      <c r="AM326" s="2057">
        <f t="shared" si="187"/>
        <v>4.6608050000000002E-4</v>
      </c>
      <c r="AN326">
        <f t="shared" si="185"/>
        <v>5.9192223500000008E-4</v>
      </c>
      <c r="AO326" s="2048">
        <f t="shared" si="186"/>
        <v>-7.7764999999890318E-8</v>
      </c>
    </row>
    <row r="327" spans="2:41" x14ac:dyDescent="0.25">
      <c r="B327" s="2240" t="str">
        <f>'Income Eligible Deemed Table'!C145</f>
        <v>402150_2019_12_</v>
      </c>
      <c r="C327" s="208" t="str">
        <f>'Income Eligible Deemed Table'!G145</f>
        <v>Building Shell RES</v>
      </c>
      <c r="D327" s="208"/>
      <c r="E327" s="208"/>
      <c r="F327" s="208"/>
      <c r="G327" s="208" t="str">
        <f>'Income Eligible Deemed Table'!E145</f>
        <v>Ceiling Insulation R5-R60 SF LI DI gas heat electric cool base</v>
      </c>
      <c r="H327" s="622" t="str">
        <f>'Income Eligible Deemed Table'!D145</f>
        <v>SFLI</v>
      </c>
      <c r="I327" s="2084">
        <f>'Income Eligible Deemed Table'!F145</f>
        <v>0.27</v>
      </c>
      <c r="J327" s="2091">
        <f t="shared" si="175"/>
        <v>0</v>
      </c>
      <c r="K327" s="2115"/>
      <c r="L327" s="2115"/>
      <c r="M327" s="2113"/>
      <c r="N327" s="2113"/>
      <c r="O327" s="2085">
        <f>'Income Eligible Deemed Table'!K145</f>
        <v>1.26E-4</v>
      </c>
      <c r="P327" s="2092">
        <f t="shared" si="177"/>
        <v>0</v>
      </c>
      <c r="Q327" s="2097"/>
      <c r="R327" s="2097"/>
      <c r="S327" s="2086"/>
      <c r="T327" s="2086"/>
      <c r="U327" s="2087"/>
      <c r="V327" s="2087"/>
      <c r="W327" s="2087">
        <f t="shared" si="182"/>
        <v>1.26E-4</v>
      </c>
      <c r="X327" s="2121">
        <f>'Income Eligible Deemed Table'!L145</f>
        <v>25</v>
      </c>
      <c r="Y327" s="2121"/>
      <c r="Z327" s="88">
        <f t="shared" si="183"/>
        <v>25</v>
      </c>
      <c r="AA327" s="637">
        <f>'Income Eligible Deemed Table'!BB145</f>
        <v>0.11627678521706439</v>
      </c>
      <c r="AB327" s="2917">
        <f>'Income Eligible Deemed Table'!M145</f>
        <v>3.4243037974683546</v>
      </c>
      <c r="AC327" s="2089">
        <f t="shared" si="188"/>
        <v>0.3758065475943424</v>
      </c>
      <c r="AD327" s="2089">
        <f t="shared" si="189"/>
        <v>0</v>
      </c>
      <c r="AE327" s="2955">
        <f>'Income Eligible Deemed Table'!BD145</f>
        <v>0.3758065475943424</v>
      </c>
      <c r="AF327" s="2956"/>
      <c r="AG327" s="2956"/>
      <c r="AH327" s="2956"/>
      <c r="AI327" s="2251" t="str">
        <f t="shared" si="184"/>
        <v>Units - area of ceiling/attic (ft2)</v>
      </c>
      <c r="AM327" s="2057">
        <f t="shared" si="187"/>
        <v>4.6608050000000002E-4</v>
      </c>
      <c r="AN327">
        <f t="shared" si="185"/>
        <v>1.2584173500000001E-4</v>
      </c>
      <c r="AO327" s="2048">
        <f t="shared" si="186"/>
        <v>-1.5826499999999229E-7</v>
      </c>
    </row>
    <row r="328" spans="2:41" x14ac:dyDescent="0.25">
      <c r="B328" s="2240" t="str">
        <f>'Income Eligible Deemed Table'!C439</f>
        <v>402200_2019_12_</v>
      </c>
      <c r="C328" s="208" t="str">
        <f>'Income Eligible Deemed Table'!G439</f>
        <v>Building Shell RES</v>
      </c>
      <c r="D328" s="208"/>
      <c r="E328" s="208"/>
      <c r="F328" s="208"/>
      <c r="G328" s="208" t="str">
        <f>'Income Eligible Deemed Table'!E439</f>
        <v>Floor Insulation R25 (R-3.96 base) MH electric furnace/baseboard and electric cooling</v>
      </c>
      <c r="H328" s="622" t="str">
        <f>'Income Eligible Deemed Table'!D439</f>
        <v>SFLI</v>
      </c>
      <c r="I328" s="2084">
        <f>'Income Eligible Deemed Table'!F439</f>
        <v>2.4500000000000002</v>
      </c>
      <c r="J328" s="2091">
        <f t="shared" si="175"/>
        <v>0</v>
      </c>
      <c r="K328" s="2115"/>
      <c r="L328" s="2115"/>
      <c r="M328" s="2113"/>
      <c r="N328" s="2113"/>
      <c r="O328" s="2085">
        <f>'Income Eligible Deemed Table'!K439</f>
        <v>1.142E-3</v>
      </c>
      <c r="P328" s="2085"/>
      <c r="Q328" s="2097"/>
      <c r="R328" s="2097"/>
      <c r="S328" s="2086"/>
      <c r="T328" s="2086"/>
      <c r="U328" s="2087"/>
      <c r="V328" s="2087"/>
      <c r="W328" s="2087">
        <f t="shared" si="182"/>
        <v>1.142E-3</v>
      </c>
      <c r="X328" s="2121">
        <f>'Income Eligible Deemed Table'!L439</f>
        <v>25</v>
      </c>
      <c r="Y328" s="2121"/>
      <c r="Z328" s="88">
        <f t="shared" si="183"/>
        <v>25</v>
      </c>
      <c r="AA328" s="637">
        <f>'Income Eligible Deemed Table'!BB439</f>
        <v>5.3158369630085787</v>
      </c>
      <c r="AB328" s="2917">
        <f>'Income Eligible Deemed Table'!M439</f>
        <v>0.67966666666666664</v>
      </c>
      <c r="AC328" s="2089">
        <f t="shared" si="188"/>
        <v>3.410096450393107</v>
      </c>
      <c r="AD328" s="2089">
        <f t="shared" si="189"/>
        <v>0</v>
      </c>
      <c r="AE328" s="2955">
        <f>'Income Eligible Deemed Table'!BD439</f>
        <v>3.410096450393107</v>
      </c>
      <c r="AF328" s="2956"/>
      <c r="AG328" s="2956"/>
      <c r="AH328" s="2956"/>
      <c r="AI328" s="2255" t="str">
        <f>'Income Eligible Deemed Table'!N438</f>
        <v>Units - area of floor (ft2)</v>
      </c>
      <c r="AM328" s="2057">
        <f t="shared" si="187"/>
        <v>4.6608050000000002E-4</v>
      </c>
      <c r="AN328">
        <f t="shared" si="185"/>
        <v>1.1418972250000002E-3</v>
      </c>
      <c r="AO328" s="2048">
        <f t="shared" si="186"/>
        <v>-1.0277499999981031E-7</v>
      </c>
    </row>
    <row r="329" spans="2:41" x14ac:dyDescent="0.25">
      <c r="B329" s="2240" t="str">
        <f>'Income Eligible Deemed Table'!C440</f>
        <v>402201_2019_12_</v>
      </c>
      <c r="C329" s="208" t="str">
        <f>'Income Eligible Deemed Table'!G440</f>
        <v>Building Shell RES</v>
      </c>
      <c r="D329" s="208"/>
      <c r="E329" s="208"/>
      <c r="F329" s="208"/>
      <c r="G329" s="208" t="str">
        <f>'Income Eligible Deemed Table'!E440</f>
        <v>Floor Insulation R25 (R-3.96 base) MH heat pump and electric cooling</v>
      </c>
      <c r="H329" s="622" t="str">
        <f>'Income Eligible Deemed Table'!D440</f>
        <v>SFLI</v>
      </c>
      <c r="I329" s="2084">
        <f>'Income Eligible Deemed Table'!F440</f>
        <v>1.42</v>
      </c>
      <c r="J329" s="2091">
        <f t="shared" si="175"/>
        <v>0</v>
      </c>
      <c r="K329" s="2115"/>
      <c r="L329" s="2115"/>
      <c r="M329" s="2113"/>
      <c r="N329" s="2113"/>
      <c r="O329" s="2085">
        <f>'Income Eligible Deemed Table'!K440</f>
        <v>6.6200000000000005E-4</v>
      </c>
      <c r="P329" s="2085"/>
      <c r="Q329" s="2097"/>
      <c r="R329" s="2097"/>
      <c r="S329" s="2086"/>
      <c r="T329" s="2086"/>
      <c r="U329" s="2087"/>
      <c r="V329" s="2087"/>
      <c r="W329" s="2087">
        <f t="shared" ref="W329:W335" si="190">O329</f>
        <v>6.6200000000000005E-4</v>
      </c>
      <c r="X329" s="2121">
        <f>'Income Eligible Deemed Table'!L440</f>
        <v>25</v>
      </c>
      <c r="Y329" s="2121"/>
      <c r="Z329" s="88">
        <f t="shared" si="183"/>
        <v>25</v>
      </c>
      <c r="AA329" s="637">
        <f>'Income Eligible Deemed Table'!BB440</f>
        <v>3.0810157091723185</v>
      </c>
      <c r="AB329" s="2917">
        <f>'Income Eligible Deemed Table'!M440</f>
        <v>0.67966666666666664</v>
      </c>
      <c r="AC329" s="2089">
        <f t="shared" si="188"/>
        <v>1.9764640651258005</v>
      </c>
      <c r="AD329" s="2089">
        <f t="shared" si="189"/>
        <v>0</v>
      </c>
      <c r="AE329" s="2955">
        <f>'Income Eligible Deemed Table'!BD440</f>
        <v>1.9764640651258005</v>
      </c>
      <c r="AF329" s="2956"/>
      <c r="AG329" s="2956"/>
      <c r="AH329" s="2956"/>
      <c r="AI329" s="2255" t="str">
        <f>AI328</f>
        <v>Units - area of floor (ft2)</v>
      </c>
      <c r="AM329" s="2057">
        <f t="shared" si="187"/>
        <v>4.6608050000000002E-4</v>
      </c>
      <c r="AN329">
        <f t="shared" si="185"/>
        <v>6.6183430999999999E-4</v>
      </c>
      <c r="AO329" s="2048">
        <f t="shared" si="186"/>
        <v>-1.656900000000577E-7</v>
      </c>
    </row>
    <row r="330" spans="2:41" x14ac:dyDescent="0.25">
      <c r="B330" s="2240" t="str">
        <f>'Income Eligible Deemed Table'!C441</f>
        <v>402202_2019_12_</v>
      </c>
      <c r="C330" s="208" t="str">
        <f>'Income Eligible Deemed Table'!G441</f>
        <v>Building Shell RES</v>
      </c>
      <c r="D330" s="208"/>
      <c r="E330" s="208"/>
      <c r="F330" s="208"/>
      <c r="G330" s="208" t="str">
        <f>'Income Eligible Deemed Table'!E441</f>
        <v>Floor Insulation R25 (R-3.96 base) MH gas furnace/baseboard and electric cooling</v>
      </c>
      <c r="H330" s="622" t="str">
        <f>'Income Eligible Deemed Table'!D441</f>
        <v>SFLI</v>
      </c>
      <c r="I330" s="2084">
        <f>'Income Eligible Deemed Table'!F441</f>
        <v>0.23</v>
      </c>
      <c r="J330" s="2091">
        <f t="shared" si="175"/>
        <v>0</v>
      </c>
      <c r="K330" s="2115"/>
      <c r="L330" s="2115"/>
      <c r="M330" s="2113"/>
      <c r="N330" s="2113"/>
      <c r="O330" s="2085">
        <f>'Income Eligible Deemed Table'!K441</f>
        <v>1.07E-4</v>
      </c>
      <c r="P330" s="2085"/>
      <c r="Q330" s="2097"/>
      <c r="R330" s="2097"/>
      <c r="S330" s="2086"/>
      <c r="T330" s="2086"/>
      <c r="U330" s="2087"/>
      <c r="V330" s="2087"/>
      <c r="W330" s="2087">
        <f t="shared" si="190"/>
        <v>1.07E-4</v>
      </c>
      <c r="X330" s="2121">
        <f>'Income Eligible Deemed Table'!L441</f>
        <v>25</v>
      </c>
      <c r="Y330" s="2121"/>
      <c r="Z330" s="88">
        <f t="shared" si="183"/>
        <v>25</v>
      </c>
      <c r="AA330" s="637">
        <f>'Income Eligible Deemed Table'!BB441</f>
        <v>0.49903775571100939</v>
      </c>
      <c r="AB330" s="2917">
        <f>'Income Eligible Deemed Table'!M441</f>
        <v>0.67966666666666664</v>
      </c>
      <c r="AC330" s="2089">
        <f t="shared" si="188"/>
        <v>0.32013150350629166</v>
      </c>
      <c r="AD330" s="2089">
        <f t="shared" si="189"/>
        <v>0</v>
      </c>
      <c r="AE330" s="2955">
        <f>'Income Eligible Deemed Table'!BD441</f>
        <v>0.32013150350629166</v>
      </c>
      <c r="AF330" s="2956"/>
      <c r="AG330" s="2956"/>
      <c r="AH330" s="2956"/>
      <c r="AI330" s="2255" t="str">
        <f t="shared" ref="AI330:AI333" si="191">AI329</f>
        <v>Units - area of floor (ft2)</v>
      </c>
      <c r="AM330" s="2057">
        <f t="shared" si="187"/>
        <v>4.6608050000000002E-4</v>
      </c>
      <c r="AN330">
        <f t="shared" si="185"/>
        <v>1.0719851500000001E-4</v>
      </c>
      <c r="AO330" s="2048">
        <f t="shared" si="186"/>
        <v>1.9851500000001617E-7</v>
      </c>
    </row>
    <row r="331" spans="2:41" s="2277" customFormat="1" x14ac:dyDescent="0.25">
      <c r="B331" s="2240" t="str">
        <f>'Income Eligible Deemed Table'!C442</f>
        <v>402203_2020_02_</v>
      </c>
      <c r="C331" s="208" t="str">
        <f>'Income Eligible Deemed Table'!G442</f>
        <v>Building Shell RES</v>
      </c>
      <c r="D331" s="208"/>
      <c r="E331" s="208"/>
      <c r="F331" s="208"/>
      <c r="G331" s="208" t="str">
        <f>'Income Eligible Deemed Table'!E442</f>
        <v>Floor Insulation R25 (R-13 base) MH electric furnace/baseboard and electric cooling</v>
      </c>
      <c r="H331" s="622" t="str">
        <f>'Income Eligible Deemed Table'!D442</f>
        <v>SFLI</v>
      </c>
      <c r="I331" s="2084">
        <f>'Income Eligible Deemed Table'!F442</f>
        <v>0.22</v>
      </c>
      <c r="J331" s="2320">
        <f t="shared" si="175"/>
        <v>0</v>
      </c>
      <c r="K331" s="2115"/>
      <c r="L331" s="2115"/>
      <c r="M331" s="2113"/>
      <c r="N331" s="2113"/>
      <c r="O331" s="2085">
        <f>'Income Eligible Deemed Table'!K442</f>
        <v>1.03E-4</v>
      </c>
      <c r="P331" s="2085"/>
      <c r="Q331" s="2097"/>
      <c r="R331" s="2097"/>
      <c r="S331" s="2086"/>
      <c r="T331" s="2086"/>
      <c r="U331" s="2087"/>
      <c r="V331" s="2087"/>
      <c r="W331" s="2087">
        <f t="shared" si="190"/>
        <v>1.03E-4</v>
      </c>
      <c r="X331" s="2121">
        <f>'Income Eligible Deemed Table'!L442</f>
        <v>25</v>
      </c>
      <c r="Y331" s="2121"/>
      <c r="Z331" s="2299">
        <f t="shared" si="183"/>
        <v>25</v>
      </c>
      <c r="AA331" s="637">
        <f>'Income Eligible Deemed Table'!BB442</f>
        <v>0.47734046198444374</v>
      </c>
      <c r="AB331" s="2917">
        <f>'Income Eligible Deemed Table'!M442</f>
        <v>0.67966666666666664</v>
      </c>
      <c r="AC331" s="2089">
        <f>AE331+AF331</f>
        <v>0.30621274248427899</v>
      </c>
      <c r="AD331" s="2089">
        <f>AG331+AH331</f>
        <v>0</v>
      </c>
      <c r="AE331" s="2955">
        <f>'Income Eligible Deemed Table'!BD442</f>
        <v>0.30621274248427899</v>
      </c>
      <c r="AF331" s="2956"/>
      <c r="AG331" s="2956"/>
      <c r="AH331" s="2956"/>
      <c r="AI331" s="2255" t="str">
        <f t="shared" si="191"/>
        <v>Units - area of floor (ft2)</v>
      </c>
      <c r="AM331" s="2319"/>
      <c r="AO331" s="2318"/>
    </row>
    <row r="332" spans="2:41" s="2277" customFormat="1" x14ac:dyDescent="0.25">
      <c r="B332" s="2240" t="str">
        <f>'Income Eligible Deemed Table'!C443</f>
        <v>402204_2020_02_</v>
      </c>
      <c r="C332" s="208" t="str">
        <f>'Income Eligible Deemed Table'!G443</f>
        <v>Building Shell RES</v>
      </c>
      <c r="D332" s="208"/>
      <c r="E332" s="208"/>
      <c r="F332" s="208"/>
      <c r="G332" s="208" t="str">
        <f>'Income Eligible Deemed Table'!E443</f>
        <v>Floor Insulation R25 (R-13 base) MH heat pump and electric cooling</v>
      </c>
      <c r="H332" s="622" t="str">
        <f>'Income Eligible Deemed Table'!D443</f>
        <v>SFLI</v>
      </c>
      <c r="I332" s="2084">
        <f>'Income Eligible Deemed Table'!F443</f>
        <v>0.13</v>
      </c>
      <c r="J332" s="2320">
        <f t="shared" si="175"/>
        <v>0</v>
      </c>
      <c r="K332" s="2115"/>
      <c r="L332" s="2115"/>
      <c r="M332" s="2113"/>
      <c r="N332" s="2113"/>
      <c r="O332" s="2085">
        <f>'Income Eligible Deemed Table'!K443</f>
        <v>6.0999999999999999E-5</v>
      </c>
      <c r="P332" s="2085"/>
      <c r="Q332" s="2097"/>
      <c r="R332" s="2097"/>
      <c r="S332" s="2086"/>
      <c r="T332" s="2086"/>
      <c r="U332" s="2087"/>
      <c r="V332" s="2087"/>
      <c r="W332" s="2087">
        <f t="shared" si="190"/>
        <v>6.0999999999999999E-5</v>
      </c>
      <c r="X332" s="2121">
        <f>'Income Eligible Deemed Table'!L443</f>
        <v>25</v>
      </c>
      <c r="Y332" s="2121"/>
      <c r="Z332" s="2299">
        <f t="shared" si="183"/>
        <v>25</v>
      </c>
      <c r="AA332" s="637">
        <f>'Income Eligible Deemed Table'!BB443</f>
        <v>0.28206481844535308</v>
      </c>
      <c r="AB332" s="2917">
        <f>'Income Eligible Deemed Table'!M443</f>
        <v>0.67966666666666664</v>
      </c>
      <c r="AC332" s="2089">
        <f>AE332+AF332</f>
        <v>0.18094389328616484</v>
      </c>
      <c r="AD332" s="2089">
        <f>AG332+AH332</f>
        <v>0</v>
      </c>
      <c r="AE332" s="2955">
        <f>'Income Eligible Deemed Table'!BD443</f>
        <v>0.18094389328616484</v>
      </c>
      <c r="AF332" s="2956"/>
      <c r="AG332" s="2956"/>
      <c r="AH332" s="2956"/>
      <c r="AI332" s="2255" t="str">
        <f t="shared" si="191"/>
        <v>Units - area of floor (ft2)</v>
      </c>
      <c r="AM332" s="2319"/>
      <c r="AO332" s="2318"/>
    </row>
    <row r="333" spans="2:41" s="2277" customFormat="1" x14ac:dyDescent="0.25">
      <c r="B333" s="2240" t="str">
        <f>'Income Eligible Deemed Table'!C444</f>
        <v>402205_2020_02_</v>
      </c>
      <c r="C333" s="208" t="str">
        <f>'Income Eligible Deemed Table'!G444</f>
        <v>Building Shell RES</v>
      </c>
      <c r="D333" s="208"/>
      <c r="E333" s="208"/>
      <c r="F333" s="208"/>
      <c r="G333" s="208" t="str">
        <f>'Income Eligible Deemed Table'!E444</f>
        <v>Floor Insulation R25 (R-13 base) MH gas furnace/baseboard and electric cooling</v>
      </c>
      <c r="H333" s="622" t="str">
        <f>'Income Eligible Deemed Table'!D444</f>
        <v>SFLI</v>
      </c>
      <c r="I333" s="2084">
        <f>'Income Eligible Deemed Table'!F444</f>
        <v>0.02</v>
      </c>
      <c r="J333" s="2320">
        <f t="shared" si="175"/>
        <v>0</v>
      </c>
      <c r="K333" s="2115"/>
      <c r="L333" s="2115"/>
      <c r="M333" s="2113"/>
      <c r="N333" s="2113"/>
      <c r="O333" s="2085">
        <f>'Income Eligible Deemed Table'!K444</f>
        <v>9.0000000000000002E-6</v>
      </c>
      <c r="P333" s="2085"/>
      <c r="Q333" s="2097"/>
      <c r="R333" s="2097"/>
      <c r="S333" s="2086"/>
      <c r="T333" s="2086"/>
      <c r="U333" s="2087"/>
      <c r="V333" s="2087"/>
      <c r="W333" s="2087">
        <f t="shared" si="190"/>
        <v>9.0000000000000002E-6</v>
      </c>
      <c r="X333" s="2121">
        <f>'Income Eligible Deemed Table'!L444</f>
        <v>25</v>
      </c>
      <c r="Y333" s="2121"/>
      <c r="Z333" s="2299">
        <f t="shared" si="183"/>
        <v>25</v>
      </c>
      <c r="AA333" s="637">
        <f>'Income Eligible Deemed Table'!BB444</f>
        <v>4.3394587453131246E-2</v>
      </c>
      <c r="AB333" s="2917">
        <f>'Income Eligible Deemed Table'!M444</f>
        <v>0.67966666666666664</v>
      </c>
      <c r="AC333" s="2089">
        <f>AE333+AF333</f>
        <v>2.783752204402536E-2</v>
      </c>
      <c r="AD333" s="2089">
        <f>AG333+AH333</f>
        <v>0</v>
      </c>
      <c r="AE333" s="2955">
        <f>'Income Eligible Deemed Table'!BD444</f>
        <v>2.783752204402536E-2</v>
      </c>
      <c r="AF333" s="2956"/>
      <c r="AG333" s="2956"/>
      <c r="AH333" s="2956"/>
      <c r="AI333" s="2255" t="str">
        <f t="shared" si="191"/>
        <v>Units - area of floor (ft2)</v>
      </c>
      <c r="AM333" s="2319"/>
      <c r="AO333" s="2318"/>
    </row>
    <row r="334" spans="2:41" x14ac:dyDescent="0.25">
      <c r="B334" s="2240" t="str">
        <f>'Income Eligible Deemed Table'!C480</f>
        <v>402250_2019_12_</v>
      </c>
      <c r="C334" s="208" t="str">
        <f>'Income Eligible Deemed Table'!G480</f>
        <v>HVAC RES</v>
      </c>
      <c r="D334" s="208"/>
      <c r="E334" s="208"/>
      <c r="F334" s="208"/>
      <c r="G334" s="208" t="str">
        <f>'Income Eligible Deemed Table'!E480</f>
        <v>Dirty Filter Alarm_MFLI</v>
      </c>
      <c r="H334" s="622" t="str">
        <f>'Income Eligible Deemed Table'!D480</f>
        <v>MFLI</v>
      </c>
      <c r="I334" s="2084">
        <f>'Income Eligible Deemed Table'!F480</f>
        <v>102.68</v>
      </c>
      <c r="J334" s="2091">
        <f t="shared" si="175"/>
        <v>0</v>
      </c>
      <c r="K334" s="2115"/>
      <c r="L334" s="2115"/>
      <c r="M334" s="2113"/>
      <c r="N334" s="2113"/>
      <c r="O334" s="2085">
        <f>'Income Eligible Deemed Table'!K480</f>
        <v>4.7856999999999997E-2</v>
      </c>
      <c r="P334" s="2085"/>
      <c r="Q334" s="2097"/>
      <c r="R334" s="2097"/>
      <c r="S334" s="2086"/>
      <c r="T334" s="2086"/>
      <c r="U334" s="2087"/>
      <c r="V334" s="2087"/>
      <c r="W334" s="2087">
        <f t="shared" si="190"/>
        <v>4.7856999999999997E-2</v>
      </c>
      <c r="X334" s="2121">
        <f>'Income Eligible Deemed Table'!L480</f>
        <v>14</v>
      </c>
      <c r="Y334" s="2121"/>
      <c r="Z334" s="88">
        <f t="shared" si="183"/>
        <v>14</v>
      </c>
      <c r="AA334" s="637">
        <f>'Income Eligible Deemed Table'!BB480</f>
        <v>19.319216314838293</v>
      </c>
      <c r="AB334" s="2917">
        <f>'Income Eligible Deemed Table'!M480</f>
        <v>5</v>
      </c>
      <c r="AC334" s="2089">
        <f t="shared" si="188"/>
        <v>91.171384213488864</v>
      </c>
      <c r="AD334" s="2089">
        <f t="shared" si="189"/>
        <v>0</v>
      </c>
      <c r="AE334" s="2955">
        <f>'Income Eligible Deemed Table'!BD480</f>
        <v>91.171384213488864</v>
      </c>
      <c r="AF334" s="2956"/>
      <c r="AG334" s="2956"/>
      <c r="AH334" s="2956"/>
      <c r="AI334" s="2240" t="str">
        <f>'Income Eligible Deemed Table'!N480</f>
        <v>per measure</v>
      </c>
      <c r="AM334" s="2057">
        <f t="shared" ref="AM334:AM369" si="192">VLOOKUP(C334,$AS$10:$AT$32,2,FALSE)</f>
        <v>4.6608050000000002E-4</v>
      </c>
      <c r="AN334">
        <f t="shared" si="185"/>
        <v>4.7857145740000002E-2</v>
      </c>
      <c r="AO334" s="2048">
        <f t="shared" si="186"/>
        <v>1.4574000000572296E-7</v>
      </c>
    </row>
    <row r="335" spans="2:41" x14ac:dyDescent="0.25">
      <c r="B335" s="2240" t="str">
        <f>'Income Eligible Deemed Table'!C481</f>
        <v>402251_2019_12_</v>
      </c>
      <c r="C335" s="208" t="str">
        <f>'Income Eligible Deemed Table'!G481</f>
        <v>HVAC RES</v>
      </c>
      <c r="D335" s="208"/>
      <c r="E335" s="208"/>
      <c r="F335" s="208"/>
      <c r="G335" s="208" t="str">
        <f>'Income Eligible Deemed Table'!E481</f>
        <v>Dirty Filter Alarm_MFLI_CompE</v>
      </c>
      <c r="H335" s="622" t="str">
        <f>'Income Eligible Deemed Table'!D481</f>
        <v>MFLIc</v>
      </c>
      <c r="I335" s="2084">
        <f>'Income Eligible Deemed Table'!F481</f>
        <v>49.58</v>
      </c>
      <c r="J335" s="2091">
        <f t="shared" si="175"/>
        <v>0</v>
      </c>
      <c r="K335" s="2115"/>
      <c r="L335" s="2115"/>
      <c r="M335" s="2113"/>
      <c r="N335" s="2113"/>
      <c r="O335" s="2085">
        <f>'Income Eligible Deemed Table'!K481</f>
        <v>2.3108E-2</v>
      </c>
      <c r="P335" s="2085"/>
      <c r="Q335" s="2097"/>
      <c r="R335" s="2097"/>
      <c r="S335" s="2086"/>
      <c r="T335" s="2086"/>
      <c r="U335" s="2087"/>
      <c r="V335" s="2087"/>
      <c r="W335" s="2087">
        <f t="shared" si="190"/>
        <v>2.3108E-2</v>
      </c>
      <c r="X335" s="2121">
        <f>'Income Eligible Deemed Table'!L481</f>
        <v>14</v>
      </c>
      <c r="Y335" s="2121"/>
      <c r="Z335" s="88">
        <f t="shared" si="183"/>
        <v>14</v>
      </c>
      <c r="AA335" s="637">
        <f>'Income Eligible Deemed Table'!BB481</f>
        <v>9.3284645976790266</v>
      </c>
      <c r="AB335" s="2917">
        <f>'Income Eligible Deemed Table'!M481</f>
        <v>5</v>
      </c>
      <c r="AC335" s="2089">
        <f t="shared" si="188"/>
        <v>44.022957044261567</v>
      </c>
      <c r="AD335" s="2089">
        <f t="shared" si="189"/>
        <v>0</v>
      </c>
      <c r="AE335" s="2955">
        <f>'Income Eligible Deemed Table'!BD481</f>
        <v>44.022957044261567</v>
      </c>
      <c r="AF335" s="2956"/>
      <c r="AG335" s="2956"/>
      <c r="AH335" s="2956"/>
      <c r="AI335" s="2240" t="str">
        <f>'Income Eligible Deemed Table'!N481</f>
        <v>per measure</v>
      </c>
      <c r="AM335" s="2057">
        <f t="shared" si="192"/>
        <v>4.6608050000000002E-4</v>
      </c>
      <c r="AN335">
        <f t="shared" si="185"/>
        <v>2.3108271190000002E-2</v>
      </c>
      <c r="AO335" s="2048">
        <f t="shared" si="186"/>
        <v>2.7119000000144777E-7</v>
      </c>
    </row>
    <row r="336" spans="2:41" x14ac:dyDescent="0.25">
      <c r="B336" s="2240" t="str">
        <f>'Income Eligible Deemed Table'!C509</f>
        <v>402300_2019_12_</v>
      </c>
      <c r="C336" s="208" t="str">
        <f>'Income Eligible Deemed Table'!G509</f>
        <v>HVAC RES</v>
      </c>
      <c r="D336" s="208"/>
      <c r="E336" s="208"/>
      <c r="F336" s="208"/>
      <c r="G336" s="208" t="str">
        <f>'Income Eligible Deemed Table'!E509</f>
        <v>Duct Insulation - Electric Heating</v>
      </c>
      <c r="H336" s="622" t="str">
        <f>'Income Eligible Deemed Table'!D509</f>
        <v>SFLI</v>
      </c>
      <c r="I336" s="2084">
        <f>'Income Eligible Deemed Table'!F509</f>
        <v>29.13</v>
      </c>
      <c r="J336" s="2091">
        <f t="shared" si="175"/>
        <v>0</v>
      </c>
      <c r="K336" s="2115"/>
      <c r="L336" s="2115"/>
      <c r="M336" s="2113"/>
      <c r="N336" s="2113"/>
      <c r="O336" s="2085">
        <f>'Income Eligible Deemed Table'!L509</f>
        <v>1.3577000000000001E-2</v>
      </c>
      <c r="P336" s="2085"/>
      <c r="Q336" s="2097"/>
      <c r="R336" s="2097"/>
      <c r="S336" s="2086"/>
      <c r="T336" s="2086"/>
      <c r="U336" s="2087"/>
      <c r="V336" s="2087"/>
      <c r="W336" s="2087">
        <f t="shared" ref="W336:W345" si="193">O336</f>
        <v>1.3577000000000001E-2</v>
      </c>
      <c r="X336" s="2121">
        <f>'Income Eligible Deemed Table'!M509</f>
        <v>20</v>
      </c>
      <c r="Y336" s="2121"/>
      <c r="Z336" s="88">
        <f t="shared" si="183"/>
        <v>20</v>
      </c>
      <c r="AA336" s="637">
        <f>'Income Eligible Deemed Table'!BB509</f>
        <v>8.704896824384484</v>
      </c>
      <c r="AB336" s="2917">
        <f>'Income Eligible Deemed Table'!N509</f>
        <v>4.2205065958870298</v>
      </c>
      <c r="AC336" s="2089">
        <f t="shared" si="188"/>
        <v>34.675860749250376</v>
      </c>
      <c r="AD336" s="2089">
        <f t="shared" si="189"/>
        <v>0</v>
      </c>
      <c r="AE336" s="2955">
        <f>'Income Eligible Deemed Table'!BD509</f>
        <v>34.675860749250376</v>
      </c>
      <c r="AF336" s="2956"/>
      <c r="AG336" s="2956"/>
      <c r="AH336" s="2956"/>
      <c r="AI336" s="2240" t="str">
        <f>'Income Eligible Deemed Table'!O508</f>
        <v>Units - DuctLength (ft.)</v>
      </c>
      <c r="AM336" s="2057">
        <f t="shared" si="192"/>
        <v>4.6608050000000002E-4</v>
      </c>
      <c r="AN336">
        <f t="shared" si="185"/>
        <v>1.3576924965000001E-2</v>
      </c>
      <c r="AO336" s="2048">
        <f t="shared" si="186"/>
        <v>-7.5034999999848417E-8</v>
      </c>
    </row>
    <row r="337" spans="2:41" x14ac:dyDescent="0.25">
      <c r="B337" s="2240" t="str">
        <f>'Income Eligible Deemed Table'!C510</f>
        <v>402350_2019_12_</v>
      </c>
      <c r="C337" s="208" t="str">
        <f>'Income Eligible Deemed Table'!G510</f>
        <v>HVAC RES</v>
      </c>
      <c r="D337" s="208"/>
      <c r="E337" s="208"/>
      <c r="F337" s="208"/>
      <c r="G337" s="208" t="str">
        <f>'Income Eligible Deemed Table'!E510</f>
        <v>Mobile Home Adjusted Duct Insulation - Electric Heating </v>
      </c>
      <c r="H337" s="622" t="str">
        <f>'Income Eligible Deemed Table'!D510</f>
        <v>SFLI</v>
      </c>
      <c r="I337" s="2084">
        <f>'Income Eligible Deemed Table'!F510</f>
        <v>29.13</v>
      </c>
      <c r="J337" s="2091">
        <f t="shared" si="175"/>
        <v>0</v>
      </c>
      <c r="K337" s="2115"/>
      <c r="L337" s="2115"/>
      <c r="M337" s="2113"/>
      <c r="N337" s="2113"/>
      <c r="O337" s="2085">
        <f>'Income Eligible Deemed Table'!L510</f>
        <v>1.3577000000000001E-2</v>
      </c>
      <c r="P337" s="2085"/>
      <c r="Q337" s="2097"/>
      <c r="R337" s="2097"/>
      <c r="S337" s="2086"/>
      <c r="T337" s="2086"/>
      <c r="U337" s="2087"/>
      <c r="V337" s="2087"/>
      <c r="W337" s="2087">
        <f t="shared" si="193"/>
        <v>1.3577000000000001E-2</v>
      </c>
      <c r="X337" s="2121">
        <f>'Income Eligible Deemed Table'!M510</f>
        <v>20</v>
      </c>
      <c r="Y337" s="2121"/>
      <c r="Z337" s="88">
        <f t="shared" si="183"/>
        <v>20</v>
      </c>
      <c r="AA337" s="637">
        <f>'Income Eligible Deemed Table'!BB510</f>
        <v>8.704896824384484</v>
      </c>
      <c r="AB337" s="2917">
        <f>'Income Eligible Deemed Table'!N510</f>
        <v>4.2205065958870298</v>
      </c>
      <c r="AC337" s="2089">
        <f t="shared" si="188"/>
        <v>34.675860749250376</v>
      </c>
      <c r="AD337" s="2089">
        <f t="shared" si="189"/>
        <v>0</v>
      </c>
      <c r="AE337" s="2955">
        <f>'Income Eligible Deemed Table'!BD510</f>
        <v>34.675860749250376</v>
      </c>
      <c r="AF337" s="2956"/>
      <c r="AG337" s="2956"/>
      <c r="AH337" s="2956"/>
      <c r="AI337" s="2249" t="str">
        <f>AI336</f>
        <v>Units - DuctLength (ft.)</v>
      </c>
      <c r="AM337" s="2057">
        <f t="shared" si="192"/>
        <v>4.6608050000000002E-4</v>
      </c>
      <c r="AN337">
        <f t="shared" si="185"/>
        <v>1.3576924965000001E-2</v>
      </c>
      <c r="AO337" s="2048">
        <f t="shared" si="186"/>
        <v>-7.5034999999848417E-8</v>
      </c>
    </row>
    <row r="338" spans="2:41" x14ac:dyDescent="0.25">
      <c r="B338" s="2240" t="str">
        <f>'Income Eligible Deemed Table'!C511</f>
        <v>402400_2019_12_</v>
      </c>
      <c r="C338" s="208" t="str">
        <f>'Income Eligible Deemed Table'!G511</f>
        <v>HVAC RES</v>
      </c>
      <c r="D338" s="208"/>
      <c r="E338" s="208"/>
      <c r="F338" s="208"/>
      <c r="G338" s="208" t="str">
        <f>'Income Eligible Deemed Table'!E511</f>
        <v>Duct Insulation - Gas Heating</v>
      </c>
      <c r="H338" s="622" t="str">
        <f>'Income Eligible Deemed Table'!D511</f>
        <v>SFLI</v>
      </c>
      <c r="I338" s="2084">
        <f>'Income Eligible Deemed Table'!F511</f>
        <v>2.69</v>
      </c>
      <c r="J338" s="2091">
        <f t="shared" si="175"/>
        <v>0</v>
      </c>
      <c r="K338" s="2115"/>
      <c r="L338" s="2115"/>
      <c r="M338" s="2113"/>
      <c r="N338" s="2113"/>
      <c r="O338" s="2085">
        <f>'Income Eligible Deemed Table'!L511</f>
        <v>1.2539999999999999E-3</v>
      </c>
      <c r="P338" s="2085"/>
      <c r="Q338" s="2097"/>
      <c r="R338" s="2097"/>
      <c r="S338" s="2086"/>
      <c r="T338" s="2086"/>
      <c r="U338" s="2087"/>
      <c r="V338" s="2087"/>
      <c r="W338" s="2087">
        <f t="shared" si="193"/>
        <v>1.2539999999999999E-3</v>
      </c>
      <c r="X338" s="2121">
        <f>'Income Eligible Deemed Table'!M511</f>
        <v>20</v>
      </c>
      <c r="Y338" s="2121"/>
      <c r="Z338" s="88">
        <f t="shared" si="183"/>
        <v>20</v>
      </c>
      <c r="AA338" s="637">
        <f>'Income Eligible Deemed Table'!BB511</f>
        <v>0.80385075377941162</v>
      </c>
      <c r="AB338" s="2917">
        <f>'Income Eligible Deemed Table'!N511</f>
        <v>4.2205065958870298</v>
      </c>
      <c r="AC338" s="2089">
        <f t="shared" si="188"/>
        <v>3.2021306356156369</v>
      </c>
      <c r="AD338" s="2089">
        <f t="shared" si="189"/>
        <v>0</v>
      </c>
      <c r="AE338" s="2955">
        <f>'Income Eligible Deemed Table'!BD511</f>
        <v>3.2021306356156369</v>
      </c>
      <c r="AF338" s="2956"/>
      <c r="AG338" s="2956"/>
      <c r="AH338" s="2956"/>
      <c r="AI338" s="2249" t="str">
        <f>AI337</f>
        <v>Units - DuctLength (ft.)</v>
      </c>
      <c r="AM338" s="2057">
        <f t="shared" si="192"/>
        <v>4.6608050000000002E-4</v>
      </c>
      <c r="AN338">
        <f t="shared" si="185"/>
        <v>1.253756545E-3</v>
      </c>
      <c r="AO338" s="2048">
        <f t="shared" si="186"/>
        <v>-2.4345499999994802E-7</v>
      </c>
    </row>
    <row r="339" spans="2:41" x14ac:dyDescent="0.25">
      <c r="B339" s="2240" t="str">
        <f>'Income Eligible Deemed Table'!C550</f>
        <v>402450_2019_12_</v>
      </c>
      <c r="C339" s="208" t="str">
        <f>'Income Eligible Deemed Table'!G550</f>
        <v>HVAC RES</v>
      </c>
      <c r="D339" s="208"/>
      <c r="E339" s="208"/>
      <c r="F339" s="208"/>
      <c r="G339" s="208" t="str">
        <f>'Income Eligible Deemed Table'!E550</f>
        <v>Duct Repair (Sealing) - Electric Heating SF</v>
      </c>
      <c r="H339" s="622" t="str">
        <f>'Income Eligible Deemed Table'!D550</f>
        <v>SFLI</v>
      </c>
      <c r="I339" s="2084">
        <f>'Income Eligible Deemed Table'!F550</f>
        <v>4.92</v>
      </c>
      <c r="J339" s="2091">
        <f t="shared" si="175"/>
        <v>0</v>
      </c>
      <c r="K339" s="2115"/>
      <c r="L339" s="2115"/>
      <c r="M339" s="2113"/>
      <c r="N339" s="2113"/>
      <c r="O339" s="2085">
        <f>'Income Eligible Deemed Table'!K550</f>
        <v>2.2929999999999999E-3</v>
      </c>
      <c r="P339" s="2085"/>
      <c r="Q339" s="2097"/>
      <c r="R339" s="2097"/>
      <c r="S339" s="2086"/>
      <c r="T339" s="2086"/>
      <c r="U339" s="2087"/>
      <c r="V339" s="2087"/>
      <c r="W339" s="2087">
        <f t="shared" si="193"/>
        <v>2.2929999999999999E-3</v>
      </c>
      <c r="X339" s="2121">
        <f>'Income Eligible Deemed Table'!L550</f>
        <v>20</v>
      </c>
      <c r="Y339" s="2121"/>
      <c r="Z339" s="88">
        <f t="shared" si="183"/>
        <v>20</v>
      </c>
      <c r="AA339" s="637">
        <f>'Income Eligible Deemed Table'!BB550</f>
        <v>0.77200997302022389</v>
      </c>
      <c r="AB339" s="2917">
        <f>'Income Eligible Deemed Table'!M550</f>
        <v>8.0376653213977498</v>
      </c>
      <c r="AC339" s="2089">
        <f t="shared" si="188"/>
        <v>5.8566850287096415</v>
      </c>
      <c r="AD339" s="2089">
        <f t="shared" si="189"/>
        <v>0</v>
      </c>
      <c r="AE339" s="2955">
        <f>'Income Eligible Deemed Table'!BD550</f>
        <v>5.8566850287096415</v>
      </c>
      <c r="AF339" s="2956"/>
      <c r="AG339" s="2956"/>
      <c r="AH339" s="2956"/>
      <c r="AI339" s="2240" t="str">
        <f>'Income Eligible Deemed Table'!N549</f>
        <v>Units - DuctLength (ft.)</v>
      </c>
      <c r="AM339" s="2057">
        <f t="shared" si="192"/>
        <v>4.6608050000000002E-4</v>
      </c>
      <c r="AN339">
        <f t="shared" si="185"/>
        <v>2.2931160600000002E-3</v>
      </c>
      <c r="AO339" s="2048">
        <f t="shared" si="186"/>
        <v>1.1606000000028566E-7</v>
      </c>
    </row>
    <row r="340" spans="2:41" x14ac:dyDescent="0.25">
      <c r="B340" s="2240" t="str">
        <f>'Income Eligible Deemed Table'!C551</f>
        <v>402451_2019_12_</v>
      </c>
      <c r="C340" s="208" t="str">
        <f>'Income Eligible Deemed Table'!G551</f>
        <v>HVAC RES</v>
      </c>
      <c r="D340" s="208"/>
      <c r="E340" s="208"/>
      <c r="F340" s="208"/>
      <c r="G340" s="208" t="str">
        <f>'Income Eligible Deemed Table'!E551</f>
        <v>Duct Repair (Sealing) - Gas Heating SF</v>
      </c>
      <c r="H340" s="622" t="str">
        <f>'Income Eligible Deemed Table'!D551</f>
        <v>SFLI</v>
      </c>
      <c r="I340" s="2084">
        <f>'Income Eligible Deemed Table'!F551</f>
        <v>1.02</v>
      </c>
      <c r="J340" s="2091">
        <f t="shared" si="175"/>
        <v>0</v>
      </c>
      <c r="K340" s="2115"/>
      <c r="L340" s="2115"/>
      <c r="M340" s="2113"/>
      <c r="N340" s="2113"/>
      <c r="O340" s="2085">
        <f>'Income Eligible Deemed Table'!K551</f>
        <v>4.75E-4</v>
      </c>
      <c r="P340" s="2085"/>
      <c r="Q340" s="2097"/>
      <c r="R340" s="2097"/>
      <c r="S340" s="2086"/>
      <c r="T340" s="2086"/>
      <c r="U340" s="2087"/>
      <c r="V340" s="2087"/>
      <c r="W340" s="2087">
        <f t="shared" si="193"/>
        <v>4.75E-4</v>
      </c>
      <c r="X340" s="2121">
        <f>'Income Eligible Deemed Table'!L551</f>
        <v>20</v>
      </c>
      <c r="Y340" s="2121"/>
      <c r="Z340" s="88">
        <f t="shared" ref="Z340:Z351" si="194">Y340+X340</f>
        <v>20</v>
      </c>
      <c r="AA340" s="637">
        <f>'Income Eligible Deemed Table'!BB551</f>
        <v>0.16005084806516837</v>
      </c>
      <c r="AB340" s="2917">
        <f>'Income Eligible Deemed Table'!M551</f>
        <v>8.0376653213977498</v>
      </c>
      <c r="AC340" s="2089">
        <f t="shared" si="188"/>
        <v>1.2141907986349256</v>
      </c>
      <c r="AD340" s="2089">
        <f t="shared" si="189"/>
        <v>0</v>
      </c>
      <c r="AE340" s="2955">
        <f>'Income Eligible Deemed Table'!BD551</f>
        <v>1.2141907986349256</v>
      </c>
      <c r="AF340" s="2956"/>
      <c r="AG340" s="2956"/>
      <c r="AH340" s="2956"/>
      <c r="AI340" s="2255" t="str">
        <f t="shared" ref="AI340:AI344" si="195">AI339</f>
        <v>Units - DuctLength (ft.)</v>
      </c>
      <c r="AM340" s="2057">
        <f t="shared" si="192"/>
        <v>4.6608050000000002E-4</v>
      </c>
      <c r="AN340">
        <f t="shared" si="185"/>
        <v>4.7540211000000003E-4</v>
      </c>
      <c r="AO340" s="2048">
        <f t="shared" si="186"/>
        <v>4.0211000000003536E-7</v>
      </c>
    </row>
    <row r="341" spans="2:41" s="132" customFormat="1" x14ac:dyDescent="0.25">
      <c r="B341" s="2307" t="str">
        <f>'Income Eligible Deemed Table'!C552</f>
        <v>402452_2020_12_</v>
      </c>
      <c r="C341" s="2305" t="str">
        <f>'Income Eligible Deemed Table'!G552</f>
        <v>HVAC RES</v>
      </c>
      <c r="D341" s="2305"/>
      <c r="E341" s="2305"/>
      <c r="F341" s="2305"/>
      <c r="G341" s="2305" t="str">
        <f>'Income Eligible Deemed Table'!E552</f>
        <v>Duct Repair (Sealing) - Electric Heating MF Adjusted</v>
      </c>
      <c r="H341" s="2322" t="str">
        <f>'Income Eligible Deemed Table'!D552</f>
        <v>MFLI</v>
      </c>
      <c r="I341" s="2320">
        <f>'Income Eligible Deemed Table'!F552</f>
        <v>4.1100000000000003</v>
      </c>
      <c r="J341" s="2320">
        <f t="shared" ref="J341:J342" si="196">M341+N341</f>
        <v>0</v>
      </c>
      <c r="K341" s="2948"/>
      <c r="L341" s="2948"/>
      <c r="M341" s="2310"/>
      <c r="N341" s="2310"/>
      <c r="O341" s="2321">
        <f>'Income Eligible Deemed Table'!K552</f>
        <v>1.916E-3</v>
      </c>
      <c r="P341" s="2321"/>
      <c r="Q341" s="2949"/>
      <c r="R341" s="2949"/>
      <c r="S341" s="2323"/>
      <c r="T341" s="2323"/>
      <c r="U341" s="2273"/>
      <c r="V341" s="2273"/>
      <c r="W341" s="2273">
        <f t="shared" ref="W341:W342" si="197">O341</f>
        <v>1.916E-3</v>
      </c>
      <c r="X341" s="2299">
        <f>'Income Eligible Deemed Table'!L552</f>
        <v>20</v>
      </c>
      <c r="Y341" s="2299"/>
      <c r="Z341" s="2299">
        <f t="shared" ref="Z341:Z342" si="198">Y341+X341</f>
        <v>20</v>
      </c>
      <c r="AA341" s="2298">
        <f>'Income Eligible Deemed Table'!BB552</f>
        <v>0.64491077014494314</v>
      </c>
      <c r="AB341" s="2919">
        <f>'Income Eligible Deemed Table'!M552</f>
        <v>8.0376653213977498</v>
      </c>
      <c r="AC341" s="2928">
        <f t="shared" ref="AC341:AC342" si="199">AE341+AF341</f>
        <v>4.8924746886172006</v>
      </c>
      <c r="AD341" s="2928">
        <f t="shared" ref="AD341:AD342" si="200">AG341+AH341</f>
        <v>0</v>
      </c>
      <c r="AE341" s="2957">
        <f>'Income Eligible Deemed Table'!BD552</f>
        <v>4.8924746886172006</v>
      </c>
      <c r="AF341" s="2334"/>
      <c r="AG341" s="2334"/>
      <c r="AH341" s="2334"/>
      <c r="AI341" s="2950" t="str">
        <f t="shared" si="195"/>
        <v>Units - DuctLength (ft.)</v>
      </c>
      <c r="AM341" s="2929">
        <f t="shared" si="192"/>
        <v>4.6608050000000002E-4</v>
      </c>
      <c r="AN341" s="132">
        <f t="shared" ref="AN341:AN342" si="201">AM341*I341</f>
        <v>1.9155908550000003E-3</v>
      </c>
      <c r="AO341" s="2933">
        <f t="shared" ref="AO341:AO342" si="202">AN341-O341</f>
        <v>-4.0914499999968046E-7</v>
      </c>
    </row>
    <row r="342" spans="2:41" s="132" customFormat="1" x14ac:dyDescent="0.25">
      <c r="B342" s="2307" t="str">
        <f>'Income Eligible Deemed Table'!C553</f>
        <v>402453_2020_12_</v>
      </c>
      <c r="C342" s="2305" t="str">
        <f>'Income Eligible Deemed Table'!G553</f>
        <v>HVAC RES</v>
      </c>
      <c r="D342" s="2305"/>
      <c r="E342" s="2305"/>
      <c r="F342" s="2305"/>
      <c r="G342" s="2305" t="str">
        <f>'Income Eligible Deemed Table'!E553</f>
        <v>Duct Repair (Sealing) - Gas Heating  MF Adjusted</v>
      </c>
      <c r="H342" s="2322" t="str">
        <f>'Income Eligible Deemed Table'!D553</f>
        <v>MFLI</v>
      </c>
      <c r="I342" s="2320">
        <f>'Income Eligible Deemed Table'!F553</f>
        <v>0.89</v>
      </c>
      <c r="J342" s="2320">
        <f t="shared" si="196"/>
        <v>0</v>
      </c>
      <c r="K342" s="2948"/>
      <c r="L342" s="2948"/>
      <c r="M342" s="2310"/>
      <c r="N342" s="2310"/>
      <c r="O342" s="2321">
        <f>'Income Eligible Deemed Table'!K553</f>
        <v>4.15E-4</v>
      </c>
      <c r="P342" s="2321"/>
      <c r="Q342" s="2949"/>
      <c r="R342" s="2949"/>
      <c r="S342" s="2323"/>
      <c r="T342" s="2323"/>
      <c r="U342" s="2273"/>
      <c r="V342" s="2273"/>
      <c r="W342" s="2273">
        <f t="shared" si="197"/>
        <v>4.15E-4</v>
      </c>
      <c r="X342" s="2299">
        <f>'Income Eligible Deemed Table'!L553</f>
        <v>20</v>
      </c>
      <c r="Y342" s="2299"/>
      <c r="Z342" s="2299">
        <f t="shared" si="198"/>
        <v>20</v>
      </c>
      <c r="AA342" s="2298">
        <f>'Income Eligible Deemed Table'!BB553</f>
        <v>0.13965221056666652</v>
      </c>
      <c r="AB342" s="2919">
        <f>'Income Eligible Deemed Table'!M553</f>
        <v>8.0376653213977498</v>
      </c>
      <c r="AC342" s="2928">
        <f t="shared" si="199"/>
        <v>1.0594409909657685</v>
      </c>
      <c r="AD342" s="2928">
        <f t="shared" si="200"/>
        <v>0</v>
      </c>
      <c r="AE342" s="2957">
        <f>'Income Eligible Deemed Table'!BD553</f>
        <v>1.0594409909657685</v>
      </c>
      <c r="AF342" s="2334"/>
      <c r="AG342" s="2334"/>
      <c r="AH342" s="2334"/>
      <c r="AI342" s="2950" t="str">
        <f t="shared" si="195"/>
        <v>Units - DuctLength (ft.)</v>
      </c>
      <c r="AM342" s="2929">
        <f t="shared" si="192"/>
        <v>4.6608050000000002E-4</v>
      </c>
      <c r="AN342" s="132">
        <f t="shared" si="201"/>
        <v>4.1481164500000003E-4</v>
      </c>
      <c r="AO342" s="2933">
        <f t="shared" si="202"/>
        <v>-1.883549999999695E-7</v>
      </c>
    </row>
    <row r="343" spans="2:41" x14ac:dyDescent="0.25">
      <c r="B343" s="2240" t="str">
        <f>'Income Eligible Deemed Table'!C554</f>
        <v>402500_2019_12_</v>
      </c>
      <c r="C343" s="208" t="str">
        <f>'Income Eligible Deemed Table'!G554</f>
        <v>HVAC RES</v>
      </c>
      <c r="D343" s="208"/>
      <c r="E343" s="208"/>
      <c r="F343" s="208"/>
      <c r="G343" s="208" t="str">
        <f>'Income Eligible Deemed Table'!E554</f>
        <v>Duct Repair (Sealing) - Electric Heating MH Adjusted</v>
      </c>
      <c r="H343" s="622" t="str">
        <f>'Income Eligible Deemed Table'!D554</f>
        <v>SFLI</v>
      </c>
      <c r="I343" s="2084">
        <f>'Income Eligible Deemed Table'!F554</f>
        <v>6.01</v>
      </c>
      <c r="J343" s="2091">
        <f t="shared" si="175"/>
        <v>0</v>
      </c>
      <c r="K343" s="2115"/>
      <c r="L343" s="2115"/>
      <c r="M343" s="2113"/>
      <c r="N343" s="2113"/>
      <c r="O343" s="2085">
        <f>'Income Eligible Deemed Table'!K554</f>
        <v>2.8010000000000001E-3</v>
      </c>
      <c r="P343" s="2085"/>
      <c r="Q343" s="2097"/>
      <c r="R343" s="2097"/>
      <c r="S343" s="2086"/>
      <c r="T343" s="2086"/>
      <c r="U343" s="2087"/>
      <c r="V343" s="2087"/>
      <c r="W343" s="2087">
        <f t="shared" si="193"/>
        <v>2.8010000000000001E-3</v>
      </c>
      <c r="X343" s="2121">
        <f>'Income Eligible Deemed Table'!L554</f>
        <v>20</v>
      </c>
      <c r="Y343" s="2121"/>
      <c r="Z343" s="88">
        <f t="shared" si="194"/>
        <v>20</v>
      </c>
      <c r="AA343" s="637">
        <f>'Income Eligible Deemed Table'!BB554</f>
        <v>0.94304470281535469</v>
      </c>
      <c r="AB343" s="2917">
        <f>'Income Eligible Deemed Table'!M554</f>
        <v>8.0376653213977498</v>
      </c>
      <c r="AC343" s="2089">
        <f t="shared" si="188"/>
        <v>7.1542026468587281</v>
      </c>
      <c r="AD343" s="2089">
        <f t="shared" si="189"/>
        <v>0</v>
      </c>
      <c r="AE343" s="2955">
        <f>'Income Eligible Deemed Table'!BD554</f>
        <v>7.1542026468587281</v>
      </c>
      <c r="AF343" s="2956"/>
      <c r="AG343" s="2956"/>
      <c r="AH343" s="2956"/>
      <c r="AI343" s="2255" t="str">
        <f>AI340</f>
        <v>Units - DuctLength (ft.)</v>
      </c>
      <c r="AM343" s="2057">
        <f t="shared" si="192"/>
        <v>4.6608050000000002E-4</v>
      </c>
      <c r="AN343">
        <f t="shared" si="185"/>
        <v>2.8011438050000001E-3</v>
      </c>
      <c r="AO343" s="2048">
        <f t="shared" si="186"/>
        <v>1.4380500000001073E-7</v>
      </c>
    </row>
    <row r="344" spans="2:41" x14ac:dyDescent="0.25">
      <c r="B344" s="2240" t="str">
        <f>'Income Eligible Deemed Table'!C555</f>
        <v>402501_2019_12_</v>
      </c>
      <c r="C344" s="208" t="str">
        <f>'Income Eligible Deemed Table'!G555</f>
        <v>HVAC RES</v>
      </c>
      <c r="D344" s="208"/>
      <c r="E344" s="208"/>
      <c r="F344" s="208"/>
      <c r="G344" s="208" t="str">
        <f>'Income Eligible Deemed Table'!E555</f>
        <v>Duct Repair (Sealing) - Gas Heating  MH Adjusted</v>
      </c>
      <c r="H344" s="622" t="str">
        <f>'Income Eligible Deemed Table'!D555</f>
        <v>SFLI</v>
      </c>
      <c r="I344" s="2084">
        <f>'Income Eligible Deemed Table'!F555</f>
        <v>1.21</v>
      </c>
      <c r="J344" s="2091">
        <f t="shared" si="175"/>
        <v>0</v>
      </c>
      <c r="K344" s="2115"/>
      <c r="L344" s="2115"/>
      <c r="M344" s="2113"/>
      <c r="N344" s="2113"/>
      <c r="O344" s="2085">
        <f>'Income Eligible Deemed Table'!K555</f>
        <v>5.6400000000000005E-4</v>
      </c>
      <c r="P344" s="2085"/>
      <c r="Q344" s="2097"/>
      <c r="R344" s="2097"/>
      <c r="S344" s="2086"/>
      <c r="T344" s="2086"/>
      <c r="U344" s="2087"/>
      <c r="V344" s="2087"/>
      <c r="W344" s="2087">
        <f t="shared" si="193"/>
        <v>5.6400000000000005E-4</v>
      </c>
      <c r="X344" s="2121">
        <f>'Income Eligible Deemed Table'!L555</f>
        <v>20</v>
      </c>
      <c r="Y344" s="2121"/>
      <c r="Z344" s="88">
        <f t="shared" si="194"/>
        <v>20</v>
      </c>
      <c r="AA344" s="637">
        <f>'Income Eligible Deemed Table'!BB555</f>
        <v>0.18986424133220953</v>
      </c>
      <c r="AB344" s="2917">
        <f>'Income Eligible Deemed Table'!M555</f>
        <v>8.0376653213977498</v>
      </c>
      <c r="AC344" s="2089">
        <f t="shared" si="188"/>
        <v>1.4403635944590785</v>
      </c>
      <c r="AD344" s="2089">
        <f t="shared" si="189"/>
        <v>0</v>
      </c>
      <c r="AE344" s="2955">
        <f>'Income Eligible Deemed Table'!BD555</f>
        <v>1.4403635944590785</v>
      </c>
      <c r="AF344" s="2956"/>
      <c r="AG344" s="2956"/>
      <c r="AH344" s="2956"/>
      <c r="AI344" s="2255" t="str">
        <f t="shared" si="195"/>
        <v>Units - DuctLength (ft.)</v>
      </c>
      <c r="AM344" s="2057">
        <f t="shared" si="192"/>
        <v>4.6608050000000002E-4</v>
      </c>
      <c r="AN344">
        <f t="shared" si="185"/>
        <v>5.6395740500000003E-4</v>
      </c>
      <c r="AO344" s="2048">
        <f t="shared" si="186"/>
        <v>-4.2595000000018521E-8</v>
      </c>
    </row>
    <row r="345" spans="2:41" x14ac:dyDescent="0.25">
      <c r="B345" s="2240" t="str">
        <f>'Income Eligible Deemed Table'!C589</f>
        <v>402550_2019_12_</v>
      </c>
      <c r="C345" s="208" t="str">
        <f>'Income Eligible Deemed Table'!G589</f>
        <v>HVAC RES</v>
      </c>
      <c r="D345" s="208"/>
      <c r="E345" s="208"/>
      <c r="F345" s="208"/>
      <c r="G345" s="208" t="str">
        <f>'Income Eligible Deemed Table'!E589</f>
        <v>ECM Auto Fan EUL Replacement -SF</v>
      </c>
      <c r="H345" s="622" t="str">
        <f>'Income Eligible Deemed Table'!D589</f>
        <v>SFLI</v>
      </c>
      <c r="I345" s="2084">
        <f>'Income Eligible Deemed Table'!F589</f>
        <v>582</v>
      </c>
      <c r="J345" s="2091"/>
      <c r="K345" s="2115"/>
      <c r="L345" s="2115"/>
      <c r="M345" s="2113"/>
      <c r="N345" s="2113"/>
      <c r="O345" s="2085">
        <f>'Income Eligible Deemed Table'!M589</f>
        <v>0.27125899999999997</v>
      </c>
      <c r="P345" s="2085"/>
      <c r="Q345" s="2097"/>
      <c r="R345" s="2097"/>
      <c r="S345" s="2086"/>
      <c r="T345" s="2086"/>
      <c r="U345" s="2087"/>
      <c r="V345" s="2087"/>
      <c r="W345" s="2087">
        <f t="shared" si="193"/>
        <v>0.27125899999999997</v>
      </c>
      <c r="X345" s="2121">
        <f>'Income Eligible Deemed Table'!N589</f>
        <v>20</v>
      </c>
      <c r="Y345" s="2121"/>
      <c r="Z345" s="88">
        <f t="shared" si="194"/>
        <v>20</v>
      </c>
      <c r="AA345" s="637">
        <f>'Income Eligible Deemed Table'!BB589</f>
        <v>9.8755842478136593</v>
      </c>
      <c r="AB345" s="2917">
        <f>'Income Eligible Deemed Table'!O589</f>
        <v>74.327224020150311</v>
      </c>
      <c r="AC345" s="2089">
        <f t="shared" si="188"/>
        <v>692.80298510345756</v>
      </c>
      <c r="AD345" s="2089">
        <f t="shared" si="189"/>
        <v>0</v>
      </c>
      <c r="AE345" s="2955">
        <f>'Income Eligible Deemed Table'!BD589</f>
        <v>692.80298510345756</v>
      </c>
      <c r="AF345" s="2956"/>
      <c r="AG345" s="2956"/>
      <c r="AH345" s="2956"/>
      <c r="AI345" s="2262" t="str">
        <f>'Income Eligible Deemed Table'!P589</f>
        <v>per measure</v>
      </c>
      <c r="AM345" s="2057">
        <f t="shared" si="192"/>
        <v>4.6608050000000002E-4</v>
      </c>
      <c r="AN345">
        <f t="shared" si="185"/>
        <v>0.27125885100000002</v>
      </c>
      <c r="AO345" s="2048">
        <f t="shared" si="186"/>
        <v>-1.4899999994932855E-7</v>
      </c>
    </row>
    <row r="346" spans="2:41" x14ac:dyDescent="0.25">
      <c r="B346" s="2240" t="str">
        <f>'Income Eligible Deemed Table'!C590</f>
        <v>402600_2019_12_</v>
      </c>
      <c r="C346" s="208" t="str">
        <f>'Income Eligible Deemed Table'!G590</f>
        <v>HVAC RES</v>
      </c>
      <c r="D346" s="208" t="str">
        <f>'Income Eligible Deemed Table'!G591</f>
        <v>HVAC RES ER2</v>
      </c>
      <c r="E346" s="208"/>
      <c r="F346" s="208"/>
      <c r="G346" s="208" t="str">
        <f>'Income Eligible Deemed Table'!E590</f>
        <v>ECM Auto Fan Early Replacement ER1 (Full Cost) - SF</v>
      </c>
      <c r="H346" s="622" t="str">
        <f>'Income Eligible Deemed Table'!D590</f>
        <v>SFLI</v>
      </c>
      <c r="I346" s="2084">
        <f>'Income Eligible Deemed Table'!F590</f>
        <v>582</v>
      </c>
      <c r="J346" s="2084">
        <f>'Income Eligible Deemed Table'!F591</f>
        <v>582</v>
      </c>
      <c r="K346" s="2115"/>
      <c r="L346" s="2115"/>
      <c r="M346" s="2113"/>
      <c r="N346" s="2113"/>
      <c r="O346" s="2085">
        <f>'Income Eligible Deemed Table'!M590</f>
        <v>0.27125899999999997</v>
      </c>
      <c r="P346" s="2085">
        <f>'Income Eligible Deemed Table'!M591</f>
        <v>0.27125899999999997</v>
      </c>
      <c r="Q346" s="2097"/>
      <c r="R346" s="2097"/>
      <c r="S346" s="2086"/>
      <c r="T346" s="2086"/>
      <c r="U346" s="2087"/>
      <c r="V346" s="2087"/>
      <c r="W346" s="2087">
        <f t="shared" ref="W346:W352" si="203">O346</f>
        <v>0.27125899999999997</v>
      </c>
      <c r="X346" s="2121">
        <f>'Income Eligible Deemed Table'!N590</f>
        <v>6</v>
      </c>
      <c r="Y346" s="2121">
        <f>'Income Eligible Deemed Table'!N591</f>
        <v>12</v>
      </c>
      <c r="Z346" s="88">
        <f t="shared" si="194"/>
        <v>18</v>
      </c>
      <c r="AA346" s="637">
        <f>'Income Eligible Deemed Table'!BB590</f>
        <v>1.4249213128950478</v>
      </c>
      <c r="AB346" s="2917">
        <f>'Income Eligible Deemed Table'!O590</f>
        <v>475</v>
      </c>
      <c r="AC346" s="2089">
        <f t="shared" si="188"/>
        <v>214.66614365077814</v>
      </c>
      <c r="AD346" s="2089">
        <f t="shared" si="189"/>
        <v>424.16125004921963</v>
      </c>
      <c r="AE346" s="2955">
        <f>'Income Eligible Deemed Table'!BD590</f>
        <v>214.66614365077814</v>
      </c>
      <c r="AF346" s="2956"/>
      <c r="AG346" s="2958">
        <f>'Income Eligible Deemed Table'!BD591</f>
        <v>424.16125004921963</v>
      </c>
      <c r="AH346" s="2956"/>
      <c r="AI346" s="2257" t="str">
        <f>'Income Eligible Deemed Table'!P590</f>
        <v>per measure</v>
      </c>
      <c r="AM346" s="2057">
        <f t="shared" si="192"/>
        <v>4.6608050000000002E-4</v>
      </c>
      <c r="AN346">
        <f t="shared" si="185"/>
        <v>0.27125885100000002</v>
      </c>
      <c r="AO346" s="2048">
        <f t="shared" si="186"/>
        <v>-1.4899999994932855E-7</v>
      </c>
    </row>
    <row r="347" spans="2:41" x14ac:dyDescent="0.25">
      <c r="B347" s="2240" t="str">
        <f>'Income Eligible Deemed Table'!C592</f>
        <v>402650_2019_12_</v>
      </c>
      <c r="C347" s="208" t="str">
        <f>'Income Eligible Deemed Table'!G592</f>
        <v>HVAC RES</v>
      </c>
      <c r="D347" s="208"/>
      <c r="E347" s="208"/>
      <c r="F347" s="208"/>
      <c r="G347" s="208" t="str">
        <f>'Income Eligible Deemed Table'!E592</f>
        <v>ECM Continous Fan EUL Replacement - SF</v>
      </c>
      <c r="H347" s="622" t="str">
        <f>'Income Eligible Deemed Table'!D592</f>
        <v>SFLI</v>
      </c>
      <c r="I347" s="2084">
        <f>'Income Eligible Deemed Table'!F592</f>
        <v>582</v>
      </c>
      <c r="J347" s="2084"/>
      <c r="K347" s="2115"/>
      <c r="L347" s="2115"/>
      <c r="M347" s="2113"/>
      <c r="N347" s="2113"/>
      <c r="O347" s="2085">
        <f>'Income Eligible Deemed Table'!M592</f>
        <v>0.27125899999999997</v>
      </c>
      <c r="P347" s="2085"/>
      <c r="Q347" s="2097"/>
      <c r="R347" s="2097"/>
      <c r="S347" s="2086"/>
      <c r="T347" s="2086"/>
      <c r="U347" s="2087"/>
      <c r="V347" s="2087"/>
      <c r="W347" s="2087">
        <f t="shared" si="203"/>
        <v>0.27125899999999997</v>
      </c>
      <c r="X347" s="2121">
        <f>'Income Eligible Deemed Table'!N592</f>
        <v>20</v>
      </c>
      <c r="Y347" s="2121"/>
      <c r="Z347" s="88">
        <f t="shared" si="194"/>
        <v>20</v>
      </c>
      <c r="AA347" s="637">
        <f>'Income Eligible Deemed Table'!BB592</f>
        <v>9.8755842478136593</v>
      </c>
      <c r="AB347" s="2917">
        <f>'Income Eligible Deemed Table'!O592</f>
        <v>74.327224020150311</v>
      </c>
      <c r="AC347" s="2089">
        <f t="shared" si="188"/>
        <v>692.80298510345756</v>
      </c>
      <c r="AD347" s="2089">
        <f t="shared" si="189"/>
        <v>0</v>
      </c>
      <c r="AE347" s="2955">
        <f>'Income Eligible Deemed Table'!BD592</f>
        <v>692.80298510345756</v>
      </c>
      <c r="AF347" s="2956"/>
      <c r="AG347" s="2958"/>
      <c r="AH347" s="2956"/>
      <c r="AI347" s="2257" t="str">
        <f>'Income Eligible Deemed Table'!P592</f>
        <v>per measure</v>
      </c>
      <c r="AM347" s="2057">
        <f t="shared" si="192"/>
        <v>4.6608050000000002E-4</v>
      </c>
      <c r="AN347">
        <f t="shared" ref="AN347:AN352" si="204">AM347*I347</f>
        <v>0.27125885100000002</v>
      </c>
      <c r="AO347" s="2048">
        <f t="shared" si="186"/>
        <v>-1.4899999994932855E-7</v>
      </c>
    </row>
    <row r="348" spans="2:41" x14ac:dyDescent="0.25">
      <c r="B348" s="2240" t="str">
        <f>'Income Eligible Deemed Table'!C593</f>
        <v>402700_2019_12_</v>
      </c>
      <c r="C348" s="208" t="str">
        <f>'Income Eligible Deemed Table'!G593</f>
        <v>HVAC RES</v>
      </c>
      <c r="D348" s="208" t="str">
        <f>'Income Eligible Deemed Table'!G594</f>
        <v>HVAC RES ER2</v>
      </c>
      <c r="E348" s="208"/>
      <c r="F348" s="208"/>
      <c r="G348" s="208" t="str">
        <f>'Income Eligible Deemed Table'!E593</f>
        <v>ECM Continous Fan Early Replacement ER1 (Full Cost) - SF</v>
      </c>
      <c r="H348" s="622" t="str">
        <f>'Income Eligible Deemed Table'!D593</f>
        <v>SFLI</v>
      </c>
      <c r="I348" s="2084">
        <f>'Income Eligible Deemed Table'!F593</f>
        <v>582</v>
      </c>
      <c r="J348" s="2084">
        <f>'Income Eligible Deemed Table'!F594</f>
        <v>582</v>
      </c>
      <c r="K348" s="2115"/>
      <c r="L348" s="2115"/>
      <c r="M348" s="2113"/>
      <c r="N348" s="2113"/>
      <c r="O348" s="2085">
        <f>'Income Eligible Deemed Table'!M593</f>
        <v>0.27125899999999997</v>
      </c>
      <c r="P348" s="2085">
        <f>'Income Eligible Deemed Table'!M594</f>
        <v>0.27125899999999997</v>
      </c>
      <c r="Q348" s="2097"/>
      <c r="R348" s="2097"/>
      <c r="S348" s="2086"/>
      <c r="T348" s="2086"/>
      <c r="U348" s="2087"/>
      <c r="V348" s="2087"/>
      <c r="W348" s="2087">
        <f t="shared" si="203"/>
        <v>0.27125899999999997</v>
      </c>
      <c r="X348" s="2121">
        <f>'Income Eligible Deemed Table'!N593</f>
        <v>6</v>
      </c>
      <c r="Y348" s="2121">
        <f>'Income Eligible Deemed Table'!N594</f>
        <v>12</v>
      </c>
      <c r="Z348" s="88">
        <f t="shared" si="194"/>
        <v>18</v>
      </c>
      <c r="AA348" s="637">
        <f>'Income Eligible Deemed Table'!BB593</f>
        <v>1.4249213128950478</v>
      </c>
      <c r="AB348" s="2917">
        <f>'Income Eligible Deemed Table'!O593</f>
        <v>475</v>
      </c>
      <c r="AC348" s="2089">
        <f t="shared" si="188"/>
        <v>214.66614365077814</v>
      </c>
      <c r="AD348" s="2089">
        <f t="shared" si="189"/>
        <v>424.16125004921963</v>
      </c>
      <c r="AE348" s="2955">
        <f>'Income Eligible Deemed Table'!BD593</f>
        <v>214.66614365077814</v>
      </c>
      <c r="AF348" s="2956"/>
      <c r="AG348" s="2958">
        <f>'Income Eligible Deemed Table'!BD594</f>
        <v>424.16125004921963</v>
      </c>
      <c r="AH348" s="2956"/>
      <c r="AI348" s="2257" t="str">
        <f>'Income Eligible Deemed Table'!P593</f>
        <v>per measure</v>
      </c>
      <c r="AM348" s="2057">
        <f t="shared" si="192"/>
        <v>4.6608050000000002E-4</v>
      </c>
      <c r="AN348">
        <f t="shared" si="204"/>
        <v>0.27125885100000002</v>
      </c>
      <c r="AO348" s="2048">
        <f t="shared" si="186"/>
        <v>-1.4899999994932855E-7</v>
      </c>
    </row>
    <row r="349" spans="2:41" x14ac:dyDescent="0.25">
      <c r="B349" s="2240" t="str">
        <f>'Income Eligible Deemed Table'!C595</f>
        <v>402750_2019_12_</v>
      </c>
      <c r="C349" s="208" t="str">
        <f>'Income Eligible Deemed Table'!G595</f>
        <v>HVAC RES</v>
      </c>
      <c r="D349" s="208"/>
      <c r="E349" s="208"/>
      <c r="F349" s="208"/>
      <c r="G349" s="208" t="str">
        <f>'Income Eligible Deemed Table'!E595</f>
        <v>ECM Auto Fan EUL Replacement - MF</v>
      </c>
      <c r="H349" s="622" t="str">
        <f>'Income Eligible Deemed Table'!D595</f>
        <v>MFLI</v>
      </c>
      <c r="I349" s="2084">
        <f>'Income Eligible Deemed Table'!F595</f>
        <v>582</v>
      </c>
      <c r="J349" s="2084"/>
      <c r="K349" s="2115"/>
      <c r="L349" s="2115"/>
      <c r="M349" s="2113"/>
      <c r="N349" s="2113"/>
      <c r="O349" s="2085">
        <f>'Income Eligible Deemed Table'!M595</f>
        <v>0.27125899999999997</v>
      </c>
      <c r="P349" s="2085"/>
      <c r="Q349" s="2097"/>
      <c r="R349" s="2097"/>
      <c r="S349" s="2086"/>
      <c r="T349" s="2086"/>
      <c r="U349" s="2087"/>
      <c r="V349" s="2087"/>
      <c r="W349" s="2087">
        <f t="shared" si="203"/>
        <v>0.27125899999999997</v>
      </c>
      <c r="X349" s="2121">
        <f>'Income Eligible Deemed Table'!N595</f>
        <v>20</v>
      </c>
      <c r="Y349" s="2121"/>
      <c r="Z349" s="88">
        <f t="shared" si="194"/>
        <v>20</v>
      </c>
      <c r="AA349" s="637">
        <f>'Income Eligible Deemed Table'!BB595</f>
        <v>9.8755842478136593</v>
      </c>
      <c r="AB349" s="2917">
        <f>'Income Eligible Deemed Table'!O595</f>
        <v>74.327224020150311</v>
      </c>
      <c r="AC349" s="2089">
        <f t="shared" si="188"/>
        <v>692.80298510345756</v>
      </c>
      <c r="AD349" s="2089">
        <f t="shared" si="189"/>
        <v>0</v>
      </c>
      <c r="AE349" s="2955">
        <f>'Income Eligible Deemed Table'!BD595</f>
        <v>692.80298510345756</v>
      </c>
      <c r="AF349" s="2956"/>
      <c r="AG349" s="2958"/>
      <c r="AH349" s="2956"/>
      <c r="AI349" s="2257" t="str">
        <f>'Income Eligible Deemed Table'!P595</f>
        <v>per measure</v>
      </c>
      <c r="AM349" s="2057">
        <f t="shared" si="192"/>
        <v>4.6608050000000002E-4</v>
      </c>
      <c r="AN349">
        <f t="shared" si="204"/>
        <v>0.27125885100000002</v>
      </c>
      <c r="AO349" s="2048">
        <f t="shared" si="186"/>
        <v>-1.4899999994932855E-7</v>
      </c>
    </row>
    <row r="350" spans="2:41" x14ac:dyDescent="0.25">
      <c r="B350" s="2240" t="str">
        <f>'Income Eligible Deemed Table'!C596</f>
        <v>402800_2019_12_</v>
      </c>
      <c r="C350" s="208" t="str">
        <f>'Income Eligible Deemed Table'!G596</f>
        <v>HVAC RES</v>
      </c>
      <c r="D350" s="208" t="str">
        <f>'Income Eligible Deemed Table'!G597</f>
        <v>HVAC RES ER2</v>
      </c>
      <c r="E350" s="208"/>
      <c r="F350" s="208"/>
      <c r="G350" s="208" t="str">
        <f>'Income Eligible Deemed Table'!E596</f>
        <v>ECM Auto Fan Early Replacement ER1 (Full Cost) - MF</v>
      </c>
      <c r="H350" s="622" t="str">
        <f>'Income Eligible Deemed Table'!D596</f>
        <v>MFLI</v>
      </c>
      <c r="I350" s="2084">
        <f>'Income Eligible Deemed Table'!F596</f>
        <v>582</v>
      </c>
      <c r="J350" s="2084">
        <f>'Income Eligible Deemed Table'!F597</f>
        <v>582</v>
      </c>
      <c r="K350" s="2115"/>
      <c r="L350" s="2115"/>
      <c r="M350" s="2113"/>
      <c r="N350" s="2113"/>
      <c r="O350" s="2085">
        <f>'Income Eligible Deemed Table'!M596</f>
        <v>0.27125899999999997</v>
      </c>
      <c r="P350" s="2085">
        <f>'Income Eligible Deemed Table'!M597</f>
        <v>0.27125899999999997</v>
      </c>
      <c r="Q350" s="2097"/>
      <c r="R350" s="2097"/>
      <c r="S350" s="2086"/>
      <c r="T350" s="2086"/>
      <c r="U350" s="2087"/>
      <c r="V350" s="2087"/>
      <c r="W350" s="2087">
        <f t="shared" si="203"/>
        <v>0.27125899999999997</v>
      </c>
      <c r="X350" s="2121">
        <f>'Income Eligible Deemed Table'!N596</f>
        <v>6</v>
      </c>
      <c r="Y350" s="2121">
        <f>'Income Eligible Deemed Table'!N597</f>
        <v>12</v>
      </c>
      <c r="Z350" s="88">
        <f t="shared" si="194"/>
        <v>18</v>
      </c>
      <c r="AA350" s="637">
        <f>'Income Eligible Deemed Table'!BB596</f>
        <v>1.4249213128950478</v>
      </c>
      <c r="AB350" s="2917">
        <f>'Income Eligible Deemed Table'!O596</f>
        <v>475</v>
      </c>
      <c r="AC350" s="2089">
        <f t="shared" si="188"/>
        <v>214.66614365077814</v>
      </c>
      <c r="AD350" s="2089">
        <f t="shared" si="189"/>
        <v>424.16125004921963</v>
      </c>
      <c r="AE350" s="2955">
        <f>'Income Eligible Deemed Table'!BD596</f>
        <v>214.66614365077814</v>
      </c>
      <c r="AF350" s="2956"/>
      <c r="AG350" s="2958">
        <f>'Income Eligible Deemed Table'!BD597</f>
        <v>424.16125004921963</v>
      </c>
      <c r="AH350" s="2956"/>
      <c r="AI350" s="2257" t="str">
        <f>'Income Eligible Deemed Table'!P596</f>
        <v>per measure</v>
      </c>
      <c r="AM350" s="2057">
        <f t="shared" si="192"/>
        <v>4.6608050000000002E-4</v>
      </c>
      <c r="AN350">
        <f t="shared" si="204"/>
        <v>0.27125885100000002</v>
      </c>
      <c r="AO350" s="2048">
        <f t="shared" si="186"/>
        <v>-1.4899999994932855E-7</v>
      </c>
    </row>
    <row r="351" spans="2:41" x14ac:dyDescent="0.25">
      <c r="B351" s="2240" t="str">
        <f>'Income Eligible Deemed Table'!C598</f>
        <v>402850_2019_12_</v>
      </c>
      <c r="C351" s="208" t="str">
        <f>'Income Eligible Deemed Table'!G598</f>
        <v>HVAC RES</v>
      </c>
      <c r="D351" s="208"/>
      <c r="E351" s="208"/>
      <c r="F351" s="208"/>
      <c r="G351" s="208" t="str">
        <f>'Income Eligible Deemed Table'!E598</f>
        <v>ECM Continous Fan EUL Replacement - MF</v>
      </c>
      <c r="H351" s="622" t="str">
        <f>'Income Eligible Deemed Table'!D598</f>
        <v>MFLI</v>
      </c>
      <c r="I351" s="2084">
        <f>'Income Eligible Deemed Table'!F598</f>
        <v>582</v>
      </c>
      <c r="J351" s="2084"/>
      <c r="K351" s="2115"/>
      <c r="L351" s="2115"/>
      <c r="M351" s="2113"/>
      <c r="N351" s="2113"/>
      <c r="O351" s="2085">
        <f>'Income Eligible Deemed Table'!M598</f>
        <v>0.27125899999999997</v>
      </c>
      <c r="P351" s="2085"/>
      <c r="Q351" s="2097"/>
      <c r="R351" s="2097"/>
      <c r="S351" s="2086"/>
      <c r="T351" s="2086"/>
      <c r="U351" s="2087"/>
      <c r="V351" s="2087"/>
      <c r="W351" s="2087">
        <f t="shared" si="203"/>
        <v>0.27125899999999997</v>
      </c>
      <c r="X351" s="2121">
        <f>'Income Eligible Deemed Table'!N598</f>
        <v>20</v>
      </c>
      <c r="Y351" s="2121"/>
      <c r="Z351" s="88">
        <f t="shared" si="194"/>
        <v>20</v>
      </c>
      <c r="AA351" s="637">
        <f>'Income Eligible Deemed Table'!BB598</f>
        <v>9.8755842478136593</v>
      </c>
      <c r="AB351" s="2917">
        <f>'Income Eligible Deemed Table'!O598</f>
        <v>74.327224020150311</v>
      </c>
      <c r="AC351" s="2089">
        <f t="shared" si="188"/>
        <v>692.80298510345756</v>
      </c>
      <c r="AD351" s="2089">
        <f t="shared" si="189"/>
        <v>0</v>
      </c>
      <c r="AE351" s="2955">
        <f>'Income Eligible Deemed Table'!BD598</f>
        <v>692.80298510345756</v>
      </c>
      <c r="AF351" s="2956"/>
      <c r="AG351" s="2958"/>
      <c r="AH351" s="2956"/>
      <c r="AI351" s="2257" t="str">
        <f>'Income Eligible Deemed Table'!P598</f>
        <v>per measure</v>
      </c>
      <c r="AM351" s="2057">
        <f t="shared" si="192"/>
        <v>4.6608050000000002E-4</v>
      </c>
      <c r="AN351">
        <f t="shared" si="204"/>
        <v>0.27125885100000002</v>
      </c>
      <c r="AO351" s="2048">
        <f t="shared" si="186"/>
        <v>-1.4899999994932855E-7</v>
      </c>
    </row>
    <row r="352" spans="2:41" x14ac:dyDescent="0.25">
      <c r="B352" s="2240" t="str">
        <f>'Income Eligible Deemed Table'!C599</f>
        <v>402900_2019_12_</v>
      </c>
      <c r="C352" s="208" t="str">
        <f>'Income Eligible Deemed Table'!G599</f>
        <v>HVAC RES</v>
      </c>
      <c r="D352" s="208" t="str">
        <f>'Income Eligible Deemed Table'!G600</f>
        <v>HVAC RES ER2</v>
      </c>
      <c r="E352" s="208"/>
      <c r="F352" s="208"/>
      <c r="G352" s="208" t="str">
        <f>'Income Eligible Deemed Table'!E599</f>
        <v>ECM Continous Fan Early Replacement ER1 (Full Cost) - MF</v>
      </c>
      <c r="H352" s="622" t="str">
        <f>'Income Eligible Deemed Table'!D599</f>
        <v>MFLI</v>
      </c>
      <c r="I352" s="2084">
        <f>'Income Eligible Deemed Table'!F599</f>
        <v>582</v>
      </c>
      <c r="J352" s="2084">
        <f>'Income Eligible Deemed Table'!F600</f>
        <v>582</v>
      </c>
      <c r="K352" s="2115"/>
      <c r="L352" s="2115"/>
      <c r="M352" s="2113"/>
      <c r="N352" s="2113"/>
      <c r="O352" s="2085">
        <f>'Income Eligible Deemed Table'!M599</f>
        <v>0.27125899999999997</v>
      </c>
      <c r="P352" s="2085">
        <f>'Income Eligible Deemed Table'!M600</f>
        <v>0.27125899999999997</v>
      </c>
      <c r="Q352" s="2097"/>
      <c r="R352" s="2097"/>
      <c r="S352" s="2086"/>
      <c r="T352" s="2086"/>
      <c r="U352" s="2087"/>
      <c r="V352" s="2087"/>
      <c r="W352" s="2087">
        <f t="shared" si="203"/>
        <v>0.27125899999999997</v>
      </c>
      <c r="X352" s="2121">
        <f>'Income Eligible Deemed Table'!N599</f>
        <v>6</v>
      </c>
      <c r="Y352" s="2121">
        <f>'Income Eligible Deemed Table'!N600</f>
        <v>12</v>
      </c>
      <c r="Z352" s="88">
        <f>Y352+X352</f>
        <v>18</v>
      </c>
      <c r="AA352" s="637">
        <f>'Income Eligible Deemed Table'!BB599</f>
        <v>1.4249213128950478</v>
      </c>
      <c r="AB352" s="2917">
        <f>'Income Eligible Deemed Table'!O599</f>
        <v>475</v>
      </c>
      <c r="AC352" s="2089">
        <f t="shared" si="188"/>
        <v>214.66614365077814</v>
      </c>
      <c r="AD352" s="2089">
        <f t="shared" si="189"/>
        <v>424.16125004921963</v>
      </c>
      <c r="AE352" s="2955">
        <f>'Income Eligible Deemed Table'!BD599</f>
        <v>214.66614365077814</v>
      </c>
      <c r="AF352" s="2956"/>
      <c r="AG352" s="2958">
        <f>'Income Eligible Deemed Table'!BD600</f>
        <v>424.16125004921963</v>
      </c>
      <c r="AH352" s="2956"/>
      <c r="AI352" s="2257" t="str">
        <f>'Income Eligible Deemed Table'!P599</f>
        <v>per measure</v>
      </c>
      <c r="AM352" s="2057">
        <f t="shared" si="192"/>
        <v>4.6608050000000002E-4</v>
      </c>
      <c r="AN352">
        <f t="shared" si="204"/>
        <v>0.27125885100000002</v>
      </c>
      <c r="AO352" s="2048">
        <f t="shared" si="186"/>
        <v>-1.4899999994932855E-7</v>
      </c>
    </row>
    <row r="353" spans="2:41" x14ac:dyDescent="0.25">
      <c r="B353" s="2240" t="str">
        <f>'Income Eligible Deemed Table'!C667</f>
        <v>402950_2019_12_</v>
      </c>
      <c r="C353" s="208" t="str">
        <f>'Income Eligible Deemed Table'!G667</f>
        <v>Cooling RES</v>
      </c>
      <c r="D353" s="208" t="str">
        <f>'Income Eligible Deemed Table'!G668</f>
        <v>Heating RES</v>
      </c>
      <c r="E353" s="208"/>
      <c r="F353" s="208"/>
      <c r="G353" s="208" t="str">
        <f>'Income Eligible Deemed Table'!E667</f>
        <v>General HP tune-up (no charge or coil clean)</v>
      </c>
      <c r="H353" s="622" t="str">
        <f>'Income Eligible Deemed Table'!D667</f>
        <v>SFLI</v>
      </c>
      <c r="I353" s="2091">
        <f>K353+L353</f>
        <v>263.61</v>
      </c>
      <c r="J353" s="2091">
        <f>M353+N353</f>
        <v>0</v>
      </c>
      <c r="K353" s="2113">
        <f>'Income Eligible Deemed Table'!F667</f>
        <v>146.06</v>
      </c>
      <c r="L353" s="2113">
        <f>'Income Eligible Deemed Table'!F668</f>
        <v>117.55</v>
      </c>
      <c r="M353" s="2113"/>
      <c r="N353" s="2113"/>
      <c r="O353" s="2092">
        <f t="shared" ref="O353:O363" si="205">Q353+R353</f>
        <v>0.13838</v>
      </c>
      <c r="P353" s="2092">
        <f t="shared" ref="P353:P363" si="206">S353+T353</f>
        <v>0</v>
      </c>
      <c r="Q353" s="2086">
        <f>'Income Eligible Deemed Table'!I667</f>
        <v>0.13838</v>
      </c>
      <c r="R353" s="2086">
        <f>'Income Eligible Deemed Table'!I668</f>
        <v>0</v>
      </c>
      <c r="S353" s="2086"/>
      <c r="T353" s="2086"/>
      <c r="U353" s="2087">
        <v>0</v>
      </c>
      <c r="V353" s="2087">
        <v>0</v>
      </c>
      <c r="W353" s="2087">
        <v>0</v>
      </c>
      <c r="X353" s="2121">
        <f>'Income Eligible Deemed Table'!J667</f>
        <v>2</v>
      </c>
      <c r="Y353" s="2121"/>
      <c r="Z353" s="88">
        <f>Y353+X353</f>
        <v>2</v>
      </c>
      <c r="AA353" s="637">
        <f>'Income Eligible Deemed Table'!BB667</f>
        <v>0.47929235975456674</v>
      </c>
      <c r="AB353" s="2917">
        <f>'Income Eligible Deemed Table'!K667</f>
        <v>70</v>
      </c>
      <c r="AC353" s="2089">
        <f t="shared" si="188"/>
        <v>31.666319190957687</v>
      </c>
      <c r="AD353" s="2089">
        <f t="shared" si="189"/>
        <v>0</v>
      </c>
      <c r="AE353" s="2955">
        <f>'Income Eligible Deemed Table'!BD667</f>
        <v>24.9939171195353</v>
      </c>
      <c r="AF353" s="2956">
        <f>'Income Eligible Deemed Table'!BD668</f>
        <v>6.6724020714223853</v>
      </c>
      <c r="AG353" s="2956"/>
      <c r="AH353" s="2956"/>
      <c r="AI353" s="2240" t="str">
        <f>'Income Eligible Deemed Table'!L667</f>
        <v>per measure</v>
      </c>
      <c r="AM353" s="2057">
        <f t="shared" si="192"/>
        <v>9.4741810000000004E-4</v>
      </c>
      <c r="AN353" s="132">
        <f t="shared" ref="AN353:AN363" si="207">AM353*K353</f>
        <v>0.13837988768600001</v>
      </c>
      <c r="AO353" s="2048">
        <f t="shared" si="186"/>
        <v>-1.1231399998923308E-7</v>
      </c>
    </row>
    <row r="354" spans="2:41" x14ac:dyDescent="0.25">
      <c r="B354" s="2240" t="str">
        <f>'Income Eligible Deemed Table'!C669</f>
        <v>403000_2019_12_</v>
      </c>
      <c r="C354" s="208" t="str">
        <f>'Income Eligible Deemed Table'!G669</f>
        <v>Cooling RES</v>
      </c>
      <c r="D354" s="208" t="str">
        <f>'Income Eligible Deemed Table'!G670</f>
        <v>Heating RES</v>
      </c>
      <c r="E354" s="208"/>
      <c r="F354" s="208"/>
      <c r="G354" s="208" t="str">
        <f>'Income Eligible Deemed Table'!E669</f>
        <v>General HP tune-up (no charge or coil clean)</v>
      </c>
      <c r="H354" s="622" t="str">
        <f>'Income Eligible Deemed Table'!D669</f>
        <v>MFLI</v>
      </c>
      <c r="I354" s="2091">
        <f t="shared" ref="I354:I363" si="208">K354+L354</f>
        <v>157.53</v>
      </c>
      <c r="J354" s="2091">
        <f t="shared" ref="J354:J363" si="209">M354+N354</f>
        <v>0</v>
      </c>
      <c r="K354" s="2113">
        <f>'Income Eligible Deemed Table'!F669</f>
        <v>87.28</v>
      </c>
      <c r="L354" s="2113">
        <f>'Income Eligible Deemed Table'!F670</f>
        <v>70.25</v>
      </c>
      <c r="M354" s="2113"/>
      <c r="N354" s="2113"/>
      <c r="O354" s="2092">
        <f t="shared" si="205"/>
        <v>8.2691000000000001E-2</v>
      </c>
      <c r="P354" s="2092">
        <f t="shared" si="206"/>
        <v>0</v>
      </c>
      <c r="Q354" s="2086">
        <f>'Income Eligible Deemed Table'!I669</f>
        <v>8.2691000000000001E-2</v>
      </c>
      <c r="R354" s="2086">
        <f>'Income Eligible Deemed Table'!I670</f>
        <v>0</v>
      </c>
      <c r="S354" s="2086"/>
      <c r="T354" s="2086"/>
      <c r="U354" s="2087">
        <v>0</v>
      </c>
      <c r="V354" s="2087">
        <v>0</v>
      </c>
      <c r="W354" s="2087">
        <v>0</v>
      </c>
      <c r="X354" s="2121">
        <f>'Income Eligible Deemed Table'!J669</f>
        <v>2</v>
      </c>
      <c r="Y354" s="2121"/>
      <c r="Z354" s="88">
        <f t="shared" ref="Z354:Z364" si="210">Y354+X354</f>
        <v>2</v>
      </c>
      <c r="AA354" s="637">
        <f>'Income Eligible Deemed Table'!BB669</f>
        <v>0.28641280431879457</v>
      </c>
      <c r="AB354" s="2917">
        <f>'Income Eligible Deemed Table'!K669</f>
        <v>70</v>
      </c>
      <c r="AC354" s="2089">
        <f t="shared" si="188"/>
        <v>18.922979048905727</v>
      </c>
      <c r="AD354" s="2089">
        <f t="shared" si="189"/>
        <v>0</v>
      </c>
      <c r="AE354" s="2955">
        <f>'Income Eligible Deemed Table'!BD669</f>
        <v>14.935431235061214</v>
      </c>
      <c r="AF354" s="2956">
        <f>'Income Eligible Deemed Table'!BD670</f>
        <v>3.9875478138445133</v>
      </c>
      <c r="AG354" s="2956"/>
      <c r="AH354" s="2956"/>
      <c r="AI354" s="2240" t="str">
        <f>'Income Eligible Deemed Table'!L669</f>
        <v>per measure</v>
      </c>
      <c r="AM354" s="2057">
        <f t="shared" si="192"/>
        <v>9.4741810000000004E-4</v>
      </c>
      <c r="AN354" s="132">
        <f t="shared" si="207"/>
        <v>8.2690651768000001E-2</v>
      </c>
      <c r="AO354" s="2048">
        <f t="shared" si="186"/>
        <v>-3.4823199999978183E-7</v>
      </c>
    </row>
    <row r="355" spans="2:41" x14ac:dyDescent="0.25">
      <c r="B355" s="2240" t="str">
        <f>'Income Eligible Deemed Table'!C671</f>
        <v>403050_2019_12_</v>
      </c>
      <c r="C355" s="208" t="str">
        <f>'Income Eligible Deemed Table'!G671</f>
        <v>Cooling RES</v>
      </c>
      <c r="D355" s="208" t="str">
        <f>'Income Eligible Deemed Table'!G672</f>
        <v>Heating RES</v>
      </c>
      <c r="E355" s="208"/>
      <c r="F355" s="208"/>
      <c r="G355" s="208" t="str">
        <f>'Income Eligible Deemed Table'!E671</f>
        <v>HP tune-up / Refrigerant charge SF</v>
      </c>
      <c r="H355" s="622" t="str">
        <f>'Income Eligible Deemed Table'!D671</f>
        <v>SFLI</v>
      </c>
      <c r="I355" s="2091">
        <f t="shared" si="208"/>
        <v>1175.1100000000001</v>
      </c>
      <c r="J355" s="2091">
        <f t="shared" si="209"/>
        <v>0</v>
      </c>
      <c r="K355" s="2113">
        <f>'Income Eligible Deemed Table'!F671</f>
        <v>609.19000000000005</v>
      </c>
      <c r="L355" s="2113">
        <f>'Income Eligible Deemed Table'!F672</f>
        <v>565.91999999999996</v>
      </c>
      <c r="M355" s="2113"/>
      <c r="N355" s="2113"/>
      <c r="O355" s="2092">
        <f t="shared" si="205"/>
        <v>0.57715799999999995</v>
      </c>
      <c r="P355" s="2092">
        <f t="shared" si="206"/>
        <v>0</v>
      </c>
      <c r="Q355" s="2086">
        <f>'Income Eligible Deemed Table'!I671</f>
        <v>0.57715799999999995</v>
      </c>
      <c r="R355" s="2086">
        <f>'Income Eligible Deemed Table'!I672</f>
        <v>0</v>
      </c>
      <c r="S355" s="2086"/>
      <c r="T355" s="2086"/>
      <c r="U355" s="2087">
        <v>0</v>
      </c>
      <c r="V355" s="2087">
        <v>0</v>
      </c>
      <c r="W355" s="2087">
        <v>0</v>
      </c>
      <c r="X355" s="2121">
        <f>'Income Eligible Deemed Table'!J671</f>
        <v>2</v>
      </c>
      <c r="Y355" s="2121"/>
      <c r="Z355" s="88">
        <f t="shared" si="210"/>
        <v>2</v>
      </c>
      <c r="AA355" s="637">
        <f>'Income Eligible Deemed Table'!BB671</f>
        <v>1.7837274405751224</v>
      </c>
      <c r="AB355" s="2917">
        <f>'Income Eligible Deemed Table'!K671</f>
        <v>81</v>
      </c>
      <c r="AC355" s="2089">
        <f t="shared" si="188"/>
        <v>136.36802518790458</v>
      </c>
      <c r="AD355" s="2089">
        <f t="shared" si="189"/>
        <v>0</v>
      </c>
      <c r="AE355" s="2955">
        <f>'Income Eligible Deemed Table'!BD671</f>
        <v>104.24513467102362</v>
      </c>
      <c r="AF355" s="2956">
        <f>'Income Eligible Deemed Table'!BD672</f>
        <v>32.12289051688095</v>
      </c>
      <c r="AG355" s="2956"/>
      <c r="AH355" s="2956"/>
      <c r="AI355" s="2240" t="str">
        <f>'Income Eligible Deemed Table'!L671</f>
        <v>per measure</v>
      </c>
      <c r="AM355" s="2057">
        <f t="shared" si="192"/>
        <v>9.4741810000000004E-4</v>
      </c>
      <c r="AN355" s="132">
        <f t="shared" si="207"/>
        <v>0.57715763233900008</v>
      </c>
      <c r="AO355" s="2048">
        <f t="shared" si="186"/>
        <v>-3.676609998670699E-7</v>
      </c>
    </row>
    <row r="356" spans="2:41" x14ac:dyDescent="0.25">
      <c r="B356" s="2240" t="str">
        <f>'Income Eligible Deemed Table'!C673</f>
        <v>403100_2019_12_</v>
      </c>
      <c r="C356" s="208" t="str">
        <f>'Income Eligible Deemed Table'!G673</f>
        <v>Cooling RES</v>
      </c>
      <c r="D356" s="208" t="str">
        <f>'Income Eligible Deemed Table'!G674</f>
        <v>Heating RES</v>
      </c>
      <c r="E356" s="208"/>
      <c r="F356" s="208"/>
      <c r="G356" s="208" t="str">
        <f>'Income Eligible Deemed Table'!E673</f>
        <v>HP tune-up / Refrigerant charge MF</v>
      </c>
      <c r="H356" s="622" t="str">
        <f>'Income Eligible Deemed Table'!D673</f>
        <v>MFLI</v>
      </c>
      <c r="I356" s="2091">
        <f t="shared" si="208"/>
        <v>702.21</v>
      </c>
      <c r="J356" s="2091">
        <f t="shared" si="209"/>
        <v>0</v>
      </c>
      <c r="K356" s="2113">
        <f>'Income Eligible Deemed Table'!F673</f>
        <v>364.03</v>
      </c>
      <c r="L356" s="2113">
        <f>'Income Eligible Deemed Table'!F674</f>
        <v>338.18</v>
      </c>
      <c r="M356" s="2113"/>
      <c r="N356" s="2113"/>
      <c r="O356" s="2092">
        <f t="shared" si="205"/>
        <v>0.344889</v>
      </c>
      <c r="P356" s="2092">
        <f t="shared" si="206"/>
        <v>0</v>
      </c>
      <c r="Q356" s="2086">
        <f>'Income Eligible Deemed Table'!I673</f>
        <v>0.344889</v>
      </c>
      <c r="R356" s="2086">
        <f>'Income Eligible Deemed Table'!I674</f>
        <v>0</v>
      </c>
      <c r="S356" s="2086"/>
      <c r="T356" s="2086"/>
      <c r="U356" s="2087">
        <v>0</v>
      </c>
      <c r="V356" s="2087">
        <v>0</v>
      </c>
      <c r="W356" s="2087">
        <v>0</v>
      </c>
      <c r="X356" s="2121">
        <f>'Income Eligible Deemed Table'!J673</f>
        <v>2</v>
      </c>
      <c r="Y356" s="2121"/>
      <c r="Z356" s="88">
        <f t="shared" si="210"/>
        <v>2</v>
      </c>
      <c r="AA356" s="637">
        <f>'Income Eligible Deemed Table'!BB673</f>
        <v>1.0658961610897484</v>
      </c>
      <c r="AB356" s="2917">
        <f>'Income Eligible Deemed Table'!K673</f>
        <v>81</v>
      </c>
      <c r="AC356" s="2089">
        <f t="shared" si="188"/>
        <v>81.488993910589528</v>
      </c>
      <c r="AD356" s="2089">
        <f t="shared" si="189"/>
        <v>0</v>
      </c>
      <c r="AE356" s="2955">
        <f>'Income Eligible Deemed Table'!BD673</f>
        <v>62.293137402604643</v>
      </c>
      <c r="AF356" s="2956">
        <f>'Income Eligible Deemed Table'!BD674</f>
        <v>19.195856507984878</v>
      </c>
      <c r="AG356" s="2956"/>
      <c r="AH356" s="2956"/>
      <c r="AI356" s="2240" t="str">
        <f>'Income Eligible Deemed Table'!L673</f>
        <v>per measure</v>
      </c>
      <c r="AM356" s="2057">
        <f t="shared" si="192"/>
        <v>9.4741810000000004E-4</v>
      </c>
      <c r="AN356" s="132">
        <f t="shared" si="207"/>
        <v>0.344888610943</v>
      </c>
      <c r="AO356" s="2048">
        <f t="shared" si="186"/>
        <v>-3.8905700000535504E-7</v>
      </c>
    </row>
    <row r="357" spans="2:41" x14ac:dyDescent="0.25">
      <c r="B357" s="2240" t="str">
        <f>'Income Eligible Deemed Table'!C675</f>
        <v>403101_2019_12_</v>
      </c>
      <c r="C357" s="208" t="str">
        <f>'Income Eligible Deemed Table'!G675</f>
        <v>Cooling RES</v>
      </c>
      <c r="D357" s="208" t="str">
        <f>'Income Eligible Deemed Table'!G676</f>
        <v>Heating RES</v>
      </c>
      <c r="E357" s="208"/>
      <c r="F357" s="208"/>
      <c r="G357" s="208" t="str">
        <f>'Income Eligible Deemed Table'!E675</f>
        <v>HP tune-up / Refrigerant charge MF_CompE</v>
      </c>
      <c r="H357" s="622" t="str">
        <f>'Income Eligible Deemed Table'!D675</f>
        <v>MFLIc</v>
      </c>
      <c r="I357" s="2091">
        <f t="shared" si="208"/>
        <v>380.04</v>
      </c>
      <c r="J357" s="2091">
        <f t="shared" si="209"/>
        <v>0</v>
      </c>
      <c r="K357" s="2113">
        <f>'Income Eligible Deemed Table'!F675</f>
        <v>264.75</v>
      </c>
      <c r="L357" s="2113">
        <f>'Income Eligible Deemed Table'!F676</f>
        <v>115.29</v>
      </c>
      <c r="M357" s="2113"/>
      <c r="N357" s="2113"/>
      <c r="O357" s="2092">
        <f t="shared" si="205"/>
        <v>0.25082900000000002</v>
      </c>
      <c r="P357" s="2092">
        <f t="shared" si="206"/>
        <v>0</v>
      </c>
      <c r="Q357" s="2086">
        <f>'Income Eligible Deemed Table'!I675</f>
        <v>0.25082900000000002</v>
      </c>
      <c r="R357" s="2086">
        <f>'Income Eligible Deemed Table'!I676</f>
        <v>0</v>
      </c>
      <c r="S357" s="2086"/>
      <c r="T357" s="2086"/>
      <c r="U357" s="2087">
        <v>0</v>
      </c>
      <c r="V357" s="2087">
        <v>0</v>
      </c>
      <c r="W357" s="2087">
        <v>0</v>
      </c>
      <c r="X357" s="2121">
        <f>'Income Eligible Deemed Table'!J675</f>
        <v>2</v>
      </c>
      <c r="Y357" s="2121"/>
      <c r="Z357" s="88">
        <f t="shared" si="210"/>
        <v>2</v>
      </c>
      <c r="AA357" s="637">
        <f>'Income Eligible Deemed Table'!BB675</f>
        <v>0.67818954560335631</v>
      </c>
      <c r="AB357" s="2917">
        <f>'Income Eligible Deemed Table'!K675</f>
        <v>81</v>
      </c>
      <c r="AC357" s="2089">
        <f t="shared" si="188"/>
        <v>51.848374888033845</v>
      </c>
      <c r="AD357" s="2089">
        <f t="shared" si="189"/>
        <v>0</v>
      </c>
      <c r="AE357" s="2955">
        <f>'Income Eligible Deemed Table'!BD675</f>
        <v>45.304255493612011</v>
      </c>
      <c r="AF357" s="2956">
        <f>'Income Eligible Deemed Table'!BD676</f>
        <v>6.5441193944218359</v>
      </c>
      <c r="AG357" s="2956"/>
      <c r="AH357" s="2956"/>
      <c r="AI357" s="2240" t="str">
        <f>'Income Eligible Deemed Table'!L675</f>
        <v>per measure</v>
      </c>
      <c r="AM357" s="2057">
        <f t="shared" si="192"/>
        <v>9.4741810000000004E-4</v>
      </c>
      <c r="AN357" s="132">
        <f t="shared" si="207"/>
        <v>0.250828941975</v>
      </c>
      <c r="AO357" s="2048">
        <f t="shared" si="186"/>
        <v>-5.8025000027051021E-8</v>
      </c>
    </row>
    <row r="358" spans="2:41" x14ac:dyDescent="0.25">
      <c r="B358" s="2240" t="str">
        <f>'Income Eligible Deemed Table'!C677</f>
        <v>403150_2019_12_</v>
      </c>
      <c r="C358" s="208" t="str">
        <f>'Income Eligible Deemed Table'!G677</f>
        <v>Cooling RES</v>
      </c>
      <c r="D358" s="208" t="str">
        <f>'Income Eligible Deemed Table'!G678</f>
        <v>Heating RES</v>
      </c>
      <c r="E358" s="208"/>
      <c r="F358" s="208"/>
      <c r="G358" s="208" t="str">
        <f>'Income Eligible Deemed Table'!E677</f>
        <v>HP tune-up / Indoor Coil (Evaporator) Cleaning SF</v>
      </c>
      <c r="H358" s="622" t="str">
        <f>'Income Eligible Deemed Table'!D677</f>
        <v>SFLI</v>
      </c>
      <c r="I358" s="2091">
        <f t="shared" si="208"/>
        <v>180.94</v>
      </c>
      <c r="J358" s="2091">
        <f t="shared" si="209"/>
        <v>0</v>
      </c>
      <c r="K358" s="2113">
        <f>'Income Eligible Deemed Table'!F677</f>
        <v>100.83</v>
      </c>
      <c r="L358" s="2113">
        <f>'Income Eligible Deemed Table'!F678</f>
        <v>80.11</v>
      </c>
      <c r="M358" s="2113"/>
      <c r="N358" s="2113"/>
      <c r="O358" s="2092">
        <f t="shared" si="205"/>
        <v>9.5528000000000002E-2</v>
      </c>
      <c r="P358" s="2092">
        <f t="shared" si="206"/>
        <v>0</v>
      </c>
      <c r="Q358" s="2086">
        <f>'Income Eligible Deemed Table'!I677</f>
        <v>9.5528000000000002E-2</v>
      </c>
      <c r="R358" s="2086">
        <f>'Income Eligible Deemed Table'!I678</f>
        <v>0</v>
      </c>
      <c r="S358" s="2086"/>
      <c r="T358" s="2086"/>
      <c r="U358" s="2087">
        <v>0</v>
      </c>
      <c r="V358" s="2087">
        <v>0</v>
      </c>
      <c r="W358" s="2087">
        <v>0</v>
      </c>
      <c r="X358" s="2121">
        <f>'Income Eligible Deemed Table'!J677</f>
        <v>2</v>
      </c>
      <c r="Y358" s="2121"/>
      <c r="Z358" s="88">
        <f t="shared" si="210"/>
        <v>2</v>
      </c>
      <c r="AA358" s="637">
        <f>'Income Eligible Deemed Table'!BB677</f>
        <v>0.36664321827502205</v>
      </c>
      <c r="AB358" s="2917">
        <f>'Income Eligible Deemed Table'!K677</f>
        <v>63</v>
      </c>
      <c r="AC358" s="2089">
        <f t="shared" si="188"/>
        <v>21.801342851653033</v>
      </c>
      <c r="AD358" s="2089">
        <f t="shared" si="189"/>
        <v>0</v>
      </c>
      <c r="AE358" s="2955">
        <f>'Income Eligible Deemed Table'!BD677</f>
        <v>17.254119287708779</v>
      </c>
      <c r="AF358" s="2956">
        <f>'Income Eligible Deemed Table'!BD678</f>
        <v>4.5472235639442555</v>
      </c>
      <c r="AG358" s="2956"/>
      <c r="AH358" s="2956"/>
      <c r="AI358" s="2240" t="str">
        <f>'Income Eligible Deemed Table'!L677</f>
        <v>per measure</v>
      </c>
      <c r="AM358" s="2057">
        <f t="shared" si="192"/>
        <v>9.4741810000000004E-4</v>
      </c>
      <c r="AN358" s="132">
        <f t="shared" si="207"/>
        <v>9.5528167023000002E-2</v>
      </c>
      <c r="AO358" s="2048">
        <f t="shared" si="186"/>
        <v>1.6702300000004389E-7</v>
      </c>
    </row>
    <row r="359" spans="2:41" x14ac:dyDescent="0.25">
      <c r="B359" s="2240" t="str">
        <f>'Income Eligible Deemed Table'!C679</f>
        <v>403200_2019_12_</v>
      </c>
      <c r="C359" s="208" t="str">
        <f>'Income Eligible Deemed Table'!G679</f>
        <v>Cooling RES</v>
      </c>
      <c r="D359" s="208" t="str">
        <f>'Income Eligible Deemed Table'!G680</f>
        <v>Heating RES</v>
      </c>
      <c r="E359" s="208"/>
      <c r="F359" s="208"/>
      <c r="G359" s="208" t="str">
        <f>'Income Eligible Deemed Table'!E679</f>
        <v>HP tune-up / Indoor Coil (Evaporator) Cleaning MF</v>
      </c>
      <c r="H359" s="622" t="str">
        <f>'Income Eligible Deemed Table'!D679</f>
        <v>MFLI</v>
      </c>
      <c r="I359" s="2091">
        <f t="shared" si="208"/>
        <v>108.12</v>
      </c>
      <c r="J359" s="2091">
        <f t="shared" si="209"/>
        <v>0</v>
      </c>
      <c r="K359" s="2113">
        <f>'Income Eligible Deemed Table'!F679</f>
        <v>60.25</v>
      </c>
      <c r="L359" s="2113">
        <f>'Income Eligible Deemed Table'!F680</f>
        <v>47.87</v>
      </c>
      <c r="M359" s="2113"/>
      <c r="N359" s="2113"/>
      <c r="O359" s="2092">
        <f t="shared" si="205"/>
        <v>5.7082000000000001E-2</v>
      </c>
      <c r="P359" s="2092">
        <f t="shared" si="206"/>
        <v>0</v>
      </c>
      <c r="Q359" s="2086">
        <f>'Income Eligible Deemed Table'!I679</f>
        <v>5.7082000000000001E-2</v>
      </c>
      <c r="R359" s="2086">
        <f>'Income Eligible Deemed Table'!I680</f>
        <v>0</v>
      </c>
      <c r="S359" s="2086"/>
      <c r="T359" s="2086"/>
      <c r="U359" s="2087">
        <v>0</v>
      </c>
      <c r="V359" s="2087">
        <v>0</v>
      </c>
      <c r="W359" s="2087">
        <v>0</v>
      </c>
      <c r="X359" s="2121">
        <f>'Income Eligible Deemed Table'!J679</f>
        <v>2</v>
      </c>
      <c r="Y359" s="2121"/>
      <c r="Z359" s="88">
        <f t="shared" si="210"/>
        <v>2</v>
      </c>
      <c r="AA359" s="637">
        <f>'Income Eligible Deemed Table'!BB679</f>
        <v>0.2190851309322446</v>
      </c>
      <c r="AB359" s="2917">
        <f>'Income Eligible Deemed Table'!K679</f>
        <v>63</v>
      </c>
      <c r="AC359" s="2089">
        <f t="shared" si="188"/>
        <v>13.027242330090996</v>
      </c>
      <c r="AD359" s="2089">
        <f t="shared" si="189"/>
        <v>0</v>
      </c>
      <c r="AE359" s="2955">
        <f>'Income Eligible Deemed Table'!BD679</f>
        <v>10.310033592030685</v>
      </c>
      <c r="AF359" s="2956">
        <f>'Income Eligible Deemed Table'!BD680</f>
        <v>2.7172087380603109</v>
      </c>
      <c r="AG359" s="2956"/>
      <c r="AH359" s="2956"/>
      <c r="AI359" s="2240" t="str">
        <f>'Income Eligible Deemed Table'!L679</f>
        <v>per measure</v>
      </c>
      <c r="AM359" s="2057">
        <f t="shared" si="192"/>
        <v>9.4741810000000004E-4</v>
      </c>
      <c r="AN359" s="132">
        <f t="shared" si="207"/>
        <v>5.7081940524999999E-2</v>
      </c>
      <c r="AO359" s="2048">
        <f t="shared" si="186"/>
        <v>-5.9475000001307787E-8</v>
      </c>
    </row>
    <row r="360" spans="2:41" x14ac:dyDescent="0.25">
      <c r="B360" s="2240" t="str">
        <f>'Income Eligible Deemed Table'!C681</f>
        <v>403201_2019_12_</v>
      </c>
      <c r="C360" s="208" t="str">
        <f>'Income Eligible Deemed Table'!G681</f>
        <v>Cooling RES</v>
      </c>
      <c r="D360" s="208" t="str">
        <f>'Income Eligible Deemed Table'!G682</f>
        <v>Heating RES</v>
      </c>
      <c r="E360" s="208"/>
      <c r="F360" s="208"/>
      <c r="G360" s="208" t="str">
        <f>'Income Eligible Deemed Table'!E681</f>
        <v>HP tune-up / Indoor Coil (Evaporator) Cleaning MF_CompE</v>
      </c>
      <c r="H360" s="622" t="str">
        <f>'Income Eligible Deemed Table'!D681</f>
        <v>MFLIc</v>
      </c>
      <c r="I360" s="2091">
        <f t="shared" si="208"/>
        <v>60.14</v>
      </c>
      <c r="J360" s="2091">
        <f t="shared" si="209"/>
        <v>0</v>
      </c>
      <c r="K360" s="2113">
        <f>'Income Eligible Deemed Table'!F681</f>
        <v>43.82</v>
      </c>
      <c r="L360" s="2113">
        <f>'Income Eligible Deemed Table'!F682</f>
        <v>16.32</v>
      </c>
      <c r="M360" s="2113"/>
      <c r="N360" s="2113"/>
      <c r="O360" s="2092">
        <f t="shared" si="205"/>
        <v>4.1515999999999997E-2</v>
      </c>
      <c r="P360" s="2092">
        <f t="shared" si="206"/>
        <v>0</v>
      </c>
      <c r="Q360" s="2086">
        <f>'Income Eligible Deemed Table'!I681</f>
        <v>4.1515999999999997E-2</v>
      </c>
      <c r="R360" s="2086">
        <f>'Income Eligible Deemed Table'!I682</f>
        <v>0</v>
      </c>
      <c r="S360" s="2086"/>
      <c r="T360" s="2086"/>
      <c r="U360" s="2087">
        <v>0</v>
      </c>
      <c r="V360" s="2087">
        <v>0</v>
      </c>
      <c r="W360" s="2087">
        <v>0</v>
      </c>
      <c r="X360" s="2121">
        <f>'Income Eligible Deemed Table'!J681</f>
        <v>2</v>
      </c>
      <c r="Y360" s="2121"/>
      <c r="Z360" s="88">
        <f t="shared" si="210"/>
        <v>2</v>
      </c>
      <c r="AA360" s="637">
        <f>'Income Eligible Deemed Table'!BB681</f>
        <v>0.14168503866104951</v>
      </c>
      <c r="AB360" s="2917">
        <f>'Income Eligible Deemed Table'!K681</f>
        <v>63</v>
      </c>
      <c r="AC360" s="2089">
        <f t="shared" si="188"/>
        <v>8.424877239873636</v>
      </c>
      <c r="AD360" s="2089">
        <f t="shared" si="189"/>
        <v>0</v>
      </c>
      <c r="AE360" s="2955">
        <f>'Income Eligible Deemed Table'!BD681</f>
        <v>7.4985173776395788</v>
      </c>
      <c r="AF360" s="2956">
        <f>'Income Eligible Deemed Table'!BD682</f>
        <v>0.92635986223405642</v>
      </c>
      <c r="AG360" s="2956"/>
      <c r="AH360" s="2956"/>
      <c r="AI360" s="2240" t="str">
        <f>'Income Eligible Deemed Table'!L681</f>
        <v>per measure</v>
      </c>
      <c r="AM360" s="2057">
        <f t="shared" si="192"/>
        <v>9.4741810000000004E-4</v>
      </c>
      <c r="AN360" s="132">
        <f t="shared" si="207"/>
        <v>4.1515861142000003E-2</v>
      </c>
      <c r="AO360" s="2048">
        <f t="shared" si="186"/>
        <v>-1.3885799999419079E-7</v>
      </c>
    </row>
    <row r="361" spans="2:41" x14ac:dyDescent="0.25">
      <c r="B361" s="2240" t="str">
        <f>'Income Eligible Deemed Table'!C683</f>
        <v>403250_2019_12_</v>
      </c>
      <c r="C361" s="208" t="str">
        <f>'Income Eligible Deemed Table'!G683</f>
        <v>Cooling RES</v>
      </c>
      <c r="D361" s="208" t="str">
        <f>'Income Eligible Deemed Table'!G684</f>
        <v>Heating RES</v>
      </c>
      <c r="E361" s="208"/>
      <c r="F361" s="208"/>
      <c r="G361" s="208" t="str">
        <f>'Income Eligible Deemed Table'!E683</f>
        <v>HP tune-up / Outdoor Coil (Condenser) Cleaning SF</v>
      </c>
      <c r="H361" s="622" t="str">
        <f>'Income Eligible Deemed Table'!D683</f>
        <v>SFLI</v>
      </c>
      <c r="I361" s="2091">
        <f t="shared" si="208"/>
        <v>366.6</v>
      </c>
      <c r="J361" s="2091">
        <f t="shared" si="209"/>
        <v>0</v>
      </c>
      <c r="K361" s="2113">
        <f>'Income Eligible Deemed Table'!F683</f>
        <v>201.65</v>
      </c>
      <c r="L361" s="2113">
        <f>'Income Eligible Deemed Table'!F684</f>
        <v>164.95</v>
      </c>
      <c r="M361" s="2113"/>
      <c r="N361" s="2113"/>
      <c r="O361" s="2092">
        <f t="shared" si="205"/>
        <v>0.19104699999999999</v>
      </c>
      <c r="P361" s="2092">
        <f t="shared" si="206"/>
        <v>0</v>
      </c>
      <c r="Q361" s="2086">
        <f>'Income Eligible Deemed Table'!I683</f>
        <v>0.19104699999999999</v>
      </c>
      <c r="R361" s="2086">
        <f>'Income Eligible Deemed Table'!I684</f>
        <v>0</v>
      </c>
      <c r="S361" s="2086"/>
      <c r="T361" s="2086"/>
      <c r="U361" s="2087">
        <v>0</v>
      </c>
      <c r="V361" s="2087">
        <v>0</v>
      </c>
      <c r="W361" s="2087">
        <v>0</v>
      </c>
      <c r="X361" s="2121">
        <f>'Income Eligible Deemed Table'!J683</f>
        <v>2</v>
      </c>
      <c r="Y361" s="2121"/>
      <c r="Z361" s="88">
        <f t="shared" si="210"/>
        <v>2</v>
      </c>
      <c r="AA361" s="637">
        <f>'Income Eligible Deemed Table'!BB683</f>
        <v>1.4993449285619023</v>
      </c>
      <c r="AB361" s="2917">
        <f>'Income Eligible Deemed Table'!K683</f>
        <v>31</v>
      </c>
      <c r="AC361" s="2089">
        <f t="shared" si="188"/>
        <v>43.869459920168914</v>
      </c>
      <c r="AD361" s="2089">
        <f t="shared" si="189"/>
        <v>0</v>
      </c>
      <c r="AE361" s="2955">
        <f>'Income Eligible Deemed Table'!BD683</f>
        <v>34.506527366522619</v>
      </c>
      <c r="AF361" s="2956">
        <f>'Income Eligible Deemed Table'!BD684</f>
        <v>9.3629325536462975</v>
      </c>
      <c r="AG361" s="2956"/>
      <c r="AH361" s="2956"/>
      <c r="AI361" s="2240" t="str">
        <f>'Income Eligible Deemed Table'!L683</f>
        <v>per measure</v>
      </c>
      <c r="AM361" s="2057">
        <f t="shared" si="192"/>
        <v>9.4741810000000004E-4</v>
      </c>
      <c r="AN361" s="132">
        <f t="shared" si="207"/>
        <v>0.191046859865</v>
      </c>
      <c r="AO361" s="2048">
        <f t="shared" si="186"/>
        <v>-1.4013499999299128E-7</v>
      </c>
    </row>
    <row r="362" spans="2:41" x14ac:dyDescent="0.25">
      <c r="B362" s="2240" t="str">
        <f>'Income Eligible Deemed Table'!C685</f>
        <v>403300_2019_12_</v>
      </c>
      <c r="C362" s="208" t="str">
        <f>'Income Eligible Deemed Table'!G685</f>
        <v>Cooling RES</v>
      </c>
      <c r="D362" s="208" t="str">
        <f>'Income Eligible Deemed Table'!G686</f>
        <v>Heating RES</v>
      </c>
      <c r="E362" s="208"/>
      <c r="F362" s="208"/>
      <c r="G362" s="208" t="str">
        <f>'Income Eligible Deemed Table'!E685</f>
        <v>HP tune-up / Outdoor Coil (Condenser) Cleaning MF</v>
      </c>
      <c r="H362" s="622" t="str">
        <f>'Income Eligible Deemed Table'!D685</f>
        <v>MFLI</v>
      </c>
      <c r="I362" s="2091">
        <f t="shared" si="208"/>
        <v>219.07</v>
      </c>
      <c r="J362" s="2091">
        <f t="shared" si="209"/>
        <v>0</v>
      </c>
      <c r="K362" s="2113">
        <f>'Income Eligible Deemed Table'!F685</f>
        <v>120.5</v>
      </c>
      <c r="L362" s="2113">
        <f>'Income Eligible Deemed Table'!F686</f>
        <v>98.57</v>
      </c>
      <c r="M362" s="2113"/>
      <c r="N362" s="2113"/>
      <c r="O362" s="2092">
        <f t="shared" si="205"/>
        <v>0.114164</v>
      </c>
      <c r="P362" s="2092">
        <f t="shared" si="206"/>
        <v>0</v>
      </c>
      <c r="Q362" s="2086">
        <f>'Income Eligible Deemed Table'!I685</f>
        <v>0.114164</v>
      </c>
      <c r="R362" s="2086">
        <f>'Income Eligible Deemed Table'!I686</f>
        <v>0</v>
      </c>
      <c r="S362" s="2086"/>
      <c r="T362" s="2086"/>
      <c r="U362" s="2087">
        <v>0</v>
      </c>
      <c r="V362" s="2087">
        <v>0</v>
      </c>
      <c r="W362" s="2087">
        <v>0</v>
      </c>
      <c r="X362" s="2121">
        <f>'Income Eligible Deemed Table'!J685</f>
        <v>2</v>
      </c>
      <c r="Y362" s="2121"/>
      <c r="Z362" s="88">
        <f t="shared" si="210"/>
        <v>2</v>
      </c>
      <c r="AA362" s="637">
        <f>'Income Eligible Deemed Table'!BB685</f>
        <v>0.89596521180051769</v>
      </c>
      <c r="AB362" s="2917">
        <f>'Income Eligible Deemed Table'!K685</f>
        <v>31</v>
      </c>
      <c r="AC362" s="2089">
        <f t="shared" si="188"/>
        <v>26.215121817664979</v>
      </c>
      <c r="AD362" s="2089">
        <f t="shared" si="189"/>
        <v>0</v>
      </c>
      <c r="AE362" s="2955">
        <f>'Income Eligible Deemed Table'!BD685</f>
        <v>20.620067184061369</v>
      </c>
      <c r="AF362" s="2956">
        <f>'Income Eligible Deemed Table'!BD686</f>
        <v>5.5950546336036107</v>
      </c>
      <c r="AG362" s="2956"/>
      <c r="AH362" s="2956"/>
      <c r="AI362" s="2240" t="str">
        <f>'Income Eligible Deemed Table'!L685</f>
        <v>per measure</v>
      </c>
      <c r="AM362" s="2057">
        <f t="shared" si="192"/>
        <v>9.4741810000000004E-4</v>
      </c>
      <c r="AN362" s="132">
        <f t="shared" si="207"/>
        <v>0.11416388105</v>
      </c>
      <c r="AO362" s="2048">
        <f t="shared" si="186"/>
        <v>-1.1895000000261557E-7</v>
      </c>
    </row>
    <row r="363" spans="2:41" x14ac:dyDescent="0.25">
      <c r="B363" s="2240" t="str">
        <f>'Income Eligible Deemed Table'!C687</f>
        <v>403301_2019_12_</v>
      </c>
      <c r="C363" s="208" t="str">
        <f>'Income Eligible Deemed Table'!G687</f>
        <v>Cooling RES</v>
      </c>
      <c r="D363" s="208" t="str">
        <f>'Income Eligible Deemed Table'!G688</f>
        <v>Heating RES</v>
      </c>
      <c r="E363" s="208"/>
      <c r="F363" s="208"/>
      <c r="G363" s="208" t="str">
        <f>'Income Eligible Deemed Table'!E687</f>
        <v>HP tune-up / Outdoor Coil (Condenser) Cleaning MF_CompE</v>
      </c>
      <c r="H363" s="622" t="str">
        <f>'Income Eligible Deemed Table'!D687</f>
        <v>MFLIc</v>
      </c>
      <c r="I363" s="2091">
        <f t="shared" si="208"/>
        <v>121.24000000000001</v>
      </c>
      <c r="J363" s="2091">
        <f t="shared" si="209"/>
        <v>0</v>
      </c>
      <c r="K363" s="2113">
        <f>'Income Eligible Deemed Table'!F687</f>
        <v>87.64</v>
      </c>
      <c r="L363" s="2113">
        <f>'Income Eligible Deemed Table'!F688</f>
        <v>33.6</v>
      </c>
      <c r="M363" s="2113"/>
      <c r="N363" s="2113"/>
      <c r="O363" s="2092">
        <f t="shared" si="205"/>
        <v>8.3031999999999995E-2</v>
      </c>
      <c r="P363" s="2092">
        <f t="shared" si="206"/>
        <v>0</v>
      </c>
      <c r="Q363" s="2086">
        <f>'Income Eligible Deemed Table'!I687</f>
        <v>8.3031999999999995E-2</v>
      </c>
      <c r="R363" s="2086">
        <f>'Income Eligible Deemed Table'!I688</f>
        <v>0</v>
      </c>
      <c r="S363" s="2086"/>
      <c r="T363" s="2086"/>
      <c r="U363" s="2087">
        <v>0</v>
      </c>
      <c r="V363" s="2087">
        <v>0</v>
      </c>
      <c r="W363" s="2087">
        <v>0</v>
      </c>
      <c r="X363" s="2121">
        <f>'Income Eligible Deemed Table'!J687</f>
        <v>2</v>
      </c>
      <c r="Y363" s="2121"/>
      <c r="Z363" s="88">
        <f t="shared" si="210"/>
        <v>2</v>
      </c>
      <c r="AA363" s="637">
        <f>'Income Eligible Deemed Table'!BB687</f>
        <v>0.57774351249716316</v>
      </c>
      <c r="AB363" s="2917">
        <f>'Income Eligible Deemed Table'!K687</f>
        <v>31</v>
      </c>
      <c r="AC363" s="2089">
        <f t="shared" si="188"/>
        <v>16.904246236349273</v>
      </c>
      <c r="AD363" s="2089">
        <f t="shared" si="189"/>
        <v>0</v>
      </c>
      <c r="AE363" s="2955">
        <f>'Income Eligible Deemed Table'!BD687</f>
        <v>14.997034755279158</v>
      </c>
      <c r="AF363" s="2956">
        <f>'Income Eligible Deemed Table'!BD688</f>
        <v>1.9072114810701162</v>
      </c>
      <c r="AG363" s="2956"/>
      <c r="AH363" s="2956"/>
      <c r="AI363" s="2240" t="str">
        <f>'Income Eligible Deemed Table'!L687</f>
        <v>per measure</v>
      </c>
      <c r="AM363" s="2057">
        <f t="shared" si="192"/>
        <v>9.4741810000000004E-4</v>
      </c>
      <c r="AN363" s="132">
        <f t="shared" si="207"/>
        <v>8.3031722284000006E-2</v>
      </c>
      <c r="AO363" s="2048">
        <f t="shared" si="186"/>
        <v>-2.7771599998838159E-7</v>
      </c>
    </row>
    <row r="364" spans="2:41" x14ac:dyDescent="0.25">
      <c r="B364" s="2240" t="str">
        <f>'Income Eligible Deemed Table'!C730</f>
        <v>403350_2019_12_</v>
      </c>
      <c r="C364" s="208" t="str">
        <f>'Income Eligible Deemed Table'!G730</f>
        <v>Water heating RES</v>
      </c>
      <c r="D364" s="208"/>
      <c r="E364" s="208"/>
      <c r="F364" s="208"/>
      <c r="G364" s="208" t="str">
        <f>'Income Eligible Deemed Table'!E730</f>
        <v>Low Flow Bathroom Faucet Aerator MFLI</v>
      </c>
      <c r="H364" s="622" t="str">
        <f>'Income Eligible Deemed Table'!D730</f>
        <v>MFLI</v>
      </c>
      <c r="I364" s="2084">
        <f>'Income Eligible Deemed Table'!F730</f>
        <v>37.020000000000003</v>
      </c>
      <c r="J364" s="2084"/>
      <c r="K364" s="2113"/>
      <c r="L364" s="2113"/>
      <c r="M364" s="2113"/>
      <c r="N364" s="2113"/>
      <c r="O364" s="2085">
        <f>'Income Eligible Deemed Table'!J730</f>
        <v>3.2850000000000002E-3</v>
      </c>
      <c r="P364" s="2085"/>
      <c r="Q364" s="2086"/>
      <c r="R364" s="2086"/>
      <c r="S364" s="2086"/>
      <c r="T364" s="2086"/>
      <c r="U364" s="2087">
        <v>0</v>
      </c>
      <c r="V364" s="2087">
        <f t="shared" ref="V364:V379" si="211">O364</f>
        <v>3.2850000000000002E-3</v>
      </c>
      <c r="W364" s="2087">
        <v>0</v>
      </c>
      <c r="X364" s="2121">
        <f>'Income Eligible Deemed Table'!K730</f>
        <v>11</v>
      </c>
      <c r="Y364" s="2121"/>
      <c r="Z364" s="88">
        <f t="shared" si="210"/>
        <v>11</v>
      </c>
      <c r="AA364" s="637">
        <f>'Income Eligible Deemed Table'!BB730</f>
        <v>4.8410687977914924</v>
      </c>
      <c r="AB364" s="2917">
        <f>'Income Eligible Deemed Table'!L730</f>
        <v>3</v>
      </c>
      <c r="AC364" s="2089">
        <f t="shared" si="188"/>
        <v>13.707603957880581</v>
      </c>
      <c r="AD364" s="2089">
        <f t="shared" si="189"/>
        <v>0</v>
      </c>
      <c r="AE364" s="2955">
        <f>'Income Eligible Deemed Table'!BD730</f>
        <v>13.707603957880581</v>
      </c>
      <c r="AF364" s="2956"/>
      <c r="AG364" s="2956"/>
      <c r="AH364" s="2956"/>
      <c r="AI364" s="2261" t="str">
        <f>'Income Eligible Deemed Table'!M730</f>
        <v>per measure</v>
      </c>
      <c r="AM364" s="2057">
        <f t="shared" si="192"/>
        <v>8.8731800000000003E-5</v>
      </c>
      <c r="AN364">
        <f t="shared" ref="AN364:AN379" si="212">AM364*I364</f>
        <v>3.2848512360000004E-3</v>
      </c>
      <c r="AO364" s="2048">
        <f t="shared" si="186"/>
        <v>-1.4876399999971118E-7</v>
      </c>
    </row>
    <row r="365" spans="2:41" s="132" customFormat="1" x14ac:dyDescent="0.25">
      <c r="B365" s="2307" t="str">
        <f>'Income Eligible Deemed Table'!C731</f>
        <v>403351_2020_12_</v>
      </c>
      <c r="C365" s="2305" t="str">
        <f>'Income Eligible Deemed Table'!G731</f>
        <v>Water heating RES</v>
      </c>
      <c r="D365" s="2305"/>
      <c r="E365" s="2305"/>
      <c r="F365" s="2305"/>
      <c r="G365" s="2305" t="str">
        <f>'Income Eligible Deemed Table'!E731</f>
        <v>Low Flow Bathroom Faucet Aerator SFLI</v>
      </c>
      <c r="H365" s="2322" t="str">
        <f>'Income Eligible Deemed Table'!D731</f>
        <v>SFLI</v>
      </c>
      <c r="I365" s="2320">
        <f>'Income Eligible Deemed Table'!F731</f>
        <v>37.020000000000003</v>
      </c>
      <c r="J365" s="2320"/>
      <c r="K365" s="2310"/>
      <c r="L365" s="2310"/>
      <c r="M365" s="2310"/>
      <c r="N365" s="2310"/>
      <c r="O365" s="2321">
        <f>'Income Eligible Deemed Table'!J731</f>
        <v>3.2850000000000002E-3</v>
      </c>
      <c r="P365" s="2321"/>
      <c r="Q365" s="2323"/>
      <c r="R365" s="2323"/>
      <c r="S365" s="2323"/>
      <c r="T365" s="2323"/>
      <c r="U365" s="2273">
        <v>0</v>
      </c>
      <c r="V365" s="2273">
        <f t="shared" ref="V365" si="213">O365</f>
        <v>3.2850000000000002E-3</v>
      </c>
      <c r="W365" s="2273">
        <v>0</v>
      </c>
      <c r="X365" s="2299">
        <f>'Income Eligible Deemed Table'!K731</f>
        <v>11</v>
      </c>
      <c r="Y365" s="2299"/>
      <c r="Z365" s="2299">
        <f t="shared" ref="Z365" si="214">Y365+X365</f>
        <v>11</v>
      </c>
      <c r="AA365" s="2298">
        <f>'Income Eligible Deemed Table'!BB731</f>
        <v>0</v>
      </c>
      <c r="AB365" s="2919">
        <f>'Income Eligible Deemed Table'!L731</f>
        <v>3</v>
      </c>
      <c r="AC365" s="2928">
        <f t="shared" ref="AC365" si="215">AE365+AF365</f>
        <v>0</v>
      </c>
      <c r="AD365" s="2928">
        <f t="shared" ref="AD365" si="216">AG365+AH365</f>
        <v>0</v>
      </c>
      <c r="AE365" s="2957">
        <f>'Income Eligible Deemed Table'!BD731</f>
        <v>0</v>
      </c>
      <c r="AF365" s="2334"/>
      <c r="AG365" s="2334"/>
      <c r="AH365" s="2334"/>
      <c r="AI365" s="2951" t="str">
        <f>'Income Eligible Deemed Table'!M731</f>
        <v>per measure</v>
      </c>
      <c r="AM365" s="2929">
        <f t="shared" si="192"/>
        <v>8.8731800000000003E-5</v>
      </c>
      <c r="AN365" s="132">
        <f t="shared" ref="AN365" si="217">AM365*I365</f>
        <v>3.2848512360000004E-3</v>
      </c>
      <c r="AO365" s="2933">
        <f t="shared" ref="AO365" si="218">AN365-O365</f>
        <v>-1.4876399999971118E-7</v>
      </c>
    </row>
    <row r="366" spans="2:41" x14ac:dyDescent="0.25">
      <c r="B366" s="2240" t="str">
        <f>'Income Eligible Deemed Table'!C732</f>
        <v>403400_2019_12_</v>
      </c>
      <c r="C366" s="208" t="str">
        <f>'Income Eligible Deemed Table'!G732</f>
        <v>Water heating RES</v>
      </c>
      <c r="D366" s="208"/>
      <c r="E366" s="208"/>
      <c r="F366" s="208"/>
      <c r="G366" s="208" t="str">
        <f>'Income Eligible Deemed Table'!E732</f>
        <v>Low Flow Bathroom Faucet Aerator MFLI DI</v>
      </c>
      <c r="H366" s="622" t="str">
        <f>'Income Eligible Deemed Table'!D732</f>
        <v>MFLI DI</v>
      </c>
      <c r="I366" s="2084">
        <f>'Income Eligible Deemed Table'!F732</f>
        <v>35.17</v>
      </c>
      <c r="J366" s="2084"/>
      <c r="K366" s="2113"/>
      <c r="L366" s="2113"/>
      <c r="M366" s="2113"/>
      <c r="N366" s="2113"/>
      <c r="O366" s="2085">
        <f>'Income Eligible Deemed Table'!J732</f>
        <v>3.1210000000000001E-3</v>
      </c>
      <c r="P366" s="2085"/>
      <c r="Q366" s="2086"/>
      <c r="R366" s="2086"/>
      <c r="S366" s="2086"/>
      <c r="T366" s="2086"/>
      <c r="U366" s="2087">
        <v>0</v>
      </c>
      <c r="V366" s="2087">
        <f t="shared" si="211"/>
        <v>3.1210000000000001E-3</v>
      </c>
      <c r="W366" s="2087">
        <v>0</v>
      </c>
      <c r="X366" s="2121">
        <f>'Income Eligible Deemed Table'!K732</f>
        <v>11</v>
      </c>
      <c r="Y366" s="2121"/>
      <c r="Z366" s="88">
        <f t="shared" ref="Z366:Z380" si="219">Y366+X366</f>
        <v>11</v>
      </c>
      <c r="AA366" s="637">
        <f>'Income Eligible Deemed Table'!BB732</f>
        <v>1.217779203948774</v>
      </c>
      <c r="AB366" s="2917">
        <f>'Income Eligible Deemed Table'!L732</f>
        <v>11.33</v>
      </c>
      <c r="AC366" s="2089">
        <f t="shared" si="188"/>
        <v>13.022594035620205</v>
      </c>
      <c r="AD366" s="2089">
        <f t="shared" si="189"/>
        <v>0</v>
      </c>
      <c r="AE366" s="2955">
        <f>'Income Eligible Deemed Table'!BD732</f>
        <v>13.022594035620205</v>
      </c>
      <c r="AF366" s="2956"/>
      <c r="AG366" s="2956"/>
      <c r="AH366" s="2956"/>
      <c r="AI366" s="2261" t="str">
        <f>'Income Eligible Deemed Table'!M732</f>
        <v>per measure</v>
      </c>
      <c r="AM366" s="2057">
        <f t="shared" si="192"/>
        <v>8.8731800000000003E-5</v>
      </c>
      <c r="AN366">
        <f t="shared" si="212"/>
        <v>3.1206974060000001E-3</v>
      </c>
      <c r="AO366" s="2048">
        <f t="shared" si="186"/>
        <v>-3.0259399999999631E-7</v>
      </c>
    </row>
    <row r="367" spans="2:41" x14ac:dyDescent="0.25">
      <c r="B367" s="2240" t="str">
        <f>'Income Eligible Deemed Table'!C733</f>
        <v>403450_2019_12_</v>
      </c>
      <c r="C367" s="208" t="str">
        <f>'Income Eligible Deemed Table'!G733</f>
        <v>Water heating RES</v>
      </c>
      <c r="D367" s="208"/>
      <c r="E367" s="208"/>
      <c r="F367" s="208"/>
      <c r="G367" s="208" t="str">
        <f>'Income Eligible Deemed Table'!E733</f>
        <v>Low Flow Bathroom Faucet Aerator SFLI DI</v>
      </c>
      <c r="H367" s="622" t="str">
        <f>'Income Eligible Deemed Table'!D733</f>
        <v>SFLI DI</v>
      </c>
      <c r="I367" s="2084">
        <f>'Income Eligible Deemed Table'!F733</f>
        <v>35.17</v>
      </c>
      <c r="J367" s="2084"/>
      <c r="K367" s="2113"/>
      <c r="L367" s="2113"/>
      <c r="M367" s="2113"/>
      <c r="N367" s="2113"/>
      <c r="O367" s="2085">
        <f>'Income Eligible Deemed Table'!J733</f>
        <v>3.1210000000000001E-3</v>
      </c>
      <c r="P367" s="2085"/>
      <c r="Q367" s="2086"/>
      <c r="R367" s="2086"/>
      <c r="S367" s="2086"/>
      <c r="T367" s="2086"/>
      <c r="U367" s="2087">
        <v>0</v>
      </c>
      <c r="V367" s="2087">
        <f t="shared" si="211"/>
        <v>3.1210000000000001E-3</v>
      </c>
      <c r="W367" s="2087">
        <v>0</v>
      </c>
      <c r="X367" s="2121">
        <f>'Income Eligible Deemed Table'!K733</f>
        <v>11</v>
      </c>
      <c r="Y367" s="2121"/>
      <c r="Z367" s="88">
        <f t="shared" si="219"/>
        <v>11</v>
      </c>
      <c r="AA367" s="637">
        <f>'Income Eligible Deemed Table'!BB733</f>
        <v>1.217779203948774</v>
      </c>
      <c r="AB367" s="2917">
        <f>'Income Eligible Deemed Table'!L733</f>
        <v>11.33</v>
      </c>
      <c r="AC367" s="2089">
        <f t="shared" si="188"/>
        <v>13.022594035620205</v>
      </c>
      <c r="AD367" s="2089">
        <f t="shared" si="189"/>
        <v>0</v>
      </c>
      <c r="AE367" s="2955">
        <f>'Income Eligible Deemed Table'!BD733</f>
        <v>13.022594035620205</v>
      </c>
      <c r="AF367" s="2956"/>
      <c r="AG367" s="2956"/>
      <c r="AH367" s="2956"/>
      <c r="AI367" s="2261" t="str">
        <f>'Income Eligible Deemed Table'!M733</f>
        <v>per measure</v>
      </c>
      <c r="AM367" s="2057">
        <f t="shared" si="192"/>
        <v>8.8731800000000003E-5</v>
      </c>
      <c r="AN367">
        <f t="shared" si="212"/>
        <v>3.1206974060000001E-3</v>
      </c>
      <c r="AO367" s="2048">
        <f t="shared" si="186"/>
        <v>-3.0259399999999631E-7</v>
      </c>
    </row>
    <row r="368" spans="2:41" s="132" customFormat="1" x14ac:dyDescent="0.25">
      <c r="B368" s="2307" t="str">
        <f>'Income Eligible Deemed Table'!C768</f>
        <v>403470_2020_12_</v>
      </c>
      <c r="C368" s="2305" t="str">
        <f>'Income Eligible Deemed Table'!G768</f>
        <v>Water Heating RES</v>
      </c>
      <c r="D368" s="2305"/>
      <c r="E368" s="2305"/>
      <c r="F368" s="2305"/>
      <c r="G368" s="2305" t="str">
        <f>'Income Eligible Deemed Table'!E768</f>
        <v>Low Flow Kitchen Faucet Aerator MFLI</v>
      </c>
      <c r="H368" s="2322" t="str">
        <f>'Income Eligible Deemed Table'!D768</f>
        <v>MFLI</v>
      </c>
      <c r="I368" s="2320">
        <f>'Income Eligible Deemed Table'!F768</f>
        <v>116.88</v>
      </c>
      <c r="J368" s="2320"/>
      <c r="K368" s="2310"/>
      <c r="L368" s="2310"/>
      <c r="M368" s="2310"/>
      <c r="N368" s="2310"/>
      <c r="O368" s="2321">
        <f>'Income Eligible Deemed Table'!J768</f>
        <v>1.0371E-2</v>
      </c>
      <c r="P368" s="2321"/>
      <c r="Q368" s="2323"/>
      <c r="R368" s="2323"/>
      <c r="S368" s="2323"/>
      <c r="T368" s="2323"/>
      <c r="U368" s="2273">
        <v>0</v>
      </c>
      <c r="V368" s="2273">
        <f t="shared" ref="V368" si="220">O368</f>
        <v>1.0371E-2</v>
      </c>
      <c r="W368" s="2273">
        <v>0</v>
      </c>
      <c r="X368" s="2299">
        <f>'Income Eligible Deemed Table'!K768</f>
        <v>11</v>
      </c>
      <c r="Y368" s="2299"/>
      <c r="Z368" s="2299">
        <f t="shared" ref="Z368" si="221">Y368+X368</f>
        <v>11</v>
      </c>
      <c r="AA368" s="2298">
        <f>'Income Eligible Deemed Table'!BB768</f>
        <v>15.284282039056441</v>
      </c>
      <c r="AB368" s="2919">
        <f>'Income Eligible Deemed Table'!L768</f>
        <v>3</v>
      </c>
      <c r="AC368" s="2928">
        <f t="shared" ref="AC368" si="222">AE368+AF368</f>
        <v>43.277816061509505</v>
      </c>
      <c r="AD368" s="2928">
        <f t="shared" ref="AD368" si="223">AG368+AH368</f>
        <v>0</v>
      </c>
      <c r="AE368" s="2957">
        <f>'Income Eligible Deemed Table'!BD768</f>
        <v>43.277816061509505</v>
      </c>
      <c r="AF368" s="2334"/>
      <c r="AG368" s="2334"/>
      <c r="AH368" s="2334"/>
      <c r="AI368" s="2951" t="str">
        <f>'Income Eligible Deemed Table'!M768</f>
        <v>per measure</v>
      </c>
      <c r="AM368" s="2929">
        <f t="shared" si="192"/>
        <v>8.8731800000000003E-5</v>
      </c>
      <c r="AN368" s="132">
        <f t="shared" ref="AN368" si="224">AM368*I368</f>
        <v>1.0370972783999999E-2</v>
      </c>
      <c r="AO368" s="2933">
        <f t="shared" ref="AO368" si="225">AN368-O368</f>
        <v>-2.721600000053781E-8</v>
      </c>
    </row>
    <row r="369" spans="2:41" s="132" customFormat="1" x14ac:dyDescent="0.25">
      <c r="B369" s="2307" t="str">
        <f>'Income Eligible Deemed Table'!C769</f>
        <v>403471_2020_12_</v>
      </c>
      <c r="C369" s="2305" t="str">
        <f>'Income Eligible Deemed Table'!G769</f>
        <v>Water Heating RES</v>
      </c>
      <c r="D369" s="2305"/>
      <c r="E369" s="2305"/>
      <c r="F369" s="2305"/>
      <c r="G369" s="2305" t="str">
        <f>'Income Eligible Deemed Table'!E769</f>
        <v>Low Flow Kitchen Faucet Aerator SFLI</v>
      </c>
      <c r="H369" s="2322" t="str">
        <f>'Income Eligible Deemed Table'!D769</f>
        <v>SFLI</v>
      </c>
      <c r="I369" s="2320">
        <f>'Income Eligible Deemed Table'!F769</f>
        <v>116.88</v>
      </c>
      <c r="J369" s="2320"/>
      <c r="K369" s="2310"/>
      <c r="L369" s="2310"/>
      <c r="M369" s="2310"/>
      <c r="N369" s="2310"/>
      <c r="O369" s="2321">
        <f>'Income Eligible Deemed Table'!J769</f>
        <v>1.0371E-2</v>
      </c>
      <c r="P369" s="2321"/>
      <c r="Q369" s="2323"/>
      <c r="R369" s="2323"/>
      <c r="S369" s="2323"/>
      <c r="T369" s="2323"/>
      <c r="U369" s="2273">
        <v>0</v>
      </c>
      <c r="V369" s="2273">
        <f t="shared" ref="V369" si="226">O369</f>
        <v>1.0371E-2</v>
      </c>
      <c r="W369" s="2273">
        <v>0</v>
      </c>
      <c r="X369" s="2299">
        <f>'Income Eligible Deemed Table'!K769</f>
        <v>11</v>
      </c>
      <c r="Y369" s="2299"/>
      <c r="Z369" s="2299">
        <f t="shared" ref="Z369" si="227">Y369+X369</f>
        <v>11</v>
      </c>
      <c r="AA369" s="2298">
        <f>'Income Eligible Deemed Table'!BB769</f>
        <v>15.284282039056441</v>
      </c>
      <c r="AB369" s="2919">
        <f>'Income Eligible Deemed Table'!L769</f>
        <v>3</v>
      </c>
      <c r="AC369" s="2928">
        <f t="shared" ref="AC369" si="228">AE369+AF369</f>
        <v>43.277816061509505</v>
      </c>
      <c r="AD369" s="2928">
        <f t="shared" ref="AD369" si="229">AG369+AH369</f>
        <v>0</v>
      </c>
      <c r="AE369" s="2957">
        <f>'Income Eligible Deemed Table'!BD769</f>
        <v>43.277816061509505</v>
      </c>
      <c r="AF369" s="2334"/>
      <c r="AG369" s="2334"/>
      <c r="AH369" s="2334"/>
      <c r="AI369" s="2951" t="str">
        <f>'Income Eligible Deemed Table'!M769</f>
        <v>per measure</v>
      </c>
      <c r="AM369" s="2929">
        <f t="shared" si="192"/>
        <v>8.8731800000000003E-5</v>
      </c>
      <c r="AN369" s="132">
        <f t="shared" ref="AN369" si="230">AM369*I369</f>
        <v>1.0370972783999999E-2</v>
      </c>
      <c r="AO369" s="2933">
        <f t="shared" ref="AO369" si="231">AN369-O369</f>
        <v>-2.721600000053781E-8</v>
      </c>
    </row>
    <row r="370" spans="2:41" s="132" customFormat="1" x14ac:dyDescent="0.25">
      <c r="B370" s="2307" t="str">
        <f>'Income Eligible Deemed Table'!C770</f>
        <v>403480_2020_12_</v>
      </c>
      <c r="C370" s="2305" t="str">
        <f>'Income Eligible Deemed Table'!G770</f>
        <v>Water Heating RES</v>
      </c>
      <c r="D370" s="2305"/>
      <c r="E370" s="2305"/>
      <c r="F370" s="2305"/>
      <c r="G370" s="2305" t="str">
        <f>'Income Eligible Deemed Table'!E770</f>
        <v>Low Flow Kitchen Faucet Aerator MFLI DI</v>
      </c>
      <c r="H370" s="2322" t="str">
        <f>'Income Eligible Deemed Table'!D770</f>
        <v>MFLI DI</v>
      </c>
      <c r="I370" s="2320">
        <f>'Income Eligible Deemed Table'!F770</f>
        <v>111.03</v>
      </c>
      <c r="J370" s="2320"/>
      <c r="K370" s="2310"/>
      <c r="L370" s="2310"/>
      <c r="M370" s="2310"/>
      <c r="N370" s="2310"/>
      <c r="O370" s="2321">
        <f>'Income Eligible Deemed Table'!J770</f>
        <v>9.8519999999999996E-3</v>
      </c>
      <c r="P370" s="2321"/>
      <c r="Q370" s="2323"/>
      <c r="R370" s="2323"/>
      <c r="S370" s="2323"/>
      <c r="T370" s="2323"/>
      <c r="U370" s="2273">
        <v>0</v>
      </c>
      <c r="V370" s="2273">
        <f t="shared" ref="V370:V371" si="232">O370</f>
        <v>9.8519999999999996E-3</v>
      </c>
      <c r="W370" s="2273">
        <v>0</v>
      </c>
      <c r="X370" s="2299">
        <f>'Income Eligible Deemed Table'!K770</f>
        <v>11</v>
      </c>
      <c r="Y370" s="2299"/>
      <c r="Z370" s="2299">
        <f t="shared" ref="Z370:Z371" si="233">Y370+X370</f>
        <v>11</v>
      </c>
      <c r="AA370" s="2298">
        <f>'Income Eligible Deemed Table'!BB770</f>
        <v>3.8444704297535508</v>
      </c>
      <c r="AB370" s="2919">
        <f>'Income Eligible Deemed Table'!L770</f>
        <v>11.33</v>
      </c>
      <c r="AC370" s="2928">
        <f t="shared" ref="AC370:AC371" si="234">AE370+AF370</f>
        <v>41.111703604632112</v>
      </c>
      <c r="AD370" s="2928">
        <f t="shared" ref="AD370:AD371" si="235">AG370+AH370</f>
        <v>0</v>
      </c>
      <c r="AE370" s="2957">
        <f>'Income Eligible Deemed Table'!BD770</f>
        <v>41.111703604632112</v>
      </c>
      <c r="AF370" s="2334"/>
      <c r="AG370" s="2334"/>
      <c r="AH370" s="2334"/>
      <c r="AI370" s="2951" t="str">
        <f>'Income Eligible Deemed Table'!M770</f>
        <v>per measure</v>
      </c>
      <c r="AM370" s="2929">
        <f t="shared" ref="AM370:AM371" si="236">VLOOKUP(C370,$AS$10:$AT$32,2,FALSE)</f>
        <v>8.8731800000000003E-5</v>
      </c>
      <c r="AN370" s="132">
        <f t="shared" ref="AN370:AN371" si="237">AM370*I370</f>
        <v>9.8518917540000011E-3</v>
      </c>
      <c r="AO370" s="2933">
        <f t="shared" ref="AO370:AO371" si="238">AN370-O370</f>
        <v>-1.0824599999854911E-7</v>
      </c>
    </row>
    <row r="371" spans="2:41" s="132" customFormat="1" x14ac:dyDescent="0.25">
      <c r="B371" s="2307" t="str">
        <f>'Income Eligible Deemed Table'!C771</f>
        <v>403481_2020_12_</v>
      </c>
      <c r="C371" s="2305" t="str">
        <f>'Income Eligible Deemed Table'!G771</f>
        <v>Water Heating RES</v>
      </c>
      <c r="D371" s="2305"/>
      <c r="E371" s="2305"/>
      <c r="F371" s="2305"/>
      <c r="G371" s="2305" t="str">
        <f>'Income Eligible Deemed Table'!E771</f>
        <v>Low Flow Kitchen Faucet Aerator SFLI DI</v>
      </c>
      <c r="H371" s="2322" t="str">
        <f>'Income Eligible Deemed Table'!D771</f>
        <v>SFLI DI</v>
      </c>
      <c r="I371" s="2320">
        <f>'Income Eligible Deemed Table'!F771</f>
        <v>111.03</v>
      </c>
      <c r="J371" s="2320"/>
      <c r="K371" s="2310"/>
      <c r="L371" s="2310"/>
      <c r="M371" s="2310"/>
      <c r="N371" s="2310"/>
      <c r="O371" s="2321">
        <f>'Income Eligible Deemed Table'!J771</f>
        <v>9.8519999999999996E-3</v>
      </c>
      <c r="P371" s="2321"/>
      <c r="Q371" s="2323"/>
      <c r="R371" s="2323"/>
      <c r="S371" s="2323"/>
      <c r="T371" s="2323"/>
      <c r="U371" s="2273">
        <v>0</v>
      </c>
      <c r="V371" s="2273">
        <f t="shared" si="232"/>
        <v>9.8519999999999996E-3</v>
      </c>
      <c r="W371" s="2273">
        <v>0</v>
      </c>
      <c r="X371" s="2299">
        <f>'Income Eligible Deemed Table'!K771</f>
        <v>11</v>
      </c>
      <c r="Y371" s="2299"/>
      <c r="Z371" s="2299">
        <f t="shared" si="233"/>
        <v>11</v>
      </c>
      <c r="AA371" s="2298">
        <f>'Income Eligible Deemed Table'!BB771</f>
        <v>3.8444704297535508</v>
      </c>
      <c r="AB371" s="2919">
        <f>'Income Eligible Deemed Table'!L771</f>
        <v>11.33</v>
      </c>
      <c r="AC371" s="2928">
        <f t="shared" si="234"/>
        <v>41.111703604632112</v>
      </c>
      <c r="AD371" s="2928">
        <f t="shared" si="235"/>
        <v>0</v>
      </c>
      <c r="AE371" s="2957">
        <f>'Income Eligible Deemed Table'!BD771</f>
        <v>41.111703604632112</v>
      </c>
      <c r="AF371" s="2334"/>
      <c r="AG371" s="2334"/>
      <c r="AH371" s="2334"/>
      <c r="AI371" s="2951" t="str">
        <f>'Income Eligible Deemed Table'!M771</f>
        <v>per measure</v>
      </c>
      <c r="AM371" s="2929">
        <f t="shared" si="236"/>
        <v>8.8731800000000003E-5</v>
      </c>
      <c r="AN371" s="132">
        <f t="shared" si="237"/>
        <v>9.8518917540000011E-3</v>
      </c>
      <c r="AO371" s="2933">
        <f t="shared" si="238"/>
        <v>-1.0824599999854911E-7</v>
      </c>
    </row>
    <row r="372" spans="2:41" x14ac:dyDescent="0.25">
      <c r="B372" s="2240" t="str">
        <f>'Income Eligible Deemed Table'!C807</f>
        <v>403500_2019_12_</v>
      </c>
      <c r="C372" s="208" t="str">
        <f>'Income Eligible Deemed Table'!G807</f>
        <v>Water heating RES</v>
      </c>
      <c r="D372" s="208"/>
      <c r="E372" s="208"/>
      <c r="F372" s="208"/>
      <c r="G372" s="208" t="str">
        <f>'Income Eligible Deemed Table'!E807</f>
        <v>Low Flow Showerhead MFLI</v>
      </c>
      <c r="H372" s="622" t="str">
        <f>'Income Eligible Deemed Table'!D807</f>
        <v>MFLI</v>
      </c>
      <c r="I372" s="2084">
        <f>'Income Eligible Deemed Table'!F807</f>
        <v>220.17</v>
      </c>
      <c r="J372" s="2084"/>
      <c r="K372" s="2113"/>
      <c r="L372" s="2113"/>
      <c r="M372" s="2113"/>
      <c r="N372" s="2113"/>
      <c r="O372" s="2085">
        <f>'Income Eligible Deemed Table'!J807</f>
        <v>1.9536000000000001E-2</v>
      </c>
      <c r="P372" s="2085"/>
      <c r="Q372" s="2086"/>
      <c r="R372" s="2086"/>
      <c r="S372" s="2086"/>
      <c r="T372" s="2086"/>
      <c r="U372" s="2087">
        <v>0</v>
      </c>
      <c r="V372" s="2087">
        <f t="shared" si="211"/>
        <v>1.9536000000000001E-2</v>
      </c>
      <c r="W372" s="2087">
        <v>0</v>
      </c>
      <c r="X372" s="2121">
        <f>'Income Eligible Deemed Table'!K807</f>
        <v>10</v>
      </c>
      <c r="Y372" s="2121"/>
      <c r="Z372" s="88">
        <f t="shared" si="219"/>
        <v>10</v>
      </c>
      <c r="AA372" s="637">
        <f>'Income Eligible Deemed Table'!BB807</f>
        <v>11.23966827099502</v>
      </c>
      <c r="AB372" s="2917">
        <f>'Income Eligible Deemed Table'!L807</f>
        <v>7</v>
      </c>
      <c r="AC372" s="2089">
        <f t="shared" si="188"/>
        <v>74.259252380335198</v>
      </c>
      <c r="AD372" s="2089">
        <f t="shared" si="189"/>
        <v>0</v>
      </c>
      <c r="AE372" s="2955">
        <f>'Income Eligible Deemed Table'!BD807</f>
        <v>74.259252380335198</v>
      </c>
      <c r="AF372" s="2956"/>
      <c r="AG372" s="2956"/>
      <c r="AH372" s="2956"/>
      <c r="AI372" s="2261" t="str">
        <f>'Income Eligible Deemed Table'!M807</f>
        <v>per measure</v>
      </c>
      <c r="AM372" s="2057">
        <f t="shared" ref="AM372:AM403" si="239">VLOOKUP(C372,$AS$10:$AT$32,2,FALSE)</f>
        <v>8.8731800000000003E-5</v>
      </c>
      <c r="AN372">
        <f t="shared" si="212"/>
        <v>1.9536080405999998E-2</v>
      </c>
      <c r="AO372" s="2048">
        <f t="shared" si="186"/>
        <v>8.0405999997035238E-8</v>
      </c>
    </row>
    <row r="373" spans="2:41" x14ac:dyDescent="0.25">
      <c r="B373" s="2240" t="str">
        <f>'Income Eligible Deemed Table'!C808</f>
        <v>403550_2019_12_</v>
      </c>
      <c r="C373" s="208" t="str">
        <f>'Income Eligible Deemed Table'!G808</f>
        <v>Water heating RES</v>
      </c>
      <c r="D373" s="208"/>
      <c r="E373" s="208"/>
      <c r="F373" s="208"/>
      <c r="G373" s="208" t="str">
        <f>'Income Eligible Deemed Table'!E808</f>
        <v>Low Flow Showerhead MFLI DI</v>
      </c>
      <c r="H373" s="622" t="str">
        <f>'Income Eligible Deemed Table'!D808</f>
        <v>MFLI DI</v>
      </c>
      <c r="I373" s="2084">
        <f>'Income Eligible Deemed Table'!F808</f>
        <v>232.35</v>
      </c>
      <c r="J373" s="2084"/>
      <c r="K373" s="2113"/>
      <c r="L373" s="2113"/>
      <c r="M373" s="2113"/>
      <c r="N373" s="2113"/>
      <c r="O373" s="2085">
        <f>'Income Eligible Deemed Table'!J808</f>
        <v>2.0617E-2</v>
      </c>
      <c r="P373" s="2085"/>
      <c r="Q373" s="2086"/>
      <c r="R373" s="2086"/>
      <c r="S373" s="2086"/>
      <c r="T373" s="2086"/>
      <c r="U373" s="2087">
        <v>0</v>
      </c>
      <c r="V373" s="2087">
        <f t="shared" si="211"/>
        <v>2.0617E-2</v>
      </c>
      <c r="W373" s="2087">
        <v>0</v>
      </c>
      <c r="X373" s="2121">
        <f>'Income Eligible Deemed Table'!K808</f>
        <v>10</v>
      </c>
      <c r="Y373" s="2121"/>
      <c r="Z373" s="88">
        <f t="shared" si="219"/>
        <v>10</v>
      </c>
      <c r="AA373" s="637">
        <f>'Income Eligible Deemed Table'!BB808</f>
        <v>6.3967794249477388</v>
      </c>
      <c r="AB373" s="2917">
        <f>'Income Eligible Deemed Table'!L808</f>
        <v>12.98</v>
      </c>
      <c r="AC373" s="2089">
        <f t="shared" si="188"/>
        <v>78.367340194262994</v>
      </c>
      <c r="AD373" s="2089">
        <f t="shared" si="189"/>
        <v>0</v>
      </c>
      <c r="AE373" s="2955">
        <f>'Income Eligible Deemed Table'!BD808</f>
        <v>78.367340194262994</v>
      </c>
      <c r="AF373" s="2956"/>
      <c r="AG373" s="2956"/>
      <c r="AH373" s="2956"/>
      <c r="AI373" s="2261" t="str">
        <f>'Income Eligible Deemed Table'!M808</f>
        <v>per measure</v>
      </c>
      <c r="AM373" s="2057">
        <f t="shared" si="239"/>
        <v>8.8731800000000003E-5</v>
      </c>
      <c r="AN373">
        <f t="shared" si="212"/>
        <v>2.0616833729999999E-2</v>
      </c>
      <c r="AO373" s="2048">
        <f t="shared" si="186"/>
        <v>-1.6627000000088432E-7</v>
      </c>
    </row>
    <row r="374" spans="2:41" x14ac:dyDescent="0.25">
      <c r="B374" s="2240" t="str">
        <f>'Income Eligible Deemed Table'!C809</f>
        <v>403551_2019_12_</v>
      </c>
      <c r="C374" s="208" t="str">
        <f>'Income Eligible Deemed Table'!G809</f>
        <v>Water heating RES</v>
      </c>
      <c r="D374" s="208"/>
      <c r="E374" s="208"/>
      <c r="F374" s="208"/>
      <c r="G374" s="208" t="str">
        <f>'Income Eligible Deemed Table'!E809</f>
        <v>Low Flow Handheld Showerhead MFLI DI</v>
      </c>
      <c r="H374" s="622" t="str">
        <f>'Income Eligible Deemed Table'!D809</f>
        <v>MFLI DI</v>
      </c>
      <c r="I374" s="2084">
        <f>'Income Eligible Deemed Table'!F809</f>
        <v>232.35</v>
      </c>
      <c r="J374" s="2084"/>
      <c r="K374" s="2113"/>
      <c r="L374" s="2113"/>
      <c r="M374" s="2113"/>
      <c r="N374" s="2113"/>
      <c r="O374" s="2085">
        <f>'Income Eligible Deemed Table'!J809</f>
        <v>2.0617E-2</v>
      </c>
      <c r="P374" s="2085"/>
      <c r="Q374" s="2086"/>
      <c r="R374" s="2086"/>
      <c r="S374" s="2086"/>
      <c r="T374" s="2086"/>
      <c r="U374" s="2087">
        <v>0</v>
      </c>
      <c r="V374" s="2087">
        <f t="shared" si="211"/>
        <v>2.0617E-2</v>
      </c>
      <c r="W374" s="2087">
        <v>0</v>
      </c>
      <c r="X374" s="2121">
        <f>'Income Eligible Deemed Table'!K809</f>
        <v>10</v>
      </c>
      <c r="Y374" s="2121"/>
      <c r="Z374" s="88">
        <f t="shared" si="219"/>
        <v>10</v>
      </c>
      <c r="AA374" s="637">
        <f>'Income Eligible Deemed Table'!BB809</f>
        <v>6.6583959050378221</v>
      </c>
      <c r="AB374" s="2917">
        <f>'Income Eligible Deemed Table'!L809</f>
        <v>12.47</v>
      </c>
      <c r="AC374" s="2089">
        <f t="shared" si="188"/>
        <v>78.367340194262994</v>
      </c>
      <c r="AD374" s="2089">
        <f t="shared" si="189"/>
        <v>0</v>
      </c>
      <c r="AE374" s="2955">
        <f>'Income Eligible Deemed Table'!BD809</f>
        <v>78.367340194262994</v>
      </c>
      <c r="AF374" s="2956"/>
      <c r="AG374" s="2956"/>
      <c r="AH374" s="2956"/>
      <c r="AI374" s="2261" t="str">
        <f>'Income Eligible Deemed Table'!M809</f>
        <v>per measure</v>
      </c>
      <c r="AM374" s="2057">
        <f t="shared" si="239"/>
        <v>8.8731800000000003E-5</v>
      </c>
      <c r="AN374">
        <f t="shared" si="212"/>
        <v>2.0616833729999999E-2</v>
      </c>
      <c r="AO374" s="2048">
        <f t="shared" si="186"/>
        <v>-1.6627000000088432E-7</v>
      </c>
    </row>
    <row r="375" spans="2:41" x14ac:dyDescent="0.25">
      <c r="B375" s="2240" t="str">
        <f>'Income Eligible Deemed Table'!C810</f>
        <v>403600_2019_12_</v>
      </c>
      <c r="C375" s="208" t="str">
        <f>'Income Eligible Deemed Table'!G810</f>
        <v>Water heating RES</v>
      </c>
      <c r="D375" s="208"/>
      <c r="E375" s="208"/>
      <c r="F375" s="208"/>
      <c r="G375" s="208" t="str">
        <f>'Income Eligible Deemed Table'!E810</f>
        <v>Low Flow Showerhead SFLI DI</v>
      </c>
      <c r="H375" s="622" t="str">
        <f>'Income Eligible Deemed Table'!D810</f>
        <v>SFLI DI</v>
      </c>
      <c r="I375" s="2084">
        <f>'Income Eligible Deemed Table'!F810</f>
        <v>194.58</v>
      </c>
      <c r="J375" s="2084"/>
      <c r="K375" s="2113"/>
      <c r="L375" s="2113"/>
      <c r="M375" s="2113"/>
      <c r="N375" s="2113"/>
      <c r="O375" s="2085">
        <f>'Income Eligible Deemed Table'!J810</f>
        <v>1.7264999999999999E-2</v>
      </c>
      <c r="P375" s="2085"/>
      <c r="Q375" s="2086"/>
      <c r="R375" s="2086"/>
      <c r="S375" s="2086"/>
      <c r="T375" s="2086"/>
      <c r="U375" s="2087">
        <v>0</v>
      </c>
      <c r="V375" s="2087">
        <f t="shared" si="211"/>
        <v>1.7264999999999999E-2</v>
      </c>
      <c r="W375" s="2087">
        <v>0</v>
      </c>
      <c r="X375" s="2121">
        <f>'Income Eligible Deemed Table'!K810</f>
        <v>10</v>
      </c>
      <c r="Y375" s="2121"/>
      <c r="Z375" s="88">
        <f t="shared" si="219"/>
        <v>10</v>
      </c>
      <c r="AA375" s="637">
        <f>'Income Eligible Deemed Table'!BB810</f>
        <v>5.3569414267541688</v>
      </c>
      <c r="AB375" s="2917">
        <f>'Income Eligible Deemed Table'!L810</f>
        <v>12.98</v>
      </c>
      <c r="AC375" s="2089">
        <f t="shared" si="188"/>
        <v>65.628220593930251</v>
      </c>
      <c r="AD375" s="2089">
        <f t="shared" si="189"/>
        <v>0</v>
      </c>
      <c r="AE375" s="2955">
        <f>'Income Eligible Deemed Table'!BD810</f>
        <v>65.628220593930251</v>
      </c>
      <c r="AF375" s="2956"/>
      <c r="AG375" s="2956"/>
      <c r="AH375" s="2956"/>
      <c r="AI375" s="2261" t="str">
        <f>'Income Eligible Deemed Table'!M810</f>
        <v>per measure</v>
      </c>
      <c r="AM375" s="2057">
        <f t="shared" si="239"/>
        <v>8.8731800000000003E-5</v>
      </c>
      <c r="AN375">
        <f t="shared" si="212"/>
        <v>1.7265433644000003E-2</v>
      </c>
      <c r="AO375" s="2048">
        <f t="shared" si="186"/>
        <v>4.3364400000370229E-7</v>
      </c>
    </row>
    <row r="376" spans="2:41" x14ac:dyDescent="0.25">
      <c r="B376" s="2240" t="str">
        <f>'Income Eligible Deemed Table'!C811</f>
        <v>403601_2019_12_</v>
      </c>
      <c r="C376" s="208" t="str">
        <f>'Income Eligible Deemed Table'!G811</f>
        <v>Water heating RES</v>
      </c>
      <c r="D376" s="208"/>
      <c r="E376" s="208"/>
      <c r="F376" s="208"/>
      <c r="G376" s="208" t="str">
        <f>'Income Eligible Deemed Table'!E811</f>
        <v>Low Flow Handheld Showerhead SFLI DI</v>
      </c>
      <c r="H376" s="622" t="str">
        <f>'Income Eligible Deemed Table'!D811</f>
        <v>SFLI DI</v>
      </c>
      <c r="I376" s="2084">
        <f>'Income Eligible Deemed Table'!F811</f>
        <v>194.58</v>
      </c>
      <c r="J376" s="2084"/>
      <c r="K376" s="2113"/>
      <c r="L376" s="2113"/>
      <c r="M376" s="2113"/>
      <c r="N376" s="2113"/>
      <c r="O376" s="2085">
        <f>'Income Eligible Deemed Table'!J811</f>
        <v>1.7264999999999999E-2</v>
      </c>
      <c r="P376" s="2085"/>
      <c r="Q376" s="2086"/>
      <c r="R376" s="2086"/>
      <c r="S376" s="2086"/>
      <c r="T376" s="2086"/>
      <c r="U376" s="2087">
        <v>0</v>
      </c>
      <c r="V376" s="2087">
        <f t="shared" si="211"/>
        <v>1.7264999999999999E-2</v>
      </c>
      <c r="W376" s="2087">
        <v>0</v>
      </c>
      <c r="X376" s="2121">
        <f>'Income Eligible Deemed Table'!K811</f>
        <v>10</v>
      </c>
      <c r="Y376" s="2121"/>
      <c r="Z376" s="88">
        <f t="shared" si="219"/>
        <v>10</v>
      </c>
      <c r="AA376" s="637">
        <f>'Income Eligible Deemed Table'!BB811</f>
        <v>3.7687316921013068</v>
      </c>
      <c r="AB376" s="2917">
        <f>'Income Eligible Deemed Table'!L811</f>
        <v>18.45</v>
      </c>
      <c r="AC376" s="2089">
        <f t="shared" si="188"/>
        <v>65.628220593930251</v>
      </c>
      <c r="AD376" s="2089">
        <f t="shared" si="189"/>
        <v>0</v>
      </c>
      <c r="AE376" s="2955">
        <f>'Income Eligible Deemed Table'!BD811</f>
        <v>65.628220593930251</v>
      </c>
      <c r="AF376" s="2956"/>
      <c r="AG376" s="2956"/>
      <c r="AH376" s="2956"/>
      <c r="AI376" s="2261" t="str">
        <f>'Income Eligible Deemed Table'!M811</f>
        <v>per measure</v>
      </c>
      <c r="AM376" s="2057">
        <f t="shared" si="239"/>
        <v>8.8731800000000003E-5</v>
      </c>
      <c r="AN376">
        <f t="shared" si="212"/>
        <v>1.7265433644000003E-2</v>
      </c>
      <c r="AO376" s="2048">
        <f t="shared" si="186"/>
        <v>4.3364400000370229E-7</v>
      </c>
    </row>
    <row r="377" spans="2:41" x14ac:dyDescent="0.25">
      <c r="B377" s="2240" t="str">
        <f>'Income Eligible Deemed Table'!C852</f>
        <v>403650_2019_12_</v>
      </c>
      <c r="C377" s="208" t="str">
        <f>'Income Eligible Deemed Table'!G852</f>
        <v>Water heating RES</v>
      </c>
      <c r="D377" s="208"/>
      <c r="E377" s="208"/>
      <c r="F377" s="208"/>
      <c r="G377" s="208" t="str">
        <f>'Income Eligible Deemed Table'!E852</f>
        <v>Pipe Insulation MFLI</v>
      </c>
      <c r="H377" s="622" t="str">
        <f>'Income Eligible Deemed Table'!D852</f>
        <v>MFLI</v>
      </c>
      <c r="I377" s="2084">
        <f>'Income Eligible Deemed Table'!F852</f>
        <v>4.6399999999999997</v>
      </c>
      <c r="J377" s="2084"/>
      <c r="K377" s="2113"/>
      <c r="L377" s="2113"/>
      <c r="M377" s="2113"/>
      <c r="N377" s="2113"/>
      <c r="O377" s="2085">
        <f>'Income Eligible Deemed Table'!I852</f>
        <v>4.1199999999999999E-4</v>
      </c>
      <c r="P377" s="2085"/>
      <c r="Q377" s="2086"/>
      <c r="R377" s="2086"/>
      <c r="S377" s="2086"/>
      <c r="T377" s="2086"/>
      <c r="U377" s="2087">
        <v>0</v>
      </c>
      <c r="V377" s="2087">
        <f t="shared" si="211"/>
        <v>4.1199999999999999E-4</v>
      </c>
      <c r="W377" s="2087">
        <v>0</v>
      </c>
      <c r="X377" s="2121">
        <f>'Income Eligible Deemed Table'!J852</f>
        <v>12</v>
      </c>
      <c r="Y377" s="2121"/>
      <c r="Z377" s="88">
        <f t="shared" si="219"/>
        <v>12</v>
      </c>
      <c r="AA377" s="637">
        <f>'Income Eligible Deemed Table'!BB852</f>
        <v>0.27928929013723736</v>
      </c>
      <c r="AB377" s="2917">
        <f>'Income Eligible Deemed Table'!K852</f>
        <v>7.1</v>
      </c>
      <c r="AC377" s="2089">
        <f t="shared" si="188"/>
        <v>1.8715941104052713</v>
      </c>
      <c r="AD377" s="2089">
        <f t="shared" si="189"/>
        <v>0</v>
      </c>
      <c r="AE377" s="2955">
        <f>'Income Eligible Deemed Table'!BD852</f>
        <v>1.8715941104052713</v>
      </c>
      <c r="AF377" s="2956"/>
      <c r="AG377" s="2956"/>
      <c r="AH377" s="2956"/>
      <c r="AI377" s="2240" t="str">
        <f>'Income Eligible Deemed Table'!L852</f>
        <v>per foot</v>
      </c>
      <c r="AM377" s="2057">
        <f t="shared" si="239"/>
        <v>8.8731800000000003E-5</v>
      </c>
      <c r="AN377">
        <f t="shared" si="212"/>
        <v>4.1171555199999996E-4</v>
      </c>
      <c r="AO377" s="2048">
        <f t="shared" si="186"/>
        <v>-2.8444800000002523E-7</v>
      </c>
    </row>
    <row r="378" spans="2:41" x14ac:dyDescent="0.25">
      <c r="B378" s="2240" t="str">
        <f>'Income Eligible Deemed Table'!C853</f>
        <v>403700_2019_12_</v>
      </c>
      <c r="C378" s="208" t="str">
        <f>'Income Eligible Deemed Table'!G853</f>
        <v>Water heating RES</v>
      </c>
      <c r="D378" s="208"/>
      <c r="E378" s="208"/>
      <c r="F378" s="208"/>
      <c r="G378" s="208" t="str">
        <f>'Income Eligible Deemed Table'!E853</f>
        <v>Pipe Insulation MFLI DI</v>
      </c>
      <c r="H378" s="622" t="str">
        <f>'Income Eligible Deemed Table'!D853</f>
        <v>MFLI DI</v>
      </c>
      <c r="I378" s="2084">
        <f>'Income Eligible Deemed Table'!F853</f>
        <v>4.6399999999999997</v>
      </c>
      <c r="J378" s="2084"/>
      <c r="K378" s="2113"/>
      <c r="L378" s="2113"/>
      <c r="M378" s="2113"/>
      <c r="N378" s="2113"/>
      <c r="O378" s="2085">
        <f>'Income Eligible Deemed Table'!I853</f>
        <v>4.1199999999999999E-4</v>
      </c>
      <c r="P378" s="2085"/>
      <c r="Q378" s="2086"/>
      <c r="R378" s="2086"/>
      <c r="S378" s="2086"/>
      <c r="T378" s="2086"/>
      <c r="U378" s="2087">
        <v>0</v>
      </c>
      <c r="V378" s="2087">
        <f t="shared" si="211"/>
        <v>4.1199999999999999E-4</v>
      </c>
      <c r="W378" s="2087">
        <v>0</v>
      </c>
      <c r="X378" s="2121">
        <f>'Income Eligible Deemed Table'!J853</f>
        <v>12</v>
      </c>
      <c r="Y378" s="2121"/>
      <c r="Z378" s="88">
        <f t="shared" si="219"/>
        <v>12</v>
      </c>
      <c r="AA378" s="637">
        <f>'Income Eligible Deemed Table'!BB853</f>
        <v>0.35034522261031542</v>
      </c>
      <c r="AB378" s="2917">
        <f>'Income Eligible Deemed Table'!K853</f>
        <v>5.66</v>
      </c>
      <c r="AC378" s="2089">
        <f t="shared" si="188"/>
        <v>1.8715941104052713</v>
      </c>
      <c r="AD378" s="2089">
        <f t="shared" si="189"/>
        <v>0</v>
      </c>
      <c r="AE378" s="2955">
        <f>'Income Eligible Deemed Table'!BD853</f>
        <v>1.8715941104052713</v>
      </c>
      <c r="AF378" s="2956"/>
      <c r="AG378" s="2956"/>
      <c r="AH378" s="2956"/>
      <c r="AI378" s="2240" t="str">
        <f>'Income Eligible Deemed Table'!L853</f>
        <v>per foot</v>
      </c>
      <c r="AM378" s="2057">
        <f t="shared" si="239"/>
        <v>8.8731800000000003E-5</v>
      </c>
      <c r="AN378">
        <f t="shared" si="212"/>
        <v>4.1171555199999996E-4</v>
      </c>
      <c r="AO378" s="2048">
        <f t="shared" si="186"/>
        <v>-2.8444800000002523E-7</v>
      </c>
    </row>
    <row r="379" spans="2:41" x14ac:dyDescent="0.25">
      <c r="B379" s="2240" t="str">
        <f>'Income Eligible Deemed Table'!C854</f>
        <v>403750_2019_12_</v>
      </c>
      <c r="C379" s="208" t="str">
        <f>'Income Eligible Deemed Table'!G854</f>
        <v>Water heating RES</v>
      </c>
      <c r="D379" s="208"/>
      <c r="E379" s="208"/>
      <c r="F379" s="208"/>
      <c r="G379" s="208" t="str">
        <f>'Income Eligible Deemed Table'!E854</f>
        <v>Pipe Insulation SFLI DI</v>
      </c>
      <c r="H379" s="622" t="str">
        <f>'Income Eligible Deemed Table'!D854</f>
        <v>SFLI DI</v>
      </c>
      <c r="I379" s="2084">
        <f>'Income Eligible Deemed Table'!F854</f>
        <v>4.6399999999999997</v>
      </c>
      <c r="J379" s="2084"/>
      <c r="K379" s="2113"/>
      <c r="L379" s="2113"/>
      <c r="M379" s="2113"/>
      <c r="N379" s="2113"/>
      <c r="O379" s="2085">
        <f>'Income Eligible Deemed Table'!I854</f>
        <v>4.1199999999999999E-4</v>
      </c>
      <c r="P379" s="2085"/>
      <c r="Q379" s="2086"/>
      <c r="R379" s="2086"/>
      <c r="S379" s="2086"/>
      <c r="T379" s="2086"/>
      <c r="U379" s="2087">
        <v>0</v>
      </c>
      <c r="V379" s="2087">
        <f t="shared" si="211"/>
        <v>4.1199999999999999E-4</v>
      </c>
      <c r="W379" s="2087">
        <v>0</v>
      </c>
      <c r="X379" s="2121">
        <f>'Income Eligible Deemed Table'!J854</f>
        <v>12</v>
      </c>
      <c r="Y379" s="2121"/>
      <c r="Z379" s="88">
        <f t="shared" si="219"/>
        <v>12</v>
      </c>
      <c r="AA379" s="637">
        <f>'Income Eligible Deemed Table'!BB854</f>
        <v>0.35034522261031542</v>
      </c>
      <c r="AB379" s="2917">
        <f>'Income Eligible Deemed Table'!K854</f>
        <v>5.66</v>
      </c>
      <c r="AC379" s="2089">
        <f t="shared" si="188"/>
        <v>1.8715941104052713</v>
      </c>
      <c r="AD379" s="2089">
        <f t="shared" si="189"/>
        <v>0</v>
      </c>
      <c r="AE379" s="2955">
        <f>'Income Eligible Deemed Table'!BD854</f>
        <v>1.8715941104052713</v>
      </c>
      <c r="AF379" s="2956"/>
      <c r="AG379" s="2956"/>
      <c r="AH379" s="2956"/>
      <c r="AI379" s="2240" t="str">
        <f>'Income Eligible Deemed Table'!L854</f>
        <v>per foot</v>
      </c>
      <c r="AM379" s="2057">
        <f t="shared" si="239"/>
        <v>8.8731800000000003E-5</v>
      </c>
      <c r="AN379">
        <f t="shared" si="212"/>
        <v>4.1171555199999996E-4</v>
      </c>
      <c r="AO379" s="2048">
        <f t="shared" si="186"/>
        <v>-2.8444800000002523E-7</v>
      </c>
    </row>
    <row r="380" spans="2:41" x14ac:dyDescent="0.25">
      <c r="B380" s="2240" t="str">
        <f>'Income Eligible Deemed Table'!C882</f>
        <v>403800_2019_12_</v>
      </c>
      <c r="C380" s="208" t="str">
        <f>'Income Eligible Deemed Table'!G882</f>
        <v>Cooling RES</v>
      </c>
      <c r="D380" s="208" t="str">
        <f>'Income Eligible Deemed Table'!G883</f>
        <v>Heating RES</v>
      </c>
      <c r="E380" s="208"/>
      <c r="F380" s="208"/>
      <c r="G380" s="208" t="str">
        <f>'Income Eligible Deemed Table'!E882</f>
        <v>Setback thermostat - full setback - ASHP heating/cooling MF</v>
      </c>
      <c r="H380" s="622" t="str">
        <f>'Income Eligible Deemed Table'!D882</f>
        <v>MFLI</v>
      </c>
      <c r="I380" s="2091">
        <f t="shared" ref="I380:I391" si="240">K380+L380</f>
        <v>231.76</v>
      </c>
      <c r="J380" s="2091">
        <f t="shared" ref="J380:J391" si="241">M380+N380</f>
        <v>0</v>
      </c>
      <c r="K380" s="2113">
        <f>'Income Eligible Deemed Table'!F882</f>
        <v>201.39</v>
      </c>
      <c r="L380" s="2113">
        <f>'Income Eligible Deemed Table'!F883</f>
        <v>30.37</v>
      </c>
      <c r="M380" s="2113"/>
      <c r="N380" s="2113"/>
      <c r="O380" s="2092">
        <f t="shared" ref="O380:O391" si="242">Q380+R380</f>
        <v>0.190801</v>
      </c>
      <c r="P380" s="2092">
        <f t="shared" ref="P380:P391" si="243">S380+T380</f>
        <v>0</v>
      </c>
      <c r="Q380" s="2086">
        <f>'Income Eligible Deemed Table'!I882</f>
        <v>0.190801</v>
      </c>
      <c r="R380" s="2086">
        <f>'Income Eligible Deemed Table'!I883</f>
        <v>0</v>
      </c>
      <c r="S380" s="2086"/>
      <c r="T380" s="2086"/>
      <c r="U380" s="2087">
        <v>0</v>
      </c>
      <c r="V380" s="2087">
        <f t="shared" ref="V380:V391" si="244">O380</f>
        <v>0.190801</v>
      </c>
      <c r="W380" s="2087">
        <v>0</v>
      </c>
      <c r="X380" s="2121">
        <f>'Income Eligible Deemed Table'!J882</f>
        <v>10</v>
      </c>
      <c r="Y380" s="2121"/>
      <c r="Z380" s="88">
        <f t="shared" si="219"/>
        <v>10</v>
      </c>
      <c r="AA380" s="637">
        <f>'Income Eligible Deemed Table'!BB882</f>
        <v>3.247889197228881</v>
      </c>
      <c r="AB380" s="2917">
        <f>'Income Eligible Deemed Table'!K882</f>
        <v>70</v>
      </c>
      <c r="AC380" s="2089">
        <f t="shared" si="188"/>
        <v>214.58446796226679</v>
      </c>
      <c r="AD380" s="2089">
        <f t="shared" si="189"/>
        <v>0</v>
      </c>
      <c r="AE380" s="2955">
        <f>'Income Eligible Deemed Table'!BD882</f>
        <v>206.33184106998681</v>
      </c>
      <c r="AF380" s="2956">
        <f>'Income Eligible Deemed Table'!BD883</f>
        <v>8.2526268922799719</v>
      </c>
      <c r="AG380" s="2956"/>
      <c r="AH380" s="2956"/>
      <c r="AI380" s="2240" t="str">
        <f>'Income Eligible Deemed Table'!L882</f>
        <v>per measure</v>
      </c>
      <c r="AM380" s="2057">
        <f t="shared" si="239"/>
        <v>9.4741810000000004E-4</v>
      </c>
      <c r="AN380" s="132">
        <f t="shared" ref="AN380:AN385" si="245">AM380*K380</f>
        <v>0.190800531159</v>
      </c>
      <c r="AO380" s="2048">
        <f t="shared" si="186"/>
        <v>-4.6884099999533468E-7</v>
      </c>
    </row>
    <row r="381" spans="2:41" x14ac:dyDescent="0.25">
      <c r="B381" s="2240" t="str">
        <f>'Income Eligible Deemed Table'!C884</f>
        <v>403801_2019_12_</v>
      </c>
      <c r="C381" s="208" t="str">
        <f>'Income Eligible Deemed Table'!G884</f>
        <v>Cooling RES</v>
      </c>
      <c r="D381" s="208" t="str">
        <f>'Income Eligible Deemed Table'!G885</f>
        <v>Heating RES</v>
      </c>
      <c r="E381" s="208"/>
      <c r="F381" s="208"/>
      <c r="G381" s="208" t="str">
        <f>'Income Eligible Deemed Table'!E884</f>
        <v>Setback thermostat - full setback - ASHP heating/cooling MF_CompE</v>
      </c>
      <c r="H381" s="622" t="str">
        <f>'Income Eligible Deemed Table'!D884</f>
        <v>MFLIc</v>
      </c>
      <c r="I381" s="2091">
        <f t="shared" si="240"/>
        <v>156.81</v>
      </c>
      <c r="J381" s="2091">
        <f t="shared" si="241"/>
        <v>0</v>
      </c>
      <c r="K381" s="2113">
        <f>'Income Eligible Deemed Table'!F884</f>
        <v>146.46</v>
      </c>
      <c r="L381" s="2113">
        <f>'Income Eligible Deemed Table'!F885</f>
        <v>10.35</v>
      </c>
      <c r="M381" s="2113"/>
      <c r="N381" s="2113"/>
      <c r="O381" s="2092">
        <f t="shared" si="242"/>
        <v>0.13875899999999999</v>
      </c>
      <c r="P381" s="2092">
        <f t="shared" si="243"/>
        <v>0</v>
      </c>
      <c r="Q381" s="2086">
        <f>'Income Eligible Deemed Table'!I884</f>
        <v>0.13875899999999999</v>
      </c>
      <c r="R381" s="2086">
        <f>'Income Eligible Deemed Table'!I885</f>
        <v>0</v>
      </c>
      <c r="S381" s="2086"/>
      <c r="T381" s="2086"/>
      <c r="U381" s="2087">
        <v>0</v>
      </c>
      <c r="V381" s="2087">
        <f t="shared" si="244"/>
        <v>0.13875899999999999</v>
      </c>
      <c r="W381" s="2087">
        <v>0</v>
      </c>
      <c r="X381" s="2121">
        <f>'Income Eligible Deemed Table'!J884</f>
        <v>10</v>
      </c>
      <c r="Y381" s="2121"/>
      <c r="Z381" s="88">
        <f t="shared" ref="Z381:Z392" si="246">Y381+X381</f>
        <v>10</v>
      </c>
      <c r="AA381" s="637">
        <f>'Income Eligible Deemed Table'!BB884</f>
        <v>2.3137421776505787</v>
      </c>
      <c r="AB381" s="2917">
        <f>'Income Eligible Deemed Table'!K884</f>
        <v>70</v>
      </c>
      <c r="AC381" s="2089">
        <f t="shared" si="188"/>
        <v>152.86640154369087</v>
      </c>
      <c r="AD381" s="2089">
        <f t="shared" si="189"/>
        <v>0</v>
      </c>
      <c r="AE381" s="2955">
        <f>'Income Eligible Deemed Table'!BD884</f>
        <v>150.05393238547231</v>
      </c>
      <c r="AF381" s="2956">
        <f>'Income Eligible Deemed Table'!BD885</f>
        <v>2.812469158218561</v>
      </c>
      <c r="AG381" s="2956"/>
      <c r="AH381" s="2956"/>
      <c r="AI381" s="2240" t="str">
        <f>'Income Eligible Deemed Table'!L884</f>
        <v>per measure</v>
      </c>
      <c r="AM381" s="2057">
        <f t="shared" si="239"/>
        <v>9.4741810000000004E-4</v>
      </c>
      <c r="AN381" s="132">
        <f t="shared" si="245"/>
        <v>0.13875885492600001</v>
      </c>
      <c r="AO381" s="2048">
        <f t="shared" si="186"/>
        <v>-1.4507399997976123E-7</v>
      </c>
    </row>
    <row r="382" spans="2:41" x14ac:dyDescent="0.25">
      <c r="B382" s="2240" t="str">
        <f>'Income Eligible Deemed Table'!C886</f>
        <v>403850_2019_12_</v>
      </c>
      <c r="C382" s="208" t="str">
        <f>'Income Eligible Deemed Table'!G886</f>
        <v>Cooling RES</v>
      </c>
      <c r="D382" s="208" t="str">
        <f>'Income Eligible Deemed Table'!G887</f>
        <v>Heating RES</v>
      </c>
      <c r="E382" s="208"/>
      <c r="F382" s="208"/>
      <c r="G382" s="208" t="str">
        <f>'Income Eligible Deemed Table'!E886</f>
        <v>Setback thermostat - full setback - ASHP heating/cooling SF</v>
      </c>
      <c r="H382" s="622" t="str">
        <f>'Income Eligible Deemed Table'!D886</f>
        <v>SFLI</v>
      </c>
      <c r="I382" s="2091">
        <f t="shared" si="240"/>
        <v>445.58</v>
      </c>
      <c r="J382" s="2091">
        <f t="shared" si="241"/>
        <v>0</v>
      </c>
      <c r="K382" s="2113">
        <f>'Income Eligible Deemed Table'!F886</f>
        <v>358.2</v>
      </c>
      <c r="L382" s="2113">
        <f>'Income Eligible Deemed Table'!F887</f>
        <v>87.38</v>
      </c>
      <c r="M382" s="2113"/>
      <c r="N382" s="2113"/>
      <c r="O382" s="2092">
        <f t="shared" si="242"/>
        <v>0.33936500000000003</v>
      </c>
      <c r="P382" s="2092">
        <f t="shared" si="243"/>
        <v>0</v>
      </c>
      <c r="Q382" s="2086">
        <f>'Income Eligible Deemed Table'!I886</f>
        <v>0.33936500000000003</v>
      </c>
      <c r="R382" s="2086">
        <f>'Income Eligible Deemed Table'!I887</f>
        <v>0</v>
      </c>
      <c r="S382" s="2086"/>
      <c r="T382" s="2086"/>
      <c r="U382" s="2087">
        <v>0</v>
      </c>
      <c r="V382" s="2087">
        <f t="shared" si="244"/>
        <v>0.33936500000000003</v>
      </c>
      <c r="W382" s="2087">
        <v>0</v>
      </c>
      <c r="X382" s="2121">
        <f>'Income Eligible Deemed Table'!J886</f>
        <v>10</v>
      </c>
      <c r="Y382" s="2121"/>
      <c r="Z382" s="88">
        <f t="shared" si="246"/>
        <v>10</v>
      </c>
      <c r="AA382" s="637">
        <f>'Income Eligible Deemed Table'!BB886</f>
        <v>5.9140389945491592</v>
      </c>
      <c r="AB382" s="2917">
        <f>'Income Eligible Deemed Table'!K886</f>
        <v>70</v>
      </c>
      <c r="AC382" s="2089">
        <f t="shared" si="188"/>
        <v>390.7340534388307</v>
      </c>
      <c r="AD382" s="2089">
        <f t="shared" si="189"/>
        <v>0</v>
      </c>
      <c r="AE382" s="2955">
        <f>'Income Eligible Deemed Table'!BD886</f>
        <v>366.98974860355167</v>
      </c>
      <c r="AF382" s="2956">
        <f>'Income Eligible Deemed Table'!BD887</f>
        <v>23.744304835279021</v>
      </c>
      <c r="AG382" s="2956"/>
      <c r="AH382" s="2956"/>
      <c r="AI382" s="2240" t="str">
        <f>'Income Eligible Deemed Table'!L886</f>
        <v>per measure</v>
      </c>
      <c r="AM382" s="2057">
        <f t="shared" si="239"/>
        <v>9.4741810000000004E-4</v>
      </c>
      <c r="AN382" s="132">
        <f t="shared" si="245"/>
        <v>0.33936516342</v>
      </c>
      <c r="AO382" s="2048">
        <f t="shared" si="186"/>
        <v>1.6341999997671053E-7</v>
      </c>
    </row>
    <row r="383" spans="2:41" x14ac:dyDescent="0.25">
      <c r="B383" s="2240" t="str">
        <f>'Income Eligible Deemed Table'!C888</f>
        <v>403900_2019_12_</v>
      </c>
      <c r="C383" s="208" t="str">
        <f>'Income Eligible Deemed Table'!G888</f>
        <v>Cooling RES</v>
      </c>
      <c r="D383" s="208" t="str">
        <f>'Income Eligible Deemed Table'!G889</f>
        <v>Heating RES</v>
      </c>
      <c r="E383" s="208"/>
      <c r="F383" s="208"/>
      <c r="G383" s="208" t="str">
        <f>'Income Eligible Deemed Table'!E888</f>
        <v>Setback thermostat - full setback - elec furnace heating / central AC MF</v>
      </c>
      <c r="H383" s="622" t="str">
        <f>'Income Eligible Deemed Table'!D888</f>
        <v>MFLI</v>
      </c>
      <c r="I383" s="2091">
        <f t="shared" si="240"/>
        <v>263.71999999999997</v>
      </c>
      <c r="J383" s="2091">
        <f t="shared" si="241"/>
        <v>0</v>
      </c>
      <c r="K383" s="2113">
        <f>'Income Eligible Deemed Table'!F888</f>
        <v>201.39</v>
      </c>
      <c r="L383" s="2113">
        <f>'Income Eligible Deemed Table'!F889</f>
        <v>62.33</v>
      </c>
      <c r="M383" s="2113"/>
      <c r="N383" s="2113"/>
      <c r="O383" s="2092">
        <f t="shared" si="242"/>
        <v>0.190801</v>
      </c>
      <c r="P383" s="2092">
        <f t="shared" si="243"/>
        <v>0</v>
      </c>
      <c r="Q383" s="2086">
        <f>'Income Eligible Deemed Table'!I888</f>
        <v>0.190801</v>
      </c>
      <c r="R383" s="2086">
        <f>'Income Eligible Deemed Table'!I889</f>
        <v>0</v>
      </c>
      <c r="S383" s="2086"/>
      <c r="T383" s="2086"/>
      <c r="U383" s="2087">
        <v>0</v>
      </c>
      <c r="V383" s="2087">
        <f t="shared" si="244"/>
        <v>0.190801</v>
      </c>
      <c r="W383" s="2087">
        <v>0</v>
      </c>
      <c r="X383" s="2121">
        <f>'Income Eligible Deemed Table'!J888</f>
        <v>10</v>
      </c>
      <c r="Y383" s="2121"/>
      <c r="Z383" s="88">
        <f t="shared" si="246"/>
        <v>10</v>
      </c>
      <c r="AA383" s="637">
        <f>'Income Eligible Deemed Table'!BB888</f>
        <v>3.3793381439470549</v>
      </c>
      <c r="AB383" s="2917">
        <f>'Income Eligible Deemed Table'!K888</f>
        <v>70</v>
      </c>
      <c r="AC383" s="2089">
        <f t="shared" si="188"/>
        <v>223.26915533392526</v>
      </c>
      <c r="AD383" s="2089">
        <f t="shared" si="189"/>
        <v>0</v>
      </c>
      <c r="AE383" s="2955">
        <f>'Income Eligible Deemed Table'!BD888</f>
        <v>206.33184106998681</v>
      </c>
      <c r="AF383" s="2956">
        <f>'Income Eligible Deemed Table'!BD889</f>
        <v>16.937314263938447</v>
      </c>
      <c r="AG383" s="2956"/>
      <c r="AH383" s="2956"/>
      <c r="AI383" s="2240" t="str">
        <f>'Income Eligible Deemed Table'!L888</f>
        <v>per measure</v>
      </c>
      <c r="AM383" s="2057">
        <f t="shared" si="239"/>
        <v>9.4741810000000004E-4</v>
      </c>
      <c r="AN383" s="132">
        <f t="shared" si="245"/>
        <v>0.190800531159</v>
      </c>
      <c r="AO383" s="2048">
        <f t="shared" si="186"/>
        <v>-4.6884099999533468E-7</v>
      </c>
    </row>
    <row r="384" spans="2:41" x14ac:dyDescent="0.25">
      <c r="B384" s="2240" t="str">
        <f>'Income Eligible Deemed Table'!C890</f>
        <v>403901_2019_12_</v>
      </c>
      <c r="C384" s="208" t="str">
        <f>'Income Eligible Deemed Table'!G890</f>
        <v>Cooling RES</v>
      </c>
      <c r="D384" s="208" t="str">
        <f>'Income Eligible Deemed Table'!G891</f>
        <v>Heating RES</v>
      </c>
      <c r="E384" s="208"/>
      <c r="F384" s="208"/>
      <c r="G384" s="208" t="str">
        <f>'Income Eligible Deemed Table'!E890</f>
        <v>Setback thermostat - full setback - elec furnace heating / central AC MF_CompE</v>
      </c>
      <c r="H384" s="622" t="str">
        <f>'Income Eligible Deemed Table'!D890</f>
        <v>MFLIc</v>
      </c>
      <c r="I384" s="2091">
        <f t="shared" si="240"/>
        <v>167.71</v>
      </c>
      <c r="J384" s="2091">
        <f t="shared" si="241"/>
        <v>0</v>
      </c>
      <c r="K384" s="2113">
        <f>'Income Eligible Deemed Table'!F890</f>
        <v>146.46</v>
      </c>
      <c r="L384" s="2113">
        <f>'Income Eligible Deemed Table'!F891</f>
        <v>21.25</v>
      </c>
      <c r="M384" s="2113"/>
      <c r="N384" s="2113"/>
      <c r="O384" s="2092">
        <f t="shared" si="242"/>
        <v>0.13875899999999999</v>
      </c>
      <c r="P384" s="2092">
        <f t="shared" si="243"/>
        <v>0</v>
      </c>
      <c r="Q384" s="2086">
        <f>'Income Eligible Deemed Table'!I890</f>
        <v>0.13875899999999999</v>
      </c>
      <c r="R384" s="2086">
        <f>'Income Eligible Deemed Table'!I891</f>
        <v>0</v>
      </c>
      <c r="S384" s="2086"/>
      <c r="T384" s="2086"/>
      <c r="U384" s="2087">
        <v>0</v>
      </c>
      <c r="V384" s="2087">
        <f t="shared" si="244"/>
        <v>0.13875899999999999</v>
      </c>
      <c r="W384" s="2087">
        <v>0</v>
      </c>
      <c r="X384" s="2121">
        <f>'Income Eligible Deemed Table'!J890</f>
        <v>10</v>
      </c>
      <c r="Y384" s="2121"/>
      <c r="Z384" s="88">
        <f t="shared" si="246"/>
        <v>10</v>
      </c>
      <c r="AA384" s="637">
        <f>'Income Eligible Deemed Table'!BB890</f>
        <v>2.3585730136714829</v>
      </c>
      <c r="AB384" s="2917">
        <f>'Income Eligible Deemed Table'!K890</f>
        <v>70</v>
      </c>
      <c r="AC384" s="2089">
        <f t="shared" si="188"/>
        <v>155.82832558471333</v>
      </c>
      <c r="AD384" s="2089">
        <f t="shared" si="189"/>
        <v>0</v>
      </c>
      <c r="AE384" s="2955">
        <f>'Income Eligible Deemed Table'!BD890</f>
        <v>150.05393238547231</v>
      </c>
      <c r="AF384" s="2956">
        <f>'Income Eligible Deemed Table'!BD891</f>
        <v>5.7743931992410076</v>
      </c>
      <c r="AG384" s="2956"/>
      <c r="AH384" s="2956"/>
      <c r="AI384" s="2240" t="str">
        <f>'Income Eligible Deemed Table'!L890</f>
        <v>per measure</v>
      </c>
      <c r="AM384" s="2057">
        <f t="shared" si="239"/>
        <v>9.4741810000000004E-4</v>
      </c>
      <c r="AN384" s="132">
        <f t="shared" si="245"/>
        <v>0.13875885492600001</v>
      </c>
      <c r="AO384" s="2048">
        <f t="shared" si="186"/>
        <v>-1.4507399997976123E-7</v>
      </c>
    </row>
    <row r="385" spans="2:41" x14ac:dyDescent="0.25">
      <c r="B385" s="2240" t="str">
        <f>'Income Eligible Deemed Table'!C892</f>
        <v>403950_2019_12_</v>
      </c>
      <c r="C385" s="208" t="str">
        <f>'Income Eligible Deemed Table'!G892</f>
        <v>Cooling RES</v>
      </c>
      <c r="D385" s="208" t="str">
        <f>'Income Eligible Deemed Table'!G893</f>
        <v>Heating RES</v>
      </c>
      <c r="E385" s="208"/>
      <c r="F385" s="208"/>
      <c r="G385" s="208" t="str">
        <f>'Income Eligible Deemed Table'!E892</f>
        <v>Setback thermostat - full setback - elec furnace heating / central AC SF</v>
      </c>
      <c r="H385" s="622" t="str">
        <f>'Income Eligible Deemed Table'!D892</f>
        <v>SFLI</v>
      </c>
      <c r="I385" s="2091">
        <f t="shared" si="240"/>
        <v>506.83</v>
      </c>
      <c r="J385" s="2091">
        <f t="shared" si="241"/>
        <v>0</v>
      </c>
      <c r="K385" s="2113">
        <f>'Income Eligible Deemed Table'!F892</f>
        <v>358.2</v>
      </c>
      <c r="L385" s="2113">
        <f>'Income Eligible Deemed Table'!F893</f>
        <v>148.63</v>
      </c>
      <c r="M385" s="2113"/>
      <c r="N385" s="2113"/>
      <c r="O385" s="2092">
        <f t="shared" si="242"/>
        <v>0.33936500000000003</v>
      </c>
      <c r="P385" s="2092">
        <f t="shared" si="243"/>
        <v>0</v>
      </c>
      <c r="Q385" s="2086">
        <f>'Income Eligible Deemed Table'!I892</f>
        <v>0.33936500000000003</v>
      </c>
      <c r="R385" s="2086">
        <f>'Income Eligible Deemed Table'!I893</f>
        <v>0</v>
      </c>
      <c r="S385" s="2086"/>
      <c r="T385" s="2086"/>
      <c r="U385" s="2087">
        <v>0</v>
      </c>
      <c r="V385" s="2087">
        <f t="shared" si="244"/>
        <v>0.33936500000000003</v>
      </c>
      <c r="W385" s="2087">
        <v>0</v>
      </c>
      <c r="X385" s="2121">
        <f>'Income Eligible Deemed Table'!J892</f>
        <v>10</v>
      </c>
      <c r="Y385" s="2121"/>
      <c r="Z385" s="88">
        <f t="shared" si="246"/>
        <v>10</v>
      </c>
      <c r="AA385" s="637">
        <f>'Income Eligible Deemed Table'!BB892</f>
        <v>6.1659553896207528</v>
      </c>
      <c r="AB385" s="2917">
        <f>'Income Eligible Deemed Table'!K892</f>
        <v>70</v>
      </c>
      <c r="AC385" s="2089">
        <f t="shared" si="188"/>
        <v>407.37789266017239</v>
      </c>
      <c r="AD385" s="2089">
        <f t="shared" si="189"/>
        <v>0</v>
      </c>
      <c r="AE385" s="2955">
        <f>'Income Eligible Deemed Table'!BD892</f>
        <v>366.98974860355167</v>
      </c>
      <c r="AF385" s="2956">
        <f>'Income Eligible Deemed Table'!BD893</f>
        <v>40.388144056620746</v>
      </c>
      <c r="AG385" s="2956"/>
      <c r="AH385" s="2956"/>
      <c r="AI385" s="2240" t="str">
        <f>'Income Eligible Deemed Table'!L892</f>
        <v>per measure</v>
      </c>
      <c r="AM385" s="2057">
        <f t="shared" si="239"/>
        <v>9.4741810000000004E-4</v>
      </c>
      <c r="AN385" s="132">
        <f t="shared" si="245"/>
        <v>0.33936516342</v>
      </c>
      <c r="AO385" s="2048">
        <f t="shared" si="186"/>
        <v>1.6341999997671053E-7</v>
      </c>
    </row>
    <row r="386" spans="2:41" x14ac:dyDescent="0.25">
      <c r="B386" s="2240" t="str">
        <f>'Income Eligible Deemed Table'!C894</f>
        <v>404000_2019_12_</v>
      </c>
      <c r="C386" s="208" t="str">
        <f>'Income Eligible Deemed Table'!G894</f>
        <v>Cooling RES</v>
      </c>
      <c r="D386" s="208" t="str">
        <f>'Income Eligible Deemed Table'!G895</f>
        <v>Heating RES</v>
      </c>
      <c r="E386" s="208"/>
      <c r="F386" s="208"/>
      <c r="G386" s="208" t="str">
        <f>'Income Eligible Deemed Table'!E894</f>
        <v>Setback thermostat - full setback - gas heating / central AC MF</v>
      </c>
      <c r="H386" s="622" t="str">
        <f>'Income Eligible Deemed Table'!D894</f>
        <v>MFLI</v>
      </c>
      <c r="I386" s="2091">
        <f t="shared" si="240"/>
        <v>201.38901200000001</v>
      </c>
      <c r="J386" s="2091">
        <f t="shared" si="241"/>
        <v>0</v>
      </c>
      <c r="K386" s="2113">
        <f>'Income Eligible Deemed Table'!F894</f>
        <v>201.38901200000001</v>
      </c>
      <c r="L386" s="2113">
        <f>'Income Eligible Deemed Table'!F895</f>
        <v>0</v>
      </c>
      <c r="M386" s="2113"/>
      <c r="N386" s="2113"/>
      <c r="O386" s="2092">
        <f t="shared" si="242"/>
        <v>0.1908</v>
      </c>
      <c r="P386" s="2092">
        <f t="shared" si="243"/>
        <v>0</v>
      </c>
      <c r="Q386" s="2086">
        <f>'Income Eligible Deemed Table'!I894</f>
        <v>0.1908</v>
      </c>
      <c r="R386" s="2086">
        <f>'Income Eligible Deemed Table'!I895</f>
        <v>0</v>
      </c>
      <c r="S386" s="2086"/>
      <c r="T386" s="2086"/>
      <c r="U386" s="2087">
        <v>0</v>
      </c>
      <c r="V386" s="2087">
        <f t="shared" si="244"/>
        <v>0.1908</v>
      </c>
      <c r="W386" s="2087">
        <v>0</v>
      </c>
      <c r="X386" s="2121">
        <f>'Income Eligible Deemed Table'!J894</f>
        <v>10</v>
      </c>
      <c r="Y386" s="2121"/>
      <c r="Z386" s="88">
        <f t="shared" si="246"/>
        <v>10</v>
      </c>
      <c r="AA386" s="637">
        <f>'Income Eligible Deemed Table'!BB894</f>
        <v>3.1229644734417659</v>
      </c>
      <c r="AB386" s="2917">
        <f>'Income Eligible Deemed Table'!K894</f>
        <v>70</v>
      </c>
      <c r="AC386" s="2089">
        <f t="shared" si="188"/>
        <v>206.33082882578913</v>
      </c>
      <c r="AD386" s="2089">
        <f t="shared" si="189"/>
        <v>0</v>
      </c>
      <c r="AE386" s="2955">
        <f>'Income Eligible Deemed Table'!BD894</f>
        <v>206.33082882578913</v>
      </c>
      <c r="AF386" s="2956">
        <f>'Income Eligible Deemed Table'!BD895</f>
        <v>0</v>
      </c>
      <c r="AG386" s="2956"/>
      <c r="AH386" s="2956"/>
      <c r="AI386" s="2240" t="str">
        <f>'Income Eligible Deemed Table'!L894</f>
        <v>per measure</v>
      </c>
      <c r="AM386" s="2057">
        <f t="shared" si="239"/>
        <v>9.4741810000000004E-4</v>
      </c>
      <c r="AN386">
        <f>AM386*I386</f>
        <v>0.1907995951099172</v>
      </c>
      <c r="AO386" s="2048">
        <f t="shared" ref="AO386:AO456" si="247">AN386-O386</f>
        <v>-4.0489008279465111E-7</v>
      </c>
    </row>
    <row r="387" spans="2:41" x14ac:dyDescent="0.25">
      <c r="B387" s="2240" t="str">
        <f>'Income Eligible Deemed Table'!C896</f>
        <v>404001_2019_12_</v>
      </c>
      <c r="C387" s="208" t="str">
        <f>'Income Eligible Deemed Table'!G896</f>
        <v>Cooling RES</v>
      </c>
      <c r="D387" s="208" t="str">
        <f>'Income Eligible Deemed Table'!G897</f>
        <v>Heating RES</v>
      </c>
      <c r="E387" s="208"/>
      <c r="F387" s="208"/>
      <c r="G387" s="208" t="str">
        <f>'Income Eligible Deemed Table'!E896</f>
        <v>Setback thermostat - full setback - gas heating / central AC MF_CompE</v>
      </c>
      <c r="H387" s="622" t="str">
        <f>'Income Eligible Deemed Table'!D896</f>
        <v>MFLIc</v>
      </c>
      <c r="I387" s="2091">
        <f t="shared" si="240"/>
        <v>146.46473600000002</v>
      </c>
      <c r="J387" s="2091">
        <f t="shared" si="241"/>
        <v>0</v>
      </c>
      <c r="K387" s="2113">
        <f>'Income Eligible Deemed Table'!F896</f>
        <v>146.46473600000002</v>
      </c>
      <c r="L387" s="2113">
        <f>'Income Eligible Deemed Table'!F897</f>
        <v>0</v>
      </c>
      <c r="M387" s="2113"/>
      <c r="N387" s="2113"/>
      <c r="O387" s="2092">
        <f t="shared" si="242"/>
        <v>0.138763</v>
      </c>
      <c r="P387" s="2092">
        <f t="shared" si="243"/>
        <v>0</v>
      </c>
      <c r="Q387" s="2086">
        <f>'Income Eligible Deemed Table'!I896</f>
        <v>0.138763</v>
      </c>
      <c r="R387" s="2086">
        <f>'Income Eligible Deemed Table'!I897</f>
        <v>0</v>
      </c>
      <c r="S387" s="2086"/>
      <c r="T387" s="2086"/>
      <c r="U387" s="2087">
        <v>0</v>
      </c>
      <c r="V387" s="2087">
        <f t="shared" si="244"/>
        <v>0.138763</v>
      </c>
      <c r="W387" s="2087">
        <v>0</v>
      </c>
      <c r="X387" s="2121">
        <f>'Income Eligible Deemed Table'!J896</f>
        <v>10</v>
      </c>
      <c r="Y387" s="2121"/>
      <c r="Z387" s="88">
        <f t="shared" si="246"/>
        <v>10</v>
      </c>
      <c r="AA387" s="637">
        <f>'Income Eligible Deemed Table'!BB896</f>
        <v>2.2712468897758296</v>
      </c>
      <c r="AB387" s="2917">
        <f>'Income Eligible Deemed Table'!K896</f>
        <v>70</v>
      </c>
      <c r="AC387" s="2089">
        <f t="shared" si="188"/>
        <v>150.05878460057392</v>
      </c>
      <c r="AD387" s="2089">
        <f t="shared" si="189"/>
        <v>0</v>
      </c>
      <c r="AE387" s="2955">
        <f>'Income Eligible Deemed Table'!BD896</f>
        <v>150.05878460057392</v>
      </c>
      <c r="AF387" s="2956">
        <f>'Income Eligible Deemed Table'!BD897</f>
        <v>0</v>
      </c>
      <c r="AG387" s="2956"/>
      <c r="AH387" s="2956"/>
      <c r="AI387" s="2240" t="str">
        <f>'Income Eligible Deemed Table'!L896</f>
        <v>per measure</v>
      </c>
      <c r="AM387" s="2057">
        <f t="shared" si="239"/>
        <v>9.4741810000000004E-4</v>
      </c>
      <c r="AN387">
        <f>AM387*I387</f>
        <v>0.13876334189812162</v>
      </c>
      <c r="AO387" s="2048">
        <f t="shared" si="247"/>
        <v>3.4189812161966593E-7</v>
      </c>
    </row>
    <row r="388" spans="2:41" x14ac:dyDescent="0.25">
      <c r="B388" s="2240" t="str">
        <f>'Income Eligible Deemed Table'!C898</f>
        <v>404050_2019_12_</v>
      </c>
      <c r="C388" s="208" t="str">
        <f>'Income Eligible Deemed Table'!G898</f>
        <v>Cooling RES</v>
      </c>
      <c r="D388" s="208" t="str">
        <f>'Income Eligible Deemed Table'!G899</f>
        <v>Heating RES</v>
      </c>
      <c r="E388" s="208"/>
      <c r="F388" s="208"/>
      <c r="G388" s="208" t="str">
        <f>'Income Eligible Deemed Table'!E898</f>
        <v>Setback thermostat for SF - full setback - gas heating / central AC </v>
      </c>
      <c r="H388" s="622" t="str">
        <f>'Income Eligible Deemed Table'!D898</f>
        <v>SFLI</v>
      </c>
      <c r="I388" s="2091">
        <f t="shared" si="240"/>
        <v>358.2</v>
      </c>
      <c r="J388" s="2091">
        <f t="shared" si="241"/>
        <v>0</v>
      </c>
      <c r="K388" s="2113">
        <f>'Income Eligible Deemed Table'!F898</f>
        <v>358.2</v>
      </c>
      <c r="L388" s="2113">
        <f>'Income Eligible Deemed Table'!F899</f>
        <v>0</v>
      </c>
      <c r="M388" s="2113"/>
      <c r="N388" s="2113"/>
      <c r="O388" s="2092">
        <f t="shared" si="242"/>
        <v>0.33936500000000003</v>
      </c>
      <c r="P388" s="2092">
        <f t="shared" si="243"/>
        <v>0</v>
      </c>
      <c r="Q388" s="2086">
        <f>'Income Eligible Deemed Table'!I898</f>
        <v>0.33936500000000003</v>
      </c>
      <c r="R388" s="2086">
        <f>'Income Eligible Deemed Table'!I899</f>
        <v>0</v>
      </c>
      <c r="S388" s="2086"/>
      <c r="T388" s="2086"/>
      <c r="U388" s="2087">
        <v>0</v>
      </c>
      <c r="V388" s="2087">
        <f t="shared" si="244"/>
        <v>0.33936500000000003</v>
      </c>
      <c r="W388" s="2087">
        <v>0</v>
      </c>
      <c r="X388" s="2121">
        <f>'Income Eligible Deemed Table'!J898</f>
        <v>10</v>
      </c>
      <c r="Y388" s="2121"/>
      <c r="Z388" s="88">
        <f t="shared" si="246"/>
        <v>10</v>
      </c>
      <c r="AA388" s="637">
        <f>'Income Eligible Deemed Table'!BB898</f>
        <v>5.5546519806494716</v>
      </c>
      <c r="AB388" s="2917">
        <f>'Income Eligible Deemed Table'!K898</f>
        <v>70</v>
      </c>
      <c r="AC388" s="2089">
        <f t="shared" si="188"/>
        <v>366.98974860355167</v>
      </c>
      <c r="AD388" s="2089">
        <f t="shared" si="189"/>
        <v>0</v>
      </c>
      <c r="AE388" s="2955">
        <f>'Income Eligible Deemed Table'!BD898</f>
        <v>366.98974860355167</v>
      </c>
      <c r="AF388" s="2956">
        <f>'Income Eligible Deemed Table'!BD899</f>
        <v>0</v>
      </c>
      <c r="AG388" s="2956"/>
      <c r="AH388" s="2956"/>
      <c r="AI388" s="2240" t="str">
        <f>'Income Eligible Deemed Table'!L898</f>
        <v>per measure</v>
      </c>
      <c r="AM388" s="2057">
        <f t="shared" si="239"/>
        <v>9.4741810000000004E-4</v>
      </c>
      <c r="AN388">
        <f>AM388*I388</f>
        <v>0.33936516342</v>
      </c>
      <c r="AO388" s="2048">
        <f t="shared" si="247"/>
        <v>1.6341999997671053E-7</v>
      </c>
    </row>
    <row r="389" spans="2:41" x14ac:dyDescent="0.25">
      <c r="B389" s="2240" t="str">
        <f>'Income Eligible Deemed Table'!C900</f>
        <v>404100_2019_12_</v>
      </c>
      <c r="C389" s="208" t="str">
        <f>'Income Eligible Deemed Table'!G900</f>
        <v>Cooling RES</v>
      </c>
      <c r="D389" s="208" t="str">
        <f>'Income Eligible Deemed Table'!G901</f>
        <v>Heating RES</v>
      </c>
      <c r="E389" s="208"/>
      <c r="F389" s="208"/>
      <c r="G389" s="208" t="str">
        <f>'Income Eligible Deemed Table'!E900</f>
        <v>Setback thermostat - full setback - Unknown MF</v>
      </c>
      <c r="H389" s="622" t="str">
        <f>'Income Eligible Deemed Table'!D900</f>
        <v>MFLI</v>
      </c>
      <c r="I389" s="2091">
        <f t="shared" si="240"/>
        <v>216.88</v>
      </c>
      <c r="J389" s="2091">
        <f t="shared" si="241"/>
        <v>0</v>
      </c>
      <c r="K389" s="2113">
        <f>'Income Eligible Deemed Table'!F900</f>
        <v>201.39</v>
      </c>
      <c r="L389" s="2113">
        <f>'Income Eligible Deemed Table'!F901</f>
        <v>15.49</v>
      </c>
      <c r="M389" s="2113"/>
      <c r="N389" s="2113"/>
      <c r="O389" s="2092">
        <f t="shared" si="242"/>
        <v>0.190801</v>
      </c>
      <c r="P389" s="2092">
        <f t="shared" si="243"/>
        <v>0</v>
      </c>
      <c r="Q389" s="2086">
        <f>'Income Eligible Deemed Table'!I900</f>
        <v>0.190801</v>
      </c>
      <c r="R389" s="2086">
        <f>'Income Eligible Deemed Table'!I901</f>
        <v>0</v>
      </c>
      <c r="S389" s="2086"/>
      <c r="T389" s="2086"/>
      <c r="U389" s="2087">
        <v>0</v>
      </c>
      <c r="V389" s="2087">
        <f t="shared" si="244"/>
        <v>0.190801</v>
      </c>
      <c r="W389" s="2087">
        <v>0</v>
      </c>
      <c r="X389" s="2121">
        <f>'Income Eligible Deemed Table'!J900</f>
        <v>10</v>
      </c>
      <c r="Y389" s="2121"/>
      <c r="Z389" s="88">
        <f t="shared" si="246"/>
        <v>10</v>
      </c>
      <c r="AA389" s="637">
        <f>'Income Eligible Deemed Table'!BB900</f>
        <v>3.1866889366792432</v>
      </c>
      <c r="AB389" s="2917">
        <f>'Income Eligible Deemed Table'!K900</f>
        <v>70</v>
      </c>
      <c r="AC389" s="2089">
        <f t="shared" si="188"/>
        <v>210.54103404204531</v>
      </c>
      <c r="AD389" s="2089">
        <f t="shared" si="189"/>
        <v>0</v>
      </c>
      <c r="AE389" s="2955">
        <f>'Income Eligible Deemed Table'!BD900</f>
        <v>206.33184106998681</v>
      </c>
      <c r="AF389" s="2956">
        <f>'Income Eligible Deemed Table'!BD901</f>
        <v>4.2091929720585037</v>
      </c>
      <c r="AG389" s="2956"/>
      <c r="AH389" s="2956"/>
      <c r="AI389" s="2240" t="str">
        <f>'Income Eligible Deemed Table'!L900</f>
        <v>per measure</v>
      </c>
      <c r="AM389" s="2057">
        <f t="shared" si="239"/>
        <v>9.4741810000000004E-4</v>
      </c>
      <c r="AN389" s="132">
        <f>AM389*K389</f>
        <v>0.190800531159</v>
      </c>
      <c r="AO389" s="2048">
        <f t="shared" si="247"/>
        <v>-4.6884099999533468E-7</v>
      </c>
    </row>
    <row r="390" spans="2:41" x14ac:dyDescent="0.25">
      <c r="B390" s="2240" t="str">
        <f>'Income Eligible Deemed Table'!C902</f>
        <v>404101_2019_12_</v>
      </c>
      <c r="C390" s="208" t="str">
        <f>'Income Eligible Deemed Table'!G902</f>
        <v>Cooling RES</v>
      </c>
      <c r="D390" s="208" t="str">
        <f>'Income Eligible Deemed Table'!G903</f>
        <v>Heating RES</v>
      </c>
      <c r="E390" s="208"/>
      <c r="F390" s="208"/>
      <c r="G390" s="208" t="str">
        <f>'Income Eligible Deemed Table'!E902</f>
        <v>Setback thermostat - full setback - Unknown MF_CompE</v>
      </c>
      <c r="H390" s="622" t="str">
        <f>'Income Eligible Deemed Table'!D902</f>
        <v>MFLI</v>
      </c>
      <c r="I390" s="2091">
        <f t="shared" si="240"/>
        <v>151.74</v>
      </c>
      <c r="J390" s="2091">
        <f t="shared" si="241"/>
        <v>0</v>
      </c>
      <c r="K390" s="2113">
        <f>'Income Eligible Deemed Table'!F902</f>
        <v>146.46</v>
      </c>
      <c r="L390" s="2113">
        <f>'Income Eligible Deemed Table'!F903</f>
        <v>5.28</v>
      </c>
      <c r="M390" s="2113"/>
      <c r="N390" s="2113"/>
      <c r="O390" s="2092">
        <f t="shared" si="242"/>
        <v>0.13875899999999999</v>
      </c>
      <c r="P390" s="2092">
        <f t="shared" si="243"/>
        <v>0</v>
      </c>
      <c r="Q390" s="2086">
        <f>'Income Eligible Deemed Table'!I902</f>
        <v>0.13875899999999999</v>
      </c>
      <c r="R390" s="2086">
        <f>'Income Eligible Deemed Table'!I903</f>
        <v>0</v>
      </c>
      <c r="S390" s="2086"/>
      <c r="T390" s="2086"/>
      <c r="U390" s="2087">
        <v>0</v>
      </c>
      <c r="V390" s="2087">
        <f t="shared" si="244"/>
        <v>0.13875899999999999</v>
      </c>
      <c r="W390" s="2087">
        <v>0</v>
      </c>
      <c r="X390" s="2121">
        <f>'Income Eligible Deemed Table'!J902</f>
        <v>10</v>
      </c>
      <c r="Y390" s="2121"/>
      <c r="Z390" s="88">
        <f t="shared" si="246"/>
        <v>10</v>
      </c>
      <c r="AA390" s="637">
        <f>'Income Eligible Deemed Table'!BB902</f>
        <v>2.2928896695197545</v>
      </c>
      <c r="AB390" s="2917">
        <f>'Income Eligible Deemed Table'!K902</f>
        <v>70</v>
      </c>
      <c r="AC390" s="2089">
        <f t="shared" si="188"/>
        <v>151.48869926038961</v>
      </c>
      <c r="AD390" s="2089">
        <f t="shared" si="189"/>
        <v>0</v>
      </c>
      <c r="AE390" s="2955">
        <f>'Income Eligible Deemed Table'!BD902</f>
        <v>150.05393238547231</v>
      </c>
      <c r="AF390" s="2956">
        <f>'Income Eligible Deemed Table'!BD903</f>
        <v>1.434766874917295</v>
      </c>
      <c r="AG390" s="2956"/>
      <c r="AH390" s="2956"/>
      <c r="AI390" s="2240" t="str">
        <f>'Income Eligible Deemed Table'!L902</f>
        <v>per measure</v>
      </c>
      <c r="AM390" s="2057">
        <f t="shared" si="239"/>
        <v>9.4741810000000004E-4</v>
      </c>
      <c r="AN390" s="132">
        <f>AM390*K390</f>
        <v>0.13875885492600001</v>
      </c>
      <c r="AO390" s="2048">
        <f t="shared" si="247"/>
        <v>-1.4507399997976123E-7</v>
      </c>
    </row>
    <row r="391" spans="2:41" x14ac:dyDescent="0.25">
      <c r="B391" s="2240" t="str">
        <f>'Income Eligible Deemed Table'!C904</f>
        <v>404150_2019_12_</v>
      </c>
      <c r="C391" s="208" t="str">
        <f>'Income Eligible Deemed Table'!G904</f>
        <v>Cooling RES</v>
      </c>
      <c r="D391" s="208" t="str">
        <f>'Income Eligible Deemed Table'!G905</f>
        <v>Heating RES</v>
      </c>
      <c r="E391" s="208"/>
      <c r="F391" s="208"/>
      <c r="G391" s="208" t="str">
        <f>'Income Eligible Deemed Table'!E904</f>
        <v>Setback thermostat for SF - full setback - Unknown</v>
      </c>
      <c r="H391" s="622" t="str">
        <f>'Income Eligible Deemed Table'!D904</f>
        <v>SFLI</v>
      </c>
      <c r="I391" s="2091">
        <f t="shared" si="240"/>
        <v>390.53</v>
      </c>
      <c r="J391" s="2091">
        <f t="shared" si="241"/>
        <v>0</v>
      </c>
      <c r="K391" s="2113">
        <f>'Income Eligible Deemed Table'!F904</f>
        <v>358.2</v>
      </c>
      <c r="L391" s="2113">
        <f>'Income Eligible Deemed Table'!F905</f>
        <v>32.33</v>
      </c>
      <c r="M391" s="2113"/>
      <c r="N391" s="2113"/>
      <c r="O391" s="2092">
        <f t="shared" si="242"/>
        <v>0.33936500000000003</v>
      </c>
      <c r="P391" s="2092">
        <f t="shared" si="243"/>
        <v>0</v>
      </c>
      <c r="Q391" s="2086">
        <f>'Income Eligible Deemed Table'!I904</f>
        <v>0.33936500000000003</v>
      </c>
      <c r="R391" s="2086">
        <f>'Income Eligible Deemed Table'!I905</f>
        <v>0</v>
      </c>
      <c r="S391" s="2086"/>
      <c r="T391" s="2086"/>
      <c r="U391" s="2087">
        <v>0</v>
      </c>
      <c r="V391" s="2087">
        <f t="shared" si="244"/>
        <v>0.33936500000000003</v>
      </c>
      <c r="W391" s="2087">
        <v>0</v>
      </c>
      <c r="X391" s="2121">
        <f>'Income Eligible Deemed Table'!J904</f>
        <v>10</v>
      </c>
      <c r="Y391" s="2121"/>
      <c r="Z391" s="88">
        <f t="shared" si="246"/>
        <v>10</v>
      </c>
      <c r="AA391" s="637">
        <f>'Income Eligible Deemed Table'!BB904</f>
        <v>5.6876227080399149</v>
      </c>
      <c r="AB391" s="2917">
        <f>'Income Eligible Deemed Table'!K904</f>
        <v>70</v>
      </c>
      <c r="AC391" s="2089">
        <f t="shared" si="188"/>
        <v>375.77497835091458</v>
      </c>
      <c r="AD391" s="2089">
        <f t="shared" si="189"/>
        <v>0</v>
      </c>
      <c r="AE391" s="2955">
        <f>'Income Eligible Deemed Table'!BD904</f>
        <v>366.98974860355167</v>
      </c>
      <c r="AF391" s="2956">
        <f>'Income Eligible Deemed Table'!BD905</f>
        <v>8.7852297473629068</v>
      </c>
      <c r="AG391" s="2956"/>
      <c r="AH391" s="2956"/>
      <c r="AI391" s="2240" t="str">
        <f>'Income Eligible Deemed Table'!L904</f>
        <v>per measure</v>
      </c>
      <c r="AM391" s="2057">
        <f t="shared" si="239"/>
        <v>9.4741810000000004E-4</v>
      </c>
      <c r="AN391" s="132">
        <f>AM391*K391</f>
        <v>0.33936516342</v>
      </c>
      <c r="AO391" s="2048">
        <f t="shared" si="247"/>
        <v>1.6341999997671053E-7</v>
      </c>
    </row>
    <row r="392" spans="2:41" x14ac:dyDescent="0.25">
      <c r="B392" s="2240" t="str">
        <f>'Income Eligible Deemed Table'!C967</f>
        <v>404200_2019_12_</v>
      </c>
      <c r="C392" s="208" t="str">
        <f>'Income Eligible Deemed Table'!G967</f>
        <v>Water heating RES</v>
      </c>
      <c r="D392" s="208"/>
      <c r="E392" s="208"/>
      <c r="F392" s="208"/>
      <c r="G392" s="208" t="str">
        <f>'Income Eligible Deemed Table'!E967</f>
        <v>Shower Start 1.5 gpm electric water heater SFLI DI</v>
      </c>
      <c r="H392" s="622" t="str">
        <f>'Income Eligible Deemed Table'!D967</f>
        <v>SFLI DI</v>
      </c>
      <c r="I392" s="2084">
        <f>'Income Eligible Deemed Table'!F967</f>
        <v>41.68</v>
      </c>
      <c r="J392" s="2084"/>
      <c r="K392" s="2113"/>
      <c r="L392" s="2113"/>
      <c r="M392" s="2113"/>
      <c r="N392" s="2113"/>
      <c r="O392" s="2085">
        <f>'Income Eligible Deemed Table'!J967</f>
        <v>3.6979999999999999E-3</v>
      </c>
      <c r="P392" s="2085"/>
      <c r="Q392" s="2086"/>
      <c r="R392" s="2086"/>
      <c r="S392" s="2086"/>
      <c r="T392" s="2086"/>
      <c r="U392" s="2087">
        <v>0</v>
      </c>
      <c r="V392" s="2087">
        <f>O392</f>
        <v>3.6979999999999999E-3</v>
      </c>
      <c r="W392" s="2087">
        <v>0</v>
      </c>
      <c r="X392" s="2121">
        <f>'Income Eligible Deemed Table'!K967</f>
        <v>10</v>
      </c>
      <c r="Y392" s="2121"/>
      <c r="Z392" s="88">
        <f t="shared" si="246"/>
        <v>10</v>
      </c>
      <c r="AA392" s="637">
        <f>'Income Eligible Deemed Table'!BB967</f>
        <v>0.29788668889907871</v>
      </c>
      <c r="AB392" s="2917">
        <f>'Income Eligible Deemed Table'!L967</f>
        <v>50</v>
      </c>
      <c r="AC392" s="2089">
        <f t="shared" si="188"/>
        <v>14.057889990518106</v>
      </c>
      <c r="AD392" s="2089">
        <f t="shared" si="189"/>
        <v>0</v>
      </c>
      <c r="AE392" s="2955">
        <f>'Income Eligible Deemed Table'!BD967</f>
        <v>14.057889990518106</v>
      </c>
      <c r="AF392" s="2956"/>
      <c r="AG392" s="2956"/>
      <c r="AH392" s="2956"/>
      <c r="AI392" s="2257" t="str">
        <f>'Income Eligible Deemed Table'!M967</f>
        <v>per measure</v>
      </c>
      <c r="AM392" s="2057">
        <f t="shared" si="239"/>
        <v>8.8731800000000003E-5</v>
      </c>
      <c r="AN392">
        <f t="shared" ref="AN392:AN430" si="248">AM392*I392</f>
        <v>3.698341424E-3</v>
      </c>
      <c r="AO392" s="2048">
        <f t="shared" si="247"/>
        <v>3.4142400000009704E-7</v>
      </c>
    </row>
    <row r="393" spans="2:41" x14ac:dyDescent="0.25">
      <c r="B393" s="2240" t="str">
        <f>'Income Eligible Deemed Table'!C968</f>
        <v>404250_2019_12_</v>
      </c>
      <c r="C393" s="208" t="str">
        <f>'Income Eligible Deemed Table'!G968</f>
        <v>Water heating RES</v>
      </c>
      <c r="D393" s="208"/>
      <c r="E393" s="208"/>
      <c r="F393" s="208"/>
      <c r="G393" s="208" t="str">
        <f>'Income Eligible Deemed Table'!E968</f>
        <v>Shower Start 1.5 gpm electric water heater MFLI DI</v>
      </c>
      <c r="H393" s="622" t="str">
        <f>'Income Eligible Deemed Table'!D968</f>
        <v>MFLI DI</v>
      </c>
      <c r="I393" s="2084">
        <f>'Income Eligible Deemed Table'!F968</f>
        <v>47.32</v>
      </c>
      <c r="J393" s="2084"/>
      <c r="K393" s="2113"/>
      <c r="L393" s="2113"/>
      <c r="M393" s="2113"/>
      <c r="N393" s="2113"/>
      <c r="O393" s="2085">
        <f>'Income Eligible Deemed Table'!J968</f>
        <v>4.1989999999999996E-3</v>
      </c>
      <c r="P393" s="2085"/>
      <c r="Q393" s="2086"/>
      <c r="R393" s="2086"/>
      <c r="S393" s="2086"/>
      <c r="T393" s="2086"/>
      <c r="U393" s="2087">
        <v>0</v>
      </c>
      <c r="V393" s="2087">
        <f>O393</f>
        <v>4.1989999999999996E-3</v>
      </c>
      <c r="W393" s="2087">
        <v>0</v>
      </c>
      <c r="X393" s="2121">
        <f>'Income Eligible Deemed Table'!K968</f>
        <v>10</v>
      </c>
      <c r="Y393" s="2121"/>
      <c r="Z393" s="88">
        <f t="shared" ref="Z393:Z420" si="249">Y393+X393</f>
        <v>10</v>
      </c>
      <c r="AA393" s="637">
        <f>'Income Eligible Deemed Table'!BB968</f>
        <v>0.33819573221459703</v>
      </c>
      <c r="AB393" s="2917">
        <f>'Income Eligible Deemed Table'!L968</f>
        <v>50</v>
      </c>
      <c r="AC393" s="2089">
        <f t="shared" si="188"/>
        <v>15.960157254110287</v>
      </c>
      <c r="AD393" s="2089">
        <f t="shared" si="189"/>
        <v>0</v>
      </c>
      <c r="AE393" s="2955">
        <f>'Income Eligible Deemed Table'!BD968</f>
        <v>15.960157254110287</v>
      </c>
      <c r="AF393" s="2956"/>
      <c r="AG393" s="2956"/>
      <c r="AH393" s="2956"/>
      <c r="AI393" s="2257" t="str">
        <f>'Income Eligible Deemed Table'!M968</f>
        <v>per measure</v>
      </c>
      <c r="AM393" s="2057">
        <f t="shared" si="239"/>
        <v>8.8731800000000003E-5</v>
      </c>
      <c r="AN393">
        <f t="shared" si="248"/>
        <v>4.1987887760000005E-3</v>
      </c>
      <c r="AO393" s="2048">
        <f t="shared" si="247"/>
        <v>-2.1122399999906616E-7</v>
      </c>
    </row>
    <row r="394" spans="2:41" x14ac:dyDescent="0.25">
      <c r="B394" s="2240" t="str">
        <f>'Income Eligible Deemed Table'!C1002</f>
        <v>404300_2019_12_</v>
      </c>
      <c r="C394" s="208" t="str">
        <f>'Income Eligible Deemed Table'!G1002</f>
        <v>Water heating RES</v>
      </c>
      <c r="D394" s="208"/>
      <c r="E394" s="208"/>
      <c r="F394" s="208"/>
      <c r="G394" s="208" t="str">
        <f>'Income Eligible Deemed Table'!E1002</f>
        <v>Water Heater Wrap SFLI</v>
      </c>
      <c r="H394" s="622" t="str">
        <f>'Income Eligible Deemed Table'!D1002</f>
        <v>SFLI</v>
      </c>
      <c r="I394" s="2084">
        <f>'Income Eligible Deemed Table'!F1002</f>
        <v>100.55</v>
      </c>
      <c r="J394" s="2084"/>
      <c r="K394" s="2113"/>
      <c r="L394" s="2113"/>
      <c r="M394" s="2113"/>
      <c r="N394" s="2113"/>
      <c r="O394" s="2085">
        <f>'Income Eligible Deemed Table'!I1002</f>
        <v>8.9219999999999994E-3</v>
      </c>
      <c r="P394" s="2085"/>
      <c r="Q394" s="2086"/>
      <c r="R394" s="2086"/>
      <c r="S394" s="2086"/>
      <c r="T394" s="2086"/>
      <c r="U394" s="2087">
        <v>0</v>
      </c>
      <c r="V394" s="2087">
        <f>O394</f>
        <v>8.9219999999999994E-3</v>
      </c>
      <c r="W394" s="2087">
        <v>0</v>
      </c>
      <c r="X394" s="2121">
        <f>'Income Eligible Deemed Table'!J1002</f>
        <v>12</v>
      </c>
      <c r="Y394" s="2121"/>
      <c r="Z394" s="88">
        <f t="shared" si="249"/>
        <v>12</v>
      </c>
      <c r="AA394" s="637">
        <f>'Income Eligible Deemed Table'!BB1002</f>
        <v>0.74088146802699328</v>
      </c>
      <c r="AB394" s="2917">
        <f>'Income Eligible Deemed Table'!K1002</f>
        <v>58</v>
      </c>
      <c r="AC394" s="2089">
        <f t="shared" si="188"/>
        <v>40.557928405441821</v>
      </c>
      <c r="AD394" s="2089">
        <f t="shared" si="189"/>
        <v>0</v>
      </c>
      <c r="AE394" s="2955">
        <f>'Income Eligible Deemed Table'!BD1002</f>
        <v>40.557928405441821</v>
      </c>
      <c r="AF394" s="2956"/>
      <c r="AG394" s="2956"/>
      <c r="AH394" s="2956"/>
      <c r="AI394" s="2240" t="str">
        <f>'Income Eligible Deemed Table'!L1002</f>
        <v>per measure</v>
      </c>
      <c r="AM394" s="2057">
        <f t="shared" si="239"/>
        <v>8.8731800000000003E-5</v>
      </c>
      <c r="AN394">
        <f t="shared" si="248"/>
        <v>8.9219824900000008E-3</v>
      </c>
      <c r="AO394" s="2048">
        <f t="shared" si="247"/>
        <v>-1.750999999855507E-8</v>
      </c>
    </row>
    <row r="395" spans="2:41" x14ac:dyDescent="0.25">
      <c r="B395" s="2240" t="str">
        <f>'Income Eligible Deemed Table'!C1028</f>
        <v>404350_2019_12_</v>
      </c>
      <c r="C395" s="208" t="str">
        <f>'Income Eligible Deemed Table'!G1028</f>
        <v>Water heating RES</v>
      </c>
      <c r="D395" s="208"/>
      <c r="E395" s="208"/>
      <c r="F395" s="208"/>
      <c r="G395" s="208" t="str">
        <f>'Income Eligible Deemed Table'!E1028</f>
        <v>Common Area Low Flow Bathroom Faucet Aerator</v>
      </c>
      <c r="H395" s="622" t="str">
        <f>'Income Eligible Deemed Table'!D1028</f>
        <v>MFLI</v>
      </c>
      <c r="I395" s="2084">
        <f>'Income Eligible Deemed Table'!F1028</f>
        <v>28.4</v>
      </c>
      <c r="J395" s="2084"/>
      <c r="K395" s="2113"/>
      <c r="L395" s="2113"/>
      <c r="M395" s="2113"/>
      <c r="N395" s="2113"/>
      <c r="O395" s="2085">
        <f>'Income Eligible Deemed Table'!J1028</f>
        <v>2.5200000000000001E-3</v>
      </c>
      <c r="P395" s="2085"/>
      <c r="Q395" s="2086"/>
      <c r="R395" s="2086"/>
      <c r="S395" s="2086"/>
      <c r="T395" s="2086"/>
      <c r="U395" s="2087">
        <v>0</v>
      </c>
      <c r="V395" s="2087">
        <f>O395</f>
        <v>2.5200000000000001E-3</v>
      </c>
      <c r="W395" s="2087">
        <v>0</v>
      </c>
      <c r="X395" s="2121">
        <f>'Income Eligible Deemed Table'!K1028</f>
        <v>10</v>
      </c>
      <c r="Y395" s="2121"/>
      <c r="Z395" s="88">
        <f t="shared" si="249"/>
        <v>10</v>
      </c>
      <c r="AA395" s="637">
        <f>'Income Eligible Deemed Table'!BB1028</f>
        <v>0.89573969671987408</v>
      </c>
      <c r="AB395" s="2917">
        <f>'Income Eligible Deemed Table'!L1028</f>
        <v>11.33</v>
      </c>
      <c r="AC395" s="2089">
        <f t="shared" si="188"/>
        <v>9.5787926039038904</v>
      </c>
      <c r="AD395" s="2089">
        <f t="shared" si="189"/>
        <v>0</v>
      </c>
      <c r="AE395" s="2955">
        <f>'Income Eligible Deemed Table'!BD1028</f>
        <v>9.5787926039038904</v>
      </c>
      <c r="AF395" s="2956"/>
      <c r="AG395" s="2956"/>
      <c r="AH395" s="2956"/>
      <c r="AI395" s="2252" t="str">
        <f>'Income Eligible Deemed Table'!M1028</f>
        <v>per measure</v>
      </c>
      <c r="AM395" s="2057">
        <f t="shared" si="239"/>
        <v>8.8731800000000003E-5</v>
      </c>
      <c r="AN395">
        <f t="shared" si="248"/>
        <v>2.5199831199999999E-3</v>
      </c>
      <c r="AO395" s="2048">
        <f t="shared" si="247"/>
        <v>-1.6880000000205064E-8</v>
      </c>
    </row>
    <row r="396" spans="2:41" x14ac:dyDescent="0.25">
      <c r="B396" s="2240" t="str">
        <f>'Income Eligible Deemed Table'!C1059</f>
        <v>404400_2019_12_</v>
      </c>
      <c r="C396" s="208" t="str">
        <f>'Income Eligible Deemed Table'!G1059</f>
        <v>Water heating RES</v>
      </c>
      <c r="D396" s="208"/>
      <c r="E396" s="208"/>
      <c r="F396" s="208"/>
      <c r="G396" s="208" t="str">
        <f>'Income Eligible Deemed Table'!E1059</f>
        <v>Common Area Low Flow Showerhead</v>
      </c>
      <c r="H396" s="622" t="str">
        <f>'Income Eligible Deemed Table'!D1059</f>
        <v>MFLI DI</v>
      </c>
      <c r="I396" s="2084">
        <f>'Income Eligible Deemed Table'!F1059</f>
        <v>213.29</v>
      </c>
      <c r="J396" s="2084"/>
      <c r="K396" s="2113"/>
      <c r="L396" s="2113"/>
      <c r="M396" s="2113"/>
      <c r="N396" s="2113"/>
      <c r="O396" s="2085">
        <f>'Income Eligible Deemed Table'!J1059</f>
        <v>1.8925999999999998E-2</v>
      </c>
      <c r="P396" s="2085"/>
      <c r="Q396" s="2086"/>
      <c r="R396" s="2086"/>
      <c r="S396" s="2086"/>
      <c r="T396" s="2086"/>
      <c r="U396" s="2087">
        <v>0</v>
      </c>
      <c r="V396" s="2087">
        <f>O396</f>
        <v>1.8925999999999998E-2</v>
      </c>
      <c r="W396" s="2087">
        <v>0</v>
      </c>
      <c r="X396" s="2121">
        <f>'Income Eligible Deemed Table'!K1059</f>
        <v>10</v>
      </c>
      <c r="Y396" s="2121"/>
      <c r="Z396" s="88">
        <f t="shared" si="249"/>
        <v>10</v>
      </c>
      <c r="AA396" s="637">
        <f>'Income Eligible Deemed Table'!BB1059</f>
        <v>10.888444590636908</v>
      </c>
      <c r="AB396" s="2917">
        <f>'Income Eligible Deemed Table'!L1059</f>
        <v>7</v>
      </c>
      <c r="AC396" s="2089">
        <f t="shared" si="188"/>
        <v>71.938756143896512</v>
      </c>
      <c r="AD396" s="2089">
        <f t="shared" si="189"/>
        <v>0</v>
      </c>
      <c r="AE396" s="2955">
        <f>'Income Eligible Deemed Table'!BD1059</f>
        <v>71.938756143896512</v>
      </c>
      <c r="AF396" s="2956"/>
      <c r="AG396" s="2956"/>
      <c r="AH396" s="2956"/>
      <c r="AI396" s="2252" t="str">
        <f>'Income Eligible Deemed Table'!M1059</f>
        <v>per measure</v>
      </c>
      <c r="AM396" s="2057">
        <f t="shared" si="239"/>
        <v>8.8731800000000003E-5</v>
      </c>
      <c r="AN396">
        <f t="shared" si="248"/>
        <v>1.8925605621999998E-2</v>
      </c>
      <c r="AO396" s="2048">
        <f t="shared" si="247"/>
        <v>-3.9437800000013956E-7</v>
      </c>
    </row>
    <row r="397" spans="2:41" x14ac:dyDescent="0.25">
      <c r="B397" s="2240" t="str">
        <f>'Income Eligible Deemed Table'!C1093</f>
        <v>404450_2019_12_</v>
      </c>
      <c r="C397" s="208" t="str">
        <f>'Income Eligible Deemed Table'!G1093</f>
        <v>Lighting RES</v>
      </c>
      <c r="D397" s="208"/>
      <c r="E397" s="208"/>
      <c r="F397" s="208"/>
      <c r="G397" s="208" t="str">
        <f>'Income Eligible Deemed Table'!E1093</f>
        <v>LED - 10.5W Downlight E26 (EISA baseline) LI DI</v>
      </c>
      <c r="H397" s="622" t="str">
        <f>'Income Eligible Deemed Table'!D1093</f>
        <v>SFLI / MFLI</v>
      </c>
      <c r="I397" s="2084">
        <f>'Income Eligible Deemed Table'!F1093</f>
        <v>23.59</v>
      </c>
      <c r="J397" s="2084"/>
      <c r="K397" s="2113"/>
      <c r="L397" s="2113"/>
      <c r="M397" s="2113"/>
      <c r="N397" s="2113"/>
      <c r="O397" s="2085">
        <f>'Income Eligible Deemed Table'!M1093</f>
        <v>3.5209999999999998E-3</v>
      </c>
      <c r="P397" s="2085"/>
      <c r="Q397" s="2086"/>
      <c r="R397" s="2086"/>
      <c r="S397" s="2086"/>
      <c r="T397" s="2086"/>
      <c r="U397" s="2087"/>
      <c r="V397" s="2087"/>
      <c r="W397" s="2087">
        <f>O397</f>
        <v>3.5209999999999998E-3</v>
      </c>
      <c r="X397" s="2121">
        <f>'Income Eligible Deemed Table'!N1093</f>
        <v>19</v>
      </c>
      <c r="Y397" s="2121"/>
      <c r="Z397" s="88">
        <f t="shared" si="249"/>
        <v>19</v>
      </c>
      <c r="AA397" s="637">
        <f>'Income Eligible Deemed Table'!BB1093</f>
        <v>2.440174293837051</v>
      </c>
      <c r="AB397" s="2917">
        <f>'Income Eligible Deemed Table'!P1093</f>
        <v>6</v>
      </c>
      <c r="AC397" s="2089">
        <f t="shared" si="188"/>
        <v>13.818825637585942</v>
      </c>
      <c r="AD397" s="2089">
        <f t="shared" si="189"/>
        <v>0</v>
      </c>
      <c r="AE397" s="2955">
        <f>'Income Eligible Deemed Table'!BD1093</f>
        <v>13.818825637585942</v>
      </c>
      <c r="AF397" s="2956"/>
      <c r="AG397" s="2956"/>
      <c r="AH397" s="2956"/>
      <c r="AI397" s="2253" t="str">
        <f>'Income Eligible Deemed Table'!R1093</f>
        <v>per measure</v>
      </c>
      <c r="AM397" s="2057">
        <f t="shared" si="239"/>
        <v>1.4925290000000001E-4</v>
      </c>
      <c r="AN397">
        <f t="shared" si="248"/>
        <v>3.5208759110000004E-3</v>
      </c>
      <c r="AO397" s="2048">
        <f t="shared" si="247"/>
        <v>-1.2408899999942838E-7</v>
      </c>
    </row>
    <row r="398" spans="2:41" x14ac:dyDescent="0.25">
      <c r="B398" s="2240" t="str">
        <f>'Income Eligible Deemed Table'!C1094</f>
        <v>404500_2019_12_</v>
      </c>
      <c r="C398" s="208" t="str">
        <f>'Income Eligible Deemed Table'!G1094</f>
        <v>Lighting RES</v>
      </c>
      <c r="D398" s="208"/>
      <c r="E398" s="208"/>
      <c r="F398" s="208"/>
      <c r="G398" s="208" t="str">
        <f>'Income Eligible Deemed Table'!E1094</f>
        <v>LED - 10W (Halogen baseline) (750-1049 lumens) LIDI</v>
      </c>
      <c r="H398" s="622" t="str">
        <f>'Income Eligible Deemed Table'!D1094</f>
        <v>SFLI / MFLI</v>
      </c>
      <c r="I398" s="2084">
        <f>'Income Eligible Deemed Table'!F1094</f>
        <v>22.22</v>
      </c>
      <c r="J398" s="2084"/>
      <c r="K398" s="2113"/>
      <c r="L398" s="2113"/>
      <c r="M398" s="2113"/>
      <c r="N398" s="2113"/>
      <c r="O398" s="2085">
        <f>'Income Eligible Deemed Table'!M1094</f>
        <v>3.3159999999999999E-3</v>
      </c>
      <c r="P398" s="2085"/>
      <c r="Q398" s="2086"/>
      <c r="R398" s="2086"/>
      <c r="S398" s="2086"/>
      <c r="T398" s="2086"/>
      <c r="U398" s="2087"/>
      <c r="V398" s="2087"/>
      <c r="W398" s="2087">
        <f t="shared" ref="W398:W419" si="250">O398</f>
        <v>3.3159999999999999E-3</v>
      </c>
      <c r="X398" s="2121">
        <f>'Income Eligible Deemed Table'!N1094</f>
        <v>19</v>
      </c>
      <c r="Y398" s="2121"/>
      <c r="Z398" s="88">
        <f t="shared" si="249"/>
        <v>19</v>
      </c>
      <c r="AA398" s="637">
        <f>'Income Eligible Deemed Table'!BB1094</f>
        <v>2.298460059731211</v>
      </c>
      <c r="AB398" s="2917">
        <f>'Income Eligible Deemed Table'!P1094</f>
        <v>6</v>
      </c>
      <c r="AC398" s="2089">
        <f t="shared" ref="AC398:AC480" si="251">AE398+AF398</f>
        <v>13.016291041422619</v>
      </c>
      <c r="AD398" s="2089">
        <f t="shared" ref="AD398:AD480" si="252">AG398+AH398</f>
        <v>0</v>
      </c>
      <c r="AE398" s="2955">
        <f>'Income Eligible Deemed Table'!BD1094</f>
        <v>13.016291041422619</v>
      </c>
      <c r="AF398" s="2956"/>
      <c r="AG398" s="2956"/>
      <c r="AH398" s="2956"/>
      <c r="AI398" s="2253" t="str">
        <f>'Income Eligible Deemed Table'!R1094</f>
        <v>per measure</v>
      </c>
      <c r="AM398" s="2057">
        <f t="shared" si="239"/>
        <v>1.4925290000000001E-4</v>
      </c>
      <c r="AN398">
        <f t="shared" si="248"/>
        <v>3.3163994380000002E-3</v>
      </c>
      <c r="AO398" s="2048">
        <f t="shared" si="247"/>
        <v>3.994380000003038E-7</v>
      </c>
    </row>
    <row r="399" spans="2:41" x14ac:dyDescent="0.25">
      <c r="B399" s="2240" t="str">
        <f>'Income Eligible Deemed Table'!C1095</f>
        <v>404550_2019_12_</v>
      </c>
      <c r="C399" s="208" t="str">
        <f>'Income Eligible Deemed Table'!G1095</f>
        <v>Lighting RES</v>
      </c>
      <c r="D399" s="208"/>
      <c r="E399" s="208"/>
      <c r="F399" s="208"/>
      <c r="G399" s="208" t="str">
        <f>'Income Eligible Deemed Table'!E1095</f>
        <v>LED - 12W (Halogen baseline) LI DI</v>
      </c>
      <c r="H399" s="622" t="str">
        <f>'Income Eligible Deemed Table'!D1095</f>
        <v>SFLI / MFLI</v>
      </c>
      <c r="I399" s="2084">
        <f>'Income Eligible Deemed Table'!F1095</f>
        <v>22.95</v>
      </c>
      <c r="J399" s="2084"/>
      <c r="K399" s="2113"/>
      <c r="L399" s="2113"/>
      <c r="M399" s="2113"/>
      <c r="N399" s="2113"/>
      <c r="O399" s="2085">
        <f>'Income Eligible Deemed Table'!M1095</f>
        <v>3.4250000000000001E-3</v>
      </c>
      <c r="P399" s="2085"/>
      <c r="Q399" s="2086"/>
      <c r="R399" s="2086"/>
      <c r="S399" s="2086"/>
      <c r="T399" s="2086"/>
      <c r="U399" s="2087"/>
      <c r="V399" s="2087"/>
      <c r="W399" s="2087">
        <f t="shared" si="250"/>
        <v>3.4250000000000001E-3</v>
      </c>
      <c r="X399" s="2121">
        <f>'Income Eligible Deemed Table'!N1095</f>
        <v>19</v>
      </c>
      <c r="Y399" s="2121"/>
      <c r="Z399" s="88">
        <f t="shared" si="249"/>
        <v>19</v>
      </c>
      <c r="AA399" s="637">
        <f>'Income Eligible Deemed Table'!BB1095</f>
        <v>2.3739720238897974</v>
      </c>
      <c r="AB399" s="2917">
        <f>'Income Eligible Deemed Table'!P1095</f>
        <v>6</v>
      </c>
      <c r="AC399" s="2089">
        <f t="shared" si="251"/>
        <v>13.443918964925704</v>
      </c>
      <c r="AD399" s="2089">
        <f t="shared" si="252"/>
        <v>0</v>
      </c>
      <c r="AE399" s="2955">
        <f>'Income Eligible Deemed Table'!BD1095</f>
        <v>13.443918964925704</v>
      </c>
      <c r="AF399" s="2956"/>
      <c r="AG399" s="2956"/>
      <c r="AH399" s="2956"/>
      <c r="AI399" s="2253" t="str">
        <f>'Income Eligible Deemed Table'!R1095</f>
        <v>per measure</v>
      </c>
      <c r="AM399" s="2057">
        <f t="shared" si="239"/>
        <v>1.4925290000000001E-4</v>
      </c>
      <c r="AN399">
        <f t="shared" si="248"/>
        <v>3.425354055E-3</v>
      </c>
      <c r="AO399" s="2048">
        <f t="shared" si="247"/>
        <v>3.5405499999993303E-7</v>
      </c>
    </row>
    <row r="400" spans="2:41" x14ac:dyDescent="0.25">
      <c r="B400" s="2240" t="str">
        <f>'Income Eligible Deemed Table'!C1096</f>
        <v>404600_2019_12_</v>
      </c>
      <c r="C400" s="208" t="str">
        <f>'Income Eligible Deemed Table'!G1096</f>
        <v>Lighting RES</v>
      </c>
      <c r="D400" s="208"/>
      <c r="E400" s="208"/>
      <c r="F400" s="208"/>
      <c r="G400" s="208" t="str">
        <f>'Income Eligible Deemed Table'!E1096</f>
        <v>LED - 12W Dimmable Light Bulb (Replacing Specialty Incandescent) LI DI</v>
      </c>
      <c r="H400" s="622" t="str">
        <f>'Income Eligible Deemed Table'!D1096</f>
        <v>SFLI / MFLI</v>
      </c>
      <c r="I400" s="2084">
        <f>'Income Eligible Deemed Table'!F1096</f>
        <v>27.52</v>
      </c>
      <c r="J400" s="2084"/>
      <c r="K400" s="2113"/>
      <c r="L400" s="2113"/>
      <c r="M400" s="2113"/>
      <c r="N400" s="2113"/>
      <c r="O400" s="2085">
        <f>'Income Eligible Deemed Table'!M1096</f>
        <v>4.1079999999999997E-3</v>
      </c>
      <c r="P400" s="2085"/>
      <c r="Q400" s="2086"/>
      <c r="R400" s="2086"/>
      <c r="S400" s="2086"/>
      <c r="T400" s="2086"/>
      <c r="U400" s="2087"/>
      <c r="V400" s="2087"/>
      <c r="W400" s="2087">
        <f t="shared" si="250"/>
        <v>4.1079999999999997E-3</v>
      </c>
      <c r="X400" s="2121">
        <f>'Income Eligible Deemed Table'!N1096</f>
        <v>19</v>
      </c>
      <c r="Y400" s="2121"/>
      <c r="Z400" s="88">
        <f t="shared" si="249"/>
        <v>19</v>
      </c>
      <c r="AA400" s="637">
        <f>'Income Eligible Deemed Table'!BB1096</f>
        <v>2.8466976077319051</v>
      </c>
      <c r="AB400" s="2917">
        <f>'Income Eligible Deemed Table'!P1096</f>
        <v>6</v>
      </c>
      <c r="AC400" s="2089">
        <f t="shared" si="251"/>
        <v>16.120986924390213</v>
      </c>
      <c r="AD400" s="2089">
        <f t="shared" si="252"/>
        <v>0</v>
      </c>
      <c r="AE400" s="2955">
        <f>'Income Eligible Deemed Table'!BD1096</f>
        <v>16.120986924390213</v>
      </c>
      <c r="AF400" s="2956"/>
      <c r="AG400" s="2956"/>
      <c r="AH400" s="2956"/>
      <c r="AI400" s="2253" t="str">
        <f>'Income Eligible Deemed Table'!R1096</f>
        <v>per measure</v>
      </c>
      <c r="AM400" s="2057">
        <f t="shared" si="239"/>
        <v>1.4925290000000001E-4</v>
      </c>
      <c r="AN400">
        <f t="shared" si="248"/>
        <v>4.1074398080000003E-3</v>
      </c>
      <c r="AO400" s="2048">
        <f t="shared" si="247"/>
        <v>-5.6019199999937652E-7</v>
      </c>
    </row>
    <row r="401" spans="2:41" x14ac:dyDescent="0.25">
      <c r="B401" s="2240" t="str">
        <f>'Income Eligible Deemed Table'!C1097</f>
        <v>404650_2019_12_</v>
      </c>
      <c r="C401" s="208" t="str">
        <f>'Income Eligible Deemed Table'!G1097</f>
        <v>Lighting RES</v>
      </c>
      <c r="D401" s="208"/>
      <c r="E401" s="208"/>
      <c r="F401" s="208"/>
      <c r="G401" s="208" t="str">
        <f>'Income Eligible Deemed Table'!E1097</f>
        <v>LED - 15W (Halogen baseline) (1050-1489 lumens) LIDI</v>
      </c>
      <c r="H401" s="622" t="str">
        <f>'Income Eligible Deemed Table'!D1097</f>
        <v>SFLI / MFLI</v>
      </c>
      <c r="I401" s="2084">
        <f>'Income Eligible Deemed Table'!F1097</f>
        <v>27.79</v>
      </c>
      <c r="J401" s="2084"/>
      <c r="K401" s="2113"/>
      <c r="L401" s="2113"/>
      <c r="M401" s="2113"/>
      <c r="N401" s="2113"/>
      <c r="O401" s="2085">
        <f>'Income Eligible Deemed Table'!M1097</f>
        <v>4.1469999999999996E-3</v>
      </c>
      <c r="P401" s="2085"/>
      <c r="Q401" s="2086"/>
      <c r="R401" s="2086"/>
      <c r="S401" s="2086"/>
      <c r="T401" s="2086"/>
      <c r="U401" s="2087"/>
      <c r="V401" s="2087"/>
      <c r="W401" s="2087">
        <f t="shared" si="250"/>
        <v>4.1469999999999996E-3</v>
      </c>
      <c r="X401" s="2121">
        <f>'Income Eligible Deemed Table'!N1097</f>
        <v>19</v>
      </c>
      <c r="Y401" s="2121"/>
      <c r="Z401" s="88">
        <f t="shared" si="249"/>
        <v>19</v>
      </c>
      <c r="AA401" s="637">
        <f>'Income Eligible Deemed Table'!BB1097</f>
        <v>2.1559700177744272</v>
      </c>
      <c r="AB401" s="2917">
        <f>'Income Eligible Deemed Table'!P1097</f>
        <v>8</v>
      </c>
      <c r="AC401" s="2089">
        <f t="shared" si="251"/>
        <v>16.27915067691875</v>
      </c>
      <c r="AD401" s="2089">
        <f t="shared" si="252"/>
        <v>0</v>
      </c>
      <c r="AE401" s="2955">
        <f>'Income Eligible Deemed Table'!BD1097</f>
        <v>16.27915067691875</v>
      </c>
      <c r="AF401" s="2956"/>
      <c r="AG401" s="2956"/>
      <c r="AH401" s="2956"/>
      <c r="AI401" s="2253" t="str">
        <f>'Income Eligible Deemed Table'!R1097</f>
        <v>per measure</v>
      </c>
      <c r="AM401" s="2057">
        <f t="shared" si="239"/>
        <v>1.4925290000000001E-4</v>
      </c>
      <c r="AN401">
        <f t="shared" si="248"/>
        <v>4.1477380909999998E-3</v>
      </c>
      <c r="AO401" s="2048">
        <f t="shared" si="247"/>
        <v>7.3809100000019751E-7</v>
      </c>
    </row>
    <row r="402" spans="2:41" s="132" customFormat="1" x14ac:dyDescent="0.25">
      <c r="B402" s="2307" t="str">
        <f>'Income Eligible Deemed Table'!C1098</f>
        <v>404651_2020_12_</v>
      </c>
      <c r="C402" s="2305" t="str">
        <f>'Income Eligible Deemed Table'!G1098</f>
        <v>Lighting RES</v>
      </c>
      <c r="D402" s="2305"/>
      <c r="E402" s="2305"/>
      <c r="F402" s="2305"/>
      <c r="G402" s="2305" t="str">
        <f>'Income Eligible Deemed Table'!E1098</f>
        <v>LED - 11W Flood Light BR30 Bulb (Halogen baseline) LI DI</v>
      </c>
      <c r="H402" s="2322" t="str">
        <f>'Income Eligible Deemed Table'!D1098</f>
        <v>SFLI / MFLI</v>
      </c>
      <c r="I402" s="2320">
        <f>'Income Eligible Deemed Table'!F1098</f>
        <v>35.39</v>
      </c>
      <c r="J402" s="2320"/>
      <c r="K402" s="2310"/>
      <c r="L402" s="2310"/>
      <c r="M402" s="2310"/>
      <c r="N402" s="2310"/>
      <c r="O402" s="2321">
        <f>'Income Eligible Deemed Table'!M1098</f>
        <v>5.2820000000000002E-3</v>
      </c>
      <c r="P402" s="2321"/>
      <c r="Q402" s="2323"/>
      <c r="R402" s="2323"/>
      <c r="S402" s="2323"/>
      <c r="T402" s="2323"/>
      <c r="U402" s="2273"/>
      <c r="V402" s="2273"/>
      <c r="W402" s="2273">
        <f t="shared" ref="W402" si="253">O402</f>
        <v>5.2820000000000002E-3</v>
      </c>
      <c r="X402" s="2299">
        <f>'Income Eligible Deemed Table'!N1098</f>
        <v>19</v>
      </c>
      <c r="Y402" s="2299"/>
      <c r="Z402" s="2299">
        <f t="shared" ref="Z402" si="254">Y402+X402</f>
        <v>19</v>
      </c>
      <c r="AA402" s="2298">
        <f>'Income Eligible Deemed Table'!BB1098</f>
        <v>2.1964671875937238</v>
      </c>
      <c r="AB402" s="2919">
        <f>'Income Eligible Deemed Table'!P1098</f>
        <v>10</v>
      </c>
      <c r="AC402" s="2928">
        <f t="shared" ref="AC402" si="255">AE402+AF402</f>
        <v>20.731167414759071</v>
      </c>
      <c r="AD402" s="2928">
        <f t="shared" ref="AD402" si="256">AG402+AH402</f>
        <v>0</v>
      </c>
      <c r="AE402" s="2957">
        <f>'Income Eligible Deemed Table'!BD1098</f>
        <v>20.731167414759071</v>
      </c>
      <c r="AF402" s="2334"/>
      <c r="AG402" s="2334"/>
      <c r="AH402" s="2334"/>
      <c r="AI402" s="2952" t="str">
        <f>'Income Eligible Deemed Table'!R1098</f>
        <v>per measure</v>
      </c>
      <c r="AM402" s="2929">
        <f t="shared" si="239"/>
        <v>1.4925290000000001E-4</v>
      </c>
      <c r="AN402" s="132">
        <f t="shared" ref="AN402" si="257">AM402*I402</f>
        <v>5.2820601310000007E-3</v>
      </c>
      <c r="AO402" s="2933">
        <f t="shared" ref="AO402" si="258">AN402-O402</f>
        <v>6.0131000000421264E-8</v>
      </c>
    </row>
    <row r="403" spans="2:41" x14ac:dyDescent="0.25">
      <c r="B403" s="2240" t="str">
        <f>'Income Eligible Deemed Table'!C1099</f>
        <v>404700_2019_12_</v>
      </c>
      <c r="C403" s="208" t="str">
        <f>'Income Eligible Deemed Table'!G1099</f>
        <v>Lighting RES</v>
      </c>
      <c r="D403" s="208"/>
      <c r="E403" s="208"/>
      <c r="F403" s="208"/>
      <c r="G403" s="208" t="str">
        <f>'Income Eligible Deemed Table'!E1099</f>
        <v>LED - 15W Flood Light PAR30 Bulb (Halogen baseline) LI DI</v>
      </c>
      <c r="H403" s="622" t="str">
        <f>'Income Eligible Deemed Table'!D1099</f>
        <v>SFLI / MFLI</v>
      </c>
      <c r="I403" s="2084">
        <f>'Income Eligible Deemed Table'!F1099</f>
        <v>26.87</v>
      </c>
      <c r="J403" s="2084"/>
      <c r="K403" s="2113"/>
      <c r="L403" s="2113"/>
      <c r="M403" s="2113"/>
      <c r="N403" s="2113"/>
      <c r="O403" s="2085">
        <f>'Income Eligible Deemed Table'!M1099</f>
        <v>4.0099999999999997E-3</v>
      </c>
      <c r="P403" s="2085"/>
      <c r="Q403" s="2086"/>
      <c r="R403" s="2086"/>
      <c r="S403" s="2086"/>
      <c r="T403" s="2086"/>
      <c r="U403" s="2087"/>
      <c r="V403" s="2087"/>
      <c r="W403" s="2087">
        <f t="shared" si="250"/>
        <v>4.0099999999999997E-3</v>
      </c>
      <c r="X403" s="2121">
        <f>'Income Eligible Deemed Table'!N1099</f>
        <v>19</v>
      </c>
      <c r="Y403" s="2121"/>
      <c r="Z403" s="88">
        <f t="shared" si="249"/>
        <v>19</v>
      </c>
      <c r="AA403" s="637">
        <f>'Income Eligible Deemed Table'!BB1099</f>
        <v>1.6676765563900355</v>
      </c>
      <c r="AB403" s="2917">
        <f>'Income Eligible Deemed Table'!P1099</f>
        <v>10</v>
      </c>
      <c r="AC403" s="2089">
        <f t="shared" si="251"/>
        <v>15.740222334969658</v>
      </c>
      <c r="AD403" s="2089">
        <f t="shared" si="252"/>
        <v>0</v>
      </c>
      <c r="AE403" s="2955">
        <f>'Income Eligible Deemed Table'!BD1099</f>
        <v>15.740222334969658</v>
      </c>
      <c r="AF403" s="2956"/>
      <c r="AG403" s="2956"/>
      <c r="AH403" s="2956"/>
      <c r="AI403" s="2253" t="str">
        <f>'Income Eligible Deemed Table'!R1099</f>
        <v>per measure</v>
      </c>
      <c r="AM403" s="2057">
        <f t="shared" si="239"/>
        <v>1.4925290000000001E-4</v>
      </c>
      <c r="AN403">
        <f t="shared" si="248"/>
        <v>4.0104254230000002E-3</v>
      </c>
      <c r="AO403" s="2048">
        <f t="shared" si="247"/>
        <v>4.2542300000055627E-7</v>
      </c>
    </row>
    <row r="404" spans="2:41" x14ac:dyDescent="0.25">
      <c r="B404" s="2240" t="str">
        <f>'Income Eligible Deemed Table'!C1100</f>
        <v>404750_2019_12_</v>
      </c>
      <c r="C404" s="208" t="str">
        <f>'Income Eligible Deemed Table'!G1100</f>
        <v>Lighting RES</v>
      </c>
      <c r="D404" s="208"/>
      <c r="E404" s="208"/>
      <c r="F404" s="208"/>
      <c r="G404" s="208" t="str">
        <f>'Income Eligible Deemed Table'!E1100</f>
        <v>LED - 18W Flood Light PAR38 Bulb (Halogen baseline) LI DI</v>
      </c>
      <c r="H404" s="622" t="str">
        <f>'Income Eligible Deemed Table'!D1100</f>
        <v>SFLI / MFLI</v>
      </c>
      <c r="I404" s="2084">
        <f>'Income Eligible Deemed Table'!F1100</f>
        <v>34.729999999999997</v>
      </c>
      <c r="J404" s="2084"/>
      <c r="K404" s="2113"/>
      <c r="L404" s="2113"/>
      <c r="M404" s="2113"/>
      <c r="N404" s="2113"/>
      <c r="O404" s="2085">
        <f>'Income Eligible Deemed Table'!M1100</f>
        <v>5.1840000000000002E-3</v>
      </c>
      <c r="P404" s="2085"/>
      <c r="Q404" s="2086"/>
      <c r="R404" s="2086"/>
      <c r="S404" s="2086"/>
      <c r="T404" s="2086"/>
      <c r="U404" s="2087"/>
      <c r="V404" s="2087"/>
      <c r="W404" s="2087">
        <f t="shared" si="250"/>
        <v>5.1840000000000002E-3</v>
      </c>
      <c r="X404" s="2121">
        <f>'Income Eligible Deemed Table'!N1100</f>
        <v>19</v>
      </c>
      <c r="Y404" s="2121"/>
      <c r="Z404" s="88">
        <f t="shared" si="249"/>
        <v>19</v>
      </c>
      <c r="AA404" s="637">
        <f>'Income Eligible Deemed Table'!BB1100</f>
        <v>1.4370030220425734</v>
      </c>
      <c r="AB404" s="2917">
        <f>'Income Eligible Deemed Table'!P1100</f>
        <v>15</v>
      </c>
      <c r="AC404" s="2089">
        <f t="shared" si="251"/>
        <v>20.344544908578197</v>
      </c>
      <c r="AD404" s="2089">
        <f t="shared" si="252"/>
        <v>0</v>
      </c>
      <c r="AE404" s="2955">
        <f>'Income Eligible Deemed Table'!BD1100</f>
        <v>20.344544908578197</v>
      </c>
      <c r="AF404" s="2956"/>
      <c r="AG404" s="2956"/>
      <c r="AH404" s="2956"/>
      <c r="AI404" s="2253" t="str">
        <f>'Income Eligible Deemed Table'!R1100</f>
        <v>per measure</v>
      </c>
      <c r="AM404" s="2057">
        <f t="shared" ref="AM404:AM435" si="259">VLOOKUP(C404,$AS$10:$AT$32,2,FALSE)</f>
        <v>1.4925290000000001E-4</v>
      </c>
      <c r="AN404">
        <f t="shared" si="248"/>
        <v>5.183553217E-3</v>
      </c>
      <c r="AO404" s="2048">
        <f t="shared" si="247"/>
        <v>-4.4678300000020738E-7</v>
      </c>
    </row>
    <row r="405" spans="2:41" x14ac:dyDescent="0.25">
      <c r="B405" s="2240" t="str">
        <f>'Income Eligible Deemed Table'!C1101</f>
        <v>404800_2019_12_</v>
      </c>
      <c r="C405" s="208" t="str">
        <f>'Income Eligible Deemed Table'!G1101</f>
        <v>Lighting RES</v>
      </c>
      <c r="D405" s="208"/>
      <c r="E405" s="208"/>
      <c r="F405" s="208"/>
      <c r="G405" s="208" t="str">
        <f>'Income Eligible Deemed Table'!E1101</f>
        <v>LED - 20W (Halogen baseline) (1490-2600 lumens) LIDI</v>
      </c>
      <c r="H405" s="622" t="str">
        <f>'Income Eligible Deemed Table'!D1101</f>
        <v>SFLI / MFLI</v>
      </c>
      <c r="I405" s="2084">
        <f>'Income Eligible Deemed Table'!F1101</f>
        <v>37.35</v>
      </c>
      <c r="J405" s="2084"/>
      <c r="K405" s="2113"/>
      <c r="L405" s="2113"/>
      <c r="M405" s="2113"/>
      <c r="N405" s="2113"/>
      <c r="O405" s="2085">
        <f>'Income Eligible Deemed Table'!M1101</f>
        <v>5.5750000000000001E-3</v>
      </c>
      <c r="P405" s="2085"/>
      <c r="Q405" s="2086"/>
      <c r="R405" s="2086"/>
      <c r="S405" s="2086"/>
      <c r="T405" s="2086"/>
      <c r="U405" s="2087"/>
      <c r="V405" s="2087"/>
      <c r="W405" s="2087">
        <f t="shared" si="250"/>
        <v>5.5750000000000001E-3</v>
      </c>
      <c r="X405" s="2121">
        <f>'Income Eligible Deemed Table'!N1101</f>
        <v>19</v>
      </c>
      <c r="Y405" s="2121"/>
      <c r="Z405" s="88">
        <f t="shared" si="249"/>
        <v>19</v>
      </c>
      <c r="AA405" s="637">
        <f>'Income Eligible Deemed Table'!BB1101</f>
        <v>2.8976423232772532</v>
      </c>
      <c r="AB405" s="2917">
        <f>'Income Eligible Deemed Table'!P1101</f>
        <v>8</v>
      </c>
      <c r="AC405" s="2089">
        <f t="shared" si="251"/>
        <v>21.87931909978105</v>
      </c>
      <c r="AD405" s="2089">
        <f t="shared" si="252"/>
        <v>0</v>
      </c>
      <c r="AE405" s="2955">
        <f>'Income Eligible Deemed Table'!BD1101</f>
        <v>21.87931909978105</v>
      </c>
      <c r="AF405" s="2956"/>
      <c r="AG405" s="2956"/>
      <c r="AH405" s="2956"/>
      <c r="AI405" s="2253" t="str">
        <f>'Income Eligible Deemed Table'!R1101</f>
        <v>per measure</v>
      </c>
      <c r="AM405" s="2057">
        <f t="shared" si="259"/>
        <v>1.4925290000000001E-4</v>
      </c>
      <c r="AN405">
        <f t="shared" si="248"/>
        <v>5.5745958150000005E-3</v>
      </c>
      <c r="AO405" s="2048">
        <f t="shared" si="247"/>
        <v>-4.0418499999955032E-7</v>
      </c>
    </row>
    <row r="406" spans="2:41" x14ac:dyDescent="0.25">
      <c r="B406" s="2240" t="str">
        <f>'Income Eligible Deemed Table'!C1102</f>
        <v>404850_2019_12_</v>
      </c>
      <c r="C406" s="208" t="str">
        <f>'Income Eligible Deemed Table'!G1102</f>
        <v>Lighting RES</v>
      </c>
      <c r="D406" s="208"/>
      <c r="E406" s="208"/>
      <c r="F406" s="208"/>
      <c r="G406" s="208" t="str">
        <f>'Income Eligible Deemed Table'!E1102</f>
        <v>LED - 4W Candelabra (Replacing Specialty Incandescent) LI DI</v>
      </c>
      <c r="H406" s="622" t="str">
        <f>'Income Eligible Deemed Table'!D1102</f>
        <v>SFLI / MFLI</v>
      </c>
      <c r="I406" s="2084">
        <f>'Income Eligible Deemed Table'!F1102</f>
        <v>23.53</v>
      </c>
      <c r="J406" s="2084"/>
      <c r="K406" s="2113"/>
      <c r="L406" s="2113"/>
      <c r="M406" s="2113"/>
      <c r="N406" s="2113"/>
      <c r="O406" s="2085">
        <f>'Income Eligible Deemed Table'!M1102</f>
        <v>3.5119999999999999E-3</v>
      </c>
      <c r="P406" s="2085"/>
      <c r="Q406" s="2086"/>
      <c r="R406" s="2086"/>
      <c r="S406" s="2086"/>
      <c r="T406" s="2086"/>
      <c r="U406" s="2087"/>
      <c r="V406" s="2087"/>
      <c r="W406" s="2087">
        <f t="shared" si="250"/>
        <v>3.5119999999999999E-3</v>
      </c>
      <c r="X406" s="2121">
        <f>'Income Eligible Deemed Table'!N1102</f>
        <v>19</v>
      </c>
      <c r="Y406" s="2121"/>
      <c r="Z406" s="88">
        <f t="shared" si="249"/>
        <v>19</v>
      </c>
      <c r="AA406" s="637">
        <f>'Income Eligible Deemed Table'!BB1102</f>
        <v>2.0862581408824248</v>
      </c>
      <c r="AB406" s="2917">
        <f>'Income Eligible Deemed Table'!P1102</f>
        <v>7</v>
      </c>
      <c r="AC406" s="2089">
        <f t="shared" si="251"/>
        <v>13.783678137024044</v>
      </c>
      <c r="AD406" s="2089">
        <f t="shared" si="252"/>
        <v>0</v>
      </c>
      <c r="AE406" s="2955">
        <f>'Income Eligible Deemed Table'!BD1102</f>
        <v>13.783678137024044</v>
      </c>
      <c r="AF406" s="2956"/>
      <c r="AG406" s="2956"/>
      <c r="AH406" s="2956"/>
      <c r="AI406" s="2253" t="str">
        <f>'Income Eligible Deemed Table'!R1102</f>
        <v>per measure</v>
      </c>
      <c r="AM406" s="2057">
        <f t="shared" si="259"/>
        <v>1.4925290000000001E-4</v>
      </c>
      <c r="AN406">
        <f t="shared" si="248"/>
        <v>3.5119207370000005E-3</v>
      </c>
      <c r="AO406" s="2048">
        <f t="shared" si="247"/>
        <v>-7.9262999999434036E-8</v>
      </c>
    </row>
    <row r="407" spans="2:41" x14ac:dyDescent="0.25">
      <c r="B407" s="2240" t="str">
        <f>'Income Eligible Deemed Table'!C1103</f>
        <v>404900_2019_12_</v>
      </c>
      <c r="C407" s="208" t="str">
        <f>'Income Eligible Deemed Table'!G1103</f>
        <v>Lighting RES</v>
      </c>
      <c r="D407" s="208"/>
      <c r="E407" s="208"/>
      <c r="F407" s="208"/>
      <c r="G407" s="208" t="str">
        <f>'Income Eligible Deemed Table'!E1103</f>
        <v>LED - 4W Candelabra (CFL baseline) LIDI</v>
      </c>
      <c r="H407" s="622" t="str">
        <f>'Income Eligible Deemed Table'!D1103</f>
        <v>SFLI / MFLI</v>
      </c>
      <c r="I407" s="2084">
        <f>'Income Eligible Deemed Table'!F1103</f>
        <v>2.95</v>
      </c>
      <c r="J407" s="2084"/>
      <c r="K407" s="2113"/>
      <c r="L407" s="2113"/>
      <c r="M407" s="2113"/>
      <c r="N407" s="2113"/>
      <c r="O407" s="2085">
        <f>'Income Eligible Deemed Table'!M1103</f>
        <v>4.4000000000000002E-4</v>
      </c>
      <c r="P407" s="2085"/>
      <c r="Q407" s="2086"/>
      <c r="R407" s="2086"/>
      <c r="S407" s="2086"/>
      <c r="T407" s="2086"/>
      <c r="U407" s="2087"/>
      <c r="V407" s="2087"/>
      <c r="W407" s="2087">
        <f t="shared" si="250"/>
        <v>4.4000000000000002E-4</v>
      </c>
      <c r="X407" s="2121">
        <f>'Income Eligible Deemed Table'!N1103</f>
        <v>19</v>
      </c>
      <c r="Y407" s="2121"/>
      <c r="Z407" s="88">
        <f t="shared" si="249"/>
        <v>19</v>
      </c>
      <c r="AA407" s="637">
        <f>'Income Eligible Deemed Table'!BB1103</f>
        <v>0.26155807546124754</v>
      </c>
      <c r="AB407" s="2917">
        <f>'Income Eligible Deemed Table'!P1103</f>
        <v>7</v>
      </c>
      <c r="AC407" s="2089">
        <f t="shared" si="251"/>
        <v>1.7280854442932823</v>
      </c>
      <c r="AD407" s="2089">
        <f t="shared" si="252"/>
        <v>0</v>
      </c>
      <c r="AE407" s="2955">
        <f>'Income Eligible Deemed Table'!BD1103</f>
        <v>1.7280854442932823</v>
      </c>
      <c r="AF407" s="2956"/>
      <c r="AG407" s="2956"/>
      <c r="AH407" s="2956"/>
      <c r="AI407" s="2253" t="str">
        <f>'Income Eligible Deemed Table'!R1103</f>
        <v>per measure</v>
      </c>
      <c r="AM407" s="2057">
        <f t="shared" si="259"/>
        <v>1.4925290000000001E-4</v>
      </c>
      <c r="AN407">
        <f t="shared" si="248"/>
        <v>4.4029605500000007E-4</v>
      </c>
      <c r="AO407" s="2048">
        <f t="shared" si="247"/>
        <v>2.960550000000498E-7</v>
      </c>
    </row>
    <row r="408" spans="2:41" x14ac:dyDescent="0.25">
      <c r="B408" s="2240" t="str">
        <f>'Income Eligible Deemed Table'!C1104</f>
        <v>404950_2019_12_</v>
      </c>
      <c r="C408" s="208" t="str">
        <f>'Income Eligible Deemed Table'!G1104</f>
        <v>Lighting RES</v>
      </c>
      <c r="D408" s="208"/>
      <c r="E408" s="208"/>
      <c r="F408" s="208"/>
      <c r="G408" s="208" t="str">
        <f>'Income Eligible Deemed Table'!E1104</f>
        <v>LED - 8W Globe Light G25 Bulb (Replacing Specialty Incandescent) LI DI</v>
      </c>
      <c r="H408" s="622" t="str">
        <f>'Income Eligible Deemed Table'!D1104</f>
        <v>SFLI / MFLI</v>
      </c>
      <c r="I408" s="2084">
        <f>'Income Eligible Deemed Table'!F1104</f>
        <v>14.42</v>
      </c>
      <c r="J408" s="2084"/>
      <c r="K408" s="2113"/>
      <c r="L408" s="2113"/>
      <c r="M408" s="2113"/>
      <c r="N408" s="2113"/>
      <c r="O408" s="2085">
        <f>'Income Eligible Deemed Table'!M1104</f>
        <v>2.1519999999999998E-3</v>
      </c>
      <c r="P408" s="2085"/>
      <c r="Q408" s="2086"/>
      <c r="R408" s="2086"/>
      <c r="S408" s="2086"/>
      <c r="T408" s="2086"/>
      <c r="U408" s="2087"/>
      <c r="V408" s="2087"/>
      <c r="W408" s="2087">
        <f t="shared" si="250"/>
        <v>2.1519999999999998E-3</v>
      </c>
      <c r="X408" s="2121">
        <f>'Income Eligible Deemed Table'!N1104</f>
        <v>19</v>
      </c>
      <c r="Y408" s="2121"/>
      <c r="Z408" s="88">
        <f t="shared" si="249"/>
        <v>19</v>
      </c>
      <c r="AA408" s="637">
        <f>'Income Eligible Deemed Table'!BB1104</f>
        <v>1.2785313383563353</v>
      </c>
      <c r="AB408" s="2917">
        <f>'Income Eligible Deemed Table'!P1104</f>
        <v>7</v>
      </c>
      <c r="AC408" s="2089">
        <f t="shared" si="251"/>
        <v>8.4471159683759751</v>
      </c>
      <c r="AD408" s="2089">
        <f t="shared" si="252"/>
        <v>0</v>
      </c>
      <c r="AE408" s="2955">
        <f>'Income Eligible Deemed Table'!BD1104</f>
        <v>8.4471159683759751</v>
      </c>
      <c r="AF408" s="2956"/>
      <c r="AG408" s="2956"/>
      <c r="AH408" s="2956"/>
      <c r="AI408" s="2253" t="str">
        <f>'Income Eligible Deemed Table'!R1104</f>
        <v>per measure</v>
      </c>
      <c r="AM408" s="2057">
        <f t="shared" si="259"/>
        <v>1.4925290000000001E-4</v>
      </c>
      <c r="AN408">
        <f t="shared" si="248"/>
        <v>2.1522268179999999E-3</v>
      </c>
      <c r="AO408" s="2048">
        <f t="shared" si="247"/>
        <v>2.2681800000007302E-7</v>
      </c>
    </row>
    <row r="409" spans="2:41" x14ac:dyDescent="0.25">
      <c r="B409" s="2240" t="str">
        <f>'Income Eligible Deemed Table'!C1105</f>
        <v>405000_2019_12_</v>
      </c>
      <c r="C409" s="208" t="str">
        <f>'Income Eligible Deemed Table'!G1105</f>
        <v>Lighting RES</v>
      </c>
      <c r="D409" s="208"/>
      <c r="E409" s="208"/>
      <c r="F409" s="208"/>
      <c r="G409" s="208" t="str">
        <f>'Income Eligible Deemed Table'!E1105</f>
        <v>LED - 8W Globe Light G25 Bulb (Replacing CFL) LIDI</v>
      </c>
      <c r="H409" s="622" t="str">
        <f>'Income Eligible Deemed Table'!D1105</f>
        <v>SFLI / MFLI</v>
      </c>
      <c r="I409" s="2084">
        <f>'Income Eligible Deemed Table'!F1105</f>
        <v>2.62</v>
      </c>
      <c r="J409" s="2084"/>
      <c r="K409" s="2113"/>
      <c r="L409" s="2113"/>
      <c r="M409" s="2113"/>
      <c r="N409" s="2113"/>
      <c r="O409" s="2085">
        <f>'Income Eligible Deemed Table'!M1105</f>
        <v>3.9100000000000002E-4</v>
      </c>
      <c r="P409" s="2085"/>
      <c r="Q409" s="2086"/>
      <c r="R409" s="2086"/>
      <c r="S409" s="2086"/>
      <c r="T409" s="2086"/>
      <c r="U409" s="2087"/>
      <c r="V409" s="2087"/>
      <c r="W409" s="2087">
        <f t="shared" si="250"/>
        <v>3.9100000000000002E-4</v>
      </c>
      <c r="X409" s="2121">
        <f>'Income Eligible Deemed Table'!N1105</f>
        <v>19</v>
      </c>
      <c r="Y409" s="2121"/>
      <c r="Z409" s="88">
        <f t="shared" si="249"/>
        <v>19</v>
      </c>
      <c r="AA409" s="637">
        <f>'Income Eligible Deemed Table'!BB1105</f>
        <v>0.23229903651134523</v>
      </c>
      <c r="AB409" s="2917">
        <f>'Income Eligible Deemed Table'!P1105</f>
        <v>7</v>
      </c>
      <c r="AC409" s="2089">
        <f t="shared" si="251"/>
        <v>1.5347741912028472</v>
      </c>
      <c r="AD409" s="2089">
        <f t="shared" si="252"/>
        <v>0</v>
      </c>
      <c r="AE409" s="2955">
        <f>'Income Eligible Deemed Table'!BD1105</f>
        <v>1.5347741912028472</v>
      </c>
      <c r="AF409" s="2956"/>
      <c r="AG409" s="2956"/>
      <c r="AH409" s="2956"/>
      <c r="AI409" s="2253" t="str">
        <f>'Income Eligible Deemed Table'!R1105</f>
        <v>per measure</v>
      </c>
      <c r="AM409" s="2057">
        <f t="shared" si="259"/>
        <v>1.4925290000000001E-4</v>
      </c>
      <c r="AN409">
        <f t="shared" si="248"/>
        <v>3.9104259800000002E-4</v>
      </c>
      <c r="AO409" s="2048">
        <f t="shared" si="247"/>
        <v>4.2598000000006533E-8</v>
      </c>
    </row>
    <row r="410" spans="2:41" x14ac:dyDescent="0.25">
      <c r="B410" s="2240" t="str">
        <f>'Income Eligible Deemed Table'!C1106</f>
        <v>405050_2019_12_</v>
      </c>
      <c r="C410" s="208" t="str">
        <f>'Income Eligible Deemed Table'!G1106</f>
        <v>Lighting RES</v>
      </c>
      <c r="D410" s="208"/>
      <c r="E410" s="208"/>
      <c r="F410" s="208"/>
      <c r="G410" s="208" t="str">
        <f>'Income Eligible Deemed Table'!E1106</f>
        <v>LED - 10W (CFL baseline) (750-1049 lumens) LIDI</v>
      </c>
      <c r="H410" s="622" t="str">
        <f>'Income Eligible Deemed Table'!D1106</f>
        <v>SFLI / MFLI</v>
      </c>
      <c r="I410" s="2084">
        <f>'Income Eligible Deemed Table'!F1106</f>
        <v>2.82</v>
      </c>
      <c r="J410" s="2084"/>
      <c r="K410" s="2113"/>
      <c r="L410" s="2113"/>
      <c r="M410" s="2113"/>
      <c r="N410" s="2113"/>
      <c r="O410" s="2085">
        <f>'Income Eligible Deemed Table'!M1106</f>
        <v>4.2099999999999999E-4</v>
      </c>
      <c r="P410" s="2085"/>
      <c r="Q410" s="2086"/>
      <c r="R410" s="2086"/>
      <c r="S410" s="2086"/>
      <c r="T410" s="2086"/>
      <c r="U410" s="2087"/>
      <c r="V410" s="2087"/>
      <c r="W410" s="2087">
        <f t="shared" si="250"/>
        <v>4.2099999999999999E-4</v>
      </c>
      <c r="X410" s="2121">
        <f>'Income Eligible Deemed Table'!N1106</f>
        <v>19</v>
      </c>
      <c r="Y410" s="2121"/>
      <c r="Z410" s="88">
        <f t="shared" si="249"/>
        <v>19</v>
      </c>
      <c r="AA410" s="637">
        <f>'Income Eligible Deemed Table'!BB1106</f>
        <v>0.29170375195508619</v>
      </c>
      <c r="AB410" s="2917">
        <f>'Income Eligible Deemed Table'!P1106</f>
        <v>6</v>
      </c>
      <c r="AC410" s="2089">
        <f t="shared" si="251"/>
        <v>1.6519325264091713</v>
      </c>
      <c r="AD410" s="2089">
        <f t="shared" si="252"/>
        <v>0</v>
      </c>
      <c r="AE410" s="2955">
        <f>'Income Eligible Deemed Table'!BD1106</f>
        <v>1.6519325264091713</v>
      </c>
      <c r="AF410" s="2956"/>
      <c r="AG410" s="2956"/>
      <c r="AH410" s="2956"/>
      <c r="AI410" s="2253" t="str">
        <f>'Income Eligible Deemed Table'!R1106</f>
        <v>per measure</v>
      </c>
      <c r="AM410" s="2057">
        <f t="shared" si="259"/>
        <v>1.4925290000000001E-4</v>
      </c>
      <c r="AN410">
        <f t="shared" si="248"/>
        <v>4.2089317799999998E-4</v>
      </c>
      <c r="AO410" s="2048">
        <f t="shared" si="247"/>
        <v>-1.0682200000001075E-7</v>
      </c>
    </row>
    <row r="411" spans="2:41" x14ac:dyDescent="0.25">
      <c r="B411" s="2240" t="str">
        <f>'Income Eligible Deemed Table'!C1107</f>
        <v>405100_2019_12_</v>
      </c>
      <c r="C411" s="208" t="str">
        <f>'Income Eligible Deemed Table'!G1107</f>
        <v>Lighting RES</v>
      </c>
      <c r="D411" s="208"/>
      <c r="E411" s="208"/>
      <c r="F411" s="208"/>
      <c r="G411" s="208" t="str">
        <f>'Income Eligible Deemed Table'!E1107</f>
        <v>LED - 10.5W Downlight E26 (CFL baseline) LIDI</v>
      </c>
      <c r="H411" s="622" t="str">
        <f>'Income Eligible Deemed Table'!D1107</f>
        <v>SFLI / MFLI</v>
      </c>
      <c r="I411" s="2084">
        <f>'Income Eligible Deemed Table'!F1107</f>
        <v>8.52</v>
      </c>
      <c r="J411" s="2084"/>
      <c r="K411" s="2113"/>
      <c r="L411" s="2113"/>
      <c r="M411" s="2113"/>
      <c r="N411" s="2113"/>
      <c r="O411" s="2085">
        <f>'Income Eligible Deemed Table'!M1107</f>
        <v>1.2719999999999999E-3</v>
      </c>
      <c r="P411" s="2085"/>
      <c r="Q411" s="2086"/>
      <c r="R411" s="2086"/>
      <c r="S411" s="2086"/>
      <c r="T411" s="2086"/>
      <c r="U411" s="2087"/>
      <c r="V411" s="2087"/>
      <c r="W411" s="2087">
        <f t="shared" si="250"/>
        <v>1.2719999999999999E-3</v>
      </c>
      <c r="X411" s="2121">
        <f>'Income Eligible Deemed Table'!N1107</f>
        <v>19</v>
      </c>
      <c r="Y411" s="2121"/>
      <c r="Z411" s="88">
        <f t="shared" si="249"/>
        <v>19</v>
      </c>
      <c r="AA411" s="637">
        <f>'Income Eligible Deemed Table'!BB1107</f>
        <v>0.88131771867281361</v>
      </c>
      <c r="AB411" s="2917">
        <f>'Income Eligible Deemed Table'!P1107</f>
        <v>6</v>
      </c>
      <c r="AC411" s="2089">
        <f t="shared" si="251"/>
        <v>4.9909450797894115</v>
      </c>
      <c r="AD411" s="2089">
        <f t="shared" si="252"/>
        <v>0</v>
      </c>
      <c r="AE411" s="2955">
        <f>'Income Eligible Deemed Table'!BD1107</f>
        <v>4.9909450797894115</v>
      </c>
      <c r="AF411" s="2956"/>
      <c r="AG411" s="2956"/>
      <c r="AH411" s="2956"/>
      <c r="AI411" s="2253" t="str">
        <f>'Income Eligible Deemed Table'!R1107</f>
        <v>per measure</v>
      </c>
      <c r="AM411" s="2057">
        <f t="shared" si="259"/>
        <v>1.4925290000000001E-4</v>
      </c>
      <c r="AN411">
        <f t="shared" si="248"/>
        <v>1.271634708E-3</v>
      </c>
      <c r="AO411" s="2048">
        <f t="shared" si="247"/>
        <v>-3.6529199999991817E-7</v>
      </c>
    </row>
    <row r="412" spans="2:41" x14ac:dyDescent="0.25">
      <c r="B412" s="2240" t="str">
        <f>'Income Eligible Deemed Table'!C1108</f>
        <v>405150_2019_12_</v>
      </c>
      <c r="C412" s="208" t="str">
        <f>'Income Eligible Deemed Table'!G1108</f>
        <v>Lighting RES</v>
      </c>
      <c r="D412" s="208"/>
      <c r="E412" s="208"/>
      <c r="F412" s="208"/>
      <c r="G412" s="208" t="str">
        <f>'Income Eligible Deemed Table'!E1108</f>
        <v>LED - 12W Dimmable Light Bulb (Replacing CFL) LIDI</v>
      </c>
      <c r="H412" s="622" t="str">
        <f>'Income Eligible Deemed Table'!D1108</f>
        <v>SFLI / MFLI</v>
      </c>
      <c r="I412" s="2084">
        <f>'Income Eligible Deemed Table'!F1108</f>
        <v>5.57</v>
      </c>
      <c r="J412" s="2084"/>
      <c r="K412" s="2113"/>
      <c r="L412" s="2113"/>
      <c r="M412" s="2113"/>
      <c r="N412" s="2113"/>
      <c r="O412" s="2085">
        <f>'Income Eligible Deemed Table'!M1108</f>
        <v>8.3100000000000003E-4</v>
      </c>
      <c r="P412" s="2085"/>
      <c r="Q412" s="2086"/>
      <c r="R412" s="2086"/>
      <c r="S412" s="2086"/>
      <c r="T412" s="2086"/>
      <c r="U412" s="2087"/>
      <c r="V412" s="2087"/>
      <c r="W412" s="2087">
        <f t="shared" si="250"/>
        <v>8.3100000000000003E-4</v>
      </c>
      <c r="X412" s="2121">
        <f>'Income Eligible Deemed Table'!N1108</f>
        <v>19</v>
      </c>
      <c r="Y412" s="2121"/>
      <c r="Z412" s="88">
        <f t="shared" si="249"/>
        <v>19</v>
      </c>
      <c r="AA412" s="637">
        <f>'Income Eligible Deemed Table'!BB1108</f>
        <v>0.57616663063469165</v>
      </c>
      <c r="AB412" s="2917">
        <f>'Income Eligible Deemed Table'!P1108</f>
        <v>6</v>
      </c>
      <c r="AC412" s="2089">
        <f t="shared" si="251"/>
        <v>3.2628596354961297</v>
      </c>
      <c r="AD412" s="2089">
        <f t="shared" si="252"/>
        <v>0</v>
      </c>
      <c r="AE412" s="2955">
        <f>'Income Eligible Deemed Table'!BD1108</f>
        <v>3.2628596354961297</v>
      </c>
      <c r="AF412" s="2956"/>
      <c r="AG412" s="2956"/>
      <c r="AH412" s="2956"/>
      <c r="AI412" s="2253" t="str">
        <f>'Income Eligible Deemed Table'!R1108</f>
        <v>per measure</v>
      </c>
      <c r="AM412" s="2057">
        <f t="shared" si="259"/>
        <v>1.4925290000000001E-4</v>
      </c>
      <c r="AN412">
        <f t="shared" si="248"/>
        <v>8.3133865300000014E-4</v>
      </c>
      <c r="AO412" s="2048">
        <f t="shared" si="247"/>
        <v>3.3865300000011055E-7</v>
      </c>
    </row>
    <row r="413" spans="2:41" x14ac:dyDescent="0.25">
      <c r="B413" s="2240" t="str">
        <f>'Income Eligible Deemed Table'!C1109</f>
        <v>405200_2019_12_</v>
      </c>
      <c r="C413" s="208" t="str">
        <f>'Income Eligible Deemed Table'!G1109</f>
        <v>Lighting RES</v>
      </c>
      <c r="D413" s="208"/>
      <c r="E413" s="208"/>
      <c r="F413" s="208"/>
      <c r="G413" s="208" t="str">
        <f>'Income Eligible Deemed Table'!E1109</f>
        <v>LED - 12W (Replacing CFL) LIDI</v>
      </c>
      <c r="H413" s="622" t="str">
        <f>'Income Eligible Deemed Table'!D1109</f>
        <v>SFLI / MFLI</v>
      </c>
      <c r="I413" s="2084">
        <f>'Income Eligible Deemed Table'!F1109</f>
        <v>5.57</v>
      </c>
      <c r="J413" s="2084"/>
      <c r="K413" s="2113"/>
      <c r="L413" s="2113"/>
      <c r="M413" s="2113"/>
      <c r="N413" s="2113"/>
      <c r="O413" s="2085">
        <f>'Income Eligible Deemed Table'!M1109</f>
        <v>8.3100000000000003E-4</v>
      </c>
      <c r="P413" s="2085"/>
      <c r="Q413" s="2086"/>
      <c r="R413" s="2086"/>
      <c r="S413" s="2086"/>
      <c r="T413" s="2086"/>
      <c r="U413" s="2087"/>
      <c r="V413" s="2087"/>
      <c r="W413" s="2087">
        <f t="shared" si="250"/>
        <v>8.3100000000000003E-4</v>
      </c>
      <c r="X413" s="2121">
        <f>'Income Eligible Deemed Table'!N1109</f>
        <v>19</v>
      </c>
      <c r="Y413" s="2121"/>
      <c r="Z413" s="88">
        <f t="shared" si="249"/>
        <v>19</v>
      </c>
      <c r="AA413" s="637">
        <f>'Income Eligible Deemed Table'!BB1109</f>
        <v>0.57616663063469165</v>
      </c>
      <c r="AB413" s="2917">
        <f>'Income Eligible Deemed Table'!P1109</f>
        <v>6</v>
      </c>
      <c r="AC413" s="2089">
        <f t="shared" si="251"/>
        <v>3.2628596354961297</v>
      </c>
      <c r="AD413" s="2089">
        <f t="shared" si="252"/>
        <v>0</v>
      </c>
      <c r="AE413" s="2955">
        <f>'Income Eligible Deemed Table'!BD1109</f>
        <v>3.2628596354961297</v>
      </c>
      <c r="AF413" s="2956"/>
      <c r="AG413" s="2956"/>
      <c r="AH413" s="2956"/>
      <c r="AI413" s="2253" t="str">
        <f>'Income Eligible Deemed Table'!R1109</f>
        <v>per measure</v>
      </c>
      <c r="AM413" s="2057">
        <f t="shared" si="259"/>
        <v>1.4925290000000001E-4</v>
      </c>
      <c r="AN413">
        <f t="shared" si="248"/>
        <v>8.3133865300000014E-4</v>
      </c>
      <c r="AO413" s="2048">
        <f t="shared" si="247"/>
        <v>3.3865300000011055E-7</v>
      </c>
    </row>
    <row r="414" spans="2:41" x14ac:dyDescent="0.25">
      <c r="B414" s="2240" t="str">
        <f>'Income Eligible Deemed Table'!C1110</f>
        <v>405250_2019_12_</v>
      </c>
      <c r="C414" s="208" t="str">
        <f>'Income Eligible Deemed Table'!G1110</f>
        <v>Lighting RES</v>
      </c>
      <c r="D414" s="208"/>
      <c r="E414" s="208"/>
      <c r="F414" s="208"/>
      <c r="G414" s="208" t="str">
        <f>'Income Eligible Deemed Table'!E1110</f>
        <v>LED - 15W (CFL baseline) (1050-1489 lumens) LIDI</v>
      </c>
      <c r="H414" s="622" t="str">
        <f>'Income Eligible Deemed Table'!D1110</f>
        <v>SFLI / MFLI</v>
      </c>
      <c r="I414" s="2084">
        <f>'Income Eligible Deemed Table'!F1110</f>
        <v>5.44</v>
      </c>
      <c r="J414" s="2084"/>
      <c r="K414" s="2113"/>
      <c r="L414" s="2113"/>
      <c r="M414" s="2113"/>
      <c r="N414" s="2113"/>
      <c r="O414" s="2085">
        <f>'Income Eligible Deemed Table'!M1110</f>
        <v>8.12E-4</v>
      </c>
      <c r="P414" s="2085"/>
      <c r="Q414" s="2086"/>
      <c r="R414" s="2086"/>
      <c r="S414" s="2086"/>
      <c r="T414" s="2086"/>
      <c r="U414" s="2087"/>
      <c r="V414" s="2087"/>
      <c r="W414" s="2087">
        <f t="shared" si="250"/>
        <v>8.12E-4</v>
      </c>
      <c r="X414" s="2121">
        <f>'Income Eligible Deemed Table'!N1110</f>
        <v>19</v>
      </c>
      <c r="Y414" s="2121"/>
      <c r="Z414" s="88">
        <f t="shared" si="249"/>
        <v>19</v>
      </c>
      <c r="AA414" s="637">
        <f>'Income Eligible Deemed Table'!BB1110</f>
        <v>0.42203947091374178</v>
      </c>
      <c r="AB414" s="2917">
        <f>'Income Eligible Deemed Table'!P1110</f>
        <v>8</v>
      </c>
      <c r="AC414" s="2089">
        <f t="shared" si="251"/>
        <v>3.1867067176120187</v>
      </c>
      <c r="AD414" s="2089">
        <f t="shared" si="252"/>
        <v>0</v>
      </c>
      <c r="AE414" s="2955">
        <f>'Income Eligible Deemed Table'!BD1110</f>
        <v>3.1867067176120187</v>
      </c>
      <c r="AF414" s="2956"/>
      <c r="AG414" s="2956"/>
      <c r="AH414" s="2956"/>
      <c r="AI414" s="2253" t="str">
        <f>'Income Eligible Deemed Table'!R1110</f>
        <v>per measure</v>
      </c>
      <c r="AM414" s="2057">
        <f t="shared" si="259"/>
        <v>1.4925290000000001E-4</v>
      </c>
      <c r="AN414">
        <f t="shared" si="248"/>
        <v>8.1193577600000011E-4</v>
      </c>
      <c r="AO414" s="2048">
        <f t="shared" si="247"/>
        <v>-6.4223999999895795E-8</v>
      </c>
    </row>
    <row r="415" spans="2:41" s="132" customFormat="1" x14ac:dyDescent="0.25">
      <c r="B415" s="2307" t="str">
        <f>'Income Eligible Deemed Table'!C1111</f>
        <v>405251_2020_12_</v>
      </c>
      <c r="C415" s="2305" t="str">
        <f>'Income Eligible Deemed Table'!G1111</f>
        <v>Lighting RES</v>
      </c>
      <c r="D415" s="2305"/>
      <c r="E415" s="2305"/>
      <c r="F415" s="2305"/>
      <c r="G415" s="2305" t="str">
        <f>'Income Eligible Deemed Table'!E1111</f>
        <v>LED - 11W Flood Light BR30 Bulb (CFL baseline) LIDI</v>
      </c>
      <c r="H415" s="2322" t="str">
        <f>'Income Eligible Deemed Table'!D1111</f>
        <v>SFLI / MFLI</v>
      </c>
      <c r="I415" s="2320">
        <f>'Income Eligible Deemed Table'!F1111</f>
        <v>5.17</v>
      </c>
      <c r="J415" s="2320"/>
      <c r="K415" s="2310"/>
      <c r="L415" s="2310"/>
      <c r="M415" s="2310"/>
      <c r="N415" s="2310"/>
      <c r="O415" s="2321">
        <f>'Income Eligible Deemed Table'!M1111</f>
        <v>7.7200000000000001E-4</v>
      </c>
      <c r="P415" s="2321"/>
      <c r="Q415" s="2323"/>
      <c r="R415" s="2323"/>
      <c r="S415" s="2323"/>
      <c r="T415" s="2323"/>
      <c r="U415" s="2273"/>
      <c r="V415" s="2273"/>
      <c r="W415" s="2273">
        <f t="shared" si="250"/>
        <v>7.7200000000000001E-4</v>
      </c>
      <c r="X415" s="2299">
        <f>'Income Eligible Deemed Table'!N1111</f>
        <v>19</v>
      </c>
      <c r="Y415" s="2299"/>
      <c r="Z415" s="2299">
        <f t="shared" si="249"/>
        <v>19</v>
      </c>
      <c r="AA415" s="2298">
        <f>'Income Eligible Deemed Table'!BB1111</f>
        <v>0.32087412715059482</v>
      </c>
      <c r="AB415" s="2919">
        <f>'Income Eligible Deemed Table'!P1111</f>
        <v>10</v>
      </c>
      <c r="AC415" s="2928">
        <f t="shared" si="251"/>
        <v>3.028542965083481</v>
      </c>
      <c r="AD415" s="2928">
        <f t="shared" si="252"/>
        <v>0</v>
      </c>
      <c r="AE415" s="2957">
        <f>'Income Eligible Deemed Table'!BD1111</f>
        <v>3.028542965083481</v>
      </c>
      <c r="AF415" s="2334"/>
      <c r="AG415" s="2334"/>
      <c r="AH415" s="2334"/>
      <c r="AI415" s="2952" t="str">
        <f>'Income Eligible Deemed Table'!R1111</f>
        <v>per measure</v>
      </c>
      <c r="AM415" s="2929">
        <f t="shared" si="259"/>
        <v>1.4925290000000001E-4</v>
      </c>
      <c r="AN415" s="132">
        <f t="shared" si="248"/>
        <v>7.7163749300000002E-4</v>
      </c>
      <c r="AO415" s="2933">
        <f t="shared" si="247"/>
        <v>-3.6250699999998762E-7</v>
      </c>
    </row>
    <row r="416" spans="2:41" x14ac:dyDescent="0.25">
      <c r="B416" s="2240" t="str">
        <f>'Income Eligible Deemed Table'!C1112</f>
        <v>405300_2019_12_</v>
      </c>
      <c r="C416" s="208" t="str">
        <f>'Income Eligible Deemed Table'!G1112</f>
        <v>Lighting RES</v>
      </c>
      <c r="D416" s="208"/>
      <c r="E416" s="208"/>
      <c r="F416" s="208"/>
      <c r="G416" s="208" t="str">
        <f>'Income Eligible Deemed Table'!E1112</f>
        <v>LED - 15W Flood Light PAR30 Bulb (CFL baseline) LIDI</v>
      </c>
      <c r="H416" s="622" t="str">
        <f>'Income Eligible Deemed Table'!D1112</f>
        <v>SFLI / MFLI</v>
      </c>
      <c r="I416" s="2084">
        <f>'Income Eligible Deemed Table'!F1112</f>
        <v>3.15</v>
      </c>
      <c r="J416" s="2084"/>
      <c r="K416" s="2113"/>
      <c r="L416" s="2113"/>
      <c r="M416" s="2113"/>
      <c r="N416" s="2113"/>
      <c r="O416" s="2085">
        <f>'Income Eligible Deemed Table'!M1112</f>
        <v>4.6900000000000002E-4</v>
      </c>
      <c r="P416" s="2085"/>
      <c r="Q416" s="2086"/>
      <c r="R416" s="2086"/>
      <c r="S416" s="2086"/>
      <c r="T416" s="2086"/>
      <c r="U416" s="2087"/>
      <c r="V416" s="2087"/>
      <c r="W416" s="2087">
        <f t="shared" si="250"/>
        <v>4.6900000000000002E-4</v>
      </c>
      <c r="X416" s="2121">
        <f>'Income Eligible Deemed Table'!N1112</f>
        <v>19</v>
      </c>
      <c r="Y416" s="2121"/>
      <c r="Z416" s="88">
        <f t="shared" si="249"/>
        <v>19</v>
      </c>
      <c r="AA416" s="637">
        <f>'Income Eligible Deemed Table'!BB1112</f>
        <v>0.19550357843798333</v>
      </c>
      <c r="AB416" s="2917">
        <f>'Income Eligible Deemed Table'!P1112</f>
        <v>10</v>
      </c>
      <c r="AC416" s="2089">
        <f t="shared" si="251"/>
        <v>1.8452437794996064</v>
      </c>
      <c r="AD416" s="2089">
        <f t="shared" si="252"/>
        <v>0</v>
      </c>
      <c r="AE416" s="2955">
        <f>'Income Eligible Deemed Table'!BD1112</f>
        <v>1.8452437794996064</v>
      </c>
      <c r="AF416" s="2956"/>
      <c r="AG416" s="2956"/>
      <c r="AH416" s="2956"/>
      <c r="AI416" s="2253" t="str">
        <f>'Income Eligible Deemed Table'!R1112</f>
        <v>per measure</v>
      </c>
      <c r="AM416" s="2057">
        <f t="shared" si="259"/>
        <v>1.4925290000000001E-4</v>
      </c>
      <c r="AN416">
        <f t="shared" si="248"/>
        <v>4.7014663500000002E-4</v>
      </c>
      <c r="AO416" s="2048">
        <f t="shared" si="247"/>
        <v>1.1466350000000026E-6</v>
      </c>
    </row>
    <row r="417" spans="2:41" x14ac:dyDescent="0.25">
      <c r="B417" s="2240" t="str">
        <f>'Income Eligible Deemed Table'!C1113</f>
        <v>405350_2019_12_</v>
      </c>
      <c r="C417" s="208" t="str">
        <f>'Income Eligible Deemed Table'!G1113</f>
        <v>Lighting RES</v>
      </c>
      <c r="D417" s="208"/>
      <c r="E417" s="208"/>
      <c r="F417" s="208"/>
      <c r="G417" s="208" t="str">
        <f>'Income Eligible Deemed Table'!E1113</f>
        <v>LED - 18W Flood Light PAR38 Bulb (CFL baseline) LIDI</v>
      </c>
      <c r="H417" s="622" t="str">
        <f>'Income Eligible Deemed Table'!D1113</f>
        <v>SFLI / MFLI</v>
      </c>
      <c r="I417" s="2084">
        <f>'Income Eligible Deemed Table'!F1113</f>
        <v>3.28</v>
      </c>
      <c r="J417" s="2084"/>
      <c r="K417" s="2113"/>
      <c r="L417" s="2113"/>
      <c r="M417" s="2113"/>
      <c r="N417" s="2113"/>
      <c r="O417" s="2085">
        <f>'Income Eligible Deemed Table'!M1113</f>
        <v>4.8899999999999996E-4</v>
      </c>
      <c r="P417" s="2085"/>
      <c r="Q417" s="2086"/>
      <c r="R417" s="2086"/>
      <c r="S417" s="2086"/>
      <c r="T417" s="2086"/>
      <c r="U417" s="2087"/>
      <c r="V417" s="2087"/>
      <c r="W417" s="2087">
        <f t="shared" si="250"/>
        <v>4.8899999999999996E-4</v>
      </c>
      <c r="X417" s="2121">
        <f>'Income Eligible Deemed Table'!N1113</f>
        <v>19</v>
      </c>
      <c r="Y417" s="2121"/>
      <c r="Z417" s="88">
        <f t="shared" si="249"/>
        <v>19</v>
      </c>
      <c r="AA417" s="637">
        <f>'Income Eligible Deemed Table'!BB1113</f>
        <v>0.13571465339186989</v>
      </c>
      <c r="AB417" s="2917">
        <f>'Income Eligible Deemed Table'!P1113</f>
        <v>15</v>
      </c>
      <c r="AC417" s="2089">
        <f t="shared" si="251"/>
        <v>1.9213966973837171</v>
      </c>
      <c r="AD417" s="2089">
        <f t="shared" si="252"/>
        <v>0</v>
      </c>
      <c r="AE417" s="2955">
        <f>'Income Eligible Deemed Table'!BD1113</f>
        <v>1.9213966973837171</v>
      </c>
      <c r="AF417" s="2956"/>
      <c r="AG417" s="2956"/>
      <c r="AH417" s="2956"/>
      <c r="AI417" s="2253" t="str">
        <f>'Income Eligible Deemed Table'!R1113</f>
        <v>per measure</v>
      </c>
      <c r="AM417" s="2057">
        <f t="shared" si="259"/>
        <v>1.4925290000000001E-4</v>
      </c>
      <c r="AN417">
        <f t="shared" si="248"/>
        <v>4.8954951200000005E-4</v>
      </c>
      <c r="AO417" s="2048">
        <f t="shared" si="247"/>
        <v>5.4951200000009307E-7</v>
      </c>
    </row>
    <row r="418" spans="2:41" x14ac:dyDescent="0.25">
      <c r="B418" s="2240" t="str">
        <f>'Income Eligible Deemed Table'!C1114</f>
        <v>405400_2019_12_</v>
      </c>
      <c r="C418" s="208" t="str">
        <f>'Income Eligible Deemed Table'!G1114</f>
        <v>Lighting RES</v>
      </c>
      <c r="D418" s="208"/>
      <c r="E418" s="208"/>
      <c r="F418" s="208"/>
      <c r="G418" s="208" t="str">
        <f>'Income Eligible Deemed Table'!E1114</f>
        <v>LED - 20W (CFL baseline) (1490-2600 lumens) LIDI</v>
      </c>
      <c r="H418" s="622" t="str">
        <f>'Income Eligible Deemed Table'!D1114</f>
        <v>SFLI / MFLI</v>
      </c>
      <c r="I418" s="2084">
        <f>'Income Eligible Deemed Table'!F1114</f>
        <v>6.42</v>
      </c>
      <c r="J418" s="2084"/>
      <c r="K418" s="2113"/>
      <c r="L418" s="2113"/>
      <c r="M418" s="2113"/>
      <c r="N418" s="2113"/>
      <c r="O418" s="2085">
        <f>'Income Eligible Deemed Table'!M1114</f>
        <v>9.59E-4</v>
      </c>
      <c r="P418" s="2085"/>
      <c r="Q418" s="2086"/>
      <c r="R418" s="2086"/>
      <c r="S418" s="2086"/>
      <c r="T418" s="2086"/>
      <c r="U418" s="2087"/>
      <c r="V418" s="2087"/>
      <c r="W418" s="2087">
        <f t="shared" si="250"/>
        <v>9.59E-4</v>
      </c>
      <c r="X418" s="2121">
        <f>'Income Eligible Deemed Table'!N1114</f>
        <v>19</v>
      </c>
      <c r="Y418" s="2121"/>
      <c r="Z418" s="88">
        <f t="shared" si="249"/>
        <v>19</v>
      </c>
      <c r="AA418" s="637">
        <f>'Income Eligible Deemed Table'!BB1114</f>
        <v>0.49806864030629089</v>
      </c>
      <c r="AB418" s="2917">
        <f>'Income Eligible Deemed Table'!P1114</f>
        <v>8</v>
      </c>
      <c r="AC418" s="2089">
        <f t="shared" si="251"/>
        <v>3.7607825601230074</v>
      </c>
      <c r="AD418" s="2089">
        <f t="shared" si="252"/>
        <v>0</v>
      </c>
      <c r="AE418" s="2955">
        <f>'Income Eligible Deemed Table'!BD1114</f>
        <v>3.7607825601230074</v>
      </c>
      <c r="AF418" s="2956"/>
      <c r="AG418" s="2956"/>
      <c r="AH418" s="2956"/>
      <c r="AI418" s="2253" t="str">
        <f>'Income Eligible Deemed Table'!R1114</f>
        <v>per measure</v>
      </c>
      <c r="AM418" s="2057">
        <f t="shared" si="259"/>
        <v>1.4925290000000001E-4</v>
      </c>
      <c r="AN418">
        <f t="shared" si="248"/>
        <v>9.5820361800000005E-4</v>
      </c>
      <c r="AO418" s="2048">
        <f t="shared" si="247"/>
        <v>-7.9638199999994795E-7</v>
      </c>
    </row>
    <row r="419" spans="2:41" s="132" customFormat="1" x14ac:dyDescent="0.25">
      <c r="B419" s="2307" t="str">
        <f>'Income Eligible Deemed Table'!C1115</f>
        <v>405410_2019_12_</v>
      </c>
      <c r="C419" s="2305" t="str">
        <f>'Income Eligible Deemed Table'!G1115</f>
        <v>Lighting RES</v>
      </c>
      <c r="D419" s="2305"/>
      <c r="E419" s="2305"/>
      <c r="F419" s="2305"/>
      <c r="G419" s="2305" t="str">
        <f>'Income Eligible Deemed Table'!E1115</f>
        <v>LED - 6W (Halogen baseline) (310-749 lumens) LIDI</v>
      </c>
      <c r="H419" s="2322" t="str">
        <f>'Income Eligible Deemed Table'!D1115</f>
        <v>SFLI / MFLI</v>
      </c>
      <c r="I419" s="2320">
        <f>'Income Eligible Deemed Table'!F1115</f>
        <v>15.07</v>
      </c>
      <c r="J419" s="2320"/>
      <c r="K419" s="2310"/>
      <c r="L419" s="2310"/>
      <c r="M419" s="2310"/>
      <c r="N419" s="2310"/>
      <c r="O419" s="2321">
        <f>'Income Eligible Deemed Table'!M1115</f>
        <v>2.2499999999999998E-3</v>
      </c>
      <c r="P419" s="2321"/>
      <c r="Q419" s="2323"/>
      <c r="R419" s="2323"/>
      <c r="S419" s="2323"/>
      <c r="T419" s="2323"/>
      <c r="U419" s="2273"/>
      <c r="V419" s="2273"/>
      <c r="W419" s="2273">
        <f t="shared" si="250"/>
        <v>2.2499999999999998E-3</v>
      </c>
      <c r="X419" s="2299">
        <f>'Income Eligible Deemed Table'!N1115</f>
        <v>19</v>
      </c>
      <c r="Y419" s="2299"/>
      <c r="Z419" s="2299">
        <f t="shared" si="249"/>
        <v>19</v>
      </c>
      <c r="AA419" s="2298">
        <f>'Income Eligible Deemed Table'!BB1115</f>
        <v>1.3361627787122032</v>
      </c>
      <c r="AB419" s="2919">
        <f>'Income Eligible Deemed Table'!P1115</f>
        <v>7</v>
      </c>
      <c r="AC419" s="2928">
        <f t="shared" si="251"/>
        <v>8.8278805577965294</v>
      </c>
      <c r="AD419" s="2928">
        <f t="shared" si="252"/>
        <v>0</v>
      </c>
      <c r="AE419" s="2957">
        <f>'Income Eligible Deemed Table'!BD1115</f>
        <v>8.8278805577965294</v>
      </c>
      <c r="AF419" s="2334"/>
      <c r="AG419" s="2334"/>
      <c r="AH419" s="2334"/>
      <c r="AI419" s="2952" t="str">
        <f>'Income Eligible Deemed Table'!R1115</f>
        <v>per measure</v>
      </c>
      <c r="AM419" s="2929">
        <f t="shared" si="259"/>
        <v>1.4925290000000001E-4</v>
      </c>
      <c r="AN419" s="132">
        <f t="shared" si="248"/>
        <v>2.249241203E-3</v>
      </c>
      <c r="AO419" s="2933">
        <f t="shared" si="247"/>
        <v>-7.5879699999985978E-7</v>
      </c>
    </row>
    <row r="420" spans="2:41" x14ac:dyDescent="0.25">
      <c r="B420" s="2240" t="str">
        <f>'Income Eligible Deemed Table'!C1218</f>
        <v>405450_2019_12_</v>
      </c>
      <c r="C420" s="208" t="str">
        <f>'Income Eligible Deemed Table'!G1218</f>
        <v>Miscellaneous RES</v>
      </c>
      <c r="D420" s="208"/>
      <c r="E420" s="208"/>
      <c r="F420" s="208"/>
      <c r="G420" s="208" t="str">
        <f>'Income Eligible Deemed Table'!E1218</f>
        <v>Advanced Tier 1 Power Strips / TOS/NC - Home Office</v>
      </c>
      <c r="H420" s="622" t="str">
        <f>'Income Eligible Deemed Table'!D1218</f>
        <v>SFLI / MFLI</v>
      </c>
      <c r="I420" s="2084">
        <f>'Income Eligible Deemed Table'!F1218</f>
        <v>31</v>
      </c>
      <c r="J420" s="2084"/>
      <c r="K420" s="2113"/>
      <c r="L420" s="2113"/>
      <c r="M420" s="2113"/>
      <c r="N420" s="2113"/>
      <c r="O420" s="2085">
        <f>'Income Eligible Deemed Table'!I1218</f>
        <v>3.5599999999999998E-3</v>
      </c>
      <c r="P420" s="2085"/>
      <c r="Q420" s="2086"/>
      <c r="R420" s="2086"/>
      <c r="S420" s="2086"/>
      <c r="T420" s="2086"/>
      <c r="U420" s="2087">
        <v>0</v>
      </c>
      <c r="V420" s="2087">
        <f t="shared" ref="V420:V430" si="260">O420</f>
        <v>3.5599999999999998E-3</v>
      </c>
      <c r="W420" s="2087">
        <v>0</v>
      </c>
      <c r="X420" s="2121">
        <f>'Income Eligible Deemed Table'!J1218</f>
        <v>10</v>
      </c>
      <c r="Y420" s="2121"/>
      <c r="Z420" s="88">
        <f t="shared" si="249"/>
        <v>10</v>
      </c>
      <c r="AA420" s="637">
        <f>'Income Eligible Deemed Table'!BB1218</f>
        <v>0.56629728930217338</v>
      </c>
      <c r="AB420" s="2917">
        <f>'Income Eligible Deemed Table'!K1218</f>
        <v>20</v>
      </c>
      <c r="AC420" s="2089">
        <f t="shared" si="251"/>
        <v>10.689896919342583</v>
      </c>
      <c r="AD420" s="2089">
        <f t="shared" si="252"/>
        <v>0</v>
      </c>
      <c r="AE420" s="2955">
        <f>'Income Eligible Deemed Table'!BD1218</f>
        <v>10.689896919342583</v>
      </c>
      <c r="AF420" s="2956"/>
      <c r="AG420" s="2956"/>
      <c r="AH420" s="2956"/>
      <c r="AI420" s="2240" t="str">
        <f>'Income Eligible Deemed Table'!L1218</f>
        <v>per measure</v>
      </c>
      <c r="AM420" s="2057">
        <f t="shared" si="259"/>
        <v>1.148238E-4</v>
      </c>
      <c r="AN420">
        <f t="shared" si="248"/>
        <v>3.5595378E-3</v>
      </c>
      <c r="AO420" s="2048">
        <f t="shared" si="247"/>
        <v>-4.6219999999975309E-7</v>
      </c>
    </row>
    <row r="421" spans="2:41" s="132" customFormat="1" x14ac:dyDescent="0.25">
      <c r="B421" s="2307" t="str">
        <f>'Income Eligible Deemed Table'!C1219</f>
        <v>405451_2020_12_</v>
      </c>
      <c r="C421" s="2305" t="str">
        <f>'Income Eligible Deemed Table'!G1219</f>
        <v>Miscellaneous RES</v>
      </c>
      <c r="D421" s="2305"/>
      <c r="E421" s="2305"/>
      <c r="F421" s="2305"/>
      <c r="G421" s="2305" t="str">
        <f>'Income Eligible Deemed Table'!E1219</f>
        <v>Advanced Tier 1 Power Strips / DI - Home Office</v>
      </c>
      <c r="H421" s="2322" t="str">
        <f>'Income Eligible Deemed Table'!D1219</f>
        <v>SFLI / MFLI</v>
      </c>
      <c r="I421" s="2320">
        <f>'Income Eligible Deemed Table'!F1219</f>
        <v>31</v>
      </c>
      <c r="J421" s="2320"/>
      <c r="K421" s="2310"/>
      <c r="L421" s="2310"/>
      <c r="M421" s="2310"/>
      <c r="N421" s="2310"/>
      <c r="O421" s="2321">
        <f>'Income Eligible Deemed Table'!I1219</f>
        <v>3.5599999999999998E-3</v>
      </c>
      <c r="P421" s="2321"/>
      <c r="Q421" s="2323"/>
      <c r="R421" s="2323"/>
      <c r="S421" s="2323"/>
      <c r="T421" s="2323"/>
      <c r="U421" s="2273">
        <v>0</v>
      </c>
      <c r="V421" s="2273">
        <f t="shared" ref="V421" si="261">O421</f>
        <v>3.5599999999999998E-3</v>
      </c>
      <c r="W421" s="2273">
        <v>0</v>
      </c>
      <c r="X421" s="2299">
        <f>'Income Eligible Deemed Table'!J1219</f>
        <v>10</v>
      </c>
      <c r="Y421" s="2299"/>
      <c r="Z421" s="2299">
        <f t="shared" ref="Z421" si="262">Y421+X421</f>
        <v>10</v>
      </c>
      <c r="AA421" s="2298">
        <f>'Income Eligible Deemed Table'!BB1219</f>
        <v>0.37753152620144892</v>
      </c>
      <c r="AB421" s="2919">
        <f>'Income Eligible Deemed Table'!K1219</f>
        <v>30</v>
      </c>
      <c r="AC421" s="2928">
        <f t="shared" ref="AC421" si="263">AE421+AF421</f>
        <v>10.689896919342583</v>
      </c>
      <c r="AD421" s="2928">
        <f t="shared" ref="AD421" si="264">AG421+AH421</f>
        <v>0</v>
      </c>
      <c r="AE421" s="2957">
        <f>'Income Eligible Deemed Table'!BD1219</f>
        <v>10.689896919342583</v>
      </c>
      <c r="AF421" s="2334"/>
      <c r="AG421" s="2334"/>
      <c r="AH421" s="2334"/>
      <c r="AI421" s="2307" t="str">
        <f>'Income Eligible Deemed Table'!L1219</f>
        <v>per measure</v>
      </c>
      <c r="AM421" s="2929">
        <f t="shared" si="259"/>
        <v>1.148238E-4</v>
      </c>
      <c r="AN421" s="132">
        <f t="shared" ref="AN421" si="265">AM421*I421</f>
        <v>3.5595378E-3</v>
      </c>
      <c r="AO421" s="2933">
        <f t="shared" ref="AO421" si="266">AN421-O421</f>
        <v>-4.6219999999975309E-7</v>
      </c>
    </row>
    <row r="422" spans="2:41" x14ac:dyDescent="0.25">
      <c r="B422" s="2240" t="str">
        <f>'Income Eligible Deemed Table'!C1220</f>
        <v>405500_2019_12_</v>
      </c>
      <c r="C422" s="208" t="str">
        <f>'Income Eligible Deemed Table'!G1220</f>
        <v>Miscellaneous RES</v>
      </c>
      <c r="D422" s="208"/>
      <c r="E422" s="208"/>
      <c r="F422" s="208"/>
      <c r="G422" s="208" t="str">
        <f>'Income Eligible Deemed Table'!E1220</f>
        <v>Advanced Tier 1 Power Strips / Kits - Home Office</v>
      </c>
      <c r="H422" s="622" t="str">
        <f>'Income Eligible Deemed Table'!D1220</f>
        <v>SFLI / MFLI</v>
      </c>
      <c r="I422" s="2084">
        <f>'Income Eligible Deemed Table'!F1220</f>
        <v>24.18</v>
      </c>
      <c r="J422" s="2084"/>
      <c r="K422" s="2113"/>
      <c r="L422" s="2113"/>
      <c r="M422" s="2113"/>
      <c r="N422" s="2113"/>
      <c r="O422" s="2085">
        <f>'Income Eligible Deemed Table'!I1220</f>
        <v>2.7759999999999998E-3</v>
      </c>
      <c r="P422" s="2085"/>
      <c r="Q422" s="2086"/>
      <c r="R422" s="2086"/>
      <c r="S422" s="2086"/>
      <c r="T422" s="2086"/>
      <c r="U422" s="2087">
        <v>0</v>
      </c>
      <c r="V422" s="2087">
        <f t="shared" si="260"/>
        <v>2.7759999999999998E-3</v>
      </c>
      <c r="W422" s="2087">
        <v>0</v>
      </c>
      <c r="X422" s="2121">
        <f>'Income Eligible Deemed Table'!J1220</f>
        <v>10</v>
      </c>
      <c r="Y422" s="2121"/>
      <c r="Z422" s="88">
        <f t="shared" ref="Z422:Z433" si="267">Y422+X422</f>
        <v>10</v>
      </c>
      <c r="AA422" s="637">
        <f>'Income Eligible Deemed Table'!BB1220</f>
        <v>0.4417118856556953</v>
      </c>
      <c r="AB422" s="2917">
        <f>'Income Eligible Deemed Table'!K1220</f>
        <v>20</v>
      </c>
      <c r="AC422" s="2089">
        <f t="shared" si="251"/>
        <v>8.338119597087216</v>
      </c>
      <c r="AD422" s="2089">
        <f t="shared" si="252"/>
        <v>0</v>
      </c>
      <c r="AE422" s="2955">
        <f>'Income Eligible Deemed Table'!BD1220</f>
        <v>8.338119597087216</v>
      </c>
      <c r="AF422" s="2956"/>
      <c r="AG422" s="2956"/>
      <c r="AH422" s="2956"/>
      <c r="AI422" s="2240" t="str">
        <f>'Income Eligible Deemed Table'!L1220</f>
        <v>per measure</v>
      </c>
      <c r="AM422" s="2057">
        <f t="shared" si="259"/>
        <v>1.148238E-4</v>
      </c>
      <c r="AN422">
        <f t="shared" si="248"/>
        <v>2.7764394839999997E-3</v>
      </c>
      <c r="AO422" s="2048">
        <f t="shared" si="247"/>
        <v>4.3948399999988244E-7</v>
      </c>
    </row>
    <row r="423" spans="2:41" x14ac:dyDescent="0.25">
      <c r="B423" s="2240" t="str">
        <f>'Income Eligible Deemed Table'!C1221</f>
        <v>405550_2019_12_</v>
      </c>
      <c r="C423" s="208" t="str">
        <f>'Income Eligible Deemed Table'!G1221</f>
        <v>Miscellaneous RES</v>
      </c>
      <c r="D423" s="208"/>
      <c r="E423" s="208"/>
      <c r="F423" s="208"/>
      <c r="G423" s="208" t="str">
        <f>'Income Eligible Deemed Table'!E1221</f>
        <v>Advanced Tier 1 Power Strips / TOS/NC - Home Entertainment</v>
      </c>
      <c r="H423" s="622" t="str">
        <f>'Income Eligible Deemed Table'!D1221</f>
        <v>SFLI / MFLI</v>
      </c>
      <c r="I423" s="2084">
        <f>'Income Eligible Deemed Table'!F1221</f>
        <v>75.099999999999994</v>
      </c>
      <c r="J423" s="2084"/>
      <c r="K423" s="2113"/>
      <c r="L423" s="2113"/>
      <c r="M423" s="2113"/>
      <c r="N423" s="2113"/>
      <c r="O423" s="2085">
        <f>'Income Eligible Deemed Table'!I1221</f>
        <v>8.6230000000000005E-3</v>
      </c>
      <c r="P423" s="2085"/>
      <c r="Q423" s="2086"/>
      <c r="R423" s="2086"/>
      <c r="S423" s="2086"/>
      <c r="T423" s="2086"/>
      <c r="U423" s="2087">
        <v>0</v>
      </c>
      <c r="V423" s="2087">
        <f t="shared" si="260"/>
        <v>8.6230000000000005E-3</v>
      </c>
      <c r="W423" s="2087">
        <v>0</v>
      </c>
      <c r="X423" s="2121">
        <f>'Income Eligible Deemed Table'!J1221</f>
        <v>10</v>
      </c>
      <c r="Y423" s="2121"/>
      <c r="Z423" s="88">
        <f t="shared" si="267"/>
        <v>10</v>
      </c>
      <c r="AA423" s="637">
        <f>'Income Eligible Deemed Table'!BB1221</f>
        <v>1.3719008524707492</v>
      </c>
      <c r="AB423" s="2917">
        <f>'Income Eligible Deemed Table'!K1221</f>
        <v>20</v>
      </c>
      <c r="AC423" s="2089">
        <f t="shared" si="251"/>
        <v>25.897137375568647</v>
      </c>
      <c r="AD423" s="2089">
        <f t="shared" si="252"/>
        <v>0</v>
      </c>
      <c r="AE423" s="2955">
        <f>'Income Eligible Deemed Table'!BD1221</f>
        <v>25.897137375568647</v>
      </c>
      <c r="AF423" s="2956"/>
      <c r="AG423" s="2956"/>
      <c r="AH423" s="2956"/>
      <c r="AI423" s="2240" t="str">
        <f>'Income Eligible Deemed Table'!L1221</f>
        <v>per measure</v>
      </c>
      <c r="AM423" s="2057">
        <f t="shared" si="259"/>
        <v>1.148238E-4</v>
      </c>
      <c r="AN423">
        <f t="shared" si="248"/>
        <v>8.6232673799999989E-3</v>
      </c>
      <c r="AO423" s="2048">
        <f t="shared" si="247"/>
        <v>2.6737999999845719E-7</v>
      </c>
    </row>
    <row r="424" spans="2:41" s="132" customFormat="1" x14ac:dyDescent="0.25">
      <c r="B424" s="2307" t="str">
        <f>'Income Eligible Deemed Table'!C1222</f>
        <v>405551_2020_12_</v>
      </c>
      <c r="C424" s="2305" t="str">
        <f>'Income Eligible Deemed Table'!G1222</f>
        <v>Miscellaneous RES</v>
      </c>
      <c r="D424" s="2305"/>
      <c r="E424" s="2305"/>
      <c r="F424" s="2305"/>
      <c r="G424" s="2305" t="str">
        <f>'Income Eligible Deemed Table'!E1222</f>
        <v>Advanced Tier 1 Power Strips / DI - Home Entertainment</v>
      </c>
      <c r="H424" s="2322" t="str">
        <f>'Income Eligible Deemed Table'!D1222</f>
        <v>SFLI / MFLI</v>
      </c>
      <c r="I424" s="2320">
        <f>'Income Eligible Deemed Table'!F1222</f>
        <v>75.099999999999994</v>
      </c>
      <c r="J424" s="2320"/>
      <c r="K424" s="2310"/>
      <c r="L424" s="2310"/>
      <c r="M424" s="2310"/>
      <c r="N424" s="2310"/>
      <c r="O424" s="2321">
        <f>'Income Eligible Deemed Table'!I1222</f>
        <v>8.6230000000000005E-3</v>
      </c>
      <c r="P424" s="2321"/>
      <c r="Q424" s="2323"/>
      <c r="R424" s="2323"/>
      <c r="S424" s="2323"/>
      <c r="T424" s="2323"/>
      <c r="U424" s="2273">
        <v>0</v>
      </c>
      <c r="V424" s="2273">
        <f t="shared" ref="V424" si="268">O424</f>
        <v>8.6230000000000005E-3</v>
      </c>
      <c r="W424" s="2273">
        <v>0</v>
      </c>
      <c r="X424" s="2299">
        <f>'Income Eligible Deemed Table'!J1222</f>
        <v>10</v>
      </c>
      <c r="Y424" s="2299"/>
      <c r="Z424" s="2299">
        <f t="shared" ref="Z424" si="269">Y424+X424</f>
        <v>10</v>
      </c>
      <c r="AA424" s="2298">
        <f>'Income Eligible Deemed Table'!BB1222</f>
        <v>0.91460056831383285</v>
      </c>
      <c r="AB424" s="2919">
        <f>'Income Eligible Deemed Table'!K1222</f>
        <v>30</v>
      </c>
      <c r="AC424" s="2928">
        <f t="shared" ref="AC424" si="270">AE424+AF424</f>
        <v>25.897137375568647</v>
      </c>
      <c r="AD424" s="2928">
        <f t="shared" ref="AD424" si="271">AG424+AH424</f>
        <v>0</v>
      </c>
      <c r="AE424" s="2957">
        <f>'Income Eligible Deemed Table'!BD1222</f>
        <v>25.897137375568647</v>
      </c>
      <c r="AF424" s="2334"/>
      <c r="AG424" s="2334"/>
      <c r="AH424" s="2334"/>
      <c r="AI424" s="2307" t="str">
        <f>'Income Eligible Deemed Table'!L1222</f>
        <v>per measure</v>
      </c>
      <c r="AM424" s="2929">
        <f t="shared" si="259"/>
        <v>1.148238E-4</v>
      </c>
      <c r="AN424" s="132">
        <f t="shared" ref="AN424" si="272">AM424*I424</f>
        <v>8.6232673799999989E-3</v>
      </c>
      <c r="AO424" s="2933">
        <f t="shared" ref="AO424" si="273">AN424-O424</f>
        <v>2.6737999999845719E-7</v>
      </c>
    </row>
    <row r="425" spans="2:41" x14ac:dyDescent="0.25">
      <c r="B425" s="2240" t="str">
        <f>'Income Eligible Deemed Table'!C1223</f>
        <v>405600_2019_12_</v>
      </c>
      <c r="C425" s="208" t="str">
        <f>'Income Eligible Deemed Table'!G1223</f>
        <v>Miscellaneous RES</v>
      </c>
      <c r="D425" s="208"/>
      <c r="E425" s="208"/>
      <c r="F425" s="208"/>
      <c r="G425" s="208" t="str">
        <f>'Income Eligible Deemed Table'!E1223</f>
        <v>Advanced Tier 1 Power Strips / Kits - Home Entertainment</v>
      </c>
      <c r="H425" s="622" t="str">
        <f>'Income Eligible Deemed Table'!D1223</f>
        <v>SFLI / MFLI</v>
      </c>
      <c r="I425" s="2084">
        <f>'Income Eligible Deemed Table'!F1223</f>
        <v>58.58</v>
      </c>
      <c r="J425" s="2084"/>
      <c r="K425" s="2113"/>
      <c r="L425" s="2113"/>
      <c r="M425" s="2113"/>
      <c r="N425" s="2113"/>
      <c r="O425" s="2085">
        <f>'Income Eligible Deemed Table'!I1223</f>
        <v>6.7260000000000002E-3</v>
      </c>
      <c r="P425" s="2085"/>
      <c r="Q425" s="2086"/>
      <c r="R425" s="2086"/>
      <c r="S425" s="2086"/>
      <c r="T425" s="2086"/>
      <c r="U425" s="2087">
        <v>0</v>
      </c>
      <c r="V425" s="2087">
        <f t="shared" si="260"/>
        <v>6.7260000000000002E-3</v>
      </c>
      <c r="W425" s="2087">
        <v>0</v>
      </c>
      <c r="X425" s="2121">
        <f>'Income Eligible Deemed Table'!J1223</f>
        <v>10</v>
      </c>
      <c r="Y425" s="2121"/>
      <c r="Z425" s="88">
        <f t="shared" si="267"/>
        <v>10</v>
      </c>
      <c r="AA425" s="637">
        <f>'Income Eligible Deemed Table'!BB1223</f>
        <v>1.0701192002361717</v>
      </c>
      <c r="AB425" s="2917">
        <f>'Income Eligible Deemed Table'!K1223</f>
        <v>20</v>
      </c>
      <c r="AC425" s="2089">
        <f t="shared" si="251"/>
        <v>20.200456823712535</v>
      </c>
      <c r="AD425" s="2089">
        <f t="shared" si="252"/>
        <v>0</v>
      </c>
      <c r="AE425" s="2955">
        <f>'Income Eligible Deemed Table'!BD1223</f>
        <v>20.200456823712535</v>
      </c>
      <c r="AF425" s="2956"/>
      <c r="AG425" s="2956"/>
      <c r="AH425" s="2956"/>
      <c r="AI425" s="2240" t="str">
        <f>'Income Eligible Deemed Table'!L1223</f>
        <v>per measure</v>
      </c>
      <c r="AM425" s="2057">
        <f t="shared" si="259"/>
        <v>1.148238E-4</v>
      </c>
      <c r="AN425">
        <f t="shared" si="248"/>
        <v>6.7263782039999999E-3</v>
      </c>
      <c r="AO425" s="2048">
        <f t="shared" si="247"/>
        <v>3.7820399999971555E-7</v>
      </c>
    </row>
    <row r="426" spans="2:41" x14ac:dyDescent="0.25">
      <c r="B426" s="2240" t="str">
        <f>'Income Eligible Deemed Table'!C1224</f>
        <v>405650_2019_12_</v>
      </c>
      <c r="C426" s="208" t="str">
        <f>'Income Eligible Deemed Table'!G1224</f>
        <v>Miscellaneous RES</v>
      </c>
      <c r="D426" s="208"/>
      <c r="E426" s="208"/>
      <c r="F426" s="208"/>
      <c r="G426" s="208" t="str">
        <f>'Income Eligible Deemed Table'!E1224</f>
        <v>Advanced Tier 1 Power Strips / TOS/NC - Unknown Location</v>
      </c>
      <c r="H426" s="622" t="str">
        <f>'Income Eligible Deemed Table'!D1224</f>
        <v>SFLI / MFLI</v>
      </c>
      <c r="I426" s="2084">
        <f>'Income Eligible Deemed Table'!F1224</f>
        <v>59.22</v>
      </c>
      <c r="J426" s="2084"/>
      <c r="K426" s="2113"/>
      <c r="L426" s="2113"/>
      <c r="M426" s="2113"/>
      <c r="N426" s="2113"/>
      <c r="O426" s="2085">
        <f>'Income Eligible Deemed Table'!I1224</f>
        <v>6.7999999999999996E-3</v>
      </c>
      <c r="P426" s="2085"/>
      <c r="Q426" s="2086"/>
      <c r="R426" s="2086"/>
      <c r="S426" s="2086"/>
      <c r="T426" s="2086"/>
      <c r="U426" s="2087">
        <v>0</v>
      </c>
      <c r="V426" s="2087">
        <f t="shared" si="260"/>
        <v>6.7999999999999996E-3</v>
      </c>
      <c r="W426" s="2087">
        <v>0</v>
      </c>
      <c r="X426" s="2121">
        <f>'Income Eligible Deemed Table'!J1224</f>
        <v>10</v>
      </c>
      <c r="Y426" s="2121"/>
      <c r="Z426" s="88">
        <f t="shared" si="267"/>
        <v>10</v>
      </c>
      <c r="AA426" s="637">
        <f>'Income Eligible Deemed Table'!BB1224</f>
        <v>1.0818104991120874</v>
      </c>
      <c r="AB426" s="2917">
        <f>'Income Eligible Deemed Table'!K1224</f>
        <v>20</v>
      </c>
      <c r="AC426" s="2089">
        <f t="shared" si="251"/>
        <v>20.421151469789283</v>
      </c>
      <c r="AD426" s="2089">
        <f t="shared" si="252"/>
        <v>0</v>
      </c>
      <c r="AE426" s="2955">
        <f>'Income Eligible Deemed Table'!BD1224</f>
        <v>20.421151469789283</v>
      </c>
      <c r="AF426" s="2956"/>
      <c r="AG426" s="2956"/>
      <c r="AH426" s="2956"/>
      <c r="AI426" s="2240" t="str">
        <f>'Income Eligible Deemed Table'!L1224</f>
        <v>per measure</v>
      </c>
      <c r="AM426" s="2057">
        <f t="shared" si="259"/>
        <v>1.148238E-4</v>
      </c>
      <c r="AN426">
        <f t="shared" si="248"/>
        <v>6.7998654359999995E-3</v>
      </c>
      <c r="AO426" s="2048">
        <f t="shared" si="247"/>
        <v>-1.3456400000007307E-7</v>
      </c>
    </row>
    <row r="427" spans="2:41" s="132" customFormat="1" x14ac:dyDescent="0.25">
      <c r="B427" s="2307" t="str">
        <f>'Income Eligible Deemed Table'!C1225</f>
        <v>405651_2020_12_</v>
      </c>
      <c r="C427" s="2305" t="str">
        <f>'Income Eligible Deemed Table'!G1225</f>
        <v>Miscellaneous RES</v>
      </c>
      <c r="D427" s="2305"/>
      <c r="E427" s="2305"/>
      <c r="F427" s="2305"/>
      <c r="G427" s="2305" t="str">
        <f>'Income Eligible Deemed Table'!E1225</f>
        <v>Advanced Tier 1 Power Strips / DI - Unknown Location</v>
      </c>
      <c r="H427" s="2322" t="str">
        <f>'Income Eligible Deemed Table'!D1225</f>
        <v>SFLI / MFLI</v>
      </c>
      <c r="I427" s="2320">
        <f>'Income Eligible Deemed Table'!F1225</f>
        <v>59.22</v>
      </c>
      <c r="J427" s="2320"/>
      <c r="K427" s="2310"/>
      <c r="L427" s="2310"/>
      <c r="M427" s="2310"/>
      <c r="N427" s="2310"/>
      <c r="O427" s="2321">
        <f>'Income Eligible Deemed Table'!I1225</f>
        <v>6.7999999999999996E-3</v>
      </c>
      <c r="P427" s="2321"/>
      <c r="Q427" s="2323"/>
      <c r="R427" s="2323"/>
      <c r="S427" s="2323"/>
      <c r="T427" s="2323"/>
      <c r="U427" s="2273">
        <v>0</v>
      </c>
      <c r="V427" s="2273">
        <f t="shared" si="260"/>
        <v>6.7999999999999996E-3</v>
      </c>
      <c r="W427" s="2273">
        <v>0</v>
      </c>
      <c r="X427" s="2299">
        <f>'Income Eligible Deemed Table'!J1225</f>
        <v>10</v>
      </c>
      <c r="Y427" s="2299"/>
      <c r="Z427" s="2299">
        <f t="shared" si="267"/>
        <v>10</v>
      </c>
      <c r="AA427" s="2298">
        <f>'Income Eligible Deemed Table'!BB1225</f>
        <v>0.72120699940805821</v>
      </c>
      <c r="AB427" s="2919">
        <f>'Income Eligible Deemed Table'!K1225</f>
        <v>30</v>
      </c>
      <c r="AC427" s="2928">
        <f t="shared" si="251"/>
        <v>20.421151469789283</v>
      </c>
      <c r="AD427" s="2928">
        <f t="shared" si="252"/>
        <v>0</v>
      </c>
      <c r="AE427" s="2957">
        <f>'Income Eligible Deemed Table'!BD1225</f>
        <v>20.421151469789283</v>
      </c>
      <c r="AF427" s="2334"/>
      <c r="AG427" s="2334"/>
      <c r="AH427" s="2334"/>
      <c r="AI427" s="2307" t="str">
        <f>'Income Eligible Deemed Table'!L1225</f>
        <v>per measure</v>
      </c>
      <c r="AM427" s="2929">
        <f t="shared" si="259"/>
        <v>1.148238E-4</v>
      </c>
      <c r="AN427" s="132">
        <f t="shared" si="248"/>
        <v>6.7998654359999995E-3</v>
      </c>
      <c r="AO427" s="2933">
        <f t="shared" si="247"/>
        <v>-1.3456400000007307E-7</v>
      </c>
    </row>
    <row r="428" spans="2:41" x14ac:dyDescent="0.25">
      <c r="B428" s="2240" t="str">
        <f>'Income Eligible Deemed Table'!C1226</f>
        <v>405700_2019_12_</v>
      </c>
      <c r="C428" s="208" t="str">
        <f>'Income Eligible Deemed Table'!G1226</f>
        <v>Miscellaneous RES</v>
      </c>
      <c r="D428" s="208"/>
      <c r="E428" s="208"/>
      <c r="F428" s="208"/>
      <c r="G428" s="208" t="str">
        <f>'Income Eligible Deemed Table'!E1226</f>
        <v>Advanced Tier 1 Power  / Kits - Unknown Location</v>
      </c>
      <c r="H428" s="622" t="str">
        <f>'Income Eligible Deemed Table'!D1226</f>
        <v>SFLI / MFLI</v>
      </c>
      <c r="I428" s="2084">
        <f>'Income Eligible Deemed Table'!F1226</f>
        <v>42.07</v>
      </c>
      <c r="J428" s="2084"/>
      <c r="K428" s="2113"/>
      <c r="L428" s="2113"/>
      <c r="M428" s="2113"/>
      <c r="N428" s="2113"/>
      <c r="O428" s="2085">
        <f>'Income Eligible Deemed Table'!I1226</f>
        <v>4.8310000000000002E-3</v>
      </c>
      <c r="P428" s="2085"/>
      <c r="Q428" s="2086"/>
      <c r="R428" s="2086"/>
      <c r="S428" s="2086"/>
      <c r="T428" s="2086"/>
      <c r="U428" s="2087">
        <v>0</v>
      </c>
      <c r="V428" s="2087">
        <f t="shared" si="260"/>
        <v>4.8310000000000002E-3</v>
      </c>
      <c r="W428" s="2087">
        <v>0</v>
      </c>
      <c r="X428" s="2121">
        <f>'Income Eligible Deemed Table'!J1226</f>
        <v>10</v>
      </c>
      <c r="Y428" s="2121"/>
      <c r="Z428" s="88">
        <f t="shared" si="267"/>
        <v>10</v>
      </c>
      <c r="AA428" s="637">
        <f>'Income Eligible Deemed Table'!BB1226</f>
        <v>0.76852022454653024</v>
      </c>
      <c r="AB428" s="2917">
        <f>'Income Eligible Deemed Table'!K1226</f>
        <v>20</v>
      </c>
      <c r="AC428" s="2089">
        <f t="shared" si="251"/>
        <v>14.507224625701372</v>
      </c>
      <c r="AD428" s="2089">
        <f t="shared" si="252"/>
        <v>0</v>
      </c>
      <c r="AE428" s="2955">
        <f>'Income Eligible Deemed Table'!BD1226</f>
        <v>14.507224625701372</v>
      </c>
      <c r="AF428" s="2956"/>
      <c r="AG428" s="2956"/>
      <c r="AH428" s="2956"/>
      <c r="AI428" s="2240" t="str">
        <f>'Income Eligible Deemed Table'!L1226</f>
        <v>per measure</v>
      </c>
      <c r="AM428" s="2057">
        <f t="shared" si="259"/>
        <v>1.148238E-4</v>
      </c>
      <c r="AN428">
        <f t="shared" si="248"/>
        <v>4.8306372660000003E-3</v>
      </c>
      <c r="AO428" s="2048">
        <f t="shared" si="247"/>
        <v>-3.6273399999994793E-7</v>
      </c>
    </row>
    <row r="429" spans="2:41" x14ac:dyDescent="0.25">
      <c r="B429" s="2240" t="str">
        <f>'Income Eligible Deemed Table'!C1227</f>
        <v>405750_2019_12_</v>
      </c>
      <c r="C429" s="208" t="str">
        <f>'Income Eligible Deemed Table'!G1227</f>
        <v>Miscellaneous RES</v>
      </c>
      <c r="D429" s="208"/>
      <c r="E429" s="208"/>
      <c r="F429" s="208"/>
      <c r="G429" s="208" t="str">
        <f>'Income Eligible Deemed Table'!E1227</f>
        <v>Advanced Tier 2 Power Strips / TOS/NC / Average</v>
      </c>
      <c r="H429" s="622" t="str">
        <f>'Income Eligible Deemed Table'!D1227</f>
        <v>SFLI / MFLI</v>
      </c>
      <c r="I429" s="2084">
        <f>'Income Eligible Deemed Table'!F1227</f>
        <v>151.96</v>
      </c>
      <c r="J429" s="2084"/>
      <c r="K429" s="2113"/>
      <c r="L429" s="2113"/>
      <c r="M429" s="2113"/>
      <c r="N429" s="2113"/>
      <c r="O429" s="2085">
        <f>'Income Eligible Deemed Table'!I1227</f>
        <v>1.7448999999999999E-2</v>
      </c>
      <c r="P429" s="2085"/>
      <c r="Q429" s="2086"/>
      <c r="R429" s="2086"/>
      <c r="S429" s="2086"/>
      <c r="T429" s="2086"/>
      <c r="U429" s="2087">
        <v>0</v>
      </c>
      <c r="V429" s="2087">
        <f t="shared" si="260"/>
        <v>1.7448999999999999E-2</v>
      </c>
      <c r="W429" s="2087">
        <v>0</v>
      </c>
      <c r="X429" s="2121">
        <f>'Income Eligible Deemed Table'!J1227</f>
        <v>10</v>
      </c>
      <c r="Y429" s="2121"/>
      <c r="Z429" s="88">
        <f t="shared" si="267"/>
        <v>10</v>
      </c>
      <c r="AA429" s="637">
        <f>'Income Eligible Deemed Table'!BB1227</f>
        <v>1.8506351845668449</v>
      </c>
      <c r="AB429" s="2917">
        <f>'Income Eligible Deemed Table'!K1227</f>
        <v>30</v>
      </c>
      <c r="AC429" s="2089">
        <f t="shared" si="251"/>
        <v>52.401185027848364</v>
      </c>
      <c r="AD429" s="2089">
        <f t="shared" si="252"/>
        <v>0</v>
      </c>
      <c r="AE429" s="2955">
        <f>'Income Eligible Deemed Table'!BD1227</f>
        <v>52.401185027848364</v>
      </c>
      <c r="AF429" s="2956"/>
      <c r="AG429" s="2956"/>
      <c r="AH429" s="2956"/>
      <c r="AI429" s="2240" t="str">
        <f>'Income Eligible Deemed Table'!L1227</f>
        <v>per measure</v>
      </c>
      <c r="AM429" s="2057">
        <f t="shared" si="259"/>
        <v>1.148238E-4</v>
      </c>
      <c r="AN429">
        <f t="shared" si="248"/>
        <v>1.7448624648E-2</v>
      </c>
      <c r="AO429" s="2048">
        <f t="shared" si="247"/>
        <v>-3.7535199999896851E-7</v>
      </c>
    </row>
    <row r="430" spans="2:41" s="132" customFormat="1" x14ac:dyDescent="0.25">
      <c r="B430" s="2307" t="str">
        <f>'Income Eligible Deemed Table'!C1228</f>
        <v>405751_2020_12_</v>
      </c>
      <c r="C430" s="2305" t="str">
        <f>'Income Eligible Deemed Table'!G1228</f>
        <v>Miscellaneous RES</v>
      </c>
      <c r="D430" s="2305"/>
      <c r="E430" s="2305"/>
      <c r="F430" s="2305"/>
      <c r="G430" s="2305" t="str">
        <f>'Income Eligible Deemed Table'!E1228</f>
        <v>Advanced Tier 2 Power Strips / DI / Average</v>
      </c>
      <c r="H430" s="2322" t="str">
        <f>'Income Eligible Deemed Table'!D1228</f>
        <v>SFLI / MFLI</v>
      </c>
      <c r="I430" s="2320">
        <f>'Income Eligible Deemed Table'!F1228</f>
        <v>153.9</v>
      </c>
      <c r="J430" s="2320"/>
      <c r="K430" s="2310"/>
      <c r="L430" s="2310"/>
      <c r="M430" s="2310"/>
      <c r="N430" s="2310"/>
      <c r="O430" s="2321">
        <f>'Income Eligible Deemed Table'!I1228</f>
        <v>1.7670999999999999E-2</v>
      </c>
      <c r="P430" s="2321"/>
      <c r="Q430" s="2323"/>
      <c r="R430" s="2323"/>
      <c r="S430" s="2323"/>
      <c r="T430" s="2323"/>
      <c r="U430" s="2273">
        <v>0</v>
      </c>
      <c r="V430" s="2273">
        <f t="shared" si="260"/>
        <v>1.7670999999999999E-2</v>
      </c>
      <c r="W430" s="2273">
        <v>0</v>
      </c>
      <c r="X430" s="2299">
        <f>'Income Eligible Deemed Table'!J1228</f>
        <v>10</v>
      </c>
      <c r="Y430" s="2299"/>
      <c r="Z430" s="2299">
        <f t="shared" si="267"/>
        <v>10</v>
      </c>
      <c r="AA430" s="2298">
        <f>'Income Eligible Deemed Table'!BB1228</f>
        <v>0.93713067552262896</v>
      </c>
      <c r="AB430" s="2919">
        <f>'Income Eligible Deemed Table'!K1228</f>
        <v>60</v>
      </c>
      <c r="AC430" s="2928">
        <f t="shared" si="251"/>
        <v>53.070165673768507</v>
      </c>
      <c r="AD430" s="2928">
        <f t="shared" si="252"/>
        <v>0</v>
      </c>
      <c r="AE430" s="2957">
        <f>'Income Eligible Deemed Table'!BD1228</f>
        <v>53.070165673768507</v>
      </c>
      <c r="AF430" s="2334"/>
      <c r="AG430" s="2334"/>
      <c r="AH430" s="2334"/>
      <c r="AI430" s="2307" t="str">
        <f>'Income Eligible Deemed Table'!L1228</f>
        <v>per measure</v>
      </c>
      <c r="AM430" s="2929">
        <f t="shared" si="259"/>
        <v>1.148238E-4</v>
      </c>
      <c r="AN430" s="132">
        <f t="shared" si="248"/>
        <v>1.7671382820000001E-2</v>
      </c>
      <c r="AO430" s="2933">
        <f t="shared" si="247"/>
        <v>3.828200000020876E-7</v>
      </c>
    </row>
    <row r="431" spans="2:41" x14ac:dyDescent="0.25">
      <c r="B431" s="2240" t="str">
        <f>'Income Eligible Deemed Table'!C1259</f>
        <v>405800_2019_12_</v>
      </c>
      <c r="C431" s="208" t="str">
        <f>'Income Eligible Deemed Table'!G1259</f>
        <v>Refrigeration RES</v>
      </c>
      <c r="D431" s="208" t="str">
        <f>'Income Eligible Deemed Table'!G1260</f>
        <v>Refrigeration RES ER2</v>
      </c>
      <c r="E431" s="208"/>
      <c r="F431" s="208"/>
      <c r="G431" s="208" t="str">
        <f>'Income Eligible Deemed Table'!E1259</f>
        <v>Refrigerator - early replacement ER1</v>
      </c>
      <c r="H431" s="622" t="str">
        <f>'Income Eligible Deemed Table'!D1259</f>
        <v>SFLI / MFLI</v>
      </c>
      <c r="I431" s="2084">
        <f>'Income Eligible Deemed Table'!F1259</f>
        <v>564.66</v>
      </c>
      <c r="J431" s="2084">
        <f>'Income Eligible Deemed Table'!F1260</f>
        <v>46.72</v>
      </c>
      <c r="K431" s="2113"/>
      <c r="L431" s="2113"/>
      <c r="M431" s="2113"/>
      <c r="N431" s="2113"/>
      <c r="O431" s="2085">
        <f>'Income Eligible Deemed Table'!I1259</f>
        <v>7.2621000000000005E-2</v>
      </c>
      <c r="P431" s="2085">
        <f>'Income Eligible Deemed Table'!I1260</f>
        <v>6.0089999999999996E-3</v>
      </c>
      <c r="Q431" s="2086"/>
      <c r="R431" s="2086"/>
      <c r="S431" s="2086"/>
      <c r="T431" s="2086"/>
      <c r="U431" s="2087">
        <v>0</v>
      </c>
      <c r="V431" s="2095">
        <f>P431</f>
        <v>6.0089999999999996E-3</v>
      </c>
      <c r="W431" s="2087">
        <v>0</v>
      </c>
      <c r="X431" s="2121">
        <f>'Income Eligible Deemed Table'!J1259</f>
        <v>6</v>
      </c>
      <c r="Y431" s="2121">
        <f>'Income Eligible Deemed Table'!J1260</f>
        <v>11</v>
      </c>
      <c r="Z431" s="88">
        <f t="shared" si="267"/>
        <v>17</v>
      </c>
      <c r="AA431" s="637">
        <f>'Income Eligible Deemed Table'!BB1259</f>
        <v>0.18847747808723556</v>
      </c>
      <c r="AB431" s="2917">
        <f>'Income Eligible Deemed Table'!K1259</f>
        <v>753</v>
      </c>
      <c r="AC431" s="2089">
        <f t="shared" si="251"/>
        <v>117.12499089042501</v>
      </c>
      <c r="AD431" s="2089">
        <f t="shared" si="252"/>
        <v>16.828327655765037</v>
      </c>
      <c r="AE431" s="2955">
        <f>'Income Eligible Deemed Table'!BD1259</f>
        <v>117.12499089042501</v>
      </c>
      <c r="AF431" s="2956"/>
      <c r="AG431" s="2958">
        <f>'Income Eligible Deemed Table'!BD1260</f>
        <v>16.828327655765037</v>
      </c>
      <c r="AH431" s="2956"/>
      <c r="AI431" s="2240" t="str">
        <f>'Income Eligible Deemed Table'!L1259</f>
        <v>per measure</v>
      </c>
      <c r="AM431" s="2057">
        <f t="shared" si="259"/>
        <v>1.286107E-4</v>
      </c>
      <c r="AN431">
        <f t="shared" ref="AN431:AN474" si="274">AM431*I431</f>
        <v>7.262131786199999E-2</v>
      </c>
      <c r="AO431" s="2048">
        <f t="shared" si="247"/>
        <v>3.1786199998495857E-7</v>
      </c>
    </row>
    <row r="432" spans="2:41" x14ac:dyDescent="0.25">
      <c r="B432" s="2240" t="str">
        <f>'Income Eligible Deemed Table'!C1261</f>
        <v>405825_2019_12_</v>
      </c>
      <c r="C432" s="208" t="str">
        <f>'Income Eligible Deemed Table'!G1261</f>
        <v>Refrigeration RES</v>
      </c>
      <c r="D432" s="208" t="str">
        <f>'Income Eligible Deemed Table'!G1262</f>
        <v>Refrigeration RES ER2</v>
      </c>
      <c r="E432" s="208"/>
      <c r="F432" s="208"/>
      <c r="G432" s="208" t="str">
        <f>'Income Eligible Deemed Table'!E1261</f>
        <v>Refrigerator - Pre 1993 - ER1</v>
      </c>
      <c r="H432" s="622" t="str">
        <f>'Income Eligible Deemed Table'!D1261</f>
        <v>SFLI / MFLI</v>
      </c>
      <c r="I432" s="2084">
        <f>'Income Eligible Deemed Table'!F1261</f>
        <v>1269.9100000000001</v>
      </c>
      <c r="J432" s="2084">
        <f>'Income Eligible Deemed Table'!F1262</f>
        <v>46.72</v>
      </c>
      <c r="K432" s="2113"/>
      <c r="L432" s="2113"/>
      <c r="M432" s="2113"/>
      <c r="N432" s="2113"/>
      <c r="O432" s="2085">
        <f>'Income Eligible Deemed Table'!I1261</f>
        <v>0.163324</v>
      </c>
      <c r="P432" s="2085">
        <f>'Income Eligible Deemed Table'!I1262</f>
        <v>6.0089999999999996E-3</v>
      </c>
      <c r="Q432" s="2086"/>
      <c r="R432" s="2086"/>
      <c r="S432" s="2086"/>
      <c r="T432" s="2086"/>
      <c r="U432" s="2087">
        <v>0</v>
      </c>
      <c r="V432" s="2095">
        <f>P432</f>
        <v>6.0089999999999996E-3</v>
      </c>
      <c r="W432" s="2087">
        <v>0</v>
      </c>
      <c r="X432" s="2121">
        <f>'Income Eligible Deemed Table'!J1261</f>
        <v>6</v>
      </c>
      <c r="Y432" s="2121">
        <f>'Income Eligible Deemed Table'!J1262</f>
        <v>11</v>
      </c>
      <c r="Z432" s="88">
        <f t="shared" si="267"/>
        <v>17</v>
      </c>
      <c r="AA432" s="637">
        <f>'Income Eligible Deemed Table'!BB1261</f>
        <v>0.39430887713969415</v>
      </c>
      <c r="AB432" s="2917">
        <f>'Income Eligible Deemed Table'!K1261</f>
        <v>753</v>
      </c>
      <c r="AC432" s="2089">
        <f t="shared" si="251"/>
        <v>263.41195973091709</v>
      </c>
      <c r="AD432" s="2089">
        <f t="shared" si="252"/>
        <v>16.828327655765037</v>
      </c>
      <c r="AE432" s="2955">
        <f>'Income Eligible Deemed Table'!BD1261</f>
        <v>263.41195973091709</v>
      </c>
      <c r="AF432" s="2956"/>
      <c r="AG432" s="2958">
        <f>'Income Eligible Deemed Table'!BD1262</f>
        <v>16.828327655765037</v>
      </c>
      <c r="AH432" s="2956"/>
      <c r="AI432" s="2240" t="str">
        <f>'Income Eligible Deemed Table'!L1261</f>
        <v>per measure</v>
      </c>
      <c r="AM432" s="2057">
        <f t="shared" si="259"/>
        <v>1.286107E-4</v>
      </c>
      <c r="AN432">
        <f t="shared" si="274"/>
        <v>0.163324014037</v>
      </c>
      <c r="AO432" s="2048">
        <f t="shared" si="247"/>
        <v>1.4037000006794642E-8</v>
      </c>
    </row>
    <row r="433" spans="2:41" x14ac:dyDescent="0.25">
      <c r="B433" s="2240" t="str">
        <f>'Income Eligible Deemed Table'!C1294</f>
        <v>405850_2019_12_</v>
      </c>
      <c r="C433" s="208" t="str">
        <f>'Income Eligible Deemed Table'!G1294</f>
        <v>Cooling RES</v>
      </c>
      <c r="D433" s="208"/>
      <c r="E433" s="208"/>
      <c r="F433" s="208"/>
      <c r="G433" s="208" t="str">
        <f>'Income Eligible Deemed Table'!E1294</f>
        <v>AC - Energy Star Room _unknown size_Thru-Wall_MF</v>
      </c>
      <c r="H433" s="622" t="str">
        <f>'Income Eligible Deemed Table'!D1294</f>
        <v>MFLI</v>
      </c>
      <c r="I433" s="2091">
        <f t="shared" ref="I433:I456" si="275">K433+L433</f>
        <v>195.22</v>
      </c>
      <c r="J433" s="2091">
        <f t="shared" ref="J433:J456" si="276">M433+N433</f>
        <v>0</v>
      </c>
      <c r="K433" s="2113">
        <f>'Income Eligible Deemed Table'!F1294</f>
        <v>195.22</v>
      </c>
      <c r="L433" s="2113"/>
      <c r="M433" s="2113"/>
      <c r="N433" s="2113"/>
      <c r="O433" s="2092">
        <f t="shared" ref="O433:O456" si="277">Q433+R433</f>
        <v>0.18495500000000001</v>
      </c>
      <c r="P433" s="2092">
        <f t="shared" ref="P433:P456" si="278">S433+T433</f>
        <v>0</v>
      </c>
      <c r="Q433" s="2086">
        <f>'Income Eligible Deemed Table'!I1294</f>
        <v>0.18495500000000001</v>
      </c>
      <c r="R433" s="2086"/>
      <c r="S433" s="2086"/>
      <c r="T433" s="2086"/>
      <c r="U433" s="2087">
        <f>O433</f>
        <v>0.18495500000000001</v>
      </c>
      <c r="V433" s="2087"/>
      <c r="W433" s="2087"/>
      <c r="X433" s="2121">
        <f>'Income Eligible Deemed Table'!J1294</f>
        <v>9</v>
      </c>
      <c r="Y433" s="2121"/>
      <c r="Z433" s="88">
        <f t="shared" si="267"/>
        <v>9</v>
      </c>
      <c r="AA433" s="637">
        <f>'Income Eligible Deemed Table'!BB1294</f>
        <v>9.4699752003868074</v>
      </c>
      <c r="AB433" s="2917">
        <f>'Income Eligible Deemed Table'!K1294</f>
        <v>20</v>
      </c>
      <c r="AC433" s="2089">
        <f t="shared" si="251"/>
        <v>178.76309958257303</v>
      </c>
      <c r="AD433" s="2089">
        <f t="shared" si="252"/>
        <v>0</v>
      </c>
      <c r="AE433" s="2955">
        <f>'Income Eligible Deemed Table'!BD1294</f>
        <v>178.76309958257303</v>
      </c>
      <c r="AF433" s="2956"/>
      <c r="AG433" s="2956"/>
      <c r="AH433" s="2956"/>
      <c r="AI433" s="2240" t="str">
        <f>'Income Eligible Deemed Table'!L1294</f>
        <v>per measure</v>
      </c>
      <c r="AM433" s="2057">
        <f t="shared" si="259"/>
        <v>9.4741810000000004E-4</v>
      </c>
      <c r="AN433">
        <f t="shared" si="274"/>
        <v>0.184954961482</v>
      </c>
      <c r="AO433" s="2048">
        <f t="shared" si="247"/>
        <v>-3.851800001175576E-8</v>
      </c>
    </row>
    <row r="434" spans="2:41" x14ac:dyDescent="0.25">
      <c r="B434" s="2240" t="str">
        <f>'Income Eligible Deemed Table'!C1295</f>
        <v>405900_2019_12_</v>
      </c>
      <c r="C434" s="208" t="str">
        <f>'Income Eligible Deemed Table'!G1295</f>
        <v>Cooling RES</v>
      </c>
      <c r="D434" s="208"/>
      <c r="E434" s="208"/>
      <c r="F434" s="208"/>
      <c r="G434" s="208" t="str">
        <f>'Income Eligible Deemed Table'!E1295</f>
        <v>AC - Energy Star Room  _unknown size_Thru-Wall_SF</v>
      </c>
      <c r="H434" s="622" t="str">
        <f>'Income Eligible Deemed Table'!D1295</f>
        <v>SFLI</v>
      </c>
      <c r="I434" s="2091">
        <f t="shared" si="275"/>
        <v>76.92</v>
      </c>
      <c r="J434" s="2091">
        <f t="shared" si="276"/>
        <v>0</v>
      </c>
      <c r="K434" s="2113">
        <f>'Income Eligible Deemed Table'!F1295</f>
        <v>76.92</v>
      </c>
      <c r="L434" s="2113"/>
      <c r="M434" s="2113"/>
      <c r="N434" s="2113"/>
      <c r="O434" s="2092">
        <f t="shared" si="277"/>
        <v>7.2874999999999995E-2</v>
      </c>
      <c r="P434" s="2092">
        <f t="shared" si="278"/>
        <v>0</v>
      </c>
      <c r="Q434" s="2086">
        <f>'Income Eligible Deemed Table'!I1295</f>
        <v>7.2874999999999995E-2</v>
      </c>
      <c r="R434" s="2086"/>
      <c r="S434" s="2086"/>
      <c r="T434" s="2086"/>
      <c r="U434" s="2087">
        <f t="shared" ref="U434:U477" si="279">O434</f>
        <v>7.2874999999999995E-2</v>
      </c>
      <c r="V434" s="2087"/>
      <c r="W434" s="2087"/>
      <c r="X434" s="2121">
        <f>'Income Eligible Deemed Table'!J1295</f>
        <v>9</v>
      </c>
      <c r="Y434" s="2121"/>
      <c r="Z434" s="88">
        <f t="shared" ref="Z434:Z513" si="280">Y434+X434</f>
        <v>9</v>
      </c>
      <c r="AA434" s="637">
        <f>'Income Eligible Deemed Table'!BB1295</f>
        <v>3.7313312796524603</v>
      </c>
      <c r="AB434" s="2917">
        <f>'Income Eligible Deemed Table'!K1295</f>
        <v>20</v>
      </c>
      <c r="AC434" s="2089">
        <f t="shared" si="251"/>
        <v>70.435701362009624</v>
      </c>
      <c r="AD434" s="2089">
        <f t="shared" si="252"/>
        <v>0</v>
      </c>
      <c r="AE434" s="2955">
        <f>'Income Eligible Deemed Table'!BD1295</f>
        <v>70.435701362009624</v>
      </c>
      <c r="AF434" s="2956"/>
      <c r="AG434" s="2956"/>
      <c r="AH434" s="2956"/>
      <c r="AI434" s="2240" t="str">
        <f>'Income Eligible Deemed Table'!L1295</f>
        <v>per measure</v>
      </c>
      <c r="AM434" s="2057">
        <f t="shared" si="259"/>
        <v>9.4741810000000004E-4</v>
      </c>
      <c r="AN434">
        <f t="shared" si="274"/>
        <v>7.2875400252000011E-2</v>
      </c>
      <c r="AO434" s="2048">
        <f t="shared" si="247"/>
        <v>4.0025200001569949E-7</v>
      </c>
    </row>
    <row r="435" spans="2:41" x14ac:dyDescent="0.25">
      <c r="B435" s="2240" t="str">
        <f>'Income Eligible Deemed Table'!C1296</f>
        <v>405950_2019_12_</v>
      </c>
      <c r="C435" s="208" t="str">
        <f>'Income Eligible Deemed Table'!G1296</f>
        <v>Cooling RES</v>
      </c>
      <c r="D435" s="208"/>
      <c r="E435" s="208"/>
      <c r="F435" s="208"/>
      <c r="G435" s="208" t="str">
        <f>'Income Eligible Deemed Table'!E1296</f>
        <v>AC - Energy Star Room _unknown size_MF</v>
      </c>
      <c r="H435" s="622" t="str">
        <f>'Income Eligible Deemed Table'!D1296</f>
        <v>MFLI</v>
      </c>
      <c r="I435" s="2091">
        <f t="shared" si="275"/>
        <v>195.22</v>
      </c>
      <c r="J435" s="2091">
        <f t="shared" si="276"/>
        <v>0</v>
      </c>
      <c r="K435" s="2113">
        <f>'Income Eligible Deemed Table'!F1296</f>
        <v>195.22</v>
      </c>
      <c r="L435" s="2113"/>
      <c r="M435" s="2113"/>
      <c r="N435" s="2113"/>
      <c r="O435" s="2092">
        <f t="shared" si="277"/>
        <v>0.18495500000000001</v>
      </c>
      <c r="P435" s="2092">
        <f t="shared" si="278"/>
        <v>0</v>
      </c>
      <c r="Q435" s="2086">
        <f>'Income Eligible Deemed Table'!I1296</f>
        <v>0.18495500000000001</v>
      </c>
      <c r="R435" s="2086"/>
      <c r="S435" s="2086"/>
      <c r="T435" s="2086"/>
      <c r="U435" s="2087">
        <f t="shared" si="279"/>
        <v>0.18495500000000001</v>
      </c>
      <c r="V435" s="2087"/>
      <c r="W435" s="2087"/>
      <c r="X435" s="2121">
        <f>'Income Eligible Deemed Table'!J1296</f>
        <v>9</v>
      </c>
      <c r="Y435" s="2121"/>
      <c r="Z435" s="88">
        <f t="shared" si="280"/>
        <v>9</v>
      </c>
      <c r="AA435" s="637">
        <f>'Income Eligible Deemed Table'!BB1296</f>
        <v>9.4699752003868074</v>
      </c>
      <c r="AB435" s="2917">
        <f>'Income Eligible Deemed Table'!K1296</f>
        <v>20</v>
      </c>
      <c r="AC435" s="2089">
        <f t="shared" si="251"/>
        <v>178.76309958257303</v>
      </c>
      <c r="AD435" s="2089">
        <f t="shared" si="252"/>
        <v>0</v>
      </c>
      <c r="AE435" s="2955">
        <f>'Income Eligible Deemed Table'!BD1296</f>
        <v>178.76309958257303</v>
      </c>
      <c r="AF435" s="2956"/>
      <c r="AG435" s="2956"/>
      <c r="AH435" s="2956"/>
      <c r="AI435" s="2240" t="str">
        <f>'Income Eligible Deemed Table'!L1296</f>
        <v>per measure</v>
      </c>
      <c r="AM435" s="2057">
        <f t="shared" si="259"/>
        <v>9.4741810000000004E-4</v>
      </c>
      <c r="AN435">
        <f t="shared" si="274"/>
        <v>0.184954961482</v>
      </c>
      <c r="AO435" s="2048">
        <f t="shared" si="247"/>
        <v>-3.851800001175576E-8</v>
      </c>
    </row>
    <row r="436" spans="2:41" x14ac:dyDescent="0.25">
      <c r="B436" s="2240" t="str">
        <f>'Income Eligible Deemed Table'!C1297</f>
        <v>406000_2019_12_</v>
      </c>
      <c r="C436" s="208" t="str">
        <f>'Income Eligible Deemed Table'!G1297</f>
        <v>Cooling RES</v>
      </c>
      <c r="D436" s="208"/>
      <c r="E436" s="208"/>
      <c r="F436" s="208"/>
      <c r="G436" s="208" t="str">
        <f>'Income Eligible Deemed Table'!E1297</f>
        <v>AC - Energy Star Room _unknown size_SF</v>
      </c>
      <c r="H436" s="622" t="str">
        <f>'Income Eligible Deemed Table'!D1297</f>
        <v>SFLI</v>
      </c>
      <c r="I436" s="2091">
        <f t="shared" si="275"/>
        <v>76.92</v>
      </c>
      <c r="J436" s="2091">
        <f t="shared" si="276"/>
        <v>0</v>
      </c>
      <c r="K436" s="2113">
        <f>'Income Eligible Deemed Table'!F1297</f>
        <v>76.92</v>
      </c>
      <c r="L436" s="2113"/>
      <c r="M436" s="2113"/>
      <c r="N436" s="2113"/>
      <c r="O436" s="2092">
        <f t="shared" si="277"/>
        <v>7.2874999999999995E-2</v>
      </c>
      <c r="P436" s="2092">
        <f t="shared" si="278"/>
        <v>0</v>
      </c>
      <c r="Q436" s="2086">
        <f>'Income Eligible Deemed Table'!I1297</f>
        <v>7.2874999999999995E-2</v>
      </c>
      <c r="R436" s="2086"/>
      <c r="S436" s="2086"/>
      <c r="T436" s="2086"/>
      <c r="U436" s="2087">
        <f t="shared" si="279"/>
        <v>7.2874999999999995E-2</v>
      </c>
      <c r="V436" s="2087"/>
      <c r="W436" s="2087"/>
      <c r="X436" s="2121">
        <f>'Income Eligible Deemed Table'!J1297</f>
        <v>9</v>
      </c>
      <c r="Y436" s="2121"/>
      <c r="Z436" s="88">
        <f t="shared" si="280"/>
        <v>9</v>
      </c>
      <c r="AA436" s="637">
        <f>'Income Eligible Deemed Table'!BB1297</f>
        <v>3.7313312796524603</v>
      </c>
      <c r="AB436" s="2917">
        <f>'Income Eligible Deemed Table'!K1297</f>
        <v>20</v>
      </c>
      <c r="AC436" s="2089">
        <f t="shared" si="251"/>
        <v>70.435701362009624</v>
      </c>
      <c r="AD436" s="2089">
        <f t="shared" si="252"/>
        <v>0</v>
      </c>
      <c r="AE436" s="2955">
        <f>'Income Eligible Deemed Table'!BD1297</f>
        <v>70.435701362009624</v>
      </c>
      <c r="AF436" s="2956"/>
      <c r="AG436" s="2956"/>
      <c r="AH436" s="2956"/>
      <c r="AI436" s="2240" t="str">
        <f>'Income Eligible Deemed Table'!L1297</f>
        <v>per measure</v>
      </c>
      <c r="AM436" s="2057">
        <f t="shared" ref="AM436:AM457" si="281">VLOOKUP(C436,$AS$10:$AT$32,2,FALSE)</f>
        <v>9.4741810000000004E-4</v>
      </c>
      <c r="AN436">
        <f t="shared" si="274"/>
        <v>7.2875400252000011E-2</v>
      </c>
      <c r="AO436" s="2048">
        <f t="shared" si="247"/>
        <v>4.0025200001569949E-7</v>
      </c>
    </row>
    <row r="437" spans="2:41" x14ac:dyDescent="0.25">
      <c r="B437" s="2240" t="str">
        <f>'Income Eligible Deemed Table'!C1298</f>
        <v>405851_2019_12_</v>
      </c>
      <c r="C437" s="208" t="str">
        <f>'Income Eligible Deemed Table'!G1298</f>
        <v>Cooling RES</v>
      </c>
      <c r="D437" s="208"/>
      <c r="E437" s="208"/>
      <c r="F437" s="208"/>
      <c r="G437" s="208" t="str">
        <f>'Income Eligible Deemed Table'!E1298</f>
        <v>AC - Energy Star Room _5kBtu_Thru-Wall_MF</v>
      </c>
      <c r="H437" s="622" t="str">
        <f>'Income Eligible Deemed Table'!D1298</f>
        <v>MFLI</v>
      </c>
      <c r="I437" s="2091">
        <f t="shared" si="275"/>
        <v>83.11</v>
      </c>
      <c r="J437" s="2091">
        <f t="shared" si="276"/>
        <v>0</v>
      </c>
      <c r="K437" s="2113">
        <f>'Income Eligible Deemed Table'!F1298</f>
        <v>83.11</v>
      </c>
      <c r="L437" s="2113"/>
      <c r="M437" s="2113"/>
      <c r="N437" s="2113"/>
      <c r="O437" s="2092">
        <f t="shared" si="277"/>
        <v>7.8740000000000004E-2</v>
      </c>
      <c r="P437" s="2092">
        <f t="shared" si="278"/>
        <v>0</v>
      </c>
      <c r="Q437" s="2086">
        <f>'Income Eligible Deemed Table'!I1298</f>
        <v>7.8740000000000004E-2</v>
      </c>
      <c r="R437" s="2086"/>
      <c r="S437" s="2086"/>
      <c r="T437" s="2086"/>
      <c r="U437" s="2087">
        <f t="shared" si="279"/>
        <v>7.8740000000000004E-2</v>
      </c>
      <c r="V437" s="2087"/>
      <c r="W437" s="2087"/>
      <c r="X437" s="2121">
        <f>'Income Eligible Deemed Table'!J1298</f>
        <v>9</v>
      </c>
      <c r="Y437" s="2121"/>
      <c r="Z437" s="88">
        <f t="shared" si="280"/>
        <v>9</v>
      </c>
      <c r="AA437" s="637">
        <f>'Income Eligible Deemed Table'!BB1298</f>
        <v>4.0316035186156522</v>
      </c>
      <c r="AB437" s="2917">
        <f>'Income Eligible Deemed Table'!K1298</f>
        <v>20</v>
      </c>
      <c r="AC437" s="2089">
        <f t="shared" si="251"/>
        <v>76.103888978115179</v>
      </c>
      <c r="AD437" s="2089">
        <f t="shared" si="252"/>
        <v>0</v>
      </c>
      <c r="AE437" s="2955">
        <f>'Income Eligible Deemed Table'!BD1298</f>
        <v>76.103888978115179</v>
      </c>
      <c r="AF437" s="2956"/>
      <c r="AG437" s="2956"/>
      <c r="AH437" s="2956"/>
      <c r="AI437" s="2240" t="str">
        <f>'Income Eligible Deemed Table'!L1298</f>
        <v>per measure</v>
      </c>
      <c r="AM437" s="2057">
        <f t="shared" si="281"/>
        <v>9.4741810000000004E-4</v>
      </c>
      <c r="AN437">
        <f t="shared" si="274"/>
        <v>7.8739918291000008E-2</v>
      </c>
      <c r="AO437" s="2048">
        <f t="shared" si="247"/>
        <v>-8.1708999996599196E-8</v>
      </c>
    </row>
    <row r="438" spans="2:41" x14ac:dyDescent="0.25">
      <c r="B438" s="2240" t="str">
        <f>'Income Eligible Deemed Table'!C1299</f>
        <v>405901_2019_12_</v>
      </c>
      <c r="C438" s="208" t="str">
        <f>'Income Eligible Deemed Table'!G1299</f>
        <v>Cooling RES</v>
      </c>
      <c r="D438" s="208"/>
      <c r="E438" s="208"/>
      <c r="F438" s="208"/>
      <c r="G438" s="208" t="str">
        <f>'Income Eligible Deemed Table'!E1299</f>
        <v>AC - Energy Star Room _5kBtu _Thru-Wall_SF</v>
      </c>
      <c r="H438" s="622" t="str">
        <f>'Income Eligible Deemed Table'!D1299</f>
        <v>SFLI</v>
      </c>
      <c r="I438" s="2091">
        <f t="shared" si="275"/>
        <v>37.26</v>
      </c>
      <c r="J438" s="2091">
        <f t="shared" si="276"/>
        <v>0</v>
      </c>
      <c r="K438" s="2113">
        <f>'Income Eligible Deemed Table'!F1299</f>
        <v>37.26</v>
      </c>
      <c r="L438" s="2113"/>
      <c r="M438" s="2113"/>
      <c r="N438" s="2113"/>
      <c r="O438" s="2092">
        <f t="shared" si="277"/>
        <v>3.5300999999999999E-2</v>
      </c>
      <c r="P438" s="2092">
        <f t="shared" si="278"/>
        <v>0</v>
      </c>
      <c r="Q438" s="2086">
        <f>'Income Eligible Deemed Table'!I1299</f>
        <v>3.5300999999999999E-2</v>
      </c>
      <c r="R438" s="2086"/>
      <c r="S438" s="2086"/>
      <c r="T438" s="2086"/>
      <c r="U438" s="2087">
        <f t="shared" si="279"/>
        <v>3.5300999999999999E-2</v>
      </c>
      <c r="V438" s="2087"/>
      <c r="W438" s="2087"/>
      <c r="X438" s="2121">
        <f>'Income Eligible Deemed Table'!J1299</f>
        <v>9</v>
      </c>
      <c r="Y438" s="2121"/>
      <c r="Z438" s="88">
        <f t="shared" si="280"/>
        <v>9</v>
      </c>
      <c r="AA438" s="637">
        <f>'Income Eligible Deemed Table'!BB1299</f>
        <v>1.8074545434197955</v>
      </c>
      <c r="AB438" s="2917">
        <f>'Income Eligible Deemed Table'!K1299</f>
        <v>20</v>
      </c>
      <c r="AC438" s="2089">
        <f t="shared" si="251"/>
        <v>34.119009786121666</v>
      </c>
      <c r="AD438" s="2089">
        <f t="shared" si="252"/>
        <v>0</v>
      </c>
      <c r="AE438" s="2955">
        <f>'Income Eligible Deemed Table'!BD1299</f>
        <v>34.119009786121666</v>
      </c>
      <c r="AF438" s="2956"/>
      <c r="AG438" s="2956"/>
      <c r="AH438" s="2956"/>
      <c r="AI438" s="2240" t="str">
        <f>'Income Eligible Deemed Table'!L1299</f>
        <v>per measure</v>
      </c>
      <c r="AM438" s="2057">
        <f t="shared" si="281"/>
        <v>9.4741810000000004E-4</v>
      </c>
      <c r="AN438">
        <f t="shared" si="274"/>
        <v>3.5300798405999999E-2</v>
      </c>
      <c r="AO438" s="2048">
        <f t="shared" si="247"/>
        <v>-2.0159400000024918E-7</v>
      </c>
    </row>
    <row r="439" spans="2:41" x14ac:dyDescent="0.25">
      <c r="B439" s="2240" t="str">
        <f>'Income Eligible Deemed Table'!C1300</f>
        <v>405951_2019_12_</v>
      </c>
      <c r="C439" s="208" t="str">
        <f>'Income Eligible Deemed Table'!G1300</f>
        <v>Cooling RES</v>
      </c>
      <c r="D439" s="208"/>
      <c r="E439" s="208"/>
      <c r="F439" s="208"/>
      <c r="G439" s="208" t="str">
        <f>'Income Eligible Deemed Table'!E1300</f>
        <v>AC - Energy Star Room_5kBtu_MF</v>
      </c>
      <c r="H439" s="622" t="str">
        <f>'Income Eligible Deemed Table'!D1300</f>
        <v>MFLI</v>
      </c>
      <c r="I439" s="2091">
        <f t="shared" si="275"/>
        <v>83.11</v>
      </c>
      <c r="J439" s="2091">
        <f t="shared" si="276"/>
        <v>0</v>
      </c>
      <c r="K439" s="2113">
        <f>'Income Eligible Deemed Table'!F1300</f>
        <v>83.11</v>
      </c>
      <c r="L439" s="2113"/>
      <c r="M439" s="2113"/>
      <c r="N439" s="2113"/>
      <c r="O439" s="2092">
        <f t="shared" si="277"/>
        <v>7.8740000000000004E-2</v>
      </c>
      <c r="P439" s="2092">
        <f t="shared" si="278"/>
        <v>0</v>
      </c>
      <c r="Q439" s="2086">
        <f>'Income Eligible Deemed Table'!I1300</f>
        <v>7.8740000000000004E-2</v>
      </c>
      <c r="R439" s="2086"/>
      <c r="S439" s="2086"/>
      <c r="T439" s="2086"/>
      <c r="U439" s="2087">
        <f t="shared" si="279"/>
        <v>7.8740000000000004E-2</v>
      </c>
      <c r="V439" s="2087"/>
      <c r="W439" s="2087"/>
      <c r="X439" s="2121">
        <f>'Income Eligible Deemed Table'!J1300</f>
        <v>9</v>
      </c>
      <c r="Y439" s="2121"/>
      <c r="Z439" s="88">
        <f t="shared" si="280"/>
        <v>9</v>
      </c>
      <c r="AA439" s="637">
        <f>'Income Eligible Deemed Table'!BB1300</f>
        <v>4.0316035186156522</v>
      </c>
      <c r="AB439" s="2917">
        <f>'Income Eligible Deemed Table'!K1300</f>
        <v>20</v>
      </c>
      <c r="AC439" s="2089">
        <f t="shared" si="251"/>
        <v>76.103888978115179</v>
      </c>
      <c r="AD439" s="2089">
        <f t="shared" si="252"/>
        <v>0</v>
      </c>
      <c r="AE439" s="2955">
        <f>'Income Eligible Deemed Table'!BD1300</f>
        <v>76.103888978115179</v>
      </c>
      <c r="AF439" s="2956"/>
      <c r="AG439" s="2956"/>
      <c r="AH439" s="2956"/>
      <c r="AI439" s="2240" t="str">
        <f>'Income Eligible Deemed Table'!L1300</f>
        <v>per measure</v>
      </c>
      <c r="AM439" s="2057">
        <f t="shared" si="281"/>
        <v>9.4741810000000004E-4</v>
      </c>
      <c r="AN439">
        <f t="shared" si="274"/>
        <v>7.8739918291000008E-2</v>
      </c>
      <c r="AO439" s="2048">
        <f t="shared" si="247"/>
        <v>-8.1708999996599196E-8</v>
      </c>
    </row>
    <row r="440" spans="2:41" x14ac:dyDescent="0.25">
      <c r="B440" s="2240" t="str">
        <f>'Income Eligible Deemed Table'!C1301</f>
        <v>406001_2019_12_</v>
      </c>
      <c r="C440" s="208" t="str">
        <f>'Income Eligible Deemed Table'!G1301</f>
        <v>Cooling RES</v>
      </c>
      <c r="D440" s="208"/>
      <c r="E440" s="208"/>
      <c r="F440" s="208"/>
      <c r="G440" s="208" t="str">
        <f>'Income Eligible Deemed Table'!E1301</f>
        <v>AC - Energy Star Room_5kBtu_SF</v>
      </c>
      <c r="H440" s="622" t="str">
        <f>'Income Eligible Deemed Table'!D1301</f>
        <v>SFLI</v>
      </c>
      <c r="I440" s="2091">
        <f t="shared" si="275"/>
        <v>37.26</v>
      </c>
      <c r="J440" s="2091">
        <f t="shared" si="276"/>
        <v>0</v>
      </c>
      <c r="K440" s="2113">
        <f>'Income Eligible Deemed Table'!F1301</f>
        <v>37.26</v>
      </c>
      <c r="L440" s="2113"/>
      <c r="M440" s="2113"/>
      <c r="N440" s="2113"/>
      <c r="O440" s="2092">
        <f t="shared" si="277"/>
        <v>3.5300999999999999E-2</v>
      </c>
      <c r="P440" s="2092">
        <f t="shared" si="278"/>
        <v>0</v>
      </c>
      <c r="Q440" s="2086">
        <f>'Income Eligible Deemed Table'!I1301</f>
        <v>3.5300999999999999E-2</v>
      </c>
      <c r="R440" s="2086"/>
      <c r="S440" s="2086"/>
      <c r="T440" s="2086"/>
      <c r="U440" s="2087">
        <f t="shared" si="279"/>
        <v>3.5300999999999999E-2</v>
      </c>
      <c r="V440" s="2087"/>
      <c r="W440" s="2087"/>
      <c r="X440" s="2121">
        <f>'Income Eligible Deemed Table'!J1301</f>
        <v>9</v>
      </c>
      <c r="Y440" s="2121"/>
      <c r="Z440" s="88">
        <f t="shared" si="280"/>
        <v>9</v>
      </c>
      <c r="AA440" s="637">
        <f>'Income Eligible Deemed Table'!BB1301</f>
        <v>1.8074545434197955</v>
      </c>
      <c r="AB440" s="2917">
        <f>'Income Eligible Deemed Table'!K1301</f>
        <v>20</v>
      </c>
      <c r="AC440" s="2089">
        <f t="shared" si="251"/>
        <v>34.119009786121666</v>
      </c>
      <c r="AD440" s="2089">
        <f t="shared" si="252"/>
        <v>0</v>
      </c>
      <c r="AE440" s="2955">
        <f>'Income Eligible Deemed Table'!BD1301</f>
        <v>34.119009786121666</v>
      </c>
      <c r="AF440" s="2956"/>
      <c r="AG440" s="2956"/>
      <c r="AH440" s="2956"/>
      <c r="AI440" s="2240" t="str">
        <f>'Income Eligible Deemed Table'!L1301</f>
        <v>per measure</v>
      </c>
      <c r="AM440" s="2057">
        <f t="shared" si="281"/>
        <v>9.4741810000000004E-4</v>
      </c>
      <c r="AN440">
        <f t="shared" si="274"/>
        <v>3.5300798405999999E-2</v>
      </c>
      <c r="AO440" s="2048">
        <f t="shared" si="247"/>
        <v>-2.0159400000024918E-7</v>
      </c>
    </row>
    <row r="441" spans="2:41" x14ac:dyDescent="0.25">
      <c r="B441" s="2240" t="str">
        <f>'Income Eligible Deemed Table'!C1302</f>
        <v>405852_2019_12_</v>
      </c>
      <c r="C441" s="208" t="str">
        <f>'Income Eligible Deemed Table'!G1302</f>
        <v>Cooling RES</v>
      </c>
      <c r="D441" s="208"/>
      <c r="E441" s="208"/>
      <c r="F441" s="208"/>
      <c r="G441" s="208" t="str">
        <f>'Income Eligible Deemed Table'!E1302</f>
        <v>AC - Energy Star Room _8kBtu_Thru-Wall_MF</v>
      </c>
      <c r="H441" s="622" t="str">
        <f>'Income Eligible Deemed Table'!D1302</f>
        <v>MFLI</v>
      </c>
      <c r="I441" s="2091">
        <f t="shared" si="275"/>
        <v>132.97</v>
      </c>
      <c r="J441" s="2091">
        <f t="shared" si="276"/>
        <v>0</v>
      </c>
      <c r="K441" s="2113">
        <f>'Income Eligible Deemed Table'!F1302</f>
        <v>132.97</v>
      </c>
      <c r="L441" s="2113"/>
      <c r="M441" s="2113"/>
      <c r="N441" s="2113"/>
      <c r="O441" s="2092">
        <f t="shared" si="277"/>
        <v>0.12597800000000001</v>
      </c>
      <c r="P441" s="2092">
        <f t="shared" si="278"/>
        <v>0</v>
      </c>
      <c r="Q441" s="2086">
        <f>'Income Eligible Deemed Table'!I1302</f>
        <v>0.12597800000000001</v>
      </c>
      <c r="R441" s="2086"/>
      <c r="S441" s="2086"/>
      <c r="T441" s="2086"/>
      <c r="U441" s="2087">
        <f t="shared" si="279"/>
        <v>0.12597800000000001</v>
      </c>
      <c r="V441" s="2087"/>
      <c r="W441" s="2087"/>
      <c r="X441" s="2121">
        <f>'Income Eligible Deemed Table'!J1302</f>
        <v>9</v>
      </c>
      <c r="Y441" s="2121"/>
      <c r="Z441" s="88">
        <f t="shared" si="280"/>
        <v>9</v>
      </c>
      <c r="AA441" s="637">
        <f>'Income Eligible Deemed Table'!BB1302</f>
        <v>6.4502745743030108</v>
      </c>
      <c r="AB441" s="2917">
        <f>'Income Eligible Deemed Table'!K1302</f>
        <v>20</v>
      </c>
      <c r="AC441" s="2089">
        <f t="shared" si="251"/>
        <v>121.76072816050987</v>
      </c>
      <c r="AD441" s="2089">
        <f t="shared" si="252"/>
        <v>0</v>
      </c>
      <c r="AE441" s="2955">
        <f>'Income Eligible Deemed Table'!BD1302</f>
        <v>121.76072816050987</v>
      </c>
      <c r="AF441" s="2956"/>
      <c r="AG441" s="2956"/>
      <c r="AH441" s="2956"/>
      <c r="AI441" s="2240" t="str">
        <f>'Income Eligible Deemed Table'!L1302</f>
        <v>per measure</v>
      </c>
      <c r="AM441" s="2057">
        <f t="shared" si="281"/>
        <v>9.4741810000000004E-4</v>
      </c>
      <c r="AN441">
        <f t="shared" si="274"/>
        <v>0.12597818475700001</v>
      </c>
      <c r="AO441" s="2048">
        <f t="shared" si="247"/>
        <v>1.8475700000464279E-7</v>
      </c>
    </row>
    <row r="442" spans="2:41" x14ac:dyDescent="0.25">
      <c r="B442" s="2240" t="str">
        <f>'Income Eligible Deemed Table'!C1303</f>
        <v>405902_2019_12_</v>
      </c>
      <c r="C442" s="208" t="str">
        <f>'Income Eligible Deemed Table'!G1303</f>
        <v>Cooling RES</v>
      </c>
      <c r="D442" s="208"/>
      <c r="E442" s="208"/>
      <c r="F442" s="208"/>
      <c r="G442" s="208" t="str">
        <f>'Income Eligible Deemed Table'!E1303</f>
        <v>AC - Energy Star Room _8kBtu_Thru-Wall_SF</v>
      </c>
      <c r="H442" s="622" t="str">
        <f>'Income Eligible Deemed Table'!D1303</f>
        <v>SFLI</v>
      </c>
      <c r="I442" s="2091">
        <f t="shared" si="275"/>
        <v>59.61</v>
      </c>
      <c r="J442" s="2091">
        <f t="shared" si="276"/>
        <v>0</v>
      </c>
      <c r="K442" s="2113">
        <f>'Income Eligible Deemed Table'!F1303</f>
        <v>59.61</v>
      </c>
      <c r="L442" s="2113"/>
      <c r="M442" s="2113"/>
      <c r="N442" s="2113"/>
      <c r="O442" s="2092">
        <f t="shared" si="277"/>
        <v>5.6475999999999998E-2</v>
      </c>
      <c r="P442" s="2092">
        <f t="shared" si="278"/>
        <v>0</v>
      </c>
      <c r="Q442" s="2086">
        <f>'Income Eligible Deemed Table'!I1303</f>
        <v>5.6475999999999998E-2</v>
      </c>
      <c r="R442" s="2086"/>
      <c r="S442" s="2086"/>
      <c r="T442" s="2086"/>
      <c r="U442" s="2087">
        <f t="shared" si="279"/>
        <v>5.6475999999999998E-2</v>
      </c>
      <c r="V442" s="2087"/>
      <c r="W442" s="2087"/>
      <c r="X442" s="2121">
        <f>'Income Eligible Deemed Table'!J1303</f>
        <v>9</v>
      </c>
      <c r="Y442" s="2121"/>
      <c r="Z442" s="88">
        <f t="shared" si="280"/>
        <v>9</v>
      </c>
      <c r="AA442" s="637">
        <f>'Income Eligible Deemed Table'!BB1303</f>
        <v>2.8916362139896403</v>
      </c>
      <c r="AB442" s="2917">
        <f>'Income Eligible Deemed Table'!K1303</f>
        <v>20</v>
      </c>
      <c r="AC442" s="2089">
        <f t="shared" si="251"/>
        <v>54.584921453320248</v>
      </c>
      <c r="AD442" s="2089">
        <f t="shared" si="252"/>
        <v>0</v>
      </c>
      <c r="AE442" s="2955">
        <f>'Income Eligible Deemed Table'!BD1303</f>
        <v>54.584921453320248</v>
      </c>
      <c r="AF442" s="2956"/>
      <c r="AG442" s="2956"/>
      <c r="AH442" s="2956"/>
      <c r="AI442" s="2240" t="str">
        <f>'Income Eligible Deemed Table'!L1303</f>
        <v>per measure</v>
      </c>
      <c r="AM442" s="2057">
        <f t="shared" si="281"/>
        <v>9.4741810000000004E-4</v>
      </c>
      <c r="AN442">
        <f t="shared" si="274"/>
        <v>5.6475592940999998E-2</v>
      </c>
      <c r="AO442" s="2048">
        <f t="shared" si="247"/>
        <v>-4.0705900000020945E-7</v>
      </c>
    </row>
    <row r="443" spans="2:41" x14ac:dyDescent="0.25">
      <c r="B443" s="2240" t="str">
        <f>'Income Eligible Deemed Table'!C1304</f>
        <v>405952_2019_12_</v>
      </c>
      <c r="C443" s="208" t="str">
        <f>'Income Eligible Deemed Table'!G1304</f>
        <v>Cooling RES</v>
      </c>
      <c r="D443" s="208"/>
      <c r="E443" s="208"/>
      <c r="F443" s="208"/>
      <c r="G443" s="208" t="str">
        <f>'Income Eligible Deemed Table'!E1304</f>
        <v>AC - Energy Star Room_8kBtu_MF</v>
      </c>
      <c r="H443" s="622" t="str">
        <f>'Income Eligible Deemed Table'!D1304</f>
        <v>MFLI</v>
      </c>
      <c r="I443" s="2091">
        <f t="shared" si="275"/>
        <v>132.97</v>
      </c>
      <c r="J443" s="2091">
        <f t="shared" si="276"/>
        <v>0</v>
      </c>
      <c r="K443" s="2113">
        <f>'Income Eligible Deemed Table'!F1304</f>
        <v>132.97</v>
      </c>
      <c r="L443" s="2113"/>
      <c r="M443" s="2113"/>
      <c r="N443" s="2113"/>
      <c r="O443" s="2092">
        <f t="shared" si="277"/>
        <v>0.12597800000000001</v>
      </c>
      <c r="P443" s="2092">
        <f t="shared" si="278"/>
        <v>0</v>
      </c>
      <c r="Q443" s="2086">
        <f>'Income Eligible Deemed Table'!I1304</f>
        <v>0.12597800000000001</v>
      </c>
      <c r="R443" s="2086"/>
      <c r="S443" s="2086"/>
      <c r="T443" s="2086"/>
      <c r="U443" s="2087">
        <f t="shared" si="279"/>
        <v>0.12597800000000001</v>
      </c>
      <c r="V443" s="2087"/>
      <c r="W443" s="2087"/>
      <c r="X443" s="2121">
        <f>'Income Eligible Deemed Table'!J1304</f>
        <v>9</v>
      </c>
      <c r="Y443" s="2121"/>
      <c r="Z443" s="88">
        <f t="shared" si="280"/>
        <v>9</v>
      </c>
      <c r="AA443" s="637">
        <f>'Income Eligible Deemed Table'!BB1304</f>
        <v>6.4502745743030108</v>
      </c>
      <c r="AB443" s="2917">
        <f>'Income Eligible Deemed Table'!K1304</f>
        <v>20</v>
      </c>
      <c r="AC443" s="2089">
        <f t="shared" si="251"/>
        <v>121.76072816050987</v>
      </c>
      <c r="AD443" s="2089">
        <f t="shared" si="252"/>
        <v>0</v>
      </c>
      <c r="AE443" s="2955">
        <f>'Income Eligible Deemed Table'!BD1304</f>
        <v>121.76072816050987</v>
      </c>
      <c r="AF443" s="2956"/>
      <c r="AG443" s="2956"/>
      <c r="AH443" s="2956"/>
      <c r="AI443" s="2240" t="str">
        <f>'Income Eligible Deemed Table'!L1304</f>
        <v>per measure</v>
      </c>
      <c r="AM443" s="2057">
        <f t="shared" si="281"/>
        <v>9.4741810000000004E-4</v>
      </c>
      <c r="AN443">
        <f t="shared" si="274"/>
        <v>0.12597818475700001</v>
      </c>
      <c r="AO443" s="2048">
        <f t="shared" si="247"/>
        <v>1.8475700000464279E-7</v>
      </c>
    </row>
    <row r="444" spans="2:41" x14ac:dyDescent="0.25">
      <c r="B444" s="2240" t="str">
        <f>'Income Eligible Deemed Table'!C1305</f>
        <v>406002_2019_12_</v>
      </c>
      <c r="C444" s="208" t="str">
        <f>'Income Eligible Deemed Table'!G1305</f>
        <v>Cooling RES</v>
      </c>
      <c r="D444" s="208"/>
      <c r="E444" s="208"/>
      <c r="F444" s="208"/>
      <c r="G444" s="208" t="str">
        <f>'Income Eligible Deemed Table'!E1305</f>
        <v>AC - Energy Star Room_8kBtu_SF</v>
      </c>
      <c r="H444" s="622" t="str">
        <f>'Income Eligible Deemed Table'!D1305</f>
        <v>SFLI</v>
      </c>
      <c r="I444" s="2091">
        <f t="shared" si="275"/>
        <v>59.61</v>
      </c>
      <c r="J444" s="2091">
        <f t="shared" si="276"/>
        <v>0</v>
      </c>
      <c r="K444" s="2113">
        <f>'Income Eligible Deemed Table'!F1305</f>
        <v>59.61</v>
      </c>
      <c r="L444" s="2113"/>
      <c r="M444" s="2113"/>
      <c r="N444" s="2113"/>
      <c r="O444" s="2092">
        <f t="shared" si="277"/>
        <v>5.6475999999999998E-2</v>
      </c>
      <c r="P444" s="2092">
        <f t="shared" si="278"/>
        <v>0</v>
      </c>
      <c r="Q444" s="2086">
        <f>'Income Eligible Deemed Table'!I1305</f>
        <v>5.6475999999999998E-2</v>
      </c>
      <c r="R444" s="2086"/>
      <c r="S444" s="2086"/>
      <c r="T444" s="2086"/>
      <c r="U444" s="2087">
        <f t="shared" si="279"/>
        <v>5.6475999999999998E-2</v>
      </c>
      <c r="V444" s="2087"/>
      <c r="W444" s="2087"/>
      <c r="X444" s="2121">
        <f>'Income Eligible Deemed Table'!J1305</f>
        <v>9</v>
      </c>
      <c r="Y444" s="2121"/>
      <c r="Z444" s="88">
        <f t="shared" si="280"/>
        <v>9</v>
      </c>
      <c r="AA444" s="637">
        <f>'Income Eligible Deemed Table'!BB1305</f>
        <v>2.8916362139896403</v>
      </c>
      <c r="AB444" s="2917">
        <f>'Income Eligible Deemed Table'!K1305</f>
        <v>20</v>
      </c>
      <c r="AC444" s="2089">
        <f t="shared" si="251"/>
        <v>54.584921453320248</v>
      </c>
      <c r="AD444" s="2089">
        <f t="shared" si="252"/>
        <v>0</v>
      </c>
      <c r="AE444" s="2955">
        <f>'Income Eligible Deemed Table'!BD1305</f>
        <v>54.584921453320248</v>
      </c>
      <c r="AF444" s="2956"/>
      <c r="AG444" s="2956"/>
      <c r="AH444" s="2956"/>
      <c r="AI444" s="2240" t="str">
        <f>'Income Eligible Deemed Table'!L1305</f>
        <v>per measure</v>
      </c>
      <c r="AM444" s="2057">
        <f t="shared" si="281"/>
        <v>9.4741810000000004E-4</v>
      </c>
      <c r="AN444">
        <f t="shared" si="274"/>
        <v>5.6475592940999998E-2</v>
      </c>
      <c r="AO444" s="2048">
        <f t="shared" si="247"/>
        <v>-4.0705900000020945E-7</v>
      </c>
    </row>
    <row r="445" spans="2:41" x14ac:dyDescent="0.25">
      <c r="B445" s="2240" t="str">
        <f>'Income Eligible Deemed Table'!C1306</f>
        <v>405853_2019_12_</v>
      </c>
      <c r="C445" s="208" t="str">
        <f>'Income Eligible Deemed Table'!G1306</f>
        <v>Cooling RES</v>
      </c>
      <c r="D445" s="208"/>
      <c r="E445" s="208"/>
      <c r="F445" s="208"/>
      <c r="G445" s="208" t="str">
        <f>'Income Eligible Deemed Table'!E1306</f>
        <v>AC - Energy Star Room _10kBtu_Thru-Wall_MF</v>
      </c>
      <c r="H445" s="622" t="str">
        <f>'Income Eligible Deemed Table'!D1306</f>
        <v>MFLI</v>
      </c>
      <c r="I445" s="2091">
        <f t="shared" si="275"/>
        <v>166.22</v>
      </c>
      <c r="J445" s="2091">
        <f t="shared" si="276"/>
        <v>0</v>
      </c>
      <c r="K445" s="2113">
        <f>'Income Eligible Deemed Table'!F1306</f>
        <v>166.22</v>
      </c>
      <c r="L445" s="2113"/>
      <c r="M445" s="2113"/>
      <c r="N445" s="2113"/>
      <c r="O445" s="2092">
        <f t="shared" si="277"/>
        <v>0.15748000000000001</v>
      </c>
      <c r="P445" s="2092">
        <f t="shared" si="278"/>
        <v>0</v>
      </c>
      <c r="Q445" s="2086">
        <f>'Income Eligible Deemed Table'!I1306</f>
        <v>0.15748000000000001</v>
      </c>
      <c r="R445" s="2086"/>
      <c r="S445" s="2086"/>
      <c r="T445" s="2086"/>
      <c r="U445" s="2087">
        <f t="shared" si="279"/>
        <v>0.15748000000000001</v>
      </c>
      <c r="V445" s="2087"/>
      <c r="W445" s="2087"/>
      <c r="X445" s="2121">
        <f>'Income Eligible Deemed Table'!J1306</f>
        <v>9</v>
      </c>
      <c r="Y445" s="2121"/>
      <c r="Z445" s="88">
        <f t="shared" si="280"/>
        <v>9</v>
      </c>
      <c r="AA445" s="637">
        <f>'Income Eligible Deemed Table'!BB1306</f>
        <v>8.0632070372313045</v>
      </c>
      <c r="AB445" s="2917">
        <f>'Income Eligible Deemed Table'!K1306</f>
        <v>20</v>
      </c>
      <c r="AC445" s="2089">
        <f t="shared" si="251"/>
        <v>152.20777795623036</v>
      </c>
      <c r="AD445" s="2089">
        <f t="shared" si="252"/>
        <v>0</v>
      </c>
      <c r="AE445" s="2955">
        <f>'Income Eligible Deemed Table'!BD1306</f>
        <v>152.20777795623036</v>
      </c>
      <c r="AF445" s="2956"/>
      <c r="AG445" s="2956"/>
      <c r="AH445" s="2956"/>
      <c r="AI445" s="2240" t="str">
        <f>'Income Eligible Deemed Table'!L1306</f>
        <v>per measure</v>
      </c>
      <c r="AM445" s="2057">
        <f t="shared" si="281"/>
        <v>9.4741810000000004E-4</v>
      </c>
      <c r="AN445">
        <f t="shared" si="274"/>
        <v>0.15747983658200002</v>
      </c>
      <c r="AO445" s="2048">
        <f t="shared" si="247"/>
        <v>-1.6341799999319839E-7</v>
      </c>
    </row>
    <row r="446" spans="2:41" x14ac:dyDescent="0.25">
      <c r="B446" s="2240" t="str">
        <f>'Income Eligible Deemed Table'!C1307</f>
        <v>405903_2019_12_</v>
      </c>
      <c r="C446" s="208" t="str">
        <f>'Income Eligible Deemed Table'!G1307</f>
        <v>Cooling RES</v>
      </c>
      <c r="D446" s="208"/>
      <c r="E446" s="208"/>
      <c r="F446" s="208"/>
      <c r="G446" s="208" t="str">
        <f>'Income Eligible Deemed Table'!E1307</f>
        <v>AC - Energy Star Room _10kBtu_Thru-Wall_SF</v>
      </c>
      <c r="H446" s="622" t="str">
        <f>'Income Eligible Deemed Table'!D1307</f>
        <v>SFLI</v>
      </c>
      <c r="I446" s="2091">
        <f t="shared" si="275"/>
        <v>74.52</v>
      </c>
      <c r="J446" s="2091">
        <f t="shared" si="276"/>
        <v>0</v>
      </c>
      <c r="K446" s="2113">
        <f>'Income Eligible Deemed Table'!F1307</f>
        <v>74.52</v>
      </c>
      <c r="L446" s="2113"/>
      <c r="M446" s="2113"/>
      <c r="N446" s="2113"/>
      <c r="O446" s="2092">
        <f t="shared" si="277"/>
        <v>7.0601999999999998E-2</v>
      </c>
      <c r="P446" s="2092">
        <f t="shared" si="278"/>
        <v>0</v>
      </c>
      <c r="Q446" s="2086">
        <f>'Income Eligible Deemed Table'!I1307</f>
        <v>7.0601999999999998E-2</v>
      </c>
      <c r="R446" s="2086"/>
      <c r="S446" s="2086"/>
      <c r="T446" s="2086"/>
      <c r="U446" s="2087">
        <f t="shared" si="279"/>
        <v>7.0601999999999998E-2</v>
      </c>
      <c r="V446" s="2087"/>
      <c r="W446" s="2087"/>
      <c r="X446" s="2121">
        <f>'Income Eligible Deemed Table'!J1307</f>
        <v>9</v>
      </c>
      <c r="Y446" s="2121"/>
      <c r="Z446" s="88">
        <f t="shared" si="280"/>
        <v>9</v>
      </c>
      <c r="AA446" s="637">
        <f>'Income Eligible Deemed Table'!BB1307</f>
        <v>3.614909086839591</v>
      </c>
      <c r="AB446" s="2917">
        <f>'Income Eligible Deemed Table'!K1307</f>
        <v>20</v>
      </c>
      <c r="AC446" s="2089">
        <f t="shared" si="251"/>
        <v>68.238019572243331</v>
      </c>
      <c r="AD446" s="2089">
        <f t="shared" si="252"/>
        <v>0</v>
      </c>
      <c r="AE446" s="2955">
        <f>'Income Eligible Deemed Table'!BD1307</f>
        <v>68.238019572243331</v>
      </c>
      <c r="AF446" s="2956"/>
      <c r="AG446" s="2956"/>
      <c r="AH446" s="2956"/>
      <c r="AI446" s="2240" t="str">
        <f>'Income Eligible Deemed Table'!L1307</f>
        <v>per measure</v>
      </c>
      <c r="AM446" s="2057">
        <f t="shared" si="281"/>
        <v>9.4741810000000004E-4</v>
      </c>
      <c r="AN446">
        <f t="shared" si="274"/>
        <v>7.0601596811999998E-2</v>
      </c>
      <c r="AO446" s="2048">
        <f t="shared" si="247"/>
        <v>-4.0318800000049837E-7</v>
      </c>
    </row>
    <row r="447" spans="2:41" x14ac:dyDescent="0.25">
      <c r="B447" s="2240" t="str">
        <f>'Income Eligible Deemed Table'!C1308</f>
        <v>405953_2019_12_</v>
      </c>
      <c r="C447" s="208" t="str">
        <f>'Income Eligible Deemed Table'!G1308</f>
        <v>Cooling RES</v>
      </c>
      <c r="D447" s="208"/>
      <c r="E447" s="208"/>
      <c r="F447" s="208"/>
      <c r="G447" s="208" t="str">
        <f>'Income Eligible Deemed Table'!E1308</f>
        <v>AC - Energy Star Room_10kBtu_MF</v>
      </c>
      <c r="H447" s="622" t="str">
        <f>'Income Eligible Deemed Table'!D1308</f>
        <v>MFLI</v>
      </c>
      <c r="I447" s="2091">
        <f t="shared" si="275"/>
        <v>166.22</v>
      </c>
      <c r="J447" s="2091">
        <f t="shared" si="276"/>
        <v>0</v>
      </c>
      <c r="K447" s="2113">
        <f>'Income Eligible Deemed Table'!F1308</f>
        <v>166.22</v>
      </c>
      <c r="L447" s="2113"/>
      <c r="M447" s="2113"/>
      <c r="N447" s="2113"/>
      <c r="O447" s="2092">
        <f t="shared" si="277"/>
        <v>0.15748000000000001</v>
      </c>
      <c r="P447" s="2092">
        <f t="shared" si="278"/>
        <v>0</v>
      </c>
      <c r="Q447" s="2086">
        <f>'Income Eligible Deemed Table'!I1308</f>
        <v>0.15748000000000001</v>
      </c>
      <c r="R447" s="2086"/>
      <c r="S447" s="2086"/>
      <c r="T447" s="2086"/>
      <c r="U447" s="2087">
        <f t="shared" si="279"/>
        <v>0.15748000000000001</v>
      </c>
      <c r="V447" s="2087"/>
      <c r="W447" s="2087"/>
      <c r="X447" s="2121">
        <f>'Income Eligible Deemed Table'!J1308</f>
        <v>9</v>
      </c>
      <c r="Y447" s="2121"/>
      <c r="Z447" s="88">
        <f t="shared" si="280"/>
        <v>9</v>
      </c>
      <c r="AA447" s="637">
        <f>'Income Eligible Deemed Table'!BB1308</f>
        <v>8.0632070372313045</v>
      </c>
      <c r="AB447" s="2917">
        <f>'Income Eligible Deemed Table'!K1308</f>
        <v>20</v>
      </c>
      <c r="AC447" s="2089">
        <f t="shared" si="251"/>
        <v>152.20777795623036</v>
      </c>
      <c r="AD447" s="2089">
        <f t="shared" si="252"/>
        <v>0</v>
      </c>
      <c r="AE447" s="2955">
        <f>'Income Eligible Deemed Table'!BD1308</f>
        <v>152.20777795623036</v>
      </c>
      <c r="AF447" s="2956"/>
      <c r="AG447" s="2956"/>
      <c r="AH447" s="2956"/>
      <c r="AI447" s="2240" t="str">
        <f>'Income Eligible Deemed Table'!L1308</f>
        <v>per measure</v>
      </c>
      <c r="AM447" s="2057">
        <f t="shared" si="281"/>
        <v>9.4741810000000004E-4</v>
      </c>
      <c r="AN447">
        <f t="shared" si="274"/>
        <v>0.15747983658200002</v>
      </c>
      <c r="AO447" s="2048">
        <f t="shared" si="247"/>
        <v>-1.6341799999319839E-7</v>
      </c>
    </row>
    <row r="448" spans="2:41" x14ac:dyDescent="0.25">
      <c r="B448" s="2240" t="str">
        <f>'Income Eligible Deemed Table'!C1309</f>
        <v>406003_2019_12_</v>
      </c>
      <c r="C448" s="208" t="str">
        <f>'Income Eligible Deemed Table'!G1309</f>
        <v>Cooling RES</v>
      </c>
      <c r="D448" s="208"/>
      <c r="E448" s="208"/>
      <c r="F448" s="208"/>
      <c r="G448" s="208" t="str">
        <f>'Income Eligible Deemed Table'!E1309</f>
        <v>AC - Energy Star Room_10kBtu_SF</v>
      </c>
      <c r="H448" s="622" t="str">
        <f>'Income Eligible Deemed Table'!D1309</f>
        <v>SFLI</v>
      </c>
      <c r="I448" s="2091">
        <f t="shared" si="275"/>
        <v>74.52</v>
      </c>
      <c r="J448" s="2091">
        <f t="shared" si="276"/>
        <v>0</v>
      </c>
      <c r="K448" s="2113">
        <f>'Income Eligible Deemed Table'!F1309</f>
        <v>74.52</v>
      </c>
      <c r="L448" s="2113"/>
      <c r="M448" s="2113"/>
      <c r="N448" s="2113"/>
      <c r="O448" s="2092">
        <f t="shared" si="277"/>
        <v>7.0601999999999998E-2</v>
      </c>
      <c r="P448" s="2092">
        <f t="shared" si="278"/>
        <v>0</v>
      </c>
      <c r="Q448" s="2086">
        <f>'Income Eligible Deemed Table'!I1309</f>
        <v>7.0601999999999998E-2</v>
      </c>
      <c r="R448" s="2086"/>
      <c r="S448" s="2086"/>
      <c r="T448" s="2086"/>
      <c r="U448" s="2087">
        <f t="shared" si="279"/>
        <v>7.0601999999999998E-2</v>
      </c>
      <c r="V448" s="2087"/>
      <c r="W448" s="2087"/>
      <c r="X448" s="2121">
        <f>'Income Eligible Deemed Table'!J1309</f>
        <v>9</v>
      </c>
      <c r="Y448" s="2121"/>
      <c r="Z448" s="88">
        <f t="shared" si="280"/>
        <v>9</v>
      </c>
      <c r="AA448" s="637">
        <f>'Income Eligible Deemed Table'!BB1309</f>
        <v>3.614909086839591</v>
      </c>
      <c r="AB448" s="2917">
        <f>'Income Eligible Deemed Table'!K1309</f>
        <v>20</v>
      </c>
      <c r="AC448" s="2089">
        <f t="shared" si="251"/>
        <v>68.238019572243331</v>
      </c>
      <c r="AD448" s="2089">
        <f t="shared" si="252"/>
        <v>0</v>
      </c>
      <c r="AE448" s="2955">
        <f>'Income Eligible Deemed Table'!BD1309</f>
        <v>68.238019572243331</v>
      </c>
      <c r="AF448" s="2956"/>
      <c r="AG448" s="2956"/>
      <c r="AH448" s="2956"/>
      <c r="AI448" s="2240" t="str">
        <f>'Income Eligible Deemed Table'!L1309</f>
        <v>per measure</v>
      </c>
      <c r="AM448" s="2057">
        <f t="shared" si="281"/>
        <v>9.4741810000000004E-4</v>
      </c>
      <c r="AN448">
        <f t="shared" si="274"/>
        <v>7.0601596811999998E-2</v>
      </c>
      <c r="AO448" s="2048">
        <f t="shared" si="247"/>
        <v>-4.0318800000049837E-7</v>
      </c>
    </row>
    <row r="449" spans="2:41" x14ac:dyDescent="0.25">
      <c r="B449" s="2240" t="str">
        <f>'Income Eligible Deemed Table'!C1310</f>
        <v>405854_2019_12_</v>
      </c>
      <c r="C449" s="208" t="str">
        <f>'Income Eligible Deemed Table'!G1310</f>
        <v>Cooling RES</v>
      </c>
      <c r="D449" s="208"/>
      <c r="E449" s="208"/>
      <c r="F449" s="208"/>
      <c r="G449" s="208" t="str">
        <f>'Income Eligible Deemed Table'!E1310</f>
        <v>AC - Energy Star Room _12kBtu_Thru-Wall_MF</v>
      </c>
      <c r="H449" s="622" t="str">
        <f>'Income Eligible Deemed Table'!D1310</f>
        <v>MFLI</v>
      </c>
      <c r="I449" s="2091">
        <f t="shared" si="275"/>
        <v>199.46</v>
      </c>
      <c r="J449" s="2091">
        <f t="shared" si="276"/>
        <v>0</v>
      </c>
      <c r="K449" s="2113">
        <f>'Income Eligible Deemed Table'!F1310</f>
        <v>199.46</v>
      </c>
      <c r="L449" s="2113"/>
      <c r="M449" s="2113"/>
      <c r="N449" s="2113"/>
      <c r="O449" s="2092">
        <f t="shared" si="277"/>
        <v>0.188972</v>
      </c>
      <c r="P449" s="2092">
        <f t="shared" si="278"/>
        <v>0</v>
      </c>
      <c r="Q449" s="2086">
        <f>'Income Eligible Deemed Table'!I1310</f>
        <v>0.188972</v>
      </c>
      <c r="R449" s="2086"/>
      <c r="S449" s="2086"/>
      <c r="T449" s="2086"/>
      <c r="U449" s="2087">
        <f t="shared" si="279"/>
        <v>0.188972</v>
      </c>
      <c r="V449" s="2087"/>
      <c r="W449" s="2087"/>
      <c r="X449" s="2121">
        <f>'Income Eligible Deemed Table'!J1310</f>
        <v>9</v>
      </c>
      <c r="Y449" s="2121"/>
      <c r="Z449" s="88">
        <f t="shared" si="280"/>
        <v>9</v>
      </c>
      <c r="AA449" s="637">
        <f>'Income Eligible Deemed Table'!BB1310</f>
        <v>9.6756544076895441</v>
      </c>
      <c r="AB449" s="2917">
        <f>'Income Eligible Deemed Table'!K1310</f>
        <v>20</v>
      </c>
      <c r="AC449" s="2089">
        <f t="shared" si="251"/>
        <v>182.64567074449349</v>
      </c>
      <c r="AD449" s="2089">
        <f t="shared" si="252"/>
        <v>0</v>
      </c>
      <c r="AE449" s="2955">
        <f>'Income Eligible Deemed Table'!BD1310</f>
        <v>182.64567074449349</v>
      </c>
      <c r="AF449" s="2956"/>
      <c r="AG449" s="2956"/>
      <c r="AH449" s="2956"/>
      <c r="AI449" s="2240" t="str">
        <f>'Income Eligible Deemed Table'!L1310</f>
        <v>per measure</v>
      </c>
      <c r="AM449" s="2057">
        <f t="shared" si="281"/>
        <v>9.4741810000000004E-4</v>
      </c>
      <c r="AN449">
        <f t="shared" si="274"/>
        <v>0.18897201422600002</v>
      </c>
      <c r="AO449" s="2048">
        <f t="shared" si="247"/>
        <v>1.4226000016881457E-8</v>
      </c>
    </row>
    <row r="450" spans="2:41" x14ac:dyDescent="0.25">
      <c r="B450" s="2240" t="str">
        <f>'Income Eligible Deemed Table'!C1311</f>
        <v>405904_2019_12_</v>
      </c>
      <c r="C450" s="208" t="str">
        <f>'Income Eligible Deemed Table'!G1311</f>
        <v>Cooling RES</v>
      </c>
      <c r="D450" s="208"/>
      <c r="E450" s="208"/>
      <c r="F450" s="208"/>
      <c r="G450" s="208" t="str">
        <f>'Income Eligible Deemed Table'!E1311</f>
        <v>AC - Energy Star Room _12kBtu_Thru-Wall_SF</v>
      </c>
      <c r="H450" s="622" t="str">
        <f>'Income Eligible Deemed Table'!D1311</f>
        <v>SFLI</v>
      </c>
      <c r="I450" s="2091">
        <f t="shared" si="275"/>
        <v>89.42</v>
      </c>
      <c r="J450" s="2091">
        <f t="shared" si="276"/>
        <v>0</v>
      </c>
      <c r="K450" s="2113">
        <f>'Income Eligible Deemed Table'!F1311</f>
        <v>89.42</v>
      </c>
      <c r="L450" s="2113"/>
      <c r="M450" s="2113"/>
      <c r="N450" s="2113"/>
      <c r="O450" s="2092">
        <f t="shared" si="277"/>
        <v>8.4718000000000002E-2</v>
      </c>
      <c r="P450" s="2092">
        <f t="shared" si="278"/>
        <v>0</v>
      </c>
      <c r="Q450" s="2086">
        <f>'Income Eligible Deemed Table'!I1311</f>
        <v>8.4718000000000002E-2</v>
      </c>
      <c r="R450" s="2086"/>
      <c r="S450" s="2086"/>
      <c r="T450" s="2086"/>
      <c r="U450" s="2087">
        <f t="shared" si="279"/>
        <v>8.4718000000000002E-2</v>
      </c>
      <c r="V450" s="2087"/>
      <c r="W450" s="2087"/>
      <c r="X450" s="2121">
        <f>'Income Eligible Deemed Table'!J1311</f>
        <v>9</v>
      </c>
      <c r="Y450" s="2121"/>
      <c r="Z450" s="88">
        <f t="shared" si="280"/>
        <v>9</v>
      </c>
      <c r="AA450" s="637">
        <f>'Income Eligible Deemed Table'!BB1311</f>
        <v>4.3376968672194876</v>
      </c>
      <c r="AB450" s="2917">
        <f>'Income Eligible Deemed Table'!K1311</f>
        <v>20</v>
      </c>
      <c r="AC450" s="2089">
        <f t="shared" si="251"/>
        <v>81.881960683709053</v>
      </c>
      <c r="AD450" s="2089">
        <f t="shared" si="252"/>
        <v>0</v>
      </c>
      <c r="AE450" s="2955">
        <f>'Income Eligible Deemed Table'!BD1311</f>
        <v>81.881960683709053</v>
      </c>
      <c r="AF450" s="2956"/>
      <c r="AG450" s="2956"/>
      <c r="AH450" s="2956"/>
      <c r="AI450" s="2240" t="str">
        <f>'Income Eligible Deemed Table'!L1311</f>
        <v>per measure</v>
      </c>
      <c r="AM450" s="2057">
        <f t="shared" si="281"/>
        <v>9.4741810000000004E-4</v>
      </c>
      <c r="AN450">
        <f t="shared" si="274"/>
        <v>8.4718126502000002E-2</v>
      </c>
      <c r="AO450" s="2048">
        <f t="shared" si="247"/>
        <v>1.2650200000019485E-7</v>
      </c>
    </row>
    <row r="451" spans="2:41" x14ac:dyDescent="0.25">
      <c r="B451" s="2240" t="str">
        <f>'Income Eligible Deemed Table'!C1312</f>
        <v>405954_2019_12_</v>
      </c>
      <c r="C451" s="208" t="str">
        <f>'Income Eligible Deemed Table'!G1312</f>
        <v>Cooling RES</v>
      </c>
      <c r="D451" s="208"/>
      <c r="E451" s="208"/>
      <c r="F451" s="208"/>
      <c r="G451" s="208" t="str">
        <f>'Income Eligible Deemed Table'!E1312</f>
        <v>AC - Energy Star Room_12kBtu_MF</v>
      </c>
      <c r="H451" s="622" t="str">
        <f>'Income Eligible Deemed Table'!D1312</f>
        <v>MFLI</v>
      </c>
      <c r="I451" s="2091">
        <f t="shared" si="275"/>
        <v>199.46</v>
      </c>
      <c r="J451" s="2091">
        <f t="shared" si="276"/>
        <v>0</v>
      </c>
      <c r="K451" s="2113">
        <f>'Income Eligible Deemed Table'!F1312</f>
        <v>199.46</v>
      </c>
      <c r="L451" s="2113"/>
      <c r="M451" s="2113"/>
      <c r="N451" s="2113"/>
      <c r="O451" s="2092">
        <f t="shared" si="277"/>
        <v>0.188972</v>
      </c>
      <c r="P451" s="2092">
        <f t="shared" si="278"/>
        <v>0</v>
      </c>
      <c r="Q451" s="2086">
        <f>'Income Eligible Deemed Table'!I1312</f>
        <v>0.188972</v>
      </c>
      <c r="R451" s="2086"/>
      <c r="S451" s="2086"/>
      <c r="T451" s="2086"/>
      <c r="U451" s="2087">
        <f t="shared" si="279"/>
        <v>0.188972</v>
      </c>
      <c r="V451" s="2087"/>
      <c r="W451" s="2087"/>
      <c r="X451" s="2121">
        <f>'Income Eligible Deemed Table'!J1312</f>
        <v>9</v>
      </c>
      <c r="Y451" s="2121"/>
      <c r="Z451" s="88">
        <f t="shared" si="280"/>
        <v>9</v>
      </c>
      <c r="AA451" s="637">
        <f>'Income Eligible Deemed Table'!BB1312</f>
        <v>9.6756544076895441</v>
      </c>
      <c r="AB451" s="2917">
        <f>'Income Eligible Deemed Table'!K1312</f>
        <v>20</v>
      </c>
      <c r="AC451" s="2089">
        <f t="shared" si="251"/>
        <v>182.64567074449349</v>
      </c>
      <c r="AD451" s="2089">
        <f t="shared" si="252"/>
        <v>0</v>
      </c>
      <c r="AE451" s="2955">
        <f>'Income Eligible Deemed Table'!BD1312</f>
        <v>182.64567074449349</v>
      </c>
      <c r="AF451" s="2956"/>
      <c r="AG451" s="2956"/>
      <c r="AH451" s="2956"/>
      <c r="AI451" s="2240" t="str">
        <f>'Income Eligible Deemed Table'!L1312</f>
        <v>per measure</v>
      </c>
      <c r="AM451" s="2057">
        <f t="shared" si="281"/>
        <v>9.4741810000000004E-4</v>
      </c>
      <c r="AN451">
        <f t="shared" si="274"/>
        <v>0.18897201422600002</v>
      </c>
      <c r="AO451" s="2048">
        <f t="shared" si="247"/>
        <v>1.4226000016881457E-8</v>
      </c>
    </row>
    <row r="452" spans="2:41" x14ac:dyDescent="0.25">
      <c r="B452" s="2240" t="str">
        <f>'Income Eligible Deemed Table'!C1313</f>
        <v>406004_2019_12_</v>
      </c>
      <c r="C452" s="208" t="str">
        <f>'Income Eligible Deemed Table'!G1313</f>
        <v>Cooling RES</v>
      </c>
      <c r="D452" s="208"/>
      <c r="E452" s="208"/>
      <c r="F452" s="208"/>
      <c r="G452" s="208" t="str">
        <f>'Income Eligible Deemed Table'!E1313</f>
        <v>AC - Energy Star Room_12kBtu_SF</v>
      </c>
      <c r="H452" s="622" t="str">
        <f>'Income Eligible Deemed Table'!D1313</f>
        <v>SFLI</v>
      </c>
      <c r="I452" s="2091">
        <f t="shared" si="275"/>
        <v>89.42</v>
      </c>
      <c r="J452" s="2091">
        <f t="shared" si="276"/>
        <v>0</v>
      </c>
      <c r="K452" s="2113">
        <f>'Income Eligible Deemed Table'!F1313</f>
        <v>89.42</v>
      </c>
      <c r="L452" s="2113"/>
      <c r="M452" s="2113"/>
      <c r="N452" s="2113"/>
      <c r="O452" s="2092">
        <f t="shared" si="277"/>
        <v>8.4718000000000002E-2</v>
      </c>
      <c r="P452" s="2092">
        <f t="shared" si="278"/>
        <v>0</v>
      </c>
      <c r="Q452" s="2086">
        <f>'Income Eligible Deemed Table'!I1313</f>
        <v>8.4718000000000002E-2</v>
      </c>
      <c r="R452" s="2086"/>
      <c r="S452" s="2086"/>
      <c r="T452" s="2086"/>
      <c r="U452" s="2087">
        <f t="shared" si="279"/>
        <v>8.4718000000000002E-2</v>
      </c>
      <c r="V452" s="2087"/>
      <c r="W452" s="2087"/>
      <c r="X452" s="2121">
        <f>'Income Eligible Deemed Table'!J1313</f>
        <v>9</v>
      </c>
      <c r="Y452" s="2121"/>
      <c r="Z452" s="88">
        <f t="shared" si="280"/>
        <v>9</v>
      </c>
      <c r="AA452" s="637">
        <f>'Income Eligible Deemed Table'!BB1313</f>
        <v>4.3376968672194876</v>
      </c>
      <c r="AB452" s="2917">
        <f>'Income Eligible Deemed Table'!K1313</f>
        <v>20</v>
      </c>
      <c r="AC452" s="2089">
        <f t="shared" si="251"/>
        <v>81.881960683709053</v>
      </c>
      <c r="AD452" s="2089">
        <f t="shared" si="252"/>
        <v>0</v>
      </c>
      <c r="AE452" s="2955">
        <f>'Income Eligible Deemed Table'!BD1313</f>
        <v>81.881960683709053</v>
      </c>
      <c r="AF452" s="2956"/>
      <c r="AG452" s="2956"/>
      <c r="AH452" s="2956"/>
      <c r="AI452" s="2240" t="str">
        <f>'Income Eligible Deemed Table'!L1313</f>
        <v>per measure</v>
      </c>
      <c r="AM452" s="2057">
        <f t="shared" si="281"/>
        <v>9.4741810000000004E-4</v>
      </c>
      <c r="AN452">
        <f t="shared" si="274"/>
        <v>8.4718126502000002E-2</v>
      </c>
      <c r="AO452" s="2048">
        <f t="shared" si="247"/>
        <v>1.2650200000019485E-7</v>
      </c>
    </row>
    <row r="453" spans="2:41" x14ac:dyDescent="0.25">
      <c r="B453" s="2240" t="str">
        <f>'Income Eligible Deemed Table'!C1314</f>
        <v>405855_2019_12_</v>
      </c>
      <c r="C453" s="208" t="str">
        <f>'Income Eligible Deemed Table'!G1314</f>
        <v>Cooling RES</v>
      </c>
      <c r="D453" s="208"/>
      <c r="E453" s="208"/>
      <c r="F453" s="208"/>
      <c r="G453" s="208" t="str">
        <f>'Income Eligible Deemed Table'!E1314</f>
        <v>AC - Energy Star Room _15kBtu_Thru-Wall_MF</v>
      </c>
      <c r="H453" s="622" t="str">
        <f>'Income Eligible Deemed Table'!D1314</f>
        <v>MFLI</v>
      </c>
      <c r="I453" s="2091">
        <f t="shared" si="275"/>
        <v>249.32</v>
      </c>
      <c r="J453" s="2091">
        <f t="shared" si="276"/>
        <v>0</v>
      </c>
      <c r="K453" s="2113">
        <f>'Income Eligible Deemed Table'!F1314</f>
        <v>249.32</v>
      </c>
      <c r="L453" s="2113"/>
      <c r="M453" s="2113"/>
      <c r="N453" s="2113"/>
      <c r="O453" s="2092">
        <f t="shared" si="277"/>
        <v>0.23621</v>
      </c>
      <c r="P453" s="2092">
        <f t="shared" si="278"/>
        <v>0</v>
      </c>
      <c r="Q453" s="2086">
        <f>'Income Eligible Deemed Table'!I1314</f>
        <v>0.23621</v>
      </c>
      <c r="R453" s="2086"/>
      <c r="S453" s="2086"/>
      <c r="T453" s="2086"/>
      <c r="U453" s="2087">
        <f t="shared" si="279"/>
        <v>0.23621</v>
      </c>
      <c r="V453" s="2087"/>
      <c r="W453" s="2087"/>
      <c r="X453" s="2121">
        <f>'Income Eligible Deemed Table'!J1314</f>
        <v>9</v>
      </c>
      <c r="Y453" s="2121"/>
      <c r="Z453" s="88">
        <f t="shared" si="280"/>
        <v>9</v>
      </c>
      <c r="AA453" s="637">
        <f>'Income Eligible Deemed Table'!BB1314</f>
        <v>12.094325463376903</v>
      </c>
      <c r="AB453" s="2917">
        <f>'Income Eligible Deemed Table'!K1314</f>
        <v>20</v>
      </c>
      <c r="AC453" s="2089">
        <f t="shared" si="251"/>
        <v>228.30250992688818</v>
      </c>
      <c r="AD453" s="2089">
        <f t="shared" si="252"/>
        <v>0</v>
      </c>
      <c r="AE453" s="2955">
        <f>'Income Eligible Deemed Table'!BD1314</f>
        <v>228.30250992688818</v>
      </c>
      <c r="AF453" s="2956"/>
      <c r="AG453" s="2956"/>
      <c r="AH453" s="2956"/>
      <c r="AI453" s="2240" t="str">
        <f>'Income Eligible Deemed Table'!L1314</f>
        <v>per measure</v>
      </c>
      <c r="AM453" s="2057">
        <f t="shared" si="281"/>
        <v>9.4741810000000004E-4</v>
      </c>
      <c r="AN453">
        <f t="shared" si="274"/>
        <v>0.23621028069200001</v>
      </c>
      <c r="AO453" s="2048">
        <f t="shared" si="247"/>
        <v>2.8069200000424566E-7</v>
      </c>
    </row>
    <row r="454" spans="2:41" x14ac:dyDescent="0.25">
      <c r="B454" s="2240" t="str">
        <f>'Income Eligible Deemed Table'!C1315</f>
        <v>405905_2019_12_</v>
      </c>
      <c r="C454" s="208" t="str">
        <f>'Income Eligible Deemed Table'!G1315</f>
        <v>Cooling RES</v>
      </c>
      <c r="D454" s="208"/>
      <c r="E454" s="208"/>
      <c r="F454" s="208"/>
      <c r="G454" s="208" t="str">
        <f>'Income Eligible Deemed Table'!E1315</f>
        <v>AC - Energy Star Room _15kBtu_Thru-Wall_SF</v>
      </c>
      <c r="H454" s="622" t="str">
        <f>'Income Eligible Deemed Table'!D1315</f>
        <v>SFLI</v>
      </c>
      <c r="I454" s="2091">
        <f t="shared" si="275"/>
        <v>111.77</v>
      </c>
      <c r="J454" s="2091">
        <f t="shared" si="276"/>
        <v>0</v>
      </c>
      <c r="K454" s="2113">
        <f>'Income Eligible Deemed Table'!F1315</f>
        <v>111.77</v>
      </c>
      <c r="L454" s="2113"/>
      <c r="M454" s="2113"/>
      <c r="N454" s="2113"/>
      <c r="O454" s="2092">
        <f t="shared" si="277"/>
        <v>0.105893</v>
      </c>
      <c r="P454" s="2092">
        <f t="shared" si="278"/>
        <v>0</v>
      </c>
      <c r="Q454" s="2086">
        <f>'Income Eligible Deemed Table'!I1315</f>
        <v>0.105893</v>
      </c>
      <c r="R454" s="2086"/>
      <c r="S454" s="2086"/>
      <c r="T454" s="2086"/>
      <c r="U454" s="2087">
        <f t="shared" si="279"/>
        <v>0.105893</v>
      </c>
      <c r="V454" s="2087"/>
      <c r="W454" s="2087"/>
      <c r="X454" s="2121">
        <f>'Income Eligible Deemed Table'!J1315</f>
        <v>9</v>
      </c>
      <c r="Y454" s="2121"/>
      <c r="Z454" s="88">
        <f t="shared" si="280"/>
        <v>9</v>
      </c>
      <c r="AA454" s="637">
        <f>'Income Eligible Deemed Table'!BB1315</f>
        <v>5.4218785377893326</v>
      </c>
      <c r="AB454" s="2917">
        <f>'Income Eligible Deemed Table'!K1315</f>
        <v>20</v>
      </c>
      <c r="AC454" s="2089">
        <f t="shared" si="251"/>
        <v>102.34787235090764</v>
      </c>
      <c r="AD454" s="2089">
        <f t="shared" si="252"/>
        <v>0</v>
      </c>
      <c r="AE454" s="2955">
        <f>'Income Eligible Deemed Table'!BD1315</f>
        <v>102.34787235090764</v>
      </c>
      <c r="AF454" s="2956"/>
      <c r="AG454" s="2956"/>
      <c r="AH454" s="2956"/>
      <c r="AI454" s="2240" t="str">
        <f>'Income Eligible Deemed Table'!L1315</f>
        <v>per measure</v>
      </c>
      <c r="AM454" s="2057">
        <f t="shared" si="281"/>
        <v>9.4741810000000004E-4</v>
      </c>
      <c r="AN454">
        <f t="shared" si="274"/>
        <v>0.105892921037</v>
      </c>
      <c r="AO454" s="2048">
        <f t="shared" si="247"/>
        <v>-7.8962999999765415E-8</v>
      </c>
    </row>
    <row r="455" spans="2:41" x14ac:dyDescent="0.25">
      <c r="B455" s="2240" t="str">
        <f>'Income Eligible Deemed Table'!C1316</f>
        <v>405955_2019_12_</v>
      </c>
      <c r="C455" s="208" t="str">
        <f>'Income Eligible Deemed Table'!G1316</f>
        <v>Cooling RES</v>
      </c>
      <c r="D455" s="208"/>
      <c r="E455" s="208"/>
      <c r="F455" s="208"/>
      <c r="G455" s="208" t="str">
        <f>'Income Eligible Deemed Table'!E1316</f>
        <v>AC - Energy Star Room_15kBtu_MF</v>
      </c>
      <c r="H455" s="622" t="str">
        <f>'Income Eligible Deemed Table'!D1316</f>
        <v>MFLI</v>
      </c>
      <c r="I455" s="2091">
        <f t="shared" si="275"/>
        <v>249.32</v>
      </c>
      <c r="J455" s="2091">
        <f t="shared" si="276"/>
        <v>0</v>
      </c>
      <c r="K455" s="2113">
        <f>'Income Eligible Deemed Table'!F1316</f>
        <v>249.32</v>
      </c>
      <c r="L455" s="2113"/>
      <c r="M455" s="2113"/>
      <c r="N455" s="2113"/>
      <c r="O455" s="2092">
        <f t="shared" si="277"/>
        <v>0.23621</v>
      </c>
      <c r="P455" s="2092">
        <f t="shared" si="278"/>
        <v>0</v>
      </c>
      <c r="Q455" s="2086">
        <f>'Income Eligible Deemed Table'!I1316</f>
        <v>0.23621</v>
      </c>
      <c r="R455" s="2086"/>
      <c r="S455" s="2086"/>
      <c r="T455" s="2086"/>
      <c r="U455" s="2087">
        <f t="shared" si="279"/>
        <v>0.23621</v>
      </c>
      <c r="V455" s="2087"/>
      <c r="W455" s="2087"/>
      <c r="X455" s="2121">
        <f>'Income Eligible Deemed Table'!J1316</f>
        <v>9</v>
      </c>
      <c r="Y455" s="2121"/>
      <c r="Z455" s="88">
        <f t="shared" si="280"/>
        <v>9</v>
      </c>
      <c r="AA455" s="637">
        <f>'Income Eligible Deemed Table'!BB1316</f>
        <v>12.094325463376903</v>
      </c>
      <c r="AB455" s="2917">
        <f>'Income Eligible Deemed Table'!K1316</f>
        <v>20</v>
      </c>
      <c r="AC455" s="2089">
        <f t="shared" si="251"/>
        <v>228.30250992688818</v>
      </c>
      <c r="AD455" s="2089">
        <f t="shared" si="252"/>
        <v>0</v>
      </c>
      <c r="AE455" s="2955">
        <f>'Income Eligible Deemed Table'!BD1316</f>
        <v>228.30250992688818</v>
      </c>
      <c r="AF455" s="2956"/>
      <c r="AG455" s="2956"/>
      <c r="AH455" s="2956"/>
      <c r="AI455" s="2240" t="str">
        <f>'Income Eligible Deemed Table'!L1316</f>
        <v>per measure</v>
      </c>
      <c r="AM455" s="2057">
        <f t="shared" si="281"/>
        <v>9.4741810000000004E-4</v>
      </c>
      <c r="AN455">
        <f t="shared" si="274"/>
        <v>0.23621028069200001</v>
      </c>
      <c r="AO455" s="2048">
        <f t="shared" si="247"/>
        <v>2.8069200000424566E-7</v>
      </c>
    </row>
    <row r="456" spans="2:41" x14ac:dyDescent="0.25">
      <c r="B456" s="2240" t="str">
        <f>'Income Eligible Deemed Table'!C1317</f>
        <v>406005_2019_12_</v>
      </c>
      <c r="C456" s="208" t="str">
        <f>'Income Eligible Deemed Table'!G1317</f>
        <v>Cooling RES</v>
      </c>
      <c r="D456" s="208"/>
      <c r="E456" s="208"/>
      <c r="F456" s="208"/>
      <c r="G456" s="208" t="str">
        <f>'Income Eligible Deemed Table'!E1317</f>
        <v>AC - Energy Star Room_15kBtu_SF</v>
      </c>
      <c r="H456" s="622" t="str">
        <f>'Income Eligible Deemed Table'!D1317</f>
        <v>SFLI</v>
      </c>
      <c r="I456" s="2091">
        <f t="shared" si="275"/>
        <v>111.77</v>
      </c>
      <c r="J456" s="2091">
        <f t="shared" si="276"/>
        <v>0</v>
      </c>
      <c r="K456" s="2113">
        <f>'Income Eligible Deemed Table'!F1317</f>
        <v>111.77</v>
      </c>
      <c r="L456" s="2113"/>
      <c r="M456" s="2113"/>
      <c r="N456" s="2113"/>
      <c r="O456" s="2092">
        <f t="shared" si="277"/>
        <v>0.105893</v>
      </c>
      <c r="P456" s="2092">
        <f t="shared" si="278"/>
        <v>0</v>
      </c>
      <c r="Q456" s="2086">
        <f>'Income Eligible Deemed Table'!I1317</f>
        <v>0.105893</v>
      </c>
      <c r="R456" s="2086"/>
      <c r="S456" s="2086"/>
      <c r="T456" s="2086"/>
      <c r="U456" s="2087">
        <f t="shared" si="279"/>
        <v>0.105893</v>
      </c>
      <c r="V456" s="2087"/>
      <c r="W456" s="2087"/>
      <c r="X456" s="2121">
        <f>'Income Eligible Deemed Table'!J1317</f>
        <v>9</v>
      </c>
      <c r="Y456" s="2121"/>
      <c r="Z456" s="88">
        <f t="shared" si="280"/>
        <v>9</v>
      </c>
      <c r="AA456" s="637">
        <f>'Income Eligible Deemed Table'!BB1317</f>
        <v>5.4218785377893326</v>
      </c>
      <c r="AB456" s="2917">
        <f>'Income Eligible Deemed Table'!K1317</f>
        <v>20</v>
      </c>
      <c r="AC456" s="2089">
        <f t="shared" si="251"/>
        <v>102.34787235090764</v>
      </c>
      <c r="AD456" s="2089">
        <f t="shared" si="252"/>
        <v>0</v>
      </c>
      <c r="AE456" s="2955">
        <f>'Income Eligible Deemed Table'!BD1317</f>
        <v>102.34787235090764</v>
      </c>
      <c r="AF456" s="2956"/>
      <c r="AG456" s="2956"/>
      <c r="AH456" s="2956"/>
      <c r="AI456" s="2240" t="str">
        <f>'Income Eligible Deemed Table'!L1317</f>
        <v>per measure</v>
      </c>
      <c r="AM456" s="2057">
        <f t="shared" si="281"/>
        <v>9.4741810000000004E-4</v>
      </c>
      <c r="AN456">
        <f t="shared" si="274"/>
        <v>0.105892921037</v>
      </c>
      <c r="AO456" s="2048">
        <f t="shared" si="247"/>
        <v>-7.8962999999765415E-8</v>
      </c>
    </row>
    <row r="457" spans="2:41" s="132" customFormat="1" x14ac:dyDescent="0.25">
      <c r="B457" s="2307" t="str">
        <f>'Income Eligible Deemed Table'!C1348</f>
        <v>406025_2020_12_</v>
      </c>
      <c r="C457" s="2305" t="str">
        <f>'Income Eligible Deemed Table'!G1348</f>
        <v>Building Shell RES</v>
      </c>
      <c r="D457" s="2305"/>
      <c r="E457" s="2305"/>
      <c r="F457" s="2305"/>
      <c r="G457" s="2305" t="str">
        <f>'Income Eligible Deemed Table'!E1348</f>
        <v>Storm Window - Single Pane, Double Hung - Electric Furnace</v>
      </c>
      <c r="H457" s="2322" t="str">
        <f>'Income Eligible Deemed Table'!D1348</f>
        <v>SFLI / MFLI</v>
      </c>
      <c r="I457" s="2320">
        <f>'Income Eligible Deemed Table'!F1348</f>
        <v>17.535985292550357</v>
      </c>
      <c r="J457" s="2320"/>
      <c r="K457" s="2310"/>
      <c r="L457" s="2310"/>
      <c r="M457" s="2310"/>
      <c r="N457" s="2310"/>
      <c r="O457" s="2321">
        <f>'Income Eligible Deemed Table'!I1348</f>
        <v>8.1729999999999997E-3</v>
      </c>
      <c r="P457" s="2321"/>
      <c r="Q457" s="2323"/>
      <c r="R457" s="2323"/>
      <c r="S457" s="2323"/>
      <c r="T457" s="2323"/>
      <c r="U457" s="2273"/>
      <c r="V457" s="2273"/>
      <c r="W457" s="2273">
        <f t="shared" ref="W457:W468" si="282">O457</f>
        <v>8.1729999999999997E-3</v>
      </c>
      <c r="X457" s="2299">
        <f>'Income Eligible Deemed Table'!J1348</f>
        <v>20</v>
      </c>
      <c r="Y457" s="2299"/>
      <c r="Z457" s="2299">
        <f t="shared" ref="Z457" si="283">Y457+X457</f>
        <v>20</v>
      </c>
      <c r="AA457" s="2298">
        <f>'Income Eligible Deemed Table'!BB1348</f>
        <v>2.3819683751413465</v>
      </c>
      <c r="AB457" s="2919">
        <f>'Income Eligible Deemed Table'!K1348</f>
        <v>9.2850000000000001</v>
      </c>
      <c r="AC457" s="2928">
        <f t="shared" ref="AC457" si="284">AE457+AF457</f>
        <v>20.874541163933362</v>
      </c>
      <c r="AD457" s="2928">
        <f t="shared" ref="AD457" si="285">AG457+AH457</f>
        <v>0</v>
      </c>
      <c r="AE457" s="2957">
        <f>'Income Eligible Deemed Table'!BD1348</f>
        <v>20.874541163933362</v>
      </c>
      <c r="AF457" s="2334"/>
      <c r="AG457" s="2334"/>
      <c r="AH457" s="2334"/>
      <c r="AI457" s="2307" t="str">
        <f>'Income Eligible Deemed Table'!L1348</f>
        <v>per sq ft</v>
      </c>
      <c r="AM457" s="2929">
        <f t="shared" si="281"/>
        <v>4.6608050000000002E-4</v>
      </c>
      <c r="AN457" s="132">
        <f t="shared" ref="AN457" si="286">AM457*I457</f>
        <v>8.1731807931445175E-3</v>
      </c>
      <c r="AO457" s="2933">
        <f t="shared" ref="AO457" si="287">AN457-O457</f>
        <v>1.8079314451774353E-7</v>
      </c>
    </row>
    <row r="458" spans="2:41" s="132" customFormat="1" x14ac:dyDescent="0.25">
      <c r="B458" s="2307" t="str">
        <f>'Income Eligible Deemed Table'!C1349</f>
        <v>406050_2020_12_</v>
      </c>
      <c r="C458" s="2305" t="str">
        <f>'Income Eligible Deemed Table'!G1349</f>
        <v>Building Shell RES</v>
      </c>
      <c r="D458" s="2305"/>
      <c r="E458" s="2305"/>
      <c r="F458" s="2305"/>
      <c r="G458" s="2305" t="str">
        <f>'Income Eligible Deemed Table'!E1349</f>
        <v>Storm Window - Single Pane, Double Hung - Heat Pump</v>
      </c>
      <c r="H458" s="2322" t="str">
        <f>'Income Eligible Deemed Table'!D1349</f>
        <v>SFLI / MFLI</v>
      </c>
      <c r="I458" s="2320">
        <f>'Income Eligible Deemed Table'!F1349</f>
        <v>10.4183346394822</v>
      </c>
      <c r="J458" s="2320"/>
      <c r="K458" s="2310"/>
      <c r="L458" s="2310"/>
      <c r="M458" s="2310"/>
      <c r="N458" s="2310"/>
      <c r="O458" s="2321">
        <f>'Income Eligible Deemed Table'!I1349</f>
        <v>4.8560000000000001E-3</v>
      </c>
      <c r="P458" s="2321"/>
      <c r="Q458" s="2323"/>
      <c r="R458" s="2323"/>
      <c r="S458" s="2323"/>
      <c r="T458" s="2323"/>
      <c r="U458" s="2273"/>
      <c r="V458" s="2273"/>
      <c r="W458" s="2273">
        <f t="shared" si="282"/>
        <v>4.8560000000000001E-3</v>
      </c>
      <c r="X458" s="2299">
        <f>'Income Eligible Deemed Table'!J1349</f>
        <v>20</v>
      </c>
      <c r="Y458" s="2299"/>
      <c r="Z458" s="2299">
        <f t="shared" ref="Z458:Z461" si="288">Y458+X458</f>
        <v>20</v>
      </c>
      <c r="AA458" s="2298">
        <f>'Income Eligible Deemed Table'!BB1349</f>
        <v>1.4151553630367506</v>
      </c>
      <c r="AB458" s="2919">
        <f>'Income Eligible Deemed Table'!K1349</f>
        <v>9.2850000000000001</v>
      </c>
      <c r="AC458" s="2928">
        <f t="shared" ref="AC458:AC461" si="289">AE458+AF458</f>
        <v>12.401809859175296</v>
      </c>
      <c r="AD458" s="2928">
        <f t="shared" ref="AD458:AD461" si="290">AG458+AH458</f>
        <v>0</v>
      </c>
      <c r="AE458" s="2957">
        <f>'Income Eligible Deemed Table'!BD1349</f>
        <v>12.401809859175296</v>
      </c>
      <c r="AF458" s="2334"/>
      <c r="AG458" s="2334"/>
      <c r="AH458" s="2334"/>
      <c r="AI458" s="2307" t="str">
        <f>'Income Eligible Deemed Table'!L1349</f>
        <v>per sq ft</v>
      </c>
      <c r="AM458" s="2929">
        <f t="shared" ref="AM458:AM461" si="291">VLOOKUP(C458,$AS$10:$AT$32,2,FALSE)</f>
        <v>4.6608050000000002E-4</v>
      </c>
      <c r="AN458" s="132">
        <f t="shared" ref="AN458:AN461" si="292">AM458*I458</f>
        <v>4.8557826179371835E-3</v>
      </c>
      <c r="AO458" s="2933">
        <f t="shared" ref="AO458:AO461" si="293">AN458-O458</f>
        <v>-2.1738206281655265E-7</v>
      </c>
    </row>
    <row r="459" spans="2:41" s="132" customFormat="1" x14ac:dyDescent="0.25">
      <c r="B459" s="2307" t="str">
        <f>'Income Eligible Deemed Table'!C1350</f>
        <v>406075_2020_12_</v>
      </c>
      <c r="C459" s="2305" t="str">
        <f>'Income Eligible Deemed Table'!G1350</f>
        <v>Building Shell RES</v>
      </c>
      <c r="D459" s="2305"/>
      <c r="E459" s="2305"/>
      <c r="F459" s="2305"/>
      <c r="G459" s="2305" t="str">
        <f>'Income Eligible Deemed Table'!E1350</f>
        <v>Storm Window - Single Pane, Double Hung - Gas Heating</v>
      </c>
      <c r="H459" s="2322" t="str">
        <f>'Income Eligible Deemed Table'!D1350</f>
        <v>SFLI / MFLI</v>
      </c>
      <c r="I459" s="2320">
        <f>'Income Eligible Deemed Table'!F1350</f>
        <v>2.3909090909090911</v>
      </c>
      <c r="J459" s="2320"/>
      <c r="K459" s="2310"/>
      <c r="L459" s="2310"/>
      <c r="M459" s="2310"/>
      <c r="N459" s="2310"/>
      <c r="O459" s="2321">
        <f>'Income Eligible Deemed Table'!I1350</f>
        <v>1.114E-3</v>
      </c>
      <c r="P459" s="2321"/>
      <c r="Q459" s="2323"/>
      <c r="R459" s="2323"/>
      <c r="S459" s="2323"/>
      <c r="T459" s="2323"/>
      <c r="U459" s="2273"/>
      <c r="V459" s="2273"/>
      <c r="W459" s="2273">
        <f t="shared" si="282"/>
        <v>1.114E-3</v>
      </c>
      <c r="X459" s="2299">
        <f>'Income Eligible Deemed Table'!J1350</f>
        <v>20</v>
      </c>
      <c r="Y459" s="2299"/>
      <c r="Z459" s="2299">
        <f t="shared" si="288"/>
        <v>20</v>
      </c>
      <c r="AA459" s="2298">
        <f>'Income Eligible Deemed Table'!BB1350</f>
        <v>0.32476474788119158</v>
      </c>
      <c r="AB459" s="2919">
        <f>'Income Eligible Deemed Table'!K1350</f>
        <v>9.2850000000000001</v>
      </c>
      <c r="AC459" s="2928">
        <f t="shared" si="289"/>
        <v>2.846097861327856</v>
      </c>
      <c r="AD459" s="2928">
        <f t="shared" si="290"/>
        <v>0</v>
      </c>
      <c r="AE459" s="2957">
        <f>'Income Eligible Deemed Table'!BD1350</f>
        <v>2.846097861327856</v>
      </c>
      <c r="AF459" s="2334"/>
      <c r="AG459" s="2334"/>
      <c r="AH459" s="2334"/>
      <c r="AI459" s="2307" t="str">
        <f>'Income Eligible Deemed Table'!L1350</f>
        <v>per sq ft</v>
      </c>
      <c r="AM459" s="2929">
        <f t="shared" si="291"/>
        <v>4.6608050000000002E-4</v>
      </c>
      <c r="AN459" s="132">
        <f t="shared" si="292"/>
        <v>1.1143561045454547E-3</v>
      </c>
      <c r="AO459" s="2933">
        <f t="shared" si="293"/>
        <v>3.5610454545472597E-7</v>
      </c>
    </row>
    <row r="460" spans="2:41" s="132" customFormat="1" x14ac:dyDescent="0.25">
      <c r="B460" s="2307" t="str">
        <f>'Income Eligible Deemed Table'!C1351</f>
        <v>406100_2020_12_</v>
      </c>
      <c r="C460" s="2305" t="str">
        <f>'Income Eligible Deemed Table'!G1351</f>
        <v>Building Shell RES</v>
      </c>
      <c r="D460" s="2305"/>
      <c r="E460" s="2305"/>
      <c r="F460" s="2305"/>
      <c r="G460" s="2305" t="str">
        <f>'Income Eligible Deemed Table'!E1351</f>
        <v>Storm Window - Double Pane, Double Hung - Electric Furnace</v>
      </c>
      <c r="H460" s="2322" t="str">
        <f>'Income Eligible Deemed Table'!D1351</f>
        <v>SFLI / MFLI</v>
      </c>
      <c r="I460" s="2320">
        <f>'Income Eligible Deemed Table'!F1351</f>
        <v>5.9024938718959818</v>
      </c>
      <c r="J460" s="2320"/>
      <c r="K460" s="2310"/>
      <c r="L460" s="2310"/>
      <c r="M460" s="2310"/>
      <c r="N460" s="2310"/>
      <c r="O460" s="2321">
        <f>'Income Eligible Deemed Table'!I1351</f>
        <v>2.751E-3</v>
      </c>
      <c r="P460" s="2321"/>
      <c r="Q460" s="2323"/>
      <c r="R460" s="2323"/>
      <c r="S460" s="2323"/>
      <c r="T460" s="2323"/>
      <c r="U460" s="2273"/>
      <c r="V460" s="2273"/>
      <c r="W460" s="2273">
        <f t="shared" si="282"/>
        <v>2.751E-3</v>
      </c>
      <c r="X460" s="2299">
        <f>'Income Eligible Deemed Table'!J1351</f>
        <v>20</v>
      </c>
      <c r="Y460" s="2299"/>
      <c r="Z460" s="2299">
        <f t="shared" si="288"/>
        <v>20</v>
      </c>
      <c r="AA460" s="2298">
        <f>'Income Eligible Deemed Table'!BB1351</f>
        <v>0.80175442113849216</v>
      </c>
      <c r="AB460" s="2919">
        <f>'Income Eligible Deemed Table'!K1351</f>
        <v>9.2850000000000001</v>
      </c>
      <c r="AC460" s="2928">
        <f t="shared" si="289"/>
        <v>7.0262291649560158</v>
      </c>
      <c r="AD460" s="2928">
        <f t="shared" si="290"/>
        <v>0</v>
      </c>
      <c r="AE460" s="2957">
        <f>'Income Eligible Deemed Table'!BD1351</f>
        <v>7.0262291649560158</v>
      </c>
      <c r="AF460" s="2334"/>
      <c r="AG460" s="2334"/>
      <c r="AH460" s="2334"/>
      <c r="AI460" s="2307" t="str">
        <f>'Income Eligible Deemed Table'!L1351</f>
        <v>per sq ft</v>
      </c>
      <c r="AM460" s="2929">
        <f t="shared" si="291"/>
        <v>4.6608050000000002E-4</v>
      </c>
      <c r="AN460" s="132">
        <f t="shared" si="292"/>
        <v>2.7510372950602154E-3</v>
      </c>
      <c r="AO460" s="2933">
        <f t="shared" si="293"/>
        <v>3.7295060215450371E-8</v>
      </c>
    </row>
    <row r="461" spans="2:41" s="132" customFormat="1" x14ac:dyDescent="0.25">
      <c r="B461" s="2307" t="str">
        <f>'Income Eligible Deemed Table'!C1352</f>
        <v>406125_2020_12_</v>
      </c>
      <c r="C461" s="2305" t="str">
        <f>'Income Eligible Deemed Table'!G1352</f>
        <v>Building Shell RES</v>
      </c>
      <c r="D461" s="2305"/>
      <c r="E461" s="2305"/>
      <c r="F461" s="2305"/>
      <c r="G461" s="2305" t="str">
        <f>'Income Eligible Deemed Table'!E1352</f>
        <v>Storm Window - Double Pane, Double Hung - Heat Pump</v>
      </c>
      <c r="H461" s="2322" t="str">
        <f>'Income Eligible Deemed Table'!D1352</f>
        <v>SFLI / MFLI</v>
      </c>
      <c r="I461" s="2320">
        <f>'Income Eligible Deemed Table'!F1352</f>
        <v>3.6711258877701161</v>
      </c>
      <c r="J461" s="2320"/>
      <c r="K461" s="2310"/>
      <c r="L461" s="2310"/>
      <c r="M461" s="2310"/>
      <c r="N461" s="2310"/>
      <c r="O461" s="2321">
        <f>'Income Eligible Deemed Table'!I1352</f>
        <v>1.7110000000000001E-3</v>
      </c>
      <c r="P461" s="2321"/>
      <c r="Q461" s="2323"/>
      <c r="R461" s="2323"/>
      <c r="S461" s="2323"/>
      <c r="T461" s="2323"/>
      <c r="U461" s="2273"/>
      <c r="V461" s="2273"/>
      <c r="W461" s="2273">
        <f t="shared" si="282"/>
        <v>1.7110000000000001E-3</v>
      </c>
      <c r="X461" s="2299">
        <f>'Income Eligible Deemed Table'!J1352</f>
        <v>20</v>
      </c>
      <c r="Y461" s="2299"/>
      <c r="Z461" s="2299">
        <f t="shared" si="288"/>
        <v>20</v>
      </c>
      <c r="AA461" s="2298">
        <f>'Income Eligible Deemed Table'!BB1352</f>
        <v>0.49866064666157989</v>
      </c>
      <c r="AB461" s="2919">
        <f>'Income Eligible Deemed Table'!K1352</f>
        <v>9.2850000000000001</v>
      </c>
      <c r="AC461" s="2928">
        <f t="shared" si="289"/>
        <v>4.3700463466283797</v>
      </c>
      <c r="AD461" s="2928">
        <f t="shared" si="290"/>
        <v>0</v>
      </c>
      <c r="AE461" s="2957">
        <f>'Income Eligible Deemed Table'!BD1352</f>
        <v>4.3700463466283797</v>
      </c>
      <c r="AF461" s="2334"/>
      <c r="AG461" s="2334"/>
      <c r="AH461" s="2334"/>
      <c r="AI461" s="2307" t="str">
        <f>'Income Eligible Deemed Table'!L1352</f>
        <v>per sq ft</v>
      </c>
      <c r="AM461" s="2929">
        <f t="shared" si="291"/>
        <v>4.6608050000000002E-4</v>
      </c>
      <c r="AN461" s="132">
        <f t="shared" si="292"/>
        <v>1.7110401893348397E-3</v>
      </c>
      <c r="AO461" s="2933">
        <f t="shared" si="293"/>
        <v>4.0189334839669383E-8</v>
      </c>
    </row>
    <row r="462" spans="2:41" s="132" customFormat="1" x14ac:dyDescent="0.25">
      <c r="B462" s="2307" t="str">
        <f>'Income Eligible Deemed Table'!C1353</f>
        <v>406150_2020_12_</v>
      </c>
      <c r="C462" s="2305" t="str">
        <f>'Income Eligible Deemed Table'!G1353</f>
        <v>Building Shell RES</v>
      </c>
      <c r="D462" s="2305"/>
      <c r="E462" s="2305"/>
      <c r="F462" s="2305"/>
      <c r="G462" s="2305" t="str">
        <f>'Income Eligible Deemed Table'!E1353</f>
        <v>Storm Window - Double Pane, Double Hung - Gas Heating</v>
      </c>
      <c r="H462" s="2322" t="str">
        <f>'Income Eligible Deemed Table'!D1353</f>
        <v>SFLI / MFLI</v>
      </c>
      <c r="I462" s="2320">
        <f>'Income Eligible Deemed Table'!F1353</f>
        <v>1.1545454545454545</v>
      </c>
      <c r="J462" s="2320"/>
      <c r="K462" s="2310"/>
      <c r="L462" s="2310"/>
      <c r="M462" s="2310"/>
      <c r="N462" s="2310"/>
      <c r="O462" s="2321">
        <f>'Income Eligible Deemed Table'!I1353</f>
        <v>5.3799999999999996E-4</v>
      </c>
      <c r="P462" s="2321"/>
      <c r="Q462" s="2323"/>
      <c r="R462" s="2323"/>
      <c r="S462" s="2323"/>
      <c r="T462" s="2323"/>
      <c r="U462" s="2273"/>
      <c r="V462" s="2273"/>
      <c r="W462" s="2273">
        <f t="shared" si="282"/>
        <v>5.3799999999999996E-4</v>
      </c>
      <c r="X462" s="2299">
        <f>'Income Eligible Deemed Table'!J1353</f>
        <v>20</v>
      </c>
      <c r="Y462" s="2299"/>
      <c r="Z462" s="2299">
        <f t="shared" ref="Z462:Z466" si="294">Y462+X462</f>
        <v>20</v>
      </c>
      <c r="AA462" s="2298">
        <f>'Income Eligible Deemed Table'!BB1353</f>
        <v>0.15682556266506209</v>
      </c>
      <c r="AB462" s="2919">
        <f>'Income Eligible Deemed Table'!K1353</f>
        <v>9.2850000000000001</v>
      </c>
      <c r="AC462" s="2928">
        <f t="shared" ref="AC462:AC466" si="295">AE462+AF462</f>
        <v>1.3743514387400673</v>
      </c>
      <c r="AD462" s="2928">
        <f t="shared" ref="AD462:AD466" si="296">AG462+AH462</f>
        <v>0</v>
      </c>
      <c r="AE462" s="2957">
        <f>'Income Eligible Deemed Table'!BD1353</f>
        <v>1.3743514387400673</v>
      </c>
      <c r="AF462" s="2334"/>
      <c r="AG462" s="2334"/>
      <c r="AH462" s="2334"/>
      <c r="AI462" s="2307" t="str">
        <f>'Income Eligible Deemed Table'!L1353</f>
        <v>per sq ft</v>
      </c>
      <c r="AM462" s="2929">
        <f t="shared" ref="AM462:AM466" si="297">VLOOKUP(C462,$AS$10:$AT$32,2,FALSE)</f>
        <v>4.6608050000000002E-4</v>
      </c>
      <c r="AN462" s="132">
        <f t="shared" ref="AN462:AN466" si="298">AM462*I462</f>
        <v>5.3811112272727276E-4</v>
      </c>
      <c r="AO462" s="2933">
        <f t="shared" ref="AO462:AO466" si="299">AN462-O462</f>
        <v>1.1112272727280183E-7</v>
      </c>
    </row>
    <row r="463" spans="2:41" s="132" customFormat="1" x14ac:dyDescent="0.25">
      <c r="B463" s="2307" t="str">
        <f>'Income Eligible Deemed Table'!C1354</f>
        <v>406175_2020_12_</v>
      </c>
      <c r="C463" s="2305" t="str">
        <f>'Income Eligible Deemed Table'!G1354</f>
        <v>Building Shell RES</v>
      </c>
      <c r="D463" s="2305"/>
      <c r="E463" s="2305"/>
      <c r="F463" s="2305"/>
      <c r="G463" s="2305" t="str">
        <f>'Income Eligible Deemed Table'!E1354</f>
        <v>Storm Window - Single Pane, Fixed - Electric Furnace</v>
      </c>
      <c r="H463" s="2322" t="str">
        <f>'Income Eligible Deemed Table'!D1354</f>
        <v>SFLI / MFLI</v>
      </c>
      <c r="I463" s="2320">
        <f>'Income Eligible Deemed Table'!F1354</f>
        <v>17.528658211659383</v>
      </c>
      <c r="J463" s="2320"/>
      <c r="K463" s="2310"/>
      <c r="L463" s="2310"/>
      <c r="M463" s="2310"/>
      <c r="N463" s="2310"/>
      <c r="O463" s="2321">
        <f>'Income Eligible Deemed Table'!I1354</f>
        <v>8.1700000000000002E-3</v>
      </c>
      <c r="P463" s="2321"/>
      <c r="Q463" s="2323"/>
      <c r="R463" s="2323"/>
      <c r="S463" s="2323"/>
      <c r="T463" s="2323"/>
      <c r="U463" s="2273"/>
      <c r="V463" s="2273"/>
      <c r="W463" s="2273">
        <f t="shared" si="282"/>
        <v>8.1700000000000002E-3</v>
      </c>
      <c r="X463" s="2299">
        <f>'Income Eligible Deemed Table'!J1354</f>
        <v>20</v>
      </c>
      <c r="Y463" s="2299"/>
      <c r="Z463" s="2299">
        <f t="shared" si="294"/>
        <v>20</v>
      </c>
      <c r="AA463" s="2298">
        <f>'Income Eligible Deemed Table'!BB1354</f>
        <v>2.3809731145572823</v>
      </c>
      <c r="AB463" s="2919">
        <f>'Income Eligible Deemed Table'!K1354</f>
        <v>9.2850000000000001</v>
      </c>
      <c r="AC463" s="2928">
        <f t="shared" si="295"/>
        <v>20.865819130405249</v>
      </c>
      <c r="AD463" s="2928">
        <f t="shared" si="296"/>
        <v>0</v>
      </c>
      <c r="AE463" s="2957">
        <f>'Income Eligible Deemed Table'!BD1354</f>
        <v>20.865819130405249</v>
      </c>
      <c r="AF463" s="2334"/>
      <c r="AG463" s="2334"/>
      <c r="AH463" s="2334"/>
      <c r="AI463" s="2307" t="str">
        <f>'Income Eligible Deemed Table'!L1354</f>
        <v>per sq ft</v>
      </c>
      <c r="AM463" s="2929">
        <f t="shared" si="297"/>
        <v>4.6608050000000002E-4</v>
      </c>
      <c r="AN463" s="132">
        <f t="shared" si="298"/>
        <v>8.1697657836193108E-3</v>
      </c>
      <c r="AO463" s="2933">
        <f t="shared" si="299"/>
        <v>-2.3421638068940598E-7</v>
      </c>
    </row>
    <row r="464" spans="2:41" s="132" customFormat="1" x14ac:dyDescent="0.25">
      <c r="B464" s="2307" t="str">
        <f>'Income Eligible Deemed Table'!C1355</f>
        <v>406200_2020_12_</v>
      </c>
      <c r="C464" s="2305" t="str">
        <f>'Income Eligible Deemed Table'!G1355</f>
        <v>Building Shell RES</v>
      </c>
      <c r="D464" s="2305"/>
      <c r="E464" s="2305"/>
      <c r="F464" s="2305"/>
      <c r="G464" s="2305" t="str">
        <f>'Income Eligible Deemed Table'!E1355</f>
        <v>Storm Window - Single Pane, Fixed - Heat Pump</v>
      </c>
      <c r="H464" s="2322" t="str">
        <f>'Income Eligible Deemed Table'!D1355</f>
        <v>SFLI / MFLI</v>
      </c>
      <c r="I464" s="2320">
        <f>'Income Eligible Deemed Table'!F1355</f>
        <v>10.414451027702533</v>
      </c>
      <c r="J464" s="2320"/>
      <c r="K464" s="2310"/>
      <c r="L464" s="2310"/>
      <c r="M464" s="2310"/>
      <c r="N464" s="2310"/>
      <c r="O464" s="2321">
        <f>'Income Eligible Deemed Table'!I1355</f>
        <v>4.8539999999999998E-3</v>
      </c>
      <c r="P464" s="2321"/>
      <c r="Q464" s="2323"/>
      <c r="R464" s="2323"/>
      <c r="S464" s="2323"/>
      <c r="T464" s="2323"/>
      <c r="U464" s="2273"/>
      <c r="V464" s="2273"/>
      <c r="W464" s="2273">
        <f t="shared" si="282"/>
        <v>4.8539999999999998E-3</v>
      </c>
      <c r="X464" s="2299">
        <f>'Income Eligible Deemed Table'!J1355</f>
        <v>20</v>
      </c>
      <c r="Y464" s="2299"/>
      <c r="Z464" s="2299">
        <f t="shared" si="294"/>
        <v>20</v>
      </c>
      <c r="AA464" s="2298">
        <f>'Income Eligible Deemed Table'!BB1355</f>
        <v>1.4146278397589782</v>
      </c>
      <c r="AB464" s="2919">
        <f>'Income Eligible Deemed Table'!K1355</f>
        <v>9.2850000000000001</v>
      </c>
      <c r="AC464" s="2928">
        <f t="shared" si="295"/>
        <v>12.397186873206334</v>
      </c>
      <c r="AD464" s="2928">
        <f t="shared" si="296"/>
        <v>0</v>
      </c>
      <c r="AE464" s="2957">
        <f>'Income Eligible Deemed Table'!BD1355</f>
        <v>12.397186873206334</v>
      </c>
      <c r="AF464" s="2334"/>
      <c r="AG464" s="2334"/>
      <c r="AH464" s="2334"/>
      <c r="AI464" s="2307" t="str">
        <f>'Income Eligible Deemed Table'!L1355</f>
        <v>per sq ft</v>
      </c>
      <c r="AM464" s="2929">
        <f t="shared" si="297"/>
        <v>4.6608050000000002E-4</v>
      </c>
      <c r="AN464" s="132">
        <f t="shared" si="298"/>
        <v>4.8539725422171104E-3</v>
      </c>
      <c r="AO464" s="2933">
        <f t="shared" si="299"/>
        <v>-2.7457782889386828E-8</v>
      </c>
    </row>
    <row r="465" spans="2:41" s="132" customFormat="1" x14ac:dyDescent="0.25">
      <c r="B465" s="2307" t="str">
        <f>'Income Eligible Deemed Table'!C1356</f>
        <v>406225_2020_12_</v>
      </c>
      <c r="C465" s="2305" t="str">
        <f>'Income Eligible Deemed Table'!G1356</f>
        <v>Building Shell RES</v>
      </c>
      <c r="D465" s="2305"/>
      <c r="E465" s="2305"/>
      <c r="F465" s="2305"/>
      <c r="G465" s="2305" t="str">
        <f>'Income Eligible Deemed Table'!E1356</f>
        <v>Storm Window - Single Pane, Fixed - Gas Heating</v>
      </c>
      <c r="H465" s="2322" t="str">
        <f>'Income Eligible Deemed Table'!D1356</f>
        <v>SFLI / MFLI</v>
      </c>
      <c r="I465" s="2320">
        <f>'Income Eligible Deemed Table'!F1356</f>
        <v>2.3909090909090911</v>
      </c>
      <c r="J465" s="2320"/>
      <c r="K465" s="2310"/>
      <c r="L465" s="2310"/>
      <c r="M465" s="2310"/>
      <c r="N465" s="2310"/>
      <c r="O465" s="2321">
        <f>'Income Eligible Deemed Table'!I1356</f>
        <v>1.114E-3</v>
      </c>
      <c r="P465" s="2321"/>
      <c r="Q465" s="2323"/>
      <c r="R465" s="2323"/>
      <c r="S465" s="2323"/>
      <c r="T465" s="2323"/>
      <c r="U465" s="2273"/>
      <c r="V465" s="2273"/>
      <c r="W465" s="2273">
        <f t="shared" si="282"/>
        <v>1.114E-3</v>
      </c>
      <c r="X465" s="2299">
        <f>'Income Eligible Deemed Table'!J1356</f>
        <v>20</v>
      </c>
      <c r="Y465" s="2299"/>
      <c r="Z465" s="2299">
        <f t="shared" si="294"/>
        <v>20</v>
      </c>
      <c r="AA465" s="2298">
        <f>'Income Eligible Deemed Table'!BB1356</f>
        <v>0.32476474788119158</v>
      </c>
      <c r="AB465" s="2919">
        <f>'Income Eligible Deemed Table'!K1356</f>
        <v>9.2850000000000001</v>
      </c>
      <c r="AC465" s="2928">
        <f t="shared" si="295"/>
        <v>2.846097861327856</v>
      </c>
      <c r="AD465" s="2928">
        <f t="shared" si="296"/>
        <v>0</v>
      </c>
      <c r="AE465" s="2957">
        <f>'Income Eligible Deemed Table'!BD1356</f>
        <v>2.846097861327856</v>
      </c>
      <c r="AF465" s="2334"/>
      <c r="AG465" s="2334"/>
      <c r="AH465" s="2334"/>
      <c r="AI465" s="2307" t="str">
        <f>'Income Eligible Deemed Table'!L1356</f>
        <v>per sq ft</v>
      </c>
      <c r="AM465" s="2929">
        <f t="shared" si="297"/>
        <v>4.6608050000000002E-4</v>
      </c>
      <c r="AN465" s="132">
        <f t="shared" si="298"/>
        <v>1.1143561045454547E-3</v>
      </c>
      <c r="AO465" s="2933">
        <f t="shared" si="299"/>
        <v>3.5610454545472597E-7</v>
      </c>
    </row>
    <row r="466" spans="2:41" s="132" customFormat="1" x14ac:dyDescent="0.25">
      <c r="B466" s="2307" t="str">
        <f>'Income Eligible Deemed Table'!C1357</f>
        <v>406250_2020_12_</v>
      </c>
      <c r="C466" s="2305" t="str">
        <f>'Income Eligible Deemed Table'!G1357</f>
        <v>Building Shell RES</v>
      </c>
      <c r="D466" s="2305"/>
      <c r="E466" s="2305"/>
      <c r="F466" s="2305"/>
      <c r="G466" s="2305" t="str">
        <f>'Income Eligible Deemed Table'!E1357</f>
        <v>Storm Window - Double Pane, Fixed - Electric Furnace</v>
      </c>
      <c r="H466" s="2322" t="str">
        <f>'Income Eligible Deemed Table'!D1357</f>
        <v>SFLI / MFLI</v>
      </c>
      <c r="I466" s="2320">
        <f>'Income Eligible Deemed Table'!F1357</f>
        <v>5.5948603858041137</v>
      </c>
      <c r="J466" s="2320"/>
      <c r="K466" s="2310"/>
      <c r="L466" s="2310"/>
      <c r="M466" s="2310"/>
      <c r="N466" s="2310"/>
      <c r="O466" s="2321">
        <f>'Income Eligible Deemed Table'!I1357</f>
        <v>2.6080000000000001E-3</v>
      </c>
      <c r="P466" s="2321"/>
      <c r="Q466" s="2323"/>
      <c r="R466" s="2323"/>
      <c r="S466" s="2323"/>
      <c r="T466" s="2323"/>
      <c r="U466" s="2273"/>
      <c r="V466" s="2273"/>
      <c r="W466" s="2273">
        <f t="shared" si="282"/>
        <v>2.6080000000000001E-3</v>
      </c>
      <c r="X466" s="2299">
        <f>'Income Eligible Deemed Table'!J1357</f>
        <v>20</v>
      </c>
      <c r="Y466" s="2299"/>
      <c r="Z466" s="2299">
        <f t="shared" si="294"/>
        <v>20</v>
      </c>
      <c r="AA466" s="2298">
        <f>'Income Eligible Deemed Table'!BB1357</f>
        <v>0.75996759121245372</v>
      </c>
      <c r="AB466" s="2919">
        <f>'Income Eligible Deemed Table'!K1357</f>
        <v>9.2850000000000001</v>
      </c>
      <c r="AC466" s="2928">
        <f t="shared" si="295"/>
        <v>6.6600274510690243</v>
      </c>
      <c r="AD466" s="2928">
        <f t="shared" si="296"/>
        <v>0</v>
      </c>
      <c r="AE466" s="2957">
        <f>'Income Eligible Deemed Table'!BD1357</f>
        <v>6.6600274510690243</v>
      </c>
      <c r="AF466" s="2334"/>
      <c r="AG466" s="2334"/>
      <c r="AH466" s="2334"/>
      <c r="AI466" s="2307" t="str">
        <f>'Income Eligible Deemed Table'!L1357</f>
        <v>per sq ft</v>
      </c>
      <c r="AM466" s="2929">
        <f t="shared" si="297"/>
        <v>4.6608050000000002E-4</v>
      </c>
      <c r="AN466" s="132">
        <f t="shared" si="298"/>
        <v>2.6076553260457745E-3</v>
      </c>
      <c r="AO466" s="2933">
        <f t="shared" si="299"/>
        <v>-3.4467395422553906E-7</v>
      </c>
    </row>
    <row r="467" spans="2:41" s="132" customFormat="1" x14ac:dyDescent="0.25">
      <c r="B467" s="2307" t="str">
        <f>'Income Eligible Deemed Table'!C1358</f>
        <v>406275_2020_12_</v>
      </c>
      <c r="C467" s="2305" t="str">
        <f>'Income Eligible Deemed Table'!G1358</f>
        <v>Building Shell RES</v>
      </c>
      <c r="D467" s="2305"/>
      <c r="E467" s="2305"/>
      <c r="F467" s="2305"/>
      <c r="G467" s="2305" t="str">
        <f>'Income Eligible Deemed Table'!E1358</f>
        <v>Storm Window - Double Pane, Fixed - Heat Pump</v>
      </c>
      <c r="H467" s="2322" t="str">
        <f>'Income Eligible Deemed Table'!D1358</f>
        <v>SFLI / MFLI</v>
      </c>
      <c r="I467" s="2320">
        <f>'Income Eligible Deemed Table'!F1358</f>
        <v>3.415144438347828</v>
      </c>
      <c r="J467" s="2320"/>
      <c r="K467" s="2310"/>
      <c r="L467" s="2310"/>
      <c r="M467" s="2310"/>
      <c r="N467" s="2310"/>
      <c r="O467" s="2321">
        <f>'Income Eligible Deemed Table'!I1358</f>
        <v>1.5920000000000001E-3</v>
      </c>
      <c r="P467" s="2321"/>
      <c r="Q467" s="2323"/>
      <c r="R467" s="2323"/>
      <c r="S467" s="2323"/>
      <c r="T467" s="2323"/>
      <c r="U467" s="2273"/>
      <c r="V467" s="2273"/>
      <c r="W467" s="2273">
        <f t="shared" si="282"/>
        <v>1.5920000000000001E-3</v>
      </c>
      <c r="X467" s="2299">
        <f>'Income Eligible Deemed Table'!J1358</f>
        <v>20</v>
      </c>
      <c r="Y467" s="2299"/>
      <c r="Z467" s="2299">
        <f t="shared" ref="Z467:Z471" si="300">Y467+X467</f>
        <v>20</v>
      </c>
      <c r="AA467" s="2298">
        <f>'Income Eligible Deemed Table'!BB1358</f>
        <v>0.4638898763299143</v>
      </c>
      <c r="AB467" s="2919">
        <f>'Income Eligible Deemed Table'!K1358</f>
        <v>9.2850000000000001</v>
      </c>
      <c r="AC467" s="2928">
        <f t="shared" ref="AC467:AC468" si="301">AE467+AF467</f>
        <v>4.0653303461286017</v>
      </c>
      <c r="AD467" s="2928">
        <f t="shared" ref="AD467:AD468" si="302">AG467+AH467</f>
        <v>0</v>
      </c>
      <c r="AE467" s="2957">
        <f>'Income Eligible Deemed Table'!BD1358</f>
        <v>4.0653303461286017</v>
      </c>
      <c r="AF467" s="2334"/>
      <c r="AG467" s="2334"/>
      <c r="AH467" s="2334"/>
      <c r="AI467" s="2307" t="str">
        <f>'Income Eligible Deemed Table'!L1358</f>
        <v>per sq ft</v>
      </c>
      <c r="AM467" s="2929">
        <f t="shared" ref="AM467:AM468" si="303">VLOOKUP(C467,$AS$10:$AT$32,2,FALSE)</f>
        <v>4.6608050000000002E-4</v>
      </c>
      <c r="AN467" s="132">
        <f t="shared" ref="AN467:AN468" si="304">AM467*I467</f>
        <v>1.5917322273973748E-3</v>
      </c>
      <c r="AO467" s="2933">
        <f t="shared" ref="AO467:AO468" si="305">AN467-O467</f>
        <v>-2.6777260262529808E-7</v>
      </c>
    </row>
    <row r="468" spans="2:41" s="132" customFormat="1" x14ac:dyDescent="0.25">
      <c r="B468" s="2307" t="str">
        <f>'Income Eligible Deemed Table'!C1359</f>
        <v>406300_2020_12_</v>
      </c>
      <c r="C468" s="2305" t="str">
        <f>'Income Eligible Deemed Table'!G1359</f>
        <v>Building Shell RES</v>
      </c>
      <c r="D468" s="2305"/>
      <c r="E468" s="2305"/>
      <c r="F468" s="2305"/>
      <c r="G468" s="2305" t="str">
        <f>'Income Eligible Deemed Table'!E1359</f>
        <v>Storm Window - Double Pane, Fixed - Gas Heating</v>
      </c>
      <c r="H468" s="2322" t="str">
        <f>'Income Eligible Deemed Table'!D1359</f>
        <v>SFLI / MFLI</v>
      </c>
      <c r="I468" s="2320">
        <f>'Income Eligible Deemed Table'!F1359</f>
        <v>0.9568181818181819</v>
      </c>
      <c r="J468" s="2320"/>
      <c r="K468" s="2310"/>
      <c r="L468" s="2310"/>
      <c r="M468" s="2310"/>
      <c r="N468" s="2310"/>
      <c r="O468" s="2321">
        <f>'Income Eligible Deemed Table'!I1359</f>
        <v>4.46E-4</v>
      </c>
      <c r="P468" s="2321"/>
      <c r="Q468" s="2323"/>
      <c r="R468" s="2323"/>
      <c r="S468" s="2323"/>
      <c r="T468" s="2323"/>
      <c r="U468" s="2273"/>
      <c r="V468" s="2273"/>
      <c r="W468" s="2273">
        <f t="shared" si="282"/>
        <v>4.46E-4</v>
      </c>
      <c r="X468" s="2299">
        <f>'Income Eligible Deemed Table'!J1359</f>
        <v>20</v>
      </c>
      <c r="Y468" s="2299"/>
      <c r="Z468" s="2299">
        <f t="shared" si="300"/>
        <v>20</v>
      </c>
      <c r="AA468" s="2298">
        <f>'Income Eligible Deemed Table'!BB1359</f>
        <v>0.12996764149998258</v>
      </c>
      <c r="AB468" s="2919">
        <f>'Income Eligible Deemed Table'!K1359</f>
        <v>9.2850000000000001</v>
      </c>
      <c r="AC468" s="2928">
        <f t="shared" si="301"/>
        <v>1.1389802277747409</v>
      </c>
      <c r="AD468" s="2928">
        <f t="shared" si="302"/>
        <v>0</v>
      </c>
      <c r="AE468" s="2957">
        <f>'Income Eligible Deemed Table'!BD1359</f>
        <v>1.1389802277747409</v>
      </c>
      <c r="AF468" s="2334"/>
      <c r="AG468" s="2334"/>
      <c r="AH468" s="2334"/>
      <c r="AI468" s="2307" t="str">
        <f>'Income Eligible Deemed Table'!L1359</f>
        <v>per sq ft</v>
      </c>
      <c r="AM468" s="2929">
        <f t="shared" si="303"/>
        <v>4.6608050000000002E-4</v>
      </c>
      <c r="AN468" s="132">
        <f t="shared" si="304"/>
        <v>4.4595429659090915E-4</v>
      </c>
      <c r="AO468" s="2933">
        <f t="shared" si="305"/>
        <v>-4.5703409090852142E-8</v>
      </c>
    </row>
    <row r="469" spans="2:41" s="132" customFormat="1" x14ac:dyDescent="0.25">
      <c r="B469" s="2307" t="str">
        <f>'Home Energy Report Deemed Table'!C7</f>
        <v>450050_2020_12_</v>
      </c>
      <c r="C469" s="2305" t="str">
        <f>'Home Energy Report Deemed Table'!G7</f>
        <v>Building Shell RES</v>
      </c>
      <c r="D469" s="2305"/>
      <c r="E469" s="2305"/>
      <c r="F469" s="2305"/>
      <c r="G469" s="2305" t="str">
        <f>'Home Energy Report Deemed Table'!E7</f>
        <v xml:space="preserve">Home Energy Report </v>
      </c>
      <c r="H469" s="2322" t="str">
        <f>'Home Energy Report Deemed Table'!D7</f>
        <v>SF</v>
      </c>
      <c r="I469" s="2320">
        <f>'Home Energy Report Deemed Table'!F7</f>
        <v>50.827800000000003</v>
      </c>
      <c r="J469" s="2320"/>
      <c r="K469" s="2310"/>
      <c r="L469" s="2310"/>
      <c r="M469" s="2310"/>
      <c r="N469" s="2310"/>
      <c r="O469" s="2321">
        <f>'Home Energy Report Deemed Table'!I7</f>
        <v>2.3689999999999999E-2</v>
      </c>
      <c r="P469" s="2321"/>
      <c r="Q469" s="2323"/>
      <c r="R469" s="2323"/>
      <c r="S469" s="2323"/>
      <c r="T469" s="2323"/>
      <c r="U469" s="2087">
        <f t="shared" si="279"/>
        <v>2.3689999999999999E-2</v>
      </c>
      <c r="V469" s="2273"/>
      <c r="W469" s="2273"/>
      <c r="X469" s="2299">
        <f>'Home Energy Report Deemed Table'!J7</f>
        <v>1</v>
      </c>
      <c r="Y469" s="2299"/>
      <c r="Z469" s="2299">
        <f t="shared" si="300"/>
        <v>1</v>
      </c>
      <c r="AA469" s="2298" t="str">
        <f>'Home Energy Report Deemed Table'!BB7</f>
        <v/>
      </c>
      <c r="AB469" s="2919">
        <f>'Home Energy Report Deemed Table'!K7</f>
        <v>0</v>
      </c>
      <c r="AC469" s="2928">
        <f t="shared" ref="AC469:AC471" si="306">AE469+AF469</f>
        <v>2.8287942080234521</v>
      </c>
      <c r="AD469" s="2928">
        <f t="shared" ref="AD469:AD471" si="307">AG469+AH469</f>
        <v>0</v>
      </c>
      <c r="AE469" s="2957">
        <f>'Home Energy Report Deemed Table'!BD7</f>
        <v>2.8287942080234521</v>
      </c>
      <c r="AF469" s="2334"/>
      <c r="AG469" s="2334"/>
      <c r="AH469" s="2334"/>
      <c r="AI469" s="2307" t="str">
        <f>'Home Energy Report Deemed Table'!L7</f>
        <v>per report</v>
      </c>
      <c r="AM469" s="2929"/>
      <c r="AO469" s="2933"/>
    </row>
    <row r="470" spans="2:41" s="2277" customFormat="1" x14ac:dyDescent="0.25">
      <c r="B470" s="2240" t="str">
        <f>'MFMR Deemed Table '!C7</f>
        <v>500050_2019_12_</v>
      </c>
      <c r="C470" s="208" t="str">
        <f>'MFMR Deemed Table '!G7</f>
        <v>Cooling RES</v>
      </c>
      <c r="D470" s="208"/>
      <c r="E470" s="208"/>
      <c r="F470" s="208"/>
      <c r="G470" s="208" t="str">
        <f>'MFMR Deemed Table '!E7</f>
        <v>General Tune-Up (no charge or coil clean) / MFMR</v>
      </c>
      <c r="H470" s="622" t="str">
        <f>'MFMR Deemed Table '!D7</f>
        <v>MFMR</v>
      </c>
      <c r="I470" s="2320">
        <f t="shared" ref="I470" si="308">K470+L470</f>
        <v>80.33</v>
      </c>
      <c r="J470" s="2320">
        <f t="shared" ref="J470" si="309">M470+N470</f>
        <v>0</v>
      </c>
      <c r="K470" s="2113">
        <f>'MFMR Deemed Table '!F7</f>
        <v>80.33</v>
      </c>
      <c r="L470" s="2113"/>
      <c r="M470" s="2113"/>
      <c r="N470" s="2113"/>
      <c r="O470" s="2321">
        <f t="shared" ref="O470" si="310">Q470+R470</f>
        <v>7.6105999999999993E-2</v>
      </c>
      <c r="P470" s="2321">
        <f t="shared" ref="P470" si="311">S470+T470</f>
        <v>0</v>
      </c>
      <c r="Q470" s="2086">
        <f>'MFMR Deemed Table '!I7</f>
        <v>7.6105999999999993E-2</v>
      </c>
      <c r="R470" s="2086"/>
      <c r="S470" s="2086"/>
      <c r="T470" s="2086"/>
      <c r="U470" s="2087">
        <f t="shared" si="279"/>
        <v>7.6105999999999993E-2</v>
      </c>
      <c r="V470" s="2087">
        <v>0</v>
      </c>
      <c r="W470" s="2087">
        <v>0</v>
      </c>
      <c r="X470" s="2121">
        <f>'MFMR Deemed Table '!J7</f>
        <v>2</v>
      </c>
      <c r="Y470" s="2121"/>
      <c r="Z470" s="2299">
        <f t="shared" ref="Z470" si="312">Y470+X470</f>
        <v>2</v>
      </c>
      <c r="AA470" s="637">
        <f>'MFMR Deemed Table '!BB7</f>
        <v>0.20805766351048499</v>
      </c>
      <c r="AB470" s="2917">
        <f>'MFMR Deemed Table '!K7</f>
        <v>70</v>
      </c>
      <c r="AC470" s="2089">
        <f t="shared" ref="AC470" si="313">AE470+AF470</f>
        <v>13.746141053075931</v>
      </c>
      <c r="AD470" s="2089">
        <f t="shared" ref="AD470" si="314">AG470+AH470</f>
        <v>0</v>
      </c>
      <c r="AE470" s="2955">
        <f>'MFMR Deemed Table '!BD7</f>
        <v>13.746141053075931</v>
      </c>
      <c r="AF470" s="2956"/>
      <c r="AG470" s="2956"/>
      <c r="AH470" s="2956"/>
      <c r="AI470" s="2240" t="str">
        <f>'MFMR Deemed Table '!L7</f>
        <v>per measure</v>
      </c>
      <c r="AM470" s="2319">
        <f t="shared" ref="AM470:AM501" si="315">VLOOKUP(C470,$AS$10:$AT$32,2,FALSE)</f>
        <v>9.4741810000000004E-4</v>
      </c>
      <c r="AN470" s="2277">
        <f t="shared" ref="AN470" si="316">AM470*I470</f>
        <v>7.6106095972999999E-2</v>
      </c>
      <c r="AO470" s="2318">
        <f t="shared" ref="AO470" si="317">AN470-O470</f>
        <v>9.5973000005522557E-8</v>
      </c>
    </row>
    <row r="471" spans="2:41" s="2277" customFormat="1" x14ac:dyDescent="0.25">
      <c r="B471" s="2240" t="str">
        <f>'MFMR Deemed Table '!C8</f>
        <v>500051_2019_12_</v>
      </c>
      <c r="C471" s="208" t="str">
        <f>'MFMR Deemed Table '!G8</f>
        <v>Cooling RES</v>
      </c>
      <c r="D471" s="208"/>
      <c r="E471" s="208"/>
      <c r="F471" s="208"/>
      <c r="G471" s="208" t="str">
        <f>'MFMR Deemed Table '!E8</f>
        <v>General Tune-Up (no charge or coil clean) / MFMR_CompE</v>
      </c>
      <c r="H471" s="622" t="str">
        <f>'MFMR Deemed Table '!D8</f>
        <v>MFMRc</v>
      </c>
      <c r="I471" s="2320">
        <f t="shared" ref="I471" si="318">K471+L471</f>
        <v>58.42</v>
      </c>
      <c r="J471" s="2320">
        <f t="shared" ref="J471" si="319">M471+N471</f>
        <v>0</v>
      </c>
      <c r="K471" s="2113">
        <f>'MFMR Deemed Table '!F8</f>
        <v>58.42</v>
      </c>
      <c r="L471" s="2113"/>
      <c r="M471" s="2113"/>
      <c r="N471" s="2113"/>
      <c r="O471" s="2321">
        <f t="shared" ref="O471" si="320">Q471+R471</f>
        <v>5.5348000000000001E-2</v>
      </c>
      <c r="P471" s="2321">
        <f t="shared" ref="P471" si="321">S471+T471</f>
        <v>0</v>
      </c>
      <c r="Q471" s="2086">
        <f>'MFMR Deemed Table '!I8</f>
        <v>5.5348000000000001E-2</v>
      </c>
      <c r="R471" s="2086"/>
      <c r="S471" s="2086"/>
      <c r="T471" s="2086"/>
      <c r="U471" s="2087">
        <f t="shared" ref="U471" si="322">O471</f>
        <v>5.5348000000000001E-2</v>
      </c>
      <c r="V471" s="2087">
        <v>0</v>
      </c>
      <c r="W471" s="2087">
        <v>0</v>
      </c>
      <c r="X471" s="2121">
        <f>'MFMR Deemed Table '!J8</f>
        <v>2</v>
      </c>
      <c r="Y471" s="2121"/>
      <c r="Z471" s="2299">
        <f t="shared" si="300"/>
        <v>2</v>
      </c>
      <c r="AA471" s="637">
        <f>'MFMR Deemed Table '!BB8</f>
        <v>0.15130995521327692</v>
      </c>
      <c r="AB471" s="2917">
        <f>'MFMR Deemed Table '!K8</f>
        <v>70</v>
      </c>
      <c r="AC471" s="2089">
        <f t="shared" si="306"/>
        <v>9.9968823642561428</v>
      </c>
      <c r="AD471" s="2089">
        <f t="shared" si="307"/>
        <v>0</v>
      </c>
      <c r="AE471" s="2955">
        <f>'MFMR Deemed Table '!BD8</f>
        <v>9.9968823642561428</v>
      </c>
      <c r="AF471" s="2956"/>
      <c r="AG471" s="2956"/>
      <c r="AH471" s="2956"/>
      <c r="AI471" s="2240" t="str">
        <f>'MFMR Deemed Table '!L8</f>
        <v>per measure</v>
      </c>
      <c r="AM471" s="2319">
        <f t="shared" si="315"/>
        <v>9.4741810000000004E-4</v>
      </c>
      <c r="AN471" s="2277">
        <f t="shared" ref="AN471" si="323">AM471*I471</f>
        <v>5.5348165402000001E-2</v>
      </c>
      <c r="AO471" s="2318">
        <f t="shared" ref="AO471" si="324">AN471-O471</f>
        <v>1.6540199999914851E-7</v>
      </c>
    </row>
    <row r="472" spans="2:41" s="2277" customFormat="1" x14ac:dyDescent="0.25">
      <c r="B472" s="2240" t="str">
        <f>'MFMR Deemed Table '!C9</f>
        <v>500100_2019_12_</v>
      </c>
      <c r="C472" s="208" t="str">
        <f>'MFMR Deemed Table '!G9</f>
        <v>Cooling RES</v>
      </c>
      <c r="D472" s="208"/>
      <c r="E472" s="208"/>
      <c r="F472" s="208"/>
      <c r="G472" s="208" t="str">
        <f>'MFMR Deemed Table '!E9</f>
        <v>AC Tune-up / refrigerant charge / MFMR</v>
      </c>
      <c r="H472" s="622" t="str">
        <f>'MFMR Deemed Table '!D9</f>
        <v>MFMR</v>
      </c>
      <c r="I472" s="2320">
        <f t="shared" ref="I472" si="325">K472+L472</f>
        <v>335.03</v>
      </c>
      <c r="J472" s="2320">
        <f t="shared" ref="J472" si="326">M472+N472</f>
        <v>0</v>
      </c>
      <c r="K472" s="2113">
        <f>'MFMR Deemed Table '!F9</f>
        <v>335.03</v>
      </c>
      <c r="L472" s="2113"/>
      <c r="M472" s="2113"/>
      <c r="N472" s="2113"/>
      <c r="O472" s="2321">
        <f t="shared" ref="O472" si="327">Q472+R472</f>
        <v>0.317413</v>
      </c>
      <c r="P472" s="2321">
        <f t="shared" ref="P472" si="328">S472+T472</f>
        <v>0</v>
      </c>
      <c r="Q472" s="2086">
        <f>'MFMR Deemed Table '!I9</f>
        <v>0.317413</v>
      </c>
      <c r="R472" s="2086"/>
      <c r="S472" s="2086"/>
      <c r="T472" s="2086"/>
      <c r="U472" s="2087">
        <f t="shared" ref="U472" si="329">O472</f>
        <v>0.317413</v>
      </c>
      <c r="V472" s="2087">
        <v>0</v>
      </c>
      <c r="W472" s="2087">
        <v>0</v>
      </c>
      <c r="X472" s="2121">
        <f>'MFMR Deemed Table '!J9</f>
        <v>2</v>
      </c>
      <c r="Y472" s="2121"/>
      <c r="Z472" s="2299">
        <f t="shared" ref="Z472" si="330">Y472+X472</f>
        <v>2</v>
      </c>
      <c r="AA472" s="637">
        <f>'MFMR Deemed Table '!BB9</f>
        <v>0.74989881713460449</v>
      </c>
      <c r="AB472" s="2917">
        <f>'MFMR Deemed Table '!K9</f>
        <v>81</v>
      </c>
      <c r="AC472" s="2089">
        <f t="shared" ref="AC472" si="331">AE472+AF472</f>
        <v>57.330631607270377</v>
      </c>
      <c r="AD472" s="2089">
        <f t="shared" ref="AD472" si="332">AG472+AH472</f>
        <v>0</v>
      </c>
      <c r="AE472" s="2955">
        <f>'MFMR Deemed Table '!BD9</f>
        <v>57.330631607270377</v>
      </c>
      <c r="AF472" s="2956"/>
      <c r="AG472" s="2956"/>
      <c r="AH472" s="2956"/>
      <c r="AI472" s="2240" t="str">
        <f>'MFMR Deemed Table '!L9</f>
        <v>per measure</v>
      </c>
      <c r="AM472" s="2319">
        <f t="shared" si="315"/>
        <v>9.4741810000000004E-4</v>
      </c>
      <c r="AN472" s="2277">
        <f t="shared" ref="AN472" si="333">AM472*I472</f>
        <v>0.31741348604299996</v>
      </c>
      <c r="AO472" s="2318">
        <f t="shared" ref="AO472" si="334">AN472-O472</f>
        <v>4.8604299995869127E-7</v>
      </c>
    </row>
    <row r="473" spans="2:41" x14ac:dyDescent="0.25">
      <c r="B473" s="2240" t="str">
        <f>'MFMR Deemed Table '!C10</f>
        <v>500101_2019_12_</v>
      </c>
      <c r="C473" s="208" t="str">
        <f>'MFMR Deemed Table '!G10</f>
        <v>Cooling RES</v>
      </c>
      <c r="D473" s="208"/>
      <c r="E473" s="208"/>
      <c r="F473" s="208"/>
      <c r="G473" s="208" t="str">
        <f>'MFMR Deemed Table '!E10</f>
        <v>AC Tune-up / refrigerant charge / MFMR_CompE</v>
      </c>
      <c r="H473" s="622" t="str">
        <f>'MFMR Deemed Table '!D10</f>
        <v>MFMRc</v>
      </c>
      <c r="I473" s="2091">
        <f t="shared" ref="I473:I477" si="335">K473+L473</f>
        <v>243.66</v>
      </c>
      <c r="J473" s="2091">
        <f t="shared" ref="J473:J477" si="336">M473+N473</f>
        <v>0</v>
      </c>
      <c r="K473" s="2113">
        <f>'MFMR Deemed Table '!F10</f>
        <v>243.66</v>
      </c>
      <c r="L473" s="2113"/>
      <c r="M473" s="2113"/>
      <c r="N473" s="2113"/>
      <c r="O473" s="2092">
        <f t="shared" ref="O473:O477" si="337">Q473+R473</f>
        <v>0.230848</v>
      </c>
      <c r="P473" s="2092">
        <f t="shared" ref="P473:P477" si="338">S473+T473</f>
        <v>0</v>
      </c>
      <c r="Q473" s="2086">
        <f>'MFMR Deemed Table '!I10</f>
        <v>0.230848</v>
      </c>
      <c r="R473" s="2086"/>
      <c r="S473" s="2086"/>
      <c r="T473" s="2086"/>
      <c r="U473" s="2087">
        <f t="shared" si="279"/>
        <v>0.230848</v>
      </c>
      <c r="V473" s="2087">
        <v>0</v>
      </c>
      <c r="W473" s="2087">
        <v>0</v>
      </c>
      <c r="X473" s="2121">
        <f>'MFMR Deemed Table '!J10</f>
        <v>2</v>
      </c>
      <c r="Y473" s="2121"/>
      <c r="Z473" s="88">
        <f t="shared" si="280"/>
        <v>2</v>
      </c>
      <c r="AA473" s="637">
        <f>'MFMR Deemed Table '!BB10</f>
        <v>0.54538502755877905</v>
      </c>
      <c r="AB473" s="2917">
        <f>'MFMR Deemed Table '!K10</f>
        <v>81</v>
      </c>
      <c r="AC473" s="2089">
        <f t="shared" si="251"/>
        <v>41.695315934177536</v>
      </c>
      <c r="AD473" s="2089">
        <f t="shared" si="252"/>
        <v>0</v>
      </c>
      <c r="AE473" s="2955">
        <f>'MFMR Deemed Table '!BD10</f>
        <v>41.695315934177536</v>
      </c>
      <c r="AF473" s="2956"/>
      <c r="AG473" s="2956"/>
      <c r="AH473" s="2956"/>
      <c r="AI473" s="2240" t="str">
        <f>'MFMR Deemed Table '!L10</f>
        <v>per measure</v>
      </c>
      <c r="AM473" s="2057">
        <f t="shared" si="315"/>
        <v>9.4741810000000004E-4</v>
      </c>
      <c r="AN473">
        <f t="shared" si="274"/>
        <v>0.230847894246</v>
      </c>
      <c r="AO473" s="2048">
        <f t="shared" ref="AO473:AO532" si="339">AN473-O473</f>
        <v>-1.0575400000156776E-7</v>
      </c>
    </row>
    <row r="474" spans="2:41" x14ac:dyDescent="0.25">
      <c r="B474" s="2240" t="str">
        <f>'MFMR Deemed Table '!C11</f>
        <v>500150_2019_12_</v>
      </c>
      <c r="C474" s="208" t="str">
        <f>'MFMR Deemed Table '!G11</f>
        <v>Cooling RES</v>
      </c>
      <c r="D474" s="208"/>
      <c r="E474" s="208"/>
      <c r="F474" s="208"/>
      <c r="G474" s="208" t="str">
        <f>'MFMR Deemed Table '!E11</f>
        <v>Indoor Coil (Evaporator) Cleaning / MFMR</v>
      </c>
      <c r="H474" s="622" t="str">
        <f>'MFMR Deemed Table '!D11</f>
        <v>MFMR</v>
      </c>
      <c r="I474" s="2091">
        <f t="shared" si="335"/>
        <v>55.45</v>
      </c>
      <c r="J474" s="2091">
        <f t="shared" si="336"/>
        <v>0</v>
      </c>
      <c r="K474" s="2113">
        <f>'MFMR Deemed Table '!F11</f>
        <v>55.45</v>
      </c>
      <c r="L474" s="2113"/>
      <c r="M474" s="2113"/>
      <c r="N474" s="2113"/>
      <c r="O474" s="2092">
        <f t="shared" si="337"/>
        <v>5.2533999999999997E-2</v>
      </c>
      <c r="P474" s="2092">
        <f t="shared" si="338"/>
        <v>0</v>
      </c>
      <c r="Q474" s="2086">
        <f>'MFMR Deemed Table '!I11</f>
        <v>5.2533999999999997E-2</v>
      </c>
      <c r="R474" s="2086"/>
      <c r="S474" s="2086"/>
      <c r="T474" s="2086"/>
      <c r="U474" s="2087">
        <f t="shared" si="279"/>
        <v>5.2533999999999997E-2</v>
      </c>
      <c r="V474" s="2087">
        <v>0</v>
      </c>
      <c r="W474" s="2087">
        <v>0</v>
      </c>
      <c r="X474" s="2121">
        <f>'MFMR Deemed Table '!J11</f>
        <v>2</v>
      </c>
      <c r="Y474" s="2121"/>
      <c r="Z474" s="88">
        <f t="shared" si="280"/>
        <v>2</v>
      </c>
      <c r="AA474" s="637">
        <f>'MFMR Deemed Table '!BB11</f>
        <v>0.15957505071657738</v>
      </c>
      <c r="AB474" s="2917">
        <f>'MFMR Deemed Table '!K11</f>
        <v>63</v>
      </c>
      <c r="AC474" s="2089">
        <f t="shared" si="251"/>
        <v>9.4886533224581164</v>
      </c>
      <c r="AD474" s="2089">
        <f t="shared" si="252"/>
        <v>0</v>
      </c>
      <c r="AE474" s="2955">
        <f>'MFMR Deemed Table '!BD11</f>
        <v>9.4886533224581164</v>
      </c>
      <c r="AF474" s="2956"/>
      <c r="AG474" s="2956"/>
      <c r="AH474" s="2956"/>
      <c r="AI474" s="2240" t="str">
        <f>'MFMR Deemed Table '!L11</f>
        <v>per measure</v>
      </c>
      <c r="AM474" s="2057">
        <f t="shared" si="315"/>
        <v>9.4741810000000004E-4</v>
      </c>
      <c r="AN474">
        <f t="shared" si="274"/>
        <v>5.2534333645000007E-2</v>
      </c>
      <c r="AO474" s="2048">
        <f t="shared" si="339"/>
        <v>3.3364500000993003E-7</v>
      </c>
    </row>
    <row r="475" spans="2:41" x14ac:dyDescent="0.25">
      <c r="B475" s="2240" t="str">
        <f>'MFMR Deemed Table '!C12</f>
        <v>500151_2019_12_</v>
      </c>
      <c r="C475" s="208" t="str">
        <f>'MFMR Deemed Table '!G12</f>
        <v>Cooling RES</v>
      </c>
      <c r="D475" s="208"/>
      <c r="E475" s="208"/>
      <c r="F475" s="208"/>
      <c r="G475" s="208" t="str">
        <f>'MFMR Deemed Table '!E12</f>
        <v>Indoor Coil (Evaporator) Cleaning / MFMR_CompE</v>
      </c>
      <c r="H475" s="622" t="str">
        <f>'MFMR Deemed Table '!D12</f>
        <v>MFMRc</v>
      </c>
      <c r="I475" s="2091">
        <f t="shared" si="335"/>
        <v>40.33</v>
      </c>
      <c r="J475" s="2091">
        <f t="shared" si="336"/>
        <v>0</v>
      </c>
      <c r="K475" s="2113">
        <f>'MFMR Deemed Table '!F12</f>
        <v>40.33</v>
      </c>
      <c r="L475" s="2113"/>
      <c r="M475" s="2113"/>
      <c r="N475" s="2113"/>
      <c r="O475" s="2092">
        <f t="shared" si="337"/>
        <v>3.8209E-2</v>
      </c>
      <c r="P475" s="2092">
        <f t="shared" si="338"/>
        <v>0</v>
      </c>
      <c r="Q475" s="2086">
        <f>'MFMR Deemed Table '!I12</f>
        <v>3.8209E-2</v>
      </c>
      <c r="R475" s="2086"/>
      <c r="S475" s="2086"/>
      <c r="T475" s="2086"/>
      <c r="U475" s="2087">
        <f t="shared" si="279"/>
        <v>3.8209E-2</v>
      </c>
      <c r="V475" s="2087">
        <v>0</v>
      </c>
      <c r="W475" s="2087">
        <v>0</v>
      </c>
      <c r="X475" s="2121">
        <f>'MFMR Deemed Table '!J12</f>
        <v>2</v>
      </c>
      <c r="Y475" s="2121"/>
      <c r="Z475" s="88">
        <f t="shared" si="280"/>
        <v>2</v>
      </c>
      <c r="AA475" s="637">
        <f>'MFMR Deemed Table '!BB12</f>
        <v>0.1160624309359705</v>
      </c>
      <c r="AB475" s="2917">
        <f>'MFMR Deemed Table '!K12</f>
        <v>63</v>
      </c>
      <c r="AC475" s="2089">
        <f t="shared" si="251"/>
        <v>6.9013054733045225</v>
      </c>
      <c r="AD475" s="2089">
        <f t="shared" si="252"/>
        <v>0</v>
      </c>
      <c r="AE475" s="2955">
        <f>'MFMR Deemed Table '!BD12</f>
        <v>6.9013054733045225</v>
      </c>
      <c r="AF475" s="2956"/>
      <c r="AG475" s="2956"/>
      <c r="AH475" s="2956"/>
      <c r="AI475" s="2240" t="str">
        <f>'MFMR Deemed Table '!L12</f>
        <v>per measure</v>
      </c>
      <c r="AM475" s="2057">
        <f t="shared" si="315"/>
        <v>9.4741810000000004E-4</v>
      </c>
      <c r="AN475">
        <f t="shared" ref="AN475:AN509" si="340">AM475*I475</f>
        <v>3.8209371972999999E-2</v>
      </c>
      <c r="AO475" s="2048">
        <f t="shared" si="339"/>
        <v>3.7197299999902622E-7</v>
      </c>
    </row>
    <row r="476" spans="2:41" x14ac:dyDescent="0.25">
      <c r="B476" s="2240" t="str">
        <f>'MFMR Deemed Table '!C13</f>
        <v>500200_2019_12_</v>
      </c>
      <c r="C476" s="208" t="str">
        <f>'MFMR Deemed Table '!G13</f>
        <v>Cooling RES</v>
      </c>
      <c r="D476" s="208"/>
      <c r="E476" s="208"/>
      <c r="F476" s="208"/>
      <c r="G476" s="208" t="str">
        <f>'MFMR Deemed Table '!E13</f>
        <v>Outdoor Coil (Condenser) Cleaning / MFMR</v>
      </c>
      <c r="H476" s="622" t="str">
        <f>'MFMR Deemed Table '!D13</f>
        <v>MFMR</v>
      </c>
      <c r="I476" s="2091">
        <f t="shared" si="335"/>
        <v>110.9</v>
      </c>
      <c r="J476" s="2091">
        <f t="shared" si="336"/>
        <v>0</v>
      </c>
      <c r="K476" s="2113">
        <f>'MFMR Deemed Table '!F13</f>
        <v>110.9</v>
      </c>
      <c r="L476" s="2113"/>
      <c r="M476" s="2113"/>
      <c r="N476" s="2113"/>
      <c r="O476" s="2092">
        <f t="shared" si="337"/>
        <v>0.105069</v>
      </c>
      <c r="P476" s="2092">
        <f t="shared" si="338"/>
        <v>0</v>
      </c>
      <c r="Q476" s="2086">
        <f>'MFMR Deemed Table '!I13</f>
        <v>0.105069</v>
      </c>
      <c r="R476" s="2086"/>
      <c r="S476" s="2086"/>
      <c r="T476" s="2086"/>
      <c r="U476" s="2087">
        <f t="shared" si="279"/>
        <v>0.105069</v>
      </c>
      <c r="V476" s="2087">
        <v>0</v>
      </c>
      <c r="W476" s="2087">
        <v>0</v>
      </c>
      <c r="X476" s="2121">
        <f>'MFMR Deemed Table '!J13</f>
        <v>2</v>
      </c>
      <c r="Y476" s="2121"/>
      <c r="Z476" s="88">
        <f t="shared" si="280"/>
        <v>2</v>
      </c>
      <c r="AA476" s="637">
        <f>'MFMR Deemed Table '!BB13</f>
        <v>0.64859536742866941</v>
      </c>
      <c r="AB476" s="2917">
        <f>'MFMR Deemed Table '!K13</f>
        <v>31</v>
      </c>
      <c r="AC476" s="2089">
        <f t="shared" si="251"/>
        <v>18.977306644916233</v>
      </c>
      <c r="AD476" s="2089">
        <f t="shared" si="252"/>
        <v>0</v>
      </c>
      <c r="AE476" s="2955">
        <f>'MFMR Deemed Table '!BD13</f>
        <v>18.977306644916233</v>
      </c>
      <c r="AF476" s="2956"/>
      <c r="AG476" s="2956"/>
      <c r="AH476" s="2956"/>
      <c r="AI476" s="2240" t="str">
        <f>'MFMR Deemed Table '!L13</f>
        <v>per measure</v>
      </c>
      <c r="AM476" s="2057">
        <f t="shared" si="315"/>
        <v>9.4741810000000004E-4</v>
      </c>
      <c r="AN476">
        <f t="shared" si="340"/>
        <v>0.10506866729000001</v>
      </c>
      <c r="AO476" s="2048">
        <f t="shared" si="339"/>
        <v>-3.3270999998114004E-7</v>
      </c>
    </row>
    <row r="477" spans="2:41" x14ac:dyDescent="0.25">
      <c r="B477" s="2240" t="str">
        <f>'MFMR Deemed Table '!C14</f>
        <v>500201_2019_12_</v>
      </c>
      <c r="C477" s="208" t="str">
        <f>'MFMR Deemed Table '!G14</f>
        <v>Cooling RES</v>
      </c>
      <c r="D477" s="208"/>
      <c r="E477" s="208"/>
      <c r="F477" s="208"/>
      <c r="G477" s="208" t="str">
        <f>'MFMR Deemed Table '!E14</f>
        <v>Outdoor Coil (Condenser) Cleaning / MFMR_CompE</v>
      </c>
      <c r="H477" s="622" t="str">
        <f>'MFMR Deemed Table '!D14</f>
        <v>MFMRc</v>
      </c>
      <c r="I477" s="2091">
        <f t="shared" si="335"/>
        <v>80.66</v>
      </c>
      <c r="J477" s="2091">
        <f t="shared" si="336"/>
        <v>0</v>
      </c>
      <c r="K477" s="2113">
        <f>'MFMR Deemed Table '!F14</f>
        <v>80.66</v>
      </c>
      <c r="L477" s="2113"/>
      <c r="M477" s="2113"/>
      <c r="N477" s="2113"/>
      <c r="O477" s="2092">
        <f t="shared" si="337"/>
        <v>7.6419000000000001E-2</v>
      </c>
      <c r="P477" s="2092">
        <f t="shared" si="338"/>
        <v>0</v>
      </c>
      <c r="Q477" s="2086">
        <f>'MFMR Deemed Table '!I14</f>
        <v>7.6419000000000001E-2</v>
      </c>
      <c r="R477" s="2086"/>
      <c r="S477" s="2086"/>
      <c r="T477" s="2086"/>
      <c r="U477" s="2087">
        <f t="shared" si="279"/>
        <v>7.6419000000000001E-2</v>
      </c>
      <c r="V477" s="2087">
        <v>0</v>
      </c>
      <c r="W477" s="2087">
        <v>0</v>
      </c>
      <c r="X477" s="2121">
        <f>'MFMR Deemed Table '!J14</f>
        <v>2</v>
      </c>
      <c r="Y477" s="2121"/>
      <c r="Z477" s="88">
        <f t="shared" si="280"/>
        <v>2</v>
      </c>
      <c r="AA477" s="637">
        <f>'MFMR Deemed Table '!BB14</f>
        <v>0.47173762251394469</v>
      </c>
      <c r="AB477" s="2917">
        <f>'MFMR Deemed Table '!K14</f>
        <v>31</v>
      </c>
      <c r="AC477" s="2089">
        <f t="shared" si="251"/>
        <v>13.802610946609045</v>
      </c>
      <c r="AD477" s="2089">
        <f t="shared" si="252"/>
        <v>0</v>
      </c>
      <c r="AE477" s="2955">
        <f>'MFMR Deemed Table '!BD14</f>
        <v>13.802610946609045</v>
      </c>
      <c r="AF477" s="2956"/>
      <c r="AG477" s="2956"/>
      <c r="AH477" s="2956"/>
      <c r="AI477" s="2240" t="str">
        <f>'MFMR Deemed Table '!L14</f>
        <v>per measure</v>
      </c>
      <c r="AM477" s="2057">
        <f t="shared" si="315"/>
        <v>9.4741810000000004E-4</v>
      </c>
      <c r="AN477">
        <f t="shared" si="340"/>
        <v>7.6418743945999998E-2</v>
      </c>
      <c r="AO477" s="2048">
        <f t="shared" si="339"/>
        <v>-2.5605400000294765E-7</v>
      </c>
    </row>
    <row r="478" spans="2:41" x14ac:dyDescent="0.25">
      <c r="B478" s="2240" t="str">
        <f>'MFMR Deemed Table '!C40</f>
        <v>500250_2019_12_</v>
      </c>
      <c r="C478" s="208" t="str">
        <f>'MFMR Deemed Table '!G40</f>
        <v>Building Shell RES</v>
      </c>
      <c r="D478" s="208"/>
      <c r="E478" s="208"/>
      <c r="F478" s="208"/>
      <c r="G478" s="208" t="str">
        <f>'MFMR Deemed Table '!E40</f>
        <v>Ceiling Insulation R11-R49 MFMR electric furnace base</v>
      </c>
      <c r="H478" s="622" t="str">
        <f>'MFMR Deemed Table '!D40</f>
        <v>MFMR</v>
      </c>
      <c r="I478" s="2084">
        <f>'MFMR Deemed Table '!F40</f>
        <v>1.06</v>
      </c>
      <c r="J478" s="2084"/>
      <c r="K478" s="2113"/>
      <c r="L478" s="2113"/>
      <c r="M478" s="2113"/>
      <c r="N478" s="2113"/>
      <c r="O478" s="2085">
        <f>'MFMR Deemed Table '!K40</f>
        <v>4.9399999999999997E-4</v>
      </c>
      <c r="P478" s="2085"/>
      <c r="Q478" s="2086"/>
      <c r="R478" s="2086"/>
      <c r="S478" s="2086"/>
      <c r="T478" s="2086"/>
      <c r="U478" s="2087"/>
      <c r="V478" s="2087"/>
      <c r="W478" s="2087">
        <f t="shared" ref="W478:W487" si="341">O478</f>
        <v>4.9399999999999997E-4</v>
      </c>
      <c r="X478" s="2121">
        <f>'MFMR Deemed Table '!L40</f>
        <v>25</v>
      </c>
      <c r="Y478" s="2121"/>
      <c r="Z478" s="88">
        <f t="shared" si="280"/>
        <v>25</v>
      </c>
      <c r="AA478" s="637">
        <f>'MFMR Deemed Table '!BB40</f>
        <v>0.73564454661671597</v>
      </c>
      <c r="AB478" s="2917">
        <f>'MFMR Deemed Table '!M40</f>
        <v>2.1249043458397581</v>
      </c>
      <c r="AC478" s="2089">
        <f t="shared" si="251"/>
        <v>1.4753886683333441</v>
      </c>
      <c r="AD478" s="2089">
        <f t="shared" si="252"/>
        <v>0</v>
      </c>
      <c r="AE478" s="2955">
        <f>'MFMR Deemed Table '!BD40</f>
        <v>1.4753886683333441</v>
      </c>
      <c r="AF478" s="2956"/>
      <c r="AG478" s="2956"/>
      <c r="AH478" s="2956"/>
      <c r="AI478" s="2240" t="str">
        <f>'MFMR Deemed Table '!N39</f>
        <v>Units - area of ceiling/attic (ft2)</v>
      </c>
      <c r="AM478" s="2057">
        <f t="shared" si="315"/>
        <v>4.6608050000000002E-4</v>
      </c>
      <c r="AN478">
        <f t="shared" si="340"/>
        <v>4.9404533000000001E-4</v>
      </c>
      <c r="AO478" s="2048">
        <f t="shared" si="339"/>
        <v>4.5330000000040442E-8</v>
      </c>
    </row>
    <row r="479" spans="2:41" x14ac:dyDescent="0.25">
      <c r="B479" s="2240" t="str">
        <f>'MFMR Deemed Table '!C41</f>
        <v>500300_2019_12_</v>
      </c>
      <c r="C479" s="208" t="str">
        <f>'MFMR Deemed Table '!G41</f>
        <v>Building Shell RES</v>
      </c>
      <c r="D479" s="208"/>
      <c r="E479" s="208"/>
      <c r="F479" s="208"/>
      <c r="G479" s="208" t="str">
        <f>'MFMR Deemed Table '!E41</f>
        <v>Ceiling Insulation R11-R49 MFMR gas heat and electric cool base</v>
      </c>
      <c r="H479" s="622" t="str">
        <f>'MFMR Deemed Table '!D41</f>
        <v>MFMR</v>
      </c>
      <c r="I479" s="2084">
        <f>'MFMR Deemed Table '!F41</f>
        <v>0.53</v>
      </c>
      <c r="J479" s="2084"/>
      <c r="K479" s="2113"/>
      <c r="L479" s="2113"/>
      <c r="M479" s="2113"/>
      <c r="N479" s="2113"/>
      <c r="O479" s="2085">
        <f>'MFMR Deemed Table '!K41</f>
        <v>2.4699999999999999E-4</v>
      </c>
      <c r="P479" s="2085"/>
      <c r="Q479" s="2086"/>
      <c r="R479" s="2086"/>
      <c r="S479" s="2086"/>
      <c r="T479" s="2086"/>
      <c r="U479" s="2087"/>
      <c r="V479" s="2087"/>
      <c r="W479" s="2087">
        <f t="shared" si="341"/>
        <v>2.4699999999999999E-4</v>
      </c>
      <c r="X479" s="2121">
        <f>'MFMR Deemed Table '!L41</f>
        <v>25</v>
      </c>
      <c r="Y479" s="2121"/>
      <c r="Z479" s="88">
        <f t="shared" si="280"/>
        <v>25</v>
      </c>
      <c r="AA479" s="637">
        <f>'MFMR Deemed Table '!BB41</f>
        <v>0.36782227330835798</v>
      </c>
      <c r="AB479" s="2917">
        <f>'MFMR Deemed Table '!M41</f>
        <v>2.1249043458397581</v>
      </c>
      <c r="AC479" s="2089">
        <f t="shared" si="251"/>
        <v>0.73769433416667207</v>
      </c>
      <c r="AD479" s="2089">
        <f t="shared" si="252"/>
        <v>0</v>
      </c>
      <c r="AE479" s="2955">
        <f>'MFMR Deemed Table '!BD41</f>
        <v>0.73769433416667207</v>
      </c>
      <c r="AF479" s="2956"/>
      <c r="AG479" s="2956"/>
      <c r="AH479" s="2956"/>
      <c r="AI479" s="2256" t="str">
        <f>AI478</f>
        <v>Units - area of ceiling/attic (ft2)</v>
      </c>
      <c r="AM479" s="2057">
        <f t="shared" si="315"/>
        <v>4.6608050000000002E-4</v>
      </c>
      <c r="AN479">
        <f t="shared" si="340"/>
        <v>2.4702266500000001E-4</v>
      </c>
      <c r="AO479" s="2048">
        <f t="shared" si="339"/>
        <v>2.2665000000020221E-8</v>
      </c>
    </row>
    <row r="480" spans="2:41" x14ac:dyDescent="0.25">
      <c r="B480" s="2240" t="str">
        <f>'MFMR Deemed Table '!C42</f>
        <v>500350_2019_12_</v>
      </c>
      <c r="C480" s="208" t="str">
        <f>'MFMR Deemed Table '!G42</f>
        <v>Building Shell RES</v>
      </c>
      <c r="D480" s="208"/>
      <c r="E480" s="208"/>
      <c r="F480" s="208"/>
      <c r="G480" s="208" t="str">
        <f>'MFMR Deemed Table '!E42</f>
        <v>Ceiling Insulation R5-R30 MFMR electric furnace base</v>
      </c>
      <c r="H480" s="622" t="str">
        <f>'MFMR Deemed Table '!D42</f>
        <v>MFMR</v>
      </c>
      <c r="I480" s="2084">
        <f>'MFMR Deemed Table '!F42</f>
        <v>1.71</v>
      </c>
      <c r="J480" s="2084"/>
      <c r="K480" s="2113"/>
      <c r="L480" s="2113"/>
      <c r="M480" s="2113"/>
      <c r="N480" s="2113"/>
      <c r="O480" s="2085">
        <f>'MFMR Deemed Table '!K42</f>
        <v>7.9699999999999997E-4</v>
      </c>
      <c r="P480" s="2085"/>
      <c r="Q480" s="2086"/>
      <c r="R480" s="2086"/>
      <c r="S480" s="2086"/>
      <c r="T480" s="2086"/>
      <c r="U480" s="2087"/>
      <c r="V480" s="2087"/>
      <c r="W480" s="2087">
        <f t="shared" si="341"/>
        <v>7.9699999999999997E-4</v>
      </c>
      <c r="X480" s="2121">
        <f>'MFMR Deemed Table '!L42</f>
        <v>25</v>
      </c>
      <c r="Y480" s="2121"/>
      <c r="Z480" s="88">
        <f t="shared" si="280"/>
        <v>25</v>
      </c>
      <c r="AA480" s="637">
        <f>'MFMR Deemed Table '!BB42</f>
        <v>2.1680871992176587</v>
      </c>
      <c r="AB480" s="2917">
        <f>'MFMR Deemed Table '!M42</f>
        <v>1.1631103074141049</v>
      </c>
      <c r="AC480" s="2089">
        <f t="shared" si="251"/>
        <v>2.3801081347641682</v>
      </c>
      <c r="AD480" s="2089">
        <f t="shared" si="252"/>
        <v>0</v>
      </c>
      <c r="AE480" s="2955">
        <f>'MFMR Deemed Table '!BD42</f>
        <v>2.3801081347641682</v>
      </c>
      <c r="AF480" s="2956"/>
      <c r="AG480" s="2956"/>
      <c r="AH480" s="2956"/>
      <c r="AI480" s="2256" t="str">
        <f t="shared" ref="AI480:AI487" si="342">AI479</f>
        <v>Units - area of ceiling/attic (ft2)</v>
      </c>
      <c r="AM480" s="2057">
        <f t="shared" si="315"/>
        <v>4.6608050000000002E-4</v>
      </c>
      <c r="AN480">
        <f t="shared" si="340"/>
        <v>7.9699765500000001E-4</v>
      </c>
      <c r="AO480" s="2048">
        <f t="shared" si="339"/>
        <v>-2.3449999999539811E-9</v>
      </c>
    </row>
    <row r="481" spans="2:41" x14ac:dyDescent="0.25">
      <c r="B481" s="2240" t="str">
        <f>'MFMR Deemed Table '!C43</f>
        <v>500400_2019_12_</v>
      </c>
      <c r="C481" s="208" t="str">
        <f>'MFMR Deemed Table '!G43</f>
        <v>Building Shell RES</v>
      </c>
      <c r="D481" s="208"/>
      <c r="E481" s="208"/>
      <c r="F481" s="208"/>
      <c r="G481" s="208" t="str">
        <f>'MFMR Deemed Table '!E43</f>
        <v>Ceiling Insulation R5-R30 MFMR gas heat and electric cool base</v>
      </c>
      <c r="H481" s="622" t="str">
        <f>'MFMR Deemed Table '!D43</f>
        <v>MFMR</v>
      </c>
      <c r="I481" s="2084">
        <f>'MFMR Deemed Table '!F43</f>
        <v>0.86</v>
      </c>
      <c r="J481" s="2084"/>
      <c r="K481" s="2113"/>
      <c r="L481" s="2113"/>
      <c r="M481" s="2113"/>
      <c r="N481" s="2113"/>
      <c r="O481" s="2085">
        <f>'MFMR Deemed Table '!K43</f>
        <v>4.0099999999999999E-4</v>
      </c>
      <c r="P481" s="2085"/>
      <c r="Q481" s="2086"/>
      <c r="R481" s="2086"/>
      <c r="S481" s="2086"/>
      <c r="T481" s="2086"/>
      <c r="U481" s="2087"/>
      <c r="V481" s="2087"/>
      <c r="W481" s="2087">
        <f t="shared" si="341"/>
        <v>4.0099999999999999E-4</v>
      </c>
      <c r="X481" s="2121">
        <f>'MFMR Deemed Table '!L43</f>
        <v>25</v>
      </c>
      <c r="Y481" s="2121"/>
      <c r="Z481" s="88">
        <f t="shared" si="280"/>
        <v>25</v>
      </c>
      <c r="AA481" s="637">
        <f>'MFMR Deemed Table '!BB43</f>
        <v>1.0903830358638518</v>
      </c>
      <c r="AB481" s="2917">
        <f>'MFMR Deemed Table '!M43</f>
        <v>1.1631103074141049</v>
      </c>
      <c r="AC481" s="2089">
        <f t="shared" ref="AC481:AC548" si="343">AE481+AF481</f>
        <v>1.1970134478930905</v>
      </c>
      <c r="AD481" s="2089">
        <f t="shared" ref="AD481:AD548" si="344">AG481+AH481</f>
        <v>0</v>
      </c>
      <c r="AE481" s="2955">
        <f>'MFMR Deemed Table '!BD43</f>
        <v>1.1970134478930905</v>
      </c>
      <c r="AF481" s="2956"/>
      <c r="AG481" s="2956"/>
      <c r="AH481" s="2956"/>
      <c r="AI481" s="2256" t="str">
        <f t="shared" si="342"/>
        <v>Units - area of ceiling/attic (ft2)</v>
      </c>
      <c r="AM481" s="2057">
        <f t="shared" si="315"/>
        <v>4.6608050000000002E-4</v>
      </c>
      <c r="AN481">
        <f t="shared" si="340"/>
        <v>4.0082923000000001E-4</v>
      </c>
      <c r="AO481" s="2048">
        <f t="shared" si="339"/>
        <v>-1.7076999999997939E-7</v>
      </c>
    </row>
    <row r="482" spans="2:41" x14ac:dyDescent="0.25">
      <c r="B482" s="2240" t="str">
        <f>'MFMR Deemed Table '!C44</f>
        <v>500450_2019_12_</v>
      </c>
      <c r="C482" s="208" t="str">
        <f>'MFMR Deemed Table '!G44</f>
        <v>Building Shell RES</v>
      </c>
      <c r="D482" s="208"/>
      <c r="E482" s="208"/>
      <c r="F482" s="208"/>
      <c r="G482" s="208" t="str">
        <f>'MFMR Deemed Table '!E44</f>
        <v>Ceiling Insulation R5-R38 MFMR electric furnace base</v>
      </c>
      <c r="H482" s="622" t="str">
        <f>'MFMR Deemed Table '!D44</f>
        <v>MFMR</v>
      </c>
      <c r="I482" s="2084">
        <f>'MFMR Deemed Table '!F44</f>
        <v>1.84</v>
      </c>
      <c r="J482" s="2084"/>
      <c r="K482" s="2113"/>
      <c r="L482" s="2113"/>
      <c r="M482" s="2113"/>
      <c r="N482" s="2113"/>
      <c r="O482" s="2085">
        <f>'MFMR Deemed Table '!K44</f>
        <v>8.5800000000000004E-4</v>
      </c>
      <c r="P482" s="2085"/>
      <c r="Q482" s="2086"/>
      <c r="R482" s="2086"/>
      <c r="S482" s="2086"/>
      <c r="T482" s="2086"/>
      <c r="U482" s="2087"/>
      <c r="V482" s="2087"/>
      <c r="W482" s="2087">
        <f t="shared" si="341"/>
        <v>8.5800000000000004E-4</v>
      </c>
      <c r="X482" s="2121">
        <f>'MFMR Deemed Table '!L44</f>
        <v>25</v>
      </c>
      <c r="Y482" s="2121"/>
      <c r="Z482" s="88">
        <f t="shared" si="280"/>
        <v>25</v>
      </c>
      <c r="AA482" s="637">
        <f>'MFMR Deemed Table '!BB44</f>
        <v>1.6141399677218247</v>
      </c>
      <c r="AB482" s="2917">
        <f>'MFMR Deemed Table '!M44</f>
        <v>1.6810404785088331</v>
      </c>
      <c r="AC482" s="2089">
        <f t="shared" si="343"/>
        <v>2.5610520280503333</v>
      </c>
      <c r="AD482" s="2089">
        <f t="shared" si="344"/>
        <v>0</v>
      </c>
      <c r="AE482" s="2955">
        <f>'MFMR Deemed Table '!BD44</f>
        <v>2.5610520280503333</v>
      </c>
      <c r="AF482" s="2956"/>
      <c r="AG482" s="2956"/>
      <c r="AH482" s="2956"/>
      <c r="AI482" s="2256" t="str">
        <f t="shared" si="342"/>
        <v>Units - area of ceiling/attic (ft2)</v>
      </c>
      <c r="AM482" s="2057">
        <f t="shared" si="315"/>
        <v>4.6608050000000002E-4</v>
      </c>
      <c r="AN482">
        <f t="shared" si="340"/>
        <v>8.5758812000000012E-4</v>
      </c>
      <c r="AO482" s="2048">
        <f t="shared" si="339"/>
        <v>-4.1187999999991922E-7</v>
      </c>
    </row>
    <row r="483" spans="2:41" x14ac:dyDescent="0.25">
      <c r="B483" s="2240" t="str">
        <f>'MFMR Deemed Table '!C45</f>
        <v>500500_2019_12_</v>
      </c>
      <c r="C483" s="208" t="str">
        <f>'MFMR Deemed Table '!G45</f>
        <v>Building Shell RES</v>
      </c>
      <c r="D483" s="208"/>
      <c r="E483" s="208"/>
      <c r="F483" s="208"/>
      <c r="G483" s="208" t="str">
        <f>'MFMR Deemed Table '!E45</f>
        <v>Ceiling Insulation R5-R38 MFMR gas heat and electric cool base</v>
      </c>
      <c r="H483" s="622" t="str">
        <f>'MFMR Deemed Table '!D45</f>
        <v>MFMR</v>
      </c>
      <c r="I483" s="2084">
        <f>'MFMR Deemed Table '!F45</f>
        <v>0.93</v>
      </c>
      <c r="J483" s="2084"/>
      <c r="K483" s="2113"/>
      <c r="L483" s="2113"/>
      <c r="M483" s="2113"/>
      <c r="N483" s="2113"/>
      <c r="O483" s="2085">
        <f>'MFMR Deemed Table '!K45</f>
        <v>4.3300000000000001E-4</v>
      </c>
      <c r="P483" s="2085"/>
      <c r="Q483" s="2086"/>
      <c r="R483" s="2086"/>
      <c r="S483" s="2086"/>
      <c r="T483" s="2086"/>
      <c r="U483" s="2087"/>
      <c r="V483" s="2087"/>
      <c r="W483" s="2087">
        <f t="shared" si="341"/>
        <v>4.3300000000000001E-4</v>
      </c>
      <c r="X483" s="2121">
        <f>'MFMR Deemed Table '!L45</f>
        <v>25</v>
      </c>
      <c r="Y483" s="2121"/>
      <c r="Z483" s="88">
        <f t="shared" si="280"/>
        <v>25</v>
      </c>
      <c r="AA483" s="637">
        <f>'MFMR Deemed Table '!BB45</f>
        <v>0.8158424836854874</v>
      </c>
      <c r="AB483" s="2917">
        <f>'MFMR Deemed Table '!M45</f>
        <v>1.6810404785088331</v>
      </c>
      <c r="AC483" s="2089">
        <f t="shared" si="343"/>
        <v>1.2944447750471793</v>
      </c>
      <c r="AD483" s="2089">
        <f t="shared" si="344"/>
        <v>0</v>
      </c>
      <c r="AE483" s="2955">
        <f>'MFMR Deemed Table '!BD45</f>
        <v>1.2944447750471793</v>
      </c>
      <c r="AF483" s="2956"/>
      <c r="AG483" s="2956"/>
      <c r="AH483" s="2956"/>
      <c r="AI483" s="2256" t="str">
        <f t="shared" si="342"/>
        <v>Units - area of ceiling/attic (ft2)</v>
      </c>
      <c r="AM483" s="2057">
        <f t="shared" si="315"/>
        <v>4.6608050000000002E-4</v>
      </c>
      <c r="AN483">
        <f t="shared" si="340"/>
        <v>4.3345486500000001E-4</v>
      </c>
      <c r="AO483" s="2048">
        <f t="shared" si="339"/>
        <v>4.5486500000000568E-7</v>
      </c>
    </row>
    <row r="484" spans="2:41" x14ac:dyDescent="0.25">
      <c r="B484" s="2240" t="str">
        <f>'MFMR Deemed Table '!C46</f>
        <v>500550_2019_12_</v>
      </c>
      <c r="C484" s="208" t="str">
        <f>'MFMR Deemed Table '!G46</f>
        <v>Building Shell RES</v>
      </c>
      <c r="D484" s="208"/>
      <c r="E484" s="208"/>
      <c r="F484" s="208"/>
      <c r="G484" s="208" t="str">
        <f>'MFMR Deemed Table '!E46</f>
        <v>Ceiling Insulation R5-R49 MFMR electric furnace base</v>
      </c>
      <c r="H484" s="622" t="str">
        <f>'MFMR Deemed Table '!D46</f>
        <v>MFMR</v>
      </c>
      <c r="I484" s="2084">
        <f>'MFMR Deemed Table '!F46</f>
        <v>1.96</v>
      </c>
      <c r="J484" s="2084"/>
      <c r="K484" s="2113"/>
      <c r="L484" s="2113"/>
      <c r="M484" s="2113"/>
      <c r="N484" s="2113"/>
      <c r="O484" s="2085">
        <f>'MFMR Deemed Table '!K46</f>
        <v>9.1399999999999999E-4</v>
      </c>
      <c r="P484" s="2085"/>
      <c r="Q484" s="2086"/>
      <c r="R484" s="2086"/>
      <c r="S484" s="2086"/>
      <c r="T484" s="2086"/>
      <c r="U484" s="2087"/>
      <c r="V484" s="2087"/>
      <c r="W484" s="2087">
        <f t="shared" si="341"/>
        <v>9.1399999999999999E-4</v>
      </c>
      <c r="X484" s="2121">
        <f>'MFMR Deemed Table '!L46</f>
        <v>25</v>
      </c>
      <c r="Y484" s="2121"/>
      <c r="Z484" s="88">
        <f t="shared" si="280"/>
        <v>25</v>
      </c>
      <c r="AA484" s="637">
        <f>'MFMR Deemed Table '!BB46</f>
        <v>1.1252122422118687</v>
      </c>
      <c r="AB484" s="2917">
        <f>'MFMR Deemed Table '!M46</f>
        <v>2.568757824454027</v>
      </c>
      <c r="AC484" s="2089">
        <f t="shared" si="343"/>
        <v>2.7280771603144851</v>
      </c>
      <c r="AD484" s="2089">
        <f t="shared" si="344"/>
        <v>0</v>
      </c>
      <c r="AE484" s="2955">
        <f>'MFMR Deemed Table '!BD46</f>
        <v>2.7280771603144851</v>
      </c>
      <c r="AF484" s="2956"/>
      <c r="AG484" s="2956"/>
      <c r="AH484" s="2956"/>
      <c r="AI484" s="2256" t="str">
        <f t="shared" si="342"/>
        <v>Units - area of ceiling/attic (ft2)</v>
      </c>
      <c r="AM484" s="2057">
        <f t="shared" si="315"/>
        <v>4.6608050000000002E-4</v>
      </c>
      <c r="AN484">
        <f t="shared" si="340"/>
        <v>9.1351778E-4</v>
      </c>
      <c r="AO484" s="2048">
        <f t="shared" si="339"/>
        <v>-4.8221999999998807E-7</v>
      </c>
    </row>
    <row r="485" spans="2:41" x14ac:dyDescent="0.25">
      <c r="B485" s="2240" t="str">
        <f>'MFMR Deemed Table '!C47</f>
        <v>500600_2019_12_</v>
      </c>
      <c r="C485" s="208" t="str">
        <f>'MFMR Deemed Table '!G47</f>
        <v>Building Shell RES</v>
      </c>
      <c r="D485" s="208"/>
      <c r="E485" s="208"/>
      <c r="F485" s="208"/>
      <c r="G485" s="208" t="str">
        <f>'MFMR Deemed Table '!E47</f>
        <v>Ceiling Insulation R5-R49 MFMR gas heat and electric cool base</v>
      </c>
      <c r="H485" s="622" t="str">
        <f>'MFMR Deemed Table '!D47</f>
        <v>MFMR</v>
      </c>
      <c r="I485" s="2084">
        <f>'MFMR Deemed Table '!F47</f>
        <v>0.99</v>
      </c>
      <c r="J485" s="2084"/>
      <c r="K485" s="2113"/>
      <c r="L485" s="2113"/>
      <c r="M485" s="2113"/>
      <c r="N485" s="2113"/>
      <c r="O485" s="2085">
        <f>'MFMR Deemed Table '!K47</f>
        <v>4.6099999999999998E-4</v>
      </c>
      <c r="P485" s="2085"/>
      <c r="Q485" s="2086"/>
      <c r="R485" s="2086"/>
      <c r="S485" s="2086"/>
      <c r="T485" s="2086"/>
      <c r="U485" s="2087"/>
      <c r="V485" s="2087"/>
      <c r="W485" s="2087">
        <f t="shared" si="341"/>
        <v>4.6099999999999998E-4</v>
      </c>
      <c r="X485" s="2121">
        <f>'MFMR Deemed Table '!L47</f>
        <v>25</v>
      </c>
      <c r="Y485" s="2121"/>
      <c r="Z485" s="88">
        <f t="shared" si="280"/>
        <v>25</v>
      </c>
      <c r="AA485" s="637">
        <f>'MFMR Deemed Table '!BB47</f>
        <v>0.56834699989272963</v>
      </c>
      <c r="AB485" s="2917">
        <f>'MFMR Deemed Table '!M47</f>
        <v>2.568757824454027</v>
      </c>
      <c r="AC485" s="2089">
        <f t="shared" si="343"/>
        <v>1.3779573411792554</v>
      </c>
      <c r="AD485" s="2089">
        <f t="shared" si="344"/>
        <v>0</v>
      </c>
      <c r="AE485" s="2955">
        <f>'MFMR Deemed Table '!BD47</f>
        <v>1.3779573411792554</v>
      </c>
      <c r="AF485" s="2956"/>
      <c r="AG485" s="2956"/>
      <c r="AH485" s="2956"/>
      <c r="AI485" s="2256" t="str">
        <f t="shared" si="342"/>
        <v>Units - area of ceiling/attic (ft2)</v>
      </c>
      <c r="AM485" s="2057">
        <f t="shared" si="315"/>
        <v>4.6608050000000002E-4</v>
      </c>
      <c r="AN485">
        <f t="shared" si="340"/>
        <v>4.6141969500000001E-4</v>
      </c>
      <c r="AO485" s="2048">
        <f t="shared" si="339"/>
        <v>4.1969500000002546E-7</v>
      </c>
    </row>
    <row r="486" spans="2:41" x14ac:dyDescent="0.25">
      <c r="B486" s="2240" t="str">
        <f>'MFMR Deemed Table '!C48</f>
        <v>500650_2019_12_</v>
      </c>
      <c r="C486" s="208" t="str">
        <f>'MFMR Deemed Table '!G48</f>
        <v>Building Shell RES</v>
      </c>
      <c r="D486" s="208"/>
      <c r="E486" s="208"/>
      <c r="F486" s="208"/>
      <c r="G486" s="208" t="str">
        <f>'MFMR Deemed Table '!E48</f>
        <v>Ceiling Insulation R5-R60 MFMR electric furnace base</v>
      </c>
      <c r="H486" s="622" t="str">
        <f>'MFMR Deemed Table '!D48</f>
        <v>MFMR</v>
      </c>
      <c r="I486" s="2084">
        <f>'MFMR Deemed Table '!F48</f>
        <v>2.0299999999999998</v>
      </c>
      <c r="J486" s="2084"/>
      <c r="K486" s="2113"/>
      <c r="L486" s="2113"/>
      <c r="M486" s="2113"/>
      <c r="N486" s="2113"/>
      <c r="O486" s="2085">
        <f>'MFMR Deemed Table '!K48</f>
        <v>9.4600000000000001E-4</v>
      </c>
      <c r="P486" s="2085"/>
      <c r="Q486" s="2086"/>
      <c r="R486" s="2086"/>
      <c r="S486" s="2086"/>
      <c r="T486" s="2086"/>
      <c r="U486" s="2087"/>
      <c r="V486" s="2087"/>
      <c r="W486" s="2087">
        <f t="shared" si="341"/>
        <v>9.4600000000000001E-4</v>
      </c>
      <c r="X486" s="2121">
        <f>'MFMR Deemed Table '!L48</f>
        <v>25</v>
      </c>
      <c r="Y486" s="2121"/>
      <c r="Z486" s="88">
        <f t="shared" si="280"/>
        <v>25</v>
      </c>
      <c r="AA486" s="637">
        <f>'MFMR Deemed Table '!BB48</f>
        <v>0.87422987318422674</v>
      </c>
      <c r="AB486" s="2917">
        <f>'MFMR Deemed Table '!M48</f>
        <v>3.424301015440256</v>
      </c>
      <c r="AC486" s="2089">
        <f t="shared" si="343"/>
        <v>2.8255084874685736</v>
      </c>
      <c r="AD486" s="2089">
        <f t="shared" si="344"/>
        <v>0</v>
      </c>
      <c r="AE486" s="2955">
        <f>'MFMR Deemed Table '!BD48</f>
        <v>2.8255084874685736</v>
      </c>
      <c r="AF486" s="2956"/>
      <c r="AG486" s="2956"/>
      <c r="AH486" s="2956"/>
      <c r="AI486" s="2256" t="str">
        <f t="shared" si="342"/>
        <v>Units - area of ceiling/attic (ft2)</v>
      </c>
      <c r="AM486" s="2057">
        <f t="shared" si="315"/>
        <v>4.6608050000000002E-4</v>
      </c>
      <c r="AN486">
        <f t="shared" si="340"/>
        <v>9.4614341499999995E-4</v>
      </c>
      <c r="AO486" s="2048">
        <f t="shared" si="339"/>
        <v>1.4341499999994279E-7</v>
      </c>
    </row>
    <row r="487" spans="2:41" x14ac:dyDescent="0.25">
      <c r="B487" s="2240" t="str">
        <f>'MFMR Deemed Table '!C49</f>
        <v>500700_2019_12_</v>
      </c>
      <c r="C487" s="208" t="str">
        <f>'MFMR Deemed Table '!G49</f>
        <v>Building Shell RES</v>
      </c>
      <c r="D487" s="208"/>
      <c r="E487" s="208"/>
      <c r="F487" s="208"/>
      <c r="G487" s="208" t="str">
        <f>'MFMR Deemed Table '!E49</f>
        <v>Ceiling Insulation R5-R60 MFMR gas heat and electric cool base</v>
      </c>
      <c r="H487" s="622" t="str">
        <f>'MFMR Deemed Table '!D49</f>
        <v>MFMR</v>
      </c>
      <c r="I487" s="2084">
        <f>'MFMR Deemed Table '!F49</f>
        <v>1.02</v>
      </c>
      <c r="J487" s="2084"/>
      <c r="K487" s="2113"/>
      <c r="L487" s="2113"/>
      <c r="M487" s="2113"/>
      <c r="N487" s="2113"/>
      <c r="O487" s="2085">
        <f>'MFMR Deemed Table '!K49</f>
        <v>4.75E-4</v>
      </c>
      <c r="P487" s="2085"/>
      <c r="Q487" s="2086"/>
      <c r="R487" s="2086"/>
      <c r="S487" s="2086"/>
      <c r="T487" s="2086"/>
      <c r="U487" s="2087"/>
      <c r="V487" s="2087"/>
      <c r="W487" s="2087">
        <f t="shared" si="341"/>
        <v>4.75E-4</v>
      </c>
      <c r="X487" s="2121">
        <f>'MFMR Deemed Table '!L49</f>
        <v>25</v>
      </c>
      <c r="Y487" s="2121"/>
      <c r="Z487" s="88">
        <f t="shared" si="280"/>
        <v>25</v>
      </c>
      <c r="AA487" s="637">
        <f>'MFMR Deemed Table '!BB49</f>
        <v>0.43926821214182832</v>
      </c>
      <c r="AB487" s="2917">
        <f>'MFMR Deemed Table '!M49</f>
        <v>3.424301015440256</v>
      </c>
      <c r="AC487" s="2089">
        <f t="shared" si="343"/>
        <v>1.4197136242452935</v>
      </c>
      <c r="AD487" s="2089">
        <f t="shared" si="344"/>
        <v>0</v>
      </c>
      <c r="AE487" s="2955">
        <f>'MFMR Deemed Table '!BD49</f>
        <v>1.4197136242452935</v>
      </c>
      <c r="AF487" s="2956"/>
      <c r="AG487" s="2956"/>
      <c r="AH487" s="2956"/>
      <c r="AI487" s="2256" t="str">
        <f t="shared" si="342"/>
        <v>Units - area of ceiling/attic (ft2)</v>
      </c>
      <c r="AM487" s="2057">
        <f t="shared" si="315"/>
        <v>4.6608050000000002E-4</v>
      </c>
      <c r="AN487">
        <f t="shared" si="340"/>
        <v>4.7540211000000003E-4</v>
      </c>
      <c r="AO487" s="2048">
        <f t="shared" si="339"/>
        <v>4.0211000000003536E-7</v>
      </c>
    </row>
    <row r="488" spans="2:41" x14ac:dyDescent="0.25">
      <c r="B488" s="2240" t="str">
        <f>'MFMR Deemed Table '!C162</f>
        <v>500750_2019_12_</v>
      </c>
      <c r="C488" s="208" t="str">
        <f>'MFMR Deemed Table '!G162</f>
        <v>HVAC RES</v>
      </c>
      <c r="D488" s="208"/>
      <c r="E488" s="208"/>
      <c r="F488" s="208"/>
      <c r="G488" s="208" t="str">
        <f>'MFMR Deemed Table '!E162</f>
        <v>Dirty Filter Alarm_MFMR</v>
      </c>
      <c r="H488" s="622" t="str">
        <f>'MFMR Deemed Table '!D162</f>
        <v>MFMR</v>
      </c>
      <c r="I488" s="2084">
        <f>'MFMR Deemed Table '!F162</f>
        <v>79.2</v>
      </c>
      <c r="J488" s="2084"/>
      <c r="K488" s="2113"/>
      <c r="L488" s="2113"/>
      <c r="M488" s="2113"/>
      <c r="N488" s="2113"/>
      <c r="O488" s="2085">
        <f>'MFMR Deemed Table '!K162</f>
        <v>3.6914000000000002E-2</v>
      </c>
      <c r="P488" s="2085"/>
      <c r="Q488" s="2086"/>
      <c r="R488" s="2086"/>
      <c r="S488" s="2086"/>
      <c r="T488" s="2086"/>
      <c r="U488" s="2087"/>
      <c r="V488" s="2087">
        <f>O488</f>
        <v>3.6914000000000002E-2</v>
      </c>
      <c r="W488" s="2087"/>
      <c r="X488" s="2121">
        <f>'MFMR Deemed Table '!L162</f>
        <v>14</v>
      </c>
      <c r="Y488" s="2121"/>
      <c r="Z488" s="88">
        <f t="shared" si="280"/>
        <v>14</v>
      </c>
      <c r="AA488" s="637">
        <f>'MFMR Deemed Table '!BB162</f>
        <v>14.901460188305345</v>
      </c>
      <c r="AB488" s="2917">
        <f>'MFMR Deemed Table '!M162</f>
        <v>5</v>
      </c>
      <c r="AC488" s="2089">
        <f t="shared" si="343"/>
        <v>70.323077811728851</v>
      </c>
      <c r="AD488" s="2089">
        <f t="shared" si="344"/>
        <v>0</v>
      </c>
      <c r="AE488" s="2955">
        <f>'MFMR Deemed Table '!BD162</f>
        <v>70.323077811728851</v>
      </c>
      <c r="AF488" s="2956"/>
      <c r="AG488" s="2956"/>
      <c r="AH488" s="2956"/>
      <c r="AI488" s="2257" t="str">
        <f>'MFMR Deemed Table '!N162</f>
        <v>per measure</v>
      </c>
      <c r="AM488" s="2057">
        <f t="shared" si="315"/>
        <v>4.6608050000000002E-4</v>
      </c>
      <c r="AN488">
        <f t="shared" si="340"/>
        <v>3.6913575600000005E-2</v>
      </c>
      <c r="AO488" s="2048">
        <f t="shared" si="339"/>
        <v>-4.243999999972714E-7</v>
      </c>
    </row>
    <row r="489" spans="2:41" x14ac:dyDescent="0.25">
      <c r="B489" s="2240" t="str">
        <f>'MFMR Deemed Table '!C163</f>
        <v>500751_2019_12_</v>
      </c>
      <c r="C489" s="208" t="str">
        <f>'MFMR Deemed Table '!G163</f>
        <v>HVAC RES</v>
      </c>
      <c r="D489" s="208"/>
      <c r="E489" s="208"/>
      <c r="F489" s="208"/>
      <c r="G489" s="208" t="str">
        <f>'MFMR Deemed Table '!E163</f>
        <v>Dirty Filter Alarm_MFMR_CompE</v>
      </c>
      <c r="H489" s="622" t="str">
        <f>'MFMR Deemed Table '!D163</f>
        <v>MFMRc</v>
      </c>
      <c r="I489" s="2084">
        <f>'MFMR Deemed Table '!F163</f>
        <v>38.24</v>
      </c>
      <c r="J489" s="2084"/>
      <c r="K489" s="2113"/>
      <c r="L489" s="2113"/>
      <c r="M489" s="2113"/>
      <c r="N489" s="2113"/>
      <c r="O489" s="2085">
        <f>'MFMR Deemed Table '!K163</f>
        <v>1.7822999999999999E-2</v>
      </c>
      <c r="P489" s="2085"/>
      <c r="Q489" s="2086"/>
      <c r="R489" s="2086"/>
      <c r="S489" s="2086"/>
      <c r="T489" s="2086"/>
      <c r="U489" s="2087"/>
      <c r="V489" s="2087">
        <f>O489</f>
        <v>1.7822999999999999E-2</v>
      </c>
      <c r="W489" s="2087"/>
      <c r="X489" s="2121">
        <f>'MFMR Deemed Table '!L163</f>
        <v>14</v>
      </c>
      <c r="Y489" s="2121"/>
      <c r="Z489" s="88">
        <f t="shared" si="280"/>
        <v>14</v>
      </c>
      <c r="AA489" s="637">
        <f>'MFMR Deemed Table '!BB163</f>
        <v>7.1948464343534893</v>
      </c>
      <c r="AB489" s="2917">
        <f>'MFMR Deemed Table '!M163</f>
        <v>5</v>
      </c>
      <c r="AC489" s="2089">
        <f t="shared" si="343"/>
        <v>33.953970903036755</v>
      </c>
      <c r="AD489" s="2089">
        <f t="shared" si="344"/>
        <v>0</v>
      </c>
      <c r="AE489" s="2955">
        <f>'MFMR Deemed Table '!BD163</f>
        <v>33.953970903036755</v>
      </c>
      <c r="AF489" s="2956"/>
      <c r="AG489" s="2956"/>
      <c r="AH489" s="2956"/>
      <c r="AI489" s="2257" t="str">
        <f>'MFMR Deemed Table '!N163</f>
        <v>per measure</v>
      </c>
      <c r="AM489" s="2057">
        <f t="shared" si="315"/>
        <v>4.6608050000000002E-4</v>
      </c>
      <c r="AN489">
        <f t="shared" si="340"/>
        <v>1.7822918320000002E-2</v>
      </c>
      <c r="AO489" s="2048">
        <f t="shared" si="339"/>
        <v>-8.1679999996281394E-8</v>
      </c>
    </row>
    <row r="490" spans="2:41" x14ac:dyDescent="0.25">
      <c r="B490" s="2240" t="str">
        <f>'MFMR Deemed Table '!C193</f>
        <v>500800_2019_12_</v>
      </c>
      <c r="C490" s="208" t="str">
        <f>'MFMR Deemed Table '!G193</f>
        <v>HVAC RES</v>
      </c>
      <c r="D490" s="208" t="str">
        <f>'MFMR Deemed Table '!G194</f>
        <v>HVAC RES ER2</v>
      </c>
      <c r="E490" s="208"/>
      <c r="F490" s="208"/>
      <c r="G490" s="208" t="str">
        <f>'MFMR Deemed Table '!E193</f>
        <v>ECM Auto Fan Early Replacement ER1 (Full Cost) - MFMR</v>
      </c>
      <c r="H490" s="622" t="str">
        <f>'MFMR Deemed Table '!D193</f>
        <v>MFMR</v>
      </c>
      <c r="I490" s="2084">
        <f>'MFMR Deemed Table '!F193</f>
        <v>582</v>
      </c>
      <c r="J490" s="2084">
        <f>'MFMR Deemed Table '!F194</f>
        <v>582</v>
      </c>
      <c r="K490" s="2113"/>
      <c r="L490" s="2113"/>
      <c r="M490" s="2113"/>
      <c r="N490" s="2113"/>
      <c r="O490" s="2085">
        <f>'MFMR Deemed Table '!M193</f>
        <v>0.27125899999999997</v>
      </c>
      <c r="P490" s="2085">
        <f>'MFMR Deemed Table '!M194</f>
        <v>0.27125899999999997</v>
      </c>
      <c r="Q490" s="2086"/>
      <c r="R490" s="2086"/>
      <c r="S490" s="2086"/>
      <c r="T490" s="2086"/>
      <c r="U490" s="2087"/>
      <c r="V490" s="2087"/>
      <c r="W490" s="2095">
        <f>P490</f>
        <v>0.27125899999999997</v>
      </c>
      <c r="X490" s="2121">
        <f>'MFMR Deemed Table '!N193</f>
        <v>6</v>
      </c>
      <c r="Y490" s="2121">
        <f>'MFMR Deemed Table '!N194</f>
        <v>12</v>
      </c>
      <c r="Z490" s="88">
        <f t="shared" si="280"/>
        <v>18</v>
      </c>
      <c r="AA490" s="2098">
        <f>'MFMR Deemed Table '!BB193</f>
        <v>9.106187302806509</v>
      </c>
      <c r="AB490" s="2917">
        <f>'MFMR Deemed Table '!O193</f>
        <v>74.327224020150311</v>
      </c>
      <c r="AC490" s="2089">
        <f t="shared" si="343"/>
        <v>214.66614365077814</v>
      </c>
      <c r="AD490" s="2089">
        <f t="shared" si="344"/>
        <v>424.16125004921963</v>
      </c>
      <c r="AE490" s="2959">
        <f>'MFMR Deemed Table '!BD193</f>
        <v>214.66614365077814</v>
      </c>
      <c r="AF490" s="2956"/>
      <c r="AG490" s="2958">
        <f>'MFMR Deemed Table '!BD194</f>
        <v>424.16125004921963</v>
      </c>
      <c r="AH490" s="2956"/>
      <c r="AI490" s="2252" t="str">
        <f>'MFMR Deemed Table '!P193</f>
        <v>per measure</v>
      </c>
      <c r="AM490" s="2057">
        <f t="shared" si="315"/>
        <v>4.6608050000000002E-4</v>
      </c>
      <c r="AN490">
        <f t="shared" si="340"/>
        <v>0.27125885100000002</v>
      </c>
      <c r="AO490" s="2048">
        <f t="shared" si="339"/>
        <v>-1.4899999994932855E-7</v>
      </c>
    </row>
    <row r="491" spans="2:41" x14ac:dyDescent="0.25">
      <c r="B491" s="2240" t="str">
        <f>'MFMR Deemed Table '!C239</f>
        <v>500850_2019_12_</v>
      </c>
      <c r="C491" s="208" t="str">
        <f>'MFMR Deemed Table '!G239</f>
        <v>Lighting RES</v>
      </c>
      <c r="D491" s="208"/>
      <c r="E491" s="208"/>
      <c r="F491" s="208"/>
      <c r="G491" s="208" t="str">
        <f>'MFMR Deemed Table '!E239</f>
        <v>LED - 10W (CFL baseline) (750-1049 lumens)</v>
      </c>
      <c r="H491" s="622" t="str">
        <f>'MFMR Deemed Table '!D239</f>
        <v>MFMR</v>
      </c>
      <c r="I491" s="2084">
        <f>'MFMR Deemed Table '!F239</f>
        <v>4.1100000000000003</v>
      </c>
      <c r="J491" s="2084"/>
      <c r="K491" s="2113"/>
      <c r="L491" s="2113"/>
      <c r="M491" s="2113"/>
      <c r="N491" s="2113"/>
      <c r="O491" s="2085">
        <f>'MFMR Deemed Table '!M239</f>
        <v>6.1300000000000005E-4</v>
      </c>
      <c r="P491" s="2085"/>
      <c r="Q491" s="2086"/>
      <c r="R491" s="2086"/>
      <c r="S491" s="2086"/>
      <c r="T491" s="2086"/>
      <c r="U491" s="2087"/>
      <c r="V491" s="2087"/>
      <c r="W491" s="2087">
        <f>O491</f>
        <v>6.1300000000000005E-4</v>
      </c>
      <c r="X491" s="2121">
        <f>'MFMR Deemed Table '!N239</f>
        <v>19</v>
      </c>
      <c r="Y491" s="2121"/>
      <c r="Z491" s="88">
        <f t="shared" si="280"/>
        <v>19</v>
      </c>
      <c r="AA491" s="637">
        <f>'MFMR Deemed Table '!BB239</f>
        <v>1.256579415716806</v>
      </c>
      <c r="AB491" s="2917">
        <f>'MFMR Deemed Table '!P239</f>
        <v>2.0299999999999998</v>
      </c>
      <c r="AC491" s="2089">
        <f t="shared" si="343"/>
        <v>2.407603788489963</v>
      </c>
      <c r="AD491" s="2089">
        <f t="shared" si="344"/>
        <v>0</v>
      </c>
      <c r="AE491" s="2955">
        <f>'MFMR Deemed Table '!BD239</f>
        <v>2.407603788489963</v>
      </c>
      <c r="AF491" s="2956"/>
      <c r="AG491" s="2956"/>
      <c r="AH491" s="2956"/>
      <c r="AI491" s="2250" t="str">
        <f>'MFMR Deemed Table '!Q239</f>
        <v>per measure</v>
      </c>
      <c r="AM491" s="2057">
        <f t="shared" si="315"/>
        <v>1.4925290000000001E-4</v>
      </c>
      <c r="AN491">
        <f t="shared" si="340"/>
        <v>6.1342941900000003E-4</v>
      </c>
      <c r="AO491" s="2048">
        <f t="shared" si="339"/>
        <v>4.2941899999998472E-7</v>
      </c>
    </row>
    <row r="492" spans="2:41" x14ac:dyDescent="0.25">
      <c r="B492" s="2240" t="str">
        <f>'MFMR Deemed Table '!C240</f>
        <v>500900_2019_12_</v>
      </c>
      <c r="C492" s="208" t="str">
        <f>'MFMR Deemed Table '!G240</f>
        <v>Lighting RES</v>
      </c>
      <c r="D492" s="208"/>
      <c r="E492" s="208"/>
      <c r="F492" s="208"/>
      <c r="G492" s="208" t="str">
        <f>'MFMR Deemed Table '!E240</f>
        <v>LED - 10W (Halogen baseline) (750-1049 lumens)</v>
      </c>
      <c r="H492" s="622" t="str">
        <f>'MFMR Deemed Table '!D240</f>
        <v>MFMR</v>
      </c>
      <c r="I492" s="2084">
        <f>'MFMR Deemed Table '!F240</f>
        <v>23.12</v>
      </c>
      <c r="J492" s="2084"/>
      <c r="K492" s="2113"/>
      <c r="L492" s="2113"/>
      <c r="M492" s="2113"/>
      <c r="N492" s="2113"/>
      <c r="O492" s="2085">
        <f>'MFMR Deemed Table '!M240</f>
        <v>3.4510000000000001E-3</v>
      </c>
      <c r="P492" s="2085"/>
      <c r="Q492" s="2086"/>
      <c r="R492" s="2086"/>
      <c r="S492" s="2086"/>
      <c r="T492" s="2086"/>
      <c r="U492" s="2087"/>
      <c r="V492" s="2087"/>
      <c r="W492" s="2087">
        <f t="shared" ref="W492:W504" si="345">O492</f>
        <v>3.4510000000000001E-3</v>
      </c>
      <c r="X492" s="2121">
        <f>'MFMR Deemed Table '!N240</f>
        <v>19</v>
      </c>
      <c r="Y492" s="2121"/>
      <c r="Z492" s="88">
        <f t="shared" si="280"/>
        <v>19</v>
      </c>
      <c r="AA492" s="637">
        <f>'MFMR Deemed Table '!BB240</f>
        <v>7.0686413847621781</v>
      </c>
      <c r="AB492" s="2917">
        <f>'MFMR Deemed Table '!P240</f>
        <v>2.0299999999999998</v>
      </c>
      <c r="AC492" s="2089">
        <f t="shared" si="343"/>
        <v>13.54350354985108</v>
      </c>
      <c r="AD492" s="2089">
        <f t="shared" si="344"/>
        <v>0</v>
      </c>
      <c r="AE492" s="2955">
        <f>'MFMR Deemed Table '!BD240</f>
        <v>13.54350354985108</v>
      </c>
      <c r="AF492" s="2956"/>
      <c r="AG492" s="2956"/>
      <c r="AH492" s="2956"/>
      <c r="AI492" s="2250" t="str">
        <f>'MFMR Deemed Table '!Q240</f>
        <v>per measure</v>
      </c>
      <c r="AM492" s="2057">
        <f t="shared" si="315"/>
        <v>1.4925290000000001E-4</v>
      </c>
      <c r="AN492">
        <f t="shared" si="340"/>
        <v>3.4507270480000005E-3</v>
      </c>
      <c r="AO492" s="2048">
        <f t="shared" si="339"/>
        <v>-2.7295199999961134E-7</v>
      </c>
    </row>
    <row r="493" spans="2:41" x14ac:dyDescent="0.25">
      <c r="B493" s="2240" t="str">
        <f>'MFMR Deemed Table '!C241</f>
        <v>500950_2019_12_</v>
      </c>
      <c r="C493" s="208" t="str">
        <f>'MFMR Deemed Table '!G241</f>
        <v>Lighting RES</v>
      </c>
      <c r="D493" s="208"/>
      <c r="E493" s="208"/>
      <c r="F493" s="208"/>
      <c r="G493" s="208" t="str">
        <f>'MFMR Deemed Table '!E241</f>
        <v>LED - 12W Dimmable Light Bulb (Replacing CFL)</v>
      </c>
      <c r="H493" s="622" t="str">
        <f>'MFMR Deemed Table '!D241</f>
        <v>MFMR</v>
      </c>
      <c r="I493" s="2084">
        <f>'MFMR Deemed Table '!F241</f>
        <v>5.46</v>
      </c>
      <c r="J493" s="2084"/>
      <c r="K493" s="2113"/>
      <c r="L493" s="2113"/>
      <c r="M493" s="2113"/>
      <c r="N493" s="2113"/>
      <c r="O493" s="2085">
        <f>'MFMR Deemed Table '!M241</f>
        <v>8.1499999999999997E-4</v>
      </c>
      <c r="P493" s="2085"/>
      <c r="Q493" s="2086"/>
      <c r="R493" s="2086"/>
      <c r="S493" s="2086"/>
      <c r="T493" s="2086"/>
      <c r="U493" s="2087"/>
      <c r="V493" s="2087"/>
      <c r="W493" s="2087">
        <f t="shared" si="345"/>
        <v>8.1499999999999997E-4</v>
      </c>
      <c r="X493" s="2121">
        <f>'MFMR Deemed Table '!N241</f>
        <v>19</v>
      </c>
      <c r="Y493" s="2121"/>
      <c r="Z493" s="88">
        <f t="shared" si="280"/>
        <v>19</v>
      </c>
      <c r="AA493" s="637">
        <f>'MFMR Deemed Table '!BB241</f>
        <v>0.81853350070653241</v>
      </c>
      <c r="AB493" s="2917">
        <f>'MFMR Deemed Table '!P241</f>
        <v>4.1399999999999997</v>
      </c>
      <c r="AC493" s="2089">
        <f t="shared" si="343"/>
        <v>3.1984225511326509</v>
      </c>
      <c r="AD493" s="2089">
        <f t="shared" si="344"/>
        <v>0</v>
      </c>
      <c r="AE493" s="2955">
        <f>'MFMR Deemed Table '!BD241</f>
        <v>3.1984225511326509</v>
      </c>
      <c r="AF493" s="2956"/>
      <c r="AG493" s="2956"/>
      <c r="AH493" s="2956"/>
      <c r="AI493" s="2250" t="str">
        <f>'MFMR Deemed Table '!Q241</f>
        <v>per measure</v>
      </c>
      <c r="AM493" s="2057">
        <f t="shared" si="315"/>
        <v>1.4925290000000001E-4</v>
      </c>
      <c r="AN493">
        <f t="shared" si="340"/>
        <v>8.1492083400000004E-4</v>
      </c>
      <c r="AO493" s="2048">
        <f t="shared" si="339"/>
        <v>-7.9165999999930049E-8</v>
      </c>
    </row>
    <row r="494" spans="2:41" x14ac:dyDescent="0.25">
      <c r="B494" s="2240" t="str">
        <f>'MFMR Deemed Table '!C242</f>
        <v>501000_2019_12_</v>
      </c>
      <c r="C494" s="208" t="str">
        <f>'MFMR Deemed Table '!G242</f>
        <v>Lighting RES</v>
      </c>
      <c r="D494" s="208"/>
      <c r="E494" s="208"/>
      <c r="F494" s="208"/>
      <c r="G494" s="208" t="str">
        <f>'MFMR Deemed Table '!E242</f>
        <v>LED - 12W Dimmable Light Bulb (Replacing Specialty Incandescent)</v>
      </c>
      <c r="H494" s="622" t="str">
        <f>'MFMR Deemed Table '!D242</f>
        <v>MFMR</v>
      </c>
      <c r="I494" s="2084">
        <f>'MFMR Deemed Table '!F242</f>
        <v>42.87</v>
      </c>
      <c r="J494" s="2084"/>
      <c r="K494" s="2113"/>
      <c r="L494" s="2113"/>
      <c r="M494" s="2113"/>
      <c r="N494" s="2113"/>
      <c r="O494" s="2085">
        <f>'MFMR Deemed Table '!M242</f>
        <v>6.3990000000000002E-3</v>
      </c>
      <c r="P494" s="2085"/>
      <c r="Q494" s="2086"/>
      <c r="R494" s="2086"/>
      <c r="S494" s="2086"/>
      <c r="T494" s="2086"/>
      <c r="U494" s="2087"/>
      <c r="V494" s="2087"/>
      <c r="W494" s="2087">
        <f t="shared" si="345"/>
        <v>6.3990000000000002E-3</v>
      </c>
      <c r="X494" s="2121">
        <f>'MFMR Deemed Table '!N242</f>
        <v>19</v>
      </c>
      <c r="Y494" s="2121"/>
      <c r="Z494" s="88">
        <f t="shared" si="280"/>
        <v>19</v>
      </c>
      <c r="AA494" s="637">
        <f>'MFMR Deemed Table '!BB242</f>
        <v>6.4268372115914003</v>
      </c>
      <c r="AB494" s="2917">
        <f>'MFMR Deemed Table '!P242</f>
        <v>4.1399999999999997</v>
      </c>
      <c r="AC494" s="2089">
        <f t="shared" si="343"/>
        <v>25.112889151475596</v>
      </c>
      <c r="AD494" s="2089">
        <f t="shared" si="344"/>
        <v>0</v>
      </c>
      <c r="AE494" s="2955">
        <f>'MFMR Deemed Table '!BD242</f>
        <v>25.112889151475596</v>
      </c>
      <c r="AF494" s="2956"/>
      <c r="AG494" s="2956"/>
      <c r="AH494" s="2956"/>
      <c r="AI494" s="2250" t="str">
        <f>'MFMR Deemed Table '!Q242</f>
        <v>per measure</v>
      </c>
      <c r="AM494" s="2057">
        <f t="shared" si="315"/>
        <v>1.4925290000000001E-4</v>
      </c>
      <c r="AN494">
        <f t="shared" si="340"/>
        <v>6.3984718229999999E-3</v>
      </c>
      <c r="AO494" s="2048">
        <f t="shared" si="339"/>
        <v>-5.2817700000023365E-7</v>
      </c>
    </row>
    <row r="495" spans="2:41" x14ac:dyDescent="0.25">
      <c r="B495" s="2240" t="str">
        <f>'MFMR Deemed Table '!C243</f>
        <v>501050_2019_12_</v>
      </c>
      <c r="C495" s="208" t="str">
        <f>'MFMR Deemed Table '!G243</f>
        <v>Lighting RES</v>
      </c>
      <c r="D495" s="208"/>
      <c r="E495" s="208"/>
      <c r="F495" s="208"/>
      <c r="G495" s="208" t="str">
        <f>'MFMR Deemed Table '!E243</f>
        <v>LED - 12W (Halogen baseline)</v>
      </c>
      <c r="H495" s="622" t="str">
        <f>'MFMR Deemed Table '!D243</f>
        <v>MFMR</v>
      </c>
      <c r="I495" s="2084">
        <f>'MFMR Deemed Table '!F243</f>
        <v>22.49</v>
      </c>
      <c r="J495" s="2084"/>
      <c r="K495" s="2113"/>
      <c r="L495" s="2113"/>
      <c r="M495" s="2113"/>
      <c r="N495" s="2113"/>
      <c r="O495" s="2085">
        <f>'MFMR Deemed Table '!M243</f>
        <v>3.3570000000000002E-3</v>
      </c>
      <c r="P495" s="2085"/>
      <c r="Q495" s="2086"/>
      <c r="R495" s="2086"/>
      <c r="S495" s="2086"/>
      <c r="T495" s="2086"/>
      <c r="U495" s="2087"/>
      <c r="V495" s="2087"/>
      <c r="W495" s="2087">
        <f t="shared" si="345"/>
        <v>3.3570000000000002E-3</v>
      </c>
      <c r="X495" s="2121">
        <f>'MFMR Deemed Table '!N243</f>
        <v>19</v>
      </c>
      <c r="Y495" s="2121"/>
      <c r="Z495" s="88">
        <f t="shared" si="280"/>
        <v>19</v>
      </c>
      <c r="AA495" s="637">
        <f>'MFMR Deemed Table '!BB243</f>
        <v>2.9572743335150959</v>
      </c>
      <c r="AB495" s="2917">
        <f>'MFMR Deemed Table '!P243</f>
        <v>4.72</v>
      </c>
      <c r="AC495" s="2089">
        <f t="shared" si="343"/>
        <v>13.174454793951156</v>
      </c>
      <c r="AD495" s="2089">
        <f t="shared" si="344"/>
        <v>0</v>
      </c>
      <c r="AE495" s="2955">
        <f>'MFMR Deemed Table '!BD243</f>
        <v>13.174454793951156</v>
      </c>
      <c r="AF495" s="2956"/>
      <c r="AG495" s="2956"/>
      <c r="AH495" s="2956"/>
      <c r="AI495" s="2250" t="str">
        <f>'MFMR Deemed Table '!Q243</f>
        <v>per measure</v>
      </c>
      <c r="AM495" s="2057">
        <f t="shared" si="315"/>
        <v>1.4925290000000001E-4</v>
      </c>
      <c r="AN495">
        <f t="shared" si="340"/>
        <v>3.3566977209999998E-3</v>
      </c>
      <c r="AO495" s="2048">
        <f t="shared" si="339"/>
        <v>-3.0227900000038763E-7</v>
      </c>
    </row>
    <row r="496" spans="2:41" x14ac:dyDescent="0.25">
      <c r="B496" s="2240" t="str">
        <f>'MFMR Deemed Table '!C244</f>
        <v>501100_2019_12_</v>
      </c>
      <c r="C496" s="208" t="str">
        <f>'MFMR Deemed Table '!G244</f>
        <v>Lighting RES</v>
      </c>
      <c r="D496" s="208"/>
      <c r="E496" s="208"/>
      <c r="F496" s="208"/>
      <c r="G496" s="208" t="str">
        <f>'MFMR Deemed Table '!E244</f>
        <v>LED - 12W (Replacing CFL)</v>
      </c>
      <c r="H496" s="622" t="str">
        <f>'MFMR Deemed Table '!D244</f>
        <v>MFMR</v>
      </c>
      <c r="I496" s="2084">
        <f>'MFMR Deemed Table '!F244</f>
        <v>5.46</v>
      </c>
      <c r="J496" s="2084"/>
      <c r="K496" s="2113"/>
      <c r="L496" s="2113"/>
      <c r="M496" s="2113"/>
      <c r="N496" s="2113"/>
      <c r="O496" s="2085">
        <f>'MFMR Deemed Table '!M244</f>
        <v>8.1499999999999997E-4</v>
      </c>
      <c r="P496" s="2085"/>
      <c r="Q496" s="2086"/>
      <c r="R496" s="2086"/>
      <c r="S496" s="2086"/>
      <c r="T496" s="2086"/>
      <c r="U496" s="2087"/>
      <c r="V496" s="2087"/>
      <c r="W496" s="2087">
        <f t="shared" si="345"/>
        <v>8.1499999999999997E-4</v>
      </c>
      <c r="X496" s="2121">
        <f>'MFMR Deemed Table '!N244</f>
        <v>19</v>
      </c>
      <c r="Y496" s="2121"/>
      <c r="Z496" s="88">
        <f t="shared" si="280"/>
        <v>19</v>
      </c>
      <c r="AA496" s="637">
        <f>'MFMR Deemed Table '!BB244</f>
        <v>0.71795099426378062</v>
      </c>
      <c r="AB496" s="2917">
        <f>'MFMR Deemed Table '!P244</f>
        <v>4.72</v>
      </c>
      <c r="AC496" s="2089">
        <f t="shared" si="343"/>
        <v>3.1984225511326509</v>
      </c>
      <c r="AD496" s="2089">
        <f t="shared" si="344"/>
        <v>0</v>
      </c>
      <c r="AE496" s="2955">
        <f>'MFMR Deemed Table '!BD244</f>
        <v>3.1984225511326509</v>
      </c>
      <c r="AF496" s="2956"/>
      <c r="AG496" s="2956"/>
      <c r="AH496" s="2956"/>
      <c r="AI496" s="2250" t="str">
        <f>'MFMR Deemed Table '!Q244</f>
        <v>per measure</v>
      </c>
      <c r="AM496" s="2057">
        <f t="shared" si="315"/>
        <v>1.4925290000000001E-4</v>
      </c>
      <c r="AN496">
        <f t="shared" si="340"/>
        <v>8.1492083400000004E-4</v>
      </c>
      <c r="AO496" s="2048">
        <f t="shared" si="339"/>
        <v>-7.9165999999930049E-8</v>
      </c>
    </row>
    <row r="497" spans="2:41" x14ac:dyDescent="0.25">
      <c r="B497" s="2240" t="str">
        <f>'MFMR Deemed Table '!C245</f>
        <v>501150_2019_12_</v>
      </c>
      <c r="C497" s="208" t="str">
        <f>'MFMR Deemed Table '!G245</f>
        <v>Lighting RES</v>
      </c>
      <c r="D497" s="208"/>
      <c r="E497" s="208"/>
      <c r="F497" s="208"/>
      <c r="G497" s="208" t="str">
        <f>'MFMR Deemed Table '!E245</f>
        <v>LED - 15W (Halogen baseline) (1050-1489 lumens)</v>
      </c>
      <c r="H497" s="622" t="str">
        <f>'MFMR Deemed Table '!D245</f>
        <v>MFMR</v>
      </c>
      <c r="I497" s="2084">
        <f>'MFMR Deemed Table '!F245</f>
        <v>27.23</v>
      </c>
      <c r="J497" s="2084"/>
      <c r="K497" s="2113"/>
      <c r="L497" s="2113"/>
      <c r="M497" s="2113"/>
      <c r="N497" s="2113"/>
      <c r="O497" s="2085">
        <f>'MFMR Deemed Table '!M245</f>
        <v>4.0639999999999999E-3</v>
      </c>
      <c r="P497" s="2085"/>
      <c r="Q497" s="2086"/>
      <c r="R497" s="2086"/>
      <c r="S497" s="2086"/>
      <c r="T497" s="2086"/>
      <c r="U497" s="2087"/>
      <c r="V497" s="2087"/>
      <c r="W497" s="2087">
        <f t="shared" si="345"/>
        <v>4.0639999999999999E-3</v>
      </c>
      <c r="X497" s="2121">
        <f>'MFMR Deemed Table '!N245</f>
        <v>19</v>
      </c>
      <c r="Y497" s="2121"/>
      <c r="Z497" s="88">
        <f t="shared" si="280"/>
        <v>19</v>
      </c>
      <c r="AA497" s="637">
        <f>'MFMR Deemed Table '!BB245</f>
        <v>2.6954064154660826</v>
      </c>
      <c r="AB497" s="2917">
        <f>'MFMR Deemed Table '!P245</f>
        <v>6.27</v>
      </c>
      <c r="AC497" s="2089">
        <f t="shared" si="343"/>
        <v>15.951107338341043</v>
      </c>
      <c r="AD497" s="2089">
        <f t="shared" si="344"/>
        <v>0</v>
      </c>
      <c r="AE497" s="2955">
        <f>'MFMR Deemed Table '!BD245</f>
        <v>15.951107338341043</v>
      </c>
      <c r="AF497" s="2956"/>
      <c r="AG497" s="2956"/>
      <c r="AH497" s="2956"/>
      <c r="AI497" s="2250" t="str">
        <f>'MFMR Deemed Table '!Q245</f>
        <v>per measure</v>
      </c>
      <c r="AM497" s="2057">
        <f t="shared" si="315"/>
        <v>1.4925290000000001E-4</v>
      </c>
      <c r="AN497">
        <f t="shared" si="340"/>
        <v>4.0641564670000005E-3</v>
      </c>
      <c r="AO497" s="2048">
        <f t="shared" si="339"/>
        <v>1.5646700000059022E-7</v>
      </c>
    </row>
    <row r="498" spans="2:41" x14ac:dyDescent="0.25">
      <c r="B498" s="2240" t="str">
        <f>'MFMR Deemed Table '!C246</f>
        <v>501200_2019_12_</v>
      </c>
      <c r="C498" s="208" t="str">
        <f>'MFMR Deemed Table '!G246</f>
        <v>Lighting RES</v>
      </c>
      <c r="D498" s="208"/>
      <c r="E498" s="208"/>
      <c r="F498" s="208"/>
      <c r="G498" s="208" t="str">
        <f>'MFMR Deemed Table '!E246</f>
        <v>LED - 15W (CFL baseline) (1050-1489 lumens)</v>
      </c>
      <c r="H498" s="622" t="str">
        <f>'MFMR Deemed Table '!D246</f>
        <v>MFMR</v>
      </c>
      <c r="I498" s="2084">
        <f>'MFMR Deemed Table '!F246</f>
        <v>5.33</v>
      </c>
      <c r="J498" s="2084"/>
      <c r="K498" s="2113"/>
      <c r="L498" s="2113"/>
      <c r="M498" s="2113"/>
      <c r="N498" s="2113"/>
      <c r="O498" s="2085">
        <f>'MFMR Deemed Table '!M246</f>
        <v>7.9600000000000005E-4</v>
      </c>
      <c r="P498" s="2085"/>
      <c r="Q498" s="2086"/>
      <c r="R498" s="2086"/>
      <c r="S498" s="2086"/>
      <c r="T498" s="2086"/>
      <c r="U498" s="2087"/>
      <c r="V498" s="2087"/>
      <c r="W498" s="2087">
        <f t="shared" si="345"/>
        <v>7.9600000000000005E-4</v>
      </c>
      <c r="X498" s="2121">
        <f>'MFMR Deemed Table '!N246</f>
        <v>19</v>
      </c>
      <c r="Y498" s="2121"/>
      <c r="Z498" s="88">
        <f t="shared" si="280"/>
        <v>19</v>
      </c>
      <c r="AA498" s="637">
        <f>'MFMR Deemed Table '!BB246</f>
        <v>0.52759883196600144</v>
      </c>
      <c r="AB498" s="2917">
        <f>'MFMR Deemed Table '!P246</f>
        <v>6.27</v>
      </c>
      <c r="AC498" s="2089">
        <f t="shared" si="343"/>
        <v>3.1222696332485405</v>
      </c>
      <c r="AD498" s="2089">
        <f t="shared" si="344"/>
        <v>0</v>
      </c>
      <c r="AE498" s="2955">
        <f>'MFMR Deemed Table '!BD246</f>
        <v>3.1222696332485405</v>
      </c>
      <c r="AF498" s="2956"/>
      <c r="AG498" s="2956"/>
      <c r="AH498" s="2956"/>
      <c r="AI498" s="2250" t="str">
        <f>'MFMR Deemed Table '!Q246</f>
        <v>per measure</v>
      </c>
      <c r="AM498" s="2057">
        <f t="shared" si="315"/>
        <v>1.4925290000000001E-4</v>
      </c>
      <c r="AN498">
        <f t="shared" si="340"/>
        <v>7.95517957E-4</v>
      </c>
      <c r="AO498" s="2048">
        <f t="shared" si="339"/>
        <v>-4.8204300000004481E-7</v>
      </c>
    </row>
    <row r="499" spans="2:41" x14ac:dyDescent="0.25">
      <c r="B499" s="2240" t="str">
        <f>'MFMR Deemed Table '!C247</f>
        <v>501250_2019_12_</v>
      </c>
      <c r="C499" s="208" t="str">
        <f>'MFMR Deemed Table '!G247</f>
        <v>Lighting RES</v>
      </c>
      <c r="D499" s="208"/>
      <c r="E499" s="208"/>
      <c r="F499" s="208"/>
      <c r="G499" s="208" t="str">
        <f>'MFMR Deemed Table '!E247</f>
        <v>LED - 20W (Halogen baseline) (1490-2600 lumens)</v>
      </c>
      <c r="H499" s="622" t="str">
        <f>'MFMR Deemed Table '!D247</f>
        <v>MFMR</v>
      </c>
      <c r="I499" s="2084">
        <f>'MFMR Deemed Table '!F247</f>
        <v>36.61</v>
      </c>
      <c r="J499" s="2084"/>
      <c r="K499" s="2113"/>
      <c r="L499" s="2113"/>
      <c r="M499" s="2113"/>
      <c r="N499" s="2113"/>
      <c r="O499" s="2085">
        <f>'MFMR Deemed Table '!M247</f>
        <v>5.4640000000000001E-3</v>
      </c>
      <c r="P499" s="2085"/>
      <c r="Q499" s="2086"/>
      <c r="R499" s="2086"/>
      <c r="S499" s="2086"/>
      <c r="T499" s="2086"/>
      <c r="U499" s="2087"/>
      <c r="V499" s="2087"/>
      <c r="W499" s="2087">
        <f t="shared" si="345"/>
        <v>5.4640000000000001E-3</v>
      </c>
      <c r="X499" s="2121">
        <f>'MFMR Deemed Table '!N247</f>
        <v>19</v>
      </c>
      <c r="Y499" s="2121"/>
      <c r="Z499" s="88">
        <f t="shared" si="280"/>
        <v>19</v>
      </c>
      <c r="AA499" s="637">
        <f>'MFMR Deemed Table '!BB247</f>
        <v>2.9018978720892656</v>
      </c>
      <c r="AB499" s="2917">
        <f>'MFMR Deemed Table '!P247</f>
        <v>7.83</v>
      </c>
      <c r="AC499" s="2089">
        <f t="shared" si="343"/>
        <v>21.445833259517649</v>
      </c>
      <c r="AD499" s="2089">
        <f t="shared" si="344"/>
        <v>0</v>
      </c>
      <c r="AE499" s="2955">
        <f>'MFMR Deemed Table '!BD247</f>
        <v>21.445833259517649</v>
      </c>
      <c r="AF499" s="2956"/>
      <c r="AG499" s="2956"/>
      <c r="AH499" s="2956"/>
      <c r="AI499" s="2250" t="str">
        <f>'MFMR Deemed Table '!Q247</f>
        <v>per measure</v>
      </c>
      <c r="AM499" s="2057">
        <f t="shared" si="315"/>
        <v>1.4925290000000001E-4</v>
      </c>
      <c r="AN499">
        <f t="shared" si="340"/>
        <v>5.4641486690000006E-3</v>
      </c>
      <c r="AO499" s="2048">
        <f t="shared" si="339"/>
        <v>1.4866900000052446E-7</v>
      </c>
    </row>
    <row r="500" spans="2:41" x14ac:dyDescent="0.25">
      <c r="B500" s="2240" t="str">
        <f>'MFMR Deemed Table '!C248</f>
        <v>501300_2019_12_</v>
      </c>
      <c r="C500" s="208" t="str">
        <f>'MFMR Deemed Table '!G248</f>
        <v>Lighting RES</v>
      </c>
      <c r="D500" s="208"/>
      <c r="E500" s="208"/>
      <c r="F500" s="208"/>
      <c r="G500" s="208" t="str">
        <f>'MFMR Deemed Table '!E248</f>
        <v>LED - 20W (CFL baseline) (1490-2600 lumens)</v>
      </c>
      <c r="H500" s="622" t="str">
        <f>'MFMR Deemed Table '!D248</f>
        <v>MFMR</v>
      </c>
      <c r="I500" s="2084">
        <f>'MFMR Deemed Table '!F248</f>
        <v>6.29</v>
      </c>
      <c r="J500" s="2084"/>
      <c r="K500" s="2113"/>
      <c r="L500" s="2113"/>
      <c r="M500" s="2113"/>
      <c r="N500" s="2113"/>
      <c r="O500" s="2085">
        <f>'MFMR Deemed Table '!M248</f>
        <v>9.3899999999999995E-4</v>
      </c>
      <c r="P500" s="2085"/>
      <c r="Q500" s="2086"/>
      <c r="R500" s="2086"/>
      <c r="S500" s="2086"/>
      <c r="T500" s="2086"/>
      <c r="U500" s="2087"/>
      <c r="V500" s="2087"/>
      <c r="W500" s="2087">
        <f t="shared" si="345"/>
        <v>9.3899999999999995E-4</v>
      </c>
      <c r="X500" s="2121">
        <f>'MFMR Deemed Table '!N248</f>
        <v>19</v>
      </c>
      <c r="Y500" s="2121"/>
      <c r="Z500" s="88">
        <f t="shared" si="280"/>
        <v>19</v>
      </c>
      <c r="AA500" s="637">
        <f>'MFMR Deemed Table '!BB248</f>
        <v>0.49857791902325815</v>
      </c>
      <c r="AB500" s="2917">
        <f>'MFMR Deemed Table '!P248</f>
        <v>7.83</v>
      </c>
      <c r="AC500" s="2089">
        <f t="shared" si="343"/>
        <v>3.6846296422388964</v>
      </c>
      <c r="AD500" s="2089">
        <f t="shared" si="344"/>
        <v>0</v>
      </c>
      <c r="AE500" s="2955">
        <f>'MFMR Deemed Table '!BD248</f>
        <v>3.6846296422388964</v>
      </c>
      <c r="AF500" s="2956"/>
      <c r="AG500" s="2956"/>
      <c r="AH500" s="2956"/>
      <c r="AI500" s="2250" t="str">
        <f>'MFMR Deemed Table '!Q248</f>
        <v>per measure</v>
      </c>
      <c r="AM500" s="2057">
        <f t="shared" si="315"/>
        <v>1.4925290000000001E-4</v>
      </c>
      <c r="AN500">
        <f t="shared" si="340"/>
        <v>9.3880074100000002E-4</v>
      </c>
      <c r="AO500" s="2048">
        <f t="shared" si="339"/>
        <v>-1.9925899999992999E-7</v>
      </c>
    </row>
    <row r="501" spans="2:41" s="132" customFormat="1" x14ac:dyDescent="0.25">
      <c r="B501" s="2307" t="str">
        <f>'MFMR Deemed Table '!C249</f>
        <v>501310_2020_12_</v>
      </c>
      <c r="C501" s="2305" t="str">
        <f>'MFMR Deemed Table '!G249</f>
        <v>Lighting RES</v>
      </c>
      <c r="D501" s="2305"/>
      <c r="E501" s="2305"/>
      <c r="F501" s="2305"/>
      <c r="G501" s="2305" t="str">
        <f>'MFMR Deemed Table '!E249</f>
        <v>LED - 11W Flood Light BR30 Bulb (Halogen baseline)</v>
      </c>
      <c r="H501" s="2322" t="str">
        <f>'MFMR Deemed Table '!D249</f>
        <v>MFMR</v>
      </c>
      <c r="I501" s="2320">
        <f>'MFMR Deemed Table '!F249</f>
        <v>34.68</v>
      </c>
      <c r="J501" s="2320"/>
      <c r="K501" s="2310"/>
      <c r="L501" s="2310"/>
      <c r="M501" s="2310"/>
      <c r="N501" s="2310"/>
      <c r="O501" s="2321">
        <f>'MFMR Deemed Table '!M249</f>
        <v>5.176E-3</v>
      </c>
      <c r="P501" s="2321"/>
      <c r="Q501" s="2323"/>
      <c r="R501" s="2323"/>
      <c r="S501" s="2323"/>
      <c r="T501" s="2323"/>
      <c r="U501" s="2273"/>
      <c r="V501" s="2273"/>
      <c r="W501" s="2273">
        <f t="shared" ref="W501" si="346">O501</f>
        <v>5.176E-3</v>
      </c>
      <c r="X501" s="2299">
        <f>'MFMR Deemed Table '!N249</f>
        <v>19</v>
      </c>
      <c r="Y501" s="2299"/>
      <c r="Z501" s="2299">
        <f t="shared" ref="Z501" si="347">Y501+X501</f>
        <v>19</v>
      </c>
      <c r="AA501" s="2298">
        <f>'MFMR Deemed Table '!BB249</f>
        <v>12.966272901566766</v>
      </c>
      <c r="AB501" s="2919">
        <f>'MFMR Deemed Table '!P249</f>
        <v>1.66</v>
      </c>
      <c r="AC501" s="2928">
        <f t="shared" ref="AC501" si="348">AE501+AF501</f>
        <v>20.315255324776619</v>
      </c>
      <c r="AD501" s="2928">
        <f t="shared" ref="AD501" si="349">AG501+AH501</f>
        <v>0</v>
      </c>
      <c r="AE501" s="2957">
        <f>'MFMR Deemed Table '!BD249</f>
        <v>20.315255324776619</v>
      </c>
      <c r="AF501" s="2334"/>
      <c r="AG501" s="2334"/>
      <c r="AH501" s="2334"/>
      <c r="AI501" s="2953" t="str">
        <f>'MFMR Deemed Table '!Q249</f>
        <v>per measure</v>
      </c>
      <c r="AM501" s="2929">
        <f t="shared" si="315"/>
        <v>1.4925290000000001E-4</v>
      </c>
      <c r="AN501" s="132">
        <f t="shared" ref="AN501" si="350">AM501*I501</f>
        <v>5.1760905720000007E-3</v>
      </c>
      <c r="AO501" s="2933">
        <f t="shared" ref="AO501" si="351">AN501-O501</f>
        <v>9.0572000000649355E-8</v>
      </c>
    </row>
    <row r="502" spans="2:41" s="132" customFormat="1" x14ac:dyDescent="0.25">
      <c r="B502" s="2307" t="str">
        <f>'MFMR Deemed Table '!C250</f>
        <v>501311_2020_12_</v>
      </c>
      <c r="C502" s="2305" t="str">
        <f>'MFMR Deemed Table '!G250</f>
        <v>Lighting RES</v>
      </c>
      <c r="D502" s="2305"/>
      <c r="E502" s="2305"/>
      <c r="F502" s="2305"/>
      <c r="G502" s="2305" t="str">
        <f>'MFMR Deemed Table '!E250</f>
        <v>LED - 11W Flood Light BR30 Bulb (CFL baseline)</v>
      </c>
      <c r="H502" s="2322" t="str">
        <f>'MFMR Deemed Table '!D250</f>
        <v>MFMR</v>
      </c>
      <c r="I502" s="2320">
        <f>'MFMR Deemed Table '!F250</f>
        <v>5.07</v>
      </c>
      <c r="J502" s="2320"/>
      <c r="K502" s="2310"/>
      <c r="L502" s="2310"/>
      <c r="M502" s="2310"/>
      <c r="N502" s="2310"/>
      <c r="O502" s="2321">
        <f>'MFMR Deemed Table '!M250</f>
        <v>7.5600000000000005E-4</v>
      </c>
      <c r="P502" s="2321"/>
      <c r="Q502" s="2323"/>
      <c r="R502" s="2323"/>
      <c r="S502" s="2323"/>
      <c r="T502" s="2323"/>
      <c r="U502" s="2273"/>
      <c r="V502" s="2273"/>
      <c r="W502" s="2273">
        <f t="shared" ref="W502" si="352">O502</f>
        <v>7.5600000000000005E-4</v>
      </c>
      <c r="X502" s="2299">
        <f>'MFMR Deemed Table '!N250</f>
        <v>19</v>
      </c>
      <c r="Y502" s="2299"/>
      <c r="Z502" s="2299">
        <f t="shared" ref="Z502" si="353">Y502+X502</f>
        <v>19</v>
      </c>
      <c r="AA502" s="2298">
        <f>'MFMR Deemed Table '!BB250</f>
        <v>1.8955883394159028</v>
      </c>
      <c r="AB502" s="2919">
        <f>'MFMR Deemed Table '!P250</f>
        <v>1.66</v>
      </c>
      <c r="AC502" s="2928">
        <f t="shared" ref="AC502" si="354">AE502+AF502</f>
        <v>2.969963797480319</v>
      </c>
      <c r="AD502" s="2928">
        <f t="shared" ref="AD502" si="355">AG502+AH502</f>
        <v>0</v>
      </c>
      <c r="AE502" s="2957">
        <f>'MFMR Deemed Table '!BD250</f>
        <v>2.969963797480319</v>
      </c>
      <c r="AF502" s="2334"/>
      <c r="AG502" s="2334"/>
      <c r="AH502" s="2334"/>
      <c r="AI502" s="2953" t="str">
        <f>'MFMR Deemed Table '!Q250</f>
        <v>per measure</v>
      </c>
      <c r="AM502" s="2929">
        <f t="shared" ref="AM502:AM532" si="356">VLOOKUP(C502,$AS$10:$AT$32,2,FALSE)</f>
        <v>1.4925290000000001E-4</v>
      </c>
      <c r="AN502" s="132">
        <f t="shared" ref="AN502" si="357">AM502*I502</f>
        <v>7.5671220300000004E-4</v>
      </c>
      <c r="AO502" s="2933">
        <f t="shared" ref="AO502" si="358">AN502-O502</f>
        <v>7.1220299999999112E-7</v>
      </c>
    </row>
    <row r="503" spans="2:41" x14ac:dyDescent="0.25">
      <c r="B503" s="2240" t="str">
        <f>'MFMR Deemed Table '!C251</f>
        <v>501350_2019_12_</v>
      </c>
      <c r="C503" s="208" t="str">
        <f>'MFMR Deemed Table '!G251</f>
        <v>Lighting RES</v>
      </c>
      <c r="D503" s="208"/>
      <c r="E503" s="208"/>
      <c r="F503" s="208"/>
      <c r="G503" s="208" t="str">
        <f>'MFMR Deemed Table '!E251</f>
        <v>LED - 15W Flood Light PAR30 Bulb (Halogen baseline)</v>
      </c>
      <c r="H503" s="622" t="str">
        <f>'MFMR Deemed Table '!D251</f>
        <v>MFMR</v>
      </c>
      <c r="I503" s="2084">
        <f>'MFMR Deemed Table '!F251</f>
        <v>32.31</v>
      </c>
      <c r="J503" s="2084"/>
      <c r="K503" s="2113"/>
      <c r="L503" s="2113"/>
      <c r="M503" s="2113"/>
      <c r="N503" s="2113"/>
      <c r="O503" s="2085">
        <f>'MFMR Deemed Table '!M251</f>
        <v>4.8219999999999999E-3</v>
      </c>
      <c r="P503" s="2085"/>
      <c r="Q503" s="2086"/>
      <c r="R503" s="2086"/>
      <c r="S503" s="2086"/>
      <c r="T503" s="2086"/>
      <c r="U503" s="2087"/>
      <c r="V503" s="2087"/>
      <c r="W503" s="2087">
        <f t="shared" si="345"/>
        <v>4.8219999999999999E-3</v>
      </c>
      <c r="X503" s="2121">
        <f>'MFMR Deemed Table '!N251</f>
        <v>19</v>
      </c>
      <c r="Y503" s="2121"/>
      <c r="Z503" s="88">
        <f t="shared" si="280"/>
        <v>19</v>
      </c>
      <c r="AA503" s="637">
        <f>'MFMR Deemed Table '!BB251</f>
        <v>6.5747807643312424</v>
      </c>
      <c r="AB503" s="2917">
        <f>'MFMR Deemed Table '!P251</f>
        <v>3.05</v>
      </c>
      <c r="AC503" s="2089">
        <f t="shared" si="343"/>
        <v>18.926929052581677</v>
      </c>
      <c r="AD503" s="2089">
        <f t="shared" si="344"/>
        <v>0</v>
      </c>
      <c r="AE503" s="2955">
        <f>'MFMR Deemed Table '!BD251</f>
        <v>18.926929052581677</v>
      </c>
      <c r="AF503" s="2956"/>
      <c r="AG503" s="2956"/>
      <c r="AH503" s="2956"/>
      <c r="AI503" s="2250" t="str">
        <f>'MFMR Deemed Table '!Q251</f>
        <v>per measure</v>
      </c>
      <c r="AM503" s="2057">
        <f t="shared" si="356"/>
        <v>1.4925290000000001E-4</v>
      </c>
      <c r="AN503">
        <f t="shared" si="340"/>
        <v>4.8223611990000003E-3</v>
      </c>
      <c r="AO503" s="2048">
        <f t="shared" si="339"/>
        <v>3.6119900000044364E-7</v>
      </c>
    </row>
    <row r="504" spans="2:41" x14ac:dyDescent="0.25">
      <c r="B504" s="2240" t="str">
        <f>'MFMR Deemed Table '!C252</f>
        <v>501400_2019_12_</v>
      </c>
      <c r="C504" s="208" t="str">
        <f>'MFMR Deemed Table '!G252</f>
        <v>Lighting RES</v>
      </c>
      <c r="D504" s="208"/>
      <c r="E504" s="208"/>
      <c r="F504" s="208"/>
      <c r="G504" s="208" t="str">
        <f>'MFMR Deemed Table '!E252</f>
        <v>LED - 15W Flood Light PAR30 Bulb (CFL baseline)</v>
      </c>
      <c r="H504" s="622" t="str">
        <f>'MFMR Deemed Table '!D252</f>
        <v>MFMR</v>
      </c>
      <c r="I504" s="2084">
        <f>'MFMR Deemed Table '!F252</f>
        <v>3.08</v>
      </c>
      <c r="J504" s="2084"/>
      <c r="K504" s="2113"/>
      <c r="L504" s="2113"/>
      <c r="M504" s="2113"/>
      <c r="N504" s="2113"/>
      <c r="O504" s="2085">
        <f>'MFMR Deemed Table '!M252</f>
        <v>4.6000000000000001E-4</v>
      </c>
      <c r="P504" s="2085"/>
      <c r="Q504" s="2086"/>
      <c r="R504" s="2086"/>
      <c r="S504" s="2086"/>
      <c r="T504" s="2086"/>
      <c r="U504" s="2087"/>
      <c r="V504" s="2087"/>
      <c r="W504" s="2087">
        <f t="shared" si="345"/>
        <v>4.6000000000000001E-4</v>
      </c>
      <c r="X504" s="2121">
        <f>'MFMR Deemed Table '!N252</f>
        <v>19</v>
      </c>
      <c r="Y504" s="2121"/>
      <c r="Z504" s="88">
        <f t="shared" si="280"/>
        <v>19</v>
      </c>
      <c r="AA504" s="637">
        <f>'MFMR Deemed Table '!BB252</f>
        <v>0.62675099827113057</v>
      </c>
      <c r="AB504" s="2917">
        <f>'MFMR Deemed Table '!P252</f>
        <v>3.05</v>
      </c>
      <c r="AC504" s="2089">
        <f t="shared" si="343"/>
        <v>1.804238362177393</v>
      </c>
      <c r="AD504" s="2089">
        <f t="shared" si="344"/>
        <v>0</v>
      </c>
      <c r="AE504" s="2955">
        <f>'MFMR Deemed Table '!BD252</f>
        <v>1.804238362177393</v>
      </c>
      <c r="AF504" s="2956"/>
      <c r="AG504" s="2956"/>
      <c r="AH504" s="2956"/>
      <c r="AI504" s="2250" t="str">
        <f>'MFMR Deemed Table '!Q252</f>
        <v>per measure</v>
      </c>
      <c r="AM504" s="2057">
        <f t="shared" si="356"/>
        <v>1.4925290000000001E-4</v>
      </c>
      <c r="AN504">
        <f t="shared" si="340"/>
        <v>4.5969893200000005E-4</v>
      </c>
      <c r="AO504" s="2048">
        <f t="shared" si="339"/>
        <v>-3.0106799999996816E-7</v>
      </c>
    </row>
    <row r="505" spans="2:41" s="132" customFormat="1" x14ac:dyDescent="0.25">
      <c r="B505" s="2307" t="str">
        <f>'MFMR Deemed Table '!C253</f>
        <v>501401_2019_12_</v>
      </c>
      <c r="C505" s="2305" t="str">
        <f>'MFMR Deemed Table '!G253</f>
        <v>Lighting RES</v>
      </c>
      <c r="D505" s="2305"/>
      <c r="E505" s="2305"/>
      <c r="F505" s="2305"/>
      <c r="G505" s="2305" t="str">
        <f>'MFMR Deemed Table '!E253</f>
        <v xml:space="preserve">LED - 6W (Halogen baseline) (310-749 lumens) </v>
      </c>
      <c r="H505" s="2322" t="str">
        <f>'MFMR Deemed Table '!D253</f>
        <v>MFMR</v>
      </c>
      <c r="I505" s="2320">
        <f>'MFMR Deemed Table '!F253</f>
        <v>14.77</v>
      </c>
      <c r="J505" s="2320"/>
      <c r="K505" s="2310"/>
      <c r="L505" s="2310"/>
      <c r="M505" s="2310"/>
      <c r="N505" s="2310"/>
      <c r="O505" s="2321">
        <f>'MFMR Deemed Table '!M253</f>
        <v>2.2049999999999999E-3</v>
      </c>
      <c r="P505" s="2321"/>
      <c r="Q505" s="2323"/>
      <c r="R505" s="2323"/>
      <c r="S505" s="2323"/>
      <c r="T505" s="2323"/>
      <c r="U505" s="2273"/>
      <c r="V505" s="2273"/>
      <c r="W505" s="2273">
        <f t="shared" ref="W505:W506" si="359">O505</f>
        <v>2.2049999999999999E-3</v>
      </c>
      <c r="X505" s="2299">
        <f>'MFMR Deemed Table '!N253</f>
        <v>19</v>
      </c>
      <c r="Y505" s="2299"/>
      <c r="Z505" s="2299">
        <f t="shared" ref="Z505:Z506" si="360">Y505+X505</f>
        <v>19</v>
      </c>
      <c r="AA505" s="2298">
        <f>'MFMR Deemed Table '!BB253</f>
        <v>26.191273047882209</v>
      </c>
      <c r="AB505" s="2919">
        <f>'MFMR Deemed Table '!P253</f>
        <v>0.35</v>
      </c>
      <c r="AC505" s="2928">
        <f t="shared" ref="AC505:AC506" si="361">AE505+AF505</f>
        <v>8.6521430549870431</v>
      </c>
      <c r="AD505" s="2928">
        <f t="shared" ref="AD505:AD506" si="362">AG505+AH505</f>
        <v>0</v>
      </c>
      <c r="AE505" s="2957">
        <f>'MFMR Deemed Table '!BD253</f>
        <v>8.6521430549870431</v>
      </c>
      <c r="AF505" s="2334"/>
      <c r="AG505" s="2334"/>
      <c r="AH505" s="2334"/>
      <c r="AI505" s="2953" t="str">
        <f>'MFMR Deemed Table '!Q253</f>
        <v>per measure</v>
      </c>
      <c r="AM505" s="2929">
        <f t="shared" si="356"/>
        <v>1.4925290000000001E-4</v>
      </c>
      <c r="AN505" s="132">
        <f t="shared" ref="AN505:AN506" si="363">AM505*I505</f>
        <v>2.204465333E-3</v>
      </c>
      <c r="AO505" s="2933">
        <f t="shared" ref="AO505:AO506" si="364">AN505-O505</f>
        <v>-5.3466699999988807E-7</v>
      </c>
    </row>
    <row r="506" spans="2:41" s="2277" customFormat="1" x14ac:dyDescent="0.25">
      <c r="B506" s="2240" t="str">
        <f>'MFMR Deemed Table '!C254</f>
        <v>501450_2019_12_</v>
      </c>
      <c r="C506" s="208" t="str">
        <f>'MFMR Deemed Table '!G254</f>
        <v>Lighting RES</v>
      </c>
      <c r="D506" s="208"/>
      <c r="E506" s="208"/>
      <c r="F506" s="208"/>
      <c r="G506" s="208" t="str">
        <f>'MFMR Deemed Table '!E254</f>
        <v>LED Nightlights</v>
      </c>
      <c r="H506" s="622" t="str">
        <f>'MFMR Deemed Table '!D254</f>
        <v>MFMR</v>
      </c>
      <c r="I506" s="2084">
        <f>'MFMR Deemed Table '!F254</f>
        <v>22</v>
      </c>
      <c r="J506" s="2084"/>
      <c r="K506" s="2113"/>
      <c r="L506" s="2113"/>
      <c r="M506" s="2113"/>
      <c r="N506" s="2113"/>
      <c r="O506" s="2085">
        <f>'MFMR Deemed Table '!M254</f>
        <v>3.284E-3</v>
      </c>
      <c r="P506" s="2085"/>
      <c r="Q506" s="2086"/>
      <c r="R506" s="2086"/>
      <c r="S506" s="2086"/>
      <c r="T506" s="2086"/>
      <c r="U506" s="2087"/>
      <c r="V506" s="2087"/>
      <c r="W506" s="2087">
        <f t="shared" si="359"/>
        <v>3.284E-3</v>
      </c>
      <c r="X506" s="2121">
        <f>'MFMR Deemed Table '!N254</f>
        <v>19</v>
      </c>
      <c r="Y506" s="2121"/>
      <c r="Z506" s="2299">
        <f t="shared" si="360"/>
        <v>19</v>
      </c>
      <c r="AA506" s="637">
        <f>'MFMR Deemed Table '!BB254</f>
        <v>39.012051933203018</v>
      </c>
      <c r="AB506" s="2917">
        <f>'MFMR Deemed Table '!P254</f>
        <v>0.35</v>
      </c>
      <c r="AC506" s="2089">
        <f t="shared" si="361"/>
        <v>12.887416872695663</v>
      </c>
      <c r="AD506" s="2089">
        <f t="shared" si="362"/>
        <v>0</v>
      </c>
      <c r="AE506" s="2955">
        <f>'MFMR Deemed Table '!BD254</f>
        <v>12.887416872695663</v>
      </c>
      <c r="AF506" s="2956"/>
      <c r="AG506" s="2956"/>
      <c r="AH506" s="2956"/>
      <c r="AI506" s="2250" t="str">
        <f>'MFMR Deemed Table '!Q254</f>
        <v>per measure</v>
      </c>
      <c r="AM506" s="2319">
        <f t="shared" si="356"/>
        <v>1.4925290000000001E-4</v>
      </c>
      <c r="AN506" s="2277">
        <f t="shared" si="363"/>
        <v>3.2835638E-3</v>
      </c>
      <c r="AO506" s="2318">
        <f t="shared" si="364"/>
        <v>-4.3619999999999423E-7</v>
      </c>
    </row>
    <row r="507" spans="2:41" x14ac:dyDescent="0.25">
      <c r="B507" s="2240" t="str">
        <f>'MFMR Deemed Table '!C328</f>
        <v>501500_2019_12_</v>
      </c>
      <c r="C507" s="208" t="str">
        <f>'MFMR Deemed Table '!G328</f>
        <v>Water Heating RES</v>
      </c>
      <c r="D507" s="208"/>
      <c r="E507" s="208"/>
      <c r="F507" s="208"/>
      <c r="G507" s="208" t="str">
        <f>'MFMR Deemed Table '!E328</f>
        <v>Faucet Aerators (Kitchen) MFMR</v>
      </c>
      <c r="H507" s="622" t="str">
        <f>'MFMR Deemed Table '!D328</f>
        <v>MFMR</v>
      </c>
      <c r="I507" s="2084">
        <f>'MFMR Deemed Table '!F328</f>
        <v>115.9</v>
      </c>
      <c r="J507" s="2084"/>
      <c r="K507" s="2113"/>
      <c r="L507" s="2113"/>
      <c r="M507" s="2113"/>
      <c r="N507" s="2113"/>
      <c r="O507" s="2085">
        <f>'MFMR Deemed Table '!J328</f>
        <v>1.0284E-2</v>
      </c>
      <c r="P507" s="2085"/>
      <c r="Q507" s="2086"/>
      <c r="R507" s="2086"/>
      <c r="S507" s="2086"/>
      <c r="T507" s="2086"/>
      <c r="U507" s="2087"/>
      <c r="V507" s="2087">
        <f t="shared" ref="V507:V515" si="365">O507</f>
        <v>1.0284E-2</v>
      </c>
      <c r="W507" s="2087"/>
      <c r="X507" s="2121">
        <f>'MFMR Deemed Table '!K328</f>
        <v>10</v>
      </c>
      <c r="Y507" s="2121"/>
      <c r="Z507" s="88">
        <f t="shared" si="280"/>
        <v>10</v>
      </c>
      <c r="AA507" s="637">
        <f>'MFMR Deemed Table '!BB328</f>
        <v>5.1771034134181892</v>
      </c>
      <c r="AB507" s="2918">
        <f>'MFMR Deemed Table '!L328</f>
        <v>8</v>
      </c>
      <c r="AC507" s="2089">
        <f t="shared" si="343"/>
        <v>39.090917703959896</v>
      </c>
      <c r="AD507" s="2089">
        <f t="shared" si="344"/>
        <v>0</v>
      </c>
      <c r="AE507" s="2955">
        <f>'MFMR Deemed Table '!BD328</f>
        <v>39.090917703959896</v>
      </c>
      <c r="AF507" s="2956"/>
      <c r="AG507" s="2956"/>
      <c r="AH507" s="2956"/>
      <c r="AI507" s="2254" t="str">
        <f>'MFMR Deemed Table '!M328</f>
        <v>per measure</v>
      </c>
      <c r="AM507" s="2057">
        <f t="shared" si="356"/>
        <v>8.8731800000000003E-5</v>
      </c>
      <c r="AN507">
        <f t="shared" si="340"/>
        <v>1.0284015620000002E-2</v>
      </c>
      <c r="AO507" s="2048">
        <f t="shared" si="339"/>
        <v>1.5620000001770329E-8</v>
      </c>
    </row>
    <row r="508" spans="2:41" x14ac:dyDescent="0.25">
      <c r="B508" s="2240" t="str">
        <f>'MFMR Deemed Table '!C363</f>
        <v>501550_2019_12_</v>
      </c>
      <c r="C508" s="208" t="str">
        <f>'MFMR Deemed Table '!G363</f>
        <v>Water Heating RES</v>
      </c>
      <c r="D508" s="208"/>
      <c r="E508" s="208"/>
      <c r="F508" s="208"/>
      <c r="G508" s="208" t="str">
        <f>'MFMR Deemed Table '!E363</f>
        <v>Faucet Aerators (Bathroom) MFMR</v>
      </c>
      <c r="H508" s="622" t="str">
        <f>'MFMR Deemed Table '!D363</f>
        <v>MFMR</v>
      </c>
      <c r="I508" s="2084">
        <f>'MFMR Deemed Table '!F363</f>
        <v>33.47</v>
      </c>
      <c r="J508" s="2084"/>
      <c r="K508" s="2113"/>
      <c r="L508" s="2113"/>
      <c r="M508" s="2113"/>
      <c r="N508" s="2113"/>
      <c r="O508" s="2085">
        <f>'MFMR Deemed Table '!J363</f>
        <v>2.97E-3</v>
      </c>
      <c r="P508" s="2085"/>
      <c r="Q508" s="2086"/>
      <c r="R508" s="2086"/>
      <c r="S508" s="2086"/>
      <c r="T508" s="2086"/>
      <c r="U508" s="2087"/>
      <c r="V508" s="2087">
        <f t="shared" si="365"/>
        <v>2.97E-3</v>
      </c>
      <c r="W508" s="2087"/>
      <c r="X508" s="2121">
        <f>'MFMR Deemed Table '!K363</f>
        <v>10</v>
      </c>
      <c r="Y508" s="2121"/>
      <c r="Z508" s="88">
        <f t="shared" si="280"/>
        <v>10</v>
      </c>
      <c r="AA508" s="637">
        <f>'MFMR Deemed Table '!BB363</f>
        <v>1.4950617018732253</v>
      </c>
      <c r="AB508" s="2917">
        <f>'MFMR Deemed Table '!L363</f>
        <v>8</v>
      </c>
      <c r="AC508" s="2089">
        <f t="shared" si="343"/>
        <v>11.288809452558565</v>
      </c>
      <c r="AD508" s="2089">
        <f t="shared" si="344"/>
        <v>0</v>
      </c>
      <c r="AE508" s="2955">
        <f>'MFMR Deemed Table '!BD363</f>
        <v>11.288809452558565</v>
      </c>
      <c r="AF508" s="2956"/>
      <c r="AG508" s="2956"/>
      <c r="AH508" s="2956"/>
      <c r="AI508" s="2254" t="str">
        <f>'MFMR Deemed Table '!M363</f>
        <v>per measure</v>
      </c>
      <c r="AM508" s="2057">
        <f t="shared" si="356"/>
        <v>8.8731800000000003E-5</v>
      </c>
      <c r="AN508">
        <f t="shared" si="340"/>
        <v>2.9698533460000001E-3</v>
      </c>
      <c r="AO508" s="2048">
        <f t="shared" si="339"/>
        <v>-1.4665399999990239E-7</v>
      </c>
    </row>
    <row r="509" spans="2:41" x14ac:dyDescent="0.25">
      <c r="B509" s="2240" t="str">
        <f>'MFMR Deemed Table '!C397</f>
        <v>501600_2019_12_</v>
      </c>
      <c r="C509" s="208" t="str">
        <f>'MFMR Deemed Table '!G397</f>
        <v>Water Heating RES</v>
      </c>
      <c r="D509" s="208"/>
      <c r="E509" s="208"/>
      <c r="F509" s="208"/>
      <c r="G509" s="208" t="str">
        <f>'MFMR Deemed Table '!E397</f>
        <v>Low Flow Showerhead MFMR</v>
      </c>
      <c r="H509" s="622" t="str">
        <f>'MFMR Deemed Table '!D397</f>
        <v>MFMR</v>
      </c>
      <c r="I509" s="2084">
        <f>'MFMR Deemed Table '!F397</f>
        <v>381.98</v>
      </c>
      <c r="J509" s="2084"/>
      <c r="K509" s="2113"/>
      <c r="L509" s="2113"/>
      <c r="M509" s="2113"/>
      <c r="N509" s="2113"/>
      <c r="O509" s="2085">
        <f>'MFMR Deemed Table '!J397</f>
        <v>3.3894000000000001E-2</v>
      </c>
      <c r="P509" s="2085"/>
      <c r="Q509" s="2086"/>
      <c r="R509" s="2086"/>
      <c r="S509" s="2086"/>
      <c r="T509" s="2086"/>
      <c r="U509" s="2087"/>
      <c r="V509" s="2087">
        <f t="shared" si="365"/>
        <v>3.3894000000000001E-2</v>
      </c>
      <c r="W509" s="2087"/>
      <c r="X509" s="2121">
        <f>'MFMR Deemed Table '!K397</f>
        <v>10</v>
      </c>
      <c r="Y509" s="2121"/>
      <c r="Z509" s="88">
        <f t="shared" si="280"/>
        <v>10</v>
      </c>
      <c r="AA509" s="637">
        <f>'MFMR Deemed Table '!BB397</f>
        <v>19.500061253370934</v>
      </c>
      <c r="AB509" s="2917">
        <f>'MFMR Deemed Table '!L397</f>
        <v>7</v>
      </c>
      <c r="AC509" s="2089">
        <f t="shared" si="343"/>
        <v>128.83476052250734</v>
      </c>
      <c r="AD509" s="2089">
        <f t="shared" si="344"/>
        <v>0</v>
      </c>
      <c r="AE509" s="2955">
        <f>'MFMR Deemed Table '!BD397</f>
        <v>128.83476052250734</v>
      </c>
      <c r="AF509" s="2956"/>
      <c r="AG509" s="2956"/>
      <c r="AH509" s="2956"/>
      <c r="AI509" s="2254" t="str">
        <f>'MFMR Deemed Table '!M397</f>
        <v>per measure</v>
      </c>
      <c r="AM509" s="2057">
        <f t="shared" si="356"/>
        <v>8.8731800000000003E-5</v>
      </c>
      <c r="AN509">
        <f t="shared" si="340"/>
        <v>3.3893772964E-2</v>
      </c>
      <c r="AO509" s="2048">
        <f t="shared" si="339"/>
        <v>-2.2703600000006929E-7</v>
      </c>
    </row>
    <row r="510" spans="2:41" x14ac:dyDescent="0.25">
      <c r="B510" s="2240" t="str">
        <f>'MFMR Deemed Table '!C432</f>
        <v>501650_2019_12_</v>
      </c>
      <c r="C510" s="208" t="str">
        <f>'MFMR Deemed Table '!G432</f>
        <v>Miscellaneous RES</v>
      </c>
      <c r="D510" s="208"/>
      <c r="E510" s="208"/>
      <c r="F510" s="208"/>
      <c r="G510" s="208" t="str">
        <f>'MFMR Deemed Table '!E432</f>
        <v>Advanced Tier 1 Power Strips / TOS/NC/DI - Home Office</v>
      </c>
      <c r="H510" s="622" t="str">
        <f>'MFMR Deemed Table '!D432</f>
        <v>MFMR</v>
      </c>
      <c r="I510" s="2084">
        <f>'MFMR Deemed Table '!F432</f>
        <v>29.45</v>
      </c>
      <c r="J510" s="2084"/>
      <c r="K510" s="2113"/>
      <c r="L510" s="2113"/>
      <c r="M510" s="2113"/>
      <c r="N510" s="2113"/>
      <c r="O510" s="2085">
        <f>'MFMR Deemed Table '!I432</f>
        <v>3.382E-3</v>
      </c>
      <c r="P510" s="2085"/>
      <c r="Q510" s="2086"/>
      <c r="R510" s="2086"/>
      <c r="S510" s="2086"/>
      <c r="T510" s="2086"/>
      <c r="U510" s="2087"/>
      <c r="V510" s="2087">
        <f t="shared" si="365"/>
        <v>3.382E-3</v>
      </c>
      <c r="W510" s="2087"/>
      <c r="X510" s="2121">
        <f>'MFMR Deemed Table '!J432</f>
        <v>10</v>
      </c>
      <c r="Y510" s="2121"/>
      <c r="Z510" s="88">
        <f t="shared" si="280"/>
        <v>10</v>
      </c>
      <c r="AA510" s="637">
        <f>'MFMR Deemed Table '!BB432</f>
        <v>0.53798242483706482</v>
      </c>
      <c r="AB510" s="2917">
        <f>'MFMR Deemed Table '!K432</f>
        <v>20</v>
      </c>
      <c r="AC510" s="2089">
        <f t="shared" si="343"/>
        <v>10.155402073375456</v>
      </c>
      <c r="AD510" s="2089">
        <f t="shared" si="344"/>
        <v>0</v>
      </c>
      <c r="AE510" s="2955">
        <f>'MFMR Deemed Table '!BD432</f>
        <v>10.155402073375456</v>
      </c>
      <c r="AF510" s="2956"/>
      <c r="AG510" s="2956"/>
      <c r="AH510" s="2956"/>
      <c r="AI510" s="2240" t="str">
        <f>'MFMR Deemed Table '!L432</f>
        <v>per measure</v>
      </c>
      <c r="AM510" s="2057">
        <f t="shared" si="356"/>
        <v>1.148238E-4</v>
      </c>
      <c r="AN510">
        <f t="shared" ref="AN510:AN532" si="366">AM510*I510</f>
        <v>3.3815609099999999E-3</v>
      </c>
      <c r="AO510" s="2048">
        <f t="shared" si="339"/>
        <v>-4.3909000000015574E-7</v>
      </c>
    </row>
    <row r="511" spans="2:41" x14ac:dyDescent="0.25">
      <c r="B511" s="2240" t="str">
        <f>'MFMR Deemed Table '!C433</f>
        <v>501700_2019_12_</v>
      </c>
      <c r="C511" s="208" t="str">
        <f>'MFMR Deemed Table '!G433</f>
        <v>Miscellaneous RES</v>
      </c>
      <c r="D511" s="208"/>
      <c r="E511" s="208"/>
      <c r="F511" s="208"/>
      <c r="G511" s="208" t="str">
        <f>'MFMR Deemed Table '!E433</f>
        <v>Advanced Tier 1 Power Strips / Kits - Home Office</v>
      </c>
      <c r="H511" s="622" t="str">
        <f>'MFMR Deemed Table '!D433</f>
        <v>MFMR</v>
      </c>
      <c r="I511" s="2084">
        <f>'MFMR Deemed Table '!F433</f>
        <v>29.08</v>
      </c>
      <c r="J511" s="2084"/>
      <c r="K511" s="2113"/>
      <c r="L511" s="2113"/>
      <c r="M511" s="2113"/>
      <c r="N511" s="2113"/>
      <c r="O511" s="2085">
        <f>'MFMR Deemed Table '!I433</f>
        <v>3.339E-3</v>
      </c>
      <c r="P511" s="2085"/>
      <c r="Q511" s="2086"/>
      <c r="R511" s="2086"/>
      <c r="S511" s="2086"/>
      <c r="T511" s="2086"/>
      <c r="U511" s="2087"/>
      <c r="V511" s="2087">
        <f t="shared" si="365"/>
        <v>3.339E-3</v>
      </c>
      <c r="W511" s="2087"/>
      <c r="X511" s="2121">
        <f>'MFMR Deemed Table '!J433</f>
        <v>10</v>
      </c>
      <c r="Y511" s="2121"/>
      <c r="Z511" s="88">
        <f t="shared" si="280"/>
        <v>10</v>
      </c>
      <c r="AA511" s="637">
        <f>'MFMR Deemed Table '!BB433</f>
        <v>0.53122339267442598</v>
      </c>
      <c r="AB511" s="2917">
        <f>'MFMR Deemed Table '!K433</f>
        <v>20</v>
      </c>
      <c r="AC511" s="2089">
        <f t="shared" si="343"/>
        <v>10.027812981112334</v>
      </c>
      <c r="AD511" s="2089">
        <f t="shared" si="344"/>
        <v>0</v>
      </c>
      <c r="AE511" s="2955">
        <f>'MFMR Deemed Table '!BD433</f>
        <v>10.027812981112334</v>
      </c>
      <c r="AF511" s="2956"/>
      <c r="AG511" s="2956"/>
      <c r="AH511" s="2956"/>
      <c r="AI511" s="2240" t="str">
        <f>'MFMR Deemed Table '!L433</f>
        <v>per measure</v>
      </c>
      <c r="AM511" s="2057">
        <f t="shared" si="356"/>
        <v>1.148238E-4</v>
      </c>
      <c r="AN511">
        <f t="shared" si="366"/>
        <v>3.3390761039999999E-3</v>
      </c>
      <c r="AO511" s="2048">
        <f t="shared" si="339"/>
        <v>7.6103999999913713E-8</v>
      </c>
    </row>
    <row r="512" spans="2:41" x14ac:dyDescent="0.25">
      <c r="B512" s="2240" t="str">
        <f>'MFMR Deemed Table '!C434</f>
        <v>501750_2019_12_</v>
      </c>
      <c r="C512" s="208" t="str">
        <f>'MFMR Deemed Table '!G434</f>
        <v>Miscellaneous RES</v>
      </c>
      <c r="D512" s="208"/>
      <c r="E512" s="208"/>
      <c r="F512" s="208"/>
      <c r="G512" s="208" t="str">
        <f>'MFMR Deemed Table '!E434</f>
        <v>Advanced Tier 1 Power Strips / TOS/NC/DI - Home Entertainment</v>
      </c>
      <c r="H512" s="622" t="str">
        <f>'MFMR Deemed Table '!D434</f>
        <v>MFMR</v>
      </c>
      <c r="I512" s="2084">
        <f>'MFMR Deemed Table '!F434</f>
        <v>71.349999999999994</v>
      </c>
      <c r="J512" s="2084"/>
      <c r="K512" s="2113"/>
      <c r="L512" s="2113"/>
      <c r="M512" s="2113"/>
      <c r="N512" s="2113"/>
      <c r="O512" s="2085">
        <f>'MFMR Deemed Table '!I434</f>
        <v>8.1930000000000006E-3</v>
      </c>
      <c r="P512" s="2085"/>
      <c r="Q512" s="2086"/>
      <c r="R512" s="2086"/>
      <c r="S512" s="2086"/>
      <c r="T512" s="2086"/>
      <c r="U512" s="2087"/>
      <c r="V512" s="2087">
        <f t="shared" si="365"/>
        <v>8.1930000000000006E-3</v>
      </c>
      <c r="W512" s="2087"/>
      <c r="X512" s="2121">
        <f>'MFMR Deemed Table '!J434</f>
        <v>10</v>
      </c>
      <c r="Y512" s="2121"/>
      <c r="Z512" s="88">
        <f t="shared" si="280"/>
        <v>10</v>
      </c>
      <c r="AA512" s="637">
        <f>'MFMR Deemed Table '!BB434</f>
        <v>1.3033971481196798</v>
      </c>
      <c r="AB512" s="2917">
        <f>'MFMR Deemed Table '!K434</f>
        <v>20</v>
      </c>
      <c r="AC512" s="2089">
        <f t="shared" si="343"/>
        <v>24.604004683712688</v>
      </c>
      <c r="AD512" s="2089">
        <f t="shared" si="344"/>
        <v>0</v>
      </c>
      <c r="AE512" s="2955">
        <f>'MFMR Deemed Table '!BD434</f>
        <v>24.604004683712688</v>
      </c>
      <c r="AF512" s="2956"/>
      <c r="AG512" s="2956"/>
      <c r="AH512" s="2956"/>
      <c r="AI512" s="2240" t="str">
        <f>'MFMR Deemed Table '!L434</f>
        <v>per measure</v>
      </c>
      <c r="AM512" s="2057">
        <f t="shared" si="356"/>
        <v>1.148238E-4</v>
      </c>
      <c r="AN512">
        <f t="shared" si="366"/>
        <v>8.1926781299999987E-3</v>
      </c>
      <c r="AO512" s="2048">
        <f t="shared" si="339"/>
        <v>-3.2187000000190313E-7</v>
      </c>
    </row>
    <row r="513" spans="2:41" x14ac:dyDescent="0.25">
      <c r="B513" s="2240" t="str">
        <f>'MFMR Deemed Table '!C435</f>
        <v>501800_2019_12_</v>
      </c>
      <c r="C513" s="208" t="str">
        <f>'MFMR Deemed Table '!G435</f>
        <v>Miscellaneous RES</v>
      </c>
      <c r="D513" s="208"/>
      <c r="E513" s="208"/>
      <c r="F513" s="208"/>
      <c r="G513" s="208" t="str">
        <f>'MFMR Deemed Table '!E435</f>
        <v>Advanced Tier 1 Power Strips / Kits - Home Entertainment</v>
      </c>
      <c r="H513" s="622" t="str">
        <f>'MFMR Deemed Table '!D435</f>
        <v>MFMR</v>
      </c>
      <c r="I513" s="2084">
        <f>'MFMR Deemed Table '!F435</f>
        <v>70.44</v>
      </c>
      <c r="J513" s="2084"/>
      <c r="K513" s="2113"/>
      <c r="L513" s="2113"/>
      <c r="M513" s="2113"/>
      <c r="N513" s="2113"/>
      <c r="O513" s="2085">
        <f>'MFMR Deemed Table '!I435</f>
        <v>8.0879999999999997E-3</v>
      </c>
      <c r="P513" s="2085"/>
      <c r="Q513" s="2086"/>
      <c r="R513" s="2086"/>
      <c r="S513" s="2086"/>
      <c r="T513" s="2086"/>
      <c r="U513" s="2087"/>
      <c r="V513" s="2087">
        <f t="shared" si="365"/>
        <v>8.0879999999999997E-3</v>
      </c>
      <c r="W513" s="2087"/>
      <c r="X513" s="2121">
        <f>'MFMR Deemed Table '!J435</f>
        <v>10</v>
      </c>
      <c r="Y513" s="2121"/>
      <c r="Z513" s="88">
        <f t="shared" si="280"/>
        <v>10</v>
      </c>
      <c r="AA513" s="637">
        <f>'MFMR Deemed Table '!BB435</f>
        <v>1.2867735825304871</v>
      </c>
      <c r="AB513" s="2917">
        <f>'MFMR Deemed Table '!K435</f>
        <v>20</v>
      </c>
      <c r="AC513" s="2089">
        <f t="shared" si="343"/>
        <v>24.290204483822311</v>
      </c>
      <c r="AD513" s="2089">
        <f t="shared" si="344"/>
        <v>0</v>
      </c>
      <c r="AE513" s="2955">
        <f>'MFMR Deemed Table '!BD435</f>
        <v>24.290204483822311</v>
      </c>
      <c r="AF513" s="2956"/>
      <c r="AG513" s="2956"/>
      <c r="AH513" s="2956"/>
      <c r="AI513" s="2240" t="str">
        <f>'MFMR Deemed Table '!L435</f>
        <v>per measure</v>
      </c>
      <c r="AM513" s="2057">
        <f t="shared" si="356"/>
        <v>1.148238E-4</v>
      </c>
      <c r="AN513">
        <f t="shared" si="366"/>
        <v>8.0881884719999995E-3</v>
      </c>
      <c r="AO513" s="2048">
        <f t="shared" si="339"/>
        <v>1.8847199999977304E-7</v>
      </c>
    </row>
    <row r="514" spans="2:41" x14ac:dyDescent="0.25">
      <c r="B514" s="2240" t="str">
        <f>'MFMR Deemed Table '!C436</f>
        <v>501850_2019_12_</v>
      </c>
      <c r="C514" s="208" t="str">
        <f>'MFMR Deemed Table '!G436</f>
        <v>Miscellaneous RES</v>
      </c>
      <c r="D514" s="208"/>
      <c r="E514" s="208"/>
      <c r="F514" s="208"/>
      <c r="G514" s="208" t="str">
        <f>'MFMR Deemed Table '!E436</f>
        <v>Advanced Tier 1 Power Strips / TOS/NC/DI - Unknown Location</v>
      </c>
      <c r="H514" s="622" t="str">
        <f>'MFMR Deemed Table '!D436</f>
        <v>MFMR</v>
      </c>
      <c r="I514" s="2084">
        <f>'MFMR Deemed Table '!F436</f>
        <v>56.26</v>
      </c>
      <c r="J514" s="2084"/>
      <c r="K514" s="2113"/>
      <c r="L514" s="2113"/>
      <c r="M514" s="2113"/>
      <c r="N514" s="2113"/>
      <c r="O514" s="2085">
        <f>'MFMR Deemed Table '!I436</f>
        <v>6.4599999999999996E-3</v>
      </c>
      <c r="P514" s="2085"/>
      <c r="Q514" s="2086"/>
      <c r="R514" s="2086"/>
      <c r="S514" s="2086"/>
      <c r="T514" s="2086"/>
      <c r="U514" s="2087"/>
      <c r="V514" s="2087">
        <f t="shared" si="365"/>
        <v>6.4599999999999996E-3</v>
      </c>
      <c r="W514" s="2087"/>
      <c r="X514" s="2121">
        <f>'MFMR Deemed Table '!J436</f>
        <v>10</v>
      </c>
      <c r="Y514" s="2121"/>
      <c r="Z514" s="88">
        <f>Y514+X514</f>
        <v>10</v>
      </c>
      <c r="AA514" s="637">
        <f>'MFMR Deemed Table '!BB436</f>
        <v>1.0277382418109766</v>
      </c>
      <c r="AB514" s="2917">
        <f>'MFMR Deemed Table '!K436</f>
        <v>20</v>
      </c>
      <c r="AC514" s="2089">
        <f t="shared" si="343"/>
        <v>19.400438731684314</v>
      </c>
      <c r="AD514" s="2089">
        <f t="shared" si="344"/>
        <v>0</v>
      </c>
      <c r="AE514" s="2955">
        <f>'MFMR Deemed Table '!BD436</f>
        <v>19.400438731684314</v>
      </c>
      <c r="AF514" s="2956"/>
      <c r="AG514" s="2956"/>
      <c r="AH514" s="2956"/>
      <c r="AI514" s="2240" t="str">
        <f>'MFMR Deemed Table '!L436</f>
        <v>per measure</v>
      </c>
      <c r="AM514" s="2057">
        <f t="shared" si="356"/>
        <v>1.148238E-4</v>
      </c>
      <c r="AN514">
        <f t="shared" si="366"/>
        <v>6.4599869879999995E-3</v>
      </c>
      <c r="AO514" s="2048">
        <f t="shared" si="339"/>
        <v>-1.3012000000048318E-8</v>
      </c>
    </row>
    <row r="515" spans="2:41" x14ac:dyDescent="0.25">
      <c r="B515" s="2240" t="str">
        <f>'MFMR Deemed Table '!C437</f>
        <v>501900_2019_12_</v>
      </c>
      <c r="C515" s="208" t="str">
        <f>'MFMR Deemed Table '!G437</f>
        <v>Miscellaneous RES</v>
      </c>
      <c r="D515" s="208"/>
      <c r="E515" s="208"/>
      <c r="F515" s="208"/>
      <c r="G515" s="208" t="str">
        <f>'MFMR Deemed Table '!E437</f>
        <v>Advanced Tier 1 Power  / Kits - Unknown Location</v>
      </c>
      <c r="H515" s="622" t="str">
        <f>'MFMR Deemed Table '!D437</f>
        <v>MFMR</v>
      </c>
      <c r="I515" s="2084">
        <f>'MFMR Deemed Table '!F437</f>
        <v>50.59</v>
      </c>
      <c r="J515" s="2084"/>
      <c r="K515" s="2113"/>
      <c r="L515" s="2113"/>
      <c r="M515" s="2113"/>
      <c r="N515" s="2113"/>
      <c r="O515" s="2085">
        <f>'MFMR Deemed Table '!I437</f>
        <v>5.8089999999999999E-3</v>
      </c>
      <c r="P515" s="2085"/>
      <c r="Q515" s="2086"/>
      <c r="R515" s="2086"/>
      <c r="S515" s="2086"/>
      <c r="T515" s="2086"/>
      <c r="U515" s="2087"/>
      <c r="V515" s="2087">
        <f t="shared" si="365"/>
        <v>5.8089999999999999E-3</v>
      </c>
      <c r="W515" s="2087"/>
      <c r="X515" s="2121">
        <f>'MFMR Deemed Table '!J437</f>
        <v>10</v>
      </c>
      <c r="Y515" s="2121"/>
      <c r="Z515" s="88">
        <f>Y515+X515</f>
        <v>10</v>
      </c>
      <c r="AA515" s="637">
        <f>'MFMR Deemed Table '!BB437</f>
        <v>0.92416064083215987</v>
      </c>
      <c r="AB515" s="2917">
        <f>'MFMR Deemed Table '!K437</f>
        <v>20</v>
      </c>
      <c r="AC515" s="2089">
        <f t="shared" si="343"/>
        <v>17.445222101598109</v>
      </c>
      <c r="AD515" s="2089">
        <f t="shared" si="344"/>
        <v>0</v>
      </c>
      <c r="AE515" s="2955">
        <f>'MFMR Deemed Table '!BD437</f>
        <v>17.445222101598109</v>
      </c>
      <c r="AF515" s="2956"/>
      <c r="AG515" s="2956"/>
      <c r="AH515" s="2956"/>
      <c r="AI515" s="2240" t="str">
        <f>'MFMR Deemed Table '!L437</f>
        <v>per measure</v>
      </c>
      <c r="AM515" s="2057">
        <f t="shared" si="356"/>
        <v>1.148238E-4</v>
      </c>
      <c r="AN515">
        <f t="shared" si="366"/>
        <v>5.8089360420000005E-3</v>
      </c>
      <c r="AO515" s="2048">
        <f t="shared" si="339"/>
        <v>-6.3957999999440796E-8</v>
      </c>
    </row>
    <row r="516" spans="2:41" x14ac:dyDescent="0.25">
      <c r="B516" s="2240" t="str">
        <f>'MFMR Deemed Table '!C465</f>
        <v>501950_2019_12_</v>
      </c>
      <c r="C516" s="208" t="str">
        <f>'MFMR Deemed Table '!G465</f>
        <v>Miscellaneous RES</v>
      </c>
      <c r="D516" s="208"/>
      <c r="E516" s="208"/>
      <c r="F516" s="208"/>
      <c r="G516" s="208" t="str">
        <f>'MFMR Deemed Table '!E465</f>
        <v>Advanced Tier 2 Power Strips  -  A</v>
      </c>
      <c r="H516" s="622" t="str">
        <f>'MFMR Deemed Table '!D465</f>
        <v>MFMR</v>
      </c>
      <c r="I516" s="2084">
        <f>'MFMR Deemed Table '!F465</f>
        <v>237.6</v>
      </c>
      <c r="J516" s="2084"/>
      <c r="K516" s="2113"/>
      <c r="L516" s="2113"/>
      <c r="M516" s="2113"/>
      <c r="N516" s="2113"/>
      <c r="O516" s="2085">
        <f>'MFMR Deemed Table '!I465</f>
        <v>2.7282000000000001E-2</v>
      </c>
      <c r="P516" s="2085"/>
      <c r="Q516" s="2086"/>
      <c r="R516" s="2086"/>
      <c r="S516" s="2086"/>
      <c r="T516" s="2086"/>
      <c r="U516" s="2087"/>
      <c r="V516" s="2087">
        <f t="shared" ref="V516:V524" si="367">O516</f>
        <v>2.7282000000000001E-2</v>
      </c>
      <c r="W516" s="2087"/>
      <c r="X516" s="2121">
        <f>'MFMR Deemed Table '!J465</f>
        <v>10</v>
      </c>
      <c r="Y516" s="2121"/>
      <c r="Z516" s="88">
        <f>Y516+X516</f>
        <v>10</v>
      </c>
      <c r="AA516" s="637">
        <f>'MFMR Deemed Table '!BB465</f>
        <v>2.8935964717891705</v>
      </c>
      <c r="AB516" s="2917">
        <f>'MFMR Deemed Table '!K465</f>
        <v>30</v>
      </c>
      <c r="AC516" s="2089">
        <f t="shared" si="343"/>
        <v>81.932887355993486</v>
      </c>
      <c r="AD516" s="2089">
        <f t="shared" si="344"/>
        <v>0</v>
      </c>
      <c r="AE516" s="2955">
        <f>'MFMR Deemed Table '!BD465</f>
        <v>81.932887355993486</v>
      </c>
      <c r="AF516" s="2956"/>
      <c r="AG516" s="2956"/>
      <c r="AH516" s="2956"/>
      <c r="AI516" s="2240" t="str">
        <f>'MFMR Deemed Table '!L465</f>
        <v>per measure</v>
      </c>
      <c r="AM516" s="2057">
        <f t="shared" si="356"/>
        <v>1.148238E-4</v>
      </c>
      <c r="AN516">
        <f t="shared" si="366"/>
        <v>2.728213488E-2</v>
      </c>
      <c r="AO516" s="2048">
        <f t="shared" si="339"/>
        <v>1.348799999988104E-7</v>
      </c>
    </row>
    <row r="517" spans="2:41" x14ac:dyDescent="0.25">
      <c r="B517" s="2240" t="str">
        <f>'MFMR Deemed Table '!C466</f>
        <v>502000_2019_12_</v>
      </c>
      <c r="C517" s="208" t="str">
        <f>'MFMR Deemed Table '!G466</f>
        <v>Miscellaneous RES</v>
      </c>
      <c r="D517" s="208"/>
      <c r="E517" s="208"/>
      <c r="F517" s="208"/>
      <c r="G517" s="208" t="str">
        <f>'MFMR Deemed Table '!E466</f>
        <v>Advanced Tier 2 Power Strips -  B</v>
      </c>
      <c r="H517" s="622" t="str">
        <f>'MFMR Deemed Table '!D466</f>
        <v>MFMR</v>
      </c>
      <c r="I517" s="2084">
        <f>'MFMR Deemed Table '!F466</f>
        <v>216</v>
      </c>
      <c r="J517" s="2084"/>
      <c r="K517" s="2113"/>
      <c r="L517" s="2113"/>
      <c r="M517" s="2113"/>
      <c r="N517" s="2113"/>
      <c r="O517" s="2085">
        <f>'MFMR Deemed Table '!I466</f>
        <v>2.4802000000000001E-2</v>
      </c>
      <c r="P517" s="2085"/>
      <c r="Q517" s="2086"/>
      <c r="R517" s="2086"/>
      <c r="S517" s="2086"/>
      <c r="T517" s="2086"/>
      <c r="U517" s="2087"/>
      <c r="V517" s="2087">
        <f t="shared" si="367"/>
        <v>2.4802000000000001E-2</v>
      </c>
      <c r="W517" s="2087"/>
      <c r="X517" s="2121">
        <f>'MFMR Deemed Table '!J466</f>
        <v>10</v>
      </c>
      <c r="Y517" s="2121"/>
      <c r="Z517" s="88">
        <f t="shared" ref="Z517:Z534" si="368">Y517+X517</f>
        <v>10</v>
      </c>
      <c r="AA517" s="637">
        <f>'MFMR Deemed Table '!BB466</f>
        <v>2.6305422470810638</v>
      </c>
      <c r="AB517" s="2917">
        <f>'MFMR Deemed Table '!K466</f>
        <v>30</v>
      </c>
      <c r="AC517" s="2089">
        <f t="shared" si="343"/>
        <v>74.484443050903167</v>
      </c>
      <c r="AD517" s="2089">
        <f t="shared" si="344"/>
        <v>0</v>
      </c>
      <c r="AE517" s="2955">
        <f>'MFMR Deemed Table '!BD466</f>
        <v>74.484443050903167</v>
      </c>
      <c r="AF517" s="2956"/>
      <c r="AG517" s="2956"/>
      <c r="AH517" s="2956"/>
      <c r="AI517" s="2240" t="str">
        <f>'MFMR Deemed Table '!L466</f>
        <v>per measure</v>
      </c>
      <c r="AM517" s="2057">
        <f t="shared" si="356"/>
        <v>1.148238E-4</v>
      </c>
      <c r="AN517">
        <f t="shared" si="366"/>
        <v>2.4801940799999998E-2</v>
      </c>
      <c r="AO517" s="2048">
        <f t="shared" si="339"/>
        <v>-5.9200000002840314E-8</v>
      </c>
    </row>
    <row r="518" spans="2:41" x14ac:dyDescent="0.25">
      <c r="B518" s="2240" t="str">
        <f>'MFMR Deemed Table '!C467</f>
        <v>502050_2019_12_</v>
      </c>
      <c r="C518" s="208" t="str">
        <f>'MFMR Deemed Table '!G467</f>
        <v>Miscellaneous RES</v>
      </c>
      <c r="D518" s="208"/>
      <c r="E518" s="208"/>
      <c r="F518" s="208"/>
      <c r="G518" s="208" t="str">
        <f>'MFMR Deemed Table '!E467</f>
        <v>Advanced Tier 2 Power Strips -  C</v>
      </c>
      <c r="H518" s="622" t="str">
        <f>'MFMR Deemed Table '!D467</f>
        <v>MFMR</v>
      </c>
      <c r="I518" s="2084">
        <f>'MFMR Deemed Table '!F467</f>
        <v>194.4</v>
      </c>
      <c r="J518" s="2084"/>
      <c r="K518" s="2113"/>
      <c r="L518" s="2113"/>
      <c r="M518" s="2113"/>
      <c r="N518" s="2113"/>
      <c r="O518" s="2085">
        <f>'MFMR Deemed Table '!I467</f>
        <v>2.2322000000000002E-2</v>
      </c>
      <c r="P518" s="2085"/>
      <c r="Q518" s="2086"/>
      <c r="R518" s="2086"/>
      <c r="S518" s="2086"/>
      <c r="T518" s="2086"/>
      <c r="U518" s="2087"/>
      <c r="V518" s="2087">
        <f t="shared" si="367"/>
        <v>2.2322000000000002E-2</v>
      </c>
      <c r="W518" s="2087"/>
      <c r="X518" s="2121">
        <f>'MFMR Deemed Table '!J467</f>
        <v>10</v>
      </c>
      <c r="Y518" s="2121"/>
      <c r="Z518" s="88">
        <f t="shared" si="368"/>
        <v>10</v>
      </c>
      <c r="AA518" s="637">
        <f>'MFMR Deemed Table '!BB467</f>
        <v>2.3674880223729571</v>
      </c>
      <c r="AB518" s="2917">
        <f>'MFMR Deemed Table '!K467</f>
        <v>30</v>
      </c>
      <c r="AC518" s="2089">
        <f t="shared" si="343"/>
        <v>67.035998745812847</v>
      </c>
      <c r="AD518" s="2089">
        <f t="shared" si="344"/>
        <v>0</v>
      </c>
      <c r="AE518" s="2955">
        <f>'MFMR Deemed Table '!BD467</f>
        <v>67.035998745812847</v>
      </c>
      <c r="AF518" s="2956"/>
      <c r="AG518" s="2956"/>
      <c r="AH518" s="2956"/>
      <c r="AI518" s="2240" t="str">
        <f>'MFMR Deemed Table '!L467</f>
        <v>per measure</v>
      </c>
      <c r="AM518" s="2057">
        <f t="shared" si="356"/>
        <v>1.148238E-4</v>
      </c>
      <c r="AN518">
        <f t="shared" si="366"/>
        <v>2.2321746720000001E-2</v>
      </c>
      <c r="AO518" s="2048">
        <f t="shared" si="339"/>
        <v>-2.5328000000102158E-7</v>
      </c>
    </row>
    <row r="519" spans="2:41" x14ac:dyDescent="0.25">
      <c r="B519" s="2240" t="str">
        <f>'MFMR Deemed Table '!C468</f>
        <v>502100_2019_12_</v>
      </c>
      <c r="C519" s="208" t="str">
        <f>'MFMR Deemed Table '!G468</f>
        <v>Miscellaneous RES</v>
      </c>
      <c r="D519" s="208"/>
      <c r="E519" s="208"/>
      <c r="F519" s="208"/>
      <c r="G519" s="208" t="str">
        <f>'MFMR Deemed Table '!E468</f>
        <v>Advanced Tier 2 Power Strips -  D</v>
      </c>
      <c r="H519" s="622" t="str">
        <f>'MFMR Deemed Table '!D468</f>
        <v>MFMR</v>
      </c>
      <c r="I519" s="2084">
        <f>'MFMR Deemed Table '!F468</f>
        <v>172.8</v>
      </c>
      <c r="J519" s="2084"/>
      <c r="K519" s="2113"/>
      <c r="L519" s="2113"/>
      <c r="M519" s="2113"/>
      <c r="N519" s="2113"/>
      <c r="O519" s="2085">
        <f>'MFMR Deemed Table '!I468</f>
        <v>1.9841999999999999E-2</v>
      </c>
      <c r="P519" s="2085"/>
      <c r="Q519" s="2086"/>
      <c r="R519" s="2086"/>
      <c r="S519" s="2086"/>
      <c r="T519" s="2086"/>
      <c r="U519" s="2087"/>
      <c r="V519" s="2087">
        <f t="shared" si="367"/>
        <v>1.9841999999999999E-2</v>
      </c>
      <c r="W519" s="2087"/>
      <c r="X519" s="2121">
        <f>'MFMR Deemed Table '!J468</f>
        <v>10</v>
      </c>
      <c r="Y519" s="2121"/>
      <c r="Z519" s="88">
        <f t="shared" si="368"/>
        <v>10</v>
      </c>
      <c r="AA519" s="637">
        <f>'MFMR Deemed Table '!BB468</f>
        <v>2.1044337976648513</v>
      </c>
      <c r="AB519" s="2917">
        <f>'MFMR Deemed Table '!K468</f>
        <v>30</v>
      </c>
      <c r="AC519" s="2089">
        <f t="shared" si="343"/>
        <v>59.587554440722535</v>
      </c>
      <c r="AD519" s="2089">
        <f t="shared" si="344"/>
        <v>0</v>
      </c>
      <c r="AE519" s="2955">
        <f>'MFMR Deemed Table '!BD468</f>
        <v>59.587554440722535</v>
      </c>
      <c r="AF519" s="2956"/>
      <c r="AG519" s="2956"/>
      <c r="AH519" s="2956"/>
      <c r="AI519" s="2240" t="str">
        <f>'MFMR Deemed Table '!L468</f>
        <v>per measure</v>
      </c>
      <c r="AM519" s="2057">
        <f t="shared" si="356"/>
        <v>1.148238E-4</v>
      </c>
      <c r="AN519">
        <f t="shared" si="366"/>
        <v>1.9841552639999999E-2</v>
      </c>
      <c r="AO519" s="2048">
        <f t="shared" si="339"/>
        <v>-4.4735999999920284E-7</v>
      </c>
    </row>
    <row r="520" spans="2:41" x14ac:dyDescent="0.25">
      <c r="B520" s="2240" t="str">
        <f>'MFMR Deemed Table '!C469</f>
        <v>502150_2019_12_</v>
      </c>
      <c r="C520" s="208" t="str">
        <f>'MFMR Deemed Table '!G469</f>
        <v>Miscellaneous RES</v>
      </c>
      <c r="D520" s="208"/>
      <c r="E520" s="208"/>
      <c r="F520" s="208"/>
      <c r="G520" s="208" t="str">
        <f>'MFMR Deemed Table '!E469</f>
        <v>Advanced Tier 2 Power Strips -  E</v>
      </c>
      <c r="H520" s="622" t="str">
        <f>'MFMR Deemed Table '!D469</f>
        <v>MFMR</v>
      </c>
      <c r="I520" s="2084">
        <f>'MFMR Deemed Table '!F469</f>
        <v>151.19999999999999</v>
      </c>
      <c r="J520" s="2084"/>
      <c r="K520" s="2113"/>
      <c r="L520" s="2113"/>
      <c r="M520" s="2113"/>
      <c r="N520" s="2113"/>
      <c r="O520" s="2085">
        <f>'MFMR Deemed Table '!I469</f>
        <v>1.7361000000000001E-2</v>
      </c>
      <c r="P520" s="2085"/>
      <c r="Q520" s="2086"/>
      <c r="R520" s="2086"/>
      <c r="S520" s="2086"/>
      <c r="T520" s="2086"/>
      <c r="U520" s="2087"/>
      <c r="V520" s="2087">
        <f t="shared" si="367"/>
        <v>1.7361000000000001E-2</v>
      </c>
      <c r="W520" s="2087"/>
      <c r="X520" s="2121">
        <f>'MFMR Deemed Table '!J469</f>
        <v>10</v>
      </c>
      <c r="Y520" s="2121"/>
      <c r="Z520" s="88">
        <f t="shared" si="368"/>
        <v>10</v>
      </c>
      <c r="AA520" s="637">
        <f>'MFMR Deemed Table '!BB469</f>
        <v>1.8413795729567446</v>
      </c>
      <c r="AB520" s="2917">
        <f>'MFMR Deemed Table '!K469</f>
        <v>30</v>
      </c>
      <c r="AC520" s="2089">
        <f t="shared" si="343"/>
        <v>52.139110135632215</v>
      </c>
      <c r="AD520" s="2089">
        <f t="shared" si="344"/>
        <v>0</v>
      </c>
      <c r="AE520" s="2955">
        <f>'MFMR Deemed Table '!BD469</f>
        <v>52.139110135632215</v>
      </c>
      <c r="AF520" s="2956"/>
      <c r="AG520" s="2956"/>
      <c r="AH520" s="2956"/>
      <c r="AI520" s="2240" t="str">
        <f>'MFMR Deemed Table '!L469</f>
        <v>per measure</v>
      </c>
      <c r="AM520" s="2057">
        <f t="shared" si="356"/>
        <v>1.148238E-4</v>
      </c>
      <c r="AN520">
        <f t="shared" si="366"/>
        <v>1.7361358559999998E-2</v>
      </c>
      <c r="AO520" s="2048">
        <f t="shared" si="339"/>
        <v>3.5855999999667709E-7</v>
      </c>
    </row>
    <row r="521" spans="2:41" x14ac:dyDescent="0.25">
      <c r="B521" s="2240" t="str">
        <f>'MFMR Deemed Table '!C470</f>
        <v>502200_2019_12_</v>
      </c>
      <c r="C521" s="208" t="str">
        <f>'MFMR Deemed Table '!G470</f>
        <v>Miscellaneous RES</v>
      </c>
      <c r="D521" s="208"/>
      <c r="E521" s="208"/>
      <c r="F521" s="208"/>
      <c r="G521" s="208" t="str">
        <f>'MFMR Deemed Table '!E470</f>
        <v>Advanced Tier 2 Power Strips -  F</v>
      </c>
      <c r="H521" s="622" t="str">
        <f>'MFMR Deemed Table '!D470</f>
        <v>MFMR</v>
      </c>
      <c r="I521" s="2084">
        <f>'MFMR Deemed Table '!F470</f>
        <v>129.6</v>
      </c>
      <c r="J521" s="2084"/>
      <c r="K521" s="2113"/>
      <c r="L521" s="2113"/>
      <c r="M521" s="2113"/>
      <c r="N521" s="2113"/>
      <c r="O521" s="2085">
        <f>'MFMR Deemed Table '!I470</f>
        <v>1.4881E-2</v>
      </c>
      <c r="P521" s="2085"/>
      <c r="Q521" s="2086"/>
      <c r="R521" s="2086"/>
      <c r="S521" s="2086"/>
      <c r="T521" s="2086"/>
      <c r="U521" s="2087"/>
      <c r="V521" s="2087">
        <f t="shared" si="367"/>
        <v>1.4881E-2</v>
      </c>
      <c r="W521" s="2087"/>
      <c r="X521" s="2121">
        <f>'MFMR Deemed Table '!J470</f>
        <v>10</v>
      </c>
      <c r="Y521" s="2121"/>
      <c r="Z521" s="88">
        <f t="shared" si="368"/>
        <v>10</v>
      </c>
      <c r="AA521" s="637">
        <f>'MFMR Deemed Table '!BB470</f>
        <v>1.5783253482486381</v>
      </c>
      <c r="AB521" s="2917">
        <f>'MFMR Deemed Table '!K470</f>
        <v>30</v>
      </c>
      <c r="AC521" s="2089">
        <f t="shared" si="343"/>
        <v>44.690665830541896</v>
      </c>
      <c r="AD521" s="2089">
        <f t="shared" si="344"/>
        <v>0</v>
      </c>
      <c r="AE521" s="2955">
        <f>'MFMR Deemed Table '!BD470</f>
        <v>44.690665830541896</v>
      </c>
      <c r="AF521" s="2956"/>
      <c r="AG521" s="2956"/>
      <c r="AH521" s="2956"/>
      <c r="AI521" s="2240" t="str">
        <f>'MFMR Deemed Table '!L470</f>
        <v>per measure</v>
      </c>
      <c r="AM521" s="2057">
        <f t="shared" si="356"/>
        <v>1.148238E-4</v>
      </c>
      <c r="AN521">
        <f t="shared" si="366"/>
        <v>1.4881164479999999E-2</v>
      </c>
      <c r="AO521" s="2048">
        <f t="shared" si="339"/>
        <v>1.6447999999849583E-7</v>
      </c>
    </row>
    <row r="522" spans="2:41" x14ac:dyDescent="0.25">
      <c r="B522" s="2240" t="str">
        <f>'MFMR Deemed Table '!C471</f>
        <v>502250_2019_12_</v>
      </c>
      <c r="C522" s="208" t="str">
        <f>'MFMR Deemed Table '!G471</f>
        <v>Miscellaneous RES</v>
      </c>
      <c r="D522" s="208"/>
      <c r="E522" s="208"/>
      <c r="F522" s="208"/>
      <c r="G522" s="208" t="str">
        <f>'MFMR Deemed Table '!E471</f>
        <v>Advanced Tier 2 Power Strips -  G</v>
      </c>
      <c r="H522" s="622" t="str">
        <f>'MFMR Deemed Table '!D471</f>
        <v>MFMR</v>
      </c>
      <c r="I522" s="2084">
        <f>'MFMR Deemed Table '!F471</f>
        <v>108</v>
      </c>
      <c r="J522" s="2084"/>
      <c r="K522" s="2113"/>
      <c r="L522" s="2113"/>
      <c r="M522" s="2113"/>
      <c r="N522" s="2113"/>
      <c r="O522" s="2085">
        <f>'MFMR Deemed Table '!I471</f>
        <v>1.2401000000000001E-2</v>
      </c>
      <c r="P522" s="2085"/>
      <c r="Q522" s="2086"/>
      <c r="R522" s="2086"/>
      <c r="S522" s="2086"/>
      <c r="T522" s="2086"/>
      <c r="U522" s="2087"/>
      <c r="V522" s="2087">
        <f t="shared" si="367"/>
        <v>1.2401000000000001E-2</v>
      </c>
      <c r="W522" s="2087"/>
      <c r="X522" s="2121">
        <f>'MFMR Deemed Table '!J471</f>
        <v>10</v>
      </c>
      <c r="Y522" s="2121"/>
      <c r="Z522" s="88">
        <f t="shared" si="368"/>
        <v>10</v>
      </c>
      <c r="AA522" s="637">
        <f>'MFMR Deemed Table '!BB471</f>
        <v>1.3152711235405319</v>
      </c>
      <c r="AB522" s="2917">
        <f>'MFMR Deemed Table '!K471</f>
        <v>30</v>
      </c>
      <c r="AC522" s="2089">
        <f t="shared" si="343"/>
        <v>37.242221525451583</v>
      </c>
      <c r="AD522" s="2089">
        <f t="shared" si="344"/>
        <v>0</v>
      </c>
      <c r="AE522" s="2955">
        <f>'MFMR Deemed Table '!BD471</f>
        <v>37.242221525451583</v>
      </c>
      <c r="AF522" s="2956"/>
      <c r="AG522" s="2956"/>
      <c r="AH522" s="2956"/>
      <c r="AI522" s="2240" t="str">
        <f>'MFMR Deemed Table '!L471</f>
        <v>per measure</v>
      </c>
      <c r="AM522" s="2057">
        <f t="shared" si="356"/>
        <v>1.148238E-4</v>
      </c>
      <c r="AN522">
        <f t="shared" si="366"/>
        <v>1.2400970399999999E-2</v>
      </c>
      <c r="AO522" s="2048">
        <f t="shared" si="339"/>
        <v>-2.9600000001420157E-8</v>
      </c>
    </row>
    <row r="523" spans="2:41" x14ac:dyDescent="0.25">
      <c r="B523" s="2240" t="str">
        <f>'MFMR Deemed Table '!C472</f>
        <v>502300_2019_12_</v>
      </c>
      <c r="C523" s="208" t="str">
        <f>'MFMR Deemed Table '!G472</f>
        <v>Miscellaneous RES</v>
      </c>
      <c r="D523" s="208"/>
      <c r="E523" s="208"/>
      <c r="F523" s="208"/>
      <c r="G523" s="208" t="str">
        <f>'MFMR Deemed Table '!E472</f>
        <v>Advanced Tier 2 Power Strips -  H</v>
      </c>
      <c r="H523" s="622" t="str">
        <f>'MFMR Deemed Table '!D472</f>
        <v>MFMR</v>
      </c>
      <c r="I523" s="2084">
        <f>'MFMR Deemed Table '!F472</f>
        <v>86.4</v>
      </c>
      <c r="J523" s="2084"/>
      <c r="K523" s="2113"/>
      <c r="L523" s="2113"/>
      <c r="M523" s="2113"/>
      <c r="N523" s="2113"/>
      <c r="O523" s="2085">
        <f>'MFMR Deemed Table '!I472</f>
        <v>9.9209999999999993E-3</v>
      </c>
      <c r="P523" s="2085"/>
      <c r="Q523" s="2086"/>
      <c r="R523" s="2086"/>
      <c r="S523" s="2086"/>
      <c r="T523" s="2086"/>
      <c r="U523" s="2087"/>
      <c r="V523" s="2087">
        <f t="shared" si="367"/>
        <v>9.9209999999999993E-3</v>
      </c>
      <c r="W523" s="2087"/>
      <c r="X523" s="2121">
        <f>'MFMR Deemed Table '!J472</f>
        <v>10</v>
      </c>
      <c r="Y523" s="2121"/>
      <c r="Z523" s="88">
        <f t="shared" si="368"/>
        <v>10</v>
      </c>
      <c r="AA523" s="637">
        <f>'MFMR Deemed Table '!BB472</f>
        <v>1.0522168988324256</v>
      </c>
      <c r="AB523" s="2917">
        <f>'MFMR Deemed Table '!K472</f>
        <v>30</v>
      </c>
      <c r="AC523" s="2089">
        <f t="shared" si="343"/>
        <v>29.793777220361267</v>
      </c>
      <c r="AD523" s="2089">
        <f t="shared" si="344"/>
        <v>0</v>
      </c>
      <c r="AE523" s="2955">
        <f>'MFMR Deemed Table '!BD472</f>
        <v>29.793777220361267</v>
      </c>
      <c r="AF523" s="2956"/>
      <c r="AG523" s="2956"/>
      <c r="AH523" s="2956"/>
      <c r="AI523" s="2240" t="str">
        <f>'MFMR Deemed Table '!L472</f>
        <v>per measure</v>
      </c>
      <c r="AM523" s="2057">
        <f t="shared" si="356"/>
        <v>1.148238E-4</v>
      </c>
      <c r="AN523">
        <f t="shared" si="366"/>
        <v>9.9207763199999997E-3</v>
      </c>
      <c r="AO523" s="2048">
        <f t="shared" si="339"/>
        <v>-2.2367999999960142E-7</v>
      </c>
    </row>
    <row r="524" spans="2:41" x14ac:dyDescent="0.25">
      <c r="B524" s="2240" t="str">
        <f>'MFMR Deemed Table '!C473</f>
        <v>502350_2019_12_</v>
      </c>
      <c r="C524" s="208" t="str">
        <f>'MFMR Deemed Table '!G473</f>
        <v>Miscellaneous RES</v>
      </c>
      <c r="D524" s="208"/>
      <c r="E524" s="208"/>
      <c r="F524" s="208"/>
      <c r="G524" s="208" t="str">
        <f>'MFMR Deemed Table '!E473</f>
        <v>Advanced Tier 2 Power Strips / TOS/NC / Average</v>
      </c>
      <c r="H524" s="622" t="str">
        <f>'MFMR Deemed Table '!D473</f>
        <v>MFMR</v>
      </c>
      <c r="I524" s="2084">
        <f>'MFMR Deemed Table '!F473</f>
        <v>162</v>
      </c>
      <c r="J524" s="2084"/>
      <c r="K524" s="2113"/>
      <c r="L524" s="2113"/>
      <c r="M524" s="2113"/>
      <c r="N524" s="2113"/>
      <c r="O524" s="2085">
        <f>'MFMR Deemed Table '!I473</f>
        <v>1.8600999999999999E-2</v>
      </c>
      <c r="P524" s="2085"/>
      <c r="Q524" s="2086"/>
      <c r="R524" s="2086"/>
      <c r="S524" s="2086"/>
      <c r="T524" s="2086"/>
      <c r="U524" s="2087"/>
      <c r="V524" s="2087">
        <f t="shared" si="367"/>
        <v>1.8600999999999999E-2</v>
      </c>
      <c r="W524" s="2087"/>
      <c r="X524" s="2121">
        <f>'MFMR Deemed Table '!J473</f>
        <v>10</v>
      </c>
      <c r="Y524" s="2121"/>
      <c r="Z524" s="88">
        <f t="shared" si="368"/>
        <v>10</v>
      </c>
      <c r="AA524" s="637">
        <f>'MFMR Deemed Table '!BB473</f>
        <v>1.9729066853107977</v>
      </c>
      <c r="AB524" s="2917">
        <f>'MFMR Deemed Table '!K473</f>
        <v>30</v>
      </c>
      <c r="AC524" s="2089">
        <f t="shared" si="343"/>
        <v>55.863332288177375</v>
      </c>
      <c r="AD524" s="2089">
        <f t="shared" si="344"/>
        <v>0</v>
      </c>
      <c r="AE524" s="2955">
        <f>'MFMR Deemed Table '!BD473</f>
        <v>55.863332288177375</v>
      </c>
      <c r="AF524" s="2956"/>
      <c r="AG524" s="2956"/>
      <c r="AH524" s="2956"/>
      <c r="AI524" s="2240" t="str">
        <f>'MFMR Deemed Table '!L473</f>
        <v>per measure</v>
      </c>
      <c r="AM524" s="2057">
        <f t="shared" si="356"/>
        <v>1.148238E-4</v>
      </c>
      <c r="AN524">
        <f t="shared" si="366"/>
        <v>1.86014556E-2</v>
      </c>
      <c r="AO524" s="2048">
        <f t="shared" si="339"/>
        <v>4.5560000000097189E-7</v>
      </c>
    </row>
    <row r="525" spans="2:41" x14ac:dyDescent="0.25">
      <c r="B525" s="2240" t="str">
        <f>'MFMR Deemed Table '!C498</f>
        <v>502400_2019_12_</v>
      </c>
      <c r="C525" s="208" t="str">
        <f>'MFMR Deemed Table '!G498</f>
        <v>Pool Spa RES</v>
      </c>
      <c r="D525" s="208"/>
      <c r="E525" s="208"/>
      <c r="F525" s="208"/>
      <c r="G525" s="208" t="str">
        <f>'MFMR Deemed Table '!E498</f>
        <v>Variable Speed Pool Pump</v>
      </c>
      <c r="H525" s="622" t="str">
        <f>'MFMR Deemed Table '!D498</f>
        <v>MFMR</v>
      </c>
      <c r="I525" s="2084">
        <f>'MFMR Deemed Table '!F498</f>
        <v>2052.85</v>
      </c>
      <c r="J525" s="2084"/>
      <c r="K525" s="2113"/>
      <c r="L525" s="2113"/>
      <c r="M525" s="2113"/>
      <c r="N525" s="2113"/>
      <c r="O525" s="2085">
        <f>'MFMR Deemed Table '!L498</f>
        <v>0.48333500000000001</v>
      </c>
      <c r="P525" s="2085"/>
      <c r="Q525" s="2086"/>
      <c r="R525" s="2086"/>
      <c r="S525" s="2086"/>
      <c r="T525" s="2086"/>
      <c r="U525" s="2087"/>
      <c r="V525" s="2087">
        <f>O525</f>
        <v>0.48333500000000001</v>
      </c>
      <c r="W525" s="2087"/>
      <c r="X525" s="2121">
        <f>'MFMR Deemed Table '!M498</f>
        <v>10</v>
      </c>
      <c r="Y525" s="2121"/>
      <c r="Z525" s="88">
        <f t="shared" si="368"/>
        <v>10</v>
      </c>
      <c r="AA525" s="637">
        <f>'MFMR Deemed Table '!BB498</f>
        <v>1.6535777334024884</v>
      </c>
      <c r="AB525" s="2917">
        <f>'MFMR Deemed Table '!N498</f>
        <v>549</v>
      </c>
      <c r="AC525" s="2089">
        <f t="shared" si="343"/>
        <v>856.8326339197414</v>
      </c>
      <c r="AD525" s="2089">
        <f t="shared" si="344"/>
        <v>0</v>
      </c>
      <c r="AE525" s="2955">
        <f>'MFMR Deemed Table '!BD498</f>
        <v>856.8326339197414</v>
      </c>
      <c r="AF525" s="2956"/>
      <c r="AG525" s="2956"/>
      <c r="AH525" s="2956"/>
      <c r="AI525" s="2251" t="str">
        <f>'MFMR Deemed Table '!O498</f>
        <v>per measure</v>
      </c>
      <c r="AM525" s="2057">
        <f t="shared" si="356"/>
        <v>2.3544589999999999E-4</v>
      </c>
      <c r="AN525">
        <f t="shared" si="366"/>
        <v>0.48333511581499994</v>
      </c>
      <c r="AO525" s="2048">
        <f t="shared" si="339"/>
        <v>1.1581499992363575E-7</v>
      </c>
    </row>
    <row r="526" spans="2:41" x14ac:dyDescent="0.25">
      <c r="B526" s="2240" t="str">
        <f>'MFMR Deemed Table '!C534</f>
        <v>502450_2019_12_</v>
      </c>
      <c r="C526" s="208" t="str">
        <f>'MFMR Deemed Table '!G534</f>
        <v>Refrigeration RES</v>
      </c>
      <c r="D526" s="208" t="str">
        <f>'MFMR Deemed Table '!G535</f>
        <v>Refrigeration RES ER2</v>
      </c>
      <c r="E526" s="208"/>
      <c r="F526" s="208"/>
      <c r="G526" s="208" t="str">
        <f>'MFMR Deemed Table '!E534</f>
        <v>Refrigerator - early replacement ER1 (full cost)   -  MFMR</v>
      </c>
      <c r="H526" s="622" t="str">
        <f>'MFMR Deemed Table '!D534</f>
        <v>MFMR</v>
      </c>
      <c r="I526" s="2084">
        <f>'MFMR Deemed Table '!F534</f>
        <v>564.66</v>
      </c>
      <c r="J526" s="2084">
        <f>'MFMR Deemed Table '!F535</f>
        <v>46.72</v>
      </c>
      <c r="K526" s="2113"/>
      <c r="L526" s="2113"/>
      <c r="M526" s="2113"/>
      <c r="N526" s="2113"/>
      <c r="O526" s="2085">
        <f>'MFMR Deemed Table '!I534</f>
        <v>7.2621000000000005E-2</v>
      </c>
      <c r="P526" s="2085">
        <f>'MFMR Deemed Table '!I535</f>
        <v>6.0089999999999996E-3</v>
      </c>
      <c r="Q526" s="2086"/>
      <c r="R526" s="2086"/>
      <c r="S526" s="2086"/>
      <c r="T526" s="2086"/>
      <c r="U526" s="2087"/>
      <c r="V526" s="2087"/>
      <c r="W526" s="2095">
        <f>P526</f>
        <v>6.0089999999999996E-3</v>
      </c>
      <c r="X526" s="2121">
        <f>'MFMR Deemed Table '!J534</f>
        <v>6</v>
      </c>
      <c r="Y526" s="2121">
        <f>'MFMR Deemed Table '!J535</f>
        <v>11</v>
      </c>
      <c r="Z526" s="88">
        <f t="shared" si="368"/>
        <v>17</v>
      </c>
      <c r="AA526" s="637">
        <f>'MFMR Deemed Table '!BB534</f>
        <v>0.18847747808723556</v>
      </c>
      <c r="AB526" s="2917">
        <f>'MFMR Deemed Table '!K534</f>
        <v>753</v>
      </c>
      <c r="AC526" s="2089">
        <f t="shared" si="343"/>
        <v>117.12499089042501</v>
      </c>
      <c r="AD526" s="2089">
        <f t="shared" si="344"/>
        <v>16.828327655765037</v>
      </c>
      <c r="AE526" s="2955">
        <f>'MFMR Deemed Table '!BD534</f>
        <v>117.12499089042501</v>
      </c>
      <c r="AF526" s="2956"/>
      <c r="AG526" s="2958">
        <f>'MFMR Deemed Table '!BD535</f>
        <v>16.828327655765037</v>
      </c>
      <c r="AH526" s="2956"/>
      <c r="AI526" s="2240" t="str">
        <f>'MFMR Deemed Table '!L534</f>
        <v>per measure</v>
      </c>
      <c r="AM526" s="2057">
        <f t="shared" si="356"/>
        <v>1.286107E-4</v>
      </c>
      <c r="AN526">
        <f t="shared" si="366"/>
        <v>7.262131786199999E-2</v>
      </c>
      <c r="AO526" s="2048">
        <f t="shared" si="339"/>
        <v>3.1786199998495857E-7</v>
      </c>
    </row>
    <row r="527" spans="2:41" x14ac:dyDescent="0.25">
      <c r="B527" s="2240" t="str">
        <f>'Appliance Recycle Deemed Table'!C7</f>
        <v>550050_2019_12_</v>
      </c>
      <c r="C527" s="208" t="str">
        <f>'Appliance Recycle Deemed Table'!G7</f>
        <v>Refrigeration RES</v>
      </c>
      <c r="D527" s="208"/>
      <c r="E527" s="208"/>
      <c r="F527" s="208"/>
      <c r="G527" s="208" t="str">
        <f>'Appliance Recycle Deemed Table'!E7</f>
        <v>Refrigerator recycling (pre-1990)</v>
      </c>
      <c r="H527" s="622" t="str">
        <f>'Appliance Recycle Deemed Table'!D7</f>
        <v>Appliance Recycling</v>
      </c>
      <c r="I527" s="2084">
        <f>'Appliance Recycle Deemed Table'!F7</f>
        <v>1020.32</v>
      </c>
      <c r="J527" s="2084"/>
      <c r="K527" s="2113"/>
      <c r="L527" s="2113"/>
      <c r="M527" s="2113"/>
      <c r="N527" s="2113"/>
      <c r="O527" s="2085">
        <f>'Appliance Recycle Deemed Table'!I7</f>
        <v>0.13122400000000001</v>
      </c>
      <c r="P527" s="2085"/>
      <c r="Q527" s="2086"/>
      <c r="R527" s="2086"/>
      <c r="S527" s="2086"/>
      <c r="T527" s="2086"/>
      <c r="U527" s="2087">
        <f t="shared" ref="U527:U532" si="369">O527</f>
        <v>0.13122400000000001</v>
      </c>
      <c r="V527" s="2087">
        <v>0</v>
      </c>
      <c r="W527" s="2087">
        <v>0</v>
      </c>
      <c r="X527" s="2121">
        <f>'Appliance Recycle Deemed Table'!J7</f>
        <v>8</v>
      </c>
      <c r="Y527" s="2121"/>
      <c r="Z527" s="88">
        <f t="shared" si="368"/>
        <v>8</v>
      </c>
      <c r="AA527" s="637">
        <f>'Appliance Recycle Deemed Table'!BB7</f>
        <v>2.1507741668167357</v>
      </c>
      <c r="AB527" s="2917">
        <f>'Appliance Recycle Deemed Table'!K7</f>
        <v>140</v>
      </c>
      <c r="AC527" s="2089">
        <f t="shared" si="343"/>
        <v>284.19856852698723</v>
      </c>
      <c r="AD527" s="2089">
        <f t="shared" si="344"/>
        <v>0</v>
      </c>
      <c r="AE527" s="2955">
        <f>'Appliance Recycle Deemed Table'!BD7</f>
        <v>284.19856852698723</v>
      </c>
      <c r="AF527" s="2956"/>
      <c r="AG527" s="2956"/>
      <c r="AH527" s="2956"/>
      <c r="AI527" s="2240" t="str">
        <f>'Appliance Recycle Deemed Table'!L7</f>
        <v>per measure</v>
      </c>
      <c r="AM527" s="2057">
        <f t="shared" si="356"/>
        <v>1.286107E-4</v>
      </c>
      <c r="AN527">
        <f t="shared" si="366"/>
        <v>0.131224069424</v>
      </c>
      <c r="AO527" s="2048">
        <f t="shared" si="339"/>
        <v>6.9423999993212249E-8</v>
      </c>
    </row>
    <row r="528" spans="2:41" x14ac:dyDescent="0.25">
      <c r="B528" s="2240" t="str">
        <f>'Appliance Recycle Deemed Table'!C8</f>
        <v>550100_2019_12_</v>
      </c>
      <c r="C528" s="208" t="str">
        <f>'Appliance Recycle Deemed Table'!G8</f>
        <v>Refrigeration RES</v>
      </c>
      <c r="D528" s="208"/>
      <c r="E528" s="208"/>
      <c r="F528" s="208"/>
      <c r="G528" s="208" t="str">
        <f>'Appliance Recycle Deemed Table'!E8</f>
        <v>Refrigerator recycling (post-1990)</v>
      </c>
      <c r="H528" s="622" t="str">
        <f>'Appliance Recycle Deemed Table'!D8</f>
        <v>Appliance Recycling</v>
      </c>
      <c r="I528" s="2084">
        <f>'Appliance Recycle Deemed Table'!F8</f>
        <v>520</v>
      </c>
      <c r="J528" s="2084"/>
      <c r="K528" s="2113"/>
      <c r="L528" s="2113"/>
      <c r="M528" s="2113"/>
      <c r="N528" s="2113"/>
      <c r="O528" s="2085">
        <f>'Appliance Recycle Deemed Table'!I8</f>
        <v>6.6878000000000007E-2</v>
      </c>
      <c r="P528" s="2085"/>
      <c r="Q528" s="2086"/>
      <c r="R528" s="2086"/>
      <c r="S528" s="2086"/>
      <c r="T528" s="2086"/>
      <c r="U528" s="2087">
        <f t="shared" si="369"/>
        <v>6.6878000000000007E-2</v>
      </c>
      <c r="V528" s="2087">
        <v>0</v>
      </c>
      <c r="W528" s="2087">
        <v>0</v>
      </c>
      <c r="X528" s="2121">
        <f>'Appliance Recycle Deemed Table'!J8</f>
        <v>8</v>
      </c>
      <c r="Y528" s="2121"/>
      <c r="Z528" s="88">
        <f t="shared" si="368"/>
        <v>8</v>
      </c>
      <c r="AA528" s="637">
        <f>'Appliance Recycle Deemed Table'!BB8</f>
        <v>1.0961292209745006</v>
      </c>
      <c r="AB528" s="2917">
        <f>'Appliance Recycle Deemed Table'!K8</f>
        <v>140</v>
      </c>
      <c r="AC528" s="2089">
        <f t="shared" si="343"/>
        <v>144.8401047063993</v>
      </c>
      <c r="AD528" s="2089">
        <f t="shared" si="344"/>
        <v>0</v>
      </c>
      <c r="AE528" s="2955">
        <f>'Appliance Recycle Deemed Table'!BD8</f>
        <v>144.8401047063993</v>
      </c>
      <c r="AF528" s="2956"/>
      <c r="AG528" s="2956"/>
      <c r="AH528" s="2956"/>
      <c r="AI528" s="2240" t="str">
        <f>'Appliance Recycle Deemed Table'!L8</f>
        <v>per measure</v>
      </c>
      <c r="AM528" s="2057">
        <f t="shared" si="356"/>
        <v>1.286107E-4</v>
      </c>
      <c r="AN528">
        <f t="shared" si="366"/>
        <v>6.6877564E-2</v>
      </c>
      <c r="AO528" s="2048">
        <f t="shared" si="339"/>
        <v>-4.3600000000643124E-7</v>
      </c>
    </row>
    <row r="529" spans="2:41" x14ac:dyDescent="0.25">
      <c r="B529" s="2240" t="str">
        <f>'Appliance Recycle Deemed Table'!C22</f>
        <v>550150_2019_12_</v>
      </c>
      <c r="C529" s="208" t="str">
        <f>'Appliance Recycle Deemed Table'!G22</f>
        <v>Freezer RES</v>
      </c>
      <c r="D529" s="208"/>
      <c r="E529" s="208"/>
      <c r="F529" s="208"/>
      <c r="G529" s="208" t="str">
        <f>'Appliance Recycle Deemed Table'!E22</f>
        <v>Freezer recycling</v>
      </c>
      <c r="H529" s="622" t="str">
        <f>'Appliance Recycle Deemed Table'!D22</f>
        <v>Appliance Recycling</v>
      </c>
      <c r="I529" s="2084">
        <f>'Appliance Recycle Deemed Table'!F22</f>
        <v>825.22</v>
      </c>
      <c r="J529" s="2084"/>
      <c r="K529" s="2113"/>
      <c r="L529" s="2113"/>
      <c r="M529" s="2113"/>
      <c r="N529" s="2113"/>
      <c r="O529" s="2085">
        <f>'Appliance Recycle Deemed Table'!I22</f>
        <v>0.13910900000000001</v>
      </c>
      <c r="P529" s="2085"/>
      <c r="Q529" s="2086"/>
      <c r="R529" s="2086"/>
      <c r="S529" s="2086"/>
      <c r="T529" s="2086"/>
      <c r="U529" s="2087">
        <f t="shared" si="369"/>
        <v>0.13910900000000001</v>
      </c>
      <c r="V529" s="2087">
        <v>0</v>
      </c>
      <c r="W529" s="2087">
        <v>0</v>
      </c>
      <c r="X529" s="2121">
        <f>'Appliance Recycle Deemed Table'!J22</f>
        <v>8</v>
      </c>
      <c r="Y529" s="2121"/>
      <c r="Z529" s="88">
        <f t="shared" si="368"/>
        <v>8</v>
      </c>
      <c r="AA529" s="637">
        <f>'Appliance Recycle Deemed Table'!BB22</f>
        <v>1.8949194933470492</v>
      </c>
      <c r="AB529" s="2917">
        <f>'Appliance Recycle Deemed Table'!K22</f>
        <v>140</v>
      </c>
      <c r="AC529" s="2089">
        <f t="shared" si="343"/>
        <v>250.39049463764687</v>
      </c>
      <c r="AD529" s="2089">
        <f t="shared" si="344"/>
        <v>0</v>
      </c>
      <c r="AE529" s="2955">
        <f>'Appliance Recycle Deemed Table'!BD22</f>
        <v>250.39049463764687</v>
      </c>
      <c r="AF529" s="2956"/>
      <c r="AG529" s="2956"/>
      <c r="AH529" s="2956"/>
      <c r="AI529" s="2240" t="str">
        <f>'Appliance Recycle Deemed Table'!L22</f>
        <v>per measure</v>
      </c>
      <c r="AM529" s="2057">
        <f t="shared" si="356"/>
        <v>1.6857220000000001E-4</v>
      </c>
      <c r="AN529">
        <f t="shared" si="366"/>
        <v>0.13910915088400003</v>
      </c>
      <c r="AO529" s="2048">
        <f t="shared" si="339"/>
        <v>1.5088400001639357E-7</v>
      </c>
    </row>
    <row r="530" spans="2:41" x14ac:dyDescent="0.25">
      <c r="B530" s="2240" t="str">
        <f>'Appliance Recycle Deemed Table'!C35</f>
        <v>550200_2019_12_</v>
      </c>
      <c r="C530" s="208" t="str">
        <f>'Appliance Recycle Deemed Table'!G35</f>
        <v>Cooling RES</v>
      </c>
      <c r="D530" s="208"/>
      <c r="E530" s="208"/>
      <c r="F530" s="208"/>
      <c r="G530" s="208" t="str">
        <f>'Appliance Recycle Deemed Table'!E35</f>
        <v>Room AC recycling - Primary</v>
      </c>
      <c r="H530" s="622" t="str">
        <f>'Appliance Recycle Deemed Table'!D35</f>
        <v>Appliance Recycling</v>
      </c>
      <c r="I530" s="2084">
        <f>'Appliance Recycle Deemed Table'!F35</f>
        <v>302.52999999999997</v>
      </c>
      <c r="J530" s="2084"/>
      <c r="K530" s="2113"/>
      <c r="L530" s="2113"/>
      <c r="M530" s="2113"/>
      <c r="N530" s="2113"/>
      <c r="O530" s="2085">
        <f>'Appliance Recycle Deemed Table'!I35</f>
        <v>0.28662199999999999</v>
      </c>
      <c r="P530" s="2085"/>
      <c r="Q530" s="2086"/>
      <c r="R530" s="2086"/>
      <c r="S530" s="2086"/>
      <c r="T530" s="2086"/>
      <c r="U530" s="2087">
        <f t="shared" si="369"/>
        <v>0.28662199999999999</v>
      </c>
      <c r="V530" s="2087">
        <v>0</v>
      </c>
      <c r="W530" s="2087">
        <v>0</v>
      </c>
      <c r="X530" s="2121">
        <f>'Appliance Recycle Deemed Table'!J35</f>
        <v>4</v>
      </c>
      <c r="Y530" s="2121"/>
      <c r="Z530" s="88">
        <f t="shared" si="368"/>
        <v>4</v>
      </c>
      <c r="AA530" s="637">
        <f>'Appliance Recycle Deemed Table'!BB35</f>
        <v>1.8106496480376837</v>
      </c>
      <c r="AB530" s="2917">
        <f>'Appliance Recycle Deemed Table'!K35</f>
        <v>64.887118193891098</v>
      </c>
      <c r="AC530" s="2089">
        <f t="shared" si="343"/>
        <v>110.88988930622793</v>
      </c>
      <c r="AD530" s="2089">
        <f t="shared" si="344"/>
        <v>0</v>
      </c>
      <c r="AE530" s="2955">
        <f>'Appliance Recycle Deemed Table'!BD35</f>
        <v>110.88988930622793</v>
      </c>
      <c r="AF530" s="2956"/>
      <c r="AG530" s="2956"/>
      <c r="AH530" s="2956"/>
      <c r="AI530" s="2240" t="str">
        <f>'Appliance Recycle Deemed Table'!L35</f>
        <v>per measure</v>
      </c>
      <c r="AM530" s="2057">
        <f t="shared" si="356"/>
        <v>9.4741810000000004E-4</v>
      </c>
      <c r="AN530">
        <f t="shared" si="366"/>
        <v>0.28662239779299997</v>
      </c>
      <c r="AO530" s="2048">
        <f t="shared" si="339"/>
        <v>3.9779299998432549E-7</v>
      </c>
    </row>
    <row r="531" spans="2:41" x14ac:dyDescent="0.25">
      <c r="B531" s="2240" t="str">
        <f>'Appliance Recycle Deemed Table'!C36</f>
        <v>550250_2019_12_</v>
      </c>
      <c r="C531" s="208" t="str">
        <f>'Appliance Recycle Deemed Table'!G36</f>
        <v>Cooling RES</v>
      </c>
      <c r="D531" s="208"/>
      <c r="E531" s="208"/>
      <c r="F531" s="208"/>
      <c r="G531" s="208" t="str">
        <f>'Appliance Recycle Deemed Table'!E36</f>
        <v>Room AC recycling - Secondary</v>
      </c>
      <c r="H531" s="622" t="str">
        <f>'Appliance Recycle Deemed Table'!D36</f>
        <v>Appliance Recycling</v>
      </c>
      <c r="I531" s="2084">
        <f>'Appliance Recycle Deemed Table'!F36</f>
        <v>195.59</v>
      </c>
      <c r="J531" s="2084"/>
      <c r="K531" s="2113"/>
      <c r="L531" s="2113"/>
      <c r="M531" s="2113"/>
      <c r="N531" s="2113"/>
      <c r="O531" s="2085">
        <f>'Appliance Recycle Deemed Table'!I36</f>
        <v>0.185306</v>
      </c>
      <c r="P531" s="2085"/>
      <c r="Q531" s="2086"/>
      <c r="R531" s="2086"/>
      <c r="S531" s="2086"/>
      <c r="T531" s="2086"/>
      <c r="U531" s="2087">
        <f t="shared" si="369"/>
        <v>0.185306</v>
      </c>
      <c r="V531" s="2087">
        <v>0</v>
      </c>
      <c r="W531" s="2087">
        <v>0</v>
      </c>
      <c r="X531" s="2121">
        <f>'Appliance Recycle Deemed Table'!J36</f>
        <v>4</v>
      </c>
      <c r="Y531" s="2121"/>
      <c r="Z531" s="88">
        <f t="shared" si="368"/>
        <v>4</v>
      </c>
      <c r="AA531" s="637">
        <f>'Appliance Recycle Deemed Table'!BB36</f>
        <v>1.1706110622407384</v>
      </c>
      <c r="AB531" s="2917">
        <f>'Appliance Recycle Deemed Table'!K36</f>
        <v>64.887118193891098</v>
      </c>
      <c r="AC531" s="2089">
        <f t="shared" si="343"/>
        <v>71.69190972599452</v>
      </c>
      <c r="AD531" s="2089">
        <f t="shared" si="344"/>
        <v>0</v>
      </c>
      <c r="AE531" s="2955">
        <f>'Appliance Recycle Deemed Table'!BD36</f>
        <v>71.69190972599452</v>
      </c>
      <c r="AF531" s="2956"/>
      <c r="AG531" s="2956"/>
      <c r="AH531" s="2956"/>
      <c r="AI531" s="2240" t="str">
        <f>'Appliance Recycle Deemed Table'!L36</f>
        <v>per measure</v>
      </c>
      <c r="AM531" s="2057">
        <f t="shared" si="356"/>
        <v>9.4741810000000004E-4</v>
      </c>
      <c r="AN531">
        <f t="shared" si="366"/>
        <v>0.18530550617900002</v>
      </c>
      <c r="AO531" s="2048">
        <f t="shared" si="339"/>
        <v>-4.9382099998052098E-7</v>
      </c>
    </row>
    <row r="532" spans="2:41" x14ac:dyDescent="0.25">
      <c r="B532" s="2240" t="str">
        <f>'Appliance Recycle Deemed Table'!C58</f>
        <v>550300_2019_12_</v>
      </c>
      <c r="C532" s="208" t="str">
        <f>'Appliance Recycle Deemed Table'!G58</f>
        <v>HVAC RES</v>
      </c>
      <c r="D532" s="208"/>
      <c r="E532" s="208"/>
      <c r="F532" s="208"/>
      <c r="G532" s="208" t="str">
        <f>'Appliance Recycle Deemed Table'!E58</f>
        <v>Dehumidifier Recycling</v>
      </c>
      <c r="H532" s="622" t="str">
        <f>'Appliance Recycle Deemed Table'!D58</f>
        <v>Appliance Recycling</v>
      </c>
      <c r="I532" s="2084">
        <f>'Appliance Recycle Deemed Table'!F58</f>
        <v>139</v>
      </c>
      <c r="J532" s="2084"/>
      <c r="K532" s="2113"/>
      <c r="L532" s="2113"/>
      <c r="M532" s="2113"/>
      <c r="N532" s="2113"/>
      <c r="O532" s="2085">
        <f>'Appliance Recycle Deemed Table'!I58</f>
        <v>6.4784999999999995E-2</v>
      </c>
      <c r="P532" s="2085"/>
      <c r="Q532" s="2086"/>
      <c r="R532" s="2086"/>
      <c r="S532" s="2086"/>
      <c r="T532" s="2086"/>
      <c r="U532" s="2087">
        <f t="shared" si="369"/>
        <v>6.4784999999999995E-2</v>
      </c>
      <c r="V532" s="2087">
        <v>0</v>
      </c>
      <c r="W532" s="2087">
        <v>0</v>
      </c>
      <c r="X532" s="2121">
        <f>'Appliance Recycle Deemed Table'!J58</f>
        <v>5</v>
      </c>
      <c r="Y532" s="2121"/>
      <c r="Z532" s="88">
        <f t="shared" si="368"/>
        <v>5</v>
      </c>
      <c r="AA532" s="637">
        <f>'Appliance Recycle Deemed Table'!BB58</f>
        <v>1.0378649458641431</v>
      </c>
      <c r="AB532" s="2917">
        <f>'Appliance Recycle Deemed Table'!K58</f>
        <v>42.762284196547142</v>
      </c>
      <c r="AC532" s="2089">
        <f t="shared" si="343"/>
        <v>41.889075764678154</v>
      </c>
      <c r="AD532" s="2089">
        <f t="shared" si="344"/>
        <v>0</v>
      </c>
      <c r="AE532" s="2955">
        <f>'Appliance Recycle Deemed Table'!BD58</f>
        <v>41.889075764678154</v>
      </c>
      <c r="AF532" s="2956"/>
      <c r="AG532" s="2956"/>
      <c r="AH532" s="2956"/>
      <c r="AI532" s="2240" t="str">
        <f>'Appliance Recycle Deemed Table'!L58</f>
        <v>per measure</v>
      </c>
      <c r="AM532" s="2057">
        <f t="shared" si="356"/>
        <v>4.6608050000000002E-4</v>
      </c>
      <c r="AN532">
        <f t="shared" si="366"/>
        <v>6.4785189500000007E-2</v>
      </c>
      <c r="AO532" s="2048">
        <f t="shared" si="339"/>
        <v>1.8950000001127787E-7</v>
      </c>
    </row>
    <row r="533" spans="2:41" x14ac:dyDescent="0.25">
      <c r="B533" s="2240" t="str">
        <f>'Demand Response Deemed Table'!C7</f>
        <v>600050_2020_12_</v>
      </c>
      <c r="C533" s="208" t="str">
        <f>'Demand Response Deemed Table'!G7</f>
        <v>HVAC RES</v>
      </c>
      <c r="D533" s="208"/>
      <c r="E533" s="208"/>
      <c r="F533" s="208"/>
      <c r="G533" s="208" t="str">
        <f>'Demand Response Deemed Table'!E7</f>
        <v>Demand Response Advanced Thermostat</v>
      </c>
      <c r="H533" s="622" t="str">
        <f>'Demand Response Deemed Table'!D7</f>
        <v>DR</v>
      </c>
      <c r="I533" s="2084">
        <f>'Demand Response Deemed Table'!F7</f>
        <v>55.97</v>
      </c>
      <c r="J533" s="2084"/>
      <c r="K533" s="2113"/>
      <c r="L533" s="2113"/>
      <c r="M533" s="2113"/>
      <c r="N533" s="2113"/>
      <c r="O533" s="2085" t="str">
        <f>'Demand Response Deemed Table'!I7</f>
        <v>-</v>
      </c>
      <c r="P533" s="2085"/>
      <c r="Q533" s="2086"/>
      <c r="R533" s="2086"/>
      <c r="S533" s="2086"/>
      <c r="T533" s="2086"/>
      <c r="U533" s="2087">
        <v>0</v>
      </c>
      <c r="V533" s="2087">
        <v>0</v>
      </c>
      <c r="W533" s="2087">
        <v>0</v>
      </c>
      <c r="X533" s="2121">
        <f>'Demand Response Deemed Table'!J7</f>
        <v>11</v>
      </c>
      <c r="Y533" s="2121"/>
      <c r="Z533" s="88">
        <f t="shared" si="368"/>
        <v>11</v>
      </c>
      <c r="AA533" s="2099" t="str">
        <f>'Demand Response Deemed Table'!BB7</f>
        <v/>
      </c>
      <c r="AB533" s="2917">
        <f>'Demand Response Deemed Table'!K7</f>
        <v>0</v>
      </c>
      <c r="AC533" s="2090">
        <f t="shared" si="343"/>
        <v>0</v>
      </c>
      <c r="AD533" s="2090">
        <f t="shared" si="344"/>
        <v>0</v>
      </c>
      <c r="AE533" s="2959">
        <f>'Demand Response Deemed Table'!BD7</f>
        <v>0</v>
      </c>
      <c r="AF533" s="2956"/>
      <c r="AG533" s="2956"/>
      <c r="AH533" s="2956"/>
      <c r="AI533" s="2240" t="str">
        <f>'Demand Response Deemed Table'!L7</f>
        <v>per thermostat</v>
      </c>
      <c r="AM533" s="2057"/>
      <c r="AO533" s="2048"/>
    </row>
    <row r="534" spans="2:41" x14ac:dyDescent="0.25">
      <c r="B534" s="2240" t="str">
        <f>'BUS Deemed Savings Table'!C9</f>
        <v>800050_2019_12_</v>
      </c>
      <c r="C534" s="208" t="str">
        <f>'BUS Deemed Savings Table'!G9</f>
        <v>Lighting BUS</v>
      </c>
      <c r="D534" s="208"/>
      <c r="E534" s="208"/>
      <c r="F534" s="208"/>
      <c r="G534" s="208" t="str">
        <f>'BUS Deemed Savings Table'!E9</f>
        <v>LED &lt;=11 Watt Lamp Replacing Interior Halogen A 28-52 Watt Lamp</v>
      </c>
      <c r="H534" s="622" t="str">
        <f>'BUS Deemed Savings Table'!D9</f>
        <v>C&amp;I</v>
      </c>
      <c r="I534" s="2084">
        <f>'BUS Deemed Savings Table'!F9</f>
        <v>173.16</v>
      </c>
      <c r="J534" s="2084"/>
      <c r="K534" s="2113"/>
      <c r="L534" s="2113"/>
      <c r="M534" s="2113"/>
      <c r="N534" s="2113"/>
      <c r="O534" s="2085">
        <f>'BUS Deemed Savings Table'!I9</f>
        <v>3.2894E-2</v>
      </c>
      <c r="P534" s="2085"/>
      <c r="Q534" s="2086"/>
      <c r="R534" s="2086"/>
      <c r="S534" s="2086"/>
      <c r="T534" s="2086"/>
      <c r="U534" s="2100">
        <f>IF(V534+W534&gt;0,0,IF(Z534&gt;0,O534,0))</f>
        <v>0</v>
      </c>
      <c r="V534" s="2100">
        <f>IF(W534&gt;0,0,IF(Z534&gt;9,O534,0))</f>
        <v>0</v>
      </c>
      <c r="W534" s="2100">
        <f>IF(Z534&gt;14,O534,0)</f>
        <v>3.2894E-2</v>
      </c>
      <c r="X534" s="2121">
        <f>'BUS Deemed Savings Table'!J9</f>
        <v>17</v>
      </c>
      <c r="Y534" s="2121"/>
      <c r="Z534" s="88">
        <f t="shared" si="368"/>
        <v>17</v>
      </c>
      <c r="AA534" s="637">
        <f>'BUS Deemed Savings Table'!DB9</f>
        <v>7.5546175411873469</v>
      </c>
      <c r="AB534" s="2917">
        <f>'BUS Deemed Savings Table'!K9</f>
        <v>15.64</v>
      </c>
      <c r="AC534" s="2101">
        <f t="shared" si="343"/>
        <v>111.51884695060888</v>
      </c>
      <c r="AD534" s="2101">
        <f t="shared" si="344"/>
        <v>0</v>
      </c>
      <c r="AE534" s="2955">
        <f>'BUS Deemed Savings Table'!DD9</f>
        <v>111.51884695060888</v>
      </c>
      <c r="AF534" s="2956"/>
      <c r="AG534" s="2956"/>
      <c r="AH534" s="2956"/>
      <c r="AI534" s="2240" t="str">
        <f>'BUS Deemed Savings Table'!L9</f>
        <v>per measure</v>
      </c>
      <c r="AM534" s="2057">
        <f t="shared" ref="AM534:AM573" si="370">VLOOKUP(C534,$AS$10:$AT$47,2,FALSE)</f>
        <v>1.899635E-4</v>
      </c>
      <c r="AN534">
        <f t="shared" ref="AN534:AN573" si="371">AM534*I534</f>
        <v>3.2894079659999999E-2</v>
      </c>
      <c r="AO534" s="2048">
        <f t="shared" ref="AO534:AO573" si="372">AN534-O534</f>
        <v>7.9659999999148745E-8</v>
      </c>
    </row>
    <row r="535" spans="2:41" x14ac:dyDescent="0.25">
      <c r="B535" s="2240" t="str">
        <f>'BUS Deemed Savings Table'!C10</f>
        <v>800100_2019_12_</v>
      </c>
      <c r="C535" s="208" t="str">
        <f>'BUS Deemed Savings Table'!G10</f>
        <v>Lighting BUS</v>
      </c>
      <c r="D535" s="208"/>
      <c r="E535" s="208"/>
      <c r="F535" s="208"/>
      <c r="G535" s="208" t="str">
        <f>'BUS Deemed Savings Table'!E10</f>
        <v>LED 7-20 Watt Lamp Replacing Interior Halogen 53-70 Watt Lamp</v>
      </c>
      <c r="H535" s="622" t="str">
        <f>'BUS Deemed Savings Table'!D10</f>
        <v>C&amp;I</v>
      </c>
      <c r="I535" s="2084">
        <f>'BUS Deemed Savings Table'!F10</f>
        <v>132.04</v>
      </c>
      <c r="J535" s="2084"/>
      <c r="K535" s="2113"/>
      <c r="L535" s="2113"/>
      <c r="M535" s="2113"/>
      <c r="N535" s="2113"/>
      <c r="O535" s="2085">
        <f>'BUS Deemed Savings Table'!I10</f>
        <v>2.5083000000000001E-2</v>
      </c>
      <c r="P535" s="2085"/>
      <c r="Q535" s="2086"/>
      <c r="R535" s="2086"/>
      <c r="S535" s="2086"/>
      <c r="T535" s="2086"/>
      <c r="U535" s="2100">
        <f t="shared" ref="U535:U549" si="373">IF(V535+W535&gt;0,0,IF(Z535&gt;0,O535,0))</f>
        <v>0</v>
      </c>
      <c r="V535" s="2100">
        <f t="shared" ref="V535:V549" si="374">IF(W535&gt;0,0,IF(Z535&gt;9,O535,0))</f>
        <v>0</v>
      </c>
      <c r="W535" s="2100">
        <f t="shared" ref="W535:W549" si="375">IF(Z535&gt;14,O535,0)</f>
        <v>2.5083000000000001E-2</v>
      </c>
      <c r="X535" s="2121">
        <f>'BUS Deemed Savings Table'!J10</f>
        <v>17</v>
      </c>
      <c r="Y535" s="2121"/>
      <c r="Z535" s="88">
        <f t="shared" ref="Z535:Z555" si="376">Y535+X535</f>
        <v>17</v>
      </c>
      <c r="AA535" s="637">
        <f>'BUS Deemed Savings Table'!DB10</f>
        <v>4.587390242593826</v>
      </c>
      <c r="AB535" s="2917">
        <f>'BUS Deemed Savings Table'!K10</f>
        <v>19.64</v>
      </c>
      <c r="AC535" s="2101">
        <f t="shared" si="343"/>
        <v>85.036662920757664</v>
      </c>
      <c r="AD535" s="2101">
        <f t="shared" si="344"/>
        <v>0</v>
      </c>
      <c r="AE535" s="2955">
        <f>'BUS Deemed Savings Table'!DD10</f>
        <v>85.036662920757664</v>
      </c>
      <c r="AF535" s="2956"/>
      <c r="AG535" s="2956"/>
      <c r="AH535" s="2956"/>
      <c r="AI535" s="2240" t="str">
        <f>'BUS Deemed Savings Table'!L10</f>
        <v>per measure</v>
      </c>
      <c r="AM535" s="2057">
        <f t="shared" si="370"/>
        <v>1.899635E-4</v>
      </c>
      <c r="AN535">
        <f t="shared" si="371"/>
        <v>2.5082780539999999E-2</v>
      </c>
      <c r="AO535" s="2048">
        <f t="shared" si="372"/>
        <v>-2.1946000000258592E-7</v>
      </c>
    </row>
    <row r="536" spans="2:41" x14ac:dyDescent="0.25">
      <c r="B536" s="2240" t="str">
        <f>'BUS Deemed Savings Table'!C11</f>
        <v>800150_2019_12_</v>
      </c>
      <c r="C536" s="208" t="str">
        <f>'BUS Deemed Savings Table'!G11</f>
        <v>Lighting BUS</v>
      </c>
      <c r="D536" s="208"/>
      <c r="E536" s="208"/>
      <c r="F536" s="208"/>
      <c r="G536" s="208" t="str">
        <f>'BUS Deemed Savings Table'!E11</f>
        <v>LED &lt;=14 Watt Lamp Replacing Interior Halogen BR/R 45-65 Watt Lamp</v>
      </c>
      <c r="H536" s="622" t="str">
        <f>'BUS Deemed Savings Table'!D11</f>
        <v>C&amp;I</v>
      </c>
      <c r="I536" s="2084">
        <f>'BUS Deemed Savings Table'!F11</f>
        <v>161.96</v>
      </c>
      <c r="J536" s="2084"/>
      <c r="K536" s="2113"/>
      <c r="L536" s="2113"/>
      <c r="M536" s="2113"/>
      <c r="N536" s="2113"/>
      <c r="O536" s="2085">
        <f>'BUS Deemed Savings Table'!I11</f>
        <v>3.0766000000000002E-2</v>
      </c>
      <c r="P536" s="2085"/>
      <c r="Q536" s="2086"/>
      <c r="R536" s="2086"/>
      <c r="S536" s="2086"/>
      <c r="T536" s="2086"/>
      <c r="U536" s="2100">
        <f t="shared" si="373"/>
        <v>0</v>
      </c>
      <c r="V536" s="2100">
        <f t="shared" si="374"/>
        <v>3.0766000000000002E-2</v>
      </c>
      <c r="W536" s="2100">
        <f t="shared" si="375"/>
        <v>0</v>
      </c>
      <c r="X536" s="2121">
        <f>'BUS Deemed Savings Table'!J11</f>
        <v>11</v>
      </c>
      <c r="Y536" s="2121"/>
      <c r="Z536" s="88">
        <f t="shared" si="376"/>
        <v>11</v>
      </c>
      <c r="AA536" s="637">
        <f>'BUS Deemed Savings Table'!DB11</f>
        <v>1.5414922622469123</v>
      </c>
      <c r="AB536" s="2917">
        <f>'BUS Deemed Savings Table'!K11</f>
        <v>48.27</v>
      </c>
      <c r="AC536" s="2101">
        <f t="shared" si="343"/>
        <v>70.229194430069327</v>
      </c>
      <c r="AD536" s="2101">
        <f t="shared" si="344"/>
        <v>0</v>
      </c>
      <c r="AE536" s="2955">
        <f>'BUS Deemed Savings Table'!DD11</f>
        <v>70.229194430069327</v>
      </c>
      <c r="AF536" s="2956"/>
      <c r="AG536" s="2956"/>
      <c r="AH536" s="2956"/>
      <c r="AI536" s="2240" t="str">
        <f>'BUS Deemed Savings Table'!L11</f>
        <v>per measure</v>
      </c>
      <c r="AM536" s="2057">
        <f t="shared" si="370"/>
        <v>1.899635E-4</v>
      </c>
      <c r="AN536">
        <f t="shared" si="371"/>
        <v>3.0766488460000001E-2</v>
      </c>
      <c r="AO536" s="2048">
        <f t="shared" si="372"/>
        <v>4.8845999999977407E-7</v>
      </c>
    </row>
    <row r="537" spans="2:41" x14ac:dyDescent="0.25">
      <c r="B537" s="2240" t="str">
        <f>'BUS Deemed Savings Table'!C12</f>
        <v>800200_2019_12_</v>
      </c>
      <c r="C537" s="208" t="str">
        <f>'BUS Deemed Savings Table'!G12</f>
        <v>Lighting BUS</v>
      </c>
      <c r="D537" s="208"/>
      <c r="E537" s="208"/>
      <c r="F537" s="208"/>
      <c r="G537" s="208" t="str">
        <f>'BUS Deemed Savings Table'!E12</f>
        <v>LED &lt;=13 Watt Lamp Replacing Interior Halogen MR-16 35-50 Watt Lamp</v>
      </c>
      <c r="H537" s="622" t="str">
        <f>'BUS Deemed Savings Table'!D12</f>
        <v>C&amp;I</v>
      </c>
      <c r="I537" s="2084">
        <f>'BUS Deemed Savings Table'!F12</f>
        <v>154.05000000000001</v>
      </c>
      <c r="J537" s="2084"/>
      <c r="K537" s="2113"/>
      <c r="L537" s="2113"/>
      <c r="M537" s="2113"/>
      <c r="N537" s="2113"/>
      <c r="O537" s="2085">
        <f>'BUS Deemed Savings Table'!I12</f>
        <v>2.9263999999999998E-2</v>
      </c>
      <c r="P537" s="2085"/>
      <c r="Q537" s="2086"/>
      <c r="R537" s="2086"/>
      <c r="S537" s="2086"/>
      <c r="T537" s="2086"/>
      <c r="U537" s="2100">
        <f t="shared" si="373"/>
        <v>0</v>
      </c>
      <c r="V537" s="2100">
        <f t="shared" si="374"/>
        <v>2.9263999999999998E-2</v>
      </c>
      <c r="W537" s="2100">
        <f t="shared" si="375"/>
        <v>0</v>
      </c>
      <c r="X537" s="2121">
        <f>'BUS Deemed Savings Table'!J12</f>
        <v>11</v>
      </c>
      <c r="Y537" s="2121"/>
      <c r="Z537" s="88">
        <f t="shared" si="376"/>
        <v>11</v>
      </c>
      <c r="AA537" s="637">
        <f>'BUS Deemed Savings Table'!DB12</f>
        <v>1.931599647354894</v>
      </c>
      <c r="AB537" s="2917">
        <f>'BUS Deemed Savings Table'!K12</f>
        <v>36.64</v>
      </c>
      <c r="AC537" s="2101">
        <f t="shared" si="343"/>
        <v>66.799255383750179</v>
      </c>
      <c r="AD537" s="2101">
        <f t="shared" si="344"/>
        <v>0</v>
      </c>
      <c r="AE537" s="2955">
        <f>'BUS Deemed Savings Table'!DD12</f>
        <v>66.799255383750179</v>
      </c>
      <c r="AF537" s="2956"/>
      <c r="AG537" s="2956"/>
      <c r="AH537" s="2956"/>
      <c r="AI537" s="2240" t="str">
        <f>'BUS Deemed Savings Table'!L12</f>
        <v>per measure</v>
      </c>
      <c r="AM537" s="2057">
        <f t="shared" si="370"/>
        <v>1.899635E-4</v>
      </c>
      <c r="AN537">
        <f t="shared" si="371"/>
        <v>2.9263877175000001E-2</v>
      </c>
      <c r="AO537" s="2048">
        <f t="shared" si="372"/>
        <v>-1.228249999971065E-7</v>
      </c>
    </row>
    <row r="538" spans="2:41" x14ac:dyDescent="0.25">
      <c r="B538" s="2240" t="str">
        <f>'BUS Deemed Savings Table'!C13</f>
        <v>800250_2019_12_</v>
      </c>
      <c r="C538" s="208" t="str">
        <f>'BUS Deemed Savings Table'!G13</f>
        <v>Lighting BUS</v>
      </c>
      <c r="D538" s="208"/>
      <c r="E538" s="208"/>
      <c r="F538" s="208"/>
      <c r="G538" s="208" t="str">
        <f>'BUS Deemed Savings Table'!E13</f>
        <v>LED &lt;=20 Watt Lamp Replacing Interior Halogen PAR 48-90 Watt Lamp</v>
      </c>
      <c r="H538" s="622" t="str">
        <f>'BUS Deemed Savings Table'!D13</f>
        <v>C&amp;I</v>
      </c>
      <c r="I538" s="2084">
        <f>'BUS Deemed Savings Table'!F13</f>
        <v>227.11</v>
      </c>
      <c r="J538" s="2084"/>
      <c r="K538" s="2113"/>
      <c r="L538" s="2113"/>
      <c r="M538" s="2113"/>
      <c r="N538" s="2113"/>
      <c r="O538" s="2085">
        <f>'BUS Deemed Savings Table'!I13</f>
        <v>4.3143000000000001E-2</v>
      </c>
      <c r="P538" s="2085"/>
      <c r="Q538" s="2086"/>
      <c r="R538" s="2086"/>
      <c r="S538" s="2086"/>
      <c r="T538" s="2086"/>
      <c r="U538" s="2100">
        <f t="shared" si="373"/>
        <v>0</v>
      </c>
      <c r="V538" s="2100">
        <f t="shared" si="374"/>
        <v>4.3143000000000001E-2</v>
      </c>
      <c r="W538" s="2100">
        <f t="shared" si="375"/>
        <v>0</v>
      </c>
      <c r="X538" s="2121">
        <f>'BUS Deemed Savings Table'!J13</f>
        <v>11</v>
      </c>
      <c r="Y538" s="2121"/>
      <c r="Z538" s="88">
        <f t="shared" si="376"/>
        <v>11</v>
      </c>
      <c r="AA538" s="637">
        <f>'BUS Deemed Savings Table'!DB13</f>
        <v>1.3978980733982589</v>
      </c>
      <c r="AB538" s="2917">
        <f>'BUS Deemed Savings Table'!K13</f>
        <v>74.64</v>
      </c>
      <c r="AC538" s="2101">
        <f t="shared" si="343"/>
        <v>98.479577346338871</v>
      </c>
      <c r="AD538" s="2101">
        <f t="shared" si="344"/>
        <v>0</v>
      </c>
      <c r="AE538" s="2955">
        <f>'BUS Deemed Savings Table'!DD13</f>
        <v>98.479577346338871</v>
      </c>
      <c r="AF538" s="2956"/>
      <c r="AG538" s="2956"/>
      <c r="AH538" s="2956"/>
      <c r="AI538" s="2240" t="str">
        <f>'BUS Deemed Savings Table'!L13</f>
        <v>per measure</v>
      </c>
      <c r="AM538" s="2057">
        <f t="shared" si="370"/>
        <v>1.899635E-4</v>
      </c>
      <c r="AN538">
        <f t="shared" si="371"/>
        <v>4.3142610485000003E-2</v>
      </c>
      <c r="AO538" s="2048">
        <f t="shared" si="372"/>
        <v>-3.8951499999745343E-7</v>
      </c>
    </row>
    <row r="539" spans="2:41" x14ac:dyDescent="0.25">
      <c r="B539" s="2240" t="str">
        <f>'BUS Deemed Savings Table'!C14</f>
        <v>800300_2019_12_</v>
      </c>
      <c r="C539" s="208" t="str">
        <f>'BUS Deemed Savings Table'!G14</f>
        <v>Lighting BUS</v>
      </c>
      <c r="D539" s="208"/>
      <c r="E539" s="208"/>
      <c r="F539" s="208"/>
      <c r="G539" s="208" t="str">
        <f>'BUS Deemed Savings Table'!E14</f>
        <v>LED &lt;=80 Watt Lamp or Fixture Replacing Interior HID 100-175 Watt Lamp or Fixture</v>
      </c>
      <c r="H539" s="622" t="str">
        <f>'BUS Deemed Savings Table'!D14</f>
        <v>C&amp;I</v>
      </c>
      <c r="I539" s="2084">
        <f>'BUS Deemed Savings Table'!F14</f>
        <v>1198.19</v>
      </c>
      <c r="J539" s="2084"/>
      <c r="K539" s="2113"/>
      <c r="L539" s="2113"/>
      <c r="M539" s="2113"/>
      <c r="N539" s="2113"/>
      <c r="O539" s="2085">
        <f>'BUS Deemed Savings Table'!I14</f>
        <v>0.22761200000000001</v>
      </c>
      <c r="P539" s="2085"/>
      <c r="Q539" s="2086"/>
      <c r="R539" s="2086"/>
      <c r="S539" s="2086"/>
      <c r="T539" s="2086"/>
      <c r="U539" s="2100">
        <f t="shared" si="373"/>
        <v>0</v>
      </c>
      <c r="V539" s="2100">
        <f t="shared" si="374"/>
        <v>0.22761200000000001</v>
      </c>
      <c r="W539" s="2100">
        <f t="shared" si="375"/>
        <v>0</v>
      </c>
      <c r="X539" s="2121">
        <f>'BUS Deemed Savings Table'!J14</f>
        <v>11</v>
      </c>
      <c r="Y539" s="2121"/>
      <c r="Z539" s="88">
        <f t="shared" si="376"/>
        <v>11</v>
      </c>
      <c r="AA539" s="637">
        <f>'BUS Deemed Savings Table'!DB14</f>
        <v>2.8761883843658684</v>
      </c>
      <c r="AB539" s="2917">
        <f>'BUS Deemed Savings Table'!K14</f>
        <v>191.39</v>
      </c>
      <c r="AC539" s="2101">
        <f t="shared" si="343"/>
        <v>519.55988191013068</v>
      </c>
      <c r="AD539" s="2101">
        <f t="shared" si="344"/>
        <v>0</v>
      </c>
      <c r="AE539" s="2955">
        <f>'BUS Deemed Savings Table'!DD14</f>
        <v>519.55988191013068</v>
      </c>
      <c r="AF539" s="2956"/>
      <c r="AG539" s="2956"/>
      <c r="AH539" s="2956"/>
      <c r="AI539" s="2240" t="str">
        <f>'BUS Deemed Savings Table'!L14</f>
        <v>per measure</v>
      </c>
      <c r="AM539" s="2057">
        <f t="shared" si="370"/>
        <v>1.899635E-4</v>
      </c>
      <c r="AN539">
        <f t="shared" si="371"/>
        <v>0.22761236606500002</v>
      </c>
      <c r="AO539" s="2048">
        <f t="shared" si="372"/>
        <v>3.6606500000702091E-7</v>
      </c>
    </row>
    <row r="540" spans="2:41" x14ac:dyDescent="0.25">
      <c r="B540" s="2240" t="str">
        <f>'BUS Deemed Savings Table'!C15</f>
        <v>800350_2019_12_</v>
      </c>
      <c r="C540" s="208" t="str">
        <f>'BUS Deemed Savings Table'!G15</f>
        <v>Lighting BUS</v>
      </c>
      <c r="D540" s="208"/>
      <c r="E540" s="208"/>
      <c r="F540" s="208"/>
      <c r="G540" s="208" t="str">
        <f>'BUS Deemed Savings Table'!E15</f>
        <v>LED 62 - 130 Watt Lamp or Fixture Replacing Interior HID 176-300 Watt Lamp or Fixture</v>
      </c>
      <c r="H540" s="622" t="str">
        <f>'BUS Deemed Savings Table'!D15</f>
        <v>C&amp;I</v>
      </c>
      <c r="I540" s="2084">
        <f>'BUS Deemed Savings Table'!F15</f>
        <v>902.06</v>
      </c>
      <c r="J540" s="2084"/>
      <c r="K540" s="2113"/>
      <c r="L540" s="2113"/>
      <c r="M540" s="2113"/>
      <c r="N540" s="2113"/>
      <c r="O540" s="2085">
        <f>'BUS Deemed Savings Table'!I15</f>
        <v>0.17135800000000001</v>
      </c>
      <c r="P540" s="2085"/>
      <c r="Q540" s="2086"/>
      <c r="R540" s="2086"/>
      <c r="S540" s="2086"/>
      <c r="T540" s="2086"/>
      <c r="U540" s="2100">
        <f t="shared" si="373"/>
        <v>0</v>
      </c>
      <c r="V540" s="2100">
        <f t="shared" si="374"/>
        <v>0.17135800000000001</v>
      </c>
      <c r="W540" s="2100">
        <f t="shared" si="375"/>
        <v>0</v>
      </c>
      <c r="X540" s="2121">
        <f>'BUS Deemed Savings Table'!J15</f>
        <v>11</v>
      </c>
      <c r="Y540" s="2121"/>
      <c r="Z540" s="88">
        <f t="shared" si="376"/>
        <v>11</v>
      </c>
      <c r="AA540" s="637">
        <f>'BUS Deemed Savings Table'!DB15</f>
        <v>1.7737773607434042</v>
      </c>
      <c r="AB540" s="2917">
        <f>'BUS Deemed Savings Table'!K15</f>
        <v>233.64</v>
      </c>
      <c r="AC540" s="2101">
        <f t="shared" si="343"/>
        <v>391.15180987644067</v>
      </c>
      <c r="AD540" s="2101">
        <f t="shared" si="344"/>
        <v>0</v>
      </c>
      <c r="AE540" s="2955">
        <f>'BUS Deemed Savings Table'!DD15</f>
        <v>391.15180987644067</v>
      </c>
      <c r="AF540" s="2956"/>
      <c r="AG540" s="2956"/>
      <c r="AH540" s="2956"/>
      <c r="AI540" s="2240" t="str">
        <f>'BUS Deemed Savings Table'!L15</f>
        <v>per measure</v>
      </c>
      <c r="AM540" s="2057">
        <f t="shared" si="370"/>
        <v>1.899635E-4</v>
      </c>
      <c r="AN540">
        <f t="shared" si="371"/>
        <v>0.17135847480999999</v>
      </c>
      <c r="AO540" s="2048">
        <f t="shared" si="372"/>
        <v>4.7480999998406048E-7</v>
      </c>
    </row>
    <row r="541" spans="2:41" x14ac:dyDescent="0.25">
      <c r="B541" s="2240" t="str">
        <f>'BUS Deemed Savings Table'!C16</f>
        <v>800400_2019_12_</v>
      </c>
      <c r="C541" s="208" t="str">
        <f>'BUS Deemed Savings Table'!G16</f>
        <v>Lighting BUS</v>
      </c>
      <c r="D541" s="208"/>
      <c r="E541" s="208"/>
      <c r="F541" s="208"/>
      <c r="G541" s="208" t="str">
        <f>'BUS Deemed Savings Table'!E16</f>
        <v>LED 85 - 225 Watt Lamp or Fixture Replacing Interior HID 301-500 Watt Lamp or Fixture</v>
      </c>
      <c r="H541" s="622" t="str">
        <f>'BUS Deemed Savings Table'!D16</f>
        <v>C&amp;I</v>
      </c>
      <c r="I541" s="2084">
        <f>'BUS Deemed Savings Table'!F16</f>
        <v>1459.71</v>
      </c>
      <c r="J541" s="2084"/>
      <c r="K541" s="2113"/>
      <c r="L541" s="2113"/>
      <c r="M541" s="2113"/>
      <c r="N541" s="2113"/>
      <c r="O541" s="2085">
        <f>'BUS Deemed Savings Table'!I16</f>
        <v>0.27729199999999998</v>
      </c>
      <c r="P541" s="2085"/>
      <c r="Q541" s="2086"/>
      <c r="R541" s="2086"/>
      <c r="S541" s="2086"/>
      <c r="T541" s="2086"/>
      <c r="U541" s="2100">
        <f t="shared" si="373"/>
        <v>0</v>
      </c>
      <c r="V541" s="2100">
        <f t="shared" si="374"/>
        <v>0.27729199999999998</v>
      </c>
      <c r="W541" s="2100">
        <f t="shared" si="375"/>
        <v>0</v>
      </c>
      <c r="X541" s="2121">
        <f>'BUS Deemed Savings Table'!J16</f>
        <v>11</v>
      </c>
      <c r="Y541" s="2121"/>
      <c r="Z541" s="88">
        <f t="shared" si="376"/>
        <v>11</v>
      </c>
      <c r="AA541" s="637">
        <f>'BUS Deemed Savings Table'!DB16</f>
        <v>1.8543896832179516</v>
      </c>
      <c r="AB541" s="2917">
        <f>'BUS Deemed Savings Table'!K16</f>
        <v>361.64</v>
      </c>
      <c r="AC541" s="2101">
        <f t="shared" si="343"/>
        <v>632.96034453887683</v>
      </c>
      <c r="AD541" s="2101">
        <f t="shared" si="344"/>
        <v>0</v>
      </c>
      <c r="AE541" s="2955">
        <f>'BUS Deemed Savings Table'!DD16</f>
        <v>632.96034453887683</v>
      </c>
      <c r="AF541" s="2956"/>
      <c r="AG541" s="2956"/>
      <c r="AH541" s="2956"/>
      <c r="AI541" s="2240" t="str">
        <f>'BUS Deemed Savings Table'!L16</f>
        <v>per measure</v>
      </c>
      <c r="AM541" s="2057">
        <f t="shared" si="370"/>
        <v>1.899635E-4</v>
      </c>
      <c r="AN541">
        <f t="shared" si="371"/>
        <v>0.27729162058500001</v>
      </c>
      <c r="AO541" s="2048">
        <f t="shared" si="372"/>
        <v>-3.7941499997362627E-7</v>
      </c>
    </row>
    <row r="542" spans="2:41" x14ac:dyDescent="0.25">
      <c r="B542" s="2240" t="str">
        <f>'BUS Deemed Savings Table'!C17</f>
        <v>800450_2019_12_</v>
      </c>
      <c r="C542" s="208" t="str">
        <f>'BUS Deemed Savings Table'!G17</f>
        <v>Ext Lighting BUS</v>
      </c>
      <c r="D542" s="208"/>
      <c r="E542" s="208"/>
      <c r="F542" s="208"/>
      <c r="G542" s="208" t="str">
        <f>'BUS Deemed Savings Table'!E17</f>
        <v>LED &lt;=80 Watt Lamp or Fixture Replacing Garage or Exterior &lt;24/7 HID 100-175 Watt Lamp or Fixture</v>
      </c>
      <c r="H542" s="622" t="str">
        <f>'BUS Deemed Savings Table'!D17</f>
        <v>C&amp;I</v>
      </c>
      <c r="I542" s="2084">
        <f>'BUS Deemed Savings Table'!F17</f>
        <v>446.2</v>
      </c>
      <c r="J542" s="2084"/>
      <c r="K542" s="2113"/>
      <c r="L542" s="2113"/>
      <c r="M542" s="2113"/>
      <c r="N542" s="2113"/>
      <c r="O542" s="2085">
        <f>'BUS Deemed Savings Table'!I17</f>
        <v>2.506E-3</v>
      </c>
      <c r="P542" s="2085"/>
      <c r="Q542" s="2086"/>
      <c r="R542" s="2086"/>
      <c r="S542" s="2086"/>
      <c r="T542" s="2086"/>
      <c r="U542" s="2100">
        <f t="shared" si="373"/>
        <v>0</v>
      </c>
      <c r="V542" s="2100">
        <f t="shared" si="374"/>
        <v>2.506E-3</v>
      </c>
      <c r="W542" s="2100">
        <f t="shared" si="375"/>
        <v>0</v>
      </c>
      <c r="X542" s="2121">
        <f>'BUS Deemed Savings Table'!J17</f>
        <v>12</v>
      </c>
      <c r="Y542" s="2121"/>
      <c r="Z542" s="88">
        <f t="shared" si="376"/>
        <v>12</v>
      </c>
      <c r="AA542" s="637">
        <f>'BUS Deemed Savings Table'!DB17</f>
        <v>0.66874930525786846</v>
      </c>
      <c r="AB542" s="2917">
        <f>'BUS Deemed Savings Table'!K17</f>
        <v>191.39</v>
      </c>
      <c r="AC542" s="2101">
        <f t="shared" si="343"/>
        <v>120.80408639292442</v>
      </c>
      <c r="AD542" s="2101">
        <f t="shared" si="344"/>
        <v>0</v>
      </c>
      <c r="AE542" s="2955">
        <f>'BUS Deemed Savings Table'!DD17</f>
        <v>120.80408639292442</v>
      </c>
      <c r="AF542" s="2956"/>
      <c r="AG542" s="2956"/>
      <c r="AH542" s="2956"/>
      <c r="AI542" s="2240" t="str">
        <f>'BUS Deemed Savings Table'!L17</f>
        <v>per measure</v>
      </c>
      <c r="AM542" s="2057">
        <f t="shared" si="370"/>
        <v>5.6160000000000001E-6</v>
      </c>
      <c r="AN542">
        <f t="shared" si="371"/>
        <v>2.5058592000000001E-3</v>
      </c>
      <c r="AO542" s="2048">
        <f t="shared" si="372"/>
        <v>-1.4079999999987505E-7</v>
      </c>
    </row>
    <row r="543" spans="2:41" x14ac:dyDescent="0.25">
      <c r="B543" s="2240" t="str">
        <f>'BUS Deemed Savings Table'!C18</f>
        <v>800500_2019_12_</v>
      </c>
      <c r="C543" s="208" t="str">
        <f>'BUS Deemed Savings Table'!G18</f>
        <v>Ext Lighting BUS</v>
      </c>
      <c r="D543" s="208"/>
      <c r="E543" s="208"/>
      <c r="F543" s="208"/>
      <c r="G543" s="208" t="str">
        <f>'BUS Deemed Savings Table'!E18</f>
        <v>LED 62 - 130 Watt Lamp or Fixture Replacing Garage or Exterior &lt;24/7 HID 176-300 Watt Lamp or Fixture</v>
      </c>
      <c r="H543" s="622" t="str">
        <f>'BUS Deemed Savings Table'!D18</f>
        <v>C&amp;I</v>
      </c>
      <c r="I543" s="2084">
        <f>'BUS Deemed Savings Table'!F18</f>
        <v>713.51</v>
      </c>
      <c r="J543" s="2084"/>
      <c r="K543" s="2113"/>
      <c r="L543" s="2113"/>
      <c r="M543" s="2113"/>
      <c r="N543" s="2113"/>
      <c r="O543" s="2085">
        <f>'BUS Deemed Savings Table'!I18</f>
        <v>4.0070000000000001E-3</v>
      </c>
      <c r="P543" s="2085"/>
      <c r="Q543" s="2086"/>
      <c r="R543" s="2086"/>
      <c r="S543" s="2086"/>
      <c r="T543" s="2086"/>
      <c r="U543" s="2100">
        <f t="shared" si="373"/>
        <v>0</v>
      </c>
      <c r="V543" s="2100">
        <f t="shared" si="374"/>
        <v>4.0070000000000001E-3</v>
      </c>
      <c r="W543" s="2100">
        <f t="shared" si="375"/>
        <v>0</v>
      </c>
      <c r="X543" s="2121">
        <f>'BUS Deemed Savings Table'!J18</f>
        <v>12</v>
      </c>
      <c r="Y543" s="2121"/>
      <c r="Z543" s="88">
        <f t="shared" si="376"/>
        <v>12</v>
      </c>
      <c r="AA543" s="637">
        <f>'BUS Deemed Savings Table'!DB18</f>
        <v>0.87600359206430567</v>
      </c>
      <c r="AB543" s="2917">
        <f>'BUS Deemed Savings Table'!K18</f>
        <v>233.64</v>
      </c>
      <c r="AC543" s="2101">
        <f t="shared" si="343"/>
        <v>193.1755349220428</v>
      </c>
      <c r="AD543" s="2101">
        <f t="shared" si="344"/>
        <v>0</v>
      </c>
      <c r="AE543" s="2955">
        <f>'BUS Deemed Savings Table'!DD18</f>
        <v>193.1755349220428</v>
      </c>
      <c r="AF543" s="2956"/>
      <c r="AG543" s="2956"/>
      <c r="AH543" s="2956"/>
      <c r="AI543" s="2240" t="str">
        <f>'BUS Deemed Savings Table'!L18</f>
        <v>per measure</v>
      </c>
      <c r="AM543" s="2057">
        <f t="shared" si="370"/>
        <v>5.6160000000000001E-6</v>
      </c>
      <c r="AN543">
        <f t="shared" si="371"/>
        <v>4.0070721599999998E-3</v>
      </c>
      <c r="AO543" s="2048">
        <f t="shared" si="372"/>
        <v>7.2159999999626967E-8</v>
      </c>
    </row>
    <row r="544" spans="2:41" x14ac:dyDescent="0.25">
      <c r="B544" s="2240" t="str">
        <f>'BUS Deemed Savings Table'!C19</f>
        <v>800550_2019_12_</v>
      </c>
      <c r="C544" s="208" t="str">
        <f>'BUS Deemed Savings Table'!G19</f>
        <v>Ext Lighting BUS</v>
      </c>
      <c r="D544" s="208"/>
      <c r="E544" s="208"/>
      <c r="F544" s="208"/>
      <c r="G544" s="208" t="str">
        <f>'BUS Deemed Savings Table'!E19</f>
        <v>LED 85 - 225 Watt Lamp or Fixture Replacing Garage or Exterior &lt;24/7 HID 301-500 Watt Lamp or Fixture</v>
      </c>
      <c r="H544" s="622" t="str">
        <f>'BUS Deemed Savings Table'!D19</f>
        <v>C&amp;I</v>
      </c>
      <c r="I544" s="2084">
        <f>'BUS Deemed Savings Table'!F19</f>
        <v>1003.93</v>
      </c>
      <c r="J544" s="2084"/>
      <c r="K544" s="2113"/>
      <c r="L544" s="2113"/>
      <c r="M544" s="2113"/>
      <c r="N544" s="2113"/>
      <c r="O544" s="2085">
        <f>'BUS Deemed Savings Table'!I19</f>
        <v>5.6379999999999998E-3</v>
      </c>
      <c r="P544" s="2085"/>
      <c r="Q544" s="2086"/>
      <c r="R544" s="2086"/>
      <c r="S544" s="2086"/>
      <c r="T544" s="2086"/>
      <c r="U544" s="2100">
        <f t="shared" si="373"/>
        <v>0</v>
      </c>
      <c r="V544" s="2100">
        <f t="shared" si="374"/>
        <v>5.6379999999999998E-3</v>
      </c>
      <c r="W544" s="2100">
        <f t="shared" si="375"/>
        <v>0</v>
      </c>
      <c r="X544" s="2121">
        <f>'BUS Deemed Savings Table'!J19</f>
        <v>12</v>
      </c>
      <c r="Y544" s="2121"/>
      <c r="Z544" s="88">
        <f t="shared" si="376"/>
        <v>12</v>
      </c>
      <c r="AA544" s="637">
        <f>'BUS Deemed Savings Table'!DB19</f>
        <v>0.79630600728392331</v>
      </c>
      <c r="AB544" s="2917">
        <f>'BUS Deemed Savings Table'!K19</f>
        <v>361.64</v>
      </c>
      <c r="AC544" s="2101">
        <f t="shared" si="343"/>
        <v>271.80377958863426</v>
      </c>
      <c r="AD544" s="2101">
        <f t="shared" si="344"/>
        <v>0</v>
      </c>
      <c r="AE544" s="2955">
        <f>'BUS Deemed Savings Table'!DD19</f>
        <v>271.80377958863426</v>
      </c>
      <c r="AF544" s="2956"/>
      <c r="AG544" s="2956"/>
      <c r="AH544" s="2956"/>
      <c r="AI544" s="2240" t="str">
        <f>'BUS Deemed Savings Table'!L19</f>
        <v>per measure</v>
      </c>
      <c r="AM544" s="2057">
        <f t="shared" si="370"/>
        <v>5.6160000000000001E-6</v>
      </c>
      <c r="AN544">
        <f t="shared" si="371"/>
        <v>5.6380708800000002E-3</v>
      </c>
      <c r="AO544" s="2048">
        <f t="shared" si="372"/>
        <v>7.0880000000404786E-8</v>
      </c>
    </row>
    <row r="545" spans="2:41" x14ac:dyDescent="0.25">
      <c r="B545" s="2240" t="str">
        <f>'BUS Deemed Savings Table'!C20</f>
        <v>800600_2019_12_</v>
      </c>
      <c r="C545" s="208" t="str">
        <f>'BUS Deemed Savings Table'!G20</f>
        <v>Miscellaneous BUS</v>
      </c>
      <c r="D545" s="208"/>
      <c r="E545" s="208"/>
      <c r="F545" s="208"/>
      <c r="G545" s="208" t="str">
        <f>'BUS Deemed Savings Table'!E20</f>
        <v>LED &lt;=80 Watt Lamp or Fixture Replacing Garage or Exterior 24/7 HID 100-175 Watt Lamp or Fixture Misc.</v>
      </c>
      <c r="H545" s="622" t="str">
        <f>'BUS Deemed Savings Table'!D20</f>
        <v>C&amp;I</v>
      </c>
      <c r="I545" s="2084">
        <f>'BUS Deemed Savings Table'!F20</f>
        <v>700.72</v>
      </c>
      <c r="J545" s="2084"/>
      <c r="K545" s="2113"/>
      <c r="L545" s="2113"/>
      <c r="M545" s="2113"/>
      <c r="N545" s="2113"/>
      <c r="O545" s="2085">
        <f>'BUS Deemed Savings Table'!I20</f>
        <v>9.6659999999999996E-2</v>
      </c>
      <c r="P545" s="2085"/>
      <c r="Q545" s="2086"/>
      <c r="R545" s="2086"/>
      <c r="S545" s="2086"/>
      <c r="T545" s="2086"/>
      <c r="U545" s="2100">
        <f t="shared" si="373"/>
        <v>9.6659999999999996E-2</v>
      </c>
      <c r="V545" s="2100">
        <f t="shared" si="374"/>
        <v>0</v>
      </c>
      <c r="W545" s="2100">
        <f t="shared" si="375"/>
        <v>0</v>
      </c>
      <c r="X545" s="2121">
        <f>'BUS Deemed Savings Table'!J20</f>
        <v>6</v>
      </c>
      <c r="Y545" s="2121"/>
      <c r="Z545" s="88">
        <f t="shared" si="376"/>
        <v>6</v>
      </c>
      <c r="AA545" s="637">
        <f>'BUS Deemed Savings Table'!DB20</f>
        <v>0.84227737200682895</v>
      </c>
      <c r="AB545" s="2917">
        <f>'BUS Deemed Savings Table'!K20</f>
        <v>191.39</v>
      </c>
      <c r="AC545" s="2101">
        <f t="shared" si="343"/>
        <v>152.15051083377722</v>
      </c>
      <c r="AD545" s="2101">
        <f t="shared" si="344"/>
        <v>0</v>
      </c>
      <c r="AE545" s="2955">
        <f>'BUS Deemed Savings Table'!DD20</f>
        <v>152.15051083377722</v>
      </c>
      <c r="AF545" s="2956"/>
      <c r="AG545" s="2956"/>
      <c r="AH545" s="2956"/>
      <c r="AI545" s="2240" t="str">
        <f>'BUS Deemed Savings Table'!L20</f>
        <v>per measure</v>
      </c>
      <c r="AM545" s="2057">
        <f t="shared" si="370"/>
        <v>1.379439E-4</v>
      </c>
      <c r="AN545">
        <f t="shared" si="371"/>
        <v>9.6660049608000009E-2</v>
      </c>
      <c r="AO545" s="2048">
        <f t="shared" si="372"/>
        <v>4.9608000013412479E-8</v>
      </c>
    </row>
    <row r="546" spans="2:41" x14ac:dyDescent="0.25">
      <c r="B546" s="2240" t="str">
        <f>'BUS Deemed Savings Table'!C21</f>
        <v>800650_2019_12_</v>
      </c>
      <c r="C546" s="208" t="str">
        <f>'BUS Deemed Savings Table'!G21</f>
        <v>Miscellaneous BUS</v>
      </c>
      <c r="D546" s="208"/>
      <c r="E546" s="208"/>
      <c r="F546" s="208"/>
      <c r="G546" s="208" t="str">
        <f>'BUS Deemed Savings Table'!E21</f>
        <v>LED 62 - 130 Watt Lamp or Fixture Replacing Garage or Exterior 24/7 HID 176-300 Watt Lamp or Fixture Misc.</v>
      </c>
      <c r="H546" s="622" t="str">
        <f>'BUS Deemed Savings Table'!D21</f>
        <v>C&amp;I</v>
      </c>
      <c r="I546" s="2084">
        <f>'BUS Deemed Savings Table'!F21</f>
        <v>1482.27</v>
      </c>
      <c r="J546" s="2084"/>
      <c r="K546" s="2113"/>
      <c r="L546" s="2113"/>
      <c r="M546" s="2113"/>
      <c r="N546" s="2113"/>
      <c r="O546" s="2085">
        <f>'BUS Deemed Savings Table'!I21</f>
        <v>0.20447000000000001</v>
      </c>
      <c r="P546" s="2085"/>
      <c r="Q546" s="2086"/>
      <c r="R546" s="2086"/>
      <c r="S546" s="2086"/>
      <c r="T546" s="2086"/>
      <c r="U546" s="2100">
        <f t="shared" si="373"/>
        <v>0.20447000000000001</v>
      </c>
      <c r="V546" s="2100">
        <f t="shared" si="374"/>
        <v>0</v>
      </c>
      <c r="W546" s="2100">
        <f t="shared" si="375"/>
        <v>0</v>
      </c>
      <c r="X546" s="2121">
        <f>'BUS Deemed Savings Table'!J21</f>
        <v>6</v>
      </c>
      <c r="Y546" s="2121"/>
      <c r="Z546" s="88">
        <f t="shared" si="376"/>
        <v>6</v>
      </c>
      <c r="AA546" s="637">
        <f>'BUS Deemed Savings Table'!DB21</f>
        <v>1.4595197758580998</v>
      </c>
      <c r="AB546" s="2917">
        <f>'BUS Deemed Savings Table'!K21</f>
        <v>233.64</v>
      </c>
      <c r="AC546" s="2101">
        <f t="shared" si="343"/>
        <v>321.85200607030333</v>
      </c>
      <c r="AD546" s="2101">
        <f t="shared" si="344"/>
        <v>0</v>
      </c>
      <c r="AE546" s="2955">
        <f>'BUS Deemed Savings Table'!DD21</f>
        <v>321.85200607030333</v>
      </c>
      <c r="AF546" s="2956"/>
      <c r="AG546" s="2956"/>
      <c r="AH546" s="2956"/>
      <c r="AI546" s="2240" t="str">
        <f>'BUS Deemed Savings Table'!L21</f>
        <v>per measure</v>
      </c>
      <c r="AM546" s="2057">
        <f t="shared" si="370"/>
        <v>1.379439E-4</v>
      </c>
      <c r="AN546">
        <f t="shared" si="371"/>
        <v>0.204470104653</v>
      </c>
      <c r="AO546" s="2048">
        <f t="shared" si="372"/>
        <v>1.0465299998818622E-7</v>
      </c>
    </row>
    <row r="547" spans="2:41" x14ac:dyDescent="0.25">
      <c r="B547" s="2240" t="str">
        <f>'BUS Deemed Savings Table'!C22</f>
        <v>800700_2019_12_</v>
      </c>
      <c r="C547" s="208" t="str">
        <f>'BUS Deemed Savings Table'!G22</f>
        <v>Miscellaneous BUS</v>
      </c>
      <c r="D547" s="208"/>
      <c r="E547" s="208"/>
      <c r="F547" s="208"/>
      <c r="G547" s="208" t="str">
        <f>'BUS Deemed Savings Table'!E22</f>
        <v xml:space="preserve">LED 85 - 225 Watt Lamp or Fixture Replacing Garage or Exterior 24/7 HID 301-500 Watt Lamp or Fixture Misc. </v>
      </c>
      <c r="H547" s="622" t="str">
        <f>'BUS Deemed Savings Table'!D22</f>
        <v>C&amp;I</v>
      </c>
      <c r="I547" s="2084">
        <f>'BUS Deemed Savings Table'!F22</f>
        <v>2657.55</v>
      </c>
      <c r="J547" s="2084"/>
      <c r="K547" s="2113"/>
      <c r="L547" s="2113"/>
      <c r="M547" s="2113"/>
      <c r="N547" s="2113"/>
      <c r="O547" s="2085">
        <f>'BUS Deemed Savings Table'!I22</f>
        <v>0.366593</v>
      </c>
      <c r="P547" s="2085"/>
      <c r="Q547" s="2086"/>
      <c r="R547" s="2086"/>
      <c r="S547" s="2086"/>
      <c r="T547" s="2086"/>
      <c r="U547" s="2100">
        <f t="shared" si="373"/>
        <v>0.366593</v>
      </c>
      <c r="V547" s="2100">
        <f t="shared" si="374"/>
        <v>0</v>
      </c>
      <c r="W547" s="2100">
        <f t="shared" si="375"/>
        <v>0</v>
      </c>
      <c r="X547" s="2121">
        <f>'BUS Deemed Savings Table'!J22</f>
        <v>6</v>
      </c>
      <c r="Y547" s="2121"/>
      <c r="Z547" s="88">
        <f t="shared" si="376"/>
        <v>6</v>
      </c>
      <c r="AA547" s="637">
        <f>'BUS Deemed Savings Table'!DB22</f>
        <v>1.6905765717881491</v>
      </c>
      <c r="AB547" s="2917">
        <f>'BUS Deemed Savings Table'!K22</f>
        <v>361.64</v>
      </c>
      <c r="AC547" s="2101">
        <f t="shared" si="343"/>
        <v>577.04588147377649</v>
      </c>
      <c r="AD547" s="2101">
        <f t="shared" si="344"/>
        <v>0</v>
      </c>
      <c r="AE547" s="2955">
        <f>'BUS Deemed Savings Table'!DD22</f>
        <v>577.04588147377649</v>
      </c>
      <c r="AF547" s="2956"/>
      <c r="AG547" s="2956"/>
      <c r="AH547" s="2956"/>
      <c r="AI547" s="2240" t="str">
        <f>'BUS Deemed Savings Table'!L22</f>
        <v>per measure</v>
      </c>
      <c r="AM547" s="2057">
        <f t="shared" si="370"/>
        <v>1.379439E-4</v>
      </c>
      <c r="AN547">
        <f t="shared" si="371"/>
        <v>0.366592811445</v>
      </c>
      <c r="AO547" s="2048">
        <f t="shared" si="372"/>
        <v>-1.8855500000247716E-7</v>
      </c>
    </row>
    <row r="548" spans="2:41" x14ac:dyDescent="0.25">
      <c r="B548" s="2240" t="str">
        <f>'BUS Deemed Savings Table'!C23</f>
        <v>800750_2019_12_</v>
      </c>
      <c r="C548" s="208" t="str">
        <f>'BUS Deemed Savings Table'!G23</f>
        <v>Lighting BUS</v>
      </c>
      <c r="D548" s="208"/>
      <c r="E548" s="208"/>
      <c r="F548" s="208"/>
      <c r="G548" s="208" t="str">
        <f>'BUS Deemed Savings Table'!E23</f>
        <v>LED or Electroluminescent Replacing Interior Incandescent/CFL Exit Sign</v>
      </c>
      <c r="H548" s="622" t="str">
        <f>'BUS Deemed Savings Table'!D23</f>
        <v>C&amp;I</v>
      </c>
      <c r="I548" s="2084">
        <f>'BUS Deemed Savings Table'!F23</f>
        <v>248.43</v>
      </c>
      <c r="J548" s="2084"/>
      <c r="K548" s="2113"/>
      <c r="L548" s="2113"/>
      <c r="M548" s="2113"/>
      <c r="N548" s="2113"/>
      <c r="O548" s="2085">
        <f>'BUS Deemed Savings Table'!I23</f>
        <v>4.7192999999999999E-2</v>
      </c>
      <c r="P548" s="2085"/>
      <c r="Q548" s="2086"/>
      <c r="R548" s="2086"/>
      <c r="S548" s="2086"/>
      <c r="T548" s="2086"/>
      <c r="U548" s="2100">
        <f t="shared" si="373"/>
        <v>0</v>
      </c>
      <c r="V548" s="2100">
        <f t="shared" si="374"/>
        <v>0</v>
      </c>
      <c r="W548" s="2100">
        <f t="shared" si="375"/>
        <v>4.7192999999999999E-2</v>
      </c>
      <c r="X548" s="2121">
        <f>'BUS Deemed Savings Table'!J23</f>
        <v>16</v>
      </c>
      <c r="Y548" s="2121"/>
      <c r="Z548" s="88">
        <f t="shared" si="376"/>
        <v>16</v>
      </c>
      <c r="AA548" s="637">
        <f>'BUS Deemed Savings Table'!DB23</f>
        <v>3.5618965598484307</v>
      </c>
      <c r="AB548" s="2917">
        <f>'BUS Deemed Savings Table'!K23</f>
        <v>45.25</v>
      </c>
      <c r="AC548" s="2101">
        <f t="shared" si="343"/>
        <v>152.12441654850539</v>
      </c>
      <c r="AD548" s="2101">
        <f t="shared" si="344"/>
        <v>0</v>
      </c>
      <c r="AE548" s="2955">
        <f>'BUS Deemed Savings Table'!DD23</f>
        <v>152.12441654850539</v>
      </c>
      <c r="AF548" s="2956"/>
      <c r="AG548" s="2956"/>
      <c r="AH548" s="2956"/>
      <c r="AI548" s="2240" t="str">
        <f>'BUS Deemed Savings Table'!L23</f>
        <v>per measure</v>
      </c>
      <c r="AM548" s="2057">
        <f t="shared" si="370"/>
        <v>1.899635E-4</v>
      </c>
      <c r="AN548">
        <f t="shared" si="371"/>
        <v>4.7192632305000003E-2</v>
      </c>
      <c r="AO548" s="2048">
        <f t="shared" si="372"/>
        <v>-3.6769499999617095E-7</v>
      </c>
    </row>
    <row r="549" spans="2:41" x14ac:dyDescent="0.25">
      <c r="B549" s="2240" t="str">
        <f>'BUS Deemed Savings Table'!C24</f>
        <v>800800_2020_12_</v>
      </c>
      <c r="C549" s="208" t="str">
        <f>'BUS Deemed Savings Table'!G24</f>
        <v>Lighting BUS</v>
      </c>
      <c r="D549" s="208"/>
      <c r="E549" s="208"/>
      <c r="F549" s="208"/>
      <c r="G549" s="208" t="str">
        <f>'BUS Deemed Savings Table'!E24</f>
        <v xml:space="preserve">LED Replacing Interior T5 Fluorescent (Type A / Hybrid) </v>
      </c>
      <c r="H549" s="622" t="str">
        <f>'BUS Deemed Savings Table'!D24</f>
        <v>C&amp;I</v>
      </c>
      <c r="I549" s="2084">
        <f>'BUS Deemed Savings Table'!F24</f>
        <v>156.94</v>
      </c>
      <c r="J549" s="2084"/>
      <c r="K549" s="2113"/>
      <c r="L549" s="2113"/>
      <c r="M549" s="2113"/>
      <c r="N549" s="2113"/>
      <c r="O549" s="2085">
        <f>'BUS Deemed Savings Table'!I24</f>
        <v>2.9812999999999999E-2</v>
      </c>
      <c r="P549" s="2085"/>
      <c r="Q549" s="2086"/>
      <c r="R549" s="2086"/>
      <c r="S549" s="2086"/>
      <c r="T549" s="2086"/>
      <c r="U549" s="2100">
        <f t="shared" si="373"/>
        <v>0</v>
      </c>
      <c r="V549" s="2100">
        <f t="shared" si="374"/>
        <v>2.9812999999999999E-2</v>
      </c>
      <c r="W549" s="2100">
        <f t="shared" si="375"/>
        <v>0</v>
      </c>
      <c r="X549" s="2121">
        <f>'BUS Deemed Savings Table'!J24</f>
        <v>10</v>
      </c>
      <c r="Y549" s="2121"/>
      <c r="Z549" s="88">
        <f t="shared" si="376"/>
        <v>10</v>
      </c>
      <c r="AA549" s="637">
        <f>'BUS Deemed Savings Table'!DB24</f>
        <v>2.2136875187213647</v>
      </c>
      <c r="AB549" s="2917">
        <f>'BUS Deemed Savings Table'!K24</f>
        <v>29.64</v>
      </c>
      <c r="AC549" s="2101">
        <f t="shared" ref="AC549:AC622" si="377">AE549+AF549</f>
        <v>61.928926904106888</v>
      </c>
      <c r="AD549" s="2101">
        <f t="shared" ref="AD549:AD622" si="378">AG549+AH549</f>
        <v>0</v>
      </c>
      <c r="AE549" s="2955">
        <f>'BUS Deemed Savings Table'!DD24</f>
        <v>61.928926904106888</v>
      </c>
      <c r="AF549" s="2956"/>
      <c r="AG549" s="2956"/>
      <c r="AH549" s="2956"/>
      <c r="AI549" s="2240" t="str">
        <f>'BUS Deemed Savings Table'!L24</f>
        <v>per measure</v>
      </c>
      <c r="AM549" s="2057">
        <f t="shared" si="370"/>
        <v>1.899635E-4</v>
      </c>
      <c r="AN549">
        <f t="shared" si="371"/>
        <v>2.9812871689999999E-2</v>
      </c>
      <c r="AO549" s="2048">
        <f t="shared" si="372"/>
        <v>-1.2830999999990933E-7</v>
      </c>
    </row>
    <row r="550" spans="2:41" s="132" customFormat="1" x14ac:dyDescent="0.25">
      <c r="B550" s="2307" t="str">
        <f>'BUS Deemed Savings Table'!C25</f>
        <v>800801_2020_12_</v>
      </c>
      <c r="C550" s="2305" t="str">
        <f>'BUS Deemed Savings Table'!G25</f>
        <v>Lighting BUS</v>
      </c>
      <c r="D550" s="2305"/>
      <c r="E550" s="2305"/>
      <c r="F550" s="2305"/>
      <c r="G550" s="2305" t="str">
        <f>'BUS Deemed Savings Table'!E25</f>
        <v xml:space="preserve">LED Replacing Interior T5 Fluorescent (Type B, C, Kits, and Fixtures </v>
      </c>
      <c r="H550" s="2322" t="str">
        <f>'BUS Deemed Savings Table'!D25</f>
        <v>C&amp;I</v>
      </c>
      <c r="I550" s="2320">
        <f>'BUS Deemed Savings Table'!F25</f>
        <v>365.22</v>
      </c>
      <c r="J550" s="2320"/>
      <c r="K550" s="2310"/>
      <c r="L550" s="2310"/>
      <c r="M550" s="2310"/>
      <c r="N550" s="2310"/>
      <c r="O550" s="2321">
        <f>'BUS Deemed Savings Table'!I25</f>
        <v>6.9377999999999995E-2</v>
      </c>
      <c r="P550" s="2321"/>
      <c r="Q550" s="2323"/>
      <c r="R550" s="2323"/>
      <c r="S550" s="2323"/>
      <c r="T550" s="2323"/>
      <c r="U550" s="2273">
        <f t="shared" ref="U550" si="379">IF(V550+W550&gt;0,0,IF(Z550&gt;0,O550,0))</f>
        <v>0</v>
      </c>
      <c r="V550" s="2273">
        <f t="shared" ref="V550" si="380">IF(W550&gt;0,0,IF(Z550&gt;9,O550,0))</f>
        <v>0</v>
      </c>
      <c r="W550" s="2273">
        <f t="shared" ref="W550" si="381">IF(Z550&gt;14,O550,0)</f>
        <v>6.9377999999999995E-2</v>
      </c>
      <c r="X550" s="2299">
        <f>'BUS Deemed Savings Table'!J25</f>
        <v>15</v>
      </c>
      <c r="Y550" s="2299"/>
      <c r="Z550" s="2299">
        <f t="shared" ref="Z550" si="382">Y550+X550</f>
        <v>15</v>
      </c>
      <c r="AA550" s="2298">
        <f>'BUS Deemed Savings Table'!DB25</f>
        <v>7.5640833342090152</v>
      </c>
      <c r="AB550" s="2919">
        <f>'BUS Deemed Savings Table'!K25</f>
        <v>29.64</v>
      </c>
      <c r="AC550" s="2274">
        <f t="shared" ref="AC550" si="383">AE550+AF550</f>
        <v>211.60871168093931</v>
      </c>
      <c r="AD550" s="2274">
        <f t="shared" ref="AD550" si="384">AG550+AH550</f>
        <v>0</v>
      </c>
      <c r="AE550" s="2957">
        <f>'BUS Deemed Savings Table'!DD25</f>
        <v>211.60871168093931</v>
      </c>
      <c r="AF550" s="2334"/>
      <c r="AG550" s="2334"/>
      <c r="AH550" s="2334"/>
      <c r="AI550" s="2307" t="str">
        <f>'BUS Deemed Savings Table'!L25</f>
        <v>per measure</v>
      </c>
      <c r="AM550" s="2929">
        <f t="shared" ref="AM550" si="385">VLOOKUP(C550,$AS$10:$AT$47,2,FALSE)</f>
        <v>1.899635E-4</v>
      </c>
      <c r="AN550" s="132">
        <f t="shared" ref="AN550" si="386">AM550*I550</f>
        <v>6.9378469470000009E-2</v>
      </c>
      <c r="AO550" s="2933">
        <f t="shared" ref="AO550" si="387">AN550-O550</f>
        <v>4.6947000001407169E-7</v>
      </c>
    </row>
    <row r="551" spans="2:41" x14ac:dyDescent="0.25">
      <c r="B551" s="2240" t="str">
        <f>'BUS Deemed Savings Table'!C26</f>
        <v>800850_2020_12_</v>
      </c>
      <c r="C551" s="208" t="str">
        <f>'BUS Deemed Savings Table'!G26</f>
        <v>Lighting BUS</v>
      </c>
      <c r="D551" s="208"/>
      <c r="E551" s="208"/>
      <c r="F551" s="208"/>
      <c r="G551" s="208" t="str">
        <f>'BUS Deemed Savings Table'!E26</f>
        <v xml:space="preserve">LED Replacing Interior T8 Fluorescent (Type A / Hybrid) </v>
      </c>
      <c r="H551" s="622" t="str">
        <f>'BUS Deemed Savings Table'!D26</f>
        <v>C&amp;I</v>
      </c>
      <c r="I551" s="2084">
        <f>'BUS Deemed Savings Table'!F26</f>
        <v>86.01</v>
      </c>
      <c r="J551" s="2084"/>
      <c r="K551" s="2113"/>
      <c r="L551" s="2113"/>
      <c r="M551" s="2113"/>
      <c r="N551" s="2113"/>
      <c r="O551" s="2085">
        <f>'BUS Deemed Savings Table'!I26</f>
        <v>1.6338999999999999E-2</v>
      </c>
      <c r="P551" s="2085"/>
      <c r="Q551" s="2086"/>
      <c r="R551" s="2086"/>
      <c r="S551" s="2086"/>
      <c r="T551" s="2086"/>
      <c r="U551" s="2100">
        <f t="shared" ref="U551:U577" si="388">IF(V551+W551&gt;0,0,IF(Z551&gt;0,O551,0))</f>
        <v>0</v>
      </c>
      <c r="V551" s="2100">
        <f t="shared" ref="V551:V577" si="389">IF(W551&gt;0,0,IF(Z551&gt;9,O551,0))</f>
        <v>1.6338999999999999E-2</v>
      </c>
      <c r="W551" s="2100">
        <f t="shared" ref="W551:W577" si="390">IF(Z551&gt;14,O551,0)</f>
        <v>0</v>
      </c>
      <c r="X551" s="2121">
        <f>'BUS Deemed Savings Table'!J26</f>
        <v>10</v>
      </c>
      <c r="Y551" s="2121"/>
      <c r="Z551" s="88">
        <f t="shared" si="376"/>
        <v>10</v>
      </c>
      <c r="AA551" s="637">
        <f>'BUS Deemed Savings Table'!DB26</f>
        <v>1.2131978047994429</v>
      </c>
      <c r="AB551" s="2917">
        <f>'BUS Deemed Savings Table'!K26</f>
        <v>29.64</v>
      </c>
      <c r="AC551" s="2101">
        <f t="shared" si="377"/>
        <v>33.939766809113252</v>
      </c>
      <c r="AD551" s="2101">
        <f t="shared" si="378"/>
        <v>0</v>
      </c>
      <c r="AE551" s="2955">
        <f>'BUS Deemed Savings Table'!DD26</f>
        <v>33.939766809113252</v>
      </c>
      <c r="AF551" s="2956"/>
      <c r="AG551" s="2956"/>
      <c r="AH551" s="2956"/>
      <c r="AI551" s="2240" t="str">
        <f>'BUS Deemed Savings Table'!L26</f>
        <v>per measure</v>
      </c>
      <c r="AM551" s="2057">
        <f t="shared" si="370"/>
        <v>1.899635E-4</v>
      </c>
      <c r="AN551">
        <f t="shared" si="371"/>
        <v>1.6338760635000001E-2</v>
      </c>
      <c r="AO551" s="2048">
        <f t="shared" si="372"/>
        <v>-2.3936499999807626E-7</v>
      </c>
    </row>
    <row r="552" spans="2:41" s="132" customFormat="1" x14ac:dyDescent="0.25">
      <c r="B552" s="2307" t="str">
        <f>'BUS Deemed Savings Table'!C27</f>
        <v>800851_2020_12_</v>
      </c>
      <c r="C552" s="2305" t="str">
        <f>'BUS Deemed Savings Table'!G27</f>
        <v>Lighting BUS</v>
      </c>
      <c r="D552" s="2305"/>
      <c r="E552" s="2305"/>
      <c r="F552" s="2305"/>
      <c r="G552" s="2305" t="str">
        <f>'BUS Deemed Savings Table'!E27</f>
        <v xml:space="preserve">LED Replacting Interior T8 Fluorescent (Type B, C, Kits, and Fixtures </v>
      </c>
      <c r="H552" s="2322" t="str">
        <f>'BUS Deemed Savings Table'!D27</f>
        <v>C&amp;I</v>
      </c>
      <c r="I552" s="2320">
        <f>'BUS Deemed Savings Table'!F27</f>
        <v>161.24</v>
      </c>
      <c r="J552" s="2320"/>
      <c r="K552" s="2310"/>
      <c r="L552" s="2310"/>
      <c r="M552" s="2310"/>
      <c r="N552" s="2310"/>
      <c r="O552" s="2321">
        <f>'BUS Deemed Savings Table'!I27</f>
        <v>3.0630000000000001E-2</v>
      </c>
      <c r="P552" s="2321"/>
      <c r="Q552" s="2323"/>
      <c r="R552" s="2323"/>
      <c r="S552" s="2323"/>
      <c r="T552" s="2323"/>
      <c r="U552" s="2273">
        <f t="shared" si="388"/>
        <v>0</v>
      </c>
      <c r="V552" s="2273">
        <f t="shared" si="389"/>
        <v>0</v>
      </c>
      <c r="W552" s="2273">
        <f t="shared" si="390"/>
        <v>3.0630000000000001E-2</v>
      </c>
      <c r="X552" s="2299">
        <f>'BUS Deemed Savings Table'!J27</f>
        <v>15</v>
      </c>
      <c r="Y552" s="2299"/>
      <c r="Z552" s="2299">
        <f t="shared" si="376"/>
        <v>15</v>
      </c>
      <c r="AA552" s="2298">
        <f>'BUS Deemed Savings Table'!DB27</f>
        <v>3.3394468999722404</v>
      </c>
      <c r="AB552" s="2919">
        <f>'BUS Deemed Savings Table'!K27</f>
        <v>29.64</v>
      </c>
      <c r="AC552" s="2274">
        <f t="shared" si="377"/>
        <v>93.422563582045498</v>
      </c>
      <c r="AD552" s="2274">
        <f t="shared" si="378"/>
        <v>0</v>
      </c>
      <c r="AE552" s="2957">
        <f>'BUS Deemed Savings Table'!DD27</f>
        <v>93.422563582045498</v>
      </c>
      <c r="AF552" s="2334"/>
      <c r="AG552" s="2334"/>
      <c r="AH552" s="2334"/>
      <c r="AI552" s="2307" t="str">
        <f>'BUS Deemed Savings Table'!L27</f>
        <v>per measure</v>
      </c>
      <c r="AM552" s="2929">
        <f t="shared" si="370"/>
        <v>1.899635E-4</v>
      </c>
      <c r="AN552" s="132">
        <f t="shared" si="371"/>
        <v>3.0629714740000001E-2</v>
      </c>
      <c r="AO552" s="2933">
        <f t="shared" si="372"/>
        <v>-2.8525999999987062E-7</v>
      </c>
    </row>
    <row r="553" spans="2:41" x14ac:dyDescent="0.25">
      <c r="B553" s="2240" t="str">
        <f>'BUS Deemed Savings Table'!C28</f>
        <v>800900_2020_12_</v>
      </c>
      <c r="C553" s="208" t="str">
        <f>'BUS Deemed Savings Table'!G28</f>
        <v>Lighting BUS</v>
      </c>
      <c r="D553" s="208"/>
      <c r="E553" s="208"/>
      <c r="F553" s="208"/>
      <c r="G553" s="208" t="str">
        <f>'BUS Deemed Savings Table'!E28</f>
        <v xml:space="preserve">LED Replacing Interior T12 Fluorescent (Type A / Hybrid) </v>
      </c>
      <c r="H553" s="622" t="str">
        <f>'BUS Deemed Savings Table'!D28</f>
        <v>C&amp;I</v>
      </c>
      <c r="I553" s="2084">
        <f>'BUS Deemed Savings Table'!F28</f>
        <v>150</v>
      </c>
      <c r="J553" s="2084"/>
      <c r="K553" s="2113"/>
      <c r="L553" s="2113"/>
      <c r="M553" s="2113"/>
      <c r="N553" s="2113"/>
      <c r="O553" s="2085">
        <f>'BUS Deemed Savings Table'!I28</f>
        <v>2.8494999999999999E-2</v>
      </c>
      <c r="P553" s="2085"/>
      <c r="Q553" s="2086"/>
      <c r="R553" s="2086"/>
      <c r="S553" s="2086"/>
      <c r="T553" s="2086"/>
      <c r="U553" s="2100">
        <f t="shared" si="388"/>
        <v>0</v>
      </c>
      <c r="V553" s="2100">
        <f t="shared" si="389"/>
        <v>2.8494999999999999E-2</v>
      </c>
      <c r="W553" s="2100">
        <f t="shared" si="390"/>
        <v>0</v>
      </c>
      <c r="X553" s="2121">
        <f>'BUS Deemed Savings Table'!J28</f>
        <v>10</v>
      </c>
      <c r="Y553" s="2121"/>
      <c r="Z553" s="88">
        <f t="shared" si="376"/>
        <v>10</v>
      </c>
      <c r="AA553" s="637">
        <f>'BUS Deemed Savings Table'!DB28</f>
        <v>2.1157966599222933</v>
      </c>
      <c r="AB553" s="2917">
        <f>'BUS Deemed Savings Table'!K28</f>
        <v>29.64</v>
      </c>
      <c r="AC553" s="2101">
        <f t="shared" si="377"/>
        <v>59.19038508739667</v>
      </c>
      <c r="AD553" s="2101">
        <f t="shared" si="378"/>
        <v>0</v>
      </c>
      <c r="AE553" s="2955">
        <f>'BUS Deemed Savings Table'!DD28</f>
        <v>59.19038508739667</v>
      </c>
      <c r="AF553" s="2956"/>
      <c r="AG553" s="2956"/>
      <c r="AH553" s="2956"/>
      <c r="AI553" s="2240" t="str">
        <f>'BUS Deemed Savings Table'!L28</f>
        <v>per measure</v>
      </c>
      <c r="AM553" s="2057">
        <f t="shared" si="370"/>
        <v>1.899635E-4</v>
      </c>
      <c r="AN553">
        <f t="shared" si="371"/>
        <v>2.8494525E-2</v>
      </c>
      <c r="AO553" s="2048">
        <f t="shared" si="372"/>
        <v>-4.7499999999978115E-7</v>
      </c>
    </row>
    <row r="554" spans="2:41" s="132" customFormat="1" x14ac:dyDescent="0.25">
      <c r="B554" s="2307" t="str">
        <f>'BUS Deemed Savings Table'!C29</f>
        <v>800901_2020_12_</v>
      </c>
      <c r="C554" s="2305" t="str">
        <f>'BUS Deemed Savings Table'!G29</f>
        <v>Lighting BUS</v>
      </c>
      <c r="D554" s="2305"/>
      <c r="E554" s="2305"/>
      <c r="F554" s="2305"/>
      <c r="G554" s="2305" t="str">
        <f>'BUS Deemed Savings Table'!E29</f>
        <v xml:space="preserve">LED Replacing Interior T12 Fluorescent (Type B, C, Kits, and Fixtures) </v>
      </c>
      <c r="H554" s="2322" t="str">
        <f>'BUS Deemed Savings Table'!D29</f>
        <v>C&amp;I</v>
      </c>
      <c r="I554" s="2320">
        <f>'BUS Deemed Savings Table'!F29</f>
        <v>181.13</v>
      </c>
      <c r="J554" s="2320"/>
      <c r="K554" s="2310"/>
      <c r="L554" s="2310"/>
      <c r="M554" s="2310"/>
      <c r="N554" s="2310"/>
      <c r="O554" s="2321">
        <f>'BUS Deemed Savings Table'!I29</f>
        <v>3.4408000000000001E-2</v>
      </c>
      <c r="P554" s="2321"/>
      <c r="Q554" s="2323"/>
      <c r="R554" s="2323"/>
      <c r="S554" s="2323"/>
      <c r="T554" s="2323"/>
      <c r="U554" s="2273">
        <f t="shared" si="388"/>
        <v>0</v>
      </c>
      <c r="V554" s="2273">
        <f t="shared" si="389"/>
        <v>0</v>
      </c>
      <c r="W554" s="2273">
        <f t="shared" si="390"/>
        <v>3.4408000000000001E-2</v>
      </c>
      <c r="X554" s="2299">
        <f>'BUS Deemed Savings Table'!J29</f>
        <v>15</v>
      </c>
      <c r="Y554" s="2299"/>
      <c r="Z554" s="2299">
        <f t="shared" si="376"/>
        <v>15</v>
      </c>
      <c r="AA554" s="2298">
        <f>'BUS Deemed Savings Table'!DB29</f>
        <v>3.7513893388239388</v>
      </c>
      <c r="AB554" s="2919">
        <f>'BUS Deemed Savings Table'!K29</f>
        <v>29.64</v>
      </c>
      <c r="AC554" s="2274">
        <f t="shared" si="377"/>
        <v>104.94684285298871</v>
      </c>
      <c r="AD554" s="2274">
        <f t="shared" si="378"/>
        <v>0</v>
      </c>
      <c r="AE554" s="2957">
        <f>'BUS Deemed Savings Table'!DD29</f>
        <v>104.94684285298871</v>
      </c>
      <c r="AF554" s="2334"/>
      <c r="AG554" s="2334"/>
      <c r="AH554" s="2334"/>
      <c r="AI554" s="2307" t="str">
        <f>'BUS Deemed Savings Table'!L29</f>
        <v>per measure</v>
      </c>
      <c r="AM554" s="2929">
        <f t="shared" si="370"/>
        <v>1.899635E-4</v>
      </c>
      <c r="AN554" s="132">
        <f t="shared" si="371"/>
        <v>3.4408088755000003E-2</v>
      </c>
      <c r="AO554" s="2933">
        <f t="shared" si="372"/>
        <v>8.8755000002271878E-8</v>
      </c>
    </row>
    <row r="555" spans="2:41" x14ac:dyDescent="0.25">
      <c r="B555" s="2240" t="str">
        <f>'BUS Deemed Savings Table'!C30</f>
        <v>800950_2019_12_</v>
      </c>
      <c r="C555" s="208" t="str">
        <f>'BUS Deemed Savings Table'!G30</f>
        <v>Lighting BUS</v>
      </c>
      <c r="D555" s="208"/>
      <c r="E555" s="208"/>
      <c r="F555" s="208"/>
      <c r="G555" s="208" t="str">
        <f>'BUS Deemed Savings Table'!E30</f>
        <v>LED Specialty Lamp</v>
      </c>
      <c r="H555" s="622" t="str">
        <f>'BUS Deemed Savings Table'!D30</f>
        <v>C&amp;I</v>
      </c>
      <c r="I555" s="2084">
        <f>'BUS Deemed Savings Table'!F30</f>
        <v>102.26</v>
      </c>
      <c r="J555" s="2084"/>
      <c r="K555" s="2113"/>
      <c r="L555" s="2113"/>
      <c r="M555" s="2113"/>
      <c r="N555" s="2113"/>
      <c r="O555" s="2085">
        <f>'BUS Deemed Savings Table'!I30</f>
        <v>1.9425999999999999E-2</v>
      </c>
      <c r="P555" s="2085"/>
      <c r="Q555" s="2086"/>
      <c r="R555" s="2086"/>
      <c r="S555" s="2086"/>
      <c r="T555" s="2086"/>
      <c r="U555" s="2100">
        <f t="shared" si="388"/>
        <v>0</v>
      </c>
      <c r="V555" s="2100">
        <f t="shared" si="389"/>
        <v>1.9425999999999999E-2</v>
      </c>
      <c r="W555" s="2100">
        <f t="shared" si="390"/>
        <v>0</v>
      </c>
      <c r="X555" s="2121">
        <f>'BUS Deemed Savings Table'!J30</f>
        <v>11</v>
      </c>
      <c r="Y555" s="2121"/>
      <c r="Z555" s="88">
        <f t="shared" si="376"/>
        <v>11</v>
      </c>
      <c r="AA555" s="637">
        <f>'BUS Deemed Savings Table'!DB30</f>
        <v>3.9347064876188043</v>
      </c>
      <c r="AB555" s="2917">
        <f>'BUS Deemed Savings Table'!K30</f>
        <v>11.94</v>
      </c>
      <c r="AC555" s="2101">
        <f t="shared" si="377"/>
        <v>44.342043852919787</v>
      </c>
      <c r="AD555" s="2101">
        <f t="shared" si="378"/>
        <v>0</v>
      </c>
      <c r="AE555" s="2955">
        <f>'BUS Deemed Savings Table'!DD30</f>
        <v>44.342043852919787</v>
      </c>
      <c r="AF555" s="2956"/>
      <c r="AG555" s="2956"/>
      <c r="AH555" s="2956"/>
      <c r="AI555" s="2240" t="str">
        <f>'BUS Deemed Savings Table'!L30</f>
        <v>per measure</v>
      </c>
      <c r="AM555" s="2057">
        <f t="shared" si="370"/>
        <v>1.899635E-4</v>
      </c>
      <c r="AN555">
        <f t="shared" si="371"/>
        <v>1.9425667510000001E-2</v>
      </c>
      <c r="AO555" s="2048">
        <f t="shared" si="372"/>
        <v>-3.3248999999763162E-7</v>
      </c>
    </row>
    <row r="556" spans="2:41" s="157" customFormat="1" x14ac:dyDescent="0.25">
      <c r="B556" s="767" t="str">
        <f>'BUS Deemed Savings Table'!C69</f>
        <v>801010_2020_07</v>
      </c>
      <c r="C556" s="2309" t="str">
        <f>'BUS Deemed Savings Table'!G69</f>
        <v>Lighting BUS</v>
      </c>
      <c r="D556" s="2309"/>
      <c r="E556" s="2309"/>
      <c r="F556" s="2309"/>
      <c r="G556" s="2309" t="str">
        <f>'BUS Deemed Savings Table'!E69</f>
        <v>Fixture Mounted Occupancy Sensor Controlling &gt; 60 Watts</v>
      </c>
      <c r="H556" s="86" t="str">
        <f>'BUS Deemed Savings Table'!D69</f>
        <v>C&amp;I</v>
      </c>
      <c r="I556" s="2934">
        <f>'BUS Deemed Savings Table'!F69</f>
        <v>118.87</v>
      </c>
      <c r="J556" s="2934"/>
      <c r="K556" s="2935"/>
      <c r="L556" s="2935"/>
      <c r="M556" s="2935"/>
      <c r="N556" s="2935"/>
      <c r="O556" s="2936">
        <f>'BUS Deemed Savings Table'!I69</f>
        <v>2.2581E-2</v>
      </c>
      <c r="P556" s="2936"/>
      <c r="Q556" s="2937"/>
      <c r="R556" s="2937"/>
      <c r="S556" s="2937"/>
      <c r="T556" s="2937"/>
      <c r="U556" s="2938">
        <f t="shared" ref="U556" si="391">IF(V556+W556&gt;0,0,IF(Z556&gt;0,O556,0))</f>
        <v>0</v>
      </c>
      <c r="V556" s="2938">
        <f t="shared" ref="V556" si="392">IF(W556&gt;0,0,IF(Z556&gt;9,O556,0))</f>
        <v>2.2581E-2</v>
      </c>
      <c r="W556" s="2938">
        <f t="shared" ref="W556" si="393">IF(Z556&gt;14,O556,0)</f>
        <v>0</v>
      </c>
      <c r="X556" s="92">
        <f>'BUS Deemed Savings Table'!J69</f>
        <v>10</v>
      </c>
      <c r="Y556" s="92"/>
      <c r="Z556" s="92">
        <f t="shared" ref="Z556:Z566" si="394">Y556+X556</f>
        <v>10</v>
      </c>
      <c r="AA556" s="85">
        <f>'BUS Deemed Savings Table'!DB69</f>
        <v>1.1043852976772599</v>
      </c>
      <c r="AB556" s="931">
        <f>'BUS Deemed Savings Table'!K69</f>
        <v>45</v>
      </c>
      <c r="AC556" s="2954">
        <f t="shared" ref="AC556" si="395">AE556+AF556</f>
        <v>46.906407168925618</v>
      </c>
      <c r="AD556" s="2954">
        <f t="shared" ref="AD556" si="396">AG556+AH556</f>
        <v>0</v>
      </c>
      <c r="AE556" s="1882">
        <f>'BUS Deemed Savings Table'!DD69</f>
        <v>46.906407168925618</v>
      </c>
      <c r="AF556" s="2960"/>
      <c r="AG556" s="2960"/>
      <c r="AH556" s="2960"/>
      <c r="AI556" s="767" t="str">
        <f>'BUS Deemed Savings Table'!L69</f>
        <v>per measure</v>
      </c>
      <c r="AM556" s="2939">
        <f t="shared" ref="AM556" si="397">VLOOKUP(C556,$AS$10:$AT$47,2,FALSE)</f>
        <v>1.899635E-4</v>
      </c>
      <c r="AN556" s="157">
        <f t="shared" ref="AN556" si="398">AM556*I556</f>
        <v>2.2580961245000003E-2</v>
      </c>
      <c r="AO556" s="2940">
        <f t="shared" ref="AO556" si="399">AN556-O556</f>
        <v>-3.8754999997364648E-8</v>
      </c>
    </row>
    <row r="557" spans="2:41" s="157" customFormat="1" x14ac:dyDescent="0.25">
      <c r="B557" s="767" t="str">
        <f>'BUS Deemed Savings Table'!C70</f>
        <v>801020_2020_07</v>
      </c>
      <c r="C557" s="2309" t="str">
        <f>'BUS Deemed Savings Table'!G70</f>
        <v>Lighting BUS</v>
      </c>
      <c r="D557" s="2309"/>
      <c r="E557" s="2309"/>
      <c r="F557" s="2309"/>
      <c r="G557" s="2309" t="str">
        <f>'BUS Deemed Savings Table'!E70</f>
        <v>Remote Mounted Occupancy Sensor Controlling &gt; 150 Watts</v>
      </c>
      <c r="H557" s="86" t="str">
        <f>'BUS Deemed Savings Table'!D70</f>
        <v>C&amp;I</v>
      </c>
      <c r="I557" s="2934">
        <f>'BUS Deemed Savings Table'!F70</f>
        <v>291.13</v>
      </c>
      <c r="J557" s="2934"/>
      <c r="K557" s="2935"/>
      <c r="L557" s="2935"/>
      <c r="M557" s="2935"/>
      <c r="N557" s="2935"/>
      <c r="O557" s="2936">
        <f>'BUS Deemed Savings Table'!I70</f>
        <v>5.5303999999999999E-2</v>
      </c>
      <c r="P557" s="2936"/>
      <c r="Q557" s="2937"/>
      <c r="R557" s="2937"/>
      <c r="S557" s="2937"/>
      <c r="T557" s="2937"/>
      <c r="U557" s="2938">
        <f t="shared" ref="U557" si="400">IF(V557+W557&gt;0,0,IF(Z557&gt;0,O557,0))</f>
        <v>0</v>
      </c>
      <c r="V557" s="2938">
        <f t="shared" ref="V557" si="401">IF(W557&gt;0,0,IF(Z557&gt;9,O557,0))</f>
        <v>5.5303999999999999E-2</v>
      </c>
      <c r="W557" s="2938">
        <f t="shared" ref="W557" si="402">IF(Z557&gt;14,O557,0)</f>
        <v>0</v>
      </c>
      <c r="X557" s="92">
        <f>'BUS Deemed Savings Table'!J70</f>
        <v>10</v>
      </c>
      <c r="Y557" s="92"/>
      <c r="Z557" s="92">
        <f t="shared" si="394"/>
        <v>10</v>
      </c>
      <c r="AA557" s="85">
        <f>'BUS Deemed Savings Table'!DB70</f>
        <v>1.1592004171884556</v>
      </c>
      <c r="AB557" s="931">
        <f>'BUS Deemed Savings Table'!K70</f>
        <v>105</v>
      </c>
      <c r="AC557" s="2954">
        <f t="shared" ref="AC557" si="403">AE557+AF557</f>
        <v>114.88064540329195</v>
      </c>
      <c r="AD557" s="2954">
        <f t="shared" ref="AD557" si="404">AG557+AH557</f>
        <v>0</v>
      </c>
      <c r="AE557" s="1882">
        <f>'BUS Deemed Savings Table'!DD70</f>
        <v>114.88064540329195</v>
      </c>
      <c r="AF557" s="2960"/>
      <c r="AG557" s="2960"/>
      <c r="AH557" s="2960"/>
      <c r="AI557" s="767" t="str">
        <f>'BUS Deemed Savings Table'!L70</f>
        <v>per measure</v>
      </c>
      <c r="AM557" s="2939">
        <f t="shared" ref="AM557" si="405">VLOOKUP(C557,$AS$10:$AT$47,2,FALSE)</f>
        <v>1.899635E-4</v>
      </c>
      <c r="AN557" s="157">
        <f t="shared" ref="AN557" si="406">AM557*I557</f>
        <v>5.5304073755000002E-2</v>
      </c>
      <c r="AO557" s="2940">
        <f t="shared" ref="AO557" si="407">AN557-O557</f>
        <v>7.3755000003228322E-8</v>
      </c>
    </row>
    <row r="558" spans="2:41" s="132" customFormat="1" x14ac:dyDescent="0.25">
      <c r="B558" s="2307" t="str">
        <f>'BUS Deemed Savings Table'!C90</f>
        <v>801225_2020_12_</v>
      </c>
      <c r="C558" s="2305" t="str">
        <f>'BUS Deemed Savings Table'!G90</f>
        <v>Lighting BUS</v>
      </c>
      <c r="D558" s="2305"/>
      <c r="E558" s="2305"/>
      <c r="F558" s="2305"/>
      <c r="G558" s="2305" t="str">
        <f>'BUS Deemed Savings Table'!E90</f>
        <v>LED Retrofit Kit with Network Controls Replacing Interior T5 Fluorescent</v>
      </c>
      <c r="H558" s="2322" t="str">
        <f>'BUS Deemed Savings Table'!D90</f>
        <v>C&amp;I</v>
      </c>
      <c r="I558" s="2320">
        <f>'BUS Deemed Savings Table'!F90</f>
        <v>188.73868765259346</v>
      </c>
      <c r="J558" s="2320"/>
      <c r="K558" s="2310"/>
      <c r="L558" s="2310"/>
      <c r="M558" s="2310"/>
      <c r="N558" s="2310"/>
      <c r="O558" s="2321">
        <f>'BUS Deemed Savings Table'!I90</f>
        <v>3.5853000000000003E-2</v>
      </c>
      <c r="P558" s="2321"/>
      <c r="Q558" s="2323"/>
      <c r="R558" s="2323"/>
      <c r="S558" s="2323"/>
      <c r="T558" s="2323"/>
      <c r="U558" s="2273">
        <f t="shared" ref="U558" si="408">IF(V558+W558&gt;0,0,IF(Z558&gt;0,O558,0))</f>
        <v>0</v>
      </c>
      <c r="V558" s="2273">
        <f t="shared" ref="V558" si="409">IF(W558&gt;0,0,IF(Z558&gt;9,O558,0))</f>
        <v>0</v>
      </c>
      <c r="W558" s="2273">
        <f t="shared" ref="W558" si="410">IF(Z558&gt;14,O558,0)</f>
        <v>3.5853000000000003E-2</v>
      </c>
      <c r="X558" s="2299">
        <f>'BUS Deemed Savings Table'!J90</f>
        <v>15</v>
      </c>
      <c r="Y558" s="2299"/>
      <c r="Z558" s="2299">
        <f t="shared" ref="Z558" si="411">Y558+X558</f>
        <v>15</v>
      </c>
      <c r="AA558" s="2298">
        <f>'BUS Deemed Savings Table'!DB90</f>
        <v>2.0778687802744082</v>
      </c>
      <c r="AB558" s="2919">
        <f>'BUS Deemed Savings Table'!K90</f>
        <v>55.76</v>
      </c>
      <c r="AC558" s="2274">
        <f t="shared" ref="AC558" si="412">AE558+AF558</f>
        <v>109.355321555546</v>
      </c>
      <c r="AD558" s="2274">
        <f t="shared" ref="AD558" si="413">AG558+AH558</f>
        <v>0</v>
      </c>
      <c r="AE558" s="2957">
        <f>'BUS Deemed Savings Table'!DD90</f>
        <v>109.355321555546</v>
      </c>
      <c r="AF558" s="2334"/>
      <c r="AG558" s="2334"/>
      <c r="AH558" s="2334"/>
      <c r="AI558" s="2307" t="str">
        <f>'BUS Deemed Savings Table'!L90</f>
        <v>per measure</v>
      </c>
      <c r="AM558" s="2929">
        <f t="shared" ref="AM558" si="414">VLOOKUP(C558,$AS$10:$AT$47,2,FALSE)</f>
        <v>1.899635E-4</v>
      </c>
      <c r="AN558" s="132">
        <f t="shared" ref="AN558" si="415">AM558*I558</f>
        <v>3.5853461691893435E-2</v>
      </c>
      <c r="AO558" s="2933">
        <f t="shared" ref="AO558" si="416">AN558-O558</f>
        <v>4.6169189343164829E-7</v>
      </c>
    </row>
    <row r="559" spans="2:41" s="132" customFormat="1" x14ac:dyDescent="0.25">
      <c r="B559" s="2307" t="str">
        <f>'BUS Deemed Savings Table'!C91</f>
        <v>801227_2020_12_</v>
      </c>
      <c r="C559" s="2305" t="str">
        <f>'BUS Deemed Savings Table'!G91</f>
        <v>Lighting BUS</v>
      </c>
      <c r="D559" s="2305"/>
      <c r="E559" s="2305"/>
      <c r="F559" s="2305"/>
      <c r="G559" s="2305" t="str">
        <f>'BUS Deemed Savings Table'!E91</f>
        <v>LED Fixture with Network Controls Replacing Interior T5 Fluorescent</v>
      </c>
      <c r="H559" s="2322" t="str">
        <f>'BUS Deemed Savings Table'!D91</f>
        <v>C&amp;I</v>
      </c>
      <c r="I559" s="2320">
        <f>'BUS Deemed Savings Table'!F91</f>
        <v>188.73868765259346</v>
      </c>
      <c r="J559" s="2320"/>
      <c r="K559" s="2310"/>
      <c r="L559" s="2310"/>
      <c r="M559" s="2310"/>
      <c r="N559" s="2310"/>
      <c r="O559" s="2321">
        <f>'BUS Deemed Savings Table'!I91</f>
        <v>3.5853000000000003E-2</v>
      </c>
      <c r="P559" s="2321"/>
      <c r="Q559" s="2323"/>
      <c r="R559" s="2323"/>
      <c r="S559" s="2323"/>
      <c r="T559" s="2323"/>
      <c r="U559" s="2273">
        <f t="shared" ref="U559:U565" si="417">IF(V559+W559&gt;0,0,IF(Z559&gt;0,O559,0))</f>
        <v>0</v>
      </c>
      <c r="V559" s="2273">
        <f t="shared" ref="V559:V565" si="418">IF(W559&gt;0,0,IF(Z559&gt;9,O559,0))</f>
        <v>0</v>
      </c>
      <c r="W559" s="2273">
        <f t="shared" ref="W559:W565" si="419">IF(Z559&gt;14,O559,0)</f>
        <v>3.5853000000000003E-2</v>
      </c>
      <c r="X559" s="2299">
        <f>'BUS Deemed Savings Table'!J91</f>
        <v>15</v>
      </c>
      <c r="Y559" s="2299"/>
      <c r="Z559" s="2299">
        <f t="shared" ref="Z559:Z565" si="420">Y559+X559</f>
        <v>15</v>
      </c>
      <c r="AA559" s="2298">
        <f>'BUS Deemed Savings Table'!DB91</f>
        <v>2.0778687802744082</v>
      </c>
      <c r="AB559" s="2919">
        <f>'BUS Deemed Savings Table'!K91</f>
        <v>55.76</v>
      </c>
      <c r="AC559" s="2274">
        <f t="shared" ref="AC559:AC565" si="421">AE559+AF559</f>
        <v>109.355321555546</v>
      </c>
      <c r="AD559" s="2274">
        <f t="shared" ref="AD559:AD565" si="422">AG559+AH559</f>
        <v>0</v>
      </c>
      <c r="AE559" s="2957">
        <f>'BUS Deemed Savings Table'!DD91</f>
        <v>109.355321555546</v>
      </c>
      <c r="AF559" s="2334"/>
      <c r="AG559" s="2334"/>
      <c r="AH559" s="2334"/>
      <c r="AI559" s="2307" t="str">
        <f>'BUS Deemed Savings Table'!L91</f>
        <v>per measure</v>
      </c>
      <c r="AM559" s="2929">
        <f t="shared" ref="AM559:AM565" si="423">VLOOKUP(C559,$AS$10:$AT$47,2,FALSE)</f>
        <v>1.899635E-4</v>
      </c>
      <c r="AN559" s="132">
        <f t="shared" ref="AN559:AN565" si="424">AM559*I559</f>
        <v>3.5853461691893435E-2</v>
      </c>
      <c r="AO559" s="2933">
        <f t="shared" ref="AO559:AO565" si="425">AN559-O559</f>
        <v>4.6169189343164829E-7</v>
      </c>
    </row>
    <row r="560" spans="2:41" s="132" customFormat="1" x14ac:dyDescent="0.25">
      <c r="B560" s="2307" t="str">
        <f>'BUS Deemed Savings Table'!C92</f>
        <v>801229_2020_12_</v>
      </c>
      <c r="C560" s="2305" t="str">
        <f>'BUS Deemed Savings Table'!G92</f>
        <v>Lighting BUS</v>
      </c>
      <c r="D560" s="2305"/>
      <c r="E560" s="2305"/>
      <c r="F560" s="2305"/>
      <c r="G560" s="2305" t="str">
        <f>'BUS Deemed Savings Table'!E92</f>
        <v>LED Retrofit Kit with Network Controls Replacing Interior T8 Fluorescent</v>
      </c>
      <c r="H560" s="2322" t="str">
        <f>'BUS Deemed Savings Table'!D92</f>
        <v>C&amp;I</v>
      </c>
      <c r="I560" s="2320">
        <f>'BUS Deemed Savings Table'!F92</f>
        <v>82.679046132979281</v>
      </c>
      <c r="J560" s="2320"/>
      <c r="K560" s="2310"/>
      <c r="L560" s="2310"/>
      <c r="M560" s="2310"/>
      <c r="N560" s="2310"/>
      <c r="O560" s="2321">
        <f>'BUS Deemed Savings Table'!I92</f>
        <v>1.5706000000000001E-2</v>
      </c>
      <c r="P560" s="2321"/>
      <c r="Q560" s="2323"/>
      <c r="R560" s="2323"/>
      <c r="S560" s="2323"/>
      <c r="T560" s="2323"/>
      <c r="U560" s="2273">
        <f t="shared" si="417"/>
        <v>0</v>
      </c>
      <c r="V560" s="2273">
        <f t="shared" si="418"/>
        <v>0</v>
      </c>
      <c r="W560" s="2273">
        <f t="shared" si="419"/>
        <v>1.5706000000000001E-2</v>
      </c>
      <c r="X560" s="2299">
        <f>'BUS Deemed Savings Table'!J92</f>
        <v>15</v>
      </c>
      <c r="Y560" s="2299"/>
      <c r="Z560" s="2299">
        <f t="shared" si="420"/>
        <v>15</v>
      </c>
      <c r="AA560" s="2298">
        <f>'BUS Deemed Savings Table'!DB92</f>
        <v>0.91023314233701846</v>
      </c>
      <c r="AB560" s="2919">
        <f>'BUS Deemed Savings Table'!K92</f>
        <v>55.76</v>
      </c>
      <c r="AC560" s="2274">
        <f t="shared" si="421"/>
        <v>47.904294494301219</v>
      </c>
      <c r="AD560" s="2274">
        <f t="shared" si="422"/>
        <v>0</v>
      </c>
      <c r="AE560" s="2957">
        <f>'BUS Deemed Savings Table'!DD92</f>
        <v>47.904294494301219</v>
      </c>
      <c r="AF560" s="2334"/>
      <c r="AG560" s="2334"/>
      <c r="AH560" s="2334"/>
      <c r="AI560" s="2307" t="str">
        <f>'BUS Deemed Savings Table'!L92</f>
        <v>per measure</v>
      </c>
      <c r="AM560" s="2929">
        <f t="shared" si="423"/>
        <v>1.899635E-4</v>
      </c>
      <c r="AN560" s="132">
        <f t="shared" si="424"/>
        <v>1.5706000980082211E-2</v>
      </c>
      <c r="AO560" s="2933">
        <f t="shared" si="425"/>
        <v>9.8008220983381023E-10</v>
      </c>
    </row>
    <row r="561" spans="2:41" s="132" customFormat="1" x14ac:dyDescent="0.25">
      <c r="B561" s="2307" t="str">
        <f>'BUS Deemed Savings Table'!C93</f>
        <v>801231_2020_12_</v>
      </c>
      <c r="C561" s="2305" t="str">
        <f>'BUS Deemed Savings Table'!G93</f>
        <v>Lighting BUS</v>
      </c>
      <c r="D561" s="2305"/>
      <c r="E561" s="2305"/>
      <c r="F561" s="2305"/>
      <c r="G561" s="2305" t="str">
        <f>'BUS Deemed Savings Table'!E93</f>
        <v>LED Fixture with Network Controls Replacing Interior T8 Fluorescent</v>
      </c>
      <c r="H561" s="2322" t="str">
        <f>'BUS Deemed Savings Table'!D93</f>
        <v>C&amp;I</v>
      </c>
      <c r="I561" s="2320">
        <f>'BUS Deemed Savings Table'!F93</f>
        <v>82.679046132979281</v>
      </c>
      <c r="J561" s="2320"/>
      <c r="K561" s="2310"/>
      <c r="L561" s="2310"/>
      <c r="M561" s="2310"/>
      <c r="N561" s="2310"/>
      <c r="O561" s="2321">
        <f>'BUS Deemed Savings Table'!I93</f>
        <v>1.5706000000000001E-2</v>
      </c>
      <c r="P561" s="2321"/>
      <c r="Q561" s="2323"/>
      <c r="R561" s="2323"/>
      <c r="S561" s="2323"/>
      <c r="T561" s="2323"/>
      <c r="U561" s="2273">
        <f t="shared" si="417"/>
        <v>0</v>
      </c>
      <c r="V561" s="2273">
        <f t="shared" si="418"/>
        <v>0</v>
      </c>
      <c r="W561" s="2273">
        <f t="shared" si="419"/>
        <v>1.5706000000000001E-2</v>
      </c>
      <c r="X561" s="2299">
        <f>'BUS Deemed Savings Table'!J93</f>
        <v>15</v>
      </c>
      <c r="Y561" s="2299"/>
      <c r="Z561" s="2299">
        <f t="shared" si="420"/>
        <v>15</v>
      </c>
      <c r="AA561" s="2298">
        <f>'BUS Deemed Savings Table'!DB93</f>
        <v>0.91023314233701846</v>
      </c>
      <c r="AB561" s="2919">
        <f>'BUS Deemed Savings Table'!K93</f>
        <v>55.76</v>
      </c>
      <c r="AC561" s="2274">
        <f t="shared" si="421"/>
        <v>47.904294494301219</v>
      </c>
      <c r="AD561" s="2274">
        <f t="shared" si="422"/>
        <v>0</v>
      </c>
      <c r="AE561" s="2957">
        <f>'BUS Deemed Savings Table'!DD93</f>
        <v>47.904294494301219</v>
      </c>
      <c r="AF561" s="2334"/>
      <c r="AG561" s="2334"/>
      <c r="AH561" s="2334"/>
      <c r="AI561" s="2307" t="str">
        <f>'BUS Deemed Savings Table'!L93</f>
        <v>per measure</v>
      </c>
      <c r="AM561" s="2929">
        <f t="shared" si="423"/>
        <v>1.899635E-4</v>
      </c>
      <c r="AN561" s="132">
        <f t="shared" si="424"/>
        <v>1.5706000980082211E-2</v>
      </c>
      <c r="AO561" s="2933">
        <f t="shared" si="425"/>
        <v>9.8008220983381023E-10</v>
      </c>
    </row>
    <row r="562" spans="2:41" s="132" customFormat="1" x14ac:dyDescent="0.25">
      <c r="B562" s="2307" t="str">
        <f>'BUS Deemed Savings Table'!C94</f>
        <v>801233_2020_12_</v>
      </c>
      <c r="C562" s="2305" t="str">
        <f>'BUS Deemed Savings Table'!G94</f>
        <v>Lighting BUS</v>
      </c>
      <c r="D562" s="2305"/>
      <c r="E562" s="2305"/>
      <c r="F562" s="2305"/>
      <c r="G562" s="2305" t="str">
        <f>'BUS Deemed Savings Table'!E94</f>
        <v>LED Retrofit Kit with Network Controls Replacing Interior T12 Fluorescent</v>
      </c>
      <c r="H562" s="2322" t="str">
        <f>'BUS Deemed Savings Table'!D94</f>
        <v>C&amp;I</v>
      </c>
      <c r="I562" s="2320">
        <f>'BUS Deemed Savings Table'!F94</f>
        <v>81.895795033523839</v>
      </c>
      <c r="J562" s="2320"/>
      <c r="K562" s="2310"/>
      <c r="L562" s="2310"/>
      <c r="M562" s="2310"/>
      <c r="N562" s="2310"/>
      <c r="O562" s="2321">
        <f>'BUS Deemed Savings Table'!I94</f>
        <v>1.5557E-2</v>
      </c>
      <c r="P562" s="2321"/>
      <c r="Q562" s="2323"/>
      <c r="R562" s="2323"/>
      <c r="S562" s="2323"/>
      <c r="T562" s="2323"/>
      <c r="U562" s="2273">
        <f t="shared" si="417"/>
        <v>0</v>
      </c>
      <c r="V562" s="2273">
        <f t="shared" si="418"/>
        <v>0</v>
      </c>
      <c r="W562" s="2273">
        <f t="shared" si="419"/>
        <v>1.5557E-2</v>
      </c>
      <c r="X562" s="2299">
        <f>'BUS Deemed Savings Table'!J94</f>
        <v>15</v>
      </c>
      <c r="Y562" s="2299"/>
      <c r="Z562" s="2299">
        <f t="shared" si="420"/>
        <v>15</v>
      </c>
      <c r="AA562" s="2298">
        <f>'BUS Deemed Savings Table'!DB94</f>
        <v>0.90161014602971268</v>
      </c>
      <c r="AB562" s="2919">
        <f>'BUS Deemed Savings Table'!K94</f>
        <v>55.76</v>
      </c>
      <c r="AC562" s="2274">
        <f t="shared" si="421"/>
        <v>47.450478284678404</v>
      </c>
      <c r="AD562" s="2274">
        <f t="shared" si="422"/>
        <v>0</v>
      </c>
      <c r="AE562" s="2957">
        <f>'BUS Deemed Savings Table'!DD94</f>
        <v>47.450478284678404</v>
      </c>
      <c r="AF562" s="2334"/>
      <c r="AG562" s="2334"/>
      <c r="AH562" s="2334"/>
      <c r="AI562" s="2307" t="str">
        <f>'BUS Deemed Savings Table'!L94</f>
        <v>per measure</v>
      </c>
      <c r="AM562" s="2929">
        <f t="shared" si="423"/>
        <v>1.899635E-4</v>
      </c>
      <c r="AN562" s="132">
        <f t="shared" si="424"/>
        <v>1.5557211859850806E-2</v>
      </c>
      <c r="AO562" s="2933">
        <f t="shared" si="425"/>
        <v>2.1185985080683645E-7</v>
      </c>
    </row>
    <row r="563" spans="2:41" s="132" customFormat="1" x14ac:dyDescent="0.25">
      <c r="B563" s="2307" t="str">
        <f>'BUS Deemed Savings Table'!C95</f>
        <v>801235_2020_12_</v>
      </c>
      <c r="C563" s="2305" t="str">
        <f>'BUS Deemed Savings Table'!G95</f>
        <v>Lighting BUS</v>
      </c>
      <c r="D563" s="2305"/>
      <c r="E563" s="2305"/>
      <c r="F563" s="2305"/>
      <c r="G563" s="2305" t="str">
        <f>'BUS Deemed Savings Table'!E95</f>
        <v>LED Fixture with Network Controls Replacing Interior T12 Fluorescent</v>
      </c>
      <c r="H563" s="2322" t="str">
        <f>'BUS Deemed Savings Table'!D95</f>
        <v>C&amp;I</v>
      </c>
      <c r="I563" s="2320">
        <f>'BUS Deemed Savings Table'!F95</f>
        <v>81.895795033523839</v>
      </c>
      <c r="J563" s="2320"/>
      <c r="K563" s="2310"/>
      <c r="L563" s="2310"/>
      <c r="M563" s="2310"/>
      <c r="N563" s="2310"/>
      <c r="O563" s="2321">
        <f>'BUS Deemed Savings Table'!I95</f>
        <v>1.5557E-2</v>
      </c>
      <c r="P563" s="2321"/>
      <c r="Q563" s="2323"/>
      <c r="R563" s="2323"/>
      <c r="S563" s="2323"/>
      <c r="T563" s="2323"/>
      <c r="U563" s="2273">
        <f t="shared" si="417"/>
        <v>0</v>
      </c>
      <c r="V563" s="2273">
        <f t="shared" si="418"/>
        <v>0</v>
      </c>
      <c r="W563" s="2273">
        <f t="shared" si="419"/>
        <v>1.5557E-2</v>
      </c>
      <c r="X563" s="2299">
        <f>'BUS Deemed Savings Table'!J95</f>
        <v>15</v>
      </c>
      <c r="Y563" s="2299"/>
      <c r="Z563" s="2299">
        <f t="shared" si="420"/>
        <v>15</v>
      </c>
      <c r="AA563" s="2298">
        <f>'BUS Deemed Savings Table'!DB95</f>
        <v>0.90161014602971268</v>
      </c>
      <c r="AB563" s="2919">
        <f>'BUS Deemed Savings Table'!K95</f>
        <v>55.76</v>
      </c>
      <c r="AC563" s="2274">
        <f t="shared" si="421"/>
        <v>47.450478284678404</v>
      </c>
      <c r="AD563" s="2274">
        <f t="shared" si="422"/>
        <v>0</v>
      </c>
      <c r="AE563" s="2957">
        <f>'BUS Deemed Savings Table'!DD95</f>
        <v>47.450478284678404</v>
      </c>
      <c r="AF563" s="2334"/>
      <c r="AG563" s="2334"/>
      <c r="AH563" s="2334"/>
      <c r="AI563" s="2307" t="str">
        <f>'BUS Deemed Savings Table'!L95</f>
        <v>per measure</v>
      </c>
      <c r="AM563" s="2929">
        <f t="shared" si="423"/>
        <v>1.899635E-4</v>
      </c>
      <c r="AN563" s="132">
        <f t="shared" si="424"/>
        <v>1.5557211859850806E-2</v>
      </c>
      <c r="AO563" s="2933">
        <f t="shared" si="425"/>
        <v>2.1185985080683645E-7</v>
      </c>
    </row>
    <row r="564" spans="2:41" s="132" customFormat="1" x14ac:dyDescent="0.25">
      <c r="B564" s="2307" t="str">
        <f>'BUS Deemed Savings Table'!C96</f>
        <v>801237_2020_12_</v>
      </c>
      <c r="C564" s="2305" t="str">
        <f>'BUS Deemed Savings Table'!G96</f>
        <v>Lighting BUS</v>
      </c>
      <c r="D564" s="2305"/>
      <c r="E564" s="2305"/>
      <c r="F564" s="2305"/>
      <c r="G564" s="2305" t="str">
        <f>'BUS Deemed Savings Table'!E96</f>
        <v>LED Retrofit Kit with Network Controls Replacing Interior HID</v>
      </c>
      <c r="H564" s="2322" t="str">
        <f>'BUS Deemed Savings Table'!D96</f>
        <v>C&amp;I</v>
      </c>
      <c r="I564" s="2320">
        <f>'BUS Deemed Savings Table'!F96</f>
        <v>1111.1809178299475</v>
      </c>
      <c r="J564" s="2320"/>
      <c r="K564" s="2310"/>
      <c r="L564" s="2310"/>
      <c r="M564" s="2310"/>
      <c r="N564" s="2310"/>
      <c r="O564" s="2321">
        <f>'BUS Deemed Savings Table'!I96</f>
        <v>0.21108399999999999</v>
      </c>
      <c r="P564" s="2321"/>
      <c r="Q564" s="2323"/>
      <c r="R564" s="2323"/>
      <c r="S564" s="2323"/>
      <c r="T564" s="2323"/>
      <c r="U564" s="2273">
        <f t="shared" si="417"/>
        <v>0</v>
      </c>
      <c r="V564" s="2273">
        <f t="shared" si="418"/>
        <v>0.21108399999999999</v>
      </c>
      <c r="W564" s="2273">
        <f t="shared" si="419"/>
        <v>0</v>
      </c>
      <c r="X564" s="2299">
        <f>'BUS Deemed Savings Table'!J96</f>
        <v>11</v>
      </c>
      <c r="Y564" s="2299"/>
      <c r="Z564" s="2299">
        <f t="shared" si="420"/>
        <v>11</v>
      </c>
      <c r="AA564" s="2298">
        <f>'BUS Deemed Savings Table'!DB96</f>
        <v>1.3920699496587186</v>
      </c>
      <c r="AB564" s="2919">
        <f>'BUS Deemed Savings Table'!K96</f>
        <v>366.72</v>
      </c>
      <c r="AC564" s="2274">
        <f t="shared" si="421"/>
        <v>481.83095039060424</v>
      </c>
      <c r="AD564" s="2274">
        <f t="shared" si="422"/>
        <v>0</v>
      </c>
      <c r="AE564" s="2957">
        <f>'BUS Deemed Savings Table'!DD96</f>
        <v>481.83095039060424</v>
      </c>
      <c r="AF564" s="2334"/>
      <c r="AG564" s="2334"/>
      <c r="AH564" s="2334"/>
      <c r="AI564" s="2307" t="str">
        <f>'BUS Deemed Savings Table'!L96</f>
        <v>per measure</v>
      </c>
      <c r="AM564" s="2929">
        <f t="shared" si="423"/>
        <v>1.899635E-4</v>
      </c>
      <c r="AN564" s="132">
        <f t="shared" si="424"/>
        <v>0.21108381628418924</v>
      </c>
      <c r="AO564" s="2933">
        <f t="shared" si="425"/>
        <v>-1.8371581075871113E-7</v>
      </c>
    </row>
    <row r="565" spans="2:41" s="132" customFormat="1" x14ac:dyDescent="0.25">
      <c r="B565" s="2307" t="str">
        <f>'BUS Deemed Savings Table'!C97</f>
        <v>801239_2020_12_</v>
      </c>
      <c r="C565" s="2305" t="str">
        <f>'BUS Deemed Savings Table'!G97</f>
        <v>Lighting BUS</v>
      </c>
      <c r="D565" s="2305"/>
      <c r="E565" s="2305"/>
      <c r="F565" s="2305"/>
      <c r="G565" s="2305" t="str">
        <f>'BUS Deemed Savings Table'!E97</f>
        <v>LED Fixture with Network Controls Replacing Interior HID</v>
      </c>
      <c r="H565" s="2322" t="str">
        <f>'BUS Deemed Savings Table'!D97</f>
        <v>C&amp;I</v>
      </c>
      <c r="I565" s="2320">
        <f>'BUS Deemed Savings Table'!F97</f>
        <v>1111.1809178299475</v>
      </c>
      <c r="J565" s="2320"/>
      <c r="K565" s="2310"/>
      <c r="L565" s="2310"/>
      <c r="M565" s="2310"/>
      <c r="N565" s="2310"/>
      <c r="O565" s="2321">
        <f>'BUS Deemed Savings Table'!I97</f>
        <v>0.21108399999999999</v>
      </c>
      <c r="P565" s="2321"/>
      <c r="Q565" s="2323"/>
      <c r="R565" s="2323"/>
      <c r="S565" s="2323"/>
      <c r="T565" s="2323"/>
      <c r="U565" s="2273">
        <f t="shared" si="417"/>
        <v>0</v>
      </c>
      <c r="V565" s="2273">
        <f t="shared" si="418"/>
        <v>0.21108399999999999</v>
      </c>
      <c r="W565" s="2273">
        <f t="shared" si="419"/>
        <v>0</v>
      </c>
      <c r="X565" s="2299">
        <f>'BUS Deemed Savings Table'!J97</f>
        <v>11</v>
      </c>
      <c r="Y565" s="2299"/>
      <c r="Z565" s="2299">
        <f t="shared" si="420"/>
        <v>11</v>
      </c>
      <c r="AA565" s="2298">
        <f>'BUS Deemed Savings Table'!DB97</f>
        <v>1.3920699496587186</v>
      </c>
      <c r="AB565" s="2919">
        <f>'BUS Deemed Savings Table'!K97</f>
        <v>366.72</v>
      </c>
      <c r="AC565" s="2274">
        <f t="shared" si="421"/>
        <v>481.83095039060424</v>
      </c>
      <c r="AD565" s="2274">
        <f t="shared" si="422"/>
        <v>0</v>
      </c>
      <c r="AE565" s="2957">
        <f>'BUS Deemed Savings Table'!DD97</f>
        <v>481.83095039060424</v>
      </c>
      <c r="AF565" s="2334"/>
      <c r="AG565" s="2334"/>
      <c r="AH565" s="2334"/>
      <c r="AI565" s="2307" t="str">
        <f>'BUS Deemed Savings Table'!L97</f>
        <v>per measure</v>
      </c>
      <c r="AM565" s="2929">
        <f t="shared" si="423"/>
        <v>1.899635E-4</v>
      </c>
      <c r="AN565" s="132">
        <f t="shared" si="424"/>
        <v>0.21108381628418924</v>
      </c>
      <c r="AO565" s="2933">
        <f t="shared" si="425"/>
        <v>-1.8371581075871113E-7</v>
      </c>
    </row>
    <row r="566" spans="2:41" x14ac:dyDescent="0.25">
      <c r="B566" s="2240" t="str">
        <f>'BUS Deemed Savings Table'!C123</f>
        <v>801250_2019_12_</v>
      </c>
      <c r="C566" s="208" t="str">
        <f>'BUS Deemed Savings Table'!G123</f>
        <v>Refrigeration BUS</v>
      </c>
      <c r="D566" s="208"/>
      <c r="E566" s="208"/>
      <c r="F566" s="208"/>
      <c r="G566" s="208" t="str">
        <f>'BUS Deemed Savings Table'!E123</f>
        <v>0 &lt; V &lt; 15 - Vertical Closed - Solid Door Refrigerator</v>
      </c>
      <c r="H566" s="622" t="str">
        <f>'BUS Deemed Savings Table'!D123</f>
        <v>C&amp;I</v>
      </c>
      <c r="I566" s="2084">
        <f>'BUS Deemed Savings Table'!F123</f>
        <v>379.86</v>
      </c>
      <c r="J566" s="2084"/>
      <c r="K566" s="2113"/>
      <c r="L566" s="2113"/>
      <c r="M566" s="2113"/>
      <c r="N566" s="2113"/>
      <c r="O566" s="2085">
        <f>'BUS Deemed Savings Table'!I123</f>
        <v>5.1561999999999997E-2</v>
      </c>
      <c r="P566" s="2085"/>
      <c r="Q566" s="2086"/>
      <c r="R566" s="2086"/>
      <c r="S566" s="2086"/>
      <c r="T566" s="2086"/>
      <c r="U566" s="2100">
        <f t="shared" si="388"/>
        <v>0</v>
      </c>
      <c r="V566" s="2100">
        <f t="shared" si="389"/>
        <v>5.1561999999999997E-2</v>
      </c>
      <c r="W566" s="2100">
        <f t="shared" si="390"/>
        <v>0</v>
      </c>
      <c r="X566" s="2121">
        <f>'BUS Deemed Savings Table'!J123</f>
        <v>12</v>
      </c>
      <c r="Y566" s="2121"/>
      <c r="Z566" s="88">
        <f t="shared" si="394"/>
        <v>12</v>
      </c>
      <c r="AA566" s="637">
        <f>'BUS Deemed Savings Table'!DB123</f>
        <v>1.1662829576096756</v>
      </c>
      <c r="AB566" s="2917">
        <f>'BUS Deemed Savings Table'!K123</f>
        <v>150</v>
      </c>
      <c r="AC566" s="2101">
        <f t="shared" si="377"/>
        <v>165.11792698579643</v>
      </c>
      <c r="AD566" s="2101">
        <f t="shared" si="378"/>
        <v>0</v>
      </c>
      <c r="AE566" s="2955">
        <f>'BUS Deemed Savings Table'!DD123</f>
        <v>165.11792698579643</v>
      </c>
      <c r="AF566" s="2956"/>
      <c r="AG566" s="2956"/>
      <c r="AH566" s="2956"/>
      <c r="AI566" s="2240" t="str">
        <f>'BUS Deemed Savings Table'!L123</f>
        <v>per measure</v>
      </c>
      <c r="AM566" s="2057">
        <f t="shared" si="370"/>
        <v>1.3573829999999999E-4</v>
      </c>
      <c r="AN566">
        <f t="shared" si="371"/>
        <v>5.1561550637999998E-2</v>
      </c>
      <c r="AO566" s="2048">
        <f t="shared" si="372"/>
        <v>-4.493619999990095E-7</v>
      </c>
    </row>
    <row r="567" spans="2:41" x14ac:dyDescent="0.25">
      <c r="B567" s="2240" t="str">
        <f>'BUS Deemed Savings Table'!C124</f>
        <v>801300_2019_12_</v>
      </c>
      <c r="C567" s="208" t="str">
        <f>'BUS Deemed Savings Table'!G124</f>
        <v>Refrigeration BUS</v>
      </c>
      <c r="D567" s="208"/>
      <c r="E567" s="208"/>
      <c r="F567" s="208"/>
      <c r="G567" s="208" t="str">
        <f>'BUS Deemed Savings Table'!E124</f>
        <v>15 ≤ V &lt; 30 - Vertical Closed - Solid Door Refrigerator</v>
      </c>
      <c r="H567" s="622" t="str">
        <f>'BUS Deemed Savings Table'!D124</f>
        <v>C&amp;I</v>
      </c>
      <c r="I567" s="2084">
        <f>'BUS Deemed Savings Table'!F124</f>
        <v>626.4</v>
      </c>
      <c r="J567" s="2084"/>
      <c r="K567" s="2113"/>
      <c r="L567" s="2113"/>
      <c r="M567" s="2113"/>
      <c r="N567" s="2113"/>
      <c r="O567" s="2085">
        <f>'BUS Deemed Savings Table'!I124</f>
        <v>8.5026000000000004E-2</v>
      </c>
      <c r="P567" s="2085"/>
      <c r="Q567" s="2086"/>
      <c r="R567" s="2086"/>
      <c r="S567" s="2086"/>
      <c r="T567" s="2086"/>
      <c r="U567" s="2100">
        <f t="shared" si="388"/>
        <v>0</v>
      </c>
      <c r="V567" s="2100">
        <f t="shared" si="389"/>
        <v>8.5026000000000004E-2</v>
      </c>
      <c r="W567" s="2100">
        <f t="shared" si="390"/>
        <v>0</v>
      </c>
      <c r="X567" s="2121">
        <f>'BUS Deemed Savings Table'!J124</f>
        <v>12</v>
      </c>
      <c r="Y567" s="2121"/>
      <c r="Z567" s="88">
        <f t="shared" ref="Z567:Z581" si="426">Y567+X567</f>
        <v>12</v>
      </c>
      <c r="AA567" s="637">
        <f>'BUS Deemed Savings Table'!DB124</f>
        <v>0.72121272769576361</v>
      </c>
      <c r="AB567" s="2917">
        <f>'BUS Deemed Savings Table'!K124</f>
        <v>400</v>
      </c>
      <c r="AC567" s="2101">
        <f t="shared" si="377"/>
        <v>272.2841822353048</v>
      </c>
      <c r="AD567" s="2101">
        <f t="shared" si="378"/>
        <v>0</v>
      </c>
      <c r="AE567" s="2955">
        <f>'BUS Deemed Savings Table'!DD124</f>
        <v>272.2841822353048</v>
      </c>
      <c r="AF567" s="2956"/>
      <c r="AG567" s="2956"/>
      <c r="AH567" s="2956"/>
      <c r="AI567" s="2240" t="str">
        <f>'BUS Deemed Savings Table'!L124</f>
        <v>per measure</v>
      </c>
      <c r="AM567" s="2057">
        <f t="shared" si="370"/>
        <v>1.3573829999999999E-4</v>
      </c>
      <c r="AN567">
        <f t="shared" si="371"/>
        <v>8.5026471119999988E-2</v>
      </c>
      <c r="AO567" s="2048">
        <f t="shared" si="372"/>
        <v>4.7111999998405985E-7</v>
      </c>
    </row>
    <row r="568" spans="2:41" x14ac:dyDescent="0.25">
      <c r="B568" s="2240" t="str">
        <f>'BUS Deemed Savings Table'!C125</f>
        <v>801350_2019_12_</v>
      </c>
      <c r="C568" s="208" t="str">
        <f>'BUS Deemed Savings Table'!G125</f>
        <v>Refrigeration BUS</v>
      </c>
      <c r="D568" s="208"/>
      <c r="E568" s="208"/>
      <c r="F568" s="208"/>
      <c r="G568" s="208" t="str">
        <f>'BUS Deemed Savings Table'!E125</f>
        <v>30 ≤ V &lt; 50 - Vertical Closed - Solid Door Refrigerator</v>
      </c>
      <c r="H568" s="622" t="str">
        <f>'BUS Deemed Savings Table'!D125</f>
        <v>C&amp;I</v>
      </c>
      <c r="I568" s="2084">
        <f>'BUS Deemed Savings Table'!F125</f>
        <v>982.52</v>
      </c>
      <c r="J568" s="2084"/>
      <c r="K568" s="2113"/>
      <c r="L568" s="2113"/>
      <c r="M568" s="2113"/>
      <c r="N568" s="2113"/>
      <c r="O568" s="2085">
        <f>'BUS Deemed Savings Table'!I125</f>
        <v>0.13336600000000001</v>
      </c>
      <c r="P568" s="2085"/>
      <c r="Q568" s="2086"/>
      <c r="R568" s="2086"/>
      <c r="S568" s="2086"/>
      <c r="T568" s="2086"/>
      <c r="U568" s="2100">
        <f t="shared" si="388"/>
        <v>0</v>
      </c>
      <c r="V568" s="2100">
        <f t="shared" si="389"/>
        <v>0.13336600000000001</v>
      </c>
      <c r="W568" s="2100">
        <f t="shared" si="390"/>
        <v>0</v>
      </c>
      <c r="X568" s="2121">
        <f>'BUS Deemed Savings Table'!J125</f>
        <v>12</v>
      </c>
      <c r="Y568" s="2121"/>
      <c r="Z568" s="88">
        <f t="shared" si="426"/>
        <v>12</v>
      </c>
      <c r="AA568" s="637">
        <f>'BUS Deemed Savings Table'!DB125</f>
        <v>0.82271674122331551</v>
      </c>
      <c r="AB568" s="2917">
        <f>'BUS Deemed Savings Table'!K125</f>
        <v>550</v>
      </c>
      <c r="AC568" s="2101">
        <f t="shared" si="377"/>
        <v>427.08278213574658</v>
      </c>
      <c r="AD568" s="2101">
        <f t="shared" si="378"/>
        <v>0</v>
      </c>
      <c r="AE568" s="2955">
        <f>'BUS Deemed Savings Table'!DD125</f>
        <v>427.08278213574658</v>
      </c>
      <c r="AF568" s="2956"/>
      <c r="AG568" s="2956"/>
      <c r="AH568" s="2956"/>
      <c r="AI568" s="2240" t="str">
        <f>'BUS Deemed Savings Table'!L125</f>
        <v>per measure</v>
      </c>
      <c r="AM568" s="2057">
        <f t="shared" si="370"/>
        <v>1.3573829999999999E-4</v>
      </c>
      <c r="AN568">
        <f t="shared" si="371"/>
        <v>0.133365594516</v>
      </c>
      <c r="AO568" s="2048">
        <f t="shared" si="372"/>
        <v>-4.0548400001561014E-7</v>
      </c>
    </row>
    <row r="569" spans="2:41" x14ac:dyDescent="0.25">
      <c r="B569" s="2240" t="str">
        <f>'BUS Deemed Savings Table'!C126</f>
        <v>801400_2019_12_</v>
      </c>
      <c r="C569" s="208" t="str">
        <f>'BUS Deemed Savings Table'!G126</f>
        <v>Refrigeration BUS</v>
      </c>
      <c r="D569" s="208"/>
      <c r="E569" s="208"/>
      <c r="F569" s="208"/>
      <c r="G569" s="208" t="str">
        <f>'BUS Deemed Savings Table'!E126</f>
        <v>V ≥ 50 - Vertical Closed - Solid Door Refrigerator</v>
      </c>
      <c r="H569" s="622" t="str">
        <f>'BUS Deemed Savings Table'!D126</f>
        <v>C&amp;I</v>
      </c>
      <c r="I569" s="2084">
        <f>'BUS Deemed Savings Table'!F126</f>
        <v>1311.25</v>
      </c>
      <c r="J569" s="2084"/>
      <c r="K569" s="2113"/>
      <c r="L569" s="2113"/>
      <c r="M569" s="2113"/>
      <c r="N569" s="2113"/>
      <c r="O569" s="2085">
        <f>'BUS Deemed Savings Table'!I126</f>
        <v>0.17798700000000001</v>
      </c>
      <c r="P569" s="2085"/>
      <c r="Q569" s="2086"/>
      <c r="R569" s="2086"/>
      <c r="S569" s="2086"/>
      <c r="T569" s="2086"/>
      <c r="U569" s="2100">
        <f t="shared" si="388"/>
        <v>0</v>
      </c>
      <c r="V569" s="2100">
        <f t="shared" si="389"/>
        <v>0.17798700000000001</v>
      </c>
      <c r="W569" s="2100">
        <f t="shared" si="390"/>
        <v>0</v>
      </c>
      <c r="X569" s="2121">
        <f>'BUS Deemed Savings Table'!J126</f>
        <v>12</v>
      </c>
      <c r="Y569" s="2121"/>
      <c r="Z569" s="88">
        <f t="shared" si="426"/>
        <v>12</v>
      </c>
      <c r="AA569" s="637">
        <f>'BUS Deemed Savings Table'!DB126</f>
        <v>0.86269858528650811</v>
      </c>
      <c r="AB569" s="2917">
        <f>'BUS Deemed Savings Table'!K126</f>
        <v>700</v>
      </c>
      <c r="AC569" s="2101">
        <f t="shared" si="377"/>
        <v>569.97546927848566</v>
      </c>
      <c r="AD569" s="2101">
        <f t="shared" si="378"/>
        <v>0</v>
      </c>
      <c r="AE569" s="2955">
        <f>'BUS Deemed Savings Table'!DD126</f>
        <v>569.97546927848566</v>
      </c>
      <c r="AF569" s="2956"/>
      <c r="AG569" s="2956"/>
      <c r="AH569" s="2956"/>
      <c r="AI569" s="2240" t="str">
        <f>'BUS Deemed Savings Table'!L126</f>
        <v>per measure</v>
      </c>
      <c r="AM569" s="2057">
        <f t="shared" si="370"/>
        <v>1.3573829999999999E-4</v>
      </c>
      <c r="AN569">
        <f t="shared" si="371"/>
        <v>0.17798684587499999</v>
      </c>
      <c r="AO569" s="2048">
        <f t="shared" si="372"/>
        <v>-1.5412500001255047E-7</v>
      </c>
    </row>
    <row r="570" spans="2:41" x14ac:dyDescent="0.25">
      <c r="B570" s="2240" t="str">
        <f>'BUS Deemed Savings Table'!C128</f>
        <v>801450_2019_12_</v>
      </c>
      <c r="C570" s="208" t="str">
        <f>'BUS Deemed Savings Table'!G128</f>
        <v>Refrigeration BUS</v>
      </c>
      <c r="D570" s="208"/>
      <c r="E570" s="208"/>
      <c r="F570" s="208"/>
      <c r="G570" s="208" t="str">
        <f>'BUS Deemed Savings Table'!E128</f>
        <v>0 &lt; V &lt; 15 - Vertical Closed - Glass Door Refrigerator</v>
      </c>
      <c r="H570" s="622" t="str">
        <f>'BUS Deemed Savings Table'!D128</f>
        <v>C&amp;I</v>
      </c>
      <c r="I570" s="2084">
        <f>'BUS Deemed Savings Table'!F128</f>
        <v>354.29</v>
      </c>
      <c r="J570" s="2084"/>
      <c r="K570" s="2113"/>
      <c r="L570" s="2113"/>
      <c r="M570" s="2113"/>
      <c r="N570" s="2113"/>
      <c r="O570" s="2085">
        <f>'BUS Deemed Savings Table'!I128</f>
        <v>4.8091000000000002E-2</v>
      </c>
      <c r="P570" s="2085"/>
      <c r="Q570" s="2086"/>
      <c r="R570" s="2086"/>
      <c r="S570" s="2086"/>
      <c r="T570" s="2086"/>
      <c r="U570" s="2100">
        <f t="shared" si="388"/>
        <v>0</v>
      </c>
      <c r="V570" s="2100">
        <f t="shared" si="389"/>
        <v>4.8091000000000002E-2</v>
      </c>
      <c r="W570" s="2100">
        <f t="shared" si="390"/>
        <v>0</v>
      </c>
      <c r="X570" s="2121">
        <f>'BUS Deemed Savings Table'!J128</f>
        <v>12</v>
      </c>
      <c r="Y570" s="2121"/>
      <c r="Z570" s="88">
        <f t="shared" si="426"/>
        <v>12</v>
      </c>
      <c r="AA570" s="637">
        <f>'BUS Deemed Savings Table'!DB128</f>
        <v>0.652665280447847</v>
      </c>
      <c r="AB570" s="2917">
        <f>'BUS Deemed Savings Table'!K128</f>
        <v>250</v>
      </c>
      <c r="AC570" s="2101">
        <f t="shared" si="377"/>
        <v>154.00313365923714</v>
      </c>
      <c r="AD570" s="2101">
        <f t="shared" si="378"/>
        <v>0</v>
      </c>
      <c r="AE570" s="2955">
        <f>'BUS Deemed Savings Table'!DD128</f>
        <v>154.00313365923714</v>
      </c>
      <c r="AF570" s="2956"/>
      <c r="AG570" s="2956"/>
      <c r="AH570" s="2956"/>
      <c r="AI570" s="2240" t="str">
        <f>'BUS Deemed Savings Table'!L128</f>
        <v>per measure</v>
      </c>
      <c r="AM570" s="2057">
        <f t="shared" si="370"/>
        <v>1.3573829999999999E-4</v>
      </c>
      <c r="AN570">
        <f t="shared" si="371"/>
        <v>4.8090722306999997E-2</v>
      </c>
      <c r="AO570" s="2048">
        <f t="shared" si="372"/>
        <v>-2.7769300000451969E-7</v>
      </c>
    </row>
    <row r="571" spans="2:41" x14ac:dyDescent="0.25">
      <c r="B571" s="2240" t="str">
        <f>'BUS Deemed Savings Table'!C129</f>
        <v>801500_2019_12_</v>
      </c>
      <c r="C571" s="208" t="str">
        <f>'BUS Deemed Savings Table'!G129</f>
        <v>Refrigeration BUS</v>
      </c>
      <c r="D571" s="208"/>
      <c r="E571" s="208"/>
      <c r="F571" s="208"/>
      <c r="G571" s="208" t="str">
        <f>'BUS Deemed Savings Table'!E129</f>
        <v>15 ≤ V &lt; 30 - Vertical Closed - Glass Door Refrigerator</v>
      </c>
      <c r="H571" s="622" t="str">
        <f>'BUS Deemed Savings Table'!D129</f>
        <v>C&amp;I</v>
      </c>
      <c r="I571" s="2084">
        <f>'BUS Deemed Savings Table'!F129</f>
        <v>217.32</v>
      </c>
      <c r="J571" s="2084"/>
      <c r="K571" s="2113"/>
      <c r="L571" s="2113"/>
      <c r="M571" s="2113"/>
      <c r="N571" s="2113"/>
      <c r="O571" s="2085">
        <f>'BUS Deemed Savings Table'!I129</f>
        <v>2.9499000000000001E-2</v>
      </c>
      <c r="P571" s="2085"/>
      <c r="Q571" s="2086"/>
      <c r="R571" s="2086"/>
      <c r="S571" s="2086"/>
      <c r="T571" s="2086"/>
      <c r="U571" s="2100">
        <f t="shared" si="388"/>
        <v>0</v>
      </c>
      <c r="V571" s="2100">
        <f t="shared" si="389"/>
        <v>2.9499000000000001E-2</v>
      </c>
      <c r="W571" s="2100">
        <f t="shared" si="390"/>
        <v>0</v>
      </c>
      <c r="X571" s="2121">
        <f>'BUS Deemed Savings Table'!J129</f>
        <v>12</v>
      </c>
      <c r="Y571" s="2121"/>
      <c r="Z571" s="88">
        <f t="shared" si="426"/>
        <v>12</v>
      </c>
      <c r="AA571" s="637">
        <f>'BUS Deemed Savings Table'!DB129</f>
        <v>0.20017107277502344</v>
      </c>
      <c r="AB571" s="2917">
        <f>'BUS Deemed Savings Table'!K129</f>
        <v>500</v>
      </c>
      <c r="AC571" s="2101">
        <f t="shared" si="377"/>
        <v>94.464876250600952</v>
      </c>
      <c r="AD571" s="2101">
        <f t="shared" si="378"/>
        <v>0</v>
      </c>
      <c r="AE571" s="2955">
        <f>'BUS Deemed Savings Table'!DD129</f>
        <v>94.464876250600952</v>
      </c>
      <c r="AF571" s="2956"/>
      <c r="AG571" s="2956"/>
      <c r="AH571" s="2956"/>
      <c r="AI571" s="2240" t="str">
        <f>'BUS Deemed Savings Table'!L129</f>
        <v>per measure</v>
      </c>
      <c r="AM571" s="2057">
        <f t="shared" si="370"/>
        <v>1.3573829999999999E-4</v>
      </c>
      <c r="AN571">
        <f t="shared" si="371"/>
        <v>2.9498647355999996E-2</v>
      </c>
      <c r="AO571" s="2048">
        <f t="shared" si="372"/>
        <v>-3.5264400000470375E-7</v>
      </c>
    </row>
    <row r="572" spans="2:41" x14ac:dyDescent="0.25">
      <c r="B572" s="2240" t="str">
        <f>'BUS Deemed Savings Table'!C130</f>
        <v>801550_2019_12_</v>
      </c>
      <c r="C572" s="208" t="str">
        <f>'BUS Deemed Savings Table'!G130</f>
        <v>Refrigeration BUS</v>
      </c>
      <c r="D572" s="208"/>
      <c r="E572" s="208"/>
      <c r="F572" s="208"/>
      <c r="G572" s="208" t="str">
        <f>'BUS Deemed Savings Table'!E130</f>
        <v>30 ≤ V &lt; 50 - Vertical Closed - Glass Door Refrigerator</v>
      </c>
      <c r="H572" s="622" t="str">
        <f>'BUS Deemed Savings Table'!D130</f>
        <v>C&amp;I</v>
      </c>
      <c r="I572" s="2084">
        <f>'BUS Deemed Savings Table'!F130</f>
        <v>226.46</v>
      </c>
      <c r="J572" s="2084"/>
      <c r="K572" s="2113"/>
      <c r="L572" s="2113"/>
      <c r="M572" s="2113"/>
      <c r="N572" s="2113"/>
      <c r="O572" s="2085">
        <f>'BUS Deemed Savings Table'!I130</f>
        <v>3.0738999999999999E-2</v>
      </c>
      <c r="P572" s="2085"/>
      <c r="Q572" s="2086"/>
      <c r="R572" s="2086"/>
      <c r="S572" s="2086"/>
      <c r="T572" s="2086"/>
      <c r="U572" s="2100">
        <f t="shared" si="388"/>
        <v>0</v>
      </c>
      <c r="V572" s="2100">
        <f t="shared" si="389"/>
        <v>3.0738999999999999E-2</v>
      </c>
      <c r="W572" s="2100">
        <f t="shared" si="390"/>
        <v>0</v>
      </c>
      <c r="X572" s="2121">
        <f>'BUS Deemed Savings Table'!J130</f>
        <v>12</v>
      </c>
      <c r="Y572" s="2121"/>
      <c r="Z572" s="88">
        <f t="shared" si="426"/>
        <v>12</v>
      </c>
      <c r="AA572" s="637">
        <f>'BUS Deemed Savings Table'!DB130</f>
        <v>7.9797179307600316E-2</v>
      </c>
      <c r="AB572" s="2917">
        <f>'BUS Deemed Savings Table'!K130</f>
        <v>1307</v>
      </c>
      <c r="AC572" s="2101">
        <f t="shared" si="377"/>
        <v>98.437860646563095</v>
      </c>
      <c r="AD572" s="2101">
        <f t="shared" si="378"/>
        <v>0</v>
      </c>
      <c r="AE572" s="2955">
        <f>'BUS Deemed Savings Table'!DD130</f>
        <v>98.437860646563095</v>
      </c>
      <c r="AF572" s="2956"/>
      <c r="AG572" s="2956"/>
      <c r="AH572" s="2956"/>
      <c r="AI572" s="2240" t="str">
        <f>'BUS Deemed Savings Table'!L130</f>
        <v>per measure</v>
      </c>
      <c r="AM572" s="2057">
        <f t="shared" si="370"/>
        <v>1.3573829999999999E-4</v>
      </c>
      <c r="AN572">
        <f t="shared" si="371"/>
        <v>3.0739295417999999E-2</v>
      </c>
      <c r="AO572" s="2048">
        <f t="shared" si="372"/>
        <v>2.9541800000004725E-7</v>
      </c>
    </row>
    <row r="573" spans="2:41" x14ac:dyDescent="0.25">
      <c r="B573" s="2240" t="str">
        <f>'BUS Deemed Savings Table'!C131</f>
        <v>801600_2019_12_</v>
      </c>
      <c r="C573" s="208" t="str">
        <f>'BUS Deemed Savings Table'!G131</f>
        <v>Refrigeration BUS</v>
      </c>
      <c r="D573" s="208"/>
      <c r="E573" s="208"/>
      <c r="F573" s="208"/>
      <c r="G573" s="208" t="str">
        <f>'BUS Deemed Savings Table'!E131</f>
        <v>V ≥ 50 - Vertical Closed - Glass Door Refrigerator</v>
      </c>
      <c r="H573" s="622" t="str">
        <f>'BUS Deemed Savings Table'!D131</f>
        <v>C&amp;I</v>
      </c>
      <c r="I573" s="2084">
        <f>'BUS Deemed Savings Table'!F131</f>
        <v>372.56</v>
      </c>
      <c r="J573" s="2084"/>
      <c r="K573" s="2113"/>
      <c r="L573" s="2113"/>
      <c r="M573" s="2113"/>
      <c r="N573" s="2113"/>
      <c r="O573" s="2085">
        <f>'BUS Deemed Savings Table'!I131</f>
        <v>5.0570999999999998E-2</v>
      </c>
      <c r="P573" s="2085"/>
      <c r="Q573" s="2086"/>
      <c r="R573" s="2086"/>
      <c r="S573" s="2086"/>
      <c r="T573" s="2086"/>
      <c r="U573" s="2100">
        <f t="shared" si="388"/>
        <v>0</v>
      </c>
      <c r="V573" s="2100">
        <f t="shared" si="389"/>
        <v>5.0570999999999998E-2</v>
      </c>
      <c r="W573" s="2100">
        <f t="shared" si="390"/>
        <v>0</v>
      </c>
      <c r="X573" s="2121">
        <f>'BUS Deemed Savings Table'!J131</f>
        <v>12</v>
      </c>
      <c r="Y573" s="2121"/>
      <c r="Z573" s="88">
        <f t="shared" si="426"/>
        <v>12</v>
      </c>
      <c r="AA573" s="637">
        <f>'BUS Deemed Savings Table'!DB131</f>
        <v>7.4600203739889417E-2</v>
      </c>
      <c r="AB573" s="2917">
        <f>'BUS Deemed Savings Table'!K131</f>
        <v>2300</v>
      </c>
      <c r="AC573" s="2101">
        <f t="shared" si="377"/>
        <v>161.94475564110019</v>
      </c>
      <c r="AD573" s="2101">
        <f t="shared" si="378"/>
        <v>0</v>
      </c>
      <c r="AE573" s="2955">
        <f>'BUS Deemed Savings Table'!DD131</f>
        <v>161.94475564110019</v>
      </c>
      <c r="AF573" s="2956"/>
      <c r="AG573" s="2956"/>
      <c r="AH573" s="2956"/>
      <c r="AI573" s="2240" t="str">
        <f>'BUS Deemed Savings Table'!L131</f>
        <v>per measure</v>
      </c>
      <c r="AM573" s="2057">
        <f t="shared" si="370"/>
        <v>1.3573829999999999E-4</v>
      </c>
      <c r="AN573">
        <f t="shared" si="371"/>
        <v>5.0570661047999996E-2</v>
      </c>
      <c r="AO573" s="2048">
        <f t="shared" si="372"/>
        <v>-3.3895200000216841E-7</v>
      </c>
    </row>
    <row r="574" spans="2:41" x14ac:dyDescent="0.25">
      <c r="B574" s="2240" t="str">
        <f>'BUS Deemed Savings Table'!C133</f>
        <v>801650_2019_12_</v>
      </c>
      <c r="C574" s="208" t="str">
        <f>'BUS Deemed Savings Table'!G133</f>
        <v>Refrigeration BUS</v>
      </c>
      <c r="D574" s="208"/>
      <c r="E574" s="208"/>
      <c r="F574" s="208"/>
      <c r="G574" s="208" t="str">
        <f>'BUS Deemed Savings Table'!E133</f>
        <v>Horizontal Closed - Solid or Glass Door Refrigerator  - All Volumes</v>
      </c>
      <c r="H574" s="622" t="str">
        <f>'BUS Deemed Savings Table'!D133</f>
        <v>C&amp;I</v>
      </c>
      <c r="I574" s="2084">
        <f>'BUS Deemed Savings Table'!F133</f>
        <v>1219.94</v>
      </c>
      <c r="J574" s="2084"/>
      <c r="K574" s="2113"/>
      <c r="L574" s="2113"/>
      <c r="M574" s="2113"/>
      <c r="N574" s="2113"/>
      <c r="O574" s="2085">
        <f>'BUS Deemed Savings Table'!I133</f>
        <v>0.16559299999999999</v>
      </c>
      <c r="P574" s="2085"/>
      <c r="Q574" s="2086"/>
      <c r="R574" s="2086"/>
      <c r="S574" s="2086"/>
      <c r="T574" s="2086"/>
      <c r="U574" s="2100">
        <f t="shared" si="388"/>
        <v>0</v>
      </c>
      <c r="V574" s="2100">
        <f t="shared" si="389"/>
        <v>0.16559299999999999</v>
      </c>
      <c r="W574" s="2100">
        <f t="shared" si="390"/>
        <v>0</v>
      </c>
      <c r="X574" s="2121">
        <f>'BUS Deemed Savings Table'!J133</f>
        <v>12</v>
      </c>
      <c r="Y574" s="2121"/>
      <c r="Z574" s="88">
        <f t="shared" si="426"/>
        <v>12</v>
      </c>
      <c r="AA574" s="637">
        <f>'BUS Deemed Savings Table'!DB133</f>
        <v>1.070165121967001</v>
      </c>
      <c r="AB574" s="2917">
        <f>'BUS Deemed Savings Table'!K133</f>
        <v>525</v>
      </c>
      <c r="AC574" s="2101">
        <f t="shared" si="377"/>
        <v>530.28474660941527</v>
      </c>
      <c r="AD574" s="2101">
        <f t="shared" si="378"/>
        <v>0</v>
      </c>
      <c r="AE574" s="2955">
        <f>'BUS Deemed Savings Table'!DD133</f>
        <v>530.28474660941527</v>
      </c>
      <c r="AF574" s="2956"/>
      <c r="AG574" s="2956"/>
      <c r="AH574" s="2956"/>
      <c r="AI574" s="2240" t="str">
        <f>'BUS Deemed Savings Table'!L133</f>
        <v>per measure</v>
      </c>
      <c r="AM574" s="2057">
        <f t="shared" ref="AM574:AM607" si="427">VLOOKUP(C574,$AS$10:$AT$47,2,FALSE)</f>
        <v>1.3573829999999999E-4</v>
      </c>
      <c r="AN574">
        <f t="shared" ref="AN574:AN601" si="428">AM574*I574</f>
        <v>0.165592581702</v>
      </c>
      <c r="AO574" s="2048">
        <f t="shared" ref="AO574:AO607" si="429">AN574-O574</f>
        <v>-4.1829799998782669E-7</v>
      </c>
    </row>
    <row r="575" spans="2:41" x14ac:dyDescent="0.25">
      <c r="B575" s="2240" t="str">
        <f>'BUS Deemed Savings Table'!C136</f>
        <v>801700_2019_12_</v>
      </c>
      <c r="C575" s="208" t="str">
        <f>'BUS Deemed Savings Table'!G136</f>
        <v>Refrigeration BUS</v>
      </c>
      <c r="D575" s="208"/>
      <c r="E575" s="208"/>
      <c r="F575" s="208"/>
      <c r="G575" s="208" t="str">
        <f>'BUS Deemed Savings Table'!E136</f>
        <v>0 &lt; V &lt; 15 - Vertical Closed - Solid Door Freezer</v>
      </c>
      <c r="H575" s="622" t="str">
        <f>'BUS Deemed Savings Table'!D136</f>
        <v>C&amp;I</v>
      </c>
      <c r="I575" s="2084">
        <f>'BUS Deemed Savings Table'!F136</f>
        <v>348.81</v>
      </c>
      <c r="J575" s="2084"/>
      <c r="K575" s="2113"/>
      <c r="L575" s="2113"/>
      <c r="M575" s="2113"/>
      <c r="N575" s="2113"/>
      <c r="O575" s="2085">
        <f>'BUS Deemed Savings Table'!I136</f>
        <v>4.7347E-2</v>
      </c>
      <c r="P575" s="2085"/>
      <c r="Q575" s="2086"/>
      <c r="R575" s="2086"/>
      <c r="S575" s="2086"/>
      <c r="T575" s="2086"/>
      <c r="U575" s="2100">
        <f t="shared" si="388"/>
        <v>0</v>
      </c>
      <c r="V575" s="2100">
        <f t="shared" si="389"/>
        <v>4.7347E-2</v>
      </c>
      <c r="W575" s="2100">
        <f t="shared" si="390"/>
        <v>0</v>
      </c>
      <c r="X575" s="2121">
        <f>'BUS Deemed Savings Table'!J136</f>
        <v>12</v>
      </c>
      <c r="Y575" s="2121"/>
      <c r="Z575" s="88">
        <f t="shared" si="426"/>
        <v>12</v>
      </c>
      <c r="AA575" s="637">
        <f>'BUS Deemed Savings Table'!DB136</f>
        <v>1.0709502407303504</v>
      </c>
      <c r="AB575" s="2917">
        <f>'BUS Deemed Savings Table'!K136</f>
        <v>150</v>
      </c>
      <c r="AC575" s="2101">
        <f t="shared" si="377"/>
        <v>151.62108174568434</v>
      </c>
      <c r="AD575" s="2101">
        <f t="shared" si="378"/>
        <v>0</v>
      </c>
      <c r="AE575" s="2955">
        <f>'BUS Deemed Savings Table'!DD136</f>
        <v>151.62108174568434</v>
      </c>
      <c r="AF575" s="2956"/>
      <c r="AG575" s="2956"/>
      <c r="AH575" s="2956"/>
      <c r="AI575" s="2240" t="str">
        <f>'BUS Deemed Savings Table'!L136</f>
        <v>per measure</v>
      </c>
      <c r="AM575" s="2057">
        <f t="shared" si="427"/>
        <v>1.3573829999999999E-4</v>
      </c>
      <c r="AN575">
        <f t="shared" si="428"/>
        <v>4.7346876422999999E-2</v>
      </c>
      <c r="AO575" s="2048">
        <f t="shared" si="429"/>
        <v>-1.2357700000104055E-7</v>
      </c>
    </row>
    <row r="576" spans="2:41" x14ac:dyDescent="0.25">
      <c r="B576" s="2240" t="str">
        <f>'BUS Deemed Savings Table'!C137</f>
        <v>801750_2019_12_</v>
      </c>
      <c r="C576" s="208" t="str">
        <f>'BUS Deemed Savings Table'!G137</f>
        <v>Refrigeration BUS</v>
      </c>
      <c r="D576" s="208"/>
      <c r="E576" s="208"/>
      <c r="F576" s="208"/>
      <c r="G576" s="208" t="str">
        <f>'BUS Deemed Savings Table'!E137</f>
        <v>15 ≤ V &lt; 30 - Vertical Closed - Solid Door Freezer</v>
      </c>
      <c r="H576" s="622" t="str">
        <f>'BUS Deemed Savings Table'!D137</f>
        <v>C&amp;I</v>
      </c>
      <c r="I576" s="2084">
        <f>'BUS Deemed Savings Table'!F137</f>
        <v>1307.5999999999999</v>
      </c>
      <c r="J576" s="2084"/>
      <c r="K576" s="2113"/>
      <c r="L576" s="2113"/>
      <c r="M576" s="2113"/>
      <c r="N576" s="2113"/>
      <c r="O576" s="2085">
        <f>'BUS Deemed Savings Table'!I137</f>
        <v>0.17749100000000001</v>
      </c>
      <c r="P576" s="2085"/>
      <c r="Q576" s="2086"/>
      <c r="R576" s="2086"/>
      <c r="S576" s="2086"/>
      <c r="T576" s="2086"/>
      <c r="U576" s="2100">
        <f t="shared" si="388"/>
        <v>0</v>
      </c>
      <c r="V576" s="2100">
        <f t="shared" si="389"/>
        <v>0.17749100000000001</v>
      </c>
      <c r="W576" s="2100">
        <f t="shared" si="390"/>
        <v>0</v>
      </c>
      <c r="X576" s="2121">
        <f>'BUS Deemed Savings Table'!J137</f>
        <v>12</v>
      </c>
      <c r="Y576" s="2121"/>
      <c r="Z576" s="88">
        <f t="shared" si="426"/>
        <v>12</v>
      </c>
      <c r="AA576" s="637">
        <f>'BUS Deemed Savings Table'!DB137</f>
        <v>1.5055200554517567</v>
      </c>
      <c r="AB576" s="2917">
        <f>'BUS Deemed Savings Table'!K137</f>
        <v>400</v>
      </c>
      <c r="AC576" s="2101">
        <f t="shared" si="377"/>
        <v>568.38888360613748</v>
      </c>
      <c r="AD576" s="2101">
        <f t="shared" si="378"/>
        <v>0</v>
      </c>
      <c r="AE576" s="2955">
        <f>'BUS Deemed Savings Table'!DD137</f>
        <v>568.38888360613748</v>
      </c>
      <c r="AF576" s="2956"/>
      <c r="AG576" s="2956"/>
      <c r="AH576" s="2956"/>
      <c r="AI576" s="2240" t="str">
        <f>'BUS Deemed Savings Table'!L137</f>
        <v>per measure</v>
      </c>
      <c r="AM576" s="2057">
        <f t="shared" si="427"/>
        <v>1.3573829999999999E-4</v>
      </c>
      <c r="AN576">
        <f t="shared" si="428"/>
        <v>0.17749140107999997</v>
      </c>
      <c r="AO576" s="2048">
        <f t="shared" si="429"/>
        <v>4.0107999996208399E-7</v>
      </c>
    </row>
    <row r="577" spans="2:41" x14ac:dyDescent="0.25">
      <c r="B577" s="2240" t="str">
        <f>'BUS Deemed Savings Table'!C138</f>
        <v>801800_2019_12_</v>
      </c>
      <c r="C577" s="208" t="str">
        <f>'BUS Deemed Savings Table'!G138</f>
        <v>Refrigeration BUS</v>
      </c>
      <c r="D577" s="208"/>
      <c r="E577" s="208"/>
      <c r="F577" s="208"/>
      <c r="G577" s="208" t="str">
        <f>'BUS Deemed Savings Table'!E138</f>
        <v>30 ≤ V &lt; 50 - Vertical Closed - Solid Door Freezer</v>
      </c>
      <c r="H577" s="622" t="str">
        <f>'BUS Deemed Savings Table'!D138</f>
        <v>C&amp;I</v>
      </c>
      <c r="I577" s="2084">
        <f>'BUS Deemed Savings Table'!F138</f>
        <v>2403.35</v>
      </c>
      <c r="J577" s="2084"/>
      <c r="K577" s="2113"/>
      <c r="L577" s="2113"/>
      <c r="M577" s="2113"/>
      <c r="N577" s="2113"/>
      <c r="O577" s="2085">
        <f>'BUS Deemed Savings Table'!I138</f>
        <v>0.32622699999999999</v>
      </c>
      <c r="P577" s="2085"/>
      <c r="Q577" s="2086"/>
      <c r="R577" s="2086"/>
      <c r="S577" s="2086"/>
      <c r="T577" s="2086"/>
      <c r="U577" s="2100">
        <f t="shared" si="388"/>
        <v>0</v>
      </c>
      <c r="V577" s="2100">
        <f t="shared" si="389"/>
        <v>0.32622699999999999</v>
      </c>
      <c r="W577" s="2100">
        <f t="shared" si="390"/>
        <v>0</v>
      </c>
      <c r="X577" s="2121">
        <f>'BUS Deemed Savings Table'!J138</f>
        <v>12</v>
      </c>
      <c r="Y577" s="2121"/>
      <c r="Z577" s="88">
        <f t="shared" si="426"/>
        <v>12</v>
      </c>
      <c r="AA577" s="637">
        <f>'BUS Deemed Savings Table'!DB138</f>
        <v>2.0124539755109874</v>
      </c>
      <c r="AB577" s="2917">
        <f>'BUS Deemed Savings Table'!K138</f>
        <v>550</v>
      </c>
      <c r="AC577" s="2101">
        <f t="shared" si="377"/>
        <v>1044.6905960651657</v>
      </c>
      <c r="AD577" s="2101">
        <f t="shared" si="378"/>
        <v>0</v>
      </c>
      <c r="AE577" s="2955">
        <f>'BUS Deemed Savings Table'!DD138</f>
        <v>1044.6905960651657</v>
      </c>
      <c r="AF577" s="2956"/>
      <c r="AG577" s="2956"/>
      <c r="AH577" s="2956"/>
      <c r="AI577" s="2240" t="str">
        <f>'BUS Deemed Savings Table'!L138</f>
        <v>per measure</v>
      </c>
      <c r="AM577" s="2057">
        <f t="shared" si="427"/>
        <v>1.3573829999999999E-4</v>
      </c>
      <c r="AN577">
        <f t="shared" si="428"/>
        <v>0.32622664330499995</v>
      </c>
      <c r="AO577" s="2048">
        <f t="shared" si="429"/>
        <v>-3.5669500003665533E-7</v>
      </c>
    </row>
    <row r="578" spans="2:41" x14ac:dyDescent="0.25">
      <c r="B578" s="2240" t="str">
        <f>'BUS Deemed Savings Table'!C139</f>
        <v>801850_2019_12_</v>
      </c>
      <c r="C578" s="208" t="str">
        <f>'BUS Deemed Savings Table'!G139</f>
        <v>Refrigeration BUS</v>
      </c>
      <c r="D578" s="208"/>
      <c r="E578" s="208"/>
      <c r="F578" s="208"/>
      <c r="G578" s="208" t="str">
        <f>'BUS Deemed Savings Table'!E139</f>
        <v>V ≥ 50 - Vertical Closed - Solid Door Freezer</v>
      </c>
      <c r="H578" s="622" t="str">
        <f>'BUS Deemed Savings Table'!D139</f>
        <v>C&amp;I</v>
      </c>
      <c r="I578" s="2084">
        <f>'BUS Deemed Savings Table'!F139</f>
        <v>2951.22</v>
      </c>
      <c r="J578" s="2084"/>
      <c r="K578" s="2113"/>
      <c r="L578" s="2113"/>
      <c r="M578" s="2113"/>
      <c r="N578" s="2113"/>
      <c r="O578" s="2085">
        <f>'BUS Deemed Savings Table'!I139</f>
        <v>0.40059400000000001</v>
      </c>
      <c r="P578" s="2085"/>
      <c r="Q578" s="2086"/>
      <c r="R578" s="2086"/>
      <c r="S578" s="2086"/>
      <c r="T578" s="2086"/>
      <c r="U578" s="2100">
        <f>IF(V578+W578&gt;0,0,IF(Z578&gt;0,O578,0))</f>
        <v>0</v>
      </c>
      <c r="V578" s="2100">
        <f>IF(W578&gt;0,0,IF(Z578&gt;9,O578,0))</f>
        <v>0.40059400000000001</v>
      </c>
      <c r="W578" s="2100">
        <f>IF(Z578&gt;14,O578,0)</f>
        <v>0</v>
      </c>
      <c r="X578" s="2121">
        <f>'BUS Deemed Savings Table'!J139</f>
        <v>12</v>
      </c>
      <c r="Y578" s="2121"/>
      <c r="Z578" s="88">
        <f t="shared" si="426"/>
        <v>12</v>
      </c>
      <c r="AA578" s="637">
        <f>'BUS Deemed Savings Table'!DB139</f>
        <v>1.9416688799765476</v>
      </c>
      <c r="AB578" s="2917">
        <f>'BUS Deemed Savings Table'!K139</f>
        <v>700</v>
      </c>
      <c r="AC578" s="2101">
        <f t="shared" si="377"/>
        <v>1282.839278889649</v>
      </c>
      <c r="AD578" s="2101">
        <f t="shared" si="378"/>
        <v>0</v>
      </c>
      <c r="AE578" s="2955">
        <f>'BUS Deemed Savings Table'!DD139</f>
        <v>1282.839278889649</v>
      </c>
      <c r="AF578" s="2956"/>
      <c r="AG578" s="2956"/>
      <c r="AH578" s="2956"/>
      <c r="AI578" s="2240" t="str">
        <f>'BUS Deemed Savings Table'!L139</f>
        <v>per measure</v>
      </c>
      <c r="AM578" s="2057">
        <f t="shared" si="427"/>
        <v>1.3573829999999999E-4</v>
      </c>
      <c r="AN578">
        <f t="shared" si="428"/>
        <v>0.40059358572599996</v>
      </c>
      <c r="AO578" s="2048">
        <f t="shared" si="429"/>
        <v>-4.1427400004900861E-7</v>
      </c>
    </row>
    <row r="579" spans="2:41" x14ac:dyDescent="0.25">
      <c r="B579" s="2240" t="str">
        <f>'BUS Deemed Savings Table'!C141</f>
        <v>801900_2019_12_</v>
      </c>
      <c r="C579" s="208" t="str">
        <f>'BUS Deemed Savings Table'!G141</f>
        <v>Refrigeration BUS</v>
      </c>
      <c r="D579" s="208"/>
      <c r="E579" s="208"/>
      <c r="F579" s="208"/>
      <c r="G579" s="208" t="str">
        <f>'BUS Deemed Savings Table'!E141</f>
        <v>0 &lt; V &lt; 15 - Vertical Closed - Glass Door Freezer</v>
      </c>
      <c r="H579" s="622" t="str">
        <f>'BUS Deemed Savings Table'!D141</f>
        <v>C&amp;I</v>
      </c>
      <c r="I579" s="2084">
        <f>'BUS Deemed Savings Table'!F141</f>
        <v>1429.95</v>
      </c>
      <c r="J579" s="2084"/>
      <c r="K579" s="2113"/>
      <c r="L579" s="2113"/>
      <c r="M579" s="2113"/>
      <c r="N579" s="2113"/>
      <c r="O579" s="2085">
        <f>'BUS Deemed Savings Table'!I141</f>
        <v>0.19409899999999999</v>
      </c>
      <c r="P579" s="2085"/>
      <c r="Q579" s="2086"/>
      <c r="R579" s="2086"/>
      <c r="S579" s="2086"/>
      <c r="T579" s="2086"/>
      <c r="U579" s="2100">
        <f t="shared" ref="U579:U602" si="430">IF(V579+W579&gt;0,0,IF(Z579&gt;0,O579,0))</f>
        <v>0</v>
      </c>
      <c r="V579" s="2100">
        <f t="shared" ref="V579:V602" si="431">IF(W579&gt;0,0,IF(Z579&gt;9,O579,0))</f>
        <v>0.19409899999999999</v>
      </c>
      <c r="W579" s="2100">
        <f t="shared" ref="W579:W602" si="432">IF(Z579&gt;14,O579,0)</f>
        <v>0</v>
      </c>
      <c r="X579" s="2121">
        <f>'BUS Deemed Savings Table'!J141</f>
        <v>12</v>
      </c>
      <c r="Y579" s="2121"/>
      <c r="Z579" s="88">
        <f t="shared" si="426"/>
        <v>12</v>
      </c>
      <c r="AA579" s="637">
        <f>'BUS Deemed Savings Table'!DB141</f>
        <v>2.9934347497055533</v>
      </c>
      <c r="AB579" s="2917">
        <f>'BUS Deemed Savings Table'!K141</f>
        <v>220</v>
      </c>
      <c r="AC579" s="2101">
        <f t="shared" si="377"/>
        <v>621.57210470525877</v>
      </c>
      <c r="AD579" s="2101">
        <f t="shared" si="378"/>
        <v>0</v>
      </c>
      <c r="AE579" s="2955">
        <f>'BUS Deemed Savings Table'!DD141</f>
        <v>621.57210470525877</v>
      </c>
      <c r="AF579" s="2956"/>
      <c r="AG579" s="2956"/>
      <c r="AH579" s="2956"/>
      <c r="AI579" s="2240" t="str">
        <f>'BUS Deemed Savings Table'!L141</f>
        <v>per measure</v>
      </c>
      <c r="AM579" s="2057">
        <f t="shared" si="427"/>
        <v>1.3573829999999999E-4</v>
      </c>
      <c r="AN579">
        <f t="shared" si="428"/>
        <v>0.19409898208499998</v>
      </c>
      <c r="AO579" s="2048">
        <f t="shared" si="429"/>
        <v>-1.7915000011248239E-8</v>
      </c>
    </row>
    <row r="580" spans="2:41" x14ac:dyDescent="0.25">
      <c r="B580" s="2240" t="str">
        <f>'BUS Deemed Savings Table'!C142</f>
        <v>801950_2019_12_</v>
      </c>
      <c r="C580" s="208" t="str">
        <f>'BUS Deemed Savings Table'!G142</f>
        <v>Refrigeration BUS</v>
      </c>
      <c r="D580" s="208"/>
      <c r="E580" s="208"/>
      <c r="F580" s="208"/>
      <c r="G580" s="208" t="str">
        <f>'BUS Deemed Savings Table'!E142</f>
        <v>15 ≤ V &lt; 30 - Vertical Closed - Glass Door Freezer</v>
      </c>
      <c r="H580" s="622" t="str">
        <f>'BUS Deemed Savings Table'!D142</f>
        <v>C&amp;I</v>
      </c>
      <c r="I580" s="2084">
        <f>'BUS Deemed Savings Table'!F142</f>
        <v>3186.81</v>
      </c>
      <c r="J580" s="2084"/>
      <c r="K580" s="2113"/>
      <c r="L580" s="2113"/>
      <c r="M580" s="2113"/>
      <c r="N580" s="2113"/>
      <c r="O580" s="2085">
        <f>'BUS Deemed Savings Table'!I142</f>
        <v>0.43257200000000001</v>
      </c>
      <c r="P580" s="2085"/>
      <c r="Q580" s="2086"/>
      <c r="R580" s="2086"/>
      <c r="S580" s="2086"/>
      <c r="T580" s="2086"/>
      <c r="U580" s="2100">
        <f t="shared" si="430"/>
        <v>0</v>
      </c>
      <c r="V580" s="2100">
        <f t="shared" si="431"/>
        <v>0.43257200000000001</v>
      </c>
      <c r="W580" s="2100">
        <f t="shared" si="432"/>
        <v>0</v>
      </c>
      <c r="X580" s="2121">
        <f>'BUS Deemed Savings Table'!J142</f>
        <v>12</v>
      </c>
      <c r="Y580" s="2121"/>
      <c r="Z580" s="88">
        <f t="shared" si="426"/>
        <v>12</v>
      </c>
      <c r="AA580" s="637">
        <f>'BUS Deemed Savings Table'!DB142</f>
        <v>1.5449135798535569</v>
      </c>
      <c r="AB580" s="2917">
        <f>'BUS Deemed Savings Table'!K142</f>
        <v>950</v>
      </c>
      <c r="AC580" s="2101">
        <f t="shared" si="377"/>
        <v>1385.2457771221132</v>
      </c>
      <c r="AD580" s="2101">
        <f t="shared" si="378"/>
        <v>0</v>
      </c>
      <c r="AE580" s="2955">
        <f>'BUS Deemed Savings Table'!DD142</f>
        <v>1385.2457771221132</v>
      </c>
      <c r="AF580" s="2956"/>
      <c r="AG580" s="2956"/>
      <c r="AH580" s="2956"/>
      <c r="AI580" s="2240" t="str">
        <f>'BUS Deemed Savings Table'!L142</f>
        <v>per measure</v>
      </c>
      <c r="AM580" s="2057">
        <f t="shared" si="427"/>
        <v>1.3573829999999999E-4</v>
      </c>
      <c r="AN580">
        <f t="shared" si="428"/>
        <v>0.43257217182299995</v>
      </c>
      <c r="AO580" s="2048">
        <f t="shared" si="429"/>
        <v>1.7182299993923067E-7</v>
      </c>
    </row>
    <row r="581" spans="2:41" x14ac:dyDescent="0.25">
      <c r="B581" s="2240" t="str">
        <f>'BUS Deemed Savings Table'!C143</f>
        <v>802000_2019_12_</v>
      </c>
      <c r="C581" s="208" t="str">
        <f>'BUS Deemed Savings Table'!G143</f>
        <v>Refrigeration BUS</v>
      </c>
      <c r="D581" s="208"/>
      <c r="E581" s="208"/>
      <c r="F581" s="208"/>
      <c r="G581" s="208" t="str">
        <f>'BUS Deemed Savings Table'!E143</f>
        <v>30 ≤ V &lt; 50 - Vertical Closed - Glass Door Freezer</v>
      </c>
      <c r="H581" s="622" t="str">
        <f>'BUS Deemed Savings Table'!D143</f>
        <v>C&amp;I</v>
      </c>
      <c r="I581" s="2084">
        <f>'BUS Deemed Savings Table'!F143</f>
        <v>5150.03</v>
      </c>
      <c r="J581" s="2084"/>
      <c r="K581" s="2113"/>
      <c r="L581" s="2113"/>
      <c r="M581" s="2113"/>
      <c r="N581" s="2113"/>
      <c r="O581" s="2085">
        <f>'BUS Deemed Savings Table'!I143</f>
        <v>0.69905600000000001</v>
      </c>
      <c r="P581" s="2085"/>
      <c r="Q581" s="2086"/>
      <c r="R581" s="2086"/>
      <c r="S581" s="2086"/>
      <c r="T581" s="2086"/>
      <c r="U581" s="2100">
        <f t="shared" si="430"/>
        <v>0</v>
      </c>
      <c r="V581" s="2100">
        <f t="shared" si="431"/>
        <v>0.69905600000000001</v>
      </c>
      <c r="W581" s="2100">
        <f t="shared" si="432"/>
        <v>0</v>
      </c>
      <c r="X581" s="2121">
        <f>'BUS Deemed Savings Table'!J143</f>
        <v>12</v>
      </c>
      <c r="Y581" s="2121"/>
      <c r="Z581" s="88">
        <f t="shared" si="426"/>
        <v>12</v>
      </c>
      <c r="AA581" s="637">
        <f>'BUS Deemed Savings Table'!DB143</f>
        <v>1.8147039978341466</v>
      </c>
      <c r="AB581" s="2917">
        <f>'BUS Deemed Savings Table'!K143</f>
        <v>1307</v>
      </c>
      <c r="AC581" s="2101">
        <f t="shared" si="377"/>
        <v>2238.6202219624629</v>
      </c>
      <c r="AD581" s="2101">
        <f t="shared" si="378"/>
        <v>0</v>
      </c>
      <c r="AE581" s="2955">
        <f>'BUS Deemed Savings Table'!DD143</f>
        <v>2238.6202219624629</v>
      </c>
      <c r="AF581" s="2956"/>
      <c r="AG581" s="2956"/>
      <c r="AH581" s="2956"/>
      <c r="AI581" s="2240" t="str">
        <f>'BUS Deemed Savings Table'!L143</f>
        <v>per measure</v>
      </c>
      <c r="AM581" s="2057">
        <f t="shared" si="427"/>
        <v>1.3573829999999999E-4</v>
      </c>
      <c r="AN581">
        <f t="shared" si="428"/>
        <v>0.69905631714899985</v>
      </c>
      <c r="AO581" s="2048">
        <f t="shared" si="429"/>
        <v>3.171489998399224E-7</v>
      </c>
    </row>
    <row r="582" spans="2:41" x14ac:dyDescent="0.25">
      <c r="B582" s="2240" t="str">
        <f>'BUS Deemed Savings Table'!C144</f>
        <v>802050_2019_12_</v>
      </c>
      <c r="C582" s="208" t="str">
        <f>'BUS Deemed Savings Table'!G144</f>
        <v>Refrigeration BUS</v>
      </c>
      <c r="D582" s="208"/>
      <c r="E582" s="208"/>
      <c r="F582" s="208"/>
      <c r="G582" s="208" t="str">
        <f>'BUS Deemed Savings Table'!E144</f>
        <v>V ≥ 50 - Vertical Closed - Glass Door Freezer</v>
      </c>
      <c r="H582" s="622" t="str">
        <f>'BUS Deemed Savings Table'!D144</f>
        <v>C&amp;I</v>
      </c>
      <c r="I582" s="2084">
        <f>'BUS Deemed Savings Table'!F144</f>
        <v>5884.18</v>
      </c>
      <c r="J582" s="2084"/>
      <c r="K582" s="2113"/>
      <c r="L582" s="2113"/>
      <c r="M582" s="2113"/>
      <c r="N582" s="2113"/>
      <c r="O582" s="2085">
        <f>'BUS Deemed Savings Table'!I144</f>
        <v>0.798709</v>
      </c>
      <c r="P582" s="2085"/>
      <c r="Q582" s="2086"/>
      <c r="R582" s="2086"/>
      <c r="S582" s="2086"/>
      <c r="T582" s="2086"/>
      <c r="U582" s="2100">
        <f t="shared" si="430"/>
        <v>0</v>
      </c>
      <c r="V582" s="2100">
        <f t="shared" si="431"/>
        <v>0.798709</v>
      </c>
      <c r="W582" s="2100">
        <f t="shared" si="432"/>
        <v>0</v>
      </c>
      <c r="X582" s="2121">
        <f>'BUS Deemed Savings Table'!J144</f>
        <v>12</v>
      </c>
      <c r="Y582" s="2121"/>
      <c r="Z582" s="88">
        <f t="shared" ref="Z582:Z613" si="433">Y582+X582</f>
        <v>12</v>
      </c>
      <c r="AA582" s="637">
        <f>'BUS Deemed Savings Table'!DB144</f>
        <v>1.1782290821402794</v>
      </c>
      <c r="AB582" s="2917">
        <f>'BUS Deemed Savings Table'!K144</f>
        <v>2300</v>
      </c>
      <c r="AC582" s="2101">
        <f t="shared" si="377"/>
        <v>2557.7412826074965</v>
      </c>
      <c r="AD582" s="2101">
        <f t="shared" si="378"/>
        <v>0</v>
      </c>
      <c r="AE582" s="2955">
        <f>'BUS Deemed Savings Table'!DD144</f>
        <v>2557.7412826074965</v>
      </c>
      <c r="AF582" s="2956"/>
      <c r="AG582" s="2956"/>
      <c r="AH582" s="2956"/>
      <c r="AI582" s="2240" t="str">
        <f>'BUS Deemed Savings Table'!L144</f>
        <v>per measure</v>
      </c>
      <c r="AM582" s="2057">
        <f t="shared" si="427"/>
        <v>1.3573829999999999E-4</v>
      </c>
      <c r="AN582">
        <f t="shared" si="428"/>
        <v>0.79870859009399997</v>
      </c>
      <c r="AO582" s="2048">
        <f t="shared" si="429"/>
        <v>-4.099060000317678E-7</v>
      </c>
    </row>
    <row r="583" spans="2:41" x14ac:dyDescent="0.25">
      <c r="B583" s="2240" t="str">
        <f>'BUS Deemed Savings Table'!C146</f>
        <v>802100_2019_12_</v>
      </c>
      <c r="C583" s="208" t="str">
        <f>'BUS Deemed Savings Table'!G146</f>
        <v>Refrigeration BUS</v>
      </c>
      <c r="D583" s="208"/>
      <c r="E583" s="208"/>
      <c r="F583" s="208"/>
      <c r="G583" s="208" t="str">
        <f>'BUS Deemed Savings Table'!E146</f>
        <v>Horizontal Closed - Solid or Glass Door Freezer  - All Volumes</v>
      </c>
      <c r="H583" s="622" t="str">
        <f>'BUS Deemed Savings Table'!D146</f>
        <v>C&amp;I</v>
      </c>
      <c r="I583" s="2084">
        <f>'BUS Deemed Savings Table'!F146</f>
        <v>5265.08</v>
      </c>
      <c r="J583" s="2084"/>
      <c r="K583" s="2113"/>
      <c r="L583" s="2113"/>
      <c r="M583" s="2113"/>
      <c r="N583" s="2113"/>
      <c r="O583" s="2085">
        <f>'BUS Deemed Savings Table'!I146</f>
        <v>0.714673</v>
      </c>
      <c r="P583" s="2085"/>
      <c r="Q583" s="2086"/>
      <c r="R583" s="2086"/>
      <c r="S583" s="2086"/>
      <c r="T583" s="2086"/>
      <c r="U583" s="2100">
        <f t="shared" si="430"/>
        <v>0</v>
      </c>
      <c r="V583" s="2100">
        <f t="shared" si="431"/>
        <v>0.714673</v>
      </c>
      <c r="W583" s="2100">
        <f t="shared" si="432"/>
        <v>0</v>
      </c>
      <c r="X583" s="2121">
        <f>'BUS Deemed Savings Table'!J146</f>
        <v>12</v>
      </c>
      <c r="Y583" s="2121"/>
      <c r="Z583" s="88">
        <f t="shared" si="433"/>
        <v>12</v>
      </c>
      <c r="AA583" s="637">
        <f>'BUS Deemed Savings Table'!DB146</f>
        <v>4.0753004586286439</v>
      </c>
      <c r="AB583" s="2917">
        <f>'BUS Deemed Savings Table'!K146</f>
        <v>595</v>
      </c>
      <c r="AC583" s="2101">
        <f t="shared" si="377"/>
        <v>2288.6302717168878</v>
      </c>
      <c r="AD583" s="2101">
        <f t="shared" si="378"/>
        <v>0</v>
      </c>
      <c r="AE583" s="2955">
        <f>'BUS Deemed Savings Table'!DD146</f>
        <v>2288.6302717168878</v>
      </c>
      <c r="AF583" s="2956"/>
      <c r="AG583" s="2956"/>
      <c r="AH583" s="2956"/>
      <c r="AI583" s="2240" t="str">
        <f>'BUS Deemed Savings Table'!L146</f>
        <v>per measure</v>
      </c>
      <c r="AM583" s="2057">
        <f t="shared" si="427"/>
        <v>1.3573829999999999E-4</v>
      </c>
      <c r="AN583">
        <f t="shared" si="428"/>
        <v>0.71467300856399996</v>
      </c>
      <c r="AO583" s="2048">
        <f t="shared" si="429"/>
        <v>8.5639999536368805E-9</v>
      </c>
    </row>
    <row r="584" spans="2:41" x14ac:dyDescent="0.25">
      <c r="B584" s="2240" t="str">
        <f>'BUS Deemed Savings Table'!C174</f>
        <v>802150_2019_12_</v>
      </c>
      <c r="C584" s="208" t="str">
        <f>'BUS Deemed Savings Table'!G174</f>
        <v>Refrigeration BUS</v>
      </c>
      <c r="D584" s="208"/>
      <c r="E584" s="208"/>
      <c r="F584" s="208"/>
      <c r="G584" s="208" t="str">
        <f>'BUS Deemed Savings Table'!E174</f>
        <v>Anti-Sweat Heater Controls Refrigerator</v>
      </c>
      <c r="H584" s="622" t="str">
        <f>'BUS Deemed Savings Table'!D174</f>
        <v>C&amp;I</v>
      </c>
      <c r="I584" s="2084">
        <f>'BUS Deemed Savings Table'!F174</f>
        <v>668.14</v>
      </c>
      <c r="J584" s="2084"/>
      <c r="K584" s="2113"/>
      <c r="L584" s="2113"/>
      <c r="M584" s="2113"/>
      <c r="N584" s="2113"/>
      <c r="O584" s="2085">
        <f>'BUS Deemed Savings Table'!I174</f>
        <v>9.0691999999999995E-2</v>
      </c>
      <c r="P584" s="2085"/>
      <c r="Q584" s="2086"/>
      <c r="R584" s="2086"/>
      <c r="S584" s="2086"/>
      <c r="T584" s="2086"/>
      <c r="U584" s="2100">
        <f t="shared" si="430"/>
        <v>0</v>
      </c>
      <c r="V584" s="2100">
        <f t="shared" si="431"/>
        <v>9.0691999999999995E-2</v>
      </c>
      <c r="W584" s="2100">
        <f t="shared" si="432"/>
        <v>0</v>
      </c>
      <c r="X584" s="2121">
        <f>'BUS Deemed Savings Table'!J174</f>
        <v>12</v>
      </c>
      <c r="Y584" s="2121"/>
      <c r="Z584" s="88">
        <f t="shared" si="433"/>
        <v>12</v>
      </c>
      <c r="AA584" s="637">
        <f>'BUS Deemed Savings Table'!DB174</f>
        <v>2.0378027787616295</v>
      </c>
      <c r="AB584" s="2917">
        <f>'BUS Deemed Savings Table'!K174</f>
        <v>151</v>
      </c>
      <c r="AC584" s="2101">
        <f t="shared" si="377"/>
        <v>290.42776743086932</v>
      </c>
      <c r="AD584" s="2101">
        <f t="shared" si="378"/>
        <v>0</v>
      </c>
      <c r="AE584" s="2955">
        <f>'BUS Deemed Savings Table'!DD174</f>
        <v>290.42776743086932</v>
      </c>
      <c r="AF584" s="2956"/>
      <c r="AG584" s="2956"/>
      <c r="AH584" s="2956"/>
      <c r="AI584" s="2240" t="str">
        <f>'BUS Deemed Savings Table'!L174</f>
        <v>per door</v>
      </c>
      <c r="AM584" s="2057">
        <f t="shared" si="427"/>
        <v>1.3573829999999999E-4</v>
      </c>
      <c r="AN584">
        <f t="shared" si="428"/>
        <v>9.0692187761999984E-2</v>
      </c>
      <c r="AO584" s="2048">
        <f t="shared" si="429"/>
        <v>1.8776199998959964E-7</v>
      </c>
    </row>
    <row r="585" spans="2:41" x14ac:dyDescent="0.25">
      <c r="B585" s="2240" t="str">
        <f>'BUS Deemed Savings Table'!C175</f>
        <v>802200_2019_12_</v>
      </c>
      <c r="C585" s="208" t="str">
        <f>'BUS Deemed Savings Table'!G175</f>
        <v>Refrigeration BUS</v>
      </c>
      <c r="D585" s="208"/>
      <c r="E585" s="208"/>
      <c r="F585" s="208"/>
      <c r="G585" s="208" t="str">
        <f>'BUS Deemed Savings Table'!E175</f>
        <v>Anti-Sweat Heater Controls Freezer</v>
      </c>
      <c r="H585" s="622" t="str">
        <f>'BUS Deemed Savings Table'!D175</f>
        <v>C&amp;I</v>
      </c>
      <c r="I585" s="2084">
        <f>'BUS Deemed Savings Table'!F175</f>
        <v>770.93</v>
      </c>
      <c r="J585" s="2084"/>
      <c r="K585" s="2113"/>
      <c r="L585" s="2113"/>
      <c r="M585" s="2113"/>
      <c r="N585" s="2113"/>
      <c r="O585" s="2085">
        <f>'BUS Deemed Savings Table'!I175</f>
        <v>0.104645</v>
      </c>
      <c r="P585" s="2085"/>
      <c r="Q585" s="2086"/>
      <c r="R585" s="2086"/>
      <c r="S585" s="2086"/>
      <c r="T585" s="2086"/>
      <c r="U585" s="2100">
        <f t="shared" si="430"/>
        <v>0</v>
      </c>
      <c r="V585" s="2100">
        <f t="shared" si="431"/>
        <v>0.104645</v>
      </c>
      <c r="W585" s="2100">
        <f t="shared" si="432"/>
        <v>0</v>
      </c>
      <c r="X585" s="2121">
        <f>'BUS Deemed Savings Table'!J175</f>
        <v>12</v>
      </c>
      <c r="Y585" s="2121"/>
      <c r="Z585" s="88">
        <f t="shared" si="433"/>
        <v>12</v>
      </c>
      <c r="AA585" s="637">
        <f>'BUS Deemed Savings Table'!DB175</f>
        <v>2.3513085524451509</v>
      </c>
      <c r="AB585" s="2917">
        <f>'BUS Deemed Savings Table'!K175</f>
        <v>151</v>
      </c>
      <c r="AC585" s="2101">
        <f t="shared" si="377"/>
        <v>335.10862805022913</v>
      </c>
      <c r="AD585" s="2101">
        <f t="shared" si="378"/>
        <v>0</v>
      </c>
      <c r="AE585" s="2955">
        <f>'BUS Deemed Savings Table'!DD175</f>
        <v>335.10862805022913</v>
      </c>
      <c r="AF585" s="2956"/>
      <c r="AG585" s="2956"/>
      <c r="AH585" s="2956"/>
      <c r="AI585" s="2240" t="str">
        <f>'BUS Deemed Savings Table'!L175</f>
        <v>per door</v>
      </c>
      <c r="AM585" s="2057">
        <f t="shared" si="427"/>
        <v>1.3573829999999999E-4</v>
      </c>
      <c r="AN585">
        <f t="shared" si="428"/>
        <v>0.10464472761899998</v>
      </c>
      <c r="AO585" s="2048">
        <f t="shared" si="429"/>
        <v>-2.723810000188065E-7</v>
      </c>
    </row>
    <row r="586" spans="2:41" x14ac:dyDescent="0.25">
      <c r="B586" s="2240" t="str">
        <f>'BUS Deemed Savings Table'!C194</f>
        <v>802250_2019_12_</v>
      </c>
      <c r="C586" s="208" t="str">
        <f>'BUS Deemed Savings Table'!G194</f>
        <v>Water Heating BUS</v>
      </c>
      <c r="D586" s="208"/>
      <c r="E586" s="208"/>
      <c r="F586" s="208"/>
      <c r="G586" s="208" t="str">
        <f>'BUS Deemed Savings Table'!E194</f>
        <v>Heat Pump Water Heater w/ 98% Efficiency 2.9-14.6 kW (10 to 50 MBH)</v>
      </c>
      <c r="H586" s="622" t="str">
        <f>'BUS Deemed Savings Table'!D194</f>
        <v>C&amp;I</v>
      </c>
      <c r="I586" s="2084">
        <f>'BUS Deemed Savings Table'!F194</f>
        <v>21156</v>
      </c>
      <c r="J586" s="2084"/>
      <c r="K586" s="2113"/>
      <c r="L586" s="2113"/>
      <c r="M586" s="2113"/>
      <c r="N586" s="2113"/>
      <c r="O586" s="2085">
        <f>'BUS Deemed Savings Table'!I194</f>
        <v>3.8325049999999998</v>
      </c>
      <c r="P586" s="2085"/>
      <c r="Q586" s="2086"/>
      <c r="R586" s="2086"/>
      <c r="S586" s="2086"/>
      <c r="T586" s="2086"/>
      <c r="U586" s="2100">
        <f t="shared" si="430"/>
        <v>0</v>
      </c>
      <c r="V586" s="2100">
        <f t="shared" si="431"/>
        <v>0</v>
      </c>
      <c r="W586" s="2100">
        <f t="shared" si="432"/>
        <v>3.8325049999999998</v>
      </c>
      <c r="X586" s="2121">
        <f>'BUS Deemed Savings Table'!J194</f>
        <v>15</v>
      </c>
      <c r="Y586" s="2121"/>
      <c r="Z586" s="88">
        <f t="shared" si="433"/>
        <v>15</v>
      </c>
      <c r="AA586" s="637">
        <f>'BUS Deemed Savings Table'!DB194</f>
        <v>3.5430180315223572</v>
      </c>
      <c r="AB586" s="2917">
        <f>'BUS Deemed Savings Table'!K194</f>
        <v>4000</v>
      </c>
      <c r="AC586" s="2101">
        <f t="shared" si="377"/>
        <v>13376.188887295353</v>
      </c>
      <c r="AD586" s="2101">
        <f t="shared" si="378"/>
        <v>0</v>
      </c>
      <c r="AE586" s="2955">
        <f>'BUS Deemed Savings Table'!DD194</f>
        <v>13376.188887295353</v>
      </c>
      <c r="AF586" s="2956"/>
      <c r="AG586" s="2956"/>
      <c r="AH586" s="2956"/>
      <c r="AI586" s="2240" t="str">
        <f>'BUS Deemed Savings Table'!L194</f>
        <v>per measure</v>
      </c>
      <c r="AM586" s="2057">
        <f t="shared" si="427"/>
        <v>1.811545E-4</v>
      </c>
      <c r="AN586">
        <f t="shared" si="428"/>
        <v>3.8325046020000002</v>
      </c>
      <c r="AO586" s="2048">
        <f t="shared" si="429"/>
        <v>-3.9799999962397692E-7</v>
      </c>
    </row>
    <row r="587" spans="2:41" x14ac:dyDescent="0.25">
      <c r="B587" s="2240" t="str">
        <f>'BUS Deemed Savings Table'!C195</f>
        <v>802300_2019_12_</v>
      </c>
      <c r="C587" s="208" t="str">
        <f>'BUS Deemed Savings Table'!G195</f>
        <v>Water Heating BUS</v>
      </c>
      <c r="D587" s="208"/>
      <c r="E587" s="208"/>
      <c r="F587" s="208"/>
      <c r="G587" s="208" t="str">
        <f>'BUS Deemed Savings Table'!E195</f>
        <v>Heat Pump Water Heater w/ 98% Efficiency 14.7-29.3 kW (50 to 100 MBH)</v>
      </c>
      <c r="H587" s="622" t="str">
        <f>'BUS Deemed Savings Table'!D195</f>
        <v>C&amp;I</v>
      </c>
      <c r="I587" s="2084">
        <f>'BUS Deemed Savings Table'!F195</f>
        <v>52890</v>
      </c>
      <c r="J587" s="2084"/>
      <c r="K587" s="2113"/>
      <c r="L587" s="2113"/>
      <c r="M587" s="2113"/>
      <c r="N587" s="2113"/>
      <c r="O587" s="2085">
        <f>'BUS Deemed Savings Table'!I195</f>
        <v>9.5812620000000006</v>
      </c>
      <c r="P587" s="2085"/>
      <c r="Q587" s="2086"/>
      <c r="R587" s="2086"/>
      <c r="S587" s="2086"/>
      <c r="T587" s="2086"/>
      <c r="U587" s="2100">
        <f t="shared" si="430"/>
        <v>0</v>
      </c>
      <c r="V587" s="2100">
        <f t="shared" si="431"/>
        <v>0</v>
      </c>
      <c r="W587" s="2100">
        <f t="shared" si="432"/>
        <v>9.5812620000000006</v>
      </c>
      <c r="X587" s="2121">
        <f>'BUS Deemed Savings Table'!J195</f>
        <v>15</v>
      </c>
      <c r="Y587" s="2121"/>
      <c r="Z587" s="88">
        <f t="shared" si="433"/>
        <v>15</v>
      </c>
      <c r="AA587" s="637">
        <f>'BUS Deemed Savings Table'!DB195</f>
        <v>5.0614543307462245</v>
      </c>
      <c r="AB587" s="2917">
        <f>'BUS Deemed Savings Table'!K195</f>
        <v>7000</v>
      </c>
      <c r="AC587" s="2101">
        <f t="shared" si="377"/>
        <v>33440.472218238385</v>
      </c>
      <c r="AD587" s="2101">
        <f t="shared" si="378"/>
        <v>0</v>
      </c>
      <c r="AE587" s="2955">
        <f>'BUS Deemed Savings Table'!DD195</f>
        <v>33440.472218238385</v>
      </c>
      <c r="AF587" s="2956"/>
      <c r="AG587" s="2956"/>
      <c r="AH587" s="2956"/>
      <c r="AI587" s="2240" t="str">
        <f>'BUS Deemed Savings Table'!L195</f>
        <v>per measure</v>
      </c>
      <c r="AM587" s="2057">
        <f t="shared" si="427"/>
        <v>1.811545E-4</v>
      </c>
      <c r="AN587">
        <f t="shared" si="428"/>
        <v>9.5812615050000005</v>
      </c>
      <c r="AO587" s="2048">
        <f t="shared" si="429"/>
        <v>-4.9500000010027634E-7</v>
      </c>
    </row>
    <row r="588" spans="2:41" x14ac:dyDescent="0.25">
      <c r="B588" s="2240" t="str">
        <f>'BUS Deemed Savings Table'!C196</f>
        <v>802350_2019_12_</v>
      </c>
      <c r="C588" s="208" t="str">
        <f>'BUS Deemed Savings Table'!G196</f>
        <v>Water Heating BUS</v>
      </c>
      <c r="D588" s="208"/>
      <c r="E588" s="208"/>
      <c r="F588" s="208"/>
      <c r="G588" s="208" t="str">
        <f>'BUS Deemed Savings Table'!E196</f>
        <v>Heat Pump Water Heater w/ 98% Efficiency 29.4-87.9 kW (100 to 300 MBH)</v>
      </c>
      <c r="H588" s="622" t="str">
        <f>'BUS Deemed Savings Table'!D196</f>
        <v>C&amp;I</v>
      </c>
      <c r="I588" s="2084">
        <f>'BUS Deemed Savings Table'!F196</f>
        <v>141041</v>
      </c>
      <c r="J588" s="2084"/>
      <c r="K588" s="2113"/>
      <c r="L588" s="2113"/>
      <c r="M588" s="2113"/>
      <c r="N588" s="2113"/>
      <c r="O588" s="2085">
        <f>'BUS Deemed Savings Table'!I196</f>
        <v>25.550211999999998</v>
      </c>
      <c r="P588" s="2085"/>
      <c r="Q588" s="2086"/>
      <c r="R588" s="2086"/>
      <c r="S588" s="2086"/>
      <c r="T588" s="2086"/>
      <c r="U588" s="2100">
        <f t="shared" si="430"/>
        <v>0</v>
      </c>
      <c r="V588" s="2100">
        <f t="shared" si="431"/>
        <v>0</v>
      </c>
      <c r="W588" s="2100">
        <f t="shared" si="432"/>
        <v>25.550211999999998</v>
      </c>
      <c r="X588" s="2121">
        <f>'BUS Deemed Savings Table'!J196</f>
        <v>15</v>
      </c>
      <c r="Y588" s="2121"/>
      <c r="Z588" s="88">
        <f t="shared" si="433"/>
        <v>15</v>
      </c>
      <c r="AA588" s="637">
        <f>'BUS Deemed Savings Table'!DB196</f>
        <v>9.4481150724890295</v>
      </c>
      <c r="AB588" s="2917">
        <f>'BUS Deemed Savings Table'!K196</f>
        <v>10000</v>
      </c>
      <c r="AC588" s="2101">
        <f t="shared" si="377"/>
        <v>89175.224846522207</v>
      </c>
      <c r="AD588" s="2101">
        <f t="shared" si="378"/>
        <v>0</v>
      </c>
      <c r="AE588" s="2955">
        <f>'BUS Deemed Savings Table'!DD196</f>
        <v>89175.224846522207</v>
      </c>
      <c r="AF588" s="2956"/>
      <c r="AG588" s="2956"/>
      <c r="AH588" s="2956"/>
      <c r="AI588" s="2240" t="str">
        <f>'BUS Deemed Savings Table'!L196</f>
        <v>per measure</v>
      </c>
      <c r="AM588" s="2057">
        <f t="shared" si="427"/>
        <v>1.811545E-4</v>
      </c>
      <c r="AN588">
        <f t="shared" si="428"/>
        <v>25.550211834500001</v>
      </c>
      <c r="AO588" s="2048">
        <f t="shared" si="429"/>
        <v>-1.6549999770631985E-7</v>
      </c>
    </row>
    <row r="589" spans="2:41" x14ac:dyDescent="0.25">
      <c r="B589" s="2240" t="str">
        <f>'BUS Deemed Savings Table'!C197</f>
        <v>802400_2019_12_</v>
      </c>
      <c r="C589" s="208" t="str">
        <f>'BUS Deemed Savings Table'!G197</f>
        <v>Water Heating BUS</v>
      </c>
      <c r="D589" s="208"/>
      <c r="E589" s="208"/>
      <c r="F589" s="208"/>
      <c r="G589" s="208" t="str">
        <f>'BUS Deemed Savings Table'!E197</f>
        <v>Heat Pump Water Heater w/ 98% Efficiency 88-146.5 kW (300 to 500 MBH)</v>
      </c>
      <c r="H589" s="622" t="str">
        <f>'BUS Deemed Savings Table'!D197</f>
        <v>C&amp;I</v>
      </c>
      <c r="I589" s="2084">
        <f>'BUS Deemed Savings Table'!F197</f>
        <v>282081</v>
      </c>
      <c r="J589" s="2084"/>
      <c r="K589" s="2113"/>
      <c r="L589" s="2113"/>
      <c r="M589" s="2113"/>
      <c r="N589" s="2113"/>
      <c r="O589" s="2085">
        <f>'BUS Deemed Savings Table'!I197</f>
        <v>51.100242999999999</v>
      </c>
      <c r="P589" s="2085"/>
      <c r="Q589" s="2086"/>
      <c r="R589" s="2086"/>
      <c r="S589" s="2086"/>
      <c r="T589" s="2086"/>
      <c r="U589" s="2100">
        <f t="shared" si="430"/>
        <v>0</v>
      </c>
      <c r="V589" s="2100">
        <f t="shared" si="431"/>
        <v>0</v>
      </c>
      <c r="W589" s="2100">
        <f t="shared" si="432"/>
        <v>51.100242999999999</v>
      </c>
      <c r="X589" s="2121">
        <f>'BUS Deemed Savings Table'!J197</f>
        <v>15</v>
      </c>
      <c r="Y589" s="2121"/>
      <c r="Z589" s="88">
        <f t="shared" si="433"/>
        <v>15</v>
      </c>
      <c r="AA589" s="637">
        <f>'BUS Deemed Savings Table'!DB197</f>
        <v>13.497259397534748</v>
      </c>
      <c r="AB589" s="2917">
        <f>'BUS Deemed Savings Table'!K197</f>
        <v>14000</v>
      </c>
      <c r="AC589" s="2101">
        <f t="shared" si="377"/>
        <v>178349.81742849122</v>
      </c>
      <c r="AD589" s="2101">
        <f t="shared" si="378"/>
        <v>0</v>
      </c>
      <c r="AE589" s="2955">
        <f>'BUS Deemed Savings Table'!DD197</f>
        <v>178349.81742849122</v>
      </c>
      <c r="AF589" s="2956"/>
      <c r="AG589" s="2956"/>
      <c r="AH589" s="2956"/>
      <c r="AI589" s="2240" t="str">
        <f>'BUS Deemed Savings Table'!L197</f>
        <v>per measure</v>
      </c>
      <c r="AM589" s="2057">
        <f t="shared" si="427"/>
        <v>1.811545E-4</v>
      </c>
      <c r="AN589">
        <f t="shared" si="428"/>
        <v>51.100242514500003</v>
      </c>
      <c r="AO589" s="2048">
        <f t="shared" si="429"/>
        <v>-4.8549999576152914E-7</v>
      </c>
    </row>
    <row r="590" spans="2:41" x14ac:dyDescent="0.25">
      <c r="B590" s="2240" t="str">
        <f>'BUS Deemed Savings Table'!C198</f>
        <v>802450_2019_12_</v>
      </c>
      <c r="C590" s="208" t="str">
        <f>'BUS Deemed Savings Table'!G198</f>
        <v>Water Heating BUS</v>
      </c>
      <c r="D590" s="208"/>
      <c r="E590" s="208"/>
      <c r="F590" s="208"/>
      <c r="G590" s="208" t="str">
        <f>'BUS Deemed Savings Table'!E198</f>
        <v>Heat Pump Water Heater w/ 98% Efficiency &gt;146.6 kW (above 500 MBH)</v>
      </c>
      <c r="H590" s="622" t="str">
        <f>'BUS Deemed Savings Table'!D198</f>
        <v>C&amp;I</v>
      </c>
      <c r="I590" s="2084">
        <f>'BUS Deemed Savings Table'!F198</f>
        <v>423122</v>
      </c>
      <c r="J590" s="2084"/>
      <c r="K590" s="2113"/>
      <c r="L590" s="2113"/>
      <c r="M590" s="2113"/>
      <c r="N590" s="2113"/>
      <c r="O590" s="2085">
        <f>'BUS Deemed Savings Table'!I198</f>
        <v>76.650453999999996</v>
      </c>
      <c r="P590" s="2085"/>
      <c r="Q590" s="2086"/>
      <c r="R590" s="2086"/>
      <c r="S590" s="2086"/>
      <c r="T590" s="2086"/>
      <c r="U590" s="2100">
        <f t="shared" si="430"/>
        <v>0</v>
      </c>
      <c r="V590" s="2100">
        <f t="shared" si="431"/>
        <v>0</v>
      </c>
      <c r="W590" s="2100">
        <f t="shared" si="432"/>
        <v>76.650453999999996</v>
      </c>
      <c r="X590" s="2121">
        <f>'BUS Deemed Savings Table'!J198</f>
        <v>15</v>
      </c>
      <c r="Y590" s="2121"/>
      <c r="Z590" s="88">
        <f t="shared" si="433"/>
        <v>15</v>
      </c>
      <c r="AA590" s="637">
        <f>'BUS Deemed Savings Table'!DB198</f>
        <v>15.746821238354265</v>
      </c>
      <c r="AB590" s="2917">
        <f>'BUS Deemed Savings Table'!K198</f>
        <v>18000</v>
      </c>
      <c r="AC590" s="2101">
        <f t="shared" si="377"/>
        <v>267525.04227501346</v>
      </c>
      <c r="AD590" s="2101">
        <f t="shared" si="378"/>
        <v>0</v>
      </c>
      <c r="AE590" s="2955">
        <f>'BUS Deemed Savings Table'!DD198</f>
        <v>267525.04227501346</v>
      </c>
      <c r="AF590" s="2956"/>
      <c r="AG590" s="2956"/>
      <c r="AH590" s="2956"/>
      <c r="AI590" s="2240" t="str">
        <f>'BUS Deemed Savings Table'!L198</f>
        <v>per measure</v>
      </c>
      <c r="AM590" s="2057">
        <f t="shared" si="427"/>
        <v>1.811545E-4</v>
      </c>
      <c r="AN590">
        <f t="shared" si="428"/>
        <v>76.650454349</v>
      </c>
      <c r="AO590" s="2048">
        <f t="shared" si="429"/>
        <v>3.4900000400739373E-7</v>
      </c>
    </row>
    <row r="591" spans="2:41" x14ac:dyDescent="0.25">
      <c r="B591" s="2240" t="str">
        <f>'BUS Deemed Savings Table'!C218</f>
        <v>802500_2019_12_</v>
      </c>
      <c r="C591" s="208" t="str">
        <f>'BUS Deemed Savings Table'!G218</f>
        <v>Water Heating BUS</v>
      </c>
      <c r="D591" s="208"/>
      <c r="E591" s="208"/>
      <c r="F591" s="208"/>
      <c r="G591" s="208" t="str">
        <f>'BUS Deemed Savings Table'!E218</f>
        <v>Pool Heater Heat Pump (Uncovered)</v>
      </c>
      <c r="H591" s="622" t="str">
        <f>'BUS Deemed Savings Table'!D218</f>
        <v>C&amp;I</v>
      </c>
      <c r="I591" s="2084">
        <f>'BUS Deemed Savings Table'!F218</f>
        <v>35272.879999999997</v>
      </c>
      <c r="J591" s="2084"/>
      <c r="K591" s="2113"/>
      <c r="L591" s="2113"/>
      <c r="M591" s="2113"/>
      <c r="N591" s="2113"/>
      <c r="O591" s="2085">
        <f>'BUS Deemed Savings Table'!I218</f>
        <v>6.3898409999999997</v>
      </c>
      <c r="P591" s="2085"/>
      <c r="Q591" s="2086"/>
      <c r="R591" s="2086"/>
      <c r="S591" s="2086"/>
      <c r="T591" s="2086"/>
      <c r="U591" s="2100">
        <f t="shared" si="430"/>
        <v>0</v>
      </c>
      <c r="V591" s="2100">
        <f t="shared" si="431"/>
        <v>0</v>
      </c>
      <c r="W591" s="2100">
        <f t="shared" si="432"/>
        <v>6.3898409999999997</v>
      </c>
      <c r="X591" s="2121">
        <f>'BUS Deemed Savings Table'!J218</f>
        <v>15</v>
      </c>
      <c r="Y591" s="2121"/>
      <c r="Z591" s="88">
        <f t="shared" si="433"/>
        <v>15</v>
      </c>
      <c r="AA591" s="637">
        <f>'BUS Deemed Savings Table'!DB218</f>
        <v>23.62874831985712</v>
      </c>
      <c r="AB591" s="2917">
        <f>'BUS Deemed Savings Table'!K218</f>
        <v>1000</v>
      </c>
      <c r="AC591" s="2101">
        <f t="shared" si="377"/>
        <v>22301.791712937345</v>
      </c>
      <c r="AD591" s="2101">
        <f t="shared" si="378"/>
        <v>0</v>
      </c>
      <c r="AE591" s="2955">
        <f>'BUS Deemed Savings Table'!DD218</f>
        <v>22301.791712937345</v>
      </c>
      <c r="AF591" s="2956"/>
      <c r="AG591" s="2956"/>
      <c r="AH591" s="2956"/>
      <c r="AI591" s="2240" t="str">
        <f>'BUS Deemed Savings Table'!L218</f>
        <v>per measure</v>
      </c>
      <c r="AM591" s="2057">
        <f t="shared" si="427"/>
        <v>1.811545E-4</v>
      </c>
      <c r="AN591">
        <f t="shared" si="428"/>
        <v>6.38984093996</v>
      </c>
      <c r="AO591" s="2048">
        <f t="shared" si="429"/>
        <v>-6.0039999638661357E-8</v>
      </c>
    </row>
    <row r="592" spans="2:41" x14ac:dyDescent="0.25">
      <c r="B592" s="2240" t="str">
        <f>'BUS Deemed Savings Table'!C219</f>
        <v>802550_2019_12_</v>
      </c>
      <c r="C592" s="208" t="str">
        <f>'BUS Deemed Savings Table'!G219</f>
        <v>Water Heating BUS</v>
      </c>
      <c r="D592" s="208"/>
      <c r="E592" s="208"/>
      <c r="F592" s="208"/>
      <c r="G592" s="208" t="str">
        <f>'BUS Deemed Savings Table'!E219</f>
        <v>Pool Heater Heat Pump (Covered)</v>
      </c>
      <c r="H592" s="622" t="str">
        <f>'BUS Deemed Savings Table'!D219</f>
        <v>C&amp;I</v>
      </c>
      <c r="I592" s="2084">
        <f>'BUS Deemed Savings Table'!F219</f>
        <v>6206.88</v>
      </c>
      <c r="J592" s="2084"/>
      <c r="K592" s="2113"/>
      <c r="L592" s="2113"/>
      <c r="M592" s="2113"/>
      <c r="N592" s="2113"/>
      <c r="O592" s="2085">
        <f>'BUS Deemed Savings Table'!I219</f>
        <v>1.124404</v>
      </c>
      <c r="P592" s="2085"/>
      <c r="Q592" s="2086"/>
      <c r="R592" s="2086"/>
      <c r="S592" s="2086"/>
      <c r="T592" s="2086"/>
      <c r="U592" s="2100">
        <f t="shared" si="430"/>
        <v>0</v>
      </c>
      <c r="V592" s="2100">
        <f t="shared" si="431"/>
        <v>0</v>
      </c>
      <c r="W592" s="2100">
        <f t="shared" si="432"/>
        <v>1.124404</v>
      </c>
      <c r="X592" s="2121">
        <f>'BUS Deemed Savings Table'!J219</f>
        <v>15</v>
      </c>
      <c r="Y592" s="2121"/>
      <c r="Z592" s="88">
        <f t="shared" si="433"/>
        <v>15</v>
      </c>
      <c r="AA592" s="637">
        <f>'BUS Deemed Savings Table'!DB219</f>
        <v>4.1578914273956302</v>
      </c>
      <c r="AB592" s="2917">
        <f>'BUS Deemed Savings Table'!K219</f>
        <v>1000</v>
      </c>
      <c r="AC592" s="2101">
        <f t="shared" si="377"/>
        <v>3924.3902099062102</v>
      </c>
      <c r="AD592" s="2101">
        <f t="shared" si="378"/>
        <v>0</v>
      </c>
      <c r="AE592" s="2955">
        <f>'BUS Deemed Savings Table'!DD219</f>
        <v>3924.3902099062102</v>
      </c>
      <c r="AF592" s="2956"/>
      <c r="AG592" s="2956"/>
      <c r="AH592" s="2956"/>
      <c r="AI592" s="2240" t="str">
        <f>'BUS Deemed Savings Table'!L219</f>
        <v>per measure</v>
      </c>
      <c r="AM592" s="2057">
        <f t="shared" si="427"/>
        <v>1.811545E-4</v>
      </c>
      <c r="AN592">
        <f t="shared" si="428"/>
        <v>1.1244042429600001</v>
      </c>
      <c r="AO592" s="2048">
        <f t="shared" si="429"/>
        <v>2.4296000011858609E-7</v>
      </c>
    </row>
    <row r="593" spans="2:41" x14ac:dyDescent="0.25">
      <c r="B593" s="2240" t="str">
        <f>'BUS Deemed Savings Table'!C236</f>
        <v>802600_2019_12_</v>
      </c>
      <c r="C593" s="208" t="str">
        <f>'BUS Deemed Savings Table'!G236</f>
        <v>Motors BUS</v>
      </c>
      <c r="D593" s="208"/>
      <c r="E593" s="208"/>
      <c r="F593" s="208"/>
      <c r="G593" s="208" t="str">
        <f>'BUS Deemed Savings Table'!E236</f>
        <v>Pool Pump w/ Variable Frequency Drive</v>
      </c>
      <c r="H593" s="622" t="str">
        <f>'BUS Deemed Savings Table'!D236</f>
        <v>C&amp;I</v>
      </c>
      <c r="I593" s="2084">
        <f>'BUS Deemed Savings Table'!F236</f>
        <v>1747</v>
      </c>
      <c r="J593" s="2084"/>
      <c r="K593" s="2113"/>
      <c r="L593" s="2113"/>
      <c r="M593" s="2113"/>
      <c r="N593" s="2113"/>
      <c r="O593" s="2085">
        <f>'BUS Deemed Savings Table'!I236</f>
        <v>0.24098800000000001</v>
      </c>
      <c r="P593" s="2085"/>
      <c r="Q593" s="2086"/>
      <c r="R593" s="2086"/>
      <c r="S593" s="2086"/>
      <c r="T593" s="2086"/>
      <c r="U593" s="2100">
        <f t="shared" si="430"/>
        <v>0</v>
      </c>
      <c r="V593" s="2100">
        <f t="shared" si="431"/>
        <v>0</v>
      </c>
      <c r="W593" s="2100">
        <f t="shared" si="432"/>
        <v>0.24098800000000001</v>
      </c>
      <c r="X593" s="2121">
        <f>'BUS Deemed Savings Table'!J236</f>
        <v>15</v>
      </c>
      <c r="Y593" s="2121"/>
      <c r="Z593" s="88">
        <f t="shared" si="433"/>
        <v>15</v>
      </c>
      <c r="AA593" s="637">
        <f>'BUS Deemed Savings Table'!DB236</f>
        <v>4.0338615402565363</v>
      </c>
      <c r="AB593" s="2917">
        <f>'BUS Deemed Savings Table'!K236</f>
        <v>246</v>
      </c>
      <c r="AC593" s="2101">
        <f t="shared" si="377"/>
        <v>936.6021131695212</v>
      </c>
      <c r="AD593" s="2101">
        <f t="shared" si="378"/>
        <v>0</v>
      </c>
      <c r="AE593" s="2955">
        <f>'BUS Deemed Savings Table'!DD236</f>
        <v>936.6021131695212</v>
      </c>
      <c r="AF593" s="2956"/>
      <c r="AG593" s="2956"/>
      <c r="AH593" s="2956"/>
      <c r="AI593" s="2240" t="str">
        <f>'BUS Deemed Savings Table'!L236</f>
        <v>per measure</v>
      </c>
      <c r="AM593" s="2057">
        <f t="shared" si="427"/>
        <v>1.379439E-4</v>
      </c>
      <c r="AN593">
        <f t="shared" si="428"/>
        <v>0.24098799330000001</v>
      </c>
      <c r="AO593" s="2048">
        <f t="shared" si="429"/>
        <v>-6.6999999992489734E-9</v>
      </c>
    </row>
    <row r="594" spans="2:41" x14ac:dyDescent="0.25">
      <c r="B594" s="2240" t="str">
        <f>'BUS Deemed Savings Table'!C250</f>
        <v>802650_2019_12_</v>
      </c>
      <c r="C594" s="208" t="str">
        <f>'BUS Deemed Savings Table'!G250</f>
        <v>Motors BUS</v>
      </c>
      <c r="D594" s="208"/>
      <c r="E594" s="208"/>
      <c r="F594" s="208"/>
      <c r="G594" s="208" t="str">
        <f>'BUS Deemed Savings Table'!E250</f>
        <v>Pool Pump Timer</v>
      </c>
      <c r="H594" s="622" t="str">
        <f>'BUS Deemed Savings Table'!D250</f>
        <v>C&amp;I</v>
      </c>
      <c r="I594" s="2084">
        <f>'BUS Deemed Savings Table'!F250</f>
        <v>601.28</v>
      </c>
      <c r="J594" s="2084"/>
      <c r="K594" s="2113"/>
      <c r="L594" s="2113"/>
      <c r="M594" s="2113"/>
      <c r="N594" s="2113"/>
      <c r="O594" s="2085">
        <f>'BUS Deemed Savings Table'!I250</f>
        <v>8.2943000000000003E-2</v>
      </c>
      <c r="P594" s="2085"/>
      <c r="Q594" s="2086"/>
      <c r="R594" s="2086"/>
      <c r="S594" s="2086"/>
      <c r="T594" s="2086"/>
      <c r="U594" s="2100">
        <f t="shared" si="430"/>
        <v>0</v>
      </c>
      <c r="V594" s="2100">
        <f t="shared" si="431"/>
        <v>8.2943000000000003E-2</v>
      </c>
      <c r="W594" s="2100">
        <f t="shared" si="432"/>
        <v>0</v>
      </c>
      <c r="X594" s="2121">
        <f>'BUS Deemed Savings Table'!J250</f>
        <v>10</v>
      </c>
      <c r="Y594" s="2121"/>
      <c r="Z594" s="88">
        <f t="shared" si="433"/>
        <v>10</v>
      </c>
      <c r="AA594" s="637">
        <f>'BUS Deemed Savings Table'!DB250</f>
        <v>2.3274313914795477</v>
      </c>
      <c r="AB594" s="2917">
        <f>'BUS Deemed Savings Table'!K250</f>
        <v>100</v>
      </c>
      <c r="AC594" s="2101">
        <f t="shared" si="377"/>
        <v>219.67261835578549</v>
      </c>
      <c r="AD594" s="2101">
        <f t="shared" si="378"/>
        <v>0</v>
      </c>
      <c r="AE594" s="2955">
        <f>'BUS Deemed Savings Table'!DD250</f>
        <v>219.67261835578549</v>
      </c>
      <c r="AF594" s="2956"/>
      <c r="AG594" s="2956"/>
      <c r="AH594" s="2956"/>
      <c r="AI594" s="2240" t="str">
        <f>'BUS Deemed Savings Table'!L250</f>
        <v>per measure</v>
      </c>
      <c r="AM594" s="2057">
        <f t="shared" si="427"/>
        <v>1.379439E-4</v>
      </c>
      <c r="AN594">
        <f t="shared" si="428"/>
        <v>8.2942908191999995E-2</v>
      </c>
      <c r="AO594" s="2048">
        <f t="shared" si="429"/>
        <v>-9.1808000007853607E-8</v>
      </c>
    </row>
    <row r="595" spans="2:41" x14ac:dyDescent="0.25">
      <c r="B595" s="2240" t="str">
        <f>'BUS Deemed Savings Table'!C266</f>
        <v>802700_2019_12_</v>
      </c>
      <c r="C595" s="208" t="str">
        <f>'BUS Deemed Savings Table'!G266</f>
        <v>Cooking BUS</v>
      </c>
      <c r="D595" s="208"/>
      <c r="E595" s="208"/>
      <c r="F595" s="208"/>
      <c r="G595" s="208" t="str">
        <f>'BUS Deemed Savings Table'!E266</f>
        <v>3 Pan ENERGY STAR Steam Cooker</v>
      </c>
      <c r="H595" s="622" t="str">
        <f>'BUS Deemed Savings Table'!D266</f>
        <v>C&amp;I</v>
      </c>
      <c r="I595" s="2084">
        <f>'BUS Deemed Savings Table'!F266</f>
        <v>7856.31</v>
      </c>
      <c r="J595" s="2084"/>
      <c r="K595" s="2113"/>
      <c r="L595" s="2113"/>
      <c r="M595" s="2113"/>
      <c r="N595" s="2113"/>
      <c r="O595" s="2085">
        <f>'BUS Deemed Savings Table'!I266</f>
        <v>1.5704359999999999</v>
      </c>
      <c r="P595" s="2085"/>
      <c r="Q595" s="2086"/>
      <c r="R595" s="2086"/>
      <c r="S595" s="2086"/>
      <c r="T595" s="2086"/>
      <c r="U595" s="2100">
        <f t="shared" si="430"/>
        <v>0</v>
      </c>
      <c r="V595" s="2100">
        <f t="shared" si="431"/>
        <v>1.5704359999999999</v>
      </c>
      <c r="W595" s="2100">
        <f t="shared" si="432"/>
        <v>0</v>
      </c>
      <c r="X595" s="2121">
        <f>'BUS Deemed Savings Table'!J266</f>
        <v>12</v>
      </c>
      <c r="Y595" s="2121"/>
      <c r="Z595" s="88">
        <f t="shared" si="433"/>
        <v>12</v>
      </c>
      <c r="AA595" s="637">
        <f>'BUS Deemed Savings Table'!DB266</f>
        <v>1.0172947267638794</v>
      </c>
      <c r="AB595" s="2917">
        <f>'BUS Deemed Savings Table'!K266</f>
        <v>4150</v>
      </c>
      <c r="AC595" s="2101">
        <f t="shared" si="377"/>
        <v>3984.6843945918822</v>
      </c>
      <c r="AD595" s="2101">
        <f t="shared" si="378"/>
        <v>0</v>
      </c>
      <c r="AE595" s="2955">
        <f>'BUS Deemed Savings Table'!DD266</f>
        <v>3984.6843945918822</v>
      </c>
      <c r="AF595" s="2956"/>
      <c r="AG595" s="2956"/>
      <c r="AH595" s="2956"/>
      <c r="AI595" s="2240" t="str">
        <f>'BUS Deemed Savings Table'!L266</f>
        <v>per measure</v>
      </c>
      <c r="AM595" s="2057">
        <f t="shared" si="427"/>
        <v>1.998949E-4</v>
      </c>
      <c r="AN595">
        <f t="shared" si="428"/>
        <v>1.5704363018190002</v>
      </c>
      <c r="AO595" s="2048">
        <f t="shared" si="429"/>
        <v>3.0181900023684705E-7</v>
      </c>
    </row>
    <row r="596" spans="2:41" x14ac:dyDescent="0.25">
      <c r="B596" s="2240" t="str">
        <f>'BUS Deemed Savings Table'!C267</f>
        <v>802750_2019_12_</v>
      </c>
      <c r="C596" s="208" t="str">
        <f>'BUS Deemed Savings Table'!G267</f>
        <v>Cooking BUS</v>
      </c>
      <c r="D596" s="208"/>
      <c r="E596" s="208"/>
      <c r="F596" s="208"/>
      <c r="G596" s="208" t="str">
        <f>'BUS Deemed Savings Table'!E267</f>
        <v>4 Pan ENERGY STAR Steam Cooker</v>
      </c>
      <c r="H596" s="622" t="str">
        <f>'BUS Deemed Savings Table'!D267</f>
        <v>C&amp;I</v>
      </c>
      <c r="I596" s="2084">
        <f>'BUS Deemed Savings Table'!F267</f>
        <v>9213.5</v>
      </c>
      <c r="J596" s="2084"/>
      <c r="K596" s="2113"/>
      <c r="L596" s="2113"/>
      <c r="M596" s="2113"/>
      <c r="N596" s="2113"/>
      <c r="O596" s="2085">
        <f>'BUS Deemed Savings Table'!I267</f>
        <v>1.8417319999999999</v>
      </c>
      <c r="P596" s="2085"/>
      <c r="Q596" s="2086"/>
      <c r="R596" s="2086"/>
      <c r="S596" s="2086"/>
      <c r="T596" s="2086"/>
      <c r="U596" s="2100">
        <f t="shared" si="430"/>
        <v>0</v>
      </c>
      <c r="V596" s="2100">
        <f t="shared" si="431"/>
        <v>1.8417319999999999</v>
      </c>
      <c r="W596" s="2100">
        <f t="shared" si="432"/>
        <v>0</v>
      </c>
      <c r="X596" s="2121">
        <f>'BUS Deemed Savings Table'!J267</f>
        <v>12</v>
      </c>
      <c r="Y596" s="2121"/>
      <c r="Z596" s="88">
        <f t="shared" si="433"/>
        <v>12</v>
      </c>
      <c r="AA596" s="637">
        <f>'BUS Deemed Savings Table'!DB267</f>
        <v>1.1930340026092405</v>
      </c>
      <c r="AB596" s="2917">
        <f>'BUS Deemed Savings Table'!K267</f>
        <v>4150</v>
      </c>
      <c r="AC596" s="2101">
        <f t="shared" si="377"/>
        <v>4673.0449370725319</v>
      </c>
      <c r="AD596" s="2101">
        <f t="shared" si="378"/>
        <v>0</v>
      </c>
      <c r="AE596" s="2955">
        <f>'BUS Deemed Savings Table'!DD267</f>
        <v>4673.0449370725319</v>
      </c>
      <c r="AF596" s="2956"/>
      <c r="AG596" s="2956"/>
      <c r="AH596" s="2956"/>
      <c r="AI596" s="2240" t="str">
        <f>'BUS Deemed Savings Table'!L267</f>
        <v>per measure</v>
      </c>
      <c r="AM596" s="2057">
        <f t="shared" si="427"/>
        <v>1.998949E-4</v>
      </c>
      <c r="AN596">
        <f t="shared" si="428"/>
        <v>1.8417316611500001</v>
      </c>
      <c r="AO596" s="2048">
        <f t="shared" si="429"/>
        <v>-3.3884999983690989E-7</v>
      </c>
    </row>
    <row r="597" spans="2:41" x14ac:dyDescent="0.25">
      <c r="B597" s="2240" t="str">
        <f>'BUS Deemed Savings Table'!C268</f>
        <v>802800_2019_12_</v>
      </c>
      <c r="C597" s="208" t="str">
        <f>'BUS Deemed Savings Table'!G268</f>
        <v>Cooking BUS</v>
      </c>
      <c r="D597" s="208"/>
      <c r="E597" s="208"/>
      <c r="F597" s="208"/>
      <c r="G597" s="208" t="str">
        <f>'BUS Deemed Savings Table'!E268</f>
        <v>5 Pan ENERGY STAR Steam Cooker</v>
      </c>
      <c r="H597" s="622" t="str">
        <f>'BUS Deemed Savings Table'!D268</f>
        <v>C&amp;I</v>
      </c>
      <c r="I597" s="2084">
        <f>'BUS Deemed Savings Table'!F268</f>
        <v>10512.97</v>
      </c>
      <c r="J597" s="2084"/>
      <c r="K597" s="2113"/>
      <c r="L597" s="2113"/>
      <c r="M597" s="2113"/>
      <c r="N597" s="2113"/>
      <c r="O597" s="2085">
        <f>'BUS Deemed Savings Table'!I268</f>
        <v>2.1014889999999999</v>
      </c>
      <c r="P597" s="2085"/>
      <c r="Q597" s="2086"/>
      <c r="R597" s="2086"/>
      <c r="S597" s="2086"/>
      <c r="T597" s="2086"/>
      <c r="U597" s="2100">
        <f t="shared" si="430"/>
        <v>0</v>
      </c>
      <c r="V597" s="2100">
        <f t="shared" si="431"/>
        <v>2.1014889999999999</v>
      </c>
      <c r="W597" s="2100">
        <f t="shared" si="432"/>
        <v>0</v>
      </c>
      <c r="X597" s="2121">
        <f>'BUS Deemed Savings Table'!J268</f>
        <v>12</v>
      </c>
      <c r="Y597" s="2121"/>
      <c r="Z597" s="88">
        <f t="shared" si="433"/>
        <v>12</v>
      </c>
      <c r="AA597" s="637">
        <f>'BUS Deemed Savings Table'!DB268</f>
        <v>1.3612992541825437</v>
      </c>
      <c r="AB597" s="2917">
        <f>'BUS Deemed Savings Table'!K268</f>
        <v>4150</v>
      </c>
      <c r="AC597" s="2101">
        <f t="shared" si="377"/>
        <v>5332.1301603185993</v>
      </c>
      <c r="AD597" s="2101">
        <f t="shared" si="378"/>
        <v>0</v>
      </c>
      <c r="AE597" s="2955">
        <f>'BUS Deemed Savings Table'!DD268</f>
        <v>5332.1301603185993</v>
      </c>
      <c r="AF597" s="2956"/>
      <c r="AG597" s="2956"/>
      <c r="AH597" s="2956"/>
      <c r="AI597" s="2240" t="str">
        <f>'BUS Deemed Savings Table'!L268</f>
        <v>per measure</v>
      </c>
      <c r="AM597" s="2057">
        <f t="shared" si="427"/>
        <v>1.998949E-4</v>
      </c>
      <c r="AN597">
        <f t="shared" si="428"/>
        <v>2.1014890868529998</v>
      </c>
      <c r="AO597" s="2048">
        <f t="shared" si="429"/>
        <v>8.6852999903186401E-8</v>
      </c>
    </row>
    <row r="598" spans="2:41" x14ac:dyDescent="0.25">
      <c r="B598" s="2240" t="str">
        <f>'BUS Deemed Savings Table'!C269</f>
        <v>802850_2019_12_</v>
      </c>
      <c r="C598" s="208" t="str">
        <f>'BUS Deemed Savings Table'!G269</f>
        <v>Cooking BUS</v>
      </c>
      <c r="D598" s="208"/>
      <c r="E598" s="208"/>
      <c r="F598" s="208"/>
      <c r="G598" s="208" t="str">
        <f>'BUS Deemed Savings Table'!E269</f>
        <v>6 Pan ENERGY STAR Steam Cooker</v>
      </c>
      <c r="H598" s="622" t="str">
        <f>'BUS Deemed Savings Table'!D269</f>
        <v>C&amp;I</v>
      </c>
      <c r="I598" s="2084">
        <f>'BUS Deemed Savings Table'!F269</f>
        <v>11818.65</v>
      </c>
      <c r="J598" s="2084"/>
      <c r="K598" s="2113"/>
      <c r="L598" s="2113"/>
      <c r="M598" s="2113"/>
      <c r="N598" s="2113"/>
      <c r="O598" s="2085">
        <f>'BUS Deemed Savings Table'!I269</f>
        <v>2.3624879999999999</v>
      </c>
      <c r="P598" s="2085"/>
      <c r="Q598" s="2086"/>
      <c r="R598" s="2086"/>
      <c r="S598" s="2086"/>
      <c r="T598" s="2086"/>
      <c r="U598" s="2100">
        <f t="shared" si="430"/>
        <v>0</v>
      </c>
      <c r="V598" s="2100">
        <f t="shared" si="431"/>
        <v>2.3624879999999999</v>
      </c>
      <c r="W598" s="2100">
        <f t="shared" si="432"/>
        <v>0</v>
      </c>
      <c r="X598" s="2121">
        <f>'BUS Deemed Savings Table'!J269</f>
        <v>12</v>
      </c>
      <c r="Y598" s="2121"/>
      <c r="Z598" s="88">
        <f t="shared" si="433"/>
        <v>12</v>
      </c>
      <c r="AA598" s="637">
        <f>'BUS Deemed Savings Table'!DB269</f>
        <v>1.5303686237518535</v>
      </c>
      <c r="AB598" s="2917">
        <f>'BUS Deemed Savings Table'!K269</f>
        <v>4150</v>
      </c>
      <c r="AC598" s="2101">
        <f t="shared" si="377"/>
        <v>5994.3650670789912</v>
      </c>
      <c r="AD598" s="2101">
        <f t="shared" si="378"/>
        <v>0</v>
      </c>
      <c r="AE598" s="2955">
        <f>'BUS Deemed Savings Table'!DD269</f>
        <v>5994.3650670789912</v>
      </c>
      <c r="AF598" s="2956"/>
      <c r="AG598" s="2956"/>
      <c r="AH598" s="2956"/>
      <c r="AI598" s="2240" t="str">
        <f>'BUS Deemed Savings Table'!L269</f>
        <v>per measure</v>
      </c>
      <c r="AM598" s="2057">
        <f t="shared" si="427"/>
        <v>1.998949E-4</v>
      </c>
      <c r="AN598">
        <f t="shared" si="428"/>
        <v>2.3624878598849999</v>
      </c>
      <c r="AO598" s="2048">
        <f t="shared" si="429"/>
        <v>-1.4011500004684763E-7</v>
      </c>
    </row>
    <row r="599" spans="2:41" x14ac:dyDescent="0.25">
      <c r="B599" s="2240" t="str">
        <f>'BUS Deemed Savings Table'!C288</f>
        <v>802900_2019_12_</v>
      </c>
      <c r="C599" s="208" t="str">
        <f>'BUS Deemed Savings Table'!G288</f>
        <v>Cooking BUS</v>
      </c>
      <c r="D599" s="208"/>
      <c r="E599" s="208"/>
      <c r="F599" s="208"/>
      <c r="G599" s="208" t="str">
        <f>'BUS Deemed Savings Table'!E288</f>
        <v>ENERGY STAR Hot Holding Cabinet (0 &lt; V &lt;13)</v>
      </c>
      <c r="H599" s="622" t="str">
        <f>'BUS Deemed Savings Table'!D288</f>
        <v>C&amp;I</v>
      </c>
      <c r="I599" s="2084">
        <f>'BUS Deemed Savings Table'!F288</f>
        <v>709.5</v>
      </c>
      <c r="J599" s="2084"/>
      <c r="K599" s="2113"/>
      <c r="L599" s="2113"/>
      <c r="M599" s="2113"/>
      <c r="N599" s="2113"/>
      <c r="O599" s="2085">
        <f>'BUS Deemed Savings Table'!I288</f>
        <v>0.14182500000000001</v>
      </c>
      <c r="P599" s="2085"/>
      <c r="Q599" s="2086"/>
      <c r="R599" s="2086"/>
      <c r="S599" s="2086"/>
      <c r="T599" s="2086"/>
      <c r="U599" s="2100">
        <f t="shared" si="430"/>
        <v>0</v>
      </c>
      <c r="V599" s="2100">
        <f t="shared" si="431"/>
        <v>0.14182500000000001</v>
      </c>
      <c r="W599" s="2100">
        <f t="shared" si="432"/>
        <v>0</v>
      </c>
      <c r="X599" s="2121">
        <f>'BUS Deemed Savings Table'!J288</f>
        <v>12</v>
      </c>
      <c r="Y599" s="2121"/>
      <c r="Z599" s="88">
        <f t="shared" si="433"/>
        <v>12</v>
      </c>
      <c r="AA599" s="637">
        <f>'BUS Deemed Savings Table'!DB288</f>
        <v>0.21383428302465121</v>
      </c>
      <c r="AB599" s="2917">
        <f>'BUS Deemed Savings Table'!K288</f>
        <v>1783</v>
      </c>
      <c r="AC599" s="2101">
        <f t="shared" si="377"/>
        <v>359.85514547706754</v>
      </c>
      <c r="AD599" s="2101">
        <f t="shared" si="378"/>
        <v>0</v>
      </c>
      <c r="AE599" s="2955">
        <f>'BUS Deemed Savings Table'!DD288</f>
        <v>359.85514547706754</v>
      </c>
      <c r="AF599" s="2956"/>
      <c r="AG599" s="2956"/>
      <c r="AH599" s="2956"/>
      <c r="AI599" s="2240" t="str">
        <f>'BUS Deemed Savings Table'!L288</f>
        <v>per measure</v>
      </c>
      <c r="AM599" s="2057">
        <f t="shared" si="427"/>
        <v>1.998949E-4</v>
      </c>
      <c r="AN599">
        <f t="shared" si="428"/>
        <v>0.14182543154999999</v>
      </c>
      <c r="AO599" s="2048">
        <f t="shared" si="429"/>
        <v>4.3154999998518129E-7</v>
      </c>
    </row>
    <row r="600" spans="2:41" x14ac:dyDescent="0.25">
      <c r="B600" s="2240" t="str">
        <f>'BUS Deemed Savings Table'!C289</f>
        <v>802950_2019_12_</v>
      </c>
      <c r="C600" s="208" t="str">
        <f>'BUS Deemed Savings Table'!G289</f>
        <v>Cooking BUS</v>
      </c>
      <c r="D600" s="208"/>
      <c r="E600" s="208"/>
      <c r="F600" s="208"/>
      <c r="G600" s="208" t="str">
        <f>'BUS Deemed Savings Table'!E289</f>
        <v>ENERGY STAR Hot Holding Cabinet (13 ≤ V &lt;28)</v>
      </c>
      <c r="H600" s="622" t="str">
        <f>'BUS Deemed Savings Table'!D289</f>
        <v>C&amp;I</v>
      </c>
      <c r="I600" s="2084">
        <f>'BUS Deemed Savings Table'!F289</f>
        <v>2772.25</v>
      </c>
      <c r="J600" s="2084"/>
      <c r="K600" s="2113"/>
      <c r="L600" s="2113"/>
      <c r="M600" s="2113"/>
      <c r="N600" s="2113"/>
      <c r="O600" s="2085">
        <f>'BUS Deemed Savings Table'!I289</f>
        <v>0.55415899999999996</v>
      </c>
      <c r="P600" s="2085"/>
      <c r="Q600" s="2086"/>
      <c r="R600" s="2086"/>
      <c r="S600" s="2086"/>
      <c r="T600" s="2086"/>
      <c r="U600" s="2100">
        <f t="shared" si="430"/>
        <v>0</v>
      </c>
      <c r="V600" s="2100">
        <f t="shared" si="431"/>
        <v>0.55415899999999996</v>
      </c>
      <c r="W600" s="2100">
        <f t="shared" si="432"/>
        <v>0</v>
      </c>
      <c r="X600" s="2121">
        <f>'BUS Deemed Savings Table'!J289</f>
        <v>12</v>
      </c>
      <c r="Y600" s="2121"/>
      <c r="Z600" s="88">
        <f t="shared" si="433"/>
        <v>12</v>
      </c>
      <c r="AA600" s="637">
        <f>'BUS Deemed Savings Table'!DB289</f>
        <v>0.83552091770978054</v>
      </c>
      <c r="AB600" s="2917">
        <f>'BUS Deemed Savings Table'!K289</f>
        <v>1783</v>
      </c>
      <c r="AC600" s="2101">
        <f t="shared" si="377"/>
        <v>1406.0724835078231</v>
      </c>
      <c r="AD600" s="2101">
        <f t="shared" si="378"/>
        <v>0</v>
      </c>
      <c r="AE600" s="2955">
        <f>'BUS Deemed Savings Table'!DD289</f>
        <v>1406.0724835078231</v>
      </c>
      <c r="AF600" s="2956"/>
      <c r="AG600" s="2956"/>
      <c r="AH600" s="2956"/>
      <c r="AI600" s="2240" t="str">
        <f>'BUS Deemed Savings Table'!L289</f>
        <v>per measure</v>
      </c>
      <c r="AM600" s="2057">
        <f t="shared" si="427"/>
        <v>1.998949E-4</v>
      </c>
      <c r="AN600">
        <f t="shared" si="428"/>
        <v>0.55415863652499997</v>
      </c>
      <c r="AO600" s="2048">
        <f t="shared" si="429"/>
        <v>-3.6347499998701238E-7</v>
      </c>
    </row>
    <row r="601" spans="2:41" x14ac:dyDescent="0.25">
      <c r="B601" s="2240" t="str">
        <f>'BUS Deemed Savings Table'!C290</f>
        <v>803000_2019_12_</v>
      </c>
      <c r="C601" s="208" t="str">
        <f>'BUS Deemed Savings Table'!G290</f>
        <v>Cooking BUS</v>
      </c>
      <c r="D601" s="208"/>
      <c r="E601" s="208"/>
      <c r="F601" s="208"/>
      <c r="G601" s="208" t="str">
        <f>'BUS Deemed Savings Table'!E290</f>
        <v>ENERGY STAR Hot Holding Cabinet (28 ≤ V)</v>
      </c>
      <c r="H601" s="622" t="str">
        <f>'BUS Deemed Savings Table'!D290</f>
        <v>C&amp;I</v>
      </c>
      <c r="I601" s="2084">
        <f>'BUS Deemed Savings Table'!F290</f>
        <v>4438.34</v>
      </c>
      <c r="J601" s="2084"/>
      <c r="K601" s="2113"/>
      <c r="L601" s="2113"/>
      <c r="M601" s="2113"/>
      <c r="N601" s="2113"/>
      <c r="O601" s="2085">
        <f>'BUS Deemed Savings Table'!I290</f>
        <v>0.88720200000000005</v>
      </c>
      <c r="P601" s="2085"/>
      <c r="Q601" s="2086"/>
      <c r="R601" s="2086"/>
      <c r="S601" s="2086"/>
      <c r="T601" s="2086"/>
      <c r="U601" s="2100">
        <f t="shared" si="430"/>
        <v>0</v>
      </c>
      <c r="V601" s="2100">
        <f t="shared" si="431"/>
        <v>0.88720200000000005</v>
      </c>
      <c r="W601" s="2100">
        <f t="shared" si="432"/>
        <v>0</v>
      </c>
      <c r="X601" s="2121">
        <f>'BUS Deemed Savings Table'!J290</f>
        <v>12</v>
      </c>
      <c r="Y601" s="2121"/>
      <c r="Z601" s="88">
        <f t="shared" si="433"/>
        <v>12</v>
      </c>
      <c r="AA601" s="637">
        <f>'BUS Deemed Savings Table'!DB290</f>
        <v>1.3376592695132212</v>
      </c>
      <c r="AB601" s="2917">
        <f>'BUS Deemed Savings Table'!K290</f>
        <v>1783</v>
      </c>
      <c r="AC601" s="2101">
        <f t="shared" si="377"/>
        <v>2251.1056890439577</v>
      </c>
      <c r="AD601" s="2101">
        <f t="shared" si="378"/>
        <v>0</v>
      </c>
      <c r="AE601" s="2955">
        <f>'BUS Deemed Savings Table'!DD290</f>
        <v>2251.1056890439577</v>
      </c>
      <c r="AF601" s="2956"/>
      <c r="AG601" s="2956"/>
      <c r="AH601" s="2956"/>
      <c r="AI601" s="2240" t="str">
        <f>'BUS Deemed Savings Table'!L290</f>
        <v>per measure</v>
      </c>
      <c r="AM601" s="2057">
        <f t="shared" si="427"/>
        <v>1.998949E-4</v>
      </c>
      <c r="AN601">
        <f t="shared" si="428"/>
        <v>0.88720153046600003</v>
      </c>
      <c r="AO601" s="2048">
        <f t="shared" si="429"/>
        <v>-4.6953400001381596E-7</v>
      </c>
    </row>
    <row r="602" spans="2:41" x14ac:dyDescent="0.25">
      <c r="B602" s="2240" t="str">
        <f>'BUS Deemed Savings Table'!C308</f>
        <v>803050_2019_12_</v>
      </c>
      <c r="C602" s="208" t="str">
        <f>'BUS Deemed Savings Table'!I308</f>
        <v>Cooling BUS</v>
      </c>
      <c r="D602" s="208" t="str">
        <f>'BUS Deemed Savings Table'!J308</f>
        <v>Heating BUS</v>
      </c>
      <c r="E602" s="208"/>
      <c r="F602" s="208"/>
      <c r="G602" s="208" t="str">
        <f>'BUS Deemed Savings Table'!E308</f>
        <v>Learning Thermostat</v>
      </c>
      <c r="H602" s="622" t="str">
        <f>'BUS Deemed Savings Table'!D308</f>
        <v>C&amp;I</v>
      </c>
      <c r="I602" s="2091">
        <f>K602+L602</f>
        <v>438.34117233294256</v>
      </c>
      <c r="J602" s="2091">
        <f>S602+T602</f>
        <v>0</v>
      </c>
      <c r="K602" s="2116">
        <f>'BUS Deemed Savings Table'!F308</f>
        <v>205.34</v>
      </c>
      <c r="L602" s="63">
        <f>'BUS Deemed Savings Table'!G308</f>
        <v>233.00117233294256</v>
      </c>
      <c r="M602" s="2113"/>
      <c r="N602" s="2113"/>
      <c r="O602" s="2092">
        <f>Q602+R602</f>
        <v>0.187</v>
      </c>
      <c r="P602" s="2092">
        <f>S602+T602</f>
        <v>0</v>
      </c>
      <c r="Q602" s="2086">
        <f>'BUS Deemed Savings Table'!L308</f>
        <v>0.187</v>
      </c>
      <c r="R602" s="2086">
        <v>0</v>
      </c>
      <c r="S602" s="2086"/>
      <c r="T602" s="2086"/>
      <c r="U602" s="2100">
        <f t="shared" si="430"/>
        <v>0</v>
      </c>
      <c r="V602" s="2100">
        <f t="shared" si="431"/>
        <v>0.187</v>
      </c>
      <c r="W602" s="2100">
        <f t="shared" si="432"/>
        <v>0</v>
      </c>
      <c r="X602" s="2121">
        <f>'BUS Deemed Savings Table'!M308</f>
        <v>10</v>
      </c>
      <c r="Y602" s="2121"/>
      <c r="Z602" s="88">
        <f t="shared" si="433"/>
        <v>10</v>
      </c>
      <c r="AA602" s="637">
        <f>'BUS Deemed Savings Table'!DB308</f>
        <v>0.93461733145643167</v>
      </c>
      <c r="AB602" s="2917">
        <f>'BUS Deemed Savings Table'!N308</f>
        <v>224</v>
      </c>
      <c r="AC602" s="2101">
        <f t="shared" si="377"/>
        <v>197.59724610310587</v>
      </c>
      <c r="AD602" s="2101">
        <f t="shared" si="378"/>
        <v>0</v>
      </c>
      <c r="AE602" s="2955">
        <f>'BUS Deemed Savings Table'!DD308</f>
        <v>197.59724610310587</v>
      </c>
      <c r="AF602" s="2956"/>
      <c r="AG602" s="2956"/>
      <c r="AH602" s="2956"/>
      <c r="AI602" s="2251" t="str">
        <f>'BUS Deemed Savings Table'!O308</f>
        <v>per measure</v>
      </c>
      <c r="AM602" s="2057">
        <f t="shared" si="427"/>
        <v>9.1068400000000004E-4</v>
      </c>
      <c r="AN602" s="2051">
        <f>AM602*K602</f>
        <v>0.18699985256000001</v>
      </c>
      <c r="AO602" s="2048">
        <f t="shared" si="429"/>
        <v>-1.4743999998678703E-7</v>
      </c>
    </row>
    <row r="603" spans="2:41" x14ac:dyDescent="0.25">
      <c r="B603" s="2240" t="str">
        <f>'BUS Deemed Savings Table'!C322</f>
        <v>803100_2020_07_</v>
      </c>
      <c r="C603" s="208" t="str">
        <f>'BUS Deemed Savings Table'!G322</f>
        <v>Cooling BUS</v>
      </c>
      <c r="D603" s="208"/>
      <c r="E603" s="208"/>
      <c r="F603" s="208"/>
      <c r="G603" s="131" t="str">
        <f>'BUS Deemed Savings Table'!E322</f>
        <v>VFD on Chilled Water Pump &gt;= 1HP</v>
      </c>
      <c r="H603" s="622" t="str">
        <f>'BUS Deemed Savings Table'!D322</f>
        <v>C&amp;I</v>
      </c>
      <c r="I603" s="2084">
        <f>'BUS Deemed Savings Table'!F322</f>
        <v>1289.6400000000001</v>
      </c>
      <c r="J603" s="2084"/>
      <c r="K603" s="2113"/>
      <c r="L603" s="2113"/>
      <c r="M603" s="2113"/>
      <c r="N603" s="2113"/>
      <c r="O603" s="2085">
        <f>'BUS Deemed Savings Table'!I322</f>
        <v>1.174455</v>
      </c>
      <c r="P603" s="2085"/>
      <c r="Q603" s="2086"/>
      <c r="R603" s="2086"/>
      <c r="S603" s="2086"/>
      <c r="T603" s="2086"/>
      <c r="U603" s="2100">
        <f>IF(V603+W603&gt;0,0,IF(Z603&gt;0,O603,0))</f>
        <v>0</v>
      </c>
      <c r="V603" s="2100">
        <f>IF(W603&gt;0,0,IF(Z603&gt;9,O603,0))</f>
        <v>0</v>
      </c>
      <c r="W603" s="2100">
        <f>IF(Z603&gt;14,O603,0)</f>
        <v>1.174455</v>
      </c>
      <c r="X603" s="2121">
        <f>'BUS Deemed Savings Table'!J322</f>
        <v>15</v>
      </c>
      <c r="Y603" s="2121"/>
      <c r="Z603" s="88">
        <f t="shared" si="433"/>
        <v>15</v>
      </c>
      <c r="AA603" s="637">
        <f>'BUS Deemed Savings Table'!DB322</f>
        <v>10.881786166946494</v>
      </c>
      <c r="AB603" s="2917">
        <f>'BUS Deemed Savings Table'!K322</f>
        <v>179</v>
      </c>
      <c r="AC603" s="2101">
        <f t="shared" si="377"/>
        <v>1838.4518394369252</v>
      </c>
      <c r="AD603" s="2101">
        <f t="shared" si="378"/>
        <v>0</v>
      </c>
      <c r="AE603" s="2955">
        <f>'BUS Deemed Savings Table'!DD322</f>
        <v>1838.4518394369252</v>
      </c>
      <c r="AF603" s="2956"/>
      <c r="AG603" s="2956"/>
      <c r="AH603" s="2956"/>
      <c r="AI603" s="2244" t="str">
        <f>'BUS Deemed Savings Table'!L322</f>
        <v>per Hp</v>
      </c>
      <c r="AM603" s="2057">
        <f t="shared" si="427"/>
        <v>9.1068400000000004E-4</v>
      </c>
      <c r="AN603">
        <f t="shared" ref="AN603:AN612" si="434">AM603*I603</f>
        <v>1.1744545137600002</v>
      </c>
      <c r="AO603" s="2048">
        <f t="shared" si="429"/>
        <v>-4.862399998195599E-7</v>
      </c>
    </row>
    <row r="604" spans="2:41" x14ac:dyDescent="0.25">
      <c r="B604" s="2240" t="str">
        <f>'BUS Deemed Savings Table'!C323</f>
        <v>803150_2020_07_</v>
      </c>
      <c r="C604" s="208" t="str">
        <f>'BUS Deemed Savings Table'!G323</f>
        <v>HVAC BUS</v>
      </c>
      <c r="D604" s="208"/>
      <c r="E604" s="208"/>
      <c r="F604" s="208"/>
      <c r="G604" s="131" t="str">
        <f>'BUS Deemed Savings Table'!E323</f>
        <v>VFD on Hot Water Pump &gt;= 1HP</v>
      </c>
      <c r="H604" s="622" t="str">
        <f>'BUS Deemed Savings Table'!D323</f>
        <v>C&amp;I</v>
      </c>
      <c r="I604" s="2084">
        <f>'BUS Deemed Savings Table'!F323</f>
        <v>1696.57</v>
      </c>
      <c r="J604" s="2084"/>
      <c r="K604" s="2113"/>
      <c r="L604" s="2113"/>
      <c r="M604" s="2113"/>
      <c r="N604" s="2113"/>
      <c r="O604" s="2085">
        <f>'BUS Deemed Savings Table'!I323</f>
        <v>0.75324800000000003</v>
      </c>
      <c r="P604" s="2085"/>
      <c r="Q604" s="2086"/>
      <c r="R604" s="2086"/>
      <c r="S604" s="2086"/>
      <c r="T604" s="2086"/>
      <c r="U604" s="2100">
        <f t="shared" ref="U604:U640" si="435">IF(V604+W604&gt;0,0,IF(Z604&gt;0,O604,0))</f>
        <v>0</v>
      </c>
      <c r="V604" s="2100">
        <f t="shared" ref="V604:V640" si="436">IF(W604&gt;0,0,IF(Z604&gt;9,O604,0))</f>
        <v>0</v>
      </c>
      <c r="W604" s="2100">
        <f t="shared" ref="W604:W640" si="437">IF(Z604&gt;14,O604,0)</f>
        <v>0.75324800000000003</v>
      </c>
      <c r="X604" s="2121">
        <f>'BUS Deemed Savings Table'!J323</f>
        <v>15</v>
      </c>
      <c r="Y604" s="2121"/>
      <c r="Z604" s="88">
        <f t="shared" si="433"/>
        <v>15</v>
      </c>
      <c r="AA604" s="637">
        <f>'BUS Deemed Savings Table'!DB323</f>
        <v>9.0833950189584112</v>
      </c>
      <c r="AB604" s="2917">
        <f>'BUS Deemed Savings Table'!K323</f>
        <v>179</v>
      </c>
      <c r="AC604" s="2101">
        <f t="shared" si="377"/>
        <v>1534.6179409094434</v>
      </c>
      <c r="AD604" s="2101">
        <f t="shared" si="378"/>
        <v>0</v>
      </c>
      <c r="AE604" s="2955">
        <f>'BUS Deemed Savings Table'!DD323</f>
        <v>1534.6179409094434</v>
      </c>
      <c r="AF604" s="2956"/>
      <c r="AG604" s="2956"/>
      <c r="AH604" s="2956"/>
      <c r="AI604" s="2244" t="str">
        <f>'BUS Deemed Savings Table'!L323</f>
        <v>per Hp</v>
      </c>
      <c r="AM604" s="2057">
        <f t="shared" si="427"/>
        <v>4.4398300000000001E-4</v>
      </c>
      <c r="AN604">
        <f t="shared" si="434"/>
        <v>0.75324823830999998</v>
      </c>
      <c r="AO604" s="2048">
        <f t="shared" si="429"/>
        <v>2.3830999995588797E-7</v>
      </c>
    </row>
    <row r="605" spans="2:41" x14ac:dyDescent="0.25">
      <c r="B605" s="653" t="str">
        <f>'BUS Deemed Savings Table'!C324</f>
        <v>803155_2020_07_</v>
      </c>
      <c r="C605" s="131" t="str">
        <f>'BUS Deemed Savings Table'!G324</f>
        <v>Cooling BUS</v>
      </c>
      <c r="D605" s="131"/>
      <c r="E605" s="131"/>
      <c r="F605" s="131"/>
      <c r="G605" s="131" t="str">
        <f>'BUS Deemed Savings Table'!E324</f>
        <v>VFD on Condenser Water Pump &gt;= 1HP</v>
      </c>
      <c r="H605" s="2138" t="str">
        <f>'BUS Deemed Savings Table'!D324</f>
        <v>C&amp;I</v>
      </c>
      <c r="I605" s="2091">
        <f>'BUS Deemed Savings Table'!F324</f>
        <v>1289.6400000000001</v>
      </c>
      <c r="J605" s="2091"/>
      <c r="K605" s="1183"/>
      <c r="L605" s="1183"/>
      <c r="M605" s="1183"/>
      <c r="N605" s="1183"/>
      <c r="O605" s="2092">
        <f>'BUS Deemed Savings Table'!I324</f>
        <v>1.174455</v>
      </c>
      <c r="P605" s="2092"/>
      <c r="Q605" s="2165"/>
      <c r="R605" s="2165"/>
      <c r="S605" s="2165"/>
      <c r="T605" s="2165"/>
      <c r="U605" s="2273">
        <f t="shared" ref="U605" si="438">IF(V605+W605&gt;0,0,IF(Z605&gt;0,O605,0))</f>
        <v>0</v>
      </c>
      <c r="V605" s="2273">
        <f t="shared" ref="V605" si="439">IF(W605&gt;0,0,IF(Z605&gt;9,O605,0))</f>
        <v>0</v>
      </c>
      <c r="W605" s="2273">
        <f t="shared" ref="W605" si="440">IF(Z605&gt;14,O605,0)</f>
        <v>1.174455</v>
      </c>
      <c r="X605" s="88">
        <f>'BUS Deemed Savings Table'!J324</f>
        <v>15</v>
      </c>
      <c r="Y605" s="88"/>
      <c r="Z605" s="88">
        <f t="shared" ref="Z605" si="441">Y605+X605</f>
        <v>15</v>
      </c>
      <c r="AA605" s="84">
        <f>'BUS Deemed Savings Table'!DB324</f>
        <v>10.881786166946494</v>
      </c>
      <c r="AB605" s="2919">
        <f>'BUS Deemed Savings Table'!K324</f>
        <v>179</v>
      </c>
      <c r="AC605" s="2274">
        <f t="shared" ref="AC605" si="442">AE605+AF605</f>
        <v>1838.4518394369252</v>
      </c>
      <c r="AD605" s="2274">
        <f t="shared" ref="AD605" si="443">AG605+AH605</f>
        <v>0</v>
      </c>
      <c r="AE605" s="2957">
        <f>'BUS Deemed Savings Table'!DD324</f>
        <v>1838.4518394369252</v>
      </c>
      <c r="AF605" s="2334"/>
      <c r="AG605" s="2334"/>
      <c r="AH605" s="2334"/>
      <c r="AI605" s="2276" t="str">
        <f>'BUS Deemed Savings Table'!L324</f>
        <v>per Hp</v>
      </c>
      <c r="AM605" s="2057">
        <f t="shared" ref="AM605" si="444">VLOOKUP(C605,$AS$10:$AT$47,2,FALSE)</f>
        <v>9.1068400000000004E-4</v>
      </c>
      <c r="AN605">
        <f t="shared" ref="AN605" si="445">AM605*I605</f>
        <v>1.1744545137600002</v>
      </c>
      <c r="AO605" s="2048">
        <f t="shared" ref="AO605" si="446">AN605-O605</f>
        <v>-4.862399998195599E-7</v>
      </c>
    </row>
    <row r="606" spans="2:41" x14ac:dyDescent="0.25">
      <c r="B606" s="653" t="str">
        <f>'BUS Deemed Savings Table'!C325</f>
        <v>803160_2020_07_</v>
      </c>
      <c r="C606" s="131" t="str">
        <f>'BUS Deemed Savings Table'!G325</f>
        <v>HVAC BUS</v>
      </c>
      <c r="D606" s="131"/>
      <c r="E606" s="131"/>
      <c r="F606" s="131"/>
      <c r="G606" s="131" t="str">
        <f>'BUS Deemed Savings Table'!E325</f>
        <v>VFD on Cooling Tower Fan &gt;= 1HP</v>
      </c>
      <c r="H606" s="2138" t="str">
        <f>'BUS Deemed Savings Table'!D325</f>
        <v>C&amp;I</v>
      </c>
      <c r="I606" s="2091">
        <f>'BUS Deemed Savings Table'!F325</f>
        <v>479.48</v>
      </c>
      <c r="J606" s="2091"/>
      <c r="K606" s="1183"/>
      <c r="L606" s="1183"/>
      <c r="M606" s="1183"/>
      <c r="N606" s="1183"/>
      <c r="O606" s="2092">
        <f>'BUS Deemed Savings Table'!I325</f>
        <v>0.21288099999999999</v>
      </c>
      <c r="P606" s="2092"/>
      <c r="Q606" s="2165"/>
      <c r="R606" s="2165"/>
      <c r="S606" s="2165"/>
      <c r="T606" s="2165"/>
      <c r="U606" s="2273">
        <f t="shared" ref="U606" si="447">IF(V606+W606&gt;0,0,IF(Z606&gt;0,O606,0))</f>
        <v>0</v>
      </c>
      <c r="V606" s="2273">
        <f t="shared" ref="V606" si="448">IF(W606&gt;0,0,IF(Z606&gt;9,O606,0))</f>
        <v>0</v>
      </c>
      <c r="W606" s="2273">
        <f t="shared" ref="W606" si="449">IF(Z606&gt;14,O606,0)</f>
        <v>0.21288099999999999</v>
      </c>
      <c r="X606" s="88">
        <f>'BUS Deemed Savings Table'!J325</f>
        <v>15</v>
      </c>
      <c r="Y606" s="88"/>
      <c r="Z606" s="88">
        <f t="shared" ref="Z606" si="450">Y606+X606</f>
        <v>15</v>
      </c>
      <c r="AA606" s="84">
        <f>'BUS Deemed Savings Table'!DB325</f>
        <v>2.5671244002252656</v>
      </c>
      <c r="AB606" s="2919">
        <f>'BUS Deemed Savings Table'!K325</f>
        <v>179</v>
      </c>
      <c r="AC606" s="2274">
        <f t="shared" ref="AC606" si="451">AE606+AF606</f>
        <v>433.70954944815713</v>
      </c>
      <c r="AD606" s="2274">
        <f t="shared" ref="AD606" si="452">AG606+AH606</f>
        <v>0</v>
      </c>
      <c r="AE606" s="2957">
        <f>'BUS Deemed Savings Table'!DD325</f>
        <v>433.70954944815713</v>
      </c>
      <c r="AF606" s="2334"/>
      <c r="AG606" s="2334"/>
      <c r="AH606" s="2334"/>
      <c r="AI606" s="2276" t="str">
        <f>'BUS Deemed Savings Table'!L325</f>
        <v>per Hp</v>
      </c>
      <c r="AM606" s="2057">
        <f t="shared" ref="AM606" si="453">VLOOKUP(C606,$AS$10:$AT$47,2,FALSE)</f>
        <v>4.4398300000000001E-4</v>
      </c>
      <c r="AN606">
        <f t="shared" ref="AN606" si="454">AM606*I606</f>
        <v>0.21288096884000002</v>
      </c>
      <c r="AO606" s="2048">
        <f t="shared" ref="AO606" si="455">AN606-O606</f>
        <v>-3.1159999969165852E-8</v>
      </c>
    </row>
    <row r="607" spans="2:41" x14ac:dyDescent="0.25">
      <c r="B607" s="2240" t="str">
        <f>'BUS Deemed Savings Table'!C342</f>
        <v>803200_2020_07_</v>
      </c>
      <c r="C607" s="208" t="str">
        <f>'BUS Deemed Savings Table'!G342</f>
        <v>HVAC BUS</v>
      </c>
      <c r="D607" s="208"/>
      <c r="E607" s="208"/>
      <c r="F607" s="208"/>
      <c r="G607" s="131" t="str">
        <f>'BUS Deemed Savings Table'!E342</f>
        <v xml:space="preserve"> VFD on HVAC Fans &gt;= 1HP </v>
      </c>
      <c r="H607" s="622" t="str">
        <f>'BUS Deemed Savings Table'!D342</f>
        <v>C&amp;I</v>
      </c>
      <c r="I607" s="2084">
        <f>'BUS Deemed Savings Table'!F342</f>
        <v>939.75</v>
      </c>
      <c r="J607" s="2084"/>
      <c r="K607" s="2113"/>
      <c r="L607" s="2113"/>
      <c r="M607" s="2113"/>
      <c r="N607" s="2113"/>
      <c r="O607" s="2085">
        <f>'BUS Deemed Savings Table'!I342</f>
        <v>0.41723300000000002</v>
      </c>
      <c r="P607" s="2085"/>
      <c r="Q607" s="2086"/>
      <c r="R607" s="2086"/>
      <c r="S607" s="2086"/>
      <c r="T607" s="2086"/>
      <c r="U607" s="2100">
        <f t="shared" si="435"/>
        <v>0</v>
      </c>
      <c r="V607" s="2100">
        <f t="shared" si="436"/>
        <v>0</v>
      </c>
      <c r="W607" s="2100">
        <f t="shared" si="437"/>
        <v>0.41723300000000002</v>
      </c>
      <c r="X607" s="2121">
        <f>'BUS Deemed Savings Table'!J342</f>
        <v>15</v>
      </c>
      <c r="Y607" s="2121"/>
      <c r="Z607" s="88">
        <f t="shared" si="433"/>
        <v>15</v>
      </c>
      <c r="AA607" s="637">
        <f>'BUS Deemed Savings Table'!DB342</f>
        <v>0</v>
      </c>
      <c r="AB607" s="2917">
        <f>'BUS Deemed Savings Table'!K342</f>
        <v>168</v>
      </c>
      <c r="AC607" s="2101">
        <f t="shared" si="377"/>
        <v>0</v>
      </c>
      <c r="AD607" s="2101">
        <f t="shared" si="378"/>
        <v>0</v>
      </c>
      <c r="AE607" s="2955">
        <f>'BUS Deemed Savings Table'!DD342</f>
        <v>0</v>
      </c>
      <c r="AF607" s="2956"/>
      <c r="AG607" s="2956"/>
      <c r="AH607" s="2956"/>
      <c r="AI607" s="2244" t="str">
        <f>'BUS Deemed Savings Table'!L342</f>
        <v>per Hp</v>
      </c>
      <c r="AM607" s="2057">
        <f t="shared" si="427"/>
        <v>4.4398300000000001E-4</v>
      </c>
      <c r="AN607">
        <f t="shared" si="434"/>
        <v>0.41723302425000003</v>
      </c>
      <c r="AO607" s="2048">
        <f t="shared" si="429"/>
        <v>2.4250000008052552E-8</v>
      </c>
    </row>
    <row r="608" spans="2:41" x14ac:dyDescent="0.25">
      <c r="B608" s="2240" t="str">
        <f>'BUS Deemed Savings Table'!C372</f>
        <v>803250_2020_07_</v>
      </c>
      <c r="C608" s="208" t="str">
        <f>'BUS Deemed Savings Table'!G372</f>
        <v>Cooling BUS</v>
      </c>
      <c r="D608" s="208"/>
      <c r="E608" s="208"/>
      <c r="F608" s="208"/>
      <c r="G608" s="208" t="str">
        <f>'BUS Deemed Savings Table'!E372</f>
        <v>Single Packag or Split Sytem Unitary AC_DX 135 - 240kbtu</v>
      </c>
      <c r="H608" s="622" t="str">
        <f>'BUS Deemed Savings Table'!D372</f>
        <v>C&amp;I</v>
      </c>
      <c r="I608" s="2091">
        <f t="shared" ref="I608:I613" si="456">K608+L608</f>
        <v>153.77000000000001</v>
      </c>
      <c r="J608" s="2091">
        <f t="shared" ref="J608:J613" si="457">S608+T608</f>
        <v>0</v>
      </c>
      <c r="K608" s="2113">
        <f>'BUS Deemed Savings Table'!F372</f>
        <v>153.77000000000001</v>
      </c>
      <c r="L608" s="2113"/>
      <c r="M608" s="2113"/>
      <c r="N608" s="2113"/>
      <c r="O608" s="2092">
        <f t="shared" ref="O608:O613" si="458">Q608+R608</f>
        <v>0.14003599999999999</v>
      </c>
      <c r="P608" s="2092">
        <f t="shared" ref="P608:P613" si="459">S608+T608</f>
        <v>0</v>
      </c>
      <c r="Q608" s="2085">
        <f>'BUS Deemed Savings Table'!I372</f>
        <v>0.14003599999999999</v>
      </c>
      <c r="R608" s="2086">
        <v>0</v>
      </c>
      <c r="S608" s="2086"/>
      <c r="T608" s="2086"/>
      <c r="U608" s="2100">
        <f t="shared" si="435"/>
        <v>0</v>
      </c>
      <c r="V608" s="2100">
        <f t="shared" si="436"/>
        <v>0</v>
      </c>
      <c r="W608" s="2100">
        <f t="shared" si="437"/>
        <v>0.14003599999999999</v>
      </c>
      <c r="X608" s="2121">
        <f>'BUS Deemed Savings Table'!J372</f>
        <v>15</v>
      </c>
      <c r="Y608" s="2121"/>
      <c r="Z608" s="88">
        <f t="shared" si="433"/>
        <v>15</v>
      </c>
      <c r="AA608" s="637">
        <f>'BUS Deemed Savings Table'!DB372</f>
        <v>2.3225032903876577</v>
      </c>
      <c r="AB608" s="2917">
        <f>'BUS Deemed Savings Table'!K372</f>
        <v>100</v>
      </c>
      <c r="AC608" s="2101">
        <f t="shared" si="377"/>
        <v>219.20748375532395</v>
      </c>
      <c r="AD608" s="2101">
        <f t="shared" si="378"/>
        <v>0</v>
      </c>
      <c r="AE608" s="2955">
        <f>'BUS Deemed Savings Table'!DD372</f>
        <v>219.20748375532395</v>
      </c>
      <c r="AF608" s="2956"/>
      <c r="AG608" s="2956"/>
      <c r="AH608" s="2956"/>
      <c r="AI608" s="2244" t="str">
        <f>'BUS Deemed Savings Table'!L372</f>
        <v>per ton</v>
      </c>
      <c r="AM608" s="2057">
        <f t="shared" ref="AM608:AM639" si="460">VLOOKUP(C608,$AS$10:$AT$47,2,FALSE)</f>
        <v>9.1068400000000004E-4</v>
      </c>
      <c r="AN608">
        <f t="shared" si="434"/>
        <v>0.14003587868</v>
      </c>
      <c r="AO608" s="2048">
        <f t="shared" ref="AO608:AO639" si="461">AN608-O608</f>
        <v>-1.2131999999054344E-7</v>
      </c>
    </row>
    <row r="609" spans="2:41" x14ac:dyDescent="0.25">
      <c r="B609" s="2240" t="str">
        <f>'BUS Deemed Savings Table'!C373</f>
        <v>803300_2020_07_</v>
      </c>
      <c r="C609" s="208" t="str">
        <f>'BUS Deemed Savings Table'!G373</f>
        <v>Cooling BUS</v>
      </c>
      <c r="D609" s="208"/>
      <c r="E609" s="208"/>
      <c r="F609" s="208"/>
      <c r="G609" s="208" t="str">
        <f>'BUS Deemed Savings Table'!E373</f>
        <v>Single Packag or Split Sytem Unitary AC_DX 240 - 760kbtu</v>
      </c>
      <c r="H609" s="622" t="str">
        <f>'BUS Deemed Savings Table'!D373</f>
        <v>C&amp;I</v>
      </c>
      <c r="I609" s="2091">
        <f t="shared" si="456"/>
        <v>167.94</v>
      </c>
      <c r="J609" s="2091">
        <f t="shared" si="457"/>
        <v>0</v>
      </c>
      <c r="K609" s="2113">
        <f>'BUS Deemed Savings Table'!F373</f>
        <v>167.94</v>
      </c>
      <c r="L609" s="2113"/>
      <c r="M609" s="2113"/>
      <c r="N609" s="2113"/>
      <c r="O609" s="2092">
        <f t="shared" si="458"/>
        <v>0.15293999999999999</v>
      </c>
      <c r="P609" s="2092">
        <f t="shared" si="459"/>
        <v>0</v>
      </c>
      <c r="Q609" s="2085">
        <f>'BUS Deemed Savings Table'!I373</f>
        <v>0.15293999999999999</v>
      </c>
      <c r="R609" s="2086">
        <v>0</v>
      </c>
      <c r="S609" s="2086"/>
      <c r="T609" s="2086"/>
      <c r="U609" s="2100">
        <f t="shared" si="435"/>
        <v>0</v>
      </c>
      <c r="V609" s="2100">
        <f t="shared" si="436"/>
        <v>0</v>
      </c>
      <c r="W609" s="2100">
        <f t="shared" si="437"/>
        <v>0.15293999999999999</v>
      </c>
      <c r="X609" s="2121">
        <f>'BUS Deemed Savings Table'!J373</f>
        <v>15</v>
      </c>
      <c r="Y609" s="2121"/>
      <c r="Z609" s="88">
        <f t="shared" si="433"/>
        <v>15</v>
      </c>
      <c r="AA609" s="637">
        <f>'BUS Deemed Savings Table'!DB373</f>
        <v>2.5365233959010416</v>
      </c>
      <c r="AB609" s="2917">
        <f>'BUS Deemed Savings Table'!K373</f>
        <v>100</v>
      </c>
      <c r="AC609" s="2101">
        <f t="shared" si="377"/>
        <v>239.4075880982578</v>
      </c>
      <c r="AD609" s="2101">
        <f t="shared" si="378"/>
        <v>0</v>
      </c>
      <c r="AE609" s="2955">
        <f>'BUS Deemed Savings Table'!DD373</f>
        <v>239.4075880982578</v>
      </c>
      <c r="AF609" s="2956"/>
      <c r="AG609" s="2956"/>
      <c r="AH609" s="2956"/>
      <c r="AI609" s="2244" t="str">
        <f>'BUS Deemed Savings Table'!L373</f>
        <v>per ton</v>
      </c>
      <c r="AM609" s="2057">
        <f t="shared" si="460"/>
        <v>9.1068400000000004E-4</v>
      </c>
      <c r="AN609">
        <f t="shared" si="434"/>
        <v>0.15294027096000001</v>
      </c>
      <c r="AO609" s="2048">
        <f t="shared" si="461"/>
        <v>2.709600000205814E-7</v>
      </c>
    </row>
    <row r="610" spans="2:41" x14ac:dyDescent="0.25">
      <c r="B610" s="2240" t="str">
        <f>'BUS Deemed Savings Table'!C374</f>
        <v>803350_2020_07_</v>
      </c>
      <c r="C610" s="208" t="str">
        <f>'BUS Deemed Savings Table'!G374</f>
        <v>Cooling BUS</v>
      </c>
      <c r="D610" s="208"/>
      <c r="E610" s="208"/>
      <c r="F610" s="208"/>
      <c r="G610" s="208" t="str">
        <f>'BUS Deemed Savings Table'!E374</f>
        <v>Single Packag or Split Sytem Unitary AC_DX 65 -135kbtu</v>
      </c>
      <c r="H610" s="622" t="str">
        <f>'BUS Deemed Savings Table'!D374</f>
        <v>C&amp;I</v>
      </c>
      <c r="I610" s="2091">
        <f t="shared" si="456"/>
        <v>148.68</v>
      </c>
      <c r="J610" s="2091">
        <f t="shared" si="457"/>
        <v>0</v>
      </c>
      <c r="K610" s="2113">
        <f>'BUS Deemed Savings Table'!F374</f>
        <v>148.68</v>
      </c>
      <c r="L610" s="2113"/>
      <c r="M610" s="2113"/>
      <c r="N610" s="2113"/>
      <c r="O610" s="2092">
        <f t="shared" si="458"/>
        <v>0.13539999999999999</v>
      </c>
      <c r="P610" s="2092">
        <f t="shared" si="459"/>
        <v>0</v>
      </c>
      <c r="Q610" s="2085">
        <f>'BUS Deemed Savings Table'!I374</f>
        <v>0.13539999999999999</v>
      </c>
      <c r="R610" s="2086">
        <v>0</v>
      </c>
      <c r="S610" s="2086"/>
      <c r="T610" s="2086"/>
      <c r="U610" s="2100">
        <f t="shared" si="435"/>
        <v>0</v>
      </c>
      <c r="V610" s="2100">
        <f t="shared" si="436"/>
        <v>0</v>
      </c>
      <c r="W610" s="2100">
        <f t="shared" si="437"/>
        <v>0.13539999999999999</v>
      </c>
      <c r="X610" s="2121">
        <f>'BUS Deemed Savings Table'!J374</f>
        <v>15</v>
      </c>
      <c r="Y610" s="2121"/>
      <c r="Z610" s="88">
        <f t="shared" si="433"/>
        <v>15</v>
      </c>
      <c r="AA610" s="637">
        <f>'BUS Deemed Savings Table'!DB374</f>
        <v>2.2456252143775566</v>
      </c>
      <c r="AB610" s="2917">
        <f>'BUS Deemed Savings Table'!K374</f>
        <v>100</v>
      </c>
      <c r="AC610" s="2101">
        <f t="shared" si="377"/>
        <v>211.95141239995814</v>
      </c>
      <c r="AD610" s="2101">
        <f t="shared" si="378"/>
        <v>0</v>
      </c>
      <c r="AE610" s="2955">
        <f>'BUS Deemed Savings Table'!DD374</f>
        <v>211.95141239995814</v>
      </c>
      <c r="AF610" s="2956"/>
      <c r="AG610" s="2956"/>
      <c r="AH610" s="2956"/>
      <c r="AI610" s="2244" t="str">
        <f>'BUS Deemed Savings Table'!L374</f>
        <v>per ton</v>
      </c>
      <c r="AM610" s="2057">
        <f t="shared" si="460"/>
        <v>9.1068400000000004E-4</v>
      </c>
      <c r="AN610">
        <f t="shared" si="434"/>
        <v>0.13540049712000002</v>
      </c>
      <c r="AO610" s="2048">
        <f t="shared" si="461"/>
        <v>4.9712000002588574E-7</v>
      </c>
    </row>
    <row r="611" spans="2:41" x14ac:dyDescent="0.25">
      <c r="B611" s="2240" t="str">
        <f>'BUS Deemed Savings Table'!C375</f>
        <v>803400_2020_07_</v>
      </c>
      <c r="C611" s="208" t="str">
        <f>'BUS Deemed Savings Table'!G375</f>
        <v>Cooling BUS</v>
      </c>
      <c r="D611" s="208"/>
      <c r="E611" s="208"/>
      <c r="F611" s="208"/>
      <c r="G611" s="208" t="str">
        <f>'BUS Deemed Savings Table'!E375</f>
        <v>Single Packag or Split Sytem Unitary AC_DX &gt;760kbtu</v>
      </c>
      <c r="H611" s="622" t="str">
        <f>'BUS Deemed Savings Table'!D375</f>
        <v>C&amp;I</v>
      </c>
      <c r="I611" s="2091">
        <f t="shared" si="456"/>
        <v>167.52</v>
      </c>
      <c r="J611" s="2091">
        <f t="shared" si="457"/>
        <v>0</v>
      </c>
      <c r="K611" s="2113">
        <f>'BUS Deemed Savings Table'!F375</f>
        <v>167.52</v>
      </c>
      <c r="L611" s="2113"/>
      <c r="M611" s="2113"/>
      <c r="N611" s="2113"/>
      <c r="O611" s="2092">
        <f t="shared" si="458"/>
        <v>0.152558</v>
      </c>
      <c r="P611" s="2092">
        <f t="shared" si="459"/>
        <v>0</v>
      </c>
      <c r="Q611" s="2085">
        <f>'BUS Deemed Savings Table'!I375</f>
        <v>0.152558</v>
      </c>
      <c r="R611" s="2086">
        <v>0</v>
      </c>
      <c r="S611" s="2086"/>
      <c r="T611" s="2086"/>
      <c r="U611" s="2100">
        <f t="shared" si="435"/>
        <v>0</v>
      </c>
      <c r="V611" s="2100">
        <f t="shared" si="436"/>
        <v>0</v>
      </c>
      <c r="W611" s="2100">
        <f t="shared" si="437"/>
        <v>0.152558</v>
      </c>
      <c r="X611" s="2121">
        <f>'BUS Deemed Savings Table'!J375</f>
        <v>15</v>
      </c>
      <c r="Y611" s="2121"/>
      <c r="Z611" s="88">
        <f t="shared" si="433"/>
        <v>15</v>
      </c>
      <c r="AA611" s="637">
        <f>'BUS Deemed Savings Table'!DB375</f>
        <v>2.5301798218491278</v>
      </c>
      <c r="AB611" s="2917">
        <f>'BUS Deemed Savings Table'!K375</f>
        <v>100</v>
      </c>
      <c r="AC611" s="2101">
        <f t="shared" si="377"/>
        <v>238.8088552948681</v>
      </c>
      <c r="AD611" s="2101">
        <f t="shared" si="378"/>
        <v>0</v>
      </c>
      <c r="AE611" s="2955">
        <f>'BUS Deemed Savings Table'!DD375</f>
        <v>238.8088552948681</v>
      </c>
      <c r="AF611" s="2956"/>
      <c r="AG611" s="2956"/>
      <c r="AH611" s="2956"/>
      <c r="AI611" s="2244" t="str">
        <f>'BUS Deemed Savings Table'!L375</f>
        <v>per ton</v>
      </c>
      <c r="AM611" s="2057">
        <f t="shared" si="460"/>
        <v>9.1068400000000004E-4</v>
      </c>
      <c r="AN611">
        <f t="shared" si="434"/>
        <v>0.15255778368</v>
      </c>
      <c r="AO611" s="2048">
        <f t="shared" si="461"/>
        <v>-2.1631999999605078E-7</v>
      </c>
    </row>
    <row r="612" spans="2:41" x14ac:dyDescent="0.25">
      <c r="B612" s="2240" t="str">
        <f>'BUS Deemed Savings Table'!C376</f>
        <v>803450_2020_07_</v>
      </c>
      <c r="C612" s="208" t="str">
        <f>'BUS Deemed Savings Table'!G376</f>
        <v>Cooling BUS</v>
      </c>
      <c r="D612" s="208"/>
      <c r="E612" s="208"/>
      <c r="F612" s="208"/>
      <c r="G612" s="208" t="str">
        <f>'BUS Deemed Savings Table'!E376</f>
        <v>Single Packag or Split Sytem Unitary AC_DX &lt;65kbtu</v>
      </c>
      <c r="H612" s="622" t="str">
        <f>'BUS Deemed Savings Table'!D376</f>
        <v>C&amp;I</v>
      </c>
      <c r="I612" s="2091">
        <f t="shared" si="456"/>
        <v>129.6</v>
      </c>
      <c r="J612" s="2091">
        <f t="shared" si="457"/>
        <v>0</v>
      </c>
      <c r="K612" s="2113">
        <f>'BUS Deemed Savings Table'!F376</f>
        <v>129.6</v>
      </c>
      <c r="L612" s="2113"/>
      <c r="M612" s="2113"/>
      <c r="N612" s="2113"/>
      <c r="O612" s="2092">
        <f t="shared" si="458"/>
        <v>0.118025</v>
      </c>
      <c r="P612" s="2092">
        <f t="shared" si="459"/>
        <v>0</v>
      </c>
      <c r="Q612" s="2085">
        <f>'BUS Deemed Savings Table'!I376</f>
        <v>0.118025</v>
      </c>
      <c r="R612" s="2086">
        <v>0</v>
      </c>
      <c r="S612" s="2086"/>
      <c r="T612" s="2086"/>
      <c r="U612" s="2100">
        <f t="shared" si="435"/>
        <v>0</v>
      </c>
      <c r="V612" s="2100">
        <f t="shared" si="436"/>
        <v>0</v>
      </c>
      <c r="W612" s="2100">
        <f t="shared" si="437"/>
        <v>0.118025</v>
      </c>
      <c r="X612" s="2121">
        <f>'BUS Deemed Savings Table'!J376</f>
        <v>15</v>
      </c>
      <c r="Y612" s="2121"/>
      <c r="Z612" s="88">
        <f t="shared" si="433"/>
        <v>15</v>
      </c>
      <c r="AA612" s="637">
        <f>'BUS Deemed Savings Table'!DB376</f>
        <v>1.9574457074477492</v>
      </c>
      <c r="AB612" s="2917">
        <f>'BUS Deemed Savings Table'!K376</f>
        <v>100</v>
      </c>
      <c r="AC612" s="2101">
        <f t="shared" si="377"/>
        <v>184.75183647453977</v>
      </c>
      <c r="AD612" s="2101">
        <f t="shared" si="378"/>
        <v>0</v>
      </c>
      <c r="AE612" s="2955">
        <f>'BUS Deemed Savings Table'!DD376</f>
        <v>184.75183647453977</v>
      </c>
      <c r="AF612" s="2956"/>
      <c r="AG612" s="2956"/>
      <c r="AH612" s="2956"/>
      <c r="AI612" s="2244" t="str">
        <f>'BUS Deemed Savings Table'!L376</f>
        <v>per ton</v>
      </c>
      <c r="AM612" s="2057">
        <f t="shared" si="460"/>
        <v>9.1068400000000004E-4</v>
      </c>
      <c r="AN612">
        <f t="shared" si="434"/>
        <v>0.1180246464</v>
      </c>
      <c r="AO612" s="2048">
        <f t="shared" si="461"/>
        <v>-3.5360000000261849E-7</v>
      </c>
    </row>
    <row r="613" spans="2:41" x14ac:dyDescent="0.25">
      <c r="B613" s="2240" t="str">
        <f>'BUS Deemed Savings Table'!C394</f>
        <v>803500_2019_12_</v>
      </c>
      <c r="C613" s="208" t="str">
        <f>'BUS Deemed Savings Table'!I394</f>
        <v>Cooling BUS</v>
      </c>
      <c r="D613" s="208" t="str">
        <f>'BUS Deemed Savings Table'!J394</f>
        <v>Heating BUS</v>
      </c>
      <c r="E613" s="208"/>
      <c r="F613" s="208"/>
      <c r="G613" s="208" t="str">
        <f>'BUS Deemed Savings Table'!E394</f>
        <v>GSHP &lt;135kbtu; ≥17EER</v>
      </c>
      <c r="H613" s="622" t="str">
        <f>'BUS Deemed Savings Table'!D394</f>
        <v>C&amp;I</v>
      </c>
      <c r="I613" s="2091">
        <f t="shared" si="456"/>
        <v>64.7</v>
      </c>
      <c r="J613" s="2091">
        <f t="shared" si="457"/>
        <v>0</v>
      </c>
      <c r="K613" s="2113">
        <f>'BUS Deemed Savings Table'!F394</f>
        <v>36.71</v>
      </c>
      <c r="L613" s="2113">
        <f>'BUS Deemed Savings Table'!G394</f>
        <v>27.99</v>
      </c>
      <c r="M613" s="2113"/>
      <c r="N613" s="2113"/>
      <c r="O613" s="2092">
        <f t="shared" si="458"/>
        <v>3.3431000000000002E-2</v>
      </c>
      <c r="P613" s="2092">
        <f t="shared" si="459"/>
        <v>0</v>
      </c>
      <c r="Q613" s="2086">
        <f>'BUS Deemed Savings Table'!L394</f>
        <v>3.3431000000000002E-2</v>
      </c>
      <c r="R613" s="2086">
        <v>0</v>
      </c>
      <c r="S613" s="2086"/>
      <c r="T613" s="2086"/>
      <c r="U613" s="2100">
        <f t="shared" si="435"/>
        <v>0</v>
      </c>
      <c r="V613" s="2100">
        <f t="shared" si="436"/>
        <v>0</v>
      </c>
      <c r="W613" s="2100">
        <f t="shared" si="437"/>
        <v>3.3431000000000002E-2</v>
      </c>
      <c r="X613" s="2121">
        <f>'BUS Deemed Savings Table'!M394</f>
        <v>15</v>
      </c>
      <c r="Y613" s="2121"/>
      <c r="Z613" s="88">
        <f t="shared" si="433"/>
        <v>15</v>
      </c>
      <c r="AA613" s="637">
        <f>'BUS Deemed Savings Table'!DB394</f>
        <v>0.37254962167027522</v>
      </c>
      <c r="AB613" s="2917">
        <f>'BUS Deemed Savings Table'!N394</f>
        <v>180</v>
      </c>
      <c r="AC613" s="2101">
        <f t="shared" si="377"/>
        <v>52.332098124848422</v>
      </c>
      <c r="AD613" s="2101">
        <f t="shared" si="378"/>
        <v>0</v>
      </c>
      <c r="AE613" s="2955">
        <f>'BUS Deemed Savings Table'!DD394</f>
        <v>52.332098124848422</v>
      </c>
      <c r="AF613" s="2956"/>
      <c r="AG613" s="2956"/>
      <c r="AH613" s="2956"/>
      <c r="AI613" s="2259" t="str">
        <f>'BUS Deemed Savings Table'!O394</f>
        <v>per ton</v>
      </c>
      <c r="AM613" s="2057">
        <f t="shared" si="460"/>
        <v>9.1068400000000004E-4</v>
      </c>
      <c r="AN613" s="2051">
        <f t="shared" ref="AN613:AN618" si="462">AM613*K613</f>
        <v>3.3431209640000001E-2</v>
      </c>
      <c r="AO613" s="2048">
        <f t="shared" si="461"/>
        <v>2.0963999999845662E-7</v>
      </c>
    </row>
    <row r="614" spans="2:41" x14ac:dyDescent="0.25">
      <c r="B614" s="2240" t="str">
        <f>'BUS Deemed Savings Table'!C395</f>
        <v>803550_2019_12_</v>
      </c>
      <c r="C614" s="208" t="str">
        <f>'BUS Deemed Savings Table'!I395</f>
        <v>Cooling BUS</v>
      </c>
      <c r="D614" s="208" t="str">
        <f>'BUS Deemed Savings Table'!J395</f>
        <v>Heating BUS</v>
      </c>
      <c r="E614" s="208"/>
      <c r="F614" s="208"/>
      <c r="G614" s="208" t="str">
        <f>'BUS Deemed Savings Table'!E395</f>
        <v>GSHP &lt;135kbtu; ≥19EER</v>
      </c>
      <c r="H614" s="622" t="str">
        <f>'BUS Deemed Savings Table'!D395</f>
        <v>C&amp;I</v>
      </c>
      <c r="I614" s="2091">
        <f t="shared" ref="I614:I619" si="463">K614+L614</f>
        <v>142.94</v>
      </c>
      <c r="J614" s="2091">
        <f t="shared" ref="J614:J619" si="464">S614+T614</f>
        <v>0</v>
      </c>
      <c r="K614" s="2113">
        <f>'BUS Deemed Savings Table'!F395</f>
        <v>114.95</v>
      </c>
      <c r="L614" s="2113">
        <f>'BUS Deemed Savings Table'!G395</f>
        <v>27.99</v>
      </c>
      <c r="M614" s="2113"/>
      <c r="N614" s="2113"/>
      <c r="O614" s="2092">
        <f t="shared" ref="O614:O619" si="465">Q614+R614</f>
        <v>0.104683</v>
      </c>
      <c r="P614" s="2092">
        <f t="shared" ref="P614:P619" si="466">S614+T614</f>
        <v>0</v>
      </c>
      <c r="Q614" s="2086">
        <f>'BUS Deemed Savings Table'!L395</f>
        <v>0.104683</v>
      </c>
      <c r="R614" s="2086">
        <v>0</v>
      </c>
      <c r="S614" s="2086"/>
      <c r="T614" s="2086"/>
      <c r="U614" s="2100">
        <f t="shared" si="435"/>
        <v>0</v>
      </c>
      <c r="V614" s="2100">
        <f t="shared" si="436"/>
        <v>0</v>
      </c>
      <c r="W614" s="2100">
        <f t="shared" si="437"/>
        <v>0.104683</v>
      </c>
      <c r="X614" s="2121">
        <f>'BUS Deemed Savings Table'!M395</f>
        <v>15</v>
      </c>
      <c r="Y614" s="2121"/>
      <c r="Z614" s="88">
        <f t="shared" ref="Z614:Z620" si="467">Y614+X614</f>
        <v>15</v>
      </c>
      <c r="AA614" s="637">
        <f>'BUS Deemed Savings Table'!DB395</f>
        <v>1.0290591902175654</v>
      </c>
      <c r="AB614" s="2917">
        <f>'BUS Deemed Savings Table'!N395</f>
        <v>180</v>
      </c>
      <c r="AC614" s="2101">
        <f t="shared" si="377"/>
        <v>163.8674660705891</v>
      </c>
      <c r="AD614" s="2101">
        <f t="shared" si="378"/>
        <v>0</v>
      </c>
      <c r="AE614" s="2955">
        <f>'BUS Deemed Savings Table'!DD395</f>
        <v>163.8674660705891</v>
      </c>
      <c r="AF614" s="2956"/>
      <c r="AG614" s="2956"/>
      <c r="AH614" s="2956"/>
      <c r="AI614" s="2259" t="str">
        <f>'BUS Deemed Savings Table'!O395</f>
        <v>per ton</v>
      </c>
      <c r="AM614" s="2057">
        <f t="shared" si="460"/>
        <v>9.1068400000000004E-4</v>
      </c>
      <c r="AN614" s="2051">
        <f t="shared" si="462"/>
        <v>0.10468312580000001</v>
      </c>
      <c r="AO614" s="2048">
        <f t="shared" si="461"/>
        <v>1.258000000142756E-7</v>
      </c>
    </row>
    <row r="615" spans="2:41" x14ac:dyDescent="0.25">
      <c r="B615" s="2240" t="str">
        <f>'BUS Deemed Savings Table'!C396</f>
        <v>803600_2020_07_</v>
      </c>
      <c r="C615" s="208" t="str">
        <f>'BUS Deemed Savings Table'!I396</f>
        <v>Cooling BUS</v>
      </c>
      <c r="D615" s="208" t="str">
        <f>'BUS Deemed Savings Table'!J396</f>
        <v>Heating BUS</v>
      </c>
      <c r="E615" s="208"/>
      <c r="F615" s="208"/>
      <c r="G615" s="208" t="str">
        <f>'BUS Deemed Savings Table'!E396</f>
        <v>ASHP 65 - 135kbtu</v>
      </c>
      <c r="H615" s="622" t="str">
        <f>'BUS Deemed Savings Table'!D396</f>
        <v>C&amp;I</v>
      </c>
      <c r="I615" s="2091">
        <f t="shared" si="463"/>
        <v>340.37</v>
      </c>
      <c r="J615" s="2091">
        <f t="shared" si="464"/>
        <v>0</v>
      </c>
      <c r="K615" s="2113">
        <f>'BUS Deemed Savings Table'!F396</f>
        <v>117.33</v>
      </c>
      <c r="L615" s="2113">
        <f>'BUS Deemed Savings Table'!G396</f>
        <v>223.04</v>
      </c>
      <c r="M615" s="2113"/>
      <c r="N615" s="2113"/>
      <c r="O615" s="2092">
        <f t="shared" si="465"/>
        <v>0.106851</v>
      </c>
      <c r="P615" s="2092">
        <f t="shared" si="466"/>
        <v>0</v>
      </c>
      <c r="Q615" s="2086">
        <f>'BUS Deemed Savings Table'!L396</f>
        <v>0.106851</v>
      </c>
      <c r="R615" s="2086">
        <v>0</v>
      </c>
      <c r="S615" s="2086"/>
      <c r="T615" s="2086"/>
      <c r="U615" s="2100">
        <f t="shared" si="435"/>
        <v>0</v>
      </c>
      <c r="V615" s="2100">
        <f t="shared" si="436"/>
        <v>0</v>
      </c>
      <c r="W615" s="2100">
        <f t="shared" si="437"/>
        <v>0.106851</v>
      </c>
      <c r="X615" s="2121">
        <f>'BUS Deemed Savings Table'!M396</f>
        <v>15</v>
      </c>
      <c r="Y615" s="2121"/>
      <c r="Z615" s="88">
        <f t="shared" si="467"/>
        <v>15</v>
      </c>
      <c r="AA615" s="637">
        <f>'BUS Deemed Savings Table'!DB396</f>
        <v>2.6975175104237503</v>
      </c>
      <c r="AB615" s="2917">
        <f>'BUS Deemed Savings Table'!N396</f>
        <v>100</v>
      </c>
      <c r="AC615" s="2101">
        <f t="shared" si="377"/>
        <v>167.26028528979748</v>
      </c>
      <c r="AD615" s="2101">
        <f t="shared" si="378"/>
        <v>0</v>
      </c>
      <c r="AE615" s="2955">
        <f>'BUS Deemed Savings Table'!DD396</f>
        <v>167.26028528979748</v>
      </c>
      <c r="AF615" s="2956"/>
      <c r="AG615" s="2956"/>
      <c r="AH615" s="2956"/>
      <c r="AI615" s="2259" t="str">
        <f>'BUS Deemed Savings Table'!O396</f>
        <v>per ton</v>
      </c>
      <c r="AM615" s="2057">
        <f t="shared" si="460"/>
        <v>9.1068400000000004E-4</v>
      </c>
      <c r="AN615" s="2051">
        <f t="shared" si="462"/>
        <v>0.10685055372</v>
      </c>
      <c r="AO615" s="2048">
        <f t="shared" si="461"/>
        <v>-4.4627999999657941E-7</v>
      </c>
    </row>
    <row r="616" spans="2:41" x14ac:dyDescent="0.25">
      <c r="B616" s="2240" t="str">
        <f>'BUS Deemed Savings Table'!C397</f>
        <v>803650_2020_07_</v>
      </c>
      <c r="C616" s="208" t="str">
        <f>'BUS Deemed Savings Table'!I397</f>
        <v>Cooling BUS</v>
      </c>
      <c r="D616" s="208" t="str">
        <f>'BUS Deemed Savings Table'!J397</f>
        <v>Heating BUS</v>
      </c>
      <c r="E616" s="208"/>
      <c r="F616" s="208"/>
      <c r="G616" s="208" t="str">
        <f>'BUS Deemed Savings Table'!E397</f>
        <v>ASHP 135 - 240kbtu</v>
      </c>
      <c r="H616" s="622" t="str">
        <f>'BUS Deemed Savings Table'!D397</f>
        <v>C&amp;I</v>
      </c>
      <c r="I616" s="2091">
        <f t="shared" si="463"/>
        <v>393.13</v>
      </c>
      <c r="J616" s="2091">
        <f t="shared" si="464"/>
        <v>0</v>
      </c>
      <c r="K616" s="2113">
        <f>'BUS Deemed Savings Table'!F397</f>
        <v>127.93</v>
      </c>
      <c r="L616" s="2113">
        <f>'BUS Deemed Savings Table'!G397</f>
        <v>265.2</v>
      </c>
      <c r="M616" s="2113"/>
      <c r="N616" s="2113"/>
      <c r="O616" s="2092">
        <f t="shared" si="465"/>
        <v>0.116504</v>
      </c>
      <c r="P616" s="2092">
        <f t="shared" si="466"/>
        <v>0</v>
      </c>
      <c r="Q616" s="2086">
        <f>'BUS Deemed Savings Table'!L397</f>
        <v>0.116504</v>
      </c>
      <c r="R616" s="2086">
        <v>0</v>
      </c>
      <c r="S616" s="2086"/>
      <c r="T616" s="2086"/>
      <c r="U616" s="2100">
        <f t="shared" si="435"/>
        <v>0</v>
      </c>
      <c r="V616" s="2100">
        <f t="shared" si="436"/>
        <v>0</v>
      </c>
      <c r="W616" s="2100">
        <f t="shared" si="437"/>
        <v>0.116504</v>
      </c>
      <c r="X616" s="2121">
        <f>'BUS Deemed Savings Table'!M397</f>
        <v>15</v>
      </c>
      <c r="Y616" s="2121"/>
      <c r="Z616" s="88">
        <f t="shared" si="467"/>
        <v>15</v>
      </c>
      <c r="AA616" s="637">
        <f>'BUS Deemed Savings Table'!DB397</f>
        <v>3.0325394219905535</v>
      </c>
      <c r="AB616" s="2917">
        <f>'BUS Deemed Savings Table'!N397</f>
        <v>100</v>
      </c>
      <c r="AC616" s="2101">
        <f t="shared" si="377"/>
        <v>182.3711608039188</v>
      </c>
      <c r="AD616" s="2101">
        <f t="shared" si="378"/>
        <v>0</v>
      </c>
      <c r="AE616" s="2955">
        <f>'BUS Deemed Savings Table'!DD397</f>
        <v>182.3711608039188</v>
      </c>
      <c r="AF616" s="2956"/>
      <c r="AG616" s="2956"/>
      <c r="AH616" s="2956"/>
      <c r="AI616" s="2259" t="str">
        <f>'BUS Deemed Savings Table'!O397</f>
        <v>per ton</v>
      </c>
      <c r="AM616" s="2057">
        <f t="shared" si="460"/>
        <v>9.1068400000000004E-4</v>
      </c>
      <c r="AN616" s="2051">
        <f t="shared" si="462"/>
        <v>0.11650380412000001</v>
      </c>
      <c r="AO616" s="2048">
        <f t="shared" si="461"/>
        <v>-1.9587999998404992E-7</v>
      </c>
    </row>
    <row r="617" spans="2:41" x14ac:dyDescent="0.25">
      <c r="B617" s="2240" t="str">
        <f>'BUS Deemed Savings Table'!C398</f>
        <v>803700_2020_07_</v>
      </c>
      <c r="C617" s="208" t="str">
        <f>'BUS Deemed Savings Table'!I398</f>
        <v>Cooling BUS</v>
      </c>
      <c r="D617" s="208" t="str">
        <f>'BUS Deemed Savings Table'!J398</f>
        <v>Heating BUS</v>
      </c>
      <c r="E617" s="208"/>
      <c r="F617" s="208"/>
      <c r="G617" s="208" t="str">
        <f>'BUS Deemed Savings Table'!E398</f>
        <v>ASHP &gt;240kbtu</v>
      </c>
      <c r="H617" s="622" t="str">
        <f>'BUS Deemed Savings Table'!D398</f>
        <v>C&amp;I</v>
      </c>
      <c r="I617" s="2091">
        <f t="shared" si="463"/>
        <v>411.45</v>
      </c>
      <c r="J617" s="2091">
        <f t="shared" si="464"/>
        <v>0</v>
      </c>
      <c r="K617" s="2113">
        <f>'BUS Deemed Savings Table'!F398</f>
        <v>146.25</v>
      </c>
      <c r="L617" s="2113">
        <f>'BUS Deemed Savings Table'!G398</f>
        <v>265.2</v>
      </c>
      <c r="M617" s="2113"/>
      <c r="N617" s="2113"/>
      <c r="O617" s="2092">
        <f t="shared" si="465"/>
        <v>0.133188</v>
      </c>
      <c r="P617" s="2092">
        <f t="shared" si="466"/>
        <v>0</v>
      </c>
      <c r="Q617" s="2086">
        <f>'BUS Deemed Savings Table'!L398</f>
        <v>0.133188</v>
      </c>
      <c r="R617" s="2086">
        <v>0</v>
      </c>
      <c r="S617" s="2086"/>
      <c r="T617" s="2086"/>
      <c r="U617" s="2100">
        <f t="shared" si="435"/>
        <v>0</v>
      </c>
      <c r="V617" s="2100">
        <f t="shared" si="436"/>
        <v>0</v>
      </c>
      <c r="W617" s="2100">
        <f t="shared" si="437"/>
        <v>0.133188</v>
      </c>
      <c r="X617" s="2121">
        <f>'BUS Deemed Savings Table'!M398</f>
        <v>15</v>
      </c>
      <c r="Y617" s="2121"/>
      <c r="Z617" s="88">
        <f t="shared" si="467"/>
        <v>15</v>
      </c>
      <c r="AA617" s="637">
        <f>'BUS Deemed Savings Table'!DB398</f>
        <v>3.3092400806359445</v>
      </c>
      <c r="AB617" s="2917">
        <f>'BUS Deemed Savings Table'!N398</f>
        <v>100</v>
      </c>
      <c r="AC617" s="2101">
        <f t="shared" si="377"/>
        <v>208.48731546606052</v>
      </c>
      <c r="AD617" s="2101">
        <f t="shared" si="378"/>
        <v>0</v>
      </c>
      <c r="AE617" s="2955">
        <f>'BUS Deemed Savings Table'!DD398</f>
        <v>208.48731546606052</v>
      </c>
      <c r="AF617" s="2956"/>
      <c r="AG617" s="2956"/>
      <c r="AH617" s="2956"/>
      <c r="AI617" s="2259" t="str">
        <f>'BUS Deemed Savings Table'!O398</f>
        <v>per ton</v>
      </c>
      <c r="AM617" s="2057">
        <f t="shared" si="460"/>
        <v>9.1068400000000004E-4</v>
      </c>
      <c r="AN617" s="2051">
        <f t="shared" si="462"/>
        <v>0.133187535</v>
      </c>
      <c r="AO617" s="2048">
        <f t="shared" si="461"/>
        <v>-4.6500000000504471E-7</v>
      </c>
    </row>
    <row r="618" spans="2:41" x14ac:dyDescent="0.25">
      <c r="B618" s="2240" t="str">
        <f>'BUS Deemed Savings Table'!C399</f>
        <v>803750_2020_07_</v>
      </c>
      <c r="C618" s="208" t="str">
        <f>'BUS Deemed Savings Table'!I399</f>
        <v>Cooling BUS</v>
      </c>
      <c r="D618" s="208" t="str">
        <f>'BUS Deemed Savings Table'!J399</f>
        <v>Heating BUS</v>
      </c>
      <c r="E618" s="208"/>
      <c r="F618" s="208"/>
      <c r="G618" s="208" t="str">
        <f>'BUS Deemed Savings Table'!E399</f>
        <v>ASHP &lt;65kbtu</v>
      </c>
      <c r="H618" s="622" t="str">
        <f>'BUS Deemed Savings Table'!D399</f>
        <v>C&amp;I</v>
      </c>
      <c r="I618" s="2091">
        <f t="shared" si="463"/>
        <v>329.25</v>
      </c>
      <c r="J618" s="2091">
        <f t="shared" si="464"/>
        <v>0</v>
      </c>
      <c r="K618" s="2113">
        <f>'BUS Deemed Savings Table'!F399</f>
        <v>106.52</v>
      </c>
      <c r="L618" s="2113">
        <f>'BUS Deemed Savings Table'!G399</f>
        <v>222.73</v>
      </c>
      <c r="M618" s="2113"/>
      <c r="N618" s="2113"/>
      <c r="O618" s="2092">
        <f t="shared" si="465"/>
        <v>9.7005999999999995E-2</v>
      </c>
      <c r="P618" s="2092">
        <f t="shared" si="466"/>
        <v>0</v>
      </c>
      <c r="Q618" s="2086">
        <f>'BUS Deemed Savings Table'!L399</f>
        <v>9.7005999999999995E-2</v>
      </c>
      <c r="R618" s="2086">
        <v>0</v>
      </c>
      <c r="S618" s="2086"/>
      <c r="T618" s="2086"/>
      <c r="U618" s="2100">
        <f t="shared" si="435"/>
        <v>0</v>
      </c>
      <c r="V618" s="2100">
        <f t="shared" si="436"/>
        <v>0</v>
      </c>
      <c r="W618" s="2100">
        <f t="shared" si="437"/>
        <v>9.7005999999999995E-2</v>
      </c>
      <c r="X618" s="2121">
        <f>'BUS Deemed Savings Table'!M399</f>
        <v>15</v>
      </c>
      <c r="Y618" s="2121"/>
      <c r="Z618" s="88">
        <f t="shared" si="467"/>
        <v>15</v>
      </c>
      <c r="AA618" s="637">
        <f>'BUS Deemed Savings Table'!DB399</f>
        <v>2.5329598047852757</v>
      </c>
      <c r="AB618" s="2917">
        <f>'BUS Deemed Savings Table'!N399</f>
        <v>100</v>
      </c>
      <c r="AC618" s="2101">
        <f t="shared" si="377"/>
        <v>151.85004337398129</v>
      </c>
      <c r="AD618" s="2101">
        <f t="shared" si="378"/>
        <v>0</v>
      </c>
      <c r="AE618" s="2955">
        <f>'BUS Deemed Savings Table'!DD399</f>
        <v>151.85004337398129</v>
      </c>
      <c r="AF618" s="2956"/>
      <c r="AG618" s="2956"/>
      <c r="AH618" s="2956"/>
      <c r="AI618" s="2259" t="str">
        <f>'BUS Deemed Savings Table'!O399</f>
        <v>per ton</v>
      </c>
      <c r="AM618" s="2057">
        <f t="shared" si="460"/>
        <v>9.1068400000000004E-4</v>
      </c>
      <c r="AN618" s="2051">
        <f t="shared" si="462"/>
        <v>9.7006059680000006E-2</v>
      </c>
      <c r="AO618" s="2048">
        <f t="shared" si="461"/>
        <v>5.9680000011330669E-8</v>
      </c>
    </row>
    <row r="619" spans="2:41" x14ac:dyDescent="0.25">
      <c r="B619" s="2240" t="str">
        <f>'BUS Deemed Savings Table'!C419</f>
        <v>803800_2019_12_</v>
      </c>
      <c r="C619" s="208" t="str">
        <f>'BUS Deemed Savings Table'!G419</f>
        <v>Cooling BUS</v>
      </c>
      <c r="D619" s="208"/>
      <c r="E619" s="208"/>
      <c r="F619" s="208"/>
      <c r="G619" s="208" t="str">
        <f>'BUS Deemed Savings Table'!E419</f>
        <v>Air Cooled Chiller</v>
      </c>
      <c r="H619" s="622" t="str">
        <f>'BUS Deemed Savings Table'!D419</f>
        <v>C&amp;I</v>
      </c>
      <c r="I619" s="2091">
        <f t="shared" si="463"/>
        <v>411</v>
      </c>
      <c r="J619" s="2091">
        <f t="shared" si="464"/>
        <v>0</v>
      </c>
      <c r="K619" s="2113">
        <f>'BUS Deemed Savings Table'!F419</f>
        <v>411</v>
      </c>
      <c r="L619" s="2113"/>
      <c r="M619" s="2113"/>
      <c r="N619" s="2113"/>
      <c r="O619" s="2092">
        <f t="shared" si="465"/>
        <v>0.37429099999999998</v>
      </c>
      <c r="P619" s="2092">
        <f t="shared" si="466"/>
        <v>0</v>
      </c>
      <c r="Q619" s="2085">
        <f>'BUS Deemed Savings Table'!I419</f>
        <v>0.37429099999999998</v>
      </c>
      <c r="R619" s="2086">
        <v>0</v>
      </c>
      <c r="S619" s="2086"/>
      <c r="T619" s="2086"/>
      <c r="U619" s="2100">
        <f t="shared" si="435"/>
        <v>0</v>
      </c>
      <c r="V619" s="2100">
        <f t="shared" si="436"/>
        <v>0</v>
      </c>
      <c r="W619" s="2100">
        <f t="shared" si="437"/>
        <v>0.37429099999999998</v>
      </c>
      <c r="X619" s="2121">
        <f>'BUS Deemed Savings Table'!J419</f>
        <v>20</v>
      </c>
      <c r="Y619" s="2121"/>
      <c r="Z619" s="88">
        <f t="shared" si="467"/>
        <v>20</v>
      </c>
      <c r="AA619" s="637">
        <f>'BUS Deemed Savings Table'!DB419</f>
        <v>7.3595302367685331</v>
      </c>
      <c r="AB619" s="2917">
        <f>'BUS Deemed Savings Table'!K419</f>
        <v>106.23</v>
      </c>
      <c r="AC619" s="2101">
        <f t="shared" si="377"/>
        <v>737.89796795839663</v>
      </c>
      <c r="AD619" s="2101">
        <f t="shared" si="378"/>
        <v>0</v>
      </c>
      <c r="AE619" s="2955">
        <f>'BUS Deemed Savings Table'!DD419</f>
        <v>737.89796795839663</v>
      </c>
      <c r="AF619" s="2956"/>
      <c r="AG619" s="2956"/>
      <c r="AH619" s="2956"/>
      <c r="AI619" s="2244" t="str">
        <f>'BUS Deemed Savings Table'!L419</f>
        <v>per ton</v>
      </c>
      <c r="AM619" s="2057">
        <f t="shared" si="460"/>
        <v>9.1068400000000004E-4</v>
      </c>
      <c r="AN619">
        <f t="shared" ref="AN619:AN669" si="468">AM619*I619</f>
        <v>0.37429112400000003</v>
      </c>
      <c r="AO619" s="2048">
        <f t="shared" si="461"/>
        <v>1.2400000004575418E-7</v>
      </c>
    </row>
    <row r="620" spans="2:41" x14ac:dyDescent="0.25">
      <c r="B620" s="2240" t="str">
        <f>'BUS Deemed Savings Table'!C435</f>
        <v>803850_2019_12_</v>
      </c>
      <c r="C620" s="208" t="str">
        <f>'BUS Deemed Savings Table'!G435</f>
        <v>Miscellaneous BUS</v>
      </c>
      <c r="D620" s="208"/>
      <c r="E620" s="208"/>
      <c r="F620" s="208"/>
      <c r="G620" s="208" t="str">
        <f>'BUS Deemed Savings Table'!E435</f>
        <v>Clothes Washer (Electric DHW; Electric Dryer)</v>
      </c>
      <c r="H620" s="622" t="str">
        <f>'BUS Deemed Savings Table'!D435</f>
        <v>C&amp;I</v>
      </c>
      <c r="I620" s="2084">
        <f>'BUS Deemed Savings Table'!F435</f>
        <v>907.62</v>
      </c>
      <c r="J620" s="2084"/>
      <c r="K620" s="2113"/>
      <c r="L620" s="2113"/>
      <c r="M620" s="2113"/>
      <c r="N620" s="2113"/>
      <c r="O620" s="2085">
        <f>'BUS Deemed Savings Table'!I435</f>
        <v>0.12520100000000001</v>
      </c>
      <c r="P620" s="2085"/>
      <c r="Q620" s="2086"/>
      <c r="R620" s="2086"/>
      <c r="S620" s="2086"/>
      <c r="T620" s="2086"/>
      <c r="U620" s="2100">
        <f t="shared" si="435"/>
        <v>0</v>
      </c>
      <c r="V620" s="2100">
        <f t="shared" si="436"/>
        <v>0.12520100000000001</v>
      </c>
      <c r="W620" s="2100">
        <f t="shared" si="437"/>
        <v>0</v>
      </c>
      <c r="X620" s="2121">
        <f>'BUS Deemed Savings Table'!J435</f>
        <v>11</v>
      </c>
      <c r="Y620" s="2121"/>
      <c r="Z620" s="88">
        <f t="shared" si="467"/>
        <v>11</v>
      </c>
      <c r="AA620" s="637">
        <f>'BUS Deemed Savings Table'!DB435</f>
        <v>1.9297176618985081</v>
      </c>
      <c r="AB620" s="2917">
        <f>'BUS Deemed Savings Table'!K435</f>
        <v>200</v>
      </c>
      <c r="AC620" s="2101">
        <f t="shared" si="377"/>
        <v>364.26949729089341</v>
      </c>
      <c r="AD620" s="2101">
        <f t="shared" si="378"/>
        <v>0</v>
      </c>
      <c r="AE620" s="2955">
        <f>'BUS Deemed Savings Table'!DD435</f>
        <v>364.26949729089341</v>
      </c>
      <c r="AF620" s="2956"/>
      <c r="AG620" s="2956"/>
      <c r="AH620" s="2956"/>
      <c r="AI620" s="2244" t="str">
        <f>'BUS Deemed Savings Table'!L435</f>
        <v>per measure</v>
      </c>
      <c r="AM620" s="2057">
        <f t="shared" si="460"/>
        <v>1.379439E-4</v>
      </c>
      <c r="AN620">
        <f t="shared" si="468"/>
        <v>0.125200642518</v>
      </c>
      <c r="AO620" s="2048">
        <f t="shared" si="461"/>
        <v>-3.5748200000185193E-7</v>
      </c>
    </row>
    <row r="621" spans="2:41" x14ac:dyDescent="0.25">
      <c r="B621" s="2240" t="str">
        <f>'BUS Deemed Savings Table'!C436</f>
        <v>803900_2019_12_</v>
      </c>
      <c r="C621" s="208" t="str">
        <f>'BUS Deemed Savings Table'!G436</f>
        <v>Miscellaneous BUS</v>
      </c>
      <c r="D621" s="208"/>
      <c r="E621" s="208"/>
      <c r="F621" s="208"/>
      <c r="G621" s="208" t="str">
        <f>'BUS Deemed Savings Table'!E436</f>
        <v>Clothes Washer (Gas DHW; Electric Dryer)</v>
      </c>
      <c r="H621" s="622" t="str">
        <f>'BUS Deemed Savings Table'!D436</f>
        <v>C&amp;I</v>
      </c>
      <c r="I621" s="2084">
        <f>'BUS Deemed Savings Table'!F436</f>
        <v>308.41000000000003</v>
      </c>
      <c r="J621" s="2084"/>
      <c r="K621" s="2113"/>
      <c r="L621" s="2113"/>
      <c r="M621" s="2113"/>
      <c r="N621" s="2113"/>
      <c r="O621" s="2085">
        <f>'BUS Deemed Savings Table'!I436</f>
        <v>4.2542999999999997E-2</v>
      </c>
      <c r="P621" s="2085"/>
      <c r="Q621" s="2086"/>
      <c r="R621" s="2086"/>
      <c r="S621" s="2086"/>
      <c r="T621" s="2086"/>
      <c r="U621" s="2100">
        <f t="shared" si="435"/>
        <v>0</v>
      </c>
      <c r="V621" s="2100">
        <f t="shared" si="436"/>
        <v>4.2542999999999997E-2</v>
      </c>
      <c r="W621" s="2100">
        <f t="shared" si="437"/>
        <v>0</v>
      </c>
      <c r="X621" s="2121">
        <f>'BUS Deemed Savings Table'!J436</f>
        <v>11</v>
      </c>
      <c r="Y621" s="2121"/>
      <c r="Z621" s="88">
        <f t="shared" ref="Z621:Z629" si="469">Y621+X621</f>
        <v>11</v>
      </c>
      <c r="AA621" s="637">
        <f>'BUS Deemed Savings Table'!DB436</f>
        <v>0.65571960083087522</v>
      </c>
      <c r="AB621" s="2917">
        <f>'BUS Deemed Savings Table'!K436</f>
        <v>200</v>
      </c>
      <c r="AC621" s="2101">
        <f t="shared" si="377"/>
        <v>123.77906575382258</v>
      </c>
      <c r="AD621" s="2101">
        <f t="shared" si="378"/>
        <v>0</v>
      </c>
      <c r="AE621" s="2955">
        <f>'BUS Deemed Savings Table'!DD436</f>
        <v>123.77906575382258</v>
      </c>
      <c r="AF621" s="2956"/>
      <c r="AG621" s="2956"/>
      <c r="AH621" s="2956"/>
      <c r="AI621" s="2244" t="str">
        <f>'BUS Deemed Savings Table'!L436</f>
        <v>per measure</v>
      </c>
      <c r="AM621" s="2057">
        <f t="shared" si="460"/>
        <v>1.379439E-4</v>
      </c>
      <c r="AN621">
        <f t="shared" si="468"/>
        <v>4.2543278199000001E-2</v>
      </c>
      <c r="AO621" s="2048">
        <f t="shared" si="461"/>
        <v>2.7819900000336517E-7</v>
      </c>
    </row>
    <row r="622" spans="2:41" x14ac:dyDescent="0.25">
      <c r="B622" s="2240" t="str">
        <f>'BUS Deemed Savings Table'!C437</f>
        <v>803950_2019_12_</v>
      </c>
      <c r="C622" s="208" t="str">
        <f>'BUS Deemed Savings Table'!G437</f>
        <v>Miscellaneous BUS</v>
      </c>
      <c r="D622" s="208"/>
      <c r="E622" s="208"/>
      <c r="F622" s="208"/>
      <c r="G622" s="208" t="str">
        <f>'BUS Deemed Savings Table'!E437</f>
        <v>Clothes Washer (Electric DHW; Gas Dryer)</v>
      </c>
      <c r="H622" s="622" t="str">
        <f>'BUS Deemed Savings Table'!D437</f>
        <v>C&amp;I</v>
      </c>
      <c r="I622" s="2084">
        <f>'BUS Deemed Savings Table'!F437</f>
        <v>750.78</v>
      </c>
      <c r="J622" s="2084"/>
      <c r="K622" s="2113"/>
      <c r="L622" s="2113"/>
      <c r="M622" s="2113"/>
      <c r="N622" s="2113"/>
      <c r="O622" s="2085">
        <f>'BUS Deemed Savings Table'!I437</f>
        <v>0.10356600000000001</v>
      </c>
      <c r="P622" s="2085"/>
      <c r="Q622" s="2086"/>
      <c r="R622" s="2086"/>
      <c r="S622" s="2086"/>
      <c r="T622" s="2086"/>
      <c r="U622" s="2100">
        <f t="shared" si="435"/>
        <v>0</v>
      </c>
      <c r="V622" s="2100">
        <f t="shared" si="436"/>
        <v>0.10356600000000001</v>
      </c>
      <c r="W622" s="2100">
        <f t="shared" si="437"/>
        <v>0</v>
      </c>
      <c r="X622" s="2121">
        <f>'BUS Deemed Savings Table'!J437</f>
        <v>11</v>
      </c>
      <c r="Y622" s="2121"/>
      <c r="Z622" s="88">
        <f t="shared" si="469"/>
        <v>11</v>
      </c>
      <c r="AA622" s="637">
        <f>'BUS Deemed Savings Table'!DB437</f>
        <v>1.5962555102357394</v>
      </c>
      <c r="AB622" s="2917">
        <f>'BUS Deemed Savings Table'!K437</f>
        <v>200</v>
      </c>
      <c r="AC622" s="2101">
        <f t="shared" si="377"/>
        <v>301.32241816625566</v>
      </c>
      <c r="AD622" s="2101">
        <f t="shared" si="378"/>
        <v>0</v>
      </c>
      <c r="AE622" s="2955">
        <f>'BUS Deemed Savings Table'!DD437</f>
        <v>301.32241816625566</v>
      </c>
      <c r="AF622" s="2956"/>
      <c r="AG622" s="2956"/>
      <c r="AH622" s="2956"/>
      <c r="AI622" s="2244" t="str">
        <f>'BUS Deemed Savings Table'!L437</f>
        <v>per measure</v>
      </c>
      <c r="AM622" s="2057">
        <f t="shared" si="460"/>
        <v>1.379439E-4</v>
      </c>
      <c r="AN622">
        <f t="shared" si="468"/>
        <v>0.103565521242</v>
      </c>
      <c r="AO622" s="2048">
        <f t="shared" si="461"/>
        <v>-4.7875800000818369E-7</v>
      </c>
    </row>
    <row r="623" spans="2:41" x14ac:dyDescent="0.25">
      <c r="B623" s="2240" t="str">
        <f>'BUS Deemed Savings Table'!C438</f>
        <v>804000_2019_12_</v>
      </c>
      <c r="C623" s="208" t="str">
        <f>'BUS Deemed Savings Table'!G438</f>
        <v>Miscellaneous BUS</v>
      </c>
      <c r="D623" s="208"/>
      <c r="E623" s="208"/>
      <c r="F623" s="208"/>
      <c r="G623" s="208" t="str">
        <f>'BUS Deemed Savings Table'!E438</f>
        <v>Clothes Washer (Gas DHW; Gas Dryer)</v>
      </c>
      <c r="H623" s="622" t="str">
        <f>'BUS Deemed Savings Table'!D438</f>
        <v>C&amp;I</v>
      </c>
      <c r="I623" s="2084">
        <f>'BUS Deemed Savings Table'!F438</f>
        <v>151.57</v>
      </c>
      <c r="J623" s="2084"/>
      <c r="K623" s="2113"/>
      <c r="L623" s="2113"/>
      <c r="M623" s="2113"/>
      <c r="N623" s="2113"/>
      <c r="O623" s="2085">
        <f>'BUS Deemed Savings Table'!I438</f>
        <v>2.0908E-2</v>
      </c>
      <c r="P623" s="2085"/>
      <c r="Q623" s="2086"/>
      <c r="R623" s="2086"/>
      <c r="S623" s="2086"/>
      <c r="T623" s="2086"/>
      <c r="U623" s="2100">
        <f t="shared" si="435"/>
        <v>0</v>
      </c>
      <c r="V623" s="2100">
        <f t="shared" si="436"/>
        <v>2.0908E-2</v>
      </c>
      <c r="W623" s="2100">
        <f t="shared" si="437"/>
        <v>0</v>
      </c>
      <c r="X623" s="2121">
        <f>'BUS Deemed Savings Table'!J438</f>
        <v>11</v>
      </c>
      <c r="Y623" s="2121"/>
      <c r="Z623" s="88">
        <f t="shared" si="469"/>
        <v>11</v>
      </c>
      <c r="AA623" s="637">
        <f>'BUS Deemed Savings Table'!DB438</f>
        <v>0.32225744916810656</v>
      </c>
      <c r="AB623" s="2917">
        <f>'BUS Deemed Savings Table'!K438</f>
        <v>200</v>
      </c>
      <c r="AC623" s="2101">
        <f t="shared" ref="AC623:AC665" si="470">AE623+AF623</f>
        <v>60.831986629184811</v>
      </c>
      <c r="AD623" s="2101">
        <f t="shared" ref="AD623:AD665" si="471">AG623+AH623</f>
        <v>0</v>
      </c>
      <c r="AE623" s="2955">
        <f>'BUS Deemed Savings Table'!DD438</f>
        <v>60.831986629184811</v>
      </c>
      <c r="AF623" s="2956"/>
      <c r="AG623" s="2956"/>
      <c r="AH623" s="2956"/>
      <c r="AI623" s="2244" t="str">
        <f>'BUS Deemed Savings Table'!L438</f>
        <v>per measure</v>
      </c>
      <c r="AM623" s="2057">
        <f t="shared" si="460"/>
        <v>1.379439E-4</v>
      </c>
      <c r="AN623">
        <f t="shared" si="468"/>
        <v>2.0908156923E-2</v>
      </c>
      <c r="AO623" s="2048">
        <f t="shared" si="461"/>
        <v>1.5692300000050285E-7</v>
      </c>
    </row>
    <row r="624" spans="2:41" x14ac:dyDescent="0.25">
      <c r="B624" s="2240" t="str">
        <f>'BUS Deemed Savings Table'!C455</f>
        <v>804050_2019_12_</v>
      </c>
      <c r="C624" s="208" t="str">
        <f>'BUS Deemed Savings Table'!G455</f>
        <v>Miscellaneous BUS</v>
      </c>
      <c r="D624" s="208"/>
      <c r="E624" s="208"/>
      <c r="F624" s="208"/>
      <c r="G624" s="208" t="str">
        <f>'BUS Deemed Savings Table'!E455</f>
        <v>Clothes Dryer Vented Electric, Standard (≥ 4.4 ft3)</v>
      </c>
      <c r="H624" s="622" t="str">
        <f>'BUS Deemed Savings Table'!D455</f>
        <v>C&amp;I</v>
      </c>
      <c r="I624" s="2084">
        <f>'BUS Deemed Savings Table'!F455</f>
        <v>840.73</v>
      </c>
      <c r="J624" s="2084"/>
      <c r="K624" s="2113"/>
      <c r="L624" s="2113"/>
      <c r="M624" s="2113"/>
      <c r="N624" s="2113"/>
      <c r="O624" s="2085">
        <f>'BUS Deemed Savings Table'!I455</f>
        <v>0.11597399999999999</v>
      </c>
      <c r="P624" s="2085"/>
      <c r="Q624" s="2086"/>
      <c r="R624" s="2086"/>
      <c r="S624" s="2086"/>
      <c r="T624" s="2086"/>
      <c r="U624" s="2100">
        <f t="shared" si="435"/>
        <v>0</v>
      </c>
      <c r="V624" s="2100">
        <f t="shared" si="436"/>
        <v>0.11597399999999999</v>
      </c>
      <c r="W624" s="2100">
        <f t="shared" si="437"/>
        <v>0</v>
      </c>
      <c r="X624" s="2121">
        <f>'BUS Deemed Savings Table'!J455</f>
        <v>14</v>
      </c>
      <c r="Y624" s="2121"/>
      <c r="Z624" s="88">
        <f t="shared" si="469"/>
        <v>14</v>
      </c>
      <c r="AA624" s="637">
        <f>'BUS Deemed Savings Table'!DB455</f>
        <v>5.9917958609290851</v>
      </c>
      <c r="AB624" s="2917">
        <f>'BUS Deemed Savings Table'!K455</f>
        <v>75</v>
      </c>
      <c r="AC624" s="2101">
        <f t="shared" si="470"/>
        <v>424.14789010824103</v>
      </c>
      <c r="AD624" s="2101">
        <f t="shared" si="471"/>
        <v>0</v>
      </c>
      <c r="AE624" s="2955">
        <f>'BUS Deemed Savings Table'!DD455</f>
        <v>424.14789010824103</v>
      </c>
      <c r="AF624" s="2956"/>
      <c r="AG624" s="2956"/>
      <c r="AH624" s="2956"/>
      <c r="AI624" s="2244" t="str">
        <f>'BUS Deemed Savings Table'!L455</f>
        <v>per measure</v>
      </c>
      <c r="AM624" s="2057">
        <f t="shared" si="460"/>
        <v>1.379439E-4</v>
      </c>
      <c r="AN624">
        <f t="shared" si="468"/>
        <v>0.115973575047</v>
      </c>
      <c r="AO624" s="2048">
        <f t="shared" si="461"/>
        <v>-4.2495299999723013E-7</v>
      </c>
    </row>
    <row r="625" spans="2:41" x14ac:dyDescent="0.25">
      <c r="B625" s="2240" t="str">
        <f>'BUS Deemed Savings Table'!C456</f>
        <v>804100_2019_12_</v>
      </c>
      <c r="C625" s="208" t="str">
        <f>'BUS Deemed Savings Table'!G456</f>
        <v>Miscellaneous BUS</v>
      </c>
      <c r="D625" s="208"/>
      <c r="E625" s="208"/>
      <c r="F625" s="208"/>
      <c r="G625" s="208" t="str">
        <f>'BUS Deemed Savings Table'!E456</f>
        <v>Clothes Dryer Vented Electric, Compact (120V) (&lt; 4.4 ft3)</v>
      </c>
      <c r="H625" s="622" t="str">
        <f>'BUS Deemed Savings Table'!D456</f>
        <v>C&amp;I</v>
      </c>
      <c r="I625" s="2084">
        <f>'BUS Deemed Savings Table'!F456</f>
        <v>307.27999999999997</v>
      </c>
      <c r="J625" s="2084"/>
      <c r="K625" s="2113"/>
      <c r="L625" s="2113"/>
      <c r="M625" s="2113"/>
      <c r="N625" s="2113"/>
      <c r="O625" s="2085">
        <f>'BUS Deemed Savings Table'!I456</f>
        <v>4.2387000000000001E-2</v>
      </c>
      <c r="P625" s="2085"/>
      <c r="Q625" s="2086"/>
      <c r="R625" s="2086"/>
      <c r="S625" s="2086"/>
      <c r="T625" s="2086"/>
      <c r="U625" s="2100">
        <f t="shared" si="435"/>
        <v>0</v>
      </c>
      <c r="V625" s="2100">
        <f t="shared" si="436"/>
        <v>4.2387000000000001E-2</v>
      </c>
      <c r="W625" s="2100">
        <f t="shared" si="437"/>
        <v>0</v>
      </c>
      <c r="X625" s="2121">
        <f>'BUS Deemed Savings Table'!J456</f>
        <v>14</v>
      </c>
      <c r="Y625" s="2121"/>
      <c r="Z625" s="88">
        <f t="shared" si="469"/>
        <v>14</v>
      </c>
      <c r="AA625" s="637">
        <f>'BUS Deemed Savings Table'!DB456</f>
        <v>1.564252012406131</v>
      </c>
      <c r="AB625" s="2917">
        <f>'BUS Deemed Savings Table'!K456</f>
        <v>105</v>
      </c>
      <c r="AC625" s="2101">
        <f t="shared" si="470"/>
        <v>155.02261567026309</v>
      </c>
      <c r="AD625" s="2101">
        <f t="shared" si="471"/>
        <v>0</v>
      </c>
      <c r="AE625" s="2955">
        <f>'BUS Deemed Savings Table'!DD456</f>
        <v>155.02261567026309</v>
      </c>
      <c r="AF625" s="2956"/>
      <c r="AG625" s="2956"/>
      <c r="AH625" s="2956"/>
      <c r="AI625" s="2244" t="str">
        <f>'BUS Deemed Savings Table'!L456</f>
        <v>per measure</v>
      </c>
      <c r="AM625" s="2057">
        <f t="shared" si="460"/>
        <v>1.379439E-4</v>
      </c>
      <c r="AN625">
        <f t="shared" si="468"/>
        <v>4.2387401591999996E-2</v>
      </c>
      <c r="AO625" s="2048">
        <f t="shared" si="461"/>
        <v>4.0159199999473261E-7</v>
      </c>
    </row>
    <row r="626" spans="2:41" x14ac:dyDescent="0.25">
      <c r="B626" s="2240" t="str">
        <f>'BUS Deemed Savings Table'!C457</f>
        <v>804150_2019_12_</v>
      </c>
      <c r="C626" s="208" t="str">
        <f>'BUS Deemed Savings Table'!G457</f>
        <v>Miscellaneous BUS</v>
      </c>
      <c r="D626" s="208"/>
      <c r="E626" s="208"/>
      <c r="F626" s="208"/>
      <c r="G626" s="208" t="str">
        <f>'BUS Deemed Savings Table'!E457</f>
        <v>Clothes Dryer Vented Electric, Compact (240V) (&lt;4.4 ft3)</v>
      </c>
      <c r="H626" s="622" t="str">
        <f>'BUS Deemed Savings Table'!D457</f>
        <v>C&amp;I</v>
      </c>
      <c r="I626" s="2084">
        <f>'BUS Deemed Savings Table'!F457</f>
        <v>340.11</v>
      </c>
      <c r="J626" s="2084"/>
      <c r="K626" s="2113"/>
      <c r="L626" s="2113"/>
      <c r="M626" s="2113"/>
      <c r="N626" s="2113"/>
      <c r="O626" s="2085">
        <f>'BUS Deemed Savings Table'!I457</f>
        <v>4.6915999999999999E-2</v>
      </c>
      <c r="P626" s="2085"/>
      <c r="Q626" s="2086"/>
      <c r="R626" s="2086"/>
      <c r="S626" s="2086"/>
      <c r="T626" s="2086"/>
      <c r="U626" s="2100">
        <f t="shared" si="435"/>
        <v>0</v>
      </c>
      <c r="V626" s="2100">
        <f t="shared" si="436"/>
        <v>4.6915999999999999E-2</v>
      </c>
      <c r="W626" s="2100">
        <f t="shared" si="437"/>
        <v>0</v>
      </c>
      <c r="X626" s="2121">
        <f>'BUS Deemed Savings Table'!J457</f>
        <v>14</v>
      </c>
      <c r="Y626" s="2121"/>
      <c r="Z626" s="88">
        <f t="shared" si="469"/>
        <v>14</v>
      </c>
      <c r="AA626" s="637">
        <f>'BUS Deemed Savings Table'!DB457</f>
        <v>1.7313777399747763</v>
      </c>
      <c r="AB626" s="2917">
        <f>'BUS Deemed Savings Table'!K457</f>
        <v>105</v>
      </c>
      <c r="AC626" s="2101">
        <f t="shared" si="470"/>
        <v>171.58533524997782</v>
      </c>
      <c r="AD626" s="2101">
        <f t="shared" si="471"/>
        <v>0</v>
      </c>
      <c r="AE626" s="2955">
        <f>'BUS Deemed Savings Table'!DD457</f>
        <v>171.58533524997782</v>
      </c>
      <c r="AF626" s="2956"/>
      <c r="AG626" s="2956"/>
      <c r="AH626" s="2956"/>
      <c r="AI626" s="2244" t="str">
        <f>'BUS Deemed Savings Table'!L457</f>
        <v>per measure</v>
      </c>
      <c r="AM626" s="2057">
        <f t="shared" si="460"/>
        <v>1.379439E-4</v>
      </c>
      <c r="AN626">
        <f t="shared" si="468"/>
        <v>4.6916099829000003E-2</v>
      </c>
      <c r="AO626" s="2048">
        <f t="shared" si="461"/>
        <v>9.982900000399253E-8</v>
      </c>
    </row>
    <row r="627" spans="2:41" x14ac:dyDescent="0.25">
      <c r="B627" s="2240" t="str">
        <f>'BUS Deemed Savings Table'!C458</f>
        <v>804200_2019_12_</v>
      </c>
      <c r="C627" s="208" t="str">
        <f>'BUS Deemed Savings Table'!G458</f>
        <v>Miscellaneous BUS</v>
      </c>
      <c r="D627" s="208"/>
      <c r="E627" s="208"/>
      <c r="F627" s="208"/>
      <c r="G627" s="208" t="str">
        <f>'BUS Deemed Savings Table'!E458</f>
        <v>Clothes Dryer Ventless Electric, Compact (240V) (&lt;4.4 ft3)</v>
      </c>
      <c r="H627" s="622" t="str">
        <f>'BUS Deemed Savings Table'!D458</f>
        <v>C&amp;I</v>
      </c>
      <c r="I627" s="2084">
        <f>'BUS Deemed Savings Table'!F458</f>
        <v>428.66</v>
      </c>
      <c r="J627" s="2084"/>
      <c r="K627" s="2113"/>
      <c r="L627" s="2113"/>
      <c r="M627" s="2113"/>
      <c r="N627" s="2113"/>
      <c r="O627" s="2085">
        <f>'BUS Deemed Savings Table'!I458</f>
        <v>5.9131000000000003E-2</v>
      </c>
      <c r="P627" s="2085"/>
      <c r="Q627" s="2086"/>
      <c r="R627" s="2086"/>
      <c r="S627" s="2086"/>
      <c r="T627" s="2086"/>
      <c r="U627" s="2100">
        <f t="shared" si="435"/>
        <v>0</v>
      </c>
      <c r="V627" s="2100">
        <f t="shared" si="436"/>
        <v>5.9131000000000003E-2</v>
      </c>
      <c r="W627" s="2100">
        <f t="shared" si="437"/>
        <v>0</v>
      </c>
      <c r="X627" s="2121">
        <f>'BUS Deemed Savings Table'!J458</f>
        <v>14</v>
      </c>
      <c r="Y627" s="2121"/>
      <c r="Z627" s="88">
        <f t="shared" si="469"/>
        <v>14</v>
      </c>
      <c r="AA627" s="637">
        <f>'BUS Deemed Savings Table'!DB458</f>
        <v>2.1821539561247469</v>
      </c>
      <c r="AB627" s="2917">
        <f>'BUS Deemed Savings Table'!K458</f>
        <v>105</v>
      </c>
      <c r="AC627" s="2101">
        <f t="shared" si="470"/>
        <v>216.25876865795036</v>
      </c>
      <c r="AD627" s="2101">
        <f t="shared" si="471"/>
        <v>0</v>
      </c>
      <c r="AE627" s="2955">
        <f>'BUS Deemed Savings Table'!DD458</f>
        <v>216.25876865795036</v>
      </c>
      <c r="AF627" s="2956"/>
      <c r="AG627" s="2956"/>
      <c r="AH627" s="2956"/>
      <c r="AI627" s="2244" t="str">
        <f>'BUS Deemed Savings Table'!L458</f>
        <v>per measure</v>
      </c>
      <c r="AM627" s="2057">
        <f t="shared" si="460"/>
        <v>1.379439E-4</v>
      </c>
      <c r="AN627">
        <f t="shared" si="468"/>
        <v>5.9131032174000002E-2</v>
      </c>
      <c r="AO627" s="2048">
        <f t="shared" si="461"/>
        <v>3.2173999998941216E-8</v>
      </c>
    </row>
    <row r="628" spans="2:41" x14ac:dyDescent="0.25">
      <c r="B628" s="2240" t="str">
        <f>'BUS Deemed Savings Table'!C459</f>
        <v>804250_2019_12_</v>
      </c>
      <c r="C628" s="208" t="str">
        <f>'BUS Deemed Savings Table'!G459</f>
        <v>Miscellaneous BUS</v>
      </c>
      <c r="D628" s="208"/>
      <c r="E628" s="208"/>
      <c r="F628" s="208"/>
      <c r="G628" s="208" t="str">
        <f>'BUS Deemed Savings Table'!E459</f>
        <v>Clothes Dryer Vented Gas</v>
      </c>
      <c r="H628" s="622" t="str">
        <f>'BUS Deemed Savings Table'!D459</f>
        <v>C&amp;I</v>
      </c>
      <c r="I628" s="2084">
        <f>'BUS Deemed Savings Table'!F459</f>
        <v>40.57</v>
      </c>
      <c r="J628" s="2084"/>
      <c r="K628" s="2113"/>
      <c r="L628" s="2113"/>
      <c r="M628" s="2113"/>
      <c r="N628" s="2113"/>
      <c r="O628" s="2085">
        <f>'BUS Deemed Savings Table'!I459</f>
        <v>5.5960000000000003E-3</v>
      </c>
      <c r="P628" s="2085"/>
      <c r="Q628" s="2086"/>
      <c r="R628" s="2086"/>
      <c r="S628" s="2086"/>
      <c r="T628" s="2086"/>
      <c r="U628" s="2100">
        <f t="shared" si="435"/>
        <v>0</v>
      </c>
      <c r="V628" s="2100">
        <f t="shared" si="436"/>
        <v>5.5960000000000003E-3</v>
      </c>
      <c r="W628" s="2100">
        <f t="shared" si="437"/>
        <v>0</v>
      </c>
      <c r="X628" s="2121">
        <f>'BUS Deemed Savings Table'!J459</f>
        <v>14</v>
      </c>
      <c r="Y628" s="2121"/>
      <c r="Z628" s="88">
        <f t="shared" si="469"/>
        <v>14</v>
      </c>
      <c r="AA628" s="637">
        <f>'BUS Deemed Savings Table'!DB459</f>
        <v>0.28913819903880317</v>
      </c>
      <c r="AB628" s="2917">
        <f>'BUS Deemed Savings Table'!K459</f>
        <v>75</v>
      </c>
      <c r="AC628" s="2101">
        <f t="shared" si="470"/>
        <v>20.467545944228632</v>
      </c>
      <c r="AD628" s="2101">
        <f t="shared" si="471"/>
        <v>0</v>
      </c>
      <c r="AE628" s="2955">
        <f>'BUS Deemed Savings Table'!DD459</f>
        <v>20.467545944228632</v>
      </c>
      <c r="AF628" s="2956"/>
      <c r="AG628" s="2956"/>
      <c r="AH628" s="2956"/>
      <c r="AI628" s="2244" t="str">
        <f>'BUS Deemed Savings Table'!L459</f>
        <v>per measure</v>
      </c>
      <c r="AM628" s="2057">
        <f t="shared" si="460"/>
        <v>1.379439E-4</v>
      </c>
      <c r="AN628">
        <f t="shared" si="468"/>
        <v>5.5963840229999997E-3</v>
      </c>
      <c r="AO628" s="2048">
        <f t="shared" si="461"/>
        <v>3.8402299999944906E-7</v>
      </c>
    </row>
    <row r="629" spans="2:41" x14ac:dyDescent="0.25">
      <c r="B629" s="2240" t="str">
        <f>'BUS Deemed Savings Table'!C479</f>
        <v>804300_2019_12_</v>
      </c>
      <c r="C629" s="208" t="str">
        <f>'BUS Deemed Savings Table'!G479</f>
        <v>Air Comp BUS</v>
      </c>
      <c r="D629" s="208"/>
      <c r="E629" s="208"/>
      <c r="F629" s="208"/>
      <c r="G629" s="208" t="str">
        <f>'BUS Deemed Savings Table'!E479</f>
        <v>No Loss Condensate Drain (Reciprocating - On/off Control)</v>
      </c>
      <c r="H629" s="622" t="str">
        <f>'BUS Deemed Savings Table'!D479</f>
        <v>C&amp;I</v>
      </c>
      <c r="I629" s="2084">
        <f>'BUS Deemed Savings Table'!F479</f>
        <v>3272.26</v>
      </c>
      <c r="J629" s="2084"/>
      <c r="K629" s="2113"/>
      <c r="L629" s="2113"/>
      <c r="M629" s="2113"/>
      <c r="N629" s="2113"/>
      <c r="O629" s="2085">
        <f>'BUS Deemed Savings Table'!I479</f>
        <v>0.45138800000000001</v>
      </c>
      <c r="P629" s="2085"/>
      <c r="Q629" s="2086"/>
      <c r="R629" s="2086"/>
      <c r="S629" s="2086"/>
      <c r="T629" s="2086"/>
      <c r="U629" s="2100">
        <f t="shared" si="435"/>
        <v>0</v>
      </c>
      <c r="V629" s="2100">
        <f t="shared" si="436"/>
        <v>0.45138800000000001</v>
      </c>
      <c r="W629" s="2100">
        <f t="shared" si="437"/>
        <v>0</v>
      </c>
      <c r="X629" s="2121">
        <f>'BUS Deemed Savings Table'!J479</f>
        <v>13</v>
      </c>
      <c r="Y629" s="2121"/>
      <c r="Z629" s="88">
        <f t="shared" si="469"/>
        <v>13</v>
      </c>
      <c r="AA629" s="637">
        <f>'BUS Deemed Savings Table'!DB479</f>
        <v>2.3362622986271173</v>
      </c>
      <c r="AB629" s="2917">
        <f>'BUS Deemed Savings Table'!K479</f>
        <v>700</v>
      </c>
      <c r="AC629" s="2101">
        <f t="shared" si="470"/>
        <v>1543.5428117404265</v>
      </c>
      <c r="AD629" s="2101">
        <f t="shared" si="471"/>
        <v>0</v>
      </c>
      <c r="AE629" s="2955">
        <f>'BUS Deemed Savings Table'!DD479</f>
        <v>1543.5428117404265</v>
      </c>
      <c r="AF629" s="2956"/>
      <c r="AG629" s="2956"/>
      <c r="AH629" s="2956"/>
      <c r="AI629" s="2244" t="str">
        <f>'BUS Deemed Savings Table'!L479</f>
        <v>per measure</v>
      </c>
      <c r="AM629" s="2057">
        <f t="shared" si="460"/>
        <v>1.379439E-4</v>
      </c>
      <c r="AN629">
        <f t="shared" si="468"/>
        <v>0.451388306214</v>
      </c>
      <c r="AO629" s="2048">
        <f t="shared" si="461"/>
        <v>3.0621399998986831E-7</v>
      </c>
    </row>
    <row r="630" spans="2:41" x14ac:dyDescent="0.25">
      <c r="B630" s="2240" t="str">
        <f>'BUS Deemed Savings Table'!C480</f>
        <v>804350_2019_12_</v>
      </c>
      <c r="C630" s="208" t="str">
        <f>'BUS Deemed Savings Table'!G480</f>
        <v>Air Comp BUS</v>
      </c>
      <c r="D630" s="208"/>
      <c r="E630" s="208"/>
      <c r="F630" s="208"/>
      <c r="G630" s="208" t="str">
        <f>'BUS Deemed Savings Table'!E480</f>
        <v>No Loss Condensate Drain (Reciprocating - Load/Unload)</v>
      </c>
      <c r="H630" s="622" t="str">
        <f>'BUS Deemed Savings Table'!D480</f>
        <v>C&amp;I</v>
      </c>
      <c r="I630" s="2084">
        <f>'BUS Deemed Savings Table'!F480</f>
        <v>2418.62</v>
      </c>
      <c r="J630" s="2084"/>
      <c r="K630" s="2113"/>
      <c r="L630" s="2113"/>
      <c r="M630" s="2113"/>
      <c r="N630" s="2113"/>
      <c r="O630" s="2085">
        <f>'BUS Deemed Savings Table'!I480</f>
        <v>0.33363399999999999</v>
      </c>
      <c r="P630" s="2085"/>
      <c r="Q630" s="2086"/>
      <c r="R630" s="2086"/>
      <c r="S630" s="2086"/>
      <c r="T630" s="2086"/>
      <c r="U630" s="2100">
        <f t="shared" si="435"/>
        <v>0</v>
      </c>
      <c r="V630" s="2100">
        <f t="shared" si="436"/>
        <v>0.33363399999999999</v>
      </c>
      <c r="W630" s="2100">
        <f t="shared" si="437"/>
        <v>0</v>
      </c>
      <c r="X630" s="2121">
        <f>'BUS Deemed Savings Table'!J480</f>
        <v>13</v>
      </c>
      <c r="Y630" s="2121"/>
      <c r="Z630" s="88">
        <f t="shared" ref="Z630:Z636" si="472">Y630+X630</f>
        <v>13</v>
      </c>
      <c r="AA630" s="637">
        <f>'BUS Deemed Savings Table'!DB480</f>
        <v>1.7267976018731757</v>
      </c>
      <c r="AB630" s="2917">
        <f>'BUS Deemed Savings Table'!K480</f>
        <v>700</v>
      </c>
      <c r="AC630" s="2101">
        <f t="shared" si="470"/>
        <v>1140.8761881181904</v>
      </c>
      <c r="AD630" s="2101">
        <f t="shared" si="471"/>
        <v>0</v>
      </c>
      <c r="AE630" s="2955">
        <f>'BUS Deemed Savings Table'!DD480</f>
        <v>1140.8761881181904</v>
      </c>
      <c r="AF630" s="2956"/>
      <c r="AG630" s="2956"/>
      <c r="AH630" s="2956"/>
      <c r="AI630" s="2244" t="str">
        <f>'BUS Deemed Savings Table'!L480</f>
        <v>per measure</v>
      </c>
      <c r="AM630" s="2057">
        <f t="shared" si="460"/>
        <v>1.379439E-4</v>
      </c>
      <c r="AN630">
        <f t="shared" si="468"/>
        <v>0.33363387541799999</v>
      </c>
      <c r="AO630" s="2048">
        <f t="shared" si="461"/>
        <v>-1.24581999993989E-7</v>
      </c>
    </row>
    <row r="631" spans="2:41" x14ac:dyDescent="0.25">
      <c r="B631" s="2240" t="str">
        <f>'BUS Deemed Savings Table'!C481</f>
        <v>804400_2019_12_</v>
      </c>
      <c r="C631" s="208" t="str">
        <f>'BUS Deemed Savings Table'!G481</f>
        <v>Air Comp BUS</v>
      </c>
      <c r="D631" s="208"/>
      <c r="E631" s="208"/>
      <c r="F631" s="208"/>
      <c r="G631" s="208" t="str">
        <f>'BUS Deemed Savings Table'!E481</f>
        <v>No Loss Condensate Drain (Screw - Load/Unload)</v>
      </c>
      <c r="H631" s="622" t="str">
        <f>'BUS Deemed Savings Table'!D481</f>
        <v>C&amp;I</v>
      </c>
      <c r="I631" s="2084">
        <f>'BUS Deemed Savings Table'!F481</f>
        <v>2703.17</v>
      </c>
      <c r="J631" s="2084"/>
      <c r="K631" s="2113"/>
      <c r="L631" s="2113"/>
      <c r="M631" s="2113"/>
      <c r="N631" s="2113"/>
      <c r="O631" s="2085">
        <f>'BUS Deemed Savings Table'!I481</f>
        <v>0.372886</v>
      </c>
      <c r="P631" s="2085"/>
      <c r="Q631" s="2086"/>
      <c r="R631" s="2086"/>
      <c r="S631" s="2086"/>
      <c r="T631" s="2086"/>
      <c r="U631" s="2100">
        <f t="shared" si="435"/>
        <v>0</v>
      </c>
      <c r="V631" s="2100">
        <f t="shared" si="436"/>
        <v>0.372886</v>
      </c>
      <c r="W631" s="2100">
        <f t="shared" si="437"/>
        <v>0</v>
      </c>
      <c r="X631" s="2121">
        <f>'BUS Deemed Savings Table'!J481</f>
        <v>13</v>
      </c>
      <c r="Y631" s="2121"/>
      <c r="Z631" s="88">
        <f t="shared" si="472"/>
        <v>13</v>
      </c>
      <c r="AA631" s="637">
        <f>'BUS Deemed Savings Table'!DB481</f>
        <v>1.9299548806573634</v>
      </c>
      <c r="AB631" s="2917">
        <f>'BUS Deemed Savings Table'!K481</f>
        <v>700</v>
      </c>
      <c r="AC631" s="2101">
        <f t="shared" si="470"/>
        <v>1275.0999683437037</v>
      </c>
      <c r="AD631" s="2101">
        <f t="shared" si="471"/>
        <v>0</v>
      </c>
      <c r="AE631" s="2955">
        <f>'BUS Deemed Savings Table'!DD481</f>
        <v>1275.0999683437037</v>
      </c>
      <c r="AF631" s="2956"/>
      <c r="AG631" s="2956"/>
      <c r="AH631" s="2956"/>
      <c r="AI631" s="2244" t="str">
        <f>'BUS Deemed Savings Table'!L481</f>
        <v>per measure</v>
      </c>
      <c r="AM631" s="2057">
        <f t="shared" si="460"/>
        <v>1.379439E-4</v>
      </c>
      <c r="AN631">
        <f t="shared" si="468"/>
        <v>0.37288581216299999</v>
      </c>
      <c r="AO631" s="2048">
        <f t="shared" si="461"/>
        <v>-1.8783700000968295E-7</v>
      </c>
    </row>
    <row r="632" spans="2:41" x14ac:dyDescent="0.25">
      <c r="B632" s="2240" t="str">
        <f>'BUS Deemed Savings Table'!C482</f>
        <v>804450_2019_12_</v>
      </c>
      <c r="C632" s="208" t="str">
        <f>'BUS Deemed Savings Table'!G482</f>
        <v>Air Comp BUS</v>
      </c>
      <c r="D632" s="208"/>
      <c r="E632" s="208"/>
      <c r="F632" s="208"/>
      <c r="G632" s="208" t="str">
        <f>'BUS Deemed Savings Table'!E482</f>
        <v>No Loss Condensate Drain (Screw - Inlet Modulation)</v>
      </c>
      <c r="H632" s="622" t="str">
        <f>'BUS Deemed Savings Table'!D482</f>
        <v>C&amp;I</v>
      </c>
      <c r="I632" s="2084">
        <f>'BUS Deemed Savings Table'!F482</f>
        <v>978.12</v>
      </c>
      <c r="J632" s="2084"/>
      <c r="K632" s="2113"/>
      <c r="L632" s="2113"/>
      <c r="M632" s="2113"/>
      <c r="N632" s="2113"/>
      <c r="O632" s="2085">
        <f>'BUS Deemed Savings Table'!I482</f>
        <v>0.13492599999999999</v>
      </c>
      <c r="P632" s="2085"/>
      <c r="Q632" s="2086"/>
      <c r="R632" s="2086"/>
      <c r="S632" s="2086"/>
      <c r="T632" s="2086"/>
      <c r="U632" s="2100">
        <f t="shared" si="435"/>
        <v>0</v>
      </c>
      <c r="V632" s="2100">
        <f t="shared" si="436"/>
        <v>0.13492599999999999</v>
      </c>
      <c r="W632" s="2100">
        <f t="shared" si="437"/>
        <v>0</v>
      </c>
      <c r="X632" s="2121">
        <f>'BUS Deemed Savings Table'!J482</f>
        <v>13</v>
      </c>
      <c r="Y632" s="2121"/>
      <c r="Z632" s="88">
        <f t="shared" si="472"/>
        <v>13</v>
      </c>
      <c r="AA632" s="637">
        <f>'BUS Deemed Savings Table'!DB482</f>
        <v>0.69833842039848781</v>
      </c>
      <c r="AB632" s="2917">
        <f>'BUS Deemed Savings Table'!K482</f>
        <v>700</v>
      </c>
      <c r="AC632" s="2101">
        <f t="shared" si="470"/>
        <v>461.38451560069973</v>
      </c>
      <c r="AD632" s="2101">
        <f t="shared" si="471"/>
        <v>0</v>
      </c>
      <c r="AE632" s="2955">
        <f>'BUS Deemed Savings Table'!DD482</f>
        <v>461.38451560069973</v>
      </c>
      <c r="AF632" s="2956"/>
      <c r="AG632" s="2956"/>
      <c r="AH632" s="2956"/>
      <c r="AI632" s="2244" t="str">
        <f>'BUS Deemed Savings Table'!L482</f>
        <v>per measure</v>
      </c>
      <c r="AM632" s="2057">
        <f t="shared" si="460"/>
        <v>1.379439E-4</v>
      </c>
      <c r="AN632">
        <f t="shared" si="468"/>
        <v>0.13492568746799999</v>
      </c>
      <c r="AO632" s="2048">
        <f t="shared" si="461"/>
        <v>-3.1253200000191939E-7</v>
      </c>
    </row>
    <row r="633" spans="2:41" x14ac:dyDescent="0.25">
      <c r="B633" s="2240" t="str">
        <f>'BUS Deemed Savings Table'!C483</f>
        <v>804500_2019_12_</v>
      </c>
      <c r="C633" s="208" t="str">
        <f>'BUS Deemed Savings Table'!G483</f>
        <v>Air Comp BUS</v>
      </c>
      <c r="D633" s="208"/>
      <c r="E633" s="208"/>
      <c r="F633" s="208"/>
      <c r="G633" s="208" t="str">
        <f>'BUS Deemed Savings Table'!E483</f>
        <v>No Loss Condensate Drain (Screw - Inlet Modulation w/ Unloading)</v>
      </c>
      <c r="H633" s="622" t="str">
        <f>'BUS Deemed Savings Table'!D483</f>
        <v>C&amp;I</v>
      </c>
      <c r="I633" s="2084">
        <f>'BUS Deemed Savings Table'!F483</f>
        <v>978.12</v>
      </c>
      <c r="J633" s="2084"/>
      <c r="K633" s="2113"/>
      <c r="L633" s="2113"/>
      <c r="M633" s="2113"/>
      <c r="N633" s="2113"/>
      <c r="O633" s="2085">
        <f>'BUS Deemed Savings Table'!I483</f>
        <v>0.13492599999999999</v>
      </c>
      <c r="P633" s="2085"/>
      <c r="Q633" s="2086"/>
      <c r="R633" s="2086"/>
      <c r="S633" s="2086"/>
      <c r="T633" s="2086"/>
      <c r="U633" s="2100">
        <f t="shared" si="435"/>
        <v>0</v>
      </c>
      <c r="V633" s="2100">
        <f t="shared" si="436"/>
        <v>0.13492599999999999</v>
      </c>
      <c r="W633" s="2100">
        <f t="shared" si="437"/>
        <v>0</v>
      </c>
      <c r="X633" s="2121">
        <f>'BUS Deemed Savings Table'!J483</f>
        <v>13</v>
      </c>
      <c r="Y633" s="2121"/>
      <c r="Z633" s="88">
        <f t="shared" si="472"/>
        <v>13</v>
      </c>
      <c r="AA633" s="637">
        <f>'BUS Deemed Savings Table'!DB483</f>
        <v>0.69833842039848781</v>
      </c>
      <c r="AB633" s="2917">
        <f>'BUS Deemed Savings Table'!K483</f>
        <v>700</v>
      </c>
      <c r="AC633" s="2101">
        <f t="shared" si="470"/>
        <v>461.38451560069973</v>
      </c>
      <c r="AD633" s="2101">
        <f t="shared" si="471"/>
        <v>0</v>
      </c>
      <c r="AE633" s="2955">
        <f>'BUS Deemed Savings Table'!DD483</f>
        <v>461.38451560069973</v>
      </c>
      <c r="AF633" s="2956"/>
      <c r="AG633" s="2956"/>
      <c r="AH633" s="2956"/>
      <c r="AI633" s="2244" t="str">
        <f>'BUS Deemed Savings Table'!L483</f>
        <v>per measure</v>
      </c>
      <c r="AM633" s="2057">
        <f t="shared" si="460"/>
        <v>1.379439E-4</v>
      </c>
      <c r="AN633">
        <f t="shared" si="468"/>
        <v>0.13492568746799999</v>
      </c>
      <c r="AO633" s="2048">
        <f t="shared" si="461"/>
        <v>-3.1253200000191939E-7</v>
      </c>
    </row>
    <row r="634" spans="2:41" x14ac:dyDescent="0.25">
      <c r="B634" s="2240" t="str">
        <f>'BUS Deemed Savings Table'!C484</f>
        <v>804550_2019_12_</v>
      </c>
      <c r="C634" s="208" t="str">
        <f>'BUS Deemed Savings Table'!G484</f>
        <v>Air Comp BUS</v>
      </c>
      <c r="D634" s="208"/>
      <c r="E634" s="208"/>
      <c r="F634" s="208"/>
      <c r="G634" s="208" t="str">
        <f>'BUS Deemed Savings Table'!E484</f>
        <v>No Loss Condensate Drain (Screw - Variable Displacement)</v>
      </c>
      <c r="H634" s="622" t="str">
        <f>'BUS Deemed Savings Table'!D484</f>
        <v>C&amp;I</v>
      </c>
      <c r="I634" s="2084">
        <f>'BUS Deemed Savings Table'!F484</f>
        <v>2720.95</v>
      </c>
      <c r="J634" s="2084"/>
      <c r="K634" s="2113"/>
      <c r="L634" s="2113"/>
      <c r="M634" s="2113"/>
      <c r="N634" s="2113"/>
      <c r="O634" s="2085">
        <f>'BUS Deemed Savings Table'!I484</f>
        <v>0.375338</v>
      </c>
      <c r="P634" s="2085"/>
      <c r="Q634" s="2086"/>
      <c r="R634" s="2086"/>
      <c r="S634" s="2086"/>
      <c r="T634" s="2086"/>
      <c r="U634" s="2100">
        <f t="shared" si="435"/>
        <v>0</v>
      </c>
      <c r="V634" s="2100">
        <f t="shared" si="436"/>
        <v>0.375338</v>
      </c>
      <c r="W634" s="2100">
        <f t="shared" si="437"/>
        <v>0</v>
      </c>
      <c r="X634" s="2121">
        <f>'BUS Deemed Savings Table'!J484</f>
        <v>13</v>
      </c>
      <c r="Y634" s="2121"/>
      <c r="Z634" s="88">
        <f t="shared" si="472"/>
        <v>13</v>
      </c>
      <c r="AA634" s="637">
        <f>'BUS Deemed Savings Table'!DB484</f>
        <v>1.9426490870069779</v>
      </c>
      <c r="AB634" s="2917">
        <f>'BUS Deemed Savings Table'!K484</f>
        <v>700</v>
      </c>
      <c r="AC634" s="2101">
        <f t="shared" si="470"/>
        <v>1283.4868908965402</v>
      </c>
      <c r="AD634" s="2101">
        <f t="shared" si="471"/>
        <v>0</v>
      </c>
      <c r="AE634" s="2955">
        <f>'BUS Deemed Savings Table'!DD484</f>
        <v>1283.4868908965402</v>
      </c>
      <c r="AF634" s="2956"/>
      <c r="AG634" s="2956"/>
      <c r="AH634" s="2956"/>
      <c r="AI634" s="2244" t="str">
        <f>'BUS Deemed Savings Table'!L484</f>
        <v>per measure</v>
      </c>
      <c r="AM634" s="2057">
        <f t="shared" si="460"/>
        <v>1.379439E-4</v>
      </c>
      <c r="AN634">
        <f t="shared" si="468"/>
        <v>0.37533845470499999</v>
      </c>
      <c r="AO634" s="2048">
        <f t="shared" si="461"/>
        <v>4.5470499998589986E-7</v>
      </c>
    </row>
    <row r="635" spans="2:41" x14ac:dyDescent="0.25">
      <c r="B635" s="2240" t="str">
        <f>'BUS Deemed Savings Table'!C485</f>
        <v>804600_2019_12_</v>
      </c>
      <c r="C635" s="208" t="str">
        <f>'BUS Deemed Savings Table'!G485</f>
        <v>Air Comp BUS</v>
      </c>
      <c r="D635" s="208"/>
      <c r="E635" s="208"/>
      <c r="F635" s="208"/>
      <c r="G635" s="208" t="str">
        <f>'BUS Deemed Savings Table'!E485</f>
        <v>No Loss Condensate Drain (Screw - VFD)</v>
      </c>
      <c r="H635" s="622" t="str">
        <f>'BUS Deemed Savings Table'!D485</f>
        <v>C&amp;I</v>
      </c>
      <c r="I635" s="2084">
        <f>'BUS Deemed Savings Table'!F485</f>
        <v>3165.55</v>
      </c>
      <c r="J635" s="2084"/>
      <c r="K635" s="2113"/>
      <c r="L635" s="2113"/>
      <c r="M635" s="2113"/>
      <c r="N635" s="2113"/>
      <c r="O635" s="2085">
        <f>'BUS Deemed Savings Table'!I485</f>
        <v>0.436668</v>
      </c>
      <c r="P635" s="2085"/>
      <c r="Q635" s="2086"/>
      <c r="R635" s="2086"/>
      <c r="S635" s="2086"/>
      <c r="T635" s="2086"/>
      <c r="U635" s="2100">
        <f t="shared" si="435"/>
        <v>0</v>
      </c>
      <c r="V635" s="2100">
        <f t="shared" si="436"/>
        <v>0.436668</v>
      </c>
      <c r="W635" s="2100">
        <f t="shared" si="437"/>
        <v>0</v>
      </c>
      <c r="X635" s="2121">
        <f>'BUS Deemed Savings Table'!J485</f>
        <v>13</v>
      </c>
      <c r="Y635" s="2121"/>
      <c r="Z635" s="88">
        <f t="shared" si="472"/>
        <v>13</v>
      </c>
      <c r="AA635" s="637">
        <f>'BUS Deemed Savings Table'!DB485</f>
        <v>2.2600756417335637</v>
      </c>
      <c r="AB635" s="2917">
        <f>'BUS Deemed Savings Table'!K485</f>
        <v>700</v>
      </c>
      <c r="AC635" s="2101">
        <f t="shared" si="470"/>
        <v>1493.2071252604949</v>
      </c>
      <c r="AD635" s="2101">
        <f t="shared" si="471"/>
        <v>0</v>
      </c>
      <c r="AE635" s="2955">
        <f>'BUS Deemed Savings Table'!DD485</f>
        <v>1493.2071252604949</v>
      </c>
      <c r="AF635" s="2956"/>
      <c r="AG635" s="2956"/>
      <c r="AH635" s="2956"/>
      <c r="AI635" s="2244" t="str">
        <f>'BUS Deemed Savings Table'!L485</f>
        <v>per measure</v>
      </c>
      <c r="AM635" s="2057">
        <f t="shared" si="460"/>
        <v>1.379439E-4</v>
      </c>
      <c r="AN635">
        <f t="shared" si="468"/>
        <v>0.436668312645</v>
      </c>
      <c r="AO635" s="2048">
        <f t="shared" si="461"/>
        <v>3.1264500000016682E-7</v>
      </c>
    </row>
    <row r="636" spans="2:41" x14ac:dyDescent="0.25">
      <c r="B636" s="2240" t="str">
        <f>'BUS Deemed Savings Table'!C505</f>
        <v>804650_2019_12_</v>
      </c>
      <c r="C636" s="208" t="str">
        <f>'BUS Deemed Savings Table'!G505</f>
        <v>Air Comp BUS</v>
      </c>
      <c r="D636" s="208"/>
      <c r="E636" s="208"/>
      <c r="F636" s="208"/>
      <c r="G636" s="208" t="str">
        <f>'BUS Deemed Savings Table'!E505</f>
        <v>Compressed Air Nozzle (Reciprocating - On/off Control)</v>
      </c>
      <c r="H636" s="622" t="str">
        <f>'BUS Deemed Savings Table'!D505</f>
        <v>C&amp;I</v>
      </c>
      <c r="I636" s="2084">
        <f>'BUS Deemed Savings Table'!F505</f>
        <v>1547.21</v>
      </c>
      <c r="J636" s="2084"/>
      <c r="K636" s="2113"/>
      <c r="L636" s="2113"/>
      <c r="M636" s="2113"/>
      <c r="N636" s="2113"/>
      <c r="O636" s="2085">
        <f>'BUS Deemed Savings Table'!I505</f>
        <v>0.21342800000000001</v>
      </c>
      <c r="P636" s="2085"/>
      <c r="Q636" s="2086"/>
      <c r="R636" s="2086"/>
      <c r="S636" s="2086"/>
      <c r="T636" s="2086"/>
      <c r="U636" s="2100">
        <f t="shared" si="435"/>
        <v>0</v>
      </c>
      <c r="V636" s="2100">
        <f t="shared" si="436"/>
        <v>0</v>
      </c>
      <c r="W636" s="2100">
        <f t="shared" si="437"/>
        <v>0.21342800000000001</v>
      </c>
      <c r="X636" s="2121">
        <f>'BUS Deemed Savings Table'!J505</f>
        <v>15</v>
      </c>
      <c r="Y636" s="2121"/>
      <c r="Z636" s="88">
        <f t="shared" si="472"/>
        <v>15</v>
      </c>
      <c r="AA636" s="637">
        <f>'BUS Deemed Savings Table'!DB505</f>
        <v>11.413575812861211</v>
      </c>
      <c r="AB636" s="2917">
        <f>'BUS Deemed Savings Table'!K505</f>
        <v>77</v>
      </c>
      <c r="AC636" s="2101">
        <f t="shared" si="470"/>
        <v>829.49064425702056</v>
      </c>
      <c r="AD636" s="2101">
        <f t="shared" si="471"/>
        <v>0</v>
      </c>
      <c r="AE636" s="2955">
        <f>'BUS Deemed Savings Table'!DD505</f>
        <v>829.49064425702056</v>
      </c>
      <c r="AF636" s="2956"/>
      <c r="AG636" s="2956"/>
      <c r="AH636" s="2956"/>
      <c r="AI636" s="2244" t="str">
        <f>'BUS Deemed Savings Table'!L505</f>
        <v>per measure</v>
      </c>
      <c r="AM636" s="2057">
        <f t="shared" si="460"/>
        <v>1.379439E-4</v>
      </c>
      <c r="AN636">
        <f t="shared" si="468"/>
        <v>0.213428181519</v>
      </c>
      <c r="AO636" s="2048">
        <f t="shared" si="461"/>
        <v>1.8151899999763188E-7</v>
      </c>
    </row>
    <row r="637" spans="2:41" x14ac:dyDescent="0.25">
      <c r="B637" s="2240" t="str">
        <f>'BUS Deemed Savings Table'!C506</f>
        <v>804700_2019_12_</v>
      </c>
      <c r="C637" s="208" t="str">
        <f>'BUS Deemed Savings Table'!G506</f>
        <v>Air Comp BUS</v>
      </c>
      <c r="D637" s="208"/>
      <c r="E637" s="208"/>
      <c r="F637" s="208"/>
      <c r="G637" s="208" t="str">
        <f>'BUS Deemed Savings Table'!E506</f>
        <v>Compressed Air Nozzle (Reciprocating - Load/Unload)</v>
      </c>
      <c r="H637" s="622" t="str">
        <f>'BUS Deemed Savings Table'!D506</f>
        <v>C&amp;I</v>
      </c>
      <c r="I637" s="2084">
        <f>'BUS Deemed Savings Table'!F506</f>
        <v>1203.3800000000001</v>
      </c>
      <c r="J637" s="2084"/>
      <c r="K637" s="2113"/>
      <c r="L637" s="2113"/>
      <c r="M637" s="2113"/>
      <c r="N637" s="2113"/>
      <c r="O637" s="2085">
        <f>'BUS Deemed Savings Table'!I506</f>
        <v>0.16599900000000001</v>
      </c>
      <c r="P637" s="2085"/>
      <c r="Q637" s="2086"/>
      <c r="R637" s="2086"/>
      <c r="S637" s="2086"/>
      <c r="T637" s="2086"/>
      <c r="U637" s="2100">
        <f t="shared" si="435"/>
        <v>0</v>
      </c>
      <c r="V637" s="2100">
        <f t="shared" si="436"/>
        <v>0</v>
      </c>
      <c r="W637" s="2100">
        <f t="shared" si="437"/>
        <v>0.16599900000000001</v>
      </c>
      <c r="X637" s="2121">
        <f>'BUS Deemed Savings Table'!J506</f>
        <v>15</v>
      </c>
      <c r="Y637" s="2121"/>
      <c r="Z637" s="88">
        <f t="shared" ref="Z637:Z643" si="473">Y637+X637</f>
        <v>15</v>
      </c>
      <c r="AA637" s="637">
        <f>'BUS Deemed Savings Table'!DB506</f>
        <v>8.8771846495827482</v>
      </c>
      <c r="AB637" s="2917">
        <f>'BUS Deemed Savings Table'!K506</f>
        <v>77</v>
      </c>
      <c r="AC637" s="2101">
        <f t="shared" si="470"/>
        <v>645.15641153173351</v>
      </c>
      <c r="AD637" s="2101">
        <f t="shared" si="471"/>
        <v>0</v>
      </c>
      <c r="AE637" s="2955">
        <f>'BUS Deemed Savings Table'!DD506</f>
        <v>645.15641153173351</v>
      </c>
      <c r="AF637" s="2956"/>
      <c r="AG637" s="2956"/>
      <c r="AH637" s="2956"/>
      <c r="AI637" s="2244" t="str">
        <f>'BUS Deemed Savings Table'!L506</f>
        <v>per measure</v>
      </c>
      <c r="AM637" s="2057">
        <f t="shared" si="460"/>
        <v>1.379439E-4</v>
      </c>
      <c r="AN637">
        <f t="shared" si="468"/>
        <v>0.165998930382</v>
      </c>
      <c r="AO637" s="2048">
        <f t="shared" si="461"/>
        <v>-6.9618000003712766E-8</v>
      </c>
    </row>
    <row r="638" spans="2:41" x14ac:dyDescent="0.25">
      <c r="B638" s="2240" t="str">
        <f>'BUS Deemed Savings Table'!C507</f>
        <v>804750_2019_12_</v>
      </c>
      <c r="C638" s="208" t="str">
        <f>'BUS Deemed Savings Table'!G507</f>
        <v>Air Comp BUS</v>
      </c>
      <c r="D638" s="208"/>
      <c r="E638" s="208"/>
      <c r="F638" s="208"/>
      <c r="G638" s="208" t="str">
        <f>'BUS Deemed Savings Table'!E507</f>
        <v>Compressed Air Nozzle (Screw - Load/Unload)</v>
      </c>
      <c r="H638" s="622" t="str">
        <f>'BUS Deemed Savings Table'!D507</f>
        <v>C&amp;I</v>
      </c>
      <c r="I638" s="2084">
        <f>'BUS Deemed Savings Table'!F507</f>
        <v>1289.3399999999999</v>
      </c>
      <c r="J638" s="2084"/>
      <c r="K638" s="2113"/>
      <c r="L638" s="2113"/>
      <c r="M638" s="2113"/>
      <c r="N638" s="2113"/>
      <c r="O638" s="2085">
        <f>'BUS Deemed Savings Table'!I507</f>
        <v>0.17785699999999999</v>
      </c>
      <c r="P638" s="2085"/>
      <c r="Q638" s="2086"/>
      <c r="R638" s="2086"/>
      <c r="S638" s="2086"/>
      <c r="T638" s="2086"/>
      <c r="U638" s="2100">
        <f t="shared" si="435"/>
        <v>0</v>
      </c>
      <c r="V638" s="2100">
        <f t="shared" si="436"/>
        <v>0</v>
      </c>
      <c r="W638" s="2100">
        <f t="shared" si="437"/>
        <v>0.17785699999999999</v>
      </c>
      <c r="X638" s="2121">
        <f>'BUS Deemed Savings Table'!J507</f>
        <v>15</v>
      </c>
      <c r="Y638" s="2121"/>
      <c r="Z638" s="88">
        <f t="shared" si="473"/>
        <v>15</v>
      </c>
      <c r="AA638" s="637">
        <f>'BUS Deemed Savings Table'!DB507</f>
        <v>9.5113008825915504</v>
      </c>
      <c r="AB638" s="2917">
        <f>'BUS Deemed Savings Table'!K507</f>
        <v>77</v>
      </c>
      <c r="AC638" s="2101">
        <f t="shared" si="470"/>
        <v>691.24131001373235</v>
      </c>
      <c r="AD638" s="2101">
        <f t="shared" si="471"/>
        <v>0</v>
      </c>
      <c r="AE638" s="2955">
        <f>'BUS Deemed Savings Table'!DD507</f>
        <v>691.24131001373235</v>
      </c>
      <c r="AF638" s="2956"/>
      <c r="AG638" s="2956"/>
      <c r="AH638" s="2956"/>
      <c r="AI638" s="2244" t="str">
        <f>'BUS Deemed Savings Table'!L507</f>
        <v>per measure</v>
      </c>
      <c r="AM638" s="2057">
        <f t="shared" si="460"/>
        <v>1.379439E-4</v>
      </c>
      <c r="AN638">
        <f t="shared" si="468"/>
        <v>0.17785658802599999</v>
      </c>
      <c r="AO638" s="2048">
        <f t="shared" si="461"/>
        <v>-4.1197399999748363E-7</v>
      </c>
    </row>
    <row r="639" spans="2:41" x14ac:dyDescent="0.25">
      <c r="B639" s="2240" t="str">
        <f>'BUS Deemed Savings Table'!C508</f>
        <v>804800_2019_12_</v>
      </c>
      <c r="C639" s="208" t="str">
        <f>'BUS Deemed Savings Table'!G508</f>
        <v>Air Comp BUS</v>
      </c>
      <c r="D639" s="208"/>
      <c r="E639" s="208"/>
      <c r="F639" s="208"/>
      <c r="G639" s="208" t="str">
        <f>'BUS Deemed Savings Table'!E508</f>
        <v>Compressed Air Nozzle (Screw - Inlet Modulation)</v>
      </c>
      <c r="H639" s="622" t="str">
        <f>'BUS Deemed Savings Table'!D508</f>
        <v>C&amp;I</v>
      </c>
      <c r="I639" s="2084">
        <f>'BUS Deemed Savings Table'!F508</f>
        <v>515.74</v>
      </c>
      <c r="J639" s="2084"/>
      <c r="K639" s="2113"/>
      <c r="L639" s="2113"/>
      <c r="M639" s="2113"/>
      <c r="N639" s="2113"/>
      <c r="O639" s="2085">
        <f>'BUS Deemed Savings Table'!I508</f>
        <v>7.1142999999999998E-2</v>
      </c>
      <c r="P639" s="2085"/>
      <c r="Q639" s="2086"/>
      <c r="R639" s="2086"/>
      <c r="S639" s="2086"/>
      <c r="T639" s="2086"/>
      <c r="U639" s="2100">
        <f t="shared" si="435"/>
        <v>0</v>
      </c>
      <c r="V639" s="2100">
        <f t="shared" si="436"/>
        <v>0</v>
      </c>
      <c r="W639" s="2100">
        <f t="shared" si="437"/>
        <v>7.1142999999999998E-2</v>
      </c>
      <c r="X639" s="2121">
        <f>'BUS Deemed Savings Table'!J508</f>
        <v>15</v>
      </c>
      <c r="Y639" s="2121"/>
      <c r="Z639" s="88">
        <f t="shared" si="473"/>
        <v>15</v>
      </c>
      <c r="AA639" s="637">
        <f>'BUS Deemed Savings Table'!DB508</f>
        <v>3.8045498605393195</v>
      </c>
      <c r="AB639" s="2917">
        <f>'BUS Deemed Savings Table'!K508</f>
        <v>77</v>
      </c>
      <c r="AC639" s="2101">
        <f t="shared" si="470"/>
        <v>276.49866848657632</v>
      </c>
      <c r="AD639" s="2101">
        <f t="shared" si="471"/>
        <v>0</v>
      </c>
      <c r="AE639" s="2955">
        <f>'BUS Deemed Savings Table'!DD508</f>
        <v>276.49866848657632</v>
      </c>
      <c r="AF639" s="2956"/>
      <c r="AG639" s="2956"/>
      <c r="AH639" s="2956"/>
      <c r="AI639" s="2244" t="str">
        <f>'BUS Deemed Savings Table'!L508</f>
        <v>per measure</v>
      </c>
      <c r="AM639" s="2057">
        <f t="shared" si="460"/>
        <v>1.379439E-4</v>
      </c>
      <c r="AN639">
        <f t="shared" si="468"/>
        <v>7.1143186986000001E-2</v>
      </c>
      <c r="AO639" s="2048">
        <f t="shared" si="461"/>
        <v>1.8698600000310872E-7</v>
      </c>
    </row>
    <row r="640" spans="2:41" x14ac:dyDescent="0.25">
      <c r="B640" s="2240" t="str">
        <f>'BUS Deemed Savings Table'!C509</f>
        <v>804850_2019_12_</v>
      </c>
      <c r="C640" s="208" t="str">
        <f>'BUS Deemed Savings Table'!G509</f>
        <v>Air Comp BUS</v>
      </c>
      <c r="D640" s="208"/>
      <c r="E640" s="208"/>
      <c r="F640" s="208"/>
      <c r="G640" s="208" t="str">
        <f>'BUS Deemed Savings Table'!E509</f>
        <v>Compressed Air Nozzle (Screw - Inlet Modulation w/ Unloading)</v>
      </c>
      <c r="H640" s="622" t="str">
        <f>'BUS Deemed Savings Table'!D509</f>
        <v>C&amp;I</v>
      </c>
      <c r="I640" s="2084">
        <f>'BUS Deemed Savings Table'!F509</f>
        <v>515.74</v>
      </c>
      <c r="J640" s="2084"/>
      <c r="K640" s="2113"/>
      <c r="L640" s="2113"/>
      <c r="M640" s="2113"/>
      <c r="N640" s="2113"/>
      <c r="O640" s="2085">
        <f>'BUS Deemed Savings Table'!I509</f>
        <v>7.1142999999999998E-2</v>
      </c>
      <c r="P640" s="2085"/>
      <c r="Q640" s="2086"/>
      <c r="R640" s="2086"/>
      <c r="S640" s="2086"/>
      <c r="T640" s="2086"/>
      <c r="U640" s="2100">
        <f t="shared" si="435"/>
        <v>0</v>
      </c>
      <c r="V640" s="2100">
        <f t="shared" si="436"/>
        <v>0</v>
      </c>
      <c r="W640" s="2100">
        <f t="shared" si="437"/>
        <v>7.1142999999999998E-2</v>
      </c>
      <c r="X640" s="2121">
        <f>'BUS Deemed Savings Table'!J509</f>
        <v>15</v>
      </c>
      <c r="Y640" s="2121"/>
      <c r="Z640" s="88">
        <f t="shared" si="473"/>
        <v>15</v>
      </c>
      <c r="AA640" s="637">
        <f>'BUS Deemed Savings Table'!DB509</f>
        <v>3.8045498605393195</v>
      </c>
      <c r="AB640" s="2917">
        <f>'BUS Deemed Savings Table'!K509</f>
        <v>77</v>
      </c>
      <c r="AC640" s="2101">
        <f t="shared" si="470"/>
        <v>276.49866848657632</v>
      </c>
      <c r="AD640" s="2101">
        <f t="shared" si="471"/>
        <v>0</v>
      </c>
      <c r="AE640" s="2955">
        <f>'BUS Deemed Savings Table'!DD509</f>
        <v>276.49866848657632</v>
      </c>
      <c r="AF640" s="2956"/>
      <c r="AG640" s="2956"/>
      <c r="AH640" s="2956"/>
      <c r="AI640" s="2244" t="str">
        <f>'BUS Deemed Savings Table'!L509</f>
        <v>per measure</v>
      </c>
      <c r="AM640" s="2057">
        <f t="shared" ref="AM640:AM669" si="474">VLOOKUP(C640,$AS$10:$AT$47,2,FALSE)</f>
        <v>1.379439E-4</v>
      </c>
      <c r="AN640">
        <f t="shared" si="468"/>
        <v>7.1143186986000001E-2</v>
      </c>
      <c r="AO640" s="2048">
        <f t="shared" ref="AO640:AO661" si="475">AN640-O640</f>
        <v>1.8698600000310872E-7</v>
      </c>
    </row>
    <row r="641" spans="2:41" x14ac:dyDescent="0.25">
      <c r="B641" s="2240" t="str">
        <f>'BUS Deemed Savings Table'!C510</f>
        <v>804900_2019_12_</v>
      </c>
      <c r="C641" s="208" t="str">
        <f>'BUS Deemed Savings Table'!G510</f>
        <v>Air Comp BUS</v>
      </c>
      <c r="D641" s="208"/>
      <c r="E641" s="208"/>
      <c r="F641" s="208"/>
      <c r="G641" s="208" t="str">
        <f>'BUS Deemed Savings Table'!E510</f>
        <v>Compressed Air Nozzle (Screw - Variable Displacement)</v>
      </c>
      <c r="H641" s="622" t="str">
        <f>'BUS Deemed Savings Table'!D510</f>
        <v>C&amp;I</v>
      </c>
      <c r="I641" s="2084">
        <f>'BUS Deemed Savings Table'!F510</f>
        <v>1289.3399999999999</v>
      </c>
      <c r="J641" s="2084"/>
      <c r="K641" s="2113"/>
      <c r="L641" s="2113"/>
      <c r="M641" s="2113"/>
      <c r="N641" s="2113"/>
      <c r="O641" s="2085">
        <f>'BUS Deemed Savings Table'!I510</f>
        <v>0.17785699999999999</v>
      </c>
      <c r="P641" s="2085"/>
      <c r="Q641" s="2086"/>
      <c r="R641" s="2086"/>
      <c r="S641" s="2086"/>
      <c r="T641" s="2086"/>
      <c r="U641" s="2100">
        <f>IF(V641+W641&gt;0,0,IF(Z641&gt;0,O641,0))</f>
        <v>0</v>
      </c>
      <c r="V641" s="2100">
        <f>IF(W641&gt;0,0,IF(Z641&gt;9,O641,0))</f>
        <v>0</v>
      </c>
      <c r="W641" s="2100">
        <f>IF(Z641&gt;14,O641,0)</f>
        <v>0.17785699999999999</v>
      </c>
      <c r="X641" s="2121">
        <f>'BUS Deemed Savings Table'!J510</f>
        <v>15</v>
      </c>
      <c r="Y641" s="2121"/>
      <c r="Z641" s="88">
        <f t="shared" si="473"/>
        <v>15</v>
      </c>
      <c r="AA641" s="637">
        <f>'BUS Deemed Savings Table'!DB510</f>
        <v>9.5113008825915504</v>
      </c>
      <c r="AB641" s="2917">
        <f>'BUS Deemed Savings Table'!K510</f>
        <v>77</v>
      </c>
      <c r="AC641" s="2101">
        <f t="shared" si="470"/>
        <v>691.24131001373235</v>
      </c>
      <c r="AD641" s="2101">
        <f t="shared" si="471"/>
        <v>0</v>
      </c>
      <c r="AE641" s="2955">
        <f>'BUS Deemed Savings Table'!DD510</f>
        <v>691.24131001373235</v>
      </c>
      <c r="AF641" s="2956"/>
      <c r="AG641" s="2956"/>
      <c r="AH641" s="2956"/>
      <c r="AI641" s="2244" t="str">
        <f>'BUS Deemed Savings Table'!L510</f>
        <v>per measure</v>
      </c>
      <c r="AM641" s="2057">
        <f t="shared" si="474"/>
        <v>1.379439E-4</v>
      </c>
      <c r="AN641">
        <f t="shared" si="468"/>
        <v>0.17785658802599999</v>
      </c>
      <c r="AO641" s="2048">
        <f t="shared" si="475"/>
        <v>-4.1197399999748363E-7</v>
      </c>
    </row>
    <row r="642" spans="2:41" x14ac:dyDescent="0.25">
      <c r="B642" s="2240" t="str">
        <f>'BUS Deemed Savings Table'!C511</f>
        <v>804950_2019_12_</v>
      </c>
      <c r="C642" s="208" t="str">
        <f>'BUS Deemed Savings Table'!G511</f>
        <v>Air Comp BUS</v>
      </c>
      <c r="D642" s="208"/>
      <c r="E642" s="208"/>
      <c r="F642" s="208"/>
      <c r="G642" s="208" t="str">
        <f>'BUS Deemed Savings Table'!E511</f>
        <v>Compressed Air Nozzle (Screw - VFD)</v>
      </c>
      <c r="H642" s="622" t="str">
        <f>'BUS Deemed Savings Table'!D511</f>
        <v>C&amp;I</v>
      </c>
      <c r="I642" s="2084">
        <f>'BUS Deemed Savings Table'!F511</f>
        <v>1547.21</v>
      </c>
      <c r="J642" s="2084"/>
      <c r="K642" s="2113"/>
      <c r="L642" s="2113"/>
      <c r="M642" s="2113"/>
      <c r="N642" s="2113"/>
      <c r="O642" s="2085">
        <f>'BUS Deemed Savings Table'!I511</f>
        <v>0.21342800000000001</v>
      </c>
      <c r="P642" s="2085"/>
      <c r="Q642" s="2086"/>
      <c r="R642" s="2086"/>
      <c r="S642" s="2086"/>
      <c r="T642" s="2086"/>
      <c r="U642" s="2100">
        <f>IF(V642+W642&gt;0,0,IF(Z642&gt;0,O642,0))</f>
        <v>0</v>
      </c>
      <c r="V642" s="2100">
        <f>IF(W642&gt;0,0,IF(Z642&gt;9,O642,0))</f>
        <v>0</v>
      </c>
      <c r="W642" s="2100">
        <f>IF(Z642&gt;14,O642,0)</f>
        <v>0.21342800000000001</v>
      </c>
      <c r="X642" s="2121">
        <f>'BUS Deemed Savings Table'!J511</f>
        <v>15</v>
      </c>
      <c r="Y642" s="2121"/>
      <c r="Z642" s="88">
        <f t="shared" si="473"/>
        <v>15</v>
      </c>
      <c r="AA642" s="637">
        <f>'BUS Deemed Savings Table'!DB511</f>
        <v>11.413575812861211</v>
      </c>
      <c r="AB642" s="2917">
        <f>'BUS Deemed Savings Table'!K511</f>
        <v>77</v>
      </c>
      <c r="AC642" s="2101">
        <f t="shared" si="470"/>
        <v>829.49064425702056</v>
      </c>
      <c r="AD642" s="2101">
        <f t="shared" si="471"/>
        <v>0</v>
      </c>
      <c r="AE642" s="2955">
        <f>'BUS Deemed Savings Table'!DD511</f>
        <v>829.49064425702056</v>
      </c>
      <c r="AF642" s="2956"/>
      <c r="AG642" s="2956"/>
      <c r="AH642" s="2956"/>
      <c r="AI642" s="2244" t="str">
        <f>'BUS Deemed Savings Table'!L511</f>
        <v>per measure</v>
      </c>
      <c r="AM642" s="2057">
        <f t="shared" si="474"/>
        <v>1.379439E-4</v>
      </c>
      <c r="AN642">
        <f t="shared" si="468"/>
        <v>0.213428181519</v>
      </c>
      <c r="AO642" s="2048">
        <f t="shared" si="475"/>
        <v>1.8151899999763188E-7</v>
      </c>
    </row>
    <row r="643" spans="2:41" x14ac:dyDescent="0.25">
      <c r="B643" s="2240" t="str">
        <f>'BUS Deemed Savings Table'!C531</f>
        <v>805000_2020_07_</v>
      </c>
      <c r="C643" s="208" t="str">
        <f>'BUS Deemed Savings Table'!G531</f>
        <v>Air Comp BUS</v>
      </c>
      <c r="D643" s="208"/>
      <c r="E643" s="208"/>
      <c r="F643" s="208"/>
      <c r="G643" s="208" t="str">
        <f>'BUS Deemed Savings Table'!E531</f>
        <v>VSD Air Compressor 5-40 HP</v>
      </c>
      <c r="H643" s="622" t="str">
        <f>'BUS Deemed Savings Table'!D531</f>
        <v>C&amp;I</v>
      </c>
      <c r="I643" s="2084">
        <f>'BUS Deemed Savings Table'!F531</f>
        <v>987.01</v>
      </c>
      <c r="J643" s="2084"/>
      <c r="K643" s="2113"/>
      <c r="L643" s="2113"/>
      <c r="M643" s="2113"/>
      <c r="N643" s="2113"/>
      <c r="O643" s="2085">
        <f>'BUS Deemed Savings Table'!I531</f>
        <v>0.136152</v>
      </c>
      <c r="P643" s="2085"/>
      <c r="Q643" s="2086"/>
      <c r="R643" s="2086"/>
      <c r="S643" s="2086"/>
      <c r="T643" s="2086"/>
      <c r="U643" s="2100">
        <f>IF(V643+W643&gt;0,0,IF(Z643&gt;0,O643,0))</f>
        <v>0</v>
      </c>
      <c r="V643" s="2100">
        <f>IF(W643&gt;0,0,IF(Z643&gt;9,O643,0))</f>
        <v>0.136152</v>
      </c>
      <c r="W643" s="2100">
        <f>IF(Z643&gt;14,O643,0)</f>
        <v>0</v>
      </c>
      <c r="X643" s="2121">
        <f>'BUS Deemed Savings Table'!J531</f>
        <v>10</v>
      </c>
      <c r="Y643" s="2121"/>
      <c r="Z643" s="88">
        <f t="shared" si="473"/>
        <v>10</v>
      </c>
      <c r="AA643" s="637">
        <f>'BUS Deemed Savings Table'!DB531</f>
        <v>1.0381828809157441</v>
      </c>
      <c r="AB643" s="2917" t="str">
        <f>'BUS Deemed Savings Table'!K531</f>
        <v>"=(127*HPcomp)+1446"</v>
      </c>
      <c r="AC643" s="2101">
        <f t="shared" si="470"/>
        <v>2163.5750835884496</v>
      </c>
      <c r="AD643" s="2101">
        <f t="shared" si="471"/>
        <v>0</v>
      </c>
      <c r="AE643" s="2955">
        <f>'BUS Deemed Savings Table'!DD531</f>
        <v>2163.5750835884496</v>
      </c>
      <c r="AF643" s="2956"/>
      <c r="AG643" s="2956"/>
      <c r="AH643" s="2956"/>
      <c r="AI643" s="2244" t="str">
        <f>'BUS Deemed Savings Table'!L531</f>
        <v>per HP</v>
      </c>
      <c r="AM643" s="2057">
        <f t="shared" si="474"/>
        <v>1.379439E-4</v>
      </c>
      <c r="AN643">
        <f t="shared" si="468"/>
        <v>0.13615200873899999</v>
      </c>
      <c r="AO643" s="2048">
        <f t="shared" si="475"/>
        <v>8.738999995872021E-9</v>
      </c>
    </row>
    <row r="644" spans="2:41" x14ac:dyDescent="0.25">
      <c r="B644" s="2240" t="str">
        <f>'BUS Deemed Savings Table'!C547</f>
        <v>805050_2019_12_</v>
      </c>
      <c r="C644" s="208" t="str">
        <f>'BUS Deemed Savings Table'!G547</f>
        <v>Cooking BUS</v>
      </c>
      <c r="D644" s="208"/>
      <c r="E644" s="208"/>
      <c r="F644" s="208"/>
      <c r="G644" s="208" t="str">
        <f>'BUS Deemed Savings Table'!E547</f>
        <v>Combination Oven (Pan Capacity &lt; 15)</v>
      </c>
      <c r="H644" s="622" t="str">
        <f>'BUS Deemed Savings Table'!D547</f>
        <v>C&amp;I</v>
      </c>
      <c r="I644" s="2084">
        <f>'BUS Deemed Savings Table'!F547</f>
        <v>6372.3</v>
      </c>
      <c r="J644" s="2084"/>
      <c r="K644" s="2113"/>
      <c r="L644" s="2113"/>
      <c r="M644" s="2113"/>
      <c r="N644" s="2113"/>
      <c r="O644" s="2085">
        <f>'BUS Deemed Savings Table'!I547</f>
        <v>1.27379</v>
      </c>
      <c r="P644" s="2085"/>
      <c r="Q644" s="2086"/>
      <c r="R644" s="2086"/>
      <c r="S644" s="2086"/>
      <c r="T644" s="2086"/>
      <c r="U644" s="2100">
        <f t="shared" ref="U644:U660" si="476">IF(V644+W644&gt;0,0,IF(Z644&gt;0,O644,0))</f>
        <v>0</v>
      </c>
      <c r="V644" s="2100">
        <f t="shared" ref="V644:V660" si="477">IF(W644&gt;0,0,IF(Z644&gt;9,O644,0))</f>
        <v>1.27379</v>
      </c>
      <c r="W644" s="2100">
        <f t="shared" ref="W644:W660" si="478">IF(Z644&gt;14,O644,0)</f>
        <v>0</v>
      </c>
      <c r="X644" s="2121">
        <f>'BUS Deemed Savings Table'!J547</f>
        <v>12</v>
      </c>
      <c r="Y644" s="2121"/>
      <c r="Z644" s="88">
        <f t="shared" ref="Z644:Z665" si="479">Y644+X644</f>
        <v>12</v>
      </c>
      <c r="AA644" s="637">
        <f>'BUS Deemed Savings Table'!DB547</f>
        <v>0.79635009510895882</v>
      </c>
      <c r="AB644" s="2917">
        <f>'BUS Deemed Savings Table'!K547</f>
        <v>4300</v>
      </c>
      <c r="AC644" s="2101">
        <f t="shared" si="470"/>
        <v>3232.0013298428717</v>
      </c>
      <c r="AD644" s="2101">
        <f t="shared" si="471"/>
        <v>0</v>
      </c>
      <c r="AE644" s="2955">
        <f>'BUS Deemed Savings Table'!DD547</f>
        <v>3232.0013298428717</v>
      </c>
      <c r="AF644" s="2956"/>
      <c r="AG644" s="2956"/>
      <c r="AH644" s="2956"/>
      <c r="AI644" s="2244" t="str">
        <f>'BUS Deemed Savings Table'!L547</f>
        <v>per measure</v>
      </c>
      <c r="AM644" s="2057">
        <f t="shared" si="474"/>
        <v>1.998949E-4</v>
      </c>
      <c r="AN644">
        <f t="shared" si="468"/>
        <v>1.27379027127</v>
      </c>
      <c r="AO644" s="2048">
        <f t="shared" si="475"/>
        <v>2.7127000001847534E-7</v>
      </c>
    </row>
    <row r="645" spans="2:41" x14ac:dyDescent="0.25">
      <c r="B645" s="2240" t="str">
        <f>'BUS Deemed Savings Table'!C548</f>
        <v>805100_2019_12_</v>
      </c>
      <c r="C645" s="208" t="str">
        <f>'BUS Deemed Savings Table'!G548</f>
        <v>Cooking BUS</v>
      </c>
      <c r="D645" s="208"/>
      <c r="E645" s="208"/>
      <c r="F645" s="208"/>
      <c r="G645" s="208" t="str">
        <f>'BUS Deemed Savings Table'!E548</f>
        <v>Combination Oven (Pan Capacity ≥ 15)</v>
      </c>
      <c r="H645" s="622" t="str">
        <f>'BUS Deemed Savings Table'!D548</f>
        <v>C&amp;I</v>
      </c>
      <c r="I645" s="2084">
        <f>'BUS Deemed Savings Table'!F548</f>
        <v>11743.62</v>
      </c>
      <c r="J645" s="2084"/>
      <c r="K645" s="2113"/>
      <c r="L645" s="2113"/>
      <c r="M645" s="2113"/>
      <c r="N645" s="2113"/>
      <c r="O645" s="2085">
        <f>'BUS Deemed Savings Table'!I548</f>
        <v>2.3474900000000001</v>
      </c>
      <c r="P645" s="2085"/>
      <c r="Q645" s="2086"/>
      <c r="R645" s="2086"/>
      <c r="S645" s="2086"/>
      <c r="T645" s="2086"/>
      <c r="U645" s="2100">
        <f t="shared" si="476"/>
        <v>0</v>
      </c>
      <c r="V645" s="2100">
        <f t="shared" si="477"/>
        <v>2.3474900000000001</v>
      </c>
      <c r="W645" s="2100">
        <f t="shared" si="478"/>
        <v>0</v>
      </c>
      <c r="X645" s="2121">
        <f>'BUS Deemed Savings Table'!J548</f>
        <v>12</v>
      </c>
      <c r="Y645" s="2121"/>
      <c r="Z645" s="88">
        <f t="shared" si="479"/>
        <v>12</v>
      </c>
      <c r="AA645" s="637">
        <f>'BUS Deemed Savings Table'!DB548</f>
        <v>1.4676071283403906</v>
      </c>
      <c r="AB645" s="2917">
        <f>'BUS Deemed Savings Table'!K548</f>
        <v>4300</v>
      </c>
      <c r="AC645" s="2101">
        <f t="shared" si="470"/>
        <v>5956.3101952465113</v>
      </c>
      <c r="AD645" s="2101">
        <f t="shared" si="471"/>
        <v>0</v>
      </c>
      <c r="AE645" s="2955">
        <f>'BUS Deemed Savings Table'!DD548</f>
        <v>5956.3101952465113</v>
      </c>
      <c r="AF645" s="2956"/>
      <c r="AG645" s="2956"/>
      <c r="AH645" s="2956"/>
      <c r="AI645" s="2244" t="str">
        <f>'BUS Deemed Savings Table'!L548</f>
        <v>per measure</v>
      </c>
      <c r="AM645" s="2057">
        <f t="shared" si="474"/>
        <v>1.998949E-4</v>
      </c>
      <c r="AN645">
        <f t="shared" si="468"/>
        <v>2.3474897455380002</v>
      </c>
      <c r="AO645" s="2048">
        <f t="shared" si="475"/>
        <v>-2.544619999156339E-7</v>
      </c>
    </row>
    <row r="646" spans="2:41" x14ac:dyDescent="0.25">
      <c r="B646" s="2240" t="str">
        <f>'BUS Deemed Savings Table'!C570</f>
        <v>805150_2019_12_</v>
      </c>
      <c r="C646" s="208" t="str">
        <f>'BUS Deemed Savings Table'!G570</f>
        <v>Cooking BUS</v>
      </c>
      <c r="D646" s="208"/>
      <c r="E646" s="208"/>
      <c r="F646" s="208"/>
      <c r="G646" s="208" t="str">
        <f>'BUS Deemed Savings Table'!E570</f>
        <v>Standard Open Deep-Fat Fryer</v>
      </c>
      <c r="H646" s="622" t="str">
        <f>'BUS Deemed Savings Table'!D570</f>
        <v>C&amp;I</v>
      </c>
      <c r="I646" s="2084">
        <f>'BUS Deemed Savings Table'!F570</f>
        <v>952.31</v>
      </c>
      <c r="J646" s="2084"/>
      <c r="K646" s="2113"/>
      <c r="L646" s="2113"/>
      <c r="M646" s="2113"/>
      <c r="N646" s="2113"/>
      <c r="O646" s="2085">
        <f>'BUS Deemed Savings Table'!I570</f>
        <v>0.190362</v>
      </c>
      <c r="P646" s="2085"/>
      <c r="Q646" s="2086"/>
      <c r="R646" s="2086"/>
      <c r="S646" s="2086"/>
      <c r="T646" s="2086"/>
      <c r="U646" s="2100">
        <f t="shared" si="476"/>
        <v>0</v>
      </c>
      <c r="V646" s="2100">
        <f t="shared" si="477"/>
        <v>0.190362</v>
      </c>
      <c r="W646" s="2100">
        <f t="shared" si="478"/>
        <v>0</v>
      </c>
      <c r="X646" s="2121">
        <f>'BUS Deemed Savings Table'!J570</f>
        <v>12</v>
      </c>
      <c r="Y646" s="2121"/>
      <c r="Z646" s="88">
        <f t="shared" si="479"/>
        <v>12</v>
      </c>
      <c r="AA646" s="637">
        <f>'BUS Deemed Savings Table'!DB570</f>
        <v>2.4368866470541128</v>
      </c>
      <c r="AB646" s="2917">
        <f>'BUS Deemed Savings Table'!K570</f>
        <v>210</v>
      </c>
      <c r="AC646" s="2101">
        <f t="shared" si="470"/>
        <v>483.00726369170707</v>
      </c>
      <c r="AD646" s="2101">
        <f t="shared" si="471"/>
        <v>0</v>
      </c>
      <c r="AE646" s="2955">
        <f>'BUS Deemed Savings Table'!DD570</f>
        <v>483.00726369170707</v>
      </c>
      <c r="AF646" s="2956"/>
      <c r="AG646" s="2956"/>
      <c r="AH646" s="2956"/>
      <c r="AI646" s="2244" t="str">
        <f>'BUS Deemed Savings Table'!L570</f>
        <v>per measure</v>
      </c>
      <c r="AM646" s="2057">
        <f t="shared" si="474"/>
        <v>1.998949E-4</v>
      </c>
      <c r="AN646">
        <f t="shared" si="468"/>
        <v>0.19036191221899998</v>
      </c>
      <c r="AO646" s="2048">
        <f t="shared" si="475"/>
        <v>-8.7781000024378386E-8</v>
      </c>
    </row>
    <row r="647" spans="2:41" x14ac:dyDescent="0.25">
      <c r="B647" s="2240" t="str">
        <f>'BUS Deemed Savings Table'!C571</f>
        <v>805200_2019_12_</v>
      </c>
      <c r="C647" s="208" t="str">
        <f>'BUS Deemed Savings Table'!G571</f>
        <v>Cooking BUS</v>
      </c>
      <c r="D647" s="208"/>
      <c r="E647" s="208"/>
      <c r="F647" s="208"/>
      <c r="G647" s="208" t="str">
        <f>'BUS Deemed Savings Table'!E571</f>
        <v>Large Vat Open Deep-Fat Fryer</v>
      </c>
      <c r="H647" s="622" t="str">
        <f>'BUS Deemed Savings Table'!D571</f>
        <v>C&amp;I</v>
      </c>
      <c r="I647" s="2084">
        <f>'BUS Deemed Savings Table'!F571</f>
        <v>2537.84</v>
      </c>
      <c r="J647" s="2084"/>
      <c r="K647" s="2113"/>
      <c r="L647" s="2113"/>
      <c r="M647" s="2113"/>
      <c r="N647" s="2113"/>
      <c r="O647" s="2085">
        <f>'BUS Deemed Savings Table'!I571</f>
        <v>0.507301</v>
      </c>
      <c r="P647" s="2085"/>
      <c r="Q647" s="2086"/>
      <c r="R647" s="2086"/>
      <c r="S647" s="2086"/>
      <c r="T647" s="2086"/>
      <c r="U647" s="2100">
        <f t="shared" si="476"/>
        <v>0</v>
      </c>
      <c r="V647" s="2100">
        <f t="shared" si="477"/>
        <v>0.507301</v>
      </c>
      <c r="W647" s="2100">
        <f t="shared" si="478"/>
        <v>0</v>
      </c>
      <c r="X647" s="2121">
        <f>'BUS Deemed Savings Table'!J571</f>
        <v>12</v>
      </c>
      <c r="Y647" s="2121"/>
      <c r="Z647" s="88">
        <f t="shared" si="479"/>
        <v>12</v>
      </c>
      <c r="AA647" s="2102"/>
      <c r="AB647" s="2917">
        <f>'BUS Deemed Savings Table'!K571</f>
        <v>0</v>
      </c>
      <c r="AC647" s="2101">
        <f t="shared" si="470"/>
        <v>1287.1808067618338</v>
      </c>
      <c r="AD647" s="2101">
        <f t="shared" si="471"/>
        <v>0</v>
      </c>
      <c r="AE647" s="2955">
        <f>'BUS Deemed Savings Table'!DD571</f>
        <v>1287.1808067618338</v>
      </c>
      <c r="AF647" s="2956"/>
      <c r="AG647" s="2956"/>
      <c r="AH647" s="2956"/>
      <c r="AI647" s="2244" t="str">
        <f>'BUS Deemed Savings Table'!L571</f>
        <v>per measure</v>
      </c>
      <c r="AM647" s="2057">
        <f t="shared" si="474"/>
        <v>1.998949E-4</v>
      </c>
      <c r="AN647">
        <f t="shared" si="468"/>
        <v>0.50730127301600003</v>
      </c>
      <c r="AO647" s="2048">
        <f t="shared" si="475"/>
        <v>2.7301600002971327E-7</v>
      </c>
    </row>
    <row r="648" spans="2:41" x14ac:dyDescent="0.25">
      <c r="B648" s="2240" t="str">
        <f>'BUS Deemed Savings Table'!C588</f>
        <v>805250_2019_12_</v>
      </c>
      <c r="C648" s="208" t="str">
        <f>'BUS Deemed Savings Table'!G588</f>
        <v>Cooking BUS</v>
      </c>
      <c r="D648" s="208"/>
      <c r="E648" s="208"/>
      <c r="F648" s="208"/>
      <c r="G648" s="208" t="str">
        <f>'BUS Deemed Savings Table'!E588</f>
        <v>Convection Oven (Full Size)</v>
      </c>
      <c r="H648" s="622" t="str">
        <f>'BUS Deemed Savings Table'!D588</f>
        <v>C&amp;I</v>
      </c>
      <c r="I648" s="2084">
        <f>'BUS Deemed Savings Table'!F588</f>
        <v>1938.47</v>
      </c>
      <c r="J648" s="2084"/>
      <c r="K648" s="2113"/>
      <c r="L648" s="2113"/>
      <c r="M648" s="2113"/>
      <c r="N648" s="2113"/>
      <c r="O648" s="2085">
        <f>'BUS Deemed Savings Table'!I588</f>
        <v>0.38749</v>
      </c>
      <c r="P648" s="2085"/>
      <c r="Q648" s="2086"/>
      <c r="R648" s="2086"/>
      <c r="S648" s="2086"/>
      <c r="T648" s="2086"/>
      <c r="U648" s="2100">
        <f t="shared" si="476"/>
        <v>0</v>
      </c>
      <c r="V648" s="2100">
        <f t="shared" si="477"/>
        <v>0.38749</v>
      </c>
      <c r="W648" s="2100">
        <f t="shared" si="478"/>
        <v>0</v>
      </c>
      <c r="X648" s="2121">
        <f>'BUS Deemed Savings Table'!J588</f>
        <v>12</v>
      </c>
      <c r="Y648" s="2121"/>
      <c r="Z648" s="88">
        <f t="shared" si="479"/>
        <v>12</v>
      </c>
      <c r="AA648" s="2102"/>
      <c r="AB648" s="2917">
        <f>'BUS Deemed Savings Table'!K588</f>
        <v>0</v>
      </c>
      <c r="AC648" s="2101">
        <f t="shared" si="470"/>
        <v>983.18309211124892</v>
      </c>
      <c r="AD648" s="2101">
        <f t="shared" si="471"/>
        <v>0</v>
      </c>
      <c r="AE648" s="2955">
        <f>'BUS Deemed Savings Table'!DD588</f>
        <v>983.18309211124892</v>
      </c>
      <c r="AF648" s="2956"/>
      <c r="AG648" s="2956"/>
      <c r="AH648" s="2956"/>
      <c r="AI648" s="2244" t="str">
        <f>'BUS Deemed Savings Table'!L588</f>
        <v>per measure</v>
      </c>
      <c r="AM648" s="2057">
        <f t="shared" si="474"/>
        <v>1.998949E-4</v>
      </c>
      <c r="AN648">
        <f t="shared" si="468"/>
        <v>0.38749026680300003</v>
      </c>
      <c r="AO648" s="2048">
        <f t="shared" si="475"/>
        <v>2.6680300002634993E-7</v>
      </c>
    </row>
    <row r="649" spans="2:41" x14ac:dyDescent="0.25">
      <c r="B649" s="2240" t="str">
        <f>'BUS Deemed Savings Table'!C589</f>
        <v>805300_2019_12_</v>
      </c>
      <c r="C649" s="208" t="str">
        <f>'BUS Deemed Savings Table'!G589</f>
        <v>Cooking BUS</v>
      </c>
      <c r="D649" s="208"/>
      <c r="E649" s="208"/>
      <c r="F649" s="208"/>
      <c r="G649" s="208" t="str">
        <f>'BUS Deemed Savings Table'!E589</f>
        <v>Convection Oven (Half Size)</v>
      </c>
      <c r="H649" s="622" t="str">
        <f>'BUS Deemed Savings Table'!D589</f>
        <v>C&amp;I</v>
      </c>
      <c r="I649" s="2084">
        <f>'BUS Deemed Savings Table'!F589</f>
        <v>192.11</v>
      </c>
      <c r="J649" s="2084"/>
      <c r="K649" s="2113"/>
      <c r="L649" s="2113"/>
      <c r="M649" s="2113"/>
      <c r="N649" s="2113"/>
      <c r="O649" s="2085">
        <f>'BUS Deemed Savings Table'!I589</f>
        <v>3.8401999999999999E-2</v>
      </c>
      <c r="P649" s="2085"/>
      <c r="Q649" s="2086"/>
      <c r="R649" s="2086"/>
      <c r="S649" s="2086"/>
      <c r="T649" s="2086"/>
      <c r="U649" s="2100">
        <f t="shared" si="476"/>
        <v>0</v>
      </c>
      <c r="V649" s="2100">
        <f t="shared" si="477"/>
        <v>3.8401999999999999E-2</v>
      </c>
      <c r="W649" s="2100">
        <f t="shared" si="478"/>
        <v>0</v>
      </c>
      <c r="X649" s="2121">
        <f>'BUS Deemed Savings Table'!J589</f>
        <v>12</v>
      </c>
      <c r="Y649" s="2121"/>
      <c r="Z649" s="88">
        <f t="shared" si="479"/>
        <v>12</v>
      </c>
      <c r="AA649" s="2102"/>
      <c r="AB649" s="2917">
        <f>'BUS Deemed Savings Table'!K589</f>
        <v>0</v>
      </c>
      <c r="AC649" s="2101">
        <f t="shared" si="470"/>
        <v>97.437310778857565</v>
      </c>
      <c r="AD649" s="2101">
        <f t="shared" si="471"/>
        <v>0</v>
      </c>
      <c r="AE649" s="2955">
        <f>'BUS Deemed Savings Table'!DD589</f>
        <v>97.437310778857565</v>
      </c>
      <c r="AF649" s="2956"/>
      <c r="AG649" s="2956"/>
      <c r="AH649" s="2956"/>
      <c r="AI649" s="2244" t="str">
        <f>'BUS Deemed Savings Table'!L589</f>
        <v>per measure</v>
      </c>
      <c r="AM649" s="2057">
        <f t="shared" si="474"/>
        <v>1.998949E-4</v>
      </c>
      <c r="AN649">
        <f t="shared" si="468"/>
        <v>3.8401809239000002E-2</v>
      </c>
      <c r="AO649" s="2048">
        <f t="shared" si="475"/>
        <v>-1.907609999962645E-7</v>
      </c>
    </row>
    <row r="650" spans="2:41" x14ac:dyDescent="0.25">
      <c r="B650" s="2240" t="str">
        <f>'BUS Deemed Savings Table'!C606</f>
        <v>805350_2019_12_</v>
      </c>
      <c r="C650" s="208" t="str">
        <f>'BUS Deemed Savings Table'!G606</f>
        <v>Cooking BUS</v>
      </c>
      <c r="D650" s="208"/>
      <c r="E650" s="208"/>
      <c r="F650" s="208"/>
      <c r="G650" s="208" t="str">
        <f>'BUS Deemed Savings Table'!E606</f>
        <v>Griddle</v>
      </c>
      <c r="H650" s="622" t="str">
        <f>'BUS Deemed Savings Table'!D606</f>
        <v>C&amp;I</v>
      </c>
      <c r="I650" s="2084">
        <f>'BUS Deemed Savings Table'!F606</f>
        <v>1910.38</v>
      </c>
      <c r="J650" s="2084"/>
      <c r="K650" s="2113"/>
      <c r="L650" s="2113"/>
      <c r="M650" s="2113"/>
      <c r="N650" s="2113"/>
      <c r="O650" s="2085">
        <f>'BUS Deemed Savings Table'!I606</f>
        <v>0.38187500000000002</v>
      </c>
      <c r="P650" s="2085"/>
      <c r="Q650" s="2086"/>
      <c r="R650" s="2086"/>
      <c r="S650" s="2086"/>
      <c r="T650" s="2086"/>
      <c r="U650" s="2100">
        <f t="shared" si="476"/>
        <v>0</v>
      </c>
      <c r="V650" s="2100">
        <f t="shared" si="477"/>
        <v>0.38187500000000002</v>
      </c>
      <c r="W650" s="2100">
        <f t="shared" si="478"/>
        <v>0</v>
      </c>
      <c r="X650" s="2121">
        <f>'BUS Deemed Savings Table'!J606</f>
        <v>12</v>
      </c>
      <c r="Y650" s="2121"/>
      <c r="Z650" s="88">
        <f t="shared" si="479"/>
        <v>12</v>
      </c>
      <c r="AA650" s="2102"/>
      <c r="AB650" s="2917">
        <f>'BUS Deemed Savings Table'!K606</f>
        <v>0</v>
      </c>
      <c r="AC650" s="2101">
        <f t="shared" si="470"/>
        <v>968.93597296191729</v>
      </c>
      <c r="AD650" s="2101">
        <f t="shared" si="471"/>
        <v>0</v>
      </c>
      <c r="AE650" s="2955">
        <f>'BUS Deemed Savings Table'!DD606</f>
        <v>968.93597296191729</v>
      </c>
      <c r="AF650" s="2956"/>
      <c r="AG650" s="2956"/>
      <c r="AH650" s="2956"/>
      <c r="AI650" s="2244" t="str">
        <f>'BUS Deemed Savings Table'!L606</f>
        <v>per measure</v>
      </c>
      <c r="AM650" s="2057">
        <f t="shared" si="474"/>
        <v>1.998949E-4</v>
      </c>
      <c r="AN650">
        <f t="shared" si="468"/>
        <v>0.381875219062</v>
      </c>
      <c r="AO650" s="2048">
        <f t="shared" si="475"/>
        <v>2.1906199998422693E-7</v>
      </c>
    </row>
    <row r="651" spans="2:41" s="2277" customFormat="1" x14ac:dyDescent="0.25">
      <c r="B651" s="2307" t="str">
        <f>'BUS Deemed Savings Table'!C622</f>
        <v>805405_2020_07_</v>
      </c>
      <c r="C651" s="2305" t="str">
        <f>'BUS Deemed Savings Table'!G622</f>
        <v>Cooking BUS</v>
      </c>
      <c r="D651" s="2305"/>
      <c r="E651" s="2305"/>
      <c r="F651" s="2305"/>
      <c r="G651" s="2305" t="str">
        <f>'BUS Deemed Savings Table'!E622</f>
        <v>Kitchen Demand Ventilation Controls, Retrofit</v>
      </c>
      <c r="H651" s="2322" t="str">
        <f>'BUS Deemed Savings Table'!D622</f>
        <v>C&amp;I</v>
      </c>
      <c r="I651" s="2320">
        <f>'BUS Deemed Savings Table'!F622</f>
        <v>4197</v>
      </c>
      <c r="J651" s="2320"/>
      <c r="K651" s="2310"/>
      <c r="L651" s="2310"/>
      <c r="M651" s="2310"/>
      <c r="N651" s="2310"/>
      <c r="O651" s="2321">
        <f>'BUS Deemed Savings Table'!I622</f>
        <v>0.83895889530000001</v>
      </c>
      <c r="P651" s="2321"/>
      <c r="Q651" s="2323"/>
      <c r="R651" s="2323"/>
      <c r="S651" s="2323"/>
      <c r="T651" s="2323"/>
      <c r="U651" s="2273">
        <f t="shared" ref="U651" si="480">IF(V651+W651&gt;0,0,IF(Z651&gt;0,O651,0))</f>
        <v>0</v>
      </c>
      <c r="V651" s="2273">
        <f t="shared" ref="V651" si="481">IF(W651&gt;0,0,IF(Z651&gt;9,O651,0))</f>
        <v>0</v>
      </c>
      <c r="W651" s="2273">
        <f t="shared" ref="W651" si="482">IF(Z651&gt;14,O651,0)</f>
        <v>0.83895889530000001</v>
      </c>
      <c r="X651" s="2299">
        <f>'BUS Deemed Savings Table'!J622</f>
        <v>15</v>
      </c>
      <c r="Y651" s="2299"/>
      <c r="Z651" s="2299">
        <f t="shared" ref="Z651" si="483">Y651+X651</f>
        <v>15</v>
      </c>
      <c r="AA651" s="2298">
        <f>'BUS Deemed Savings Table'!DB622</f>
        <v>1.3891185390100806</v>
      </c>
      <c r="AB651" s="2919">
        <f>'BUS Deemed Savings Table'!K622</f>
        <v>1991</v>
      </c>
      <c r="AC651" s="2274">
        <f t="shared" ref="AC651" si="484">AE651+AF651</f>
        <v>2610.4153007730724</v>
      </c>
      <c r="AD651" s="2274">
        <f t="shared" ref="AD651" si="485">AG651+AH651</f>
        <v>0</v>
      </c>
      <c r="AE651" s="2957">
        <f>'BUS Deemed Savings Table'!DD622</f>
        <v>2610.4153007730724</v>
      </c>
      <c r="AF651" s="2334"/>
      <c r="AG651" s="2334"/>
      <c r="AH651" s="2334"/>
      <c r="AI651" s="2276" t="str">
        <f>'BUS Deemed Savings Table'!L622</f>
        <v>per HP</v>
      </c>
      <c r="AM651" s="2319">
        <f t="shared" ref="AM651" si="486">VLOOKUP(C651,$AS$10:$AT$47,2,FALSE)</f>
        <v>1.998949E-4</v>
      </c>
      <c r="AN651" s="2277">
        <f t="shared" ref="AN651" si="487">AM651*I651</f>
        <v>0.83895889530000001</v>
      </c>
      <c r="AO651" s="2318">
        <f t="shared" ref="AO651" si="488">AN651-O651</f>
        <v>0</v>
      </c>
    </row>
    <row r="652" spans="2:41" s="2277" customFormat="1" x14ac:dyDescent="0.25">
      <c r="B652" s="2307" t="str">
        <f>'BUS Deemed Savings Table'!C623</f>
        <v>805410_2020_07_</v>
      </c>
      <c r="C652" s="2305" t="str">
        <f>'BUS Deemed Savings Table'!G623</f>
        <v>Cooking BUS</v>
      </c>
      <c r="D652" s="2305"/>
      <c r="E652" s="2305"/>
      <c r="F652" s="2305"/>
      <c r="G652" s="2305" t="str">
        <f>'BUS Deemed Savings Table'!E623</f>
        <v>Kitchen Demand Ventilation Controls, New</v>
      </c>
      <c r="H652" s="2322" t="str">
        <f>'BUS Deemed Savings Table'!D623</f>
        <v>C&amp;I</v>
      </c>
      <c r="I652" s="2320">
        <f>'BUS Deemed Savings Table'!F623</f>
        <v>4197</v>
      </c>
      <c r="J652" s="2320"/>
      <c r="K652" s="2310"/>
      <c r="L652" s="2310"/>
      <c r="M652" s="2310"/>
      <c r="N652" s="2310"/>
      <c r="O652" s="2321">
        <f>'BUS Deemed Savings Table'!I623</f>
        <v>0.83895889530000001</v>
      </c>
      <c r="P652" s="2321"/>
      <c r="Q652" s="2323"/>
      <c r="R652" s="2323"/>
      <c r="S652" s="2323"/>
      <c r="T652" s="2323"/>
      <c r="U652" s="2273">
        <f t="shared" ref="U652" si="489">IF(V652+W652&gt;0,0,IF(Z652&gt;0,O652,0))</f>
        <v>0</v>
      </c>
      <c r="V652" s="2273">
        <f t="shared" ref="V652" si="490">IF(W652&gt;0,0,IF(Z652&gt;9,O652,0))</f>
        <v>0</v>
      </c>
      <c r="W652" s="2273">
        <f t="shared" ref="W652" si="491">IF(Z652&gt;14,O652,0)</f>
        <v>0.83895889530000001</v>
      </c>
      <c r="X652" s="2299">
        <f>'BUS Deemed Savings Table'!J623</f>
        <v>15</v>
      </c>
      <c r="Y652" s="2299"/>
      <c r="Z652" s="2299">
        <f t="shared" ref="Z652" si="492">Y652+X652</f>
        <v>15</v>
      </c>
      <c r="AA652" s="2298">
        <f>'BUS Deemed Savings Table'!DB623</f>
        <v>1.3891185390100806</v>
      </c>
      <c r="AB652" s="2919">
        <f>'BUS Deemed Savings Table'!K623</f>
        <v>1991</v>
      </c>
      <c r="AC652" s="2274">
        <f t="shared" ref="AC652" si="493">AE652+AF652</f>
        <v>2610.4153007730724</v>
      </c>
      <c r="AD652" s="2274">
        <f t="shared" ref="AD652" si="494">AG652+AH652</f>
        <v>0</v>
      </c>
      <c r="AE652" s="2957">
        <f>'BUS Deemed Savings Table'!DD623</f>
        <v>2610.4153007730724</v>
      </c>
      <c r="AF652" s="2334"/>
      <c r="AG652" s="2334"/>
      <c r="AH652" s="2334"/>
      <c r="AI652" s="2276" t="str">
        <f>'BUS Deemed Savings Table'!L623</f>
        <v>per HP</v>
      </c>
      <c r="AM652" s="2319">
        <f t="shared" ref="AM652" si="495">VLOOKUP(C652,$AS$10:$AT$47,2,FALSE)</f>
        <v>1.998949E-4</v>
      </c>
      <c r="AN652" s="2277">
        <f t="shared" ref="AN652" si="496">AM652*I652</f>
        <v>0.83895889530000001</v>
      </c>
      <c r="AO652" s="2318">
        <f t="shared" ref="AO652" si="497">AN652-O652</f>
        <v>0</v>
      </c>
    </row>
    <row r="653" spans="2:41" x14ac:dyDescent="0.25">
      <c r="B653" s="2240" t="str">
        <f>'BUS Deemed Savings Table'!C640</f>
        <v>805450_2019_12_</v>
      </c>
      <c r="C653" s="208" t="str">
        <f>'BUS Deemed Savings Table'!G640</f>
        <v>Cooking BUS</v>
      </c>
      <c r="D653" s="208"/>
      <c r="E653" s="208"/>
      <c r="F653" s="208"/>
      <c r="G653" s="208" t="str">
        <f>'BUS Deemed Savings Table'!E640</f>
        <v>Pre-Rinse Spray Valve</v>
      </c>
      <c r="H653" s="622" t="str">
        <f>'BUS Deemed Savings Table'!D640</f>
        <v>C&amp;I</v>
      </c>
      <c r="I653" s="2084">
        <f>'BUS Deemed Savings Table'!F640</f>
        <v>5786.53</v>
      </c>
      <c r="J653" s="2084"/>
      <c r="K653" s="2113"/>
      <c r="L653" s="2113"/>
      <c r="M653" s="2113"/>
      <c r="N653" s="2113"/>
      <c r="O653" s="2085">
        <f>'BUS Deemed Savings Table'!I640</f>
        <v>1.156698</v>
      </c>
      <c r="P653" s="2085"/>
      <c r="Q653" s="2086"/>
      <c r="R653" s="2086"/>
      <c r="S653" s="2086"/>
      <c r="T653" s="2086"/>
      <c r="U653" s="2100">
        <f t="shared" si="476"/>
        <v>1.156698</v>
      </c>
      <c r="V653" s="2100">
        <f t="shared" si="477"/>
        <v>0</v>
      </c>
      <c r="W653" s="2100">
        <f t="shared" si="478"/>
        <v>0</v>
      </c>
      <c r="X653" s="2121">
        <f>'BUS Deemed Savings Table'!J640</f>
        <v>5</v>
      </c>
      <c r="Y653" s="2121"/>
      <c r="Z653" s="88">
        <f t="shared" si="479"/>
        <v>5</v>
      </c>
      <c r="AA653" s="637">
        <f>'BUS Deemed Savings Table'!DB640</f>
        <v>13.620824362026044</v>
      </c>
      <c r="AB653" s="2917">
        <f>'BUS Deemed Savings Table'!K640</f>
        <v>92.9</v>
      </c>
      <c r="AC653" s="2101">
        <f t="shared" si="470"/>
        <v>1194.3129619936003</v>
      </c>
      <c r="AD653" s="2101">
        <f t="shared" si="471"/>
        <v>0</v>
      </c>
      <c r="AE653" s="2955">
        <f>'BUS Deemed Savings Table'!DD640</f>
        <v>1194.3129619936003</v>
      </c>
      <c r="AF653" s="2956"/>
      <c r="AG653" s="2956"/>
      <c r="AH653" s="2956"/>
      <c r="AI653" s="2244" t="str">
        <f>'BUS Deemed Savings Table'!L640</f>
        <v>per measure</v>
      </c>
      <c r="AM653" s="2057">
        <f t="shared" si="474"/>
        <v>1.998949E-4</v>
      </c>
      <c r="AN653">
        <f t="shared" si="468"/>
        <v>1.1566978356969999</v>
      </c>
      <c r="AO653" s="2048">
        <f t="shared" si="475"/>
        <v>-1.643030000941792E-7</v>
      </c>
    </row>
    <row r="654" spans="2:41" x14ac:dyDescent="0.25">
      <c r="B654" s="2240" t="str">
        <f>'BUS Deemed Savings Table'!C656</f>
        <v>805500_2019_12_</v>
      </c>
      <c r="C654" s="208" t="str">
        <f>'BUS Deemed Savings Table'!G656</f>
        <v>Water Heating BUS</v>
      </c>
      <c r="D654" s="208"/>
      <c r="E654" s="208"/>
      <c r="F654" s="208"/>
      <c r="G654" s="208" t="str">
        <f>'BUS Deemed Savings Table'!E656</f>
        <v>Low Flow Faucet Aerator</v>
      </c>
      <c r="H654" s="622" t="str">
        <f>'BUS Deemed Savings Table'!D656</f>
        <v>C&amp;I</v>
      </c>
      <c r="I654" s="2084">
        <f>'BUS Deemed Savings Table'!F656</f>
        <v>86.63</v>
      </c>
      <c r="J654" s="2084"/>
      <c r="K654" s="2113"/>
      <c r="L654" s="2113"/>
      <c r="M654" s="2113"/>
      <c r="N654" s="2113"/>
      <c r="O654" s="2085">
        <f>'BUS Deemed Savings Table'!I656</f>
        <v>1.5692999999999999E-2</v>
      </c>
      <c r="P654" s="2085"/>
      <c r="Q654" s="2086"/>
      <c r="R654" s="2086"/>
      <c r="S654" s="2086"/>
      <c r="T654" s="2086"/>
      <c r="U654" s="2100">
        <f t="shared" si="476"/>
        <v>1.5692999999999999E-2</v>
      </c>
      <c r="V654" s="2100">
        <f t="shared" si="477"/>
        <v>0</v>
      </c>
      <c r="W654" s="2100">
        <f t="shared" si="478"/>
        <v>0</v>
      </c>
      <c r="X654" s="2121">
        <f>'BUS Deemed Savings Table'!J656</f>
        <v>9</v>
      </c>
      <c r="Y654" s="2121"/>
      <c r="Z654" s="88">
        <f t="shared" si="479"/>
        <v>9</v>
      </c>
      <c r="AA654" s="637">
        <f>'BUS Deemed Savings Table'!DB656</f>
        <v>4.4408857087525675</v>
      </c>
      <c r="AB654" s="2917">
        <f>'BUS Deemed Savings Table'!K656</f>
        <v>8</v>
      </c>
      <c r="AC654" s="2101">
        <f t="shared" si="470"/>
        <v>33.531935507334154</v>
      </c>
      <c r="AD654" s="2101">
        <f t="shared" si="471"/>
        <v>0</v>
      </c>
      <c r="AE654" s="2955">
        <f>'BUS Deemed Savings Table'!DD656</f>
        <v>33.531935507334154</v>
      </c>
      <c r="AF654" s="2956"/>
      <c r="AG654" s="2956"/>
      <c r="AH654" s="2956"/>
      <c r="AI654" s="2244" t="str">
        <f>'BUS Deemed Savings Table'!L656</f>
        <v>per measure</v>
      </c>
      <c r="AM654" s="2057">
        <f t="shared" si="474"/>
        <v>1.811545E-4</v>
      </c>
      <c r="AN654">
        <f t="shared" si="468"/>
        <v>1.5693414334999999E-2</v>
      </c>
      <c r="AO654" s="2048">
        <f t="shared" si="475"/>
        <v>4.1433500000062629E-7</v>
      </c>
    </row>
    <row r="655" spans="2:41" x14ac:dyDescent="0.25">
      <c r="B655" s="2240" t="str">
        <f>'BUS Deemed Savings Table'!C672</f>
        <v>805550_2019_12_</v>
      </c>
      <c r="C655" s="208" t="str">
        <f>'BUS Deemed Savings Table'!G672</f>
        <v>Miscellaneous BUS</v>
      </c>
      <c r="D655" s="208"/>
      <c r="E655" s="208"/>
      <c r="F655" s="208"/>
      <c r="G655" s="208" t="str">
        <f>'BUS Deemed Savings Table'!E672</f>
        <v>Circulator Pump</v>
      </c>
      <c r="H655" s="622" t="str">
        <f>'BUS Deemed Savings Table'!D672</f>
        <v>C&amp;I</v>
      </c>
      <c r="I655" s="2084">
        <f>'BUS Deemed Savings Table'!F672</f>
        <v>651</v>
      </c>
      <c r="J655" s="2084"/>
      <c r="K655" s="2113"/>
      <c r="L655" s="2113"/>
      <c r="M655" s="2113"/>
      <c r="N655" s="2113"/>
      <c r="O655" s="2085">
        <f>'BUS Deemed Savings Table'!I672</f>
        <v>8.9801000000000006E-2</v>
      </c>
      <c r="P655" s="2085"/>
      <c r="Q655" s="2086"/>
      <c r="R655" s="2086"/>
      <c r="S655" s="2086"/>
      <c r="T655" s="2086"/>
      <c r="U655" s="2100">
        <f t="shared" si="476"/>
        <v>0</v>
      </c>
      <c r="V655" s="2100">
        <f t="shared" si="477"/>
        <v>0</v>
      </c>
      <c r="W655" s="2100">
        <f t="shared" si="478"/>
        <v>8.9801000000000006E-2</v>
      </c>
      <c r="X655" s="2121">
        <f>'BUS Deemed Savings Table'!J672</f>
        <v>15</v>
      </c>
      <c r="Y655" s="2121"/>
      <c r="Z655" s="88">
        <f t="shared" si="479"/>
        <v>15</v>
      </c>
      <c r="AA655" s="637">
        <f>'BUS Deemed Savings Table'!DB672</f>
        <v>0.30815053912703838</v>
      </c>
      <c r="AB655" s="2917">
        <f>'BUS Deemed Savings Table'!K672</f>
        <v>1200</v>
      </c>
      <c r="AC655" s="2101">
        <f t="shared" si="470"/>
        <v>349.01429632132704</v>
      </c>
      <c r="AD655" s="2101">
        <f t="shared" si="471"/>
        <v>0</v>
      </c>
      <c r="AE655" s="2955">
        <f>'BUS Deemed Savings Table'!DD672</f>
        <v>349.01429632132704</v>
      </c>
      <c r="AF655" s="2956"/>
      <c r="AG655" s="2956"/>
      <c r="AH655" s="2956"/>
      <c r="AI655" s="2244" t="str">
        <f>'BUS Deemed Savings Table'!L672</f>
        <v>per measure</v>
      </c>
      <c r="AM655" s="2057">
        <f t="shared" si="474"/>
        <v>1.379439E-4</v>
      </c>
      <c r="AN655">
        <f t="shared" si="468"/>
        <v>8.9801478899999995E-2</v>
      </c>
      <c r="AO655" s="2048">
        <f t="shared" si="475"/>
        <v>4.7889999998940169E-7</v>
      </c>
    </row>
    <row r="656" spans="2:41" x14ac:dyDescent="0.25">
      <c r="B656" s="2240" t="str">
        <f>'BUS Deemed Savings Table'!C688</f>
        <v>805600_2019_12_</v>
      </c>
      <c r="C656" s="208" t="str">
        <f>'BUS Deemed Savings Table'!G688</f>
        <v>Cooling BUS</v>
      </c>
      <c r="D656" s="208"/>
      <c r="E656" s="208"/>
      <c r="F656" s="208"/>
      <c r="G656" s="208" t="str">
        <f>'BUS Deemed Savings Table'!E688</f>
        <v>Small Commercial Programmable Thermostats</v>
      </c>
      <c r="H656" s="622" t="str">
        <f>'BUS Deemed Savings Table'!D688</f>
        <v>C&amp;I</v>
      </c>
      <c r="I656" s="2084">
        <f>'BUS Deemed Savings Table'!F688</f>
        <v>0.03</v>
      </c>
      <c r="J656" s="2084"/>
      <c r="K656" s="2115"/>
      <c r="L656" s="2113"/>
      <c r="M656" s="2113"/>
      <c r="N656" s="2113"/>
      <c r="O656" s="2085">
        <f>'BUS Deemed Savings Table'!I688</f>
        <v>2.6999999999999999E-5</v>
      </c>
      <c r="P656" s="2085"/>
      <c r="Q656" s="2086"/>
      <c r="R656" s="2086"/>
      <c r="S656" s="2086"/>
      <c r="T656" s="2086"/>
      <c r="U656" s="2100">
        <f t="shared" si="476"/>
        <v>2.6999999999999999E-5</v>
      </c>
      <c r="V656" s="2100">
        <f t="shared" si="477"/>
        <v>0</v>
      </c>
      <c r="W656" s="2100">
        <f t="shared" si="478"/>
        <v>0</v>
      </c>
      <c r="X656" s="2121">
        <f>'BUS Deemed Savings Table'!J688</f>
        <v>8</v>
      </c>
      <c r="Y656" s="2121"/>
      <c r="Z656" s="88">
        <f t="shared" si="479"/>
        <v>8</v>
      </c>
      <c r="AA656" s="637">
        <f>'BUS Deemed Savings Table'!DB688</f>
        <v>1.3267360914294256E-4</v>
      </c>
      <c r="AB656" s="2917">
        <f>'BUS Deemed Savings Table'!K688</f>
        <v>181</v>
      </c>
      <c r="AC656" s="2101">
        <f t="shared" si="470"/>
        <v>2.2665335776189333E-2</v>
      </c>
      <c r="AD656" s="2101">
        <f t="shared" si="471"/>
        <v>0</v>
      </c>
      <c r="AE656" s="2955">
        <f>'BUS Deemed Savings Table'!DD688</f>
        <v>2.2665335776189333E-2</v>
      </c>
      <c r="AF656" s="2956"/>
      <c r="AG656" s="2956"/>
      <c r="AH656" s="2956"/>
      <c r="AI656" s="2244" t="str">
        <f>'BUS Deemed Savings Table'!L688</f>
        <v>per measure</v>
      </c>
      <c r="AM656" s="2057">
        <f t="shared" si="474"/>
        <v>9.1068400000000004E-4</v>
      </c>
      <c r="AN656">
        <f t="shared" si="468"/>
        <v>2.7320520000000002E-5</v>
      </c>
      <c r="AO656" s="2048">
        <f t="shared" si="475"/>
        <v>3.2052000000000282E-7</v>
      </c>
    </row>
    <row r="657" spans="2:42" x14ac:dyDescent="0.25">
      <c r="B657" s="2240" t="str">
        <f>'BUS Deemed Savings Table'!C704</f>
        <v>805650_2019_12_</v>
      </c>
      <c r="C657" s="208" t="str">
        <f>'BUS Deemed Savings Table'!G704</f>
        <v>Cooling BUS</v>
      </c>
      <c r="D657" s="208"/>
      <c r="E657" s="208"/>
      <c r="F657" s="208"/>
      <c r="G657" s="208" t="str">
        <f>'BUS Deemed Savings Table'!E704</f>
        <v>Demand Controlled Ventillation (Gas Heat)</v>
      </c>
      <c r="H657" s="622" t="str">
        <f>'BUS Deemed Savings Table'!D704</f>
        <v>C&amp;I</v>
      </c>
      <c r="I657" s="2084">
        <f>'BUS Deemed Savings Table'!F704</f>
        <v>0.67</v>
      </c>
      <c r="J657" s="2084"/>
      <c r="K657" s="2115"/>
      <c r="L657" s="2113"/>
      <c r="M657" s="2113"/>
      <c r="N657" s="2113"/>
      <c r="O657" s="2085">
        <f>'BUS Deemed Savings Table'!I704</f>
        <v>6.0999999999999997E-4</v>
      </c>
      <c r="P657" s="2085"/>
      <c r="Q657" s="2086"/>
      <c r="R657" s="2086"/>
      <c r="S657" s="2086"/>
      <c r="T657" s="2086"/>
      <c r="U657" s="2100">
        <f t="shared" si="476"/>
        <v>0</v>
      </c>
      <c r="V657" s="2100">
        <f t="shared" si="477"/>
        <v>6.0999999999999997E-4</v>
      </c>
      <c r="W657" s="2100">
        <f t="shared" si="478"/>
        <v>0</v>
      </c>
      <c r="X657" s="2121">
        <f>'BUS Deemed Savings Table'!J704</f>
        <v>10</v>
      </c>
      <c r="Y657" s="2121"/>
      <c r="Z657" s="88">
        <f t="shared" si="479"/>
        <v>10</v>
      </c>
      <c r="AA657" s="2102"/>
      <c r="AB657" s="2917" t="str">
        <f>'BUS Deemed Savings Table'!K704</f>
        <v>Actual</v>
      </c>
      <c r="AC657" s="2101">
        <f t="shared" si="470"/>
        <v>0.64473631483919813</v>
      </c>
      <c r="AD657" s="2101">
        <f t="shared" si="471"/>
        <v>0</v>
      </c>
      <c r="AE657" s="2955">
        <f>'BUS Deemed Savings Table'!DD704</f>
        <v>0.64473631483919813</v>
      </c>
      <c r="AF657" s="2956"/>
      <c r="AG657" s="2956"/>
      <c r="AH657" s="2956"/>
      <c r="AI657" s="2244" t="str">
        <f>'BUS Deemed Savings Table'!L704</f>
        <v>per sq. ft.</v>
      </c>
      <c r="AM657" s="2057">
        <f t="shared" si="474"/>
        <v>9.1068400000000004E-4</v>
      </c>
      <c r="AN657">
        <f t="shared" si="468"/>
        <v>6.1015828000000004E-4</v>
      </c>
      <c r="AO657" s="2048">
        <f t="shared" si="475"/>
        <v>1.5828000000006788E-7</v>
      </c>
    </row>
    <row r="658" spans="2:42" x14ac:dyDescent="0.25">
      <c r="B658" s="2240" t="str">
        <f>'BUS Deemed Savings Table'!C705</f>
        <v>805700_2019_12_</v>
      </c>
      <c r="C658" s="208" t="str">
        <f>'BUS Deemed Savings Table'!G705</f>
        <v>Cooling BUS</v>
      </c>
      <c r="D658" s="208"/>
      <c r="E658" s="208"/>
      <c r="F658" s="208"/>
      <c r="G658" s="208" t="str">
        <f>'BUS Deemed Savings Table'!E705</f>
        <v>Demand Controlled Ventillation (Electric Heat)</v>
      </c>
      <c r="H658" s="622" t="str">
        <f>'BUS Deemed Savings Table'!D705</f>
        <v>C&amp;I</v>
      </c>
      <c r="I658" s="2084">
        <f>'BUS Deemed Savings Table'!F705</f>
        <v>1.9</v>
      </c>
      <c r="J658" s="2084"/>
      <c r="K658" s="2115"/>
      <c r="L658" s="2113"/>
      <c r="M658" s="2113"/>
      <c r="N658" s="2113"/>
      <c r="O658" s="2085">
        <f>'BUS Deemed Savings Table'!I705</f>
        <v>1.73E-3</v>
      </c>
      <c r="P658" s="2085"/>
      <c r="Q658" s="2086"/>
      <c r="R658" s="2086"/>
      <c r="S658" s="2086"/>
      <c r="T658" s="2086"/>
      <c r="U658" s="2100">
        <f t="shared" si="476"/>
        <v>0</v>
      </c>
      <c r="V658" s="2100">
        <f t="shared" si="477"/>
        <v>1.73E-3</v>
      </c>
      <c r="W658" s="2100">
        <f t="shared" si="478"/>
        <v>0</v>
      </c>
      <c r="X658" s="2121">
        <f>'BUS Deemed Savings Table'!J705</f>
        <v>10</v>
      </c>
      <c r="Y658" s="2121"/>
      <c r="Z658" s="88">
        <f t="shared" si="479"/>
        <v>10</v>
      </c>
      <c r="AA658" s="2102"/>
      <c r="AB658" s="2917" t="str">
        <f>'BUS Deemed Savings Table'!K705</f>
        <v>Actual</v>
      </c>
      <c r="AC658" s="2101">
        <f t="shared" si="470"/>
        <v>1.8283567137230989</v>
      </c>
      <c r="AD658" s="2101">
        <f t="shared" si="471"/>
        <v>0</v>
      </c>
      <c r="AE658" s="2955">
        <f>'BUS Deemed Savings Table'!DD705</f>
        <v>1.8283567137230989</v>
      </c>
      <c r="AF658" s="2956"/>
      <c r="AG658" s="2956"/>
      <c r="AH658" s="2956"/>
      <c r="AI658" s="2244" t="str">
        <f>'BUS Deemed Savings Table'!L705</f>
        <v>per sq. ft.</v>
      </c>
      <c r="AM658" s="2057">
        <f t="shared" si="474"/>
        <v>9.1068400000000004E-4</v>
      </c>
      <c r="AN658">
        <f t="shared" si="468"/>
        <v>1.7302996E-3</v>
      </c>
      <c r="AO658" s="2048">
        <f t="shared" si="475"/>
        <v>2.9960000000003352E-7</v>
      </c>
    </row>
    <row r="659" spans="2:42" x14ac:dyDescent="0.25">
      <c r="B659" s="2240" t="str">
        <f>'BUS Deemed Savings Table'!C706</f>
        <v>805750_2019_12_</v>
      </c>
      <c r="C659" s="208" t="str">
        <f>'BUS Deemed Savings Table'!G706</f>
        <v>Cooling BUS</v>
      </c>
      <c r="D659" s="208"/>
      <c r="E659" s="208"/>
      <c r="F659" s="208"/>
      <c r="G659" s="208" t="str">
        <f>'BUS Deemed Savings Table'!E706</f>
        <v>Demand Controlled Ventillation (Heat Pump)</v>
      </c>
      <c r="H659" s="622" t="str">
        <f>'BUS Deemed Savings Table'!D706</f>
        <v>C&amp;I</v>
      </c>
      <c r="I659" s="2084">
        <f>'BUS Deemed Savings Table'!F706</f>
        <v>1.08</v>
      </c>
      <c r="J659" s="2084"/>
      <c r="K659" s="2115"/>
      <c r="L659" s="2113"/>
      <c r="M659" s="2113"/>
      <c r="N659" s="2113"/>
      <c r="O659" s="2085">
        <f>'BUS Deemed Savings Table'!I706</f>
        <v>9.8400000000000007E-4</v>
      </c>
      <c r="P659" s="2085"/>
      <c r="Q659" s="2086"/>
      <c r="R659" s="2086"/>
      <c r="S659" s="2086"/>
      <c r="T659" s="2086"/>
      <c r="U659" s="2100">
        <f t="shared" si="476"/>
        <v>0</v>
      </c>
      <c r="V659" s="2100">
        <f t="shared" si="477"/>
        <v>9.8400000000000007E-4</v>
      </c>
      <c r="W659" s="2100">
        <f t="shared" si="478"/>
        <v>0</v>
      </c>
      <c r="X659" s="2121">
        <f>'BUS Deemed Savings Table'!J706</f>
        <v>10</v>
      </c>
      <c r="Y659" s="2121"/>
      <c r="Z659" s="88">
        <f t="shared" si="479"/>
        <v>10</v>
      </c>
      <c r="AA659" s="2102"/>
      <c r="AB659" s="2917" t="str">
        <f>'BUS Deemed Savings Table'!K706</f>
        <v>Actual</v>
      </c>
      <c r="AC659" s="2101">
        <f t="shared" si="470"/>
        <v>1.0392764478004985</v>
      </c>
      <c r="AD659" s="2101">
        <f t="shared" si="471"/>
        <v>0</v>
      </c>
      <c r="AE659" s="2955">
        <f>'BUS Deemed Savings Table'!DD706</f>
        <v>1.0392764478004985</v>
      </c>
      <c r="AF659" s="2956"/>
      <c r="AG659" s="2956"/>
      <c r="AH659" s="2956"/>
      <c r="AI659" s="2244" t="str">
        <f>'BUS Deemed Savings Table'!L706</f>
        <v>per sq. ft.</v>
      </c>
      <c r="AM659" s="2057">
        <f t="shared" si="474"/>
        <v>9.1068400000000004E-4</v>
      </c>
      <c r="AN659">
        <f t="shared" si="468"/>
        <v>9.8353872000000011E-4</v>
      </c>
      <c r="AO659" s="2048">
        <f t="shared" si="475"/>
        <v>-4.6127999999995978E-7</v>
      </c>
    </row>
    <row r="660" spans="2:42" x14ac:dyDescent="0.25">
      <c r="B660" s="2240" t="str">
        <f>'BUS Deemed Savings Table'!C724</f>
        <v>805800_2019_12_</v>
      </c>
      <c r="C660" s="208" t="str">
        <f>'BUS Deemed Savings Table'!G724</f>
        <v>HVAC BUS</v>
      </c>
      <c r="D660" s="208"/>
      <c r="E660" s="208"/>
      <c r="F660" s="208"/>
      <c r="G660" s="208" t="str">
        <f>'BUS Deemed Savings Table'!E724</f>
        <v>Advanced RTU Controls</v>
      </c>
      <c r="H660" s="622" t="str">
        <f>'BUS Deemed Savings Table'!D724</f>
        <v>C&amp;I</v>
      </c>
      <c r="I660" s="2084">
        <f>'BUS Deemed Savings Table'!F724</f>
        <v>3779.33</v>
      </c>
      <c r="J660" s="2084"/>
      <c r="K660" s="2113"/>
      <c r="L660" s="2113"/>
      <c r="M660" s="2113"/>
      <c r="N660" s="2113"/>
      <c r="O660" s="2085">
        <f>'BUS Deemed Savings Table'!I724</f>
        <v>1.6779580000000001</v>
      </c>
      <c r="P660" s="2085"/>
      <c r="Q660" s="2086"/>
      <c r="R660" s="2086"/>
      <c r="S660" s="2086"/>
      <c r="T660" s="2086"/>
      <c r="U660" s="2100">
        <f t="shared" si="476"/>
        <v>0</v>
      </c>
      <c r="V660" s="2100">
        <f t="shared" si="477"/>
        <v>0</v>
      </c>
      <c r="W660" s="2100">
        <f t="shared" si="478"/>
        <v>1.6779580000000001</v>
      </c>
      <c r="X660" s="2121">
        <f>'BUS Deemed Savings Table'!J724</f>
        <v>15</v>
      </c>
      <c r="Y660" s="2121"/>
      <c r="Z660" s="88">
        <f t="shared" si="479"/>
        <v>15</v>
      </c>
      <c r="AA660" s="637">
        <f>'BUS Deemed Savings Table'!DB724</f>
        <v>0.89697006475682783</v>
      </c>
      <c r="AB660" s="2917">
        <f>'BUS Deemed Savings Table'!K724</f>
        <v>4038</v>
      </c>
      <c r="AC660" s="2101">
        <f t="shared" si="470"/>
        <v>3418.5607564776501</v>
      </c>
      <c r="AD660" s="2101">
        <f t="shared" si="471"/>
        <v>0</v>
      </c>
      <c r="AE660" s="2955">
        <f>'BUS Deemed Savings Table'!DD724</f>
        <v>3418.5607564776501</v>
      </c>
      <c r="AF660" s="2956"/>
      <c r="AG660" s="2956"/>
      <c r="AH660" s="2956"/>
      <c r="AI660" s="2244" t="str">
        <f>'BUS Deemed Savings Table'!L724</f>
        <v>per measure</v>
      </c>
      <c r="AM660" s="2057">
        <f t="shared" si="474"/>
        <v>4.4398300000000001E-4</v>
      </c>
      <c r="AN660">
        <f t="shared" si="468"/>
        <v>1.6779582713900001</v>
      </c>
      <c r="AO660" s="2048">
        <f t="shared" si="475"/>
        <v>2.7139000002840419E-7</v>
      </c>
    </row>
    <row r="661" spans="2:42" x14ac:dyDescent="0.25">
      <c r="B661" s="2240" t="str">
        <f>'BUS Deemed Savings Table'!C740</f>
        <v>805850_2019_12_</v>
      </c>
      <c r="C661" s="208" t="str">
        <f>'BUS Deemed Savings Table'!H740</f>
        <v>Cooling BUS</v>
      </c>
      <c r="D661" s="208"/>
      <c r="E661" s="208"/>
      <c r="F661" s="208"/>
      <c r="G661" s="208" t="str">
        <f>'BUS Deemed Savings Table'!E740</f>
        <v>PTAC</v>
      </c>
      <c r="H661" s="622" t="str">
        <f>'BUS Deemed Savings Table'!D740</f>
        <v>C&amp;I</v>
      </c>
      <c r="I661" s="2084">
        <f>'BUS Deemed Savings Table'!F740</f>
        <v>411.27</v>
      </c>
      <c r="J661" s="2084">
        <f>'BUS Deemed Savings Table'!G740</f>
        <v>10.53878231859869</v>
      </c>
      <c r="K661" s="2113"/>
      <c r="L661" s="2113"/>
      <c r="M661" s="2113"/>
      <c r="N661" s="2113"/>
      <c r="O661" s="2085">
        <f>'BUS Deemed Savings Table'!J740</f>
        <v>0.37453700000000001</v>
      </c>
      <c r="P661" s="2085">
        <f>'BUS Deemed Savings Table'!K740</f>
        <v>9.5969999999999996E-3</v>
      </c>
      <c r="Q661" s="2086"/>
      <c r="R661" s="2086"/>
      <c r="S661" s="2086"/>
      <c r="T661" s="2086"/>
      <c r="U661" s="2095">
        <f>IF(V661+W661&gt;0,0,IF(Z661&gt;0,P661,0))</f>
        <v>0</v>
      </c>
      <c r="V661" s="2095">
        <f>IF(W661&gt;0,0,IF(Z661&gt;9,P661,0))</f>
        <v>0</v>
      </c>
      <c r="W661" s="2095">
        <f>IF(Z661&gt;14,P661,0)</f>
        <v>9.5969999999999996E-3</v>
      </c>
      <c r="X661" s="2121">
        <f>'BUS Deemed Savings Table'!L740</f>
        <v>15</v>
      </c>
      <c r="Y661" s="2121"/>
      <c r="Z661" s="88">
        <f t="shared" si="479"/>
        <v>15</v>
      </c>
      <c r="AA661" s="637">
        <f>'BUS Deemed Savings Table'!DB740</f>
        <v>0.59328732895135117</v>
      </c>
      <c r="AB661" s="2917">
        <f>'BUS Deemed Savings Table'!M740</f>
        <v>1047</v>
      </c>
      <c r="AC661" s="2101">
        <f t="shared" si="470"/>
        <v>586.28771440496894</v>
      </c>
      <c r="AD661" s="2101">
        <f t="shared" si="471"/>
        <v>0</v>
      </c>
      <c r="AE661" s="2955">
        <f>'BUS Deemed Savings Table'!DD740</f>
        <v>586.28771440496894</v>
      </c>
      <c r="AF661" s="2956"/>
      <c r="AG661" s="2956"/>
      <c r="AH661" s="2956"/>
      <c r="AI661" s="2258" t="str">
        <f>'BUS Deemed Savings Table'!N740</f>
        <v>per ton</v>
      </c>
      <c r="AM661" s="2060">
        <f t="shared" si="474"/>
        <v>9.1068400000000004E-4</v>
      </c>
      <c r="AN661" s="2061">
        <f t="shared" si="468"/>
        <v>0.37453700868000001</v>
      </c>
      <c r="AO661" s="2059">
        <f t="shared" si="475"/>
        <v>8.6799999965414543E-9</v>
      </c>
    </row>
    <row r="662" spans="2:42" x14ac:dyDescent="0.25">
      <c r="B662" s="2240" t="str">
        <f>'BUS Deemed Savings Table'!C741</f>
        <v>805900_2019_12_</v>
      </c>
      <c r="C662" s="208" t="str">
        <f>'BUS Deemed Savings Table'!H741</f>
        <v>Cooling BUS</v>
      </c>
      <c r="D662" s="208"/>
      <c r="E662" s="208"/>
      <c r="F662" s="208"/>
      <c r="G662" s="208" t="str">
        <f>'BUS Deemed Savings Table'!E741</f>
        <v>PTHP</v>
      </c>
      <c r="H662" s="622" t="str">
        <f>'BUS Deemed Savings Table'!D741</f>
        <v>C&amp;I</v>
      </c>
      <c r="I662" s="2084">
        <f>'BUS Deemed Savings Table'!F741</f>
        <v>715.42</v>
      </c>
      <c r="J662" s="2084">
        <f>'BUS Deemed Savings Table'!G741</f>
        <v>177.09378296037951</v>
      </c>
      <c r="K662" s="2113"/>
      <c r="L662" s="2113"/>
      <c r="M662" s="2113"/>
      <c r="N662" s="2113"/>
      <c r="O662" s="2085">
        <f>'BUS Deemed Savings Table'!J741</f>
        <v>0.37453599999999998</v>
      </c>
      <c r="P662" s="2085">
        <f>'BUS Deemed Savings Table'!K741</f>
        <v>1.9373000000000001E-2</v>
      </c>
      <c r="Q662" s="2086"/>
      <c r="R662" s="2086"/>
      <c r="S662" s="2086"/>
      <c r="T662" s="2086"/>
      <c r="U662" s="2095">
        <f>IF(V662+W662&gt;0,0,IF(Z662&gt;0,P662,0))</f>
        <v>0</v>
      </c>
      <c r="V662" s="2095">
        <f>IF(W662&gt;0,0,IF(Z662&gt;9,P662,0))</f>
        <v>0</v>
      </c>
      <c r="W662" s="2095">
        <f>IF(Z662&gt;14,P662,0)</f>
        <v>1.9373000000000001E-2</v>
      </c>
      <c r="X662" s="2121">
        <f>'BUS Deemed Savings Table'!L741</f>
        <v>15</v>
      </c>
      <c r="Y662" s="2121"/>
      <c r="Z662" s="88">
        <f t="shared" si="479"/>
        <v>15</v>
      </c>
      <c r="AA662" s="637">
        <f>'BUS Deemed Savings Table'!DB741</f>
        <v>1.032046151867084</v>
      </c>
      <c r="AB662" s="2917">
        <f>'BUS Deemed Savings Table'!M741</f>
        <v>1047</v>
      </c>
      <c r="AC662" s="2101">
        <f t="shared" si="470"/>
        <v>1019.8700528596855</v>
      </c>
      <c r="AD662" s="2101">
        <f t="shared" si="471"/>
        <v>0</v>
      </c>
      <c r="AE662" s="2955">
        <f>'BUS Deemed Savings Table'!DD741</f>
        <v>1019.8700528596855</v>
      </c>
      <c r="AF662" s="2956"/>
      <c r="AG662" s="2956"/>
      <c r="AH662" s="2956"/>
      <c r="AI662" s="2258" t="str">
        <f>'BUS Deemed Savings Table'!N741</f>
        <v>per ton</v>
      </c>
      <c r="AM662" s="2060">
        <f t="shared" si="474"/>
        <v>9.1068400000000004E-4</v>
      </c>
      <c r="AN662" s="2061">
        <f t="shared" si="468"/>
        <v>0.65152154728</v>
      </c>
      <c r="AO662" s="2059">
        <f>AN662-P662</f>
        <v>0.63214854728000003</v>
      </c>
      <c r="AP662" t="s">
        <v>3315</v>
      </c>
    </row>
    <row r="663" spans="2:42" x14ac:dyDescent="0.25">
      <c r="B663" s="2240" t="str">
        <f>'BUS Deemed Savings Table'!C758</f>
        <v>805950_2019_12_</v>
      </c>
      <c r="C663" s="208" t="str">
        <f>'BUS Deemed Savings Table'!G758</f>
        <v>Refrigeration BUS</v>
      </c>
      <c r="D663" s="208"/>
      <c r="E663" s="208"/>
      <c r="F663" s="208"/>
      <c r="G663" s="208" t="str">
        <f>'BUS Deemed Savings Table'!E758</f>
        <v>Refrigerated Beverage Vending Machine (Class A)</v>
      </c>
      <c r="H663" s="622" t="str">
        <f>'BUS Deemed Savings Table'!D758</f>
        <v>C&amp;I</v>
      </c>
      <c r="I663" s="2084">
        <f>'BUS Deemed Savings Table'!F758</f>
        <v>0.13</v>
      </c>
      <c r="J663" s="2084"/>
      <c r="K663" s="2113"/>
      <c r="L663" s="2113"/>
      <c r="M663" s="2113"/>
      <c r="N663" s="2113"/>
      <c r="O663" s="2085">
        <f>'BUS Deemed Savings Table'!I758</f>
        <v>1.8E-5</v>
      </c>
      <c r="P663" s="2085"/>
      <c r="Q663" s="2086"/>
      <c r="R663" s="2086"/>
      <c r="S663" s="2086"/>
      <c r="T663" s="2086"/>
      <c r="U663" s="2100">
        <f t="shared" ref="U663:U669" si="498">IF(V663+W663&gt;0,0,IF(Z663&gt;0,O663,0))</f>
        <v>0</v>
      </c>
      <c r="V663" s="2100">
        <f t="shared" ref="V663:V669" si="499">IF(W663&gt;0,0,IF(Z663&gt;9,O663,0))</f>
        <v>1.8E-5</v>
      </c>
      <c r="W663" s="2100">
        <f t="shared" ref="W663:W669" si="500">IF(Z663&gt;14,O663,0)</f>
        <v>0</v>
      </c>
      <c r="X663" s="2121">
        <f>'BUS Deemed Savings Table'!J758</f>
        <v>12</v>
      </c>
      <c r="Y663" s="2121"/>
      <c r="Z663" s="88">
        <f t="shared" si="479"/>
        <v>12</v>
      </c>
      <c r="AA663" s="637">
        <f>'BUS Deemed Savings Table'!DB758</f>
        <v>4.2764848841657214E-4</v>
      </c>
      <c r="AB663" s="2917">
        <f>'BUS Deemed Savings Table'!K758</f>
        <v>140</v>
      </c>
      <c r="AC663" s="2101">
        <f t="shared" si="470"/>
        <v>5.6508530795960445E-2</v>
      </c>
      <c r="AD663" s="2101">
        <f t="shared" si="471"/>
        <v>0</v>
      </c>
      <c r="AE663" s="2955">
        <f>'BUS Deemed Savings Table'!DD758</f>
        <v>5.6508530795960445E-2</v>
      </c>
      <c r="AF663" s="2956"/>
      <c r="AG663" s="2956"/>
      <c r="AH663" s="2956"/>
      <c r="AI663" s="2244" t="str">
        <f>'BUS Deemed Savings Table'!L758</f>
        <v>per measure</v>
      </c>
      <c r="AM663" s="2057">
        <f t="shared" si="474"/>
        <v>1.3573829999999999E-4</v>
      </c>
      <c r="AN663" s="132">
        <f t="shared" si="468"/>
        <v>1.7645978999999999E-5</v>
      </c>
      <c r="AO663" s="2048">
        <f t="shared" ref="AO663:AO669" si="501">AN663-O663</f>
        <v>-3.5402100000000113E-7</v>
      </c>
    </row>
    <row r="664" spans="2:42" x14ac:dyDescent="0.25">
      <c r="B664" s="2240" t="str">
        <f>'BUS Deemed Savings Table'!C759</f>
        <v>806000_2019_12_</v>
      </c>
      <c r="C664" s="208" t="str">
        <f>'BUS Deemed Savings Table'!G759</f>
        <v>Refrigeration BUS</v>
      </c>
      <c r="D664" s="208"/>
      <c r="E664" s="208"/>
      <c r="F664" s="208"/>
      <c r="G664" s="208" t="str">
        <f>'BUS Deemed Savings Table'!E759</f>
        <v>Refrigerated Beverage Vending Machine (Class B)</v>
      </c>
      <c r="H664" s="622" t="str">
        <f>'BUS Deemed Savings Table'!D759</f>
        <v>C&amp;I</v>
      </c>
      <c r="I664" s="2084">
        <f>'BUS Deemed Savings Table'!F759</f>
        <v>0.32</v>
      </c>
      <c r="J664" s="2084"/>
      <c r="K664" s="2113"/>
      <c r="L664" s="2113"/>
      <c r="M664" s="2113"/>
      <c r="N664" s="2113"/>
      <c r="O664" s="2085">
        <f>'BUS Deemed Savings Table'!I759</f>
        <v>4.3000000000000002E-5</v>
      </c>
      <c r="P664" s="2085"/>
      <c r="Q664" s="2086"/>
      <c r="R664" s="2086"/>
      <c r="S664" s="2086"/>
      <c r="T664" s="2086"/>
      <c r="U664" s="2100">
        <f t="shared" si="498"/>
        <v>0</v>
      </c>
      <c r="V664" s="2100">
        <f t="shared" si="499"/>
        <v>4.3000000000000002E-5</v>
      </c>
      <c r="W664" s="2100">
        <f t="shared" si="500"/>
        <v>0</v>
      </c>
      <c r="X664" s="2121">
        <f>'BUS Deemed Savings Table'!J759</f>
        <v>12</v>
      </c>
      <c r="Y664" s="2121"/>
      <c r="Z664" s="88">
        <f t="shared" si="479"/>
        <v>12</v>
      </c>
      <c r="AA664" s="637">
        <f>'BUS Deemed Savings Table'!DB759</f>
        <v>1.0526732022561776E-3</v>
      </c>
      <c r="AB664" s="2917">
        <f>'BUS Deemed Savings Table'!K759</f>
        <v>140</v>
      </c>
      <c r="AC664" s="2101">
        <f t="shared" si="470"/>
        <v>0.13909792195928725</v>
      </c>
      <c r="AD664" s="2101">
        <f t="shared" si="471"/>
        <v>0</v>
      </c>
      <c r="AE664" s="2955">
        <f>'BUS Deemed Savings Table'!DD759</f>
        <v>0.13909792195928725</v>
      </c>
      <c r="AF664" s="2956"/>
      <c r="AG664" s="2956"/>
      <c r="AH664" s="2956"/>
      <c r="AI664" s="2244" t="str">
        <f>'BUS Deemed Savings Table'!L759</f>
        <v>per measure</v>
      </c>
      <c r="AM664" s="2057">
        <f t="shared" si="474"/>
        <v>1.3573829999999999E-4</v>
      </c>
      <c r="AN664">
        <f t="shared" si="468"/>
        <v>4.3436255999999996E-5</v>
      </c>
      <c r="AO664" s="2048">
        <f t="shared" si="501"/>
        <v>4.3625599999999408E-7</v>
      </c>
    </row>
    <row r="665" spans="2:42" x14ac:dyDescent="0.25">
      <c r="B665" s="2240" t="str">
        <f>'BUS Deemed Savings Table'!C776</f>
        <v>806050_2019_12_</v>
      </c>
      <c r="C665" s="208" t="str">
        <f>'BUS Deemed Savings Table'!G776</f>
        <v>Miscellaneous BUS</v>
      </c>
      <c r="D665" s="208"/>
      <c r="E665" s="208"/>
      <c r="F665" s="208"/>
      <c r="G665" s="208" t="str">
        <f>'BUS Deemed Savings Table'!E776</f>
        <v>ECM for Walk-in &amp; Reach-in Coolers/Freezers</v>
      </c>
      <c r="H665" s="622" t="str">
        <f>'BUS Deemed Savings Table'!D776</f>
        <v>C&amp;I</v>
      </c>
      <c r="I665" s="2084">
        <f>'BUS Deemed Savings Table'!F776</f>
        <v>1409</v>
      </c>
      <c r="J665" s="2084"/>
      <c r="K665" s="2113"/>
      <c r="L665" s="2113"/>
      <c r="M665" s="2113"/>
      <c r="N665" s="2113"/>
      <c r="O665" s="2085">
        <f>'BUS Deemed Savings Table'!I776</f>
        <v>0.19436300000000001</v>
      </c>
      <c r="P665" s="2085"/>
      <c r="Q665" s="2086"/>
      <c r="R665" s="2086"/>
      <c r="S665" s="2086"/>
      <c r="T665" s="2086"/>
      <c r="U665" s="2100">
        <f t="shared" si="498"/>
        <v>0</v>
      </c>
      <c r="V665" s="2100">
        <f t="shared" si="499"/>
        <v>0</v>
      </c>
      <c r="W665" s="2100">
        <f t="shared" si="500"/>
        <v>0.19436300000000001</v>
      </c>
      <c r="X665" s="2121">
        <f>'BUS Deemed Savings Table'!J776</f>
        <v>15</v>
      </c>
      <c r="Y665" s="2121"/>
      <c r="Z665" s="88">
        <f t="shared" si="479"/>
        <v>15</v>
      </c>
      <c r="AA665" s="637">
        <f>'BUS Deemed Savings Table'!DB776</f>
        <v>4.5216913705641595</v>
      </c>
      <c r="AB665" s="2917">
        <f>'BUS Deemed Savings Table'!K776</f>
        <v>177</v>
      </c>
      <c r="AC665" s="2101">
        <f t="shared" si="470"/>
        <v>755.39346162327149</v>
      </c>
      <c r="AD665" s="2101">
        <f t="shared" si="471"/>
        <v>0</v>
      </c>
      <c r="AE665" s="2955">
        <f>'BUS Deemed Savings Table'!DD776</f>
        <v>755.39346162327149</v>
      </c>
      <c r="AF665" s="2956"/>
      <c r="AG665" s="2956"/>
      <c r="AH665" s="2956"/>
      <c r="AI665" s="2244" t="str">
        <f>'BUS Deemed Savings Table'!L776</f>
        <v>per motor</v>
      </c>
      <c r="AM665" s="2057">
        <f t="shared" si="474"/>
        <v>1.379439E-4</v>
      </c>
      <c r="AN665">
        <f t="shared" si="468"/>
        <v>0.19436295510000001</v>
      </c>
      <c r="AO665" s="2048">
        <f t="shared" si="501"/>
        <v>-4.4899999995795525E-8</v>
      </c>
    </row>
    <row r="666" spans="2:42" s="2277" customFormat="1" x14ac:dyDescent="0.25">
      <c r="B666" s="2307" t="str">
        <f>'BUS Deemed Savings Table'!C792</f>
        <v>806100_2020_07_</v>
      </c>
      <c r="C666" s="2305" t="str">
        <f>'BUS Deemed Savings Table'!G792</f>
        <v>HVAC BUS</v>
      </c>
      <c r="D666" s="2305"/>
      <c r="E666" s="2305"/>
      <c r="F666" s="2305"/>
      <c r="G666" s="2305" t="str">
        <f>'BUS Deemed Savings Table'!E792</f>
        <v>High Volume Low Speed Fan, 20</v>
      </c>
      <c r="H666" s="2322" t="str">
        <f>'BUS Deemed Savings Table'!D792</f>
        <v>C&amp;I</v>
      </c>
      <c r="I666" s="2320">
        <f>'BUS Deemed Savings Table'!F792</f>
        <v>6577</v>
      </c>
      <c r="J666" s="2320"/>
      <c r="K666" s="2310"/>
      <c r="L666" s="2310"/>
      <c r="M666" s="2310"/>
      <c r="N666" s="2310"/>
      <c r="O666" s="2321">
        <f>'BUS Deemed Savings Table'!I792</f>
        <v>2.9200761910000002</v>
      </c>
      <c r="P666" s="2321"/>
      <c r="Q666" s="2323"/>
      <c r="R666" s="2323"/>
      <c r="S666" s="2323"/>
      <c r="T666" s="2323"/>
      <c r="U666" s="2273">
        <f t="shared" si="498"/>
        <v>0</v>
      </c>
      <c r="V666" s="2273">
        <f t="shared" si="499"/>
        <v>2.9200761910000002</v>
      </c>
      <c r="W666" s="2273">
        <f t="shared" si="500"/>
        <v>0</v>
      </c>
      <c r="X666" s="2299">
        <f>'BUS Deemed Savings Table'!J792</f>
        <v>10</v>
      </c>
      <c r="Y666" s="2299"/>
      <c r="Z666" s="2299">
        <f>Y666+X666</f>
        <v>10</v>
      </c>
      <c r="AA666" s="2298">
        <f>'BUS Deemed Savings Table'!DB792</f>
        <v>1.0290050862607221</v>
      </c>
      <c r="AB666" s="2919">
        <f>'BUS Deemed Savings Table'!K792</f>
        <v>4150</v>
      </c>
      <c r="AC666" s="2274">
        <f>AE666+AF666</f>
        <v>4030.5531929985805</v>
      </c>
      <c r="AD666" s="2274">
        <f>AG666+AH666</f>
        <v>0</v>
      </c>
      <c r="AE666" s="2957">
        <f>'BUS Deemed Savings Table'!DD792</f>
        <v>4030.5531929985805</v>
      </c>
      <c r="AF666" s="2334"/>
      <c r="AG666" s="2334"/>
      <c r="AH666" s="2334"/>
      <c r="AI666" s="2276" t="str">
        <f>'BUS Deemed Savings Table'!L792</f>
        <v>per measure</v>
      </c>
      <c r="AM666" s="2319">
        <f>VLOOKUP(C666,$AS$10:$AT$47,2,FALSE)</f>
        <v>4.4398300000000001E-4</v>
      </c>
      <c r="AN666" s="2277">
        <f>AM666*I666</f>
        <v>2.9200761910000002</v>
      </c>
      <c r="AO666" s="2318">
        <f t="shared" si="501"/>
        <v>0</v>
      </c>
    </row>
    <row r="667" spans="2:42" s="2277" customFormat="1" x14ac:dyDescent="0.25">
      <c r="B667" s="2307" t="str">
        <f>'BUS Deemed Savings Table'!C793</f>
        <v>806110_2020_07_</v>
      </c>
      <c r="C667" s="2305" t="str">
        <f>'BUS Deemed Savings Table'!G793</f>
        <v>HVAC BUS</v>
      </c>
      <c r="D667" s="2305"/>
      <c r="E667" s="2305"/>
      <c r="F667" s="2305"/>
      <c r="G667" s="2305" t="str">
        <f>'BUS Deemed Savings Table'!E793</f>
        <v>High Volume Low Speed Fan, 22</v>
      </c>
      <c r="H667" s="2322" t="str">
        <f>'BUS Deemed Savings Table'!D793</f>
        <v>C&amp;I</v>
      </c>
      <c r="I667" s="2320">
        <f>'BUS Deemed Savings Table'!F793</f>
        <v>8543</v>
      </c>
      <c r="J667" s="2320"/>
      <c r="K667" s="2310"/>
      <c r="L667" s="2310"/>
      <c r="M667" s="2310"/>
      <c r="N667" s="2310"/>
      <c r="O667" s="2321">
        <f>'BUS Deemed Savings Table'!I793</f>
        <v>3.7929467690000003</v>
      </c>
      <c r="P667" s="2321"/>
      <c r="Q667" s="2323"/>
      <c r="R667" s="2323"/>
      <c r="S667" s="2323"/>
      <c r="T667" s="2323"/>
      <c r="U667" s="2273">
        <f t="shared" si="498"/>
        <v>0</v>
      </c>
      <c r="V667" s="2273">
        <f t="shared" si="499"/>
        <v>3.7929467690000003</v>
      </c>
      <c r="W667" s="2273">
        <f t="shared" si="500"/>
        <v>0</v>
      </c>
      <c r="X667" s="2299">
        <f>'BUS Deemed Savings Table'!J793</f>
        <v>10</v>
      </c>
      <c r="Y667" s="2299"/>
      <c r="Z667" s="2299">
        <f>Y667+X667</f>
        <v>10</v>
      </c>
      <c r="AA667" s="2298">
        <f>'BUS Deemed Savings Table'!DB793</f>
        <v>1.3270029883569243</v>
      </c>
      <c r="AB667" s="2919">
        <f>'BUS Deemed Savings Table'!K793</f>
        <v>4180</v>
      </c>
      <c r="AC667" s="2274">
        <f>AE667+AF667</f>
        <v>5235.3680899782385</v>
      </c>
      <c r="AD667" s="2274">
        <f>AG667+AH667</f>
        <v>0</v>
      </c>
      <c r="AE667" s="2957">
        <f>'BUS Deemed Savings Table'!DD793</f>
        <v>5235.3680899782385</v>
      </c>
      <c r="AF667" s="2334"/>
      <c r="AG667" s="2334"/>
      <c r="AH667" s="2334"/>
      <c r="AI667" s="2276" t="str">
        <f>'BUS Deemed Savings Table'!L793</f>
        <v>per measure</v>
      </c>
      <c r="AM667" s="2319">
        <f>VLOOKUP(C667,$AS$10:$AT$47,2,FALSE)</f>
        <v>4.4398300000000001E-4</v>
      </c>
      <c r="AN667" s="2277">
        <f>AM667*I667</f>
        <v>3.7929467690000003</v>
      </c>
      <c r="AO667" s="2318">
        <f t="shared" si="501"/>
        <v>0</v>
      </c>
    </row>
    <row r="668" spans="2:42" s="2277" customFormat="1" x14ac:dyDescent="0.25">
      <c r="B668" s="2307" t="str">
        <f>'BUS Deemed Savings Table'!C794</f>
        <v>806120_2020_07_</v>
      </c>
      <c r="C668" s="2305" t="str">
        <f>'BUS Deemed Savings Table'!G794</f>
        <v>HVAC BUS</v>
      </c>
      <c r="D668" s="2305"/>
      <c r="E668" s="2305"/>
      <c r="F668" s="2305"/>
      <c r="G668" s="2305" t="str">
        <f>'BUS Deemed Savings Table'!E794</f>
        <v>High Volume Low Speed Fan, 24</v>
      </c>
      <c r="H668" s="2322" t="str">
        <f>'BUS Deemed Savings Table'!D794</f>
        <v>C&amp;I</v>
      </c>
      <c r="I668" s="2320">
        <f>'BUS Deemed Savings Table'!F794</f>
        <v>10018</v>
      </c>
      <c r="J668" s="2320"/>
      <c r="K668" s="2310"/>
      <c r="L668" s="2310"/>
      <c r="M668" s="2310"/>
      <c r="N668" s="2310"/>
      <c r="O668" s="2321">
        <f>'BUS Deemed Savings Table'!I794</f>
        <v>4.4478216939999999</v>
      </c>
      <c r="P668" s="2321"/>
      <c r="Q668" s="2323"/>
      <c r="R668" s="2323"/>
      <c r="S668" s="2323"/>
      <c r="T668" s="2323"/>
      <c r="U668" s="2273">
        <f t="shared" si="498"/>
        <v>0</v>
      </c>
      <c r="V668" s="2273">
        <f t="shared" si="499"/>
        <v>4.4478216939999999</v>
      </c>
      <c r="W668" s="2273">
        <f t="shared" si="500"/>
        <v>0</v>
      </c>
      <c r="X668" s="2299">
        <f>'BUS Deemed Savings Table'!J794</f>
        <v>10</v>
      </c>
      <c r="Y668" s="2299"/>
      <c r="Z668" s="2299">
        <f>Y668+X668</f>
        <v>10</v>
      </c>
      <c r="AA668" s="2298">
        <f>'BUS Deemed Savings Table'!DB794</f>
        <v>1.5395439463061122</v>
      </c>
      <c r="AB668" s="2919">
        <f>'BUS Deemed Savings Table'!K794</f>
        <v>4225</v>
      </c>
      <c r="AC668" s="2274">
        <f>AE668+AF668</f>
        <v>6139.2856754538207</v>
      </c>
      <c r="AD668" s="2274">
        <f>AG668+AH668</f>
        <v>0</v>
      </c>
      <c r="AE668" s="2957">
        <f>'BUS Deemed Savings Table'!DD794</f>
        <v>6139.2856754538207</v>
      </c>
      <c r="AF668" s="2334"/>
      <c r="AG668" s="2334"/>
      <c r="AH668" s="2334"/>
      <c r="AI668" s="2276" t="str">
        <f>'BUS Deemed Savings Table'!L794</f>
        <v>per measure</v>
      </c>
      <c r="AM668" s="2319">
        <f>VLOOKUP(C668,$AS$10:$AT$47,2,FALSE)</f>
        <v>4.4398300000000001E-4</v>
      </c>
      <c r="AN668" s="2277">
        <f>AM668*I668</f>
        <v>4.4478216939999999</v>
      </c>
      <c r="AO668" s="2318">
        <f t="shared" si="501"/>
        <v>0</v>
      </c>
    </row>
    <row r="669" spans="2:42" x14ac:dyDescent="0.25">
      <c r="B669" s="2240" t="str">
        <f>'BUS Deemed Savings Table'!C807</f>
        <v>999999_2019_12</v>
      </c>
      <c r="C669" s="208" t="str">
        <f>'BUS Deemed Savings Table'!G807</f>
        <v>Variable</v>
      </c>
      <c r="D669" s="208"/>
      <c r="E669" s="208"/>
      <c r="F669" s="208"/>
      <c r="G669" s="208" t="str">
        <f>'BUS Deemed Savings Table'!E807</f>
        <v>Custom</v>
      </c>
      <c r="H669" s="622" t="str">
        <f>'BUS Deemed Savings Table'!D807</f>
        <v>C&amp;I</v>
      </c>
      <c r="I669" s="2084" t="str">
        <f>'BUS Deemed Savings Table'!F807</f>
        <v>Custom</v>
      </c>
      <c r="J669" s="2084"/>
      <c r="K669" s="2113"/>
      <c r="L669" s="2113"/>
      <c r="M669" s="2113"/>
      <c r="N669" s="2113"/>
      <c r="O669" s="2085" t="str">
        <f>'BUS Deemed Savings Table'!I807</f>
        <v>Custom</v>
      </c>
      <c r="P669" s="2085"/>
      <c r="Q669" s="2086"/>
      <c r="R669" s="2086"/>
      <c r="S669" s="2086"/>
      <c r="T669" s="2086"/>
      <c r="U669" s="2100" t="e">
        <f t="shared" si="498"/>
        <v>#VALUE!</v>
      </c>
      <c r="V669" s="2100">
        <f t="shared" si="499"/>
        <v>0</v>
      </c>
      <c r="W669" s="2100" t="str">
        <f t="shared" si="500"/>
        <v>Custom</v>
      </c>
      <c r="X669" s="2121" t="str">
        <f>'BUS Deemed Savings Table'!J807</f>
        <v>Custom</v>
      </c>
      <c r="Y669" s="2121"/>
      <c r="Z669" s="88" t="s">
        <v>3314</v>
      </c>
      <c r="AA669" s="637" t="s">
        <v>3314</v>
      </c>
      <c r="AB669" s="2917" t="s">
        <v>3314</v>
      </c>
      <c r="AC669" s="2103" t="s">
        <v>3314</v>
      </c>
      <c r="AD669" s="2101" t="s">
        <v>3314</v>
      </c>
      <c r="AE669" s="2955"/>
      <c r="AF669" s="2956"/>
      <c r="AG669" s="2956"/>
      <c r="AH669" s="2956"/>
      <c r="AI669" s="2244" t="str">
        <f>'BUS Deemed Savings Table'!L807</f>
        <v>Custom</v>
      </c>
      <c r="AM669" s="2057" t="e">
        <f t="shared" si="474"/>
        <v>#N/A</v>
      </c>
      <c r="AN669" t="e">
        <f t="shared" si="468"/>
        <v>#N/A</v>
      </c>
      <c r="AO669" s="2048" t="e">
        <f t="shared" si="501"/>
        <v>#N/A</v>
      </c>
    </row>
    <row r="675" spans="27:27" x14ac:dyDescent="0.25">
      <c r="AA675" s="2068"/>
    </row>
    <row r="676" spans="27:27" x14ac:dyDescent="0.25">
      <c r="AA676" s="2068"/>
    </row>
    <row r="677" spans="27:27" x14ac:dyDescent="0.25">
      <c r="AA677" s="2068"/>
    </row>
  </sheetData>
  <autoFilter ref="B8:AU669"/>
  <mergeCells count="18">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 ref="K6:N6"/>
    <mergeCell ref="Q6:T6"/>
  </mergeCells>
  <conditionalFormatting sqref="B8 B1 B4:B6">
    <cfRule type="duplicateValues" dxfId="213" priority="273"/>
  </conditionalFormatting>
  <conditionalFormatting sqref="D7:G8 G6 D4:G5">
    <cfRule type="containsText" dxfId="212" priority="271" operator="containsText" text="ER2">
      <formula>NOT(ISERROR(SEARCH("ER2",D4)))</formula>
    </cfRule>
    <cfRule type="containsText" dxfId="211" priority="272" operator="containsText" text="ER1">
      <formula>NOT(ISERROR(SEARCH("ER1",D4)))</formula>
    </cfRule>
  </conditionalFormatting>
  <conditionalFormatting sqref="D7:G16 G6 D46:G56 E107:G108 E111:G113 E115:G116 E119:G119 E121:G122 E125:G125 E127:G128 E131:G131 D117:G118 D114:G114 D109:G110 D132:G132 D129:G130 D126:G126 D123:G124 D120:G120 E34:G45 D162:G162 E163:G164 G165 E166:G166 G167 E168:G169 D170:G171 E172:G175 G176:G177 E178:G179 G180:G181 E182:G188 G189:G190 E191:G191 G192:G193 E194:G195 G196:G197 E198:G199 G200:G203 E204:G205 G206:G207 E208:G211 G212:G213 E214:G224 G225 G229:G231 E226:G228 E232:G234 G235 E236:G236 G237 E238:G238 G239 E240:G240 G241:G256 E257:G257 G258:G262 E263:G265 G266:G267 E268:G277 E353:G363 D364:G364 E380:G391 D392:G401 E431:G432 D433:G456 E490:G490 E526:G526 D527:G549 D491:G500 E133:G136 D278:G330 D4:G5 D566:G583 D670:G1048576 D19:G33 D58:G62 D65:G69 D78:G78 D80:G80 D82:G82 D84:G84 D86:G86 D88:G88 D90:G90 D92:G92 D94:G94 D96:G97 D99:G100 D102:G102 D105:G106 E161:G161 D334:G340 D343:G352 D366:G367 D372:G379 D403:G414 D416:G418 D420:G420 D425:G426 D428:G429 D473:G489 D422:G423 D503:G504 D507:G525 D551:G551 D553:G553 D555:G555 D72:G74">
    <cfRule type="containsText" dxfId="210" priority="270" operator="containsText" text="ER2">
      <formula>NOT(ISERROR(SEARCH("ER2",D4)))</formula>
    </cfRule>
  </conditionalFormatting>
  <conditionalFormatting sqref="B566:B583">
    <cfRule type="duplicateValues" dxfId="209" priority="333"/>
  </conditionalFormatting>
  <conditionalFormatting sqref="D584:G602">
    <cfRule type="containsText" dxfId="208" priority="265" operator="containsText" text="ER2">
      <formula>NOT(ISERROR(SEARCH("ER2",D584)))</formula>
    </cfRule>
  </conditionalFormatting>
  <conditionalFormatting sqref="B584:B602">
    <cfRule type="duplicateValues" dxfId="207" priority="266"/>
  </conditionalFormatting>
  <conditionalFormatting sqref="D603:G604 D607:G618">
    <cfRule type="containsText" dxfId="206" priority="263" operator="containsText" text="ER2">
      <formula>NOT(ISERROR(SEARCH("ER2",D603)))</formula>
    </cfRule>
  </conditionalFormatting>
  <conditionalFormatting sqref="B603:B604 B607:B618">
    <cfRule type="duplicateValues" dxfId="205" priority="264"/>
  </conditionalFormatting>
  <conditionalFormatting sqref="D619:G619">
    <cfRule type="containsText" dxfId="204" priority="261" operator="containsText" text="ER2">
      <formula>NOT(ISERROR(SEARCH("ER2",D619)))</formula>
    </cfRule>
  </conditionalFormatting>
  <conditionalFormatting sqref="B619">
    <cfRule type="duplicateValues" dxfId="203" priority="262"/>
  </conditionalFormatting>
  <conditionalFormatting sqref="D620:G643">
    <cfRule type="containsText" dxfId="202" priority="259" operator="containsText" text="ER2">
      <formula>NOT(ISERROR(SEARCH("ER2",D620)))</formula>
    </cfRule>
  </conditionalFormatting>
  <conditionalFormatting sqref="B620:B643">
    <cfRule type="duplicateValues" dxfId="201" priority="260"/>
  </conditionalFormatting>
  <conditionalFormatting sqref="D644:G650 D653:G662">
    <cfRule type="containsText" dxfId="200" priority="257" operator="containsText" text="ER2">
      <formula>NOT(ISERROR(SEARCH("ER2",D644)))</formula>
    </cfRule>
  </conditionalFormatting>
  <conditionalFormatting sqref="B653:B662 B644:B650">
    <cfRule type="duplicateValues" dxfId="199" priority="258"/>
  </conditionalFormatting>
  <conditionalFormatting sqref="D663:G665">
    <cfRule type="containsText" dxfId="198" priority="255" operator="containsText" text="ER2">
      <formula>NOT(ISERROR(SEARCH("ER2",D663)))</formula>
    </cfRule>
  </conditionalFormatting>
  <conditionalFormatting sqref="B663:B665">
    <cfRule type="duplicateValues" dxfId="197" priority="256"/>
  </conditionalFormatting>
  <conditionalFormatting sqref="D669:G669">
    <cfRule type="containsText" dxfId="196" priority="253" operator="containsText" text="ER2">
      <formula>NOT(ISERROR(SEARCH("ER2",D669)))</formula>
    </cfRule>
  </conditionalFormatting>
  <conditionalFormatting sqref="B669">
    <cfRule type="duplicateValues" dxfId="195" priority="254"/>
  </conditionalFormatting>
  <conditionalFormatting sqref="B670:B1048576 B1 B8:B16 B161:B330 B4:B6 B19:B56 B58:B62 B65:B69 B78 B80 B82 B84 B86 B88 B90 B92 B94 B96:B97 B99:B100 B102 B105:B136 B334:B340 B343:B364 B366:B367 B372:B401 B403:B414 B416:B418 B420 B425:B426 B428:B429 B431:B456 B473:B500 B422:B423 B503:B504 B507:B549 B551 B553 B555 B72:B74">
    <cfRule type="duplicateValues" dxfId="194" priority="334"/>
  </conditionalFormatting>
  <conditionalFormatting sqref="C507">
    <cfRule type="duplicateValues" dxfId="193" priority="252"/>
  </conditionalFormatting>
  <conditionalFormatting sqref="B653:B665 B607:B650 B566:B604 B1:B16 B669:B1048576 B19:B56 B58:B62 B65:B69 B78 B80 B82 B84 B86 B88 B90 B92 B94 B96:B97 B99:B100 B102 B105:B136 B161:B330 B334:B340 B343:B364 B366:B367 B372:B401 B403:B414 B416:B418 B420 B425:B426 B428:B429 B431:B456 B473:B500 B422:B423 B503:B504 B507:B549 B551 B553 B555 B72:B74">
    <cfRule type="duplicateValues" dxfId="192" priority="245"/>
  </conditionalFormatting>
  <conditionalFormatting sqref="D556:G556">
    <cfRule type="containsText" dxfId="191" priority="232" operator="containsText" text="ER2">
      <formula>NOT(ISERROR(SEARCH("ER2",D556)))</formula>
    </cfRule>
  </conditionalFormatting>
  <conditionalFormatting sqref="B556">
    <cfRule type="duplicateValues" dxfId="190" priority="233"/>
  </conditionalFormatting>
  <conditionalFormatting sqref="B556">
    <cfRule type="duplicateValues" dxfId="189" priority="231"/>
  </conditionalFormatting>
  <conditionalFormatting sqref="D557:G557">
    <cfRule type="containsText" dxfId="188" priority="229" operator="containsText" text="ER2">
      <formula>NOT(ISERROR(SEARCH("ER2",D557)))</formula>
    </cfRule>
  </conditionalFormatting>
  <conditionalFormatting sqref="D605:G605">
    <cfRule type="containsText" dxfId="187" priority="226" operator="containsText" text="ER2">
      <formula>NOT(ISERROR(SEARCH("ER2",D605)))</formula>
    </cfRule>
  </conditionalFormatting>
  <conditionalFormatting sqref="B605">
    <cfRule type="duplicateValues" dxfId="186" priority="227"/>
  </conditionalFormatting>
  <conditionalFormatting sqref="B605">
    <cfRule type="duplicateValues" dxfId="185" priority="225"/>
  </conditionalFormatting>
  <conditionalFormatting sqref="D606:G606">
    <cfRule type="containsText" dxfId="184" priority="223" operator="containsText" text="ER2">
      <formula>NOT(ISERROR(SEARCH("ER2",D606)))</formula>
    </cfRule>
  </conditionalFormatting>
  <conditionalFormatting sqref="B606">
    <cfRule type="duplicateValues" dxfId="183" priority="224"/>
  </conditionalFormatting>
  <conditionalFormatting sqref="B606">
    <cfRule type="duplicateValues" dxfId="182" priority="222"/>
  </conditionalFormatting>
  <conditionalFormatting sqref="D651:G651">
    <cfRule type="containsText" dxfId="181" priority="220" operator="containsText" text="ER2">
      <formula>NOT(ISERROR(SEARCH("ER2",D651)))</formula>
    </cfRule>
  </conditionalFormatting>
  <conditionalFormatting sqref="B651">
    <cfRule type="duplicateValues" dxfId="180" priority="221"/>
  </conditionalFormatting>
  <conditionalFormatting sqref="B651">
    <cfRule type="duplicateValues" dxfId="179" priority="219"/>
  </conditionalFormatting>
  <conditionalFormatting sqref="D652:G652">
    <cfRule type="containsText" dxfId="178" priority="217" operator="containsText" text="ER2">
      <formula>NOT(ISERROR(SEARCH("ER2",D652)))</formula>
    </cfRule>
  </conditionalFormatting>
  <conditionalFormatting sqref="B652">
    <cfRule type="duplicateValues" dxfId="177" priority="218"/>
  </conditionalFormatting>
  <conditionalFormatting sqref="B652">
    <cfRule type="duplicateValues" dxfId="176" priority="216"/>
  </conditionalFormatting>
  <conditionalFormatting sqref="D666:G666">
    <cfRule type="containsText" dxfId="175" priority="211" operator="containsText" text="ER2">
      <formula>NOT(ISERROR(SEARCH("ER2",D666)))</formula>
    </cfRule>
  </conditionalFormatting>
  <conditionalFormatting sqref="B666">
    <cfRule type="duplicateValues" dxfId="174" priority="212"/>
  </conditionalFormatting>
  <conditionalFormatting sqref="B666">
    <cfRule type="duplicateValues" dxfId="173" priority="210"/>
  </conditionalFormatting>
  <conditionalFormatting sqref="D667:G667">
    <cfRule type="containsText" dxfId="172" priority="208" operator="containsText" text="ER2">
      <formula>NOT(ISERROR(SEARCH("ER2",D667)))</formula>
    </cfRule>
  </conditionalFormatting>
  <conditionalFormatting sqref="B667">
    <cfRule type="duplicateValues" dxfId="171" priority="209"/>
  </conditionalFormatting>
  <conditionalFormatting sqref="B667">
    <cfRule type="duplicateValues" dxfId="170" priority="207"/>
  </conditionalFormatting>
  <conditionalFormatting sqref="D668:G668">
    <cfRule type="containsText" dxfId="169" priority="205" operator="containsText" text="ER2">
      <formula>NOT(ISERROR(SEARCH("ER2",D668)))</formula>
    </cfRule>
  </conditionalFormatting>
  <conditionalFormatting sqref="B668">
    <cfRule type="duplicateValues" dxfId="168" priority="206"/>
  </conditionalFormatting>
  <conditionalFormatting sqref="B668">
    <cfRule type="duplicateValues" dxfId="167" priority="204"/>
  </conditionalFormatting>
  <conditionalFormatting sqref="D17:G17">
    <cfRule type="containsText" dxfId="166" priority="199" operator="containsText" text="ER2">
      <formula>NOT(ISERROR(SEARCH("ER2",D17)))</formula>
    </cfRule>
  </conditionalFormatting>
  <conditionalFormatting sqref="B17">
    <cfRule type="duplicateValues" dxfId="165" priority="200"/>
  </conditionalFormatting>
  <conditionalFormatting sqref="B17">
    <cfRule type="duplicateValues" dxfId="164" priority="198"/>
  </conditionalFormatting>
  <conditionalFormatting sqref="D18:G18">
    <cfRule type="containsText" dxfId="163" priority="196" operator="containsText" text="ER2">
      <formula>NOT(ISERROR(SEARCH("ER2",D18)))</formula>
    </cfRule>
  </conditionalFormatting>
  <conditionalFormatting sqref="B18">
    <cfRule type="duplicateValues" dxfId="162" priority="197"/>
  </conditionalFormatting>
  <conditionalFormatting sqref="B18">
    <cfRule type="duplicateValues" dxfId="161" priority="195"/>
  </conditionalFormatting>
  <conditionalFormatting sqref="D57:G57">
    <cfRule type="containsText" dxfId="160" priority="193" operator="containsText" text="ER2">
      <formula>NOT(ISERROR(SEARCH("ER2",D57)))</formula>
    </cfRule>
  </conditionalFormatting>
  <conditionalFormatting sqref="B57">
    <cfRule type="duplicateValues" dxfId="159" priority="194"/>
  </conditionalFormatting>
  <conditionalFormatting sqref="B57">
    <cfRule type="duplicateValues" dxfId="158" priority="192"/>
  </conditionalFormatting>
  <conditionalFormatting sqref="D63:G63">
    <cfRule type="containsText" dxfId="157" priority="190" operator="containsText" text="ER2">
      <formula>NOT(ISERROR(SEARCH("ER2",D63)))</formula>
    </cfRule>
  </conditionalFormatting>
  <conditionalFormatting sqref="B63">
    <cfRule type="duplicateValues" dxfId="156" priority="191"/>
  </conditionalFormatting>
  <conditionalFormatting sqref="B63">
    <cfRule type="duplicateValues" dxfId="155" priority="189"/>
  </conditionalFormatting>
  <conditionalFormatting sqref="D64:G64">
    <cfRule type="containsText" dxfId="154" priority="187" operator="containsText" text="ER2">
      <formula>NOT(ISERROR(SEARCH("ER2",D64)))</formula>
    </cfRule>
  </conditionalFormatting>
  <conditionalFormatting sqref="B64">
    <cfRule type="duplicateValues" dxfId="153" priority="188"/>
  </conditionalFormatting>
  <conditionalFormatting sqref="B64">
    <cfRule type="duplicateValues" dxfId="152" priority="186"/>
  </conditionalFormatting>
  <conditionalFormatting sqref="D75:G75">
    <cfRule type="containsText" dxfId="151" priority="184" operator="containsText" text="ER2">
      <formula>NOT(ISERROR(SEARCH("ER2",D75)))</formula>
    </cfRule>
  </conditionalFormatting>
  <conditionalFormatting sqref="B75">
    <cfRule type="duplicateValues" dxfId="150" priority="185"/>
  </conditionalFormatting>
  <conditionalFormatting sqref="B75">
    <cfRule type="duplicateValues" dxfId="149" priority="183"/>
  </conditionalFormatting>
  <conditionalFormatting sqref="D76:G76">
    <cfRule type="containsText" dxfId="148" priority="181" operator="containsText" text="ER2">
      <formula>NOT(ISERROR(SEARCH("ER2",D76)))</formula>
    </cfRule>
  </conditionalFormatting>
  <conditionalFormatting sqref="B76">
    <cfRule type="duplicateValues" dxfId="147" priority="182"/>
  </conditionalFormatting>
  <conditionalFormatting sqref="B76">
    <cfRule type="duplicateValues" dxfId="146" priority="180"/>
  </conditionalFormatting>
  <conditionalFormatting sqref="D77:G77">
    <cfRule type="containsText" dxfId="145" priority="178" operator="containsText" text="ER2">
      <formula>NOT(ISERROR(SEARCH("ER2",D77)))</formula>
    </cfRule>
  </conditionalFormatting>
  <conditionalFormatting sqref="B77">
    <cfRule type="duplicateValues" dxfId="144" priority="179"/>
  </conditionalFormatting>
  <conditionalFormatting sqref="B77">
    <cfRule type="duplicateValues" dxfId="143" priority="177"/>
  </conditionalFormatting>
  <conditionalFormatting sqref="D79:G79">
    <cfRule type="containsText" dxfId="142" priority="175" operator="containsText" text="ER2">
      <formula>NOT(ISERROR(SEARCH("ER2",D79)))</formula>
    </cfRule>
  </conditionalFormatting>
  <conditionalFormatting sqref="B79">
    <cfRule type="duplicateValues" dxfId="141" priority="176"/>
  </conditionalFormatting>
  <conditionalFormatting sqref="B79">
    <cfRule type="duplicateValues" dxfId="140" priority="174"/>
  </conditionalFormatting>
  <conditionalFormatting sqref="D81:G81">
    <cfRule type="containsText" dxfId="139" priority="172" operator="containsText" text="ER2">
      <formula>NOT(ISERROR(SEARCH("ER2",D81)))</formula>
    </cfRule>
  </conditionalFormatting>
  <conditionalFormatting sqref="B81">
    <cfRule type="duplicateValues" dxfId="138" priority="173"/>
  </conditionalFormatting>
  <conditionalFormatting sqref="B81">
    <cfRule type="duplicateValues" dxfId="137" priority="171"/>
  </conditionalFormatting>
  <conditionalFormatting sqref="D83:G83">
    <cfRule type="containsText" dxfId="136" priority="169" operator="containsText" text="ER2">
      <formula>NOT(ISERROR(SEARCH("ER2",D83)))</formula>
    </cfRule>
  </conditionalFormatting>
  <conditionalFormatting sqref="B83">
    <cfRule type="duplicateValues" dxfId="135" priority="170"/>
  </conditionalFormatting>
  <conditionalFormatting sqref="B83">
    <cfRule type="duplicateValues" dxfId="134" priority="168"/>
  </conditionalFormatting>
  <conditionalFormatting sqref="D85:G85">
    <cfRule type="containsText" dxfId="133" priority="166" operator="containsText" text="ER2">
      <formula>NOT(ISERROR(SEARCH("ER2",D85)))</formula>
    </cfRule>
  </conditionalFormatting>
  <conditionalFormatting sqref="B85">
    <cfRule type="duplicateValues" dxfId="132" priority="167"/>
  </conditionalFormatting>
  <conditionalFormatting sqref="B85">
    <cfRule type="duplicateValues" dxfId="131" priority="165"/>
  </conditionalFormatting>
  <conditionalFormatting sqref="D87:G87">
    <cfRule type="containsText" dxfId="130" priority="163" operator="containsText" text="ER2">
      <formula>NOT(ISERROR(SEARCH("ER2",D87)))</formula>
    </cfRule>
  </conditionalFormatting>
  <conditionalFormatting sqref="B87">
    <cfRule type="duplicateValues" dxfId="129" priority="164"/>
  </conditionalFormatting>
  <conditionalFormatting sqref="B87">
    <cfRule type="duplicateValues" dxfId="128" priority="162"/>
  </conditionalFormatting>
  <conditionalFormatting sqref="D89:G89">
    <cfRule type="containsText" dxfId="127" priority="160" operator="containsText" text="ER2">
      <formula>NOT(ISERROR(SEARCH("ER2",D89)))</formula>
    </cfRule>
  </conditionalFormatting>
  <conditionalFormatting sqref="B89">
    <cfRule type="duplicateValues" dxfId="126" priority="161"/>
  </conditionalFormatting>
  <conditionalFormatting sqref="B89">
    <cfRule type="duplicateValues" dxfId="125" priority="159"/>
  </conditionalFormatting>
  <conditionalFormatting sqref="D91:G91">
    <cfRule type="containsText" dxfId="124" priority="157" operator="containsText" text="ER2">
      <formula>NOT(ISERROR(SEARCH("ER2",D91)))</formula>
    </cfRule>
  </conditionalFormatting>
  <conditionalFormatting sqref="B91">
    <cfRule type="duplicateValues" dxfId="123" priority="158"/>
  </conditionalFormatting>
  <conditionalFormatting sqref="B91">
    <cfRule type="duplicateValues" dxfId="122" priority="156"/>
  </conditionalFormatting>
  <conditionalFormatting sqref="D93:G93">
    <cfRule type="containsText" dxfId="121" priority="154" operator="containsText" text="ER2">
      <formula>NOT(ISERROR(SEARCH("ER2",D93)))</formula>
    </cfRule>
  </conditionalFormatting>
  <conditionalFormatting sqref="B93">
    <cfRule type="duplicateValues" dxfId="120" priority="155"/>
  </conditionalFormatting>
  <conditionalFormatting sqref="B93">
    <cfRule type="duplicateValues" dxfId="119" priority="153"/>
  </conditionalFormatting>
  <conditionalFormatting sqref="D95:G95">
    <cfRule type="containsText" dxfId="118" priority="151" operator="containsText" text="ER2">
      <formula>NOT(ISERROR(SEARCH("ER2",D95)))</formula>
    </cfRule>
  </conditionalFormatting>
  <conditionalFormatting sqref="B95">
    <cfRule type="duplicateValues" dxfId="117" priority="152"/>
  </conditionalFormatting>
  <conditionalFormatting sqref="B95">
    <cfRule type="duplicateValues" dxfId="116" priority="150"/>
  </conditionalFormatting>
  <conditionalFormatting sqref="D98:G98">
    <cfRule type="containsText" dxfId="115" priority="148" operator="containsText" text="ER2">
      <formula>NOT(ISERROR(SEARCH("ER2",D98)))</formula>
    </cfRule>
  </conditionalFormatting>
  <conditionalFormatting sqref="B98">
    <cfRule type="duplicateValues" dxfId="114" priority="149"/>
  </conditionalFormatting>
  <conditionalFormatting sqref="B98">
    <cfRule type="duplicateValues" dxfId="113" priority="147"/>
  </conditionalFormatting>
  <conditionalFormatting sqref="D101:G101">
    <cfRule type="containsText" dxfId="112" priority="145" operator="containsText" text="ER2">
      <formula>NOT(ISERROR(SEARCH("ER2",D101)))</formula>
    </cfRule>
  </conditionalFormatting>
  <conditionalFormatting sqref="B101">
    <cfRule type="duplicateValues" dxfId="111" priority="146"/>
  </conditionalFormatting>
  <conditionalFormatting sqref="B101">
    <cfRule type="duplicateValues" dxfId="110" priority="144"/>
  </conditionalFormatting>
  <conditionalFormatting sqref="D104:G104">
    <cfRule type="containsText" dxfId="109" priority="139" operator="containsText" text="ER2">
      <formula>NOT(ISERROR(SEARCH("ER2",D104)))</formula>
    </cfRule>
  </conditionalFormatting>
  <conditionalFormatting sqref="B104">
    <cfRule type="duplicateValues" dxfId="108" priority="140"/>
  </conditionalFormatting>
  <conditionalFormatting sqref="B104">
    <cfRule type="duplicateValues" dxfId="107" priority="138"/>
  </conditionalFormatting>
  <conditionalFormatting sqref="E137:G160">
    <cfRule type="containsText" dxfId="106" priority="136" operator="containsText" text="ER2">
      <formula>NOT(ISERROR(SEARCH("ER2",E137)))</formula>
    </cfRule>
  </conditionalFormatting>
  <conditionalFormatting sqref="B137:B160">
    <cfRule type="duplicateValues" dxfId="105" priority="137"/>
  </conditionalFormatting>
  <conditionalFormatting sqref="B137:B160">
    <cfRule type="duplicateValues" dxfId="104" priority="135"/>
  </conditionalFormatting>
  <conditionalFormatting sqref="D331:G333">
    <cfRule type="containsText" dxfId="103" priority="133" operator="containsText" text="ER2">
      <formula>NOT(ISERROR(SEARCH("ER2",D331)))</formula>
    </cfRule>
  </conditionalFormatting>
  <conditionalFormatting sqref="B331:B333">
    <cfRule type="duplicateValues" dxfId="102" priority="134"/>
  </conditionalFormatting>
  <conditionalFormatting sqref="B331:B333">
    <cfRule type="duplicateValues" dxfId="101" priority="132"/>
  </conditionalFormatting>
  <conditionalFormatting sqref="D341:G341">
    <cfRule type="containsText" dxfId="100" priority="130" operator="containsText" text="ER2">
      <formula>NOT(ISERROR(SEARCH("ER2",D341)))</formula>
    </cfRule>
  </conditionalFormatting>
  <conditionalFormatting sqref="B341">
    <cfRule type="duplicateValues" dxfId="99" priority="131"/>
  </conditionalFormatting>
  <conditionalFormatting sqref="B341">
    <cfRule type="duplicateValues" dxfId="98" priority="129"/>
  </conditionalFormatting>
  <conditionalFormatting sqref="D342:G342">
    <cfRule type="containsText" dxfId="97" priority="127" operator="containsText" text="ER2">
      <formula>NOT(ISERROR(SEARCH("ER2",D342)))</formula>
    </cfRule>
  </conditionalFormatting>
  <conditionalFormatting sqref="B342">
    <cfRule type="duplicateValues" dxfId="96" priority="128"/>
  </conditionalFormatting>
  <conditionalFormatting sqref="B342">
    <cfRule type="duplicateValues" dxfId="95" priority="126"/>
  </conditionalFormatting>
  <conditionalFormatting sqref="D365:G365">
    <cfRule type="containsText" dxfId="94" priority="124" operator="containsText" text="ER2">
      <formula>NOT(ISERROR(SEARCH("ER2",D365)))</formula>
    </cfRule>
  </conditionalFormatting>
  <conditionalFormatting sqref="B365">
    <cfRule type="duplicateValues" dxfId="93" priority="125"/>
  </conditionalFormatting>
  <conditionalFormatting sqref="B365">
    <cfRule type="duplicateValues" dxfId="92" priority="123"/>
  </conditionalFormatting>
  <conditionalFormatting sqref="D369:G369">
    <cfRule type="containsText" dxfId="91" priority="121" operator="containsText" text="ER2">
      <formula>NOT(ISERROR(SEARCH("ER2",D369)))</formula>
    </cfRule>
  </conditionalFormatting>
  <conditionalFormatting sqref="B369">
    <cfRule type="duplicateValues" dxfId="90" priority="122"/>
  </conditionalFormatting>
  <conditionalFormatting sqref="B369">
    <cfRule type="duplicateValues" dxfId="89" priority="120"/>
  </conditionalFormatting>
  <conditionalFormatting sqref="D368:G368">
    <cfRule type="containsText" dxfId="88" priority="118" operator="containsText" text="ER2">
      <formula>NOT(ISERROR(SEARCH("ER2",D368)))</formula>
    </cfRule>
  </conditionalFormatting>
  <conditionalFormatting sqref="B368">
    <cfRule type="duplicateValues" dxfId="87" priority="119"/>
  </conditionalFormatting>
  <conditionalFormatting sqref="B368">
    <cfRule type="duplicateValues" dxfId="86" priority="117"/>
  </conditionalFormatting>
  <conditionalFormatting sqref="D370:G371">
    <cfRule type="containsText" dxfId="85" priority="115" operator="containsText" text="ER2">
      <formula>NOT(ISERROR(SEARCH("ER2",D370)))</formula>
    </cfRule>
  </conditionalFormatting>
  <conditionalFormatting sqref="B370:B371">
    <cfRule type="duplicateValues" dxfId="84" priority="386"/>
  </conditionalFormatting>
  <conditionalFormatting sqref="D402:G402">
    <cfRule type="containsText" dxfId="83" priority="112" operator="containsText" text="ER2">
      <formula>NOT(ISERROR(SEARCH("ER2",D402)))</formula>
    </cfRule>
  </conditionalFormatting>
  <conditionalFormatting sqref="B402">
    <cfRule type="duplicateValues" dxfId="82" priority="113"/>
  </conditionalFormatting>
  <conditionalFormatting sqref="B402">
    <cfRule type="duplicateValues" dxfId="81" priority="111"/>
  </conditionalFormatting>
  <conditionalFormatting sqref="D415:G415">
    <cfRule type="containsText" dxfId="80" priority="109" operator="containsText" text="ER2">
      <formula>NOT(ISERROR(SEARCH("ER2",D415)))</formula>
    </cfRule>
  </conditionalFormatting>
  <conditionalFormatting sqref="B415">
    <cfRule type="duplicateValues" dxfId="79" priority="110"/>
  </conditionalFormatting>
  <conditionalFormatting sqref="B415">
    <cfRule type="duplicateValues" dxfId="78" priority="108"/>
  </conditionalFormatting>
  <conditionalFormatting sqref="D419:G419">
    <cfRule type="containsText" dxfId="77" priority="106" operator="containsText" text="ER2">
      <formula>NOT(ISERROR(SEARCH("ER2",D419)))</formula>
    </cfRule>
  </conditionalFormatting>
  <conditionalFormatting sqref="B419">
    <cfRule type="duplicateValues" dxfId="76" priority="107"/>
  </conditionalFormatting>
  <conditionalFormatting sqref="B419">
    <cfRule type="duplicateValues" dxfId="75" priority="105"/>
  </conditionalFormatting>
  <conditionalFormatting sqref="D424:G424">
    <cfRule type="containsText" dxfId="74" priority="103" operator="containsText" text="ER2">
      <formula>NOT(ISERROR(SEARCH("ER2",D424)))</formula>
    </cfRule>
  </conditionalFormatting>
  <conditionalFormatting sqref="B424">
    <cfRule type="duplicateValues" dxfId="73" priority="104"/>
  </conditionalFormatting>
  <conditionalFormatting sqref="B424">
    <cfRule type="duplicateValues" dxfId="72" priority="102"/>
  </conditionalFormatting>
  <conditionalFormatting sqref="D427:G427">
    <cfRule type="containsText" dxfId="71" priority="100" operator="containsText" text="ER2">
      <formula>NOT(ISERROR(SEARCH("ER2",D427)))</formula>
    </cfRule>
  </conditionalFormatting>
  <conditionalFormatting sqref="B427">
    <cfRule type="duplicateValues" dxfId="70" priority="101"/>
  </conditionalFormatting>
  <conditionalFormatting sqref="B427">
    <cfRule type="duplicateValues" dxfId="69" priority="99"/>
  </conditionalFormatting>
  <conditionalFormatting sqref="D430:G430">
    <cfRule type="containsText" dxfId="68" priority="97" operator="containsText" text="ER2">
      <formula>NOT(ISERROR(SEARCH("ER2",D430)))</formula>
    </cfRule>
  </conditionalFormatting>
  <conditionalFormatting sqref="B430">
    <cfRule type="duplicateValues" dxfId="67" priority="98"/>
  </conditionalFormatting>
  <conditionalFormatting sqref="B430">
    <cfRule type="duplicateValues" dxfId="66" priority="96"/>
  </conditionalFormatting>
  <conditionalFormatting sqref="D457:G457">
    <cfRule type="containsText" dxfId="65" priority="76" operator="containsText" text="ER2">
      <formula>NOT(ISERROR(SEARCH("ER2",D457)))</formula>
    </cfRule>
  </conditionalFormatting>
  <conditionalFormatting sqref="B457">
    <cfRule type="duplicateValues" dxfId="64" priority="77"/>
  </conditionalFormatting>
  <conditionalFormatting sqref="B457">
    <cfRule type="duplicateValues" dxfId="63" priority="75"/>
  </conditionalFormatting>
  <conditionalFormatting sqref="D467:G469">
    <cfRule type="containsText" dxfId="62" priority="61" operator="containsText" text="ER2">
      <formula>NOT(ISERROR(SEARCH("ER2",D467)))</formula>
    </cfRule>
  </conditionalFormatting>
  <conditionalFormatting sqref="D458:G461">
    <cfRule type="containsText" dxfId="61" priority="70" operator="containsText" text="ER2">
      <formula>NOT(ISERROR(SEARCH("ER2",D458)))</formula>
    </cfRule>
  </conditionalFormatting>
  <conditionalFormatting sqref="B458:B461">
    <cfRule type="duplicateValues" dxfId="60" priority="71"/>
  </conditionalFormatting>
  <conditionalFormatting sqref="B458:B461">
    <cfRule type="duplicateValues" dxfId="59" priority="69"/>
  </conditionalFormatting>
  <conditionalFormatting sqref="D462:G466">
    <cfRule type="containsText" dxfId="58" priority="64" operator="containsText" text="ER2">
      <formula>NOT(ISERROR(SEARCH("ER2",D462)))</formula>
    </cfRule>
  </conditionalFormatting>
  <conditionalFormatting sqref="B462:B466">
    <cfRule type="duplicateValues" dxfId="57" priority="65"/>
  </conditionalFormatting>
  <conditionalFormatting sqref="B462:B466">
    <cfRule type="duplicateValues" dxfId="56" priority="63"/>
  </conditionalFormatting>
  <conditionalFormatting sqref="B467:B469">
    <cfRule type="duplicateValues" dxfId="55" priority="62"/>
  </conditionalFormatting>
  <conditionalFormatting sqref="B467:B469">
    <cfRule type="duplicateValues" dxfId="54" priority="60"/>
  </conditionalFormatting>
  <conditionalFormatting sqref="D421:G421">
    <cfRule type="containsText" dxfId="53" priority="58" operator="containsText" text="ER2">
      <formula>NOT(ISERROR(SEARCH("ER2",D421)))</formula>
    </cfRule>
  </conditionalFormatting>
  <conditionalFormatting sqref="B421">
    <cfRule type="duplicateValues" dxfId="52" priority="59"/>
  </conditionalFormatting>
  <conditionalFormatting sqref="B421">
    <cfRule type="duplicateValues" dxfId="51" priority="57"/>
  </conditionalFormatting>
  <conditionalFormatting sqref="D472:G472">
    <cfRule type="containsText" dxfId="50" priority="55" operator="containsText" text="ER2">
      <formula>NOT(ISERROR(SEARCH("ER2",D472)))</formula>
    </cfRule>
  </conditionalFormatting>
  <conditionalFormatting sqref="B472">
    <cfRule type="duplicateValues" dxfId="49" priority="56"/>
  </conditionalFormatting>
  <conditionalFormatting sqref="B472">
    <cfRule type="duplicateValues" dxfId="48" priority="54"/>
  </conditionalFormatting>
  <conditionalFormatting sqref="D471:G471">
    <cfRule type="containsText" dxfId="47" priority="52" operator="containsText" text="ER2">
      <formula>NOT(ISERROR(SEARCH("ER2",D471)))</formula>
    </cfRule>
  </conditionalFormatting>
  <conditionalFormatting sqref="B471">
    <cfRule type="duplicateValues" dxfId="46" priority="53"/>
  </conditionalFormatting>
  <conditionalFormatting sqref="B471">
    <cfRule type="duplicateValues" dxfId="45" priority="51"/>
  </conditionalFormatting>
  <conditionalFormatting sqref="D470:G470">
    <cfRule type="containsText" dxfId="44" priority="49" operator="containsText" text="ER2">
      <formula>NOT(ISERROR(SEARCH("ER2",D470)))</formula>
    </cfRule>
  </conditionalFormatting>
  <conditionalFormatting sqref="B470">
    <cfRule type="duplicateValues" dxfId="43" priority="50"/>
  </conditionalFormatting>
  <conditionalFormatting sqref="B470">
    <cfRule type="duplicateValues" dxfId="42" priority="48"/>
  </conditionalFormatting>
  <conditionalFormatting sqref="D501:G501">
    <cfRule type="containsText" dxfId="41" priority="46" operator="containsText" text="ER2">
      <formula>NOT(ISERROR(SEARCH("ER2",D501)))</formula>
    </cfRule>
  </conditionalFormatting>
  <conditionalFormatting sqref="B501">
    <cfRule type="duplicateValues" dxfId="40" priority="47"/>
  </conditionalFormatting>
  <conditionalFormatting sqref="B501">
    <cfRule type="duplicateValues" dxfId="39" priority="45"/>
  </conditionalFormatting>
  <conditionalFormatting sqref="D502:G502">
    <cfRule type="containsText" dxfId="38" priority="43" operator="containsText" text="ER2">
      <formula>NOT(ISERROR(SEARCH("ER2",D502)))</formula>
    </cfRule>
  </conditionalFormatting>
  <conditionalFormatting sqref="B502">
    <cfRule type="duplicateValues" dxfId="37" priority="44"/>
  </conditionalFormatting>
  <conditionalFormatting sqref="B502">
    <cfRule type="duplicateValues" dxfId="36" priority="42"/>
  </conditionalFormatting>
  <conditionalFormatting sqref="D505:G505">
    <cfRule type="containsText" dxfId="35" priority="40" operator="containsText" text="ER2">
      <formula>NOT(ISERROR(SEARCH("ER2",D505)))</formula>
    </cfRule>
  </conditionalFormatting>
  <conditionalFormatting sqref="B505">
    <cfRule type="duplicateValues" dxfId="34" priority="41"/>
  </conditionalFormatting>
  <conditionalFormatting sqref="B505">
    <cfRule type="duplicateValues" dxfId="33" priority="39"/>
  </conditionalFormatting>
  <conditionalFormatting sqref="D550:G550">
    <cfRule type="containsText" dxfId="32" priority="37" operator="containsText" text="ER2">
      <formula>NOT(ISERROR(SEARCH("ER2",D550)))</formula>
    </cfRule>
  </conditionalFormatting>
  <conditionalFormatting sqref="B550">
    <cfRule type="duplicateValues" dxfId="31" priority="38"/>
  </conditionalFormatting>
  <conditionalFormatting sqref="B550">
    <cfRule type="duplicateValues" dxfId="30" priority="36"/>
  </conditionalFormatting>
  <conditionalFormatting sqref="D552:G552">
    <cfRule type="containsText" dxfId="29" priority="34" operator="containsText" text="ER2">
      <formula>NOT(ISERROR(SEARCH("ER2",D552)))</formula>
    </cfRule>
  </conditionalFormatting>
  <conditionalFormatting sqref="B552">
    <cfRule type="duplicateValues" dxfId="28" priority="35"/>
  </conditionalFormatting>
  <conditionalFormatting sqref="B552">
    <cfRule type="duplicateValues" dxfId="27" priority="33"/>
  </conditionalFormatting>
  <conditionalFormatting sqref="D554:G554">
    <cfRule type="containsText" dxfId="26" priority="31" operator="containsText" text="ER2">
      <formula>NOT(ISERROR(SEARCH("ER2",D554)))</formula>
    </cfRule>
  </conditionalFormatting>
  <conditionalFormatting sqref="B554">
    <cfRule type="duplicateValues" dxfId="25" priority="32"/>
  </conditionalFormatting>
  <conditionalFormatting sqref="B554">
    <cfRule type="duplicateValues" dxfId="24" priority="30"/>
  </conditionalFormatting>
  <conditionalFormatting sqref="D558:G558">
    <cfRule type="containsText" dxfId="23" priority="22" operator="containsText" text="ER2">
      <formula>NOT(ISERROR(SEARCH("ER2",D558)))</formula>
    </cfRule>
  </conditionalFormatting>
  <conditionalFormatting sqref="B558">
    <cfRule type="duplicateValues" dxfId="22" priority="23"/>
  </conditionalFormatting>
  <conditionalFormatting sqref="B558">
    <cfRule type="duplicateValues" dxfId="21" priority="21"/>
  </conditionalFormatting>
  <conditionalFormatting sqref="D559:G565">
    <cfRule type="containsText" dxfId="20" priority="19" operator="containsText" text="ER2">
      <formula>NOT(ISERROR(SEARCH("ER2",D559)))</formula>
    </cfRule>
  </conditionalFormatting>
  <conditionalFormatting sqref="B559:B565">
    <cfRule type="duplicateValues" dxfId="19" priority="20"/>
  </conditionalFormatting>
  <conditionalFormatting sqref="B559:B565">
    <cfRule type="duplicateValues" dxfId="18" priority="18"/>
  </conditionalFormatting>
  <conditionalFormatting sqref="B557">
    <cfRule type="duplicateValues" dxfId="17" priority="542"/>
  </conditionalFormatting>
  <conditionalFormatting sqref="B507:B1048576 B1:B69 B72:B102 B104:B505">
    <cfRule type="duplicateValues" dxfId="16" priority="17"/>
  </conditionalFormatting>
  <conditionalFormatting sqref="D70:G70">
    <cfRule type="containsText" dxfId="15" priority="15" operator="containsText" text="ER2">
      <formula>NOT(ISERROR(SEARCH("ER2",D70)))</formula>
    </cfRule>
  </conditionalFormatting>
  <conditionalFormatting sqref="B70">
    <cfRule type="duplicateValues" dxfId="14" priority="16"/>
  </conditionalFormatting>
  <conditionalFormatting sqref="B70">
    <cfRule type="duplicateValues" dxfId="13" priority="14"/>
  </conditionalFormatting>
  <conditionalFormatting sqref="B70">
    <cfRule type="duplicateValues" dxfId="12" priority="13"/>
  </conditionalFormatting>
  <conditionalFormatting sqref="D71:G71">
    <cfRule type="containsText" dxfId="11" priority="11" operator="containsText" text="ER2">
      <formula>NOT(ISERROR(SEARCH("ER2",D71)))</formula>
    </cfRule>
  </conditionalFormatting>
  <conditionalFormatting sqref="B71">
    <cfRule type="duplicateValues" dxfId="10" priority="12"/>
  </conditionalFormatting>
  <conditionalFormatting sqref="B71">
    <cfRule type="duplicateValues" dxfId="9" priority="10"/>
  </conditionalFormatting>
  <conditionalFormatting sqref="B71">
    <cfRule type="duplicateValues" dxfId="8" priority="9"/>
  </conditionalFormatting>
  <conditionalFormatting sqref="D506:G506">
    <cfRule type="containsText" dxfId="7" priority="7" operator="containsText" text="ER2">
      <formula>NOT(ISERROR(SEARCH("ER2",D506)))</formula>
    </cfRule>
  </conditionalFormatting>
  <conditionalFormatting sqref="B506">
    <cfRule type="duplicateValues" dxfId="6" priority="8"/>
  </conditionalFormatting>
  <conditionalFormatting sqref="B506">
    <cfRule type="duplicateValues" dxfId="5" priority="6"/>
  </conditionalFormatting>
  <conditionalFormatting sqref="B506">
    <cfRule type="duplicateValues" dxfId="4" priority="5"/>
  </conditionalFormatting>
  <conditionalFormatting sqref="D103:G103">
    <cfRule type="containsText" dxfId="3" priority="3" operator="containsText" text="ER2">
      <formula>NOT(ISERROR(SEARCH("ER2",D103)))</formula>
    </cfRule>
  </conditionalFormatting>
  <conditionalFormatting sqref="B103">
    <cfRule type="duplicateValues" dxfId="2" priority="4"/>
  </conditionalFormatting>
  <conditionalFormatting sqref="B103">
    <cfRule type="duplicateValues" dxfId="1" priority="2"/>
  </conditionalFormatting>
  <conditionalFormatting sqref="B103">
    <cfRule type="duplicateValues" dxfId="0" priority="1"/>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topLeftCell="A19" workbookViewId="0">
      <selection activeCell="F48" sqref="F48"/>
    </sheetView>
  </sheetViews>
  <sheetFormatPr defaultRowHeight="15" x14ac:dyDescent="0.25"/>
  <cols>
    <col min="1" max="1" width="22.28515625" style="2277" bestFit="1" customWidth="1"/>
    <col min="2" max="2" width="9.140625" style="2277"/>
    <col min="3" max="4" width="22.28515625" bestFit="1" customWidth="1"/>
    <col min="7" max="8" width="22.28515625" bestFit="1" customWidth="1"/>
    <col min="9" max="9" width="9" customWidth="1"/>
    <col min="10" max="10" width="22.28515625" bestFit="1" customWidth="1"/>
  </cols>
  <sheetData>
    <row r="1" spans="1:12" x14ac:dyDescent="0.25">
      <c r="A1" s="155">
        <f>COUNTA(A3:A1048576)</f>
        <v>660</v>
      </c>
      <c r="C1">
        <f>COUNTA(C3:C1048576)</f>
        <v>136</v>
      </c>
      <c r="D1" s="2277">
        <f t="shared" ref="D1:K1" si="0">COUNTA(D3:D1048576)</f>
        <v>24</v>
      </c>
      <c r="E1" s="2277">
        <f t="shared" si="0"/>
        <v>29</v>
      </c>
      <c r="F1" s="2277">
        <f t="shared" si="0"/>
        <v>43</v>
      </c>
      <c r="G1" s="2277">
        <f>COUNTA(G3:G1048576)</f>
        <v>173</v>
      </c>
      <c r="H1" s="2277">
        <f t="shared" si="0"/>
        <v>191</v>
      </c>
      <c r="I1" s="2277">
        <f t="shared" si="0"/>
        <v>1</v>
      </c>
      <c r="J1" s="2277">
        <f t="shared" si="0"/>
        <v>57</v>
      </c>
      <c r="K1" s="2277">
        <f t="shared" si="0"/>
        <v>6</v>
      </c>
      <c r="L1" s="2277">
        <f>COUNTA(L3:L1048576)</f>
        <v>1</v>
      </c>
    </row>
    <row r="2" spans="1:12" x14ac:dyDescent="0.25">
      <c r="A2" s="2277" t="s">
        <v>17</v>
      </c>
      <c r="C2" t="s">
        <v>17</v>
      </c>
      <c r="D2" t="s">
        <v>17</v>
      </c>
      <c r="E2" t="s">
        <v>17</v>
      </c>
      <c r="F2" t="s">
        <v>17</v>
      </c>
      <c r="G2" t="s">
        <v>17</v>
      </c>
      <c r="H2" t="s">
        <v>17</v>
      </c>
      <c r="I2" s="2277" t="s">
        <v>17</v>
      </c>
      <c r="J2" t="s">
        <v>17</v>
      </c>
      <c r="K2" t="s">
        <v>17</v>
      </c>
      <c r="L2" s="2277"/>
    </row>
    <row r="3" spans="1:12" x14ac:dyDescent="0.25">
      <c r="A3" s="2277" t="s">
        <v>33</v>
      </c>
      <c r="B3" s="2277" t="str">
        <f>VLOOKUP(A3,' Measure INDEX'!$B$9:$B$669,1,FALSE)</f>
        <v>800050_2019_12_</v>
      </c>
      <c r="C3" t="s">
        <v>33</v>
      </c>
      <c r="D3" t="s">
        <v>530</v>
      </c>
      <c r="E3" t="s">
        <v>620</v>
      </c>
      <c r="F3" t="s">
        <v>874</v>
      </c>
      <c r="G3" t="s">
        <v>1059</v>
      </c>
      <c r="H3" t="s">
        <v>1514</v>
      </c>
      <c r="I3" t="s">
        <v>3605</v>
      </c>
      <c r="J3" t="s">
        <v>2146</v>
      </c>
      <c r="K3" t="s">
        <v>2303</v>
      </c>
      <c r="L3" t="s">
        <v>3607</v>
      </c>
    </row>
    <row r="4" spans="1:12" x14ac:dyDescent="0.25">
      <c r="A4" s="2277" t="s">
        <v>38</v>
      </c>
      <c r="B4" s="2277" t="str">
        <f>VLOOKUP(A4,' Measure INDEX'!$B$9:$B$669,1,FALSE)</f>
        <v>800100_2019_12_</v>
      </c>
      <c r="C4" t="s">
        <v>38</v>
      </c>
      <c r="D4" t="s">
        <v>534</v>
      </c>
      <c r="E4" t="s">
        <v>688</v>
      </c>
      <c r="F4" t="s">
        <v>3518</v>
      </c>
      <c r="G4" t="s">
        <v>1061</v>
      </c>
      <c r="H4" t="s">
        <v>1517</v>
      </c>
      <c r="J4" t="s">
        <v>2149</v>
      </c>
      <c r="K4" t="s">
        <v>2306</v>
      </c>
    </row>
    <row r="5" spans="1:12" x14ac:dyDescent="0.25">
      <c r="A5" s="2277" t="s">
        <v>40</v>
      </c>
      <c r="B5" s="2277" t="str">
        <f>VLOOKUP(A5,' Measure INDEX'!$B$9:$B$669,1,FALSE)</f>
        <v>800150_2019_12_</v>
      </c>
      <c r="C5" t="s">
        <v>40</v>
      </c>
      <c r="D5" t="s">
        <v>536</v>
      </c>
      <c r="E5" t="s">
        <v>692</v>
      </c>
      <c r="F5" t="s">
        <v>3520</v>
      </c>
      <c r="G5" t="s">
        <v>1063</v>
      </c>
      <c r="H5" t="s">
        <v>1520</v>
      </c>
      <c r="J5" t="s">
        <v>2151</v>
      </c>
      <c r="K5" t="s">
        <v>2311</v>
      </c>
    </row>
    <row r="6" spans="1:12" x14ac:dyDescent="0.25">
      <c r="A6" s="2277" t="s">
        <v>42</v>
      </c>
      <c r="B6" s="2277" t="str">
        <f>VLOOKUP(A6,' Measure INDEX'!$B$9:$B$669,1,FALSE)</f>
        <v>800200_2019_12_</v>
      </c>
      <c r="C6" t="s">
        <v>42</v>
      </c>
      <c r="D6" t="s">
        <v>538</v>
      </c>
      <c r="E6" t="s">
        <v>694</v>
      </c>
      <c r="F6" t="s">
        <v>878</v>
      </c>
      <c r="G6" t="s">
        <v>1066</v>
      </c>
      <c r="H6" t="s">
        <v>1522</v>
      </c>
      <c r="J6" t="s">
        <v>2153</v>
      </c>
      <c r="K6" t="s">
        <v>2314</v>
      </c>
    </row>
    <row r="7" spans="1:12" x14ac:dyDescent="0.25">
      <c r="A7" s="2277" t="s">
        <v>44</v>
      </c>
      <c r="B7" s="2277" t="str">
        <f>VLOOKUP(A7,' Measure INDEX'!$B$9:$B$669,1,FALSE)</f>
        <v>800250_2019_12_</v>
      </c>
      <c r="C7" t="s">
        <v>44</v>
      </c>
      <c r="D7" t="s">
        <v>540</v>
      </c>
      <c r="E7" t="s">
        <v>695</v>
      </c>
      <c r="F7" t="s">
        <v>880</v>
      </c>
      <c r="G7" t="s">
        <v>1069</v>
      </c>
      <c r="H7" t="s">
        <v>1524</v>
      </c>
      <c r="J7" t="s">
        <v>2154</v>
      </c>
      <c r="K7" t="s">
        <v>2316</v>
      </c>
    </row>
    <row r="8" spans="1:12" x14ac:dyDescent="0.25">
      <c r="A8" s="2277" t="s">
        <v>46</v>
      </c>
      <c r="B8" s="2277" t="str">
        <f>VLOOKUP(A8,' Measure INDEX'!$B$9:$B$669,1,FALSE)</f>
        <v>800300_2019_12_</v>
      </c>
      <c r="C8" t="s">
        <v>46</v>
      </c>
      <c r="D8" t="s">
        <v>542</v>
      </c>
      <c r="E8" t="s">
        <v>697</v>
      </c>
      <c r="F8" t="s">
        <v>902</v>
      </c>
      <c r="G8" t="s">
        <v>1071</v>
      </c>
      <c r="H8" t="s">
        <v>1526</v>
      </c>
      <c r="J8" t="s">
        <v>2156</v>
      </c>
      <c r="K8" t="s">
        <v>2330</v>
      </c>
    </row>
    <row r="9" spans="1:12" x14ac:dyDescent="0.25">
      <c r="A9" s="2277" t="s">
        <v>48</v>
      </c>
      <c r="B9" s="2277" t="str">
        <f>VLOOKUP(A9,' Measure INDEX'!$B$9:$B$669,1,FALSE)</f>
        <v>800350_2019_12_</v>
      </c>
      <c r="C9" t="s">
        <v>48</v>
      </c>
      <c r="D9" t="s">
        <v>544</v>
      </c>
      <c r="E9" t="s">
        <v>698</v>
      </c>
      <c r="F9" t="s">
        <v>903</v>
      </c>
      <c r="G9" t="s">
        <v>1073</v>
      </c>
      <c r="H9" t="s">
        <v>1527</v>
      </c>
      <c r="J9" t="s">
        <v>2157</v>
      </c>
    </row>
    <row r="10" spans="1:12" x14ac:dyDescent="0.25">
      <c r="A10" s="2277" t="s">
        <v>50</v>
      </c>
      <c r="B10" s="2277" t="str">
        <f>VLOOKUP(A10,' Measure INDEX'!$B$9:$B$669,1,FALSE)</f>
        <v>800400_2019_12_</v>
      </c>
      <c r="C10" t="s">
        <v>50</v>
      </c>
      <c r="D10" t="s">
        <v>545</v>
      </c>
      <c r="E10" t="s">
        <v>700</v>
      </c>
      <c r="F10" t="s">
        <v>904</v>
      </c>
      <c r="G10" t="s">
        <v>1076</v>
      </c>
      <c r="H10" t="s">
        <v>1529</v>
      </c>
      <c r="J10" t="s">
        <v>2159</v>
      </c>
    </row>
    <row r="11" spans="1:12" x14ac:dyDescent="0.25">
      <c r="A11" s="2277" t="s">
        <v>52</v>
      </c>
      <c r="B11" s="2277" t="str">
        <f>VLOOKUP(A11,' Measure INDEX'!$B$9:$B$669,1,FALSE)</f>
        <v>800450_2019_12_</v>
      </c>
      <c r="C11" t="s">
        <v>52</v>
      </c>
      <c r="D11" t="s">
        <v>3485</v>
      </c>
      <c r="E11" t="s">
        <v>701</v>
      </c>
      <c r="F11" t="s">
        <v>3536</v>
      </c>
      <c r="G11" t="s">
        <v>1122</v>
      </c>
      <c r="H11" t="s">
        <v>1531</v>
      </c>
      <c r="J11" t="s">
        <v>3296</v>
      </c>
    </row>
    <row r="12" spans="1:12" x14ac:dyDescent="0.25">
      <c r="A12" s="2277" t="s">
        <v>55</v>
      </c>
      <c r="B12" s="2277" t="str">
        <f>VLOOKUP(A12,' Measure INDEX'!$B$9:$B$669,1,FALSE)</f>
        <v>800500_2019_12_</v>
      </c>
      <c r="C12" t="s">
        <v>55</v>
      </c>
      <c r="D12" t="s">
        <v>3487</v>
      </c>
      <c r="E12" t="s">
        <v>703</v>
      </c>
      <c r="F12" t="s">
        <v>3538</v>
      </c>
      <c r="G12" t="s">
        <v>1126</v>
      </c>
      <c r="H12" t="s">
        <v>1532</v>
      </c>
      <c r="J12" t="s">
        <v>3297</v>
      </c>
    </row>
    <row r="13" spans="1:12" x14ac:dyDescent="0.25">
      <c r="A13" s="2277" t="s">
        <v>57</v>
      </c>
      <c r="B13" s="2277" t="str">
        <f>VLOOKUP(A13,' Measure INDEX'!$B$9:$B$669,1,FALSE)</f>
        <v>800550_2019_12_</v>
      </c>
      <c r="C13" t="s">
        <v>57</v>
      </c>
      <c r="D13" t="s">
        <v>546</v>
      </c>
      <c r="E13" t="s">
        <v>705</v>
      </c>
      <c r="F13" t="s">
        <v>905</v>
      </c>
      <c r="G13" t="s">
        <v>1128</v>
      </c>
      <c r="H13" t="s">
        <v>1534</v>
      </c>
      <c r="J13" t="s">
        <v>3298</v>
      </c>
    </row>
    <row r="14" spans="1:12" x14ac:dyDescent="0.25">
      <c r="A14" s="2277" t="s">
        <v>59</v>
      </c>
      <c r="B14" s="2277" t="str">
        <f>VLOOKUP(A14,' Measure INDEX'!$B$9:$B$669,1,FALSE)</f>
        <v>800600_2019_12_</v>
      </c>
      <c r="C14" t="s">
        <v>59</v>
      </c>
      <c r="D14" t="s">
        <v>548</v>
      </c>
      <c r="E14" t="s">
        <v>706</v>
      </c>
      <c r="F14" t="s">
        <v>906</v>
      </c>
      <c r="G14" t="s">
        <v>1131</v>
      </c>
      <c r="H14" t="s">
        <v>1536</v>
      </c>
      <c r="J14" t="s">
        <v>3299</v>
      </c>
    </row>
    <row r="15" spans="1:12" x14ac:dyDescent="0.25">
      <c r="A15" s="2277" t="s">
        <v>62</v>
      </c>
      <c r="B15" s="2277" t="str">
        <f>VLOOKUP(A15,' Measure INDEX'!$B$9:$B$669,1,FALSE)</f>
        <v>800650_2019_12_</v>
      </c>
      <c r="C15" t="s">
        <v>62</v>
      </c>
      <c r="D15" t="s">
        <v>550</v>
      </c>
      <c r="E15" t="s">
        <v>708</v>
      </c>
      <c r="F15" t="s">
        <v>3309</v>
      </c>
      <c r="G15" t="s">
        <v>1132</v>
      </c>
      <c r="H15" t="s">
        <v>1556</v>
      </c>
      <c r="J15" t="s">
        <v>3300</v>
      </c>
    </row>
    <row r="16" spans="1:12" x14ac:dyDescent="0.25">
      <c r="A16" s="2277" t="s">
        <v>64</v>
      </c>
      <c r="B16" s="2277" t="str">
        <f>VLOOKUP(A16,' Measure INDEX'!$B$9:$B$669,1,FALSE)</f>
        <v>800700_2019_12_</v>
      </c>
      <c r="C16" t="s">
        <v>64</v>
      </c>
      <c r="D16" t="s">
        <v>552</v>
      </c>
      <c r="E16" t="s">
        <v>753</v>
      </c>
      <c r="F16" t="s">
        <v>3533</v>
      </c>
      <c r="G16" t="s">
        <v>1134</v>
      </c>
      <c r="H16" t="s">
        <v>1559</v>
      </c>
      <c r="J16" t="s">
        <v>3301</v>
      </c>
    </row>
    <row r="17" spans="1:10" x14ac:dyDescent="0.25">
      <c r="A17" s="2277" t="s">
        <v>66</v>
      </c>
      <c r="B17" s="2277" t="str">
        <f>VLOOKUP(A17,' Measure INDEX'!$B$9:$B$669,1,FALSE)</f>
        <v>800750_2019_12_</v>
      </c>
      <c r="C17" t="s">
        <v>66</v>
      </c>
      <c r="D17" t="s">
        <v>554</v>
      </c>
      <c r="E17" t="s">
        <v>755</v>
      </c>
      <c r="F17" t="s">
        <v>3534</v>
      </c>
      <c r="G17" t="s">
        <v>1135</v>
      </c>
      <c r="H17" t="s">
        <v>1561</v>
      </c>
      <c r="J17" t="s">
        <v>3302</v>
      </c>
    </row>
    <row r="18" spans="1:10" x14ac:dyDescent="0.25">
      <c r="A18" s="2277" t="s">
        <v>3476</v>
      </c>
      <c r="B18" s="2277" t="str">
        <f>VLOOKUP(A18,' Measure INDEX'!$B$9:$B$669,1,FALSE)</f>
        <v>800800_2020_12_</v>
      </c>
      <c r="C18" t="s">
        <v>3476</v>
      </c>
      <c r="D18" t="s">
        <v>555</v>
      </c>
      <c r="E18" t="s">
        <v>782</v>
      </c>
      <c r="F18" t="s">
        <v>3535</v>
      </c>
      <c r="G18" t="s">
        <v>1138</v>
      </c>
      <c r="H18" t="s">
        <v>1563</v>
      </c>
      <c r="J18" t="s">
        <v>3303</v>
      </c>
    </row>
    <row r="19" spans="1:10" x14ac:dyDescent="0.25">
      <c r="A19" s="2277" t="s">
        <v>3475</v>
      </c>
      <c r="B19" s="2277" t="str">
        <f>VLOOKUP(A19,' Measure INDEX'!$B$9:$B$669,1,FALSE)</f>
        <v>800801_2020_12_</v>
      </c>
      <c r="C19" t="s">
        <v>3475</v>
      </c>
      <c r="D19" t="s">
        <v>556</v>
      </c>
      <c r="E19" t="s">
        <v>785</v>
      </c>
      <c r="F19" t="s">
        <v>934</v>
      </c>
      <c r="G19" t="s">
        <v>1140</v>
      </c>
      <c r="H19" t="s">
        <v>1564</v>
      </c>
      <c r="J19" t="s">
        <v>3304</v>
      </c>
    </row>
    <row r="20" spans="1:10" x14ac:dyDescent="0.25">
      <c r="A20" s="2277" t="s">
        <v>3477</v>
      </c>
      <c r="B20" s="2277" t="str">
        <f>VLOOKUP(A20,' Measure INDEX'!$B$9:$B$669,1,FALSE)</f>
        <v>800850_2020_12_</v>
      </c>
      <c r="C20" t="s">
        <v>3477</v>
      </c>
      <c r="D20" t="s">
        <v>558</v>
      </c>
      <c r="E20" t="s">
        <v>787</v>
      </c>
      <c r="F20" t="s">
        <v>3548</v>
      </c>
      <c r="G20" t="s">
        <v>1143</v>
      </c>
      <c r="H20" t="s">
        <v>1566</v>
      </c>
      <c r="J20" t="s">
        <v>3305</v>
      </c>
    </row>
    <row r="21" spans="1:10" x14ac:dyDescent="0.25">
      <c r="A21" s="2277" t="s">
        <v>3478</v>
      </c>
      <c r="B21" s="2277" t="str">
        <f>VLOOKUP(A21,' Measure INDEX'!$B$9:$B$669,1,FALSE)</f>
        <v>800851_2020_12_</v>
      </c>
      <c r="C21" t="s">
        <v>3478</v>
      </c>
      <c r="D21" t="s">
        <v>560</v>
      </c>
      <c r="E21" t="s">
        <v>789</v>
      </c>
      <c r="F21" t="s">
        <v>936</v>
      </c>
      <c r="G21" t="s">
        <v>1144</v>
      </c>
      <c r="H21" t="s">
        <v>1568</v>
      </c>
      <c r="J21" t="s">
        <v>3306</v>
      </c>
    </row>
    <row r="22" spans="1:10" x14ac:dyDescent="0.25">
      <c r="A22" s="2277" t="s">
        <v>3479</v>
      </c>
      <c r="B22" s="2277" t="str">
        <f>VLOOKUP(A22,' Measure INDEX'!$B$9:$B$669,1,FALSE)</f>
        <v>800900_2020_12_</v>
      </c>
      <c r="C22" t="s">
        <v>3479</v>
      </c>
      <c r="D22" t="s">
        <v>562</v>
      </c>
      <c r="E22" t="s">
        <v>791</v>
      </c>
      <c r="F22" t="s">
        <v>3549</v>
      </c>
      <c r="G22" t="s">
        <v>1146</v>
      </c>
      <c r="H22" t="s">
        <v>1570</v>
      </c>
      <c r="J22" t="s">
        <v>3307</v>
      </c>
    </row>
    <row r="23" spans="1:10" x14ac:dyDescent="0.25">
      <c r="A23" s="2277" t="s">
        <v>3821</v>
      </c>
      <c r="B23" s="2277" t="str">
        <f>VLOOKUP(A23,' Measure INDEX'!$B$9:$B$669,1,FALSE)</f>
        <v>800901_2020_12_</v>
      </c>
      <c r="C23" t="s">
        <v>3821</v>
      </c>
      <c r="D23" t="s">
        <v>564</v>
      </c>
      <c r="E23" t="s">
        <v>793</v>
      </c>
      <c r="F23" t="s">
        <v>974</v>
      </c>
      <c r="G23" t="s">
        <v>1147</v>
      </c>
      <c r="H23" t="s">
        <v>1584</v>
      </c>
      <c r="J23" t="s">
        <v>2199</v>
      </c>
    </row>
    <row r="24" spans="1:10" x14ac:dyDescent="0.25">
      <c r="A24" s="2277" t="s">
        <v>68</v>
      </c>
      <c r="B24" s="2277" t="str">
        <f>VLOOKUP(A24,' Measure INDEX'!$B$9:$B$669,1,FALSE)</f>
        <v>800950_2019_12_</v>
      </c>
      <c r="C24" t="s">
        <v>68</v>
      </c>
      <c r="D24" t="s">
        <v>565</v>
      </c>
      <c r="E24" t="s">
        <v>795</v>
      </c>
      <c r="F24" t="s">
        <v>3599</v>
      </c>
      <c r="G24" t="s">
        <v>1150</v>
      </c>
      <c r="H24" t="s">
        <v>1586</v>
      </c>
      <c r="J24" t="s">
        <v>2208</v>
      </c>
    </row>
    <row r="25" spans="1:10" x14ac:dyDescent="0.25">
      <c r="A25" s="2277" t="s">
        <v>3441</v>
      </c>
      <c r="B25" s="2277" t="str">
        <f>VLOOKUP(A25,' Measure INDEX'!$B$9:$B$669,1,FALSE)</f>
        <v>801010_2020_07</v>
      </c>
      <c r="C25" t="s">
        <v>3441</v>
      </c>
      <c r="D25" t="s">
        <v>566</v>
      </c>
      <c r="E25" t="s">
        <v>797</v>
      </c>
      <c r="F25" t="s">
        <v>976</v>
      </c>
      <c r="G25" t="s">
        <v>1152</v>
      </c>
      <c r="H25" t="s">
        <v>1588</v>
      </c>
      <c r="J25" t="s">
        <v>2209</v>
      </c>
    </row>
    <row r="26" spans="1:10" x14ac:dyDescent="0.25">
      <c r="A26" s="2277" t="s">
        <v>3442</v>
      </c>
      <c r="B26" s="2277" t="str">
        <f>VLOOKUP(A26,' Measure INDEX'!$B$9:$B$669,1,FALSE)</f>
        <v>801020_2020_07</v>
      </c>
      <c r="C26" t="s">
        <v>3442</v>
      </c>
      <c r="D26" t="s">
        <v>568</v>
      </c>
      <c r="E26" t="s">
        <v>799</v>
      </c>
      <c r="F26" t="s">
        <v>3600</v>
      </c>
      <c r="G26" t="s">
        <v>1155</v>
      </c>
      <c r="H26" t="s">
        <v>1590</v>
      </c>
      <c r="J26" t="s">
        <v>2210</v>
      </c>
    </row>
    <row r="27" spans="1:10" x14ac:dyDescent="0.25">
      <c r="A27" s="2277" t="s">
        <v>3810</v>
      </c>
      <c r="B27" s="2277" t="str">
        <f>VLOOKUP(A27,' Measure INDEX'!$B$9:$B$669,1,FALSE)</f>
        <v>801225_2020_12_</v>
      </c>
      <c r="C27" t="s">
        <v>3810</v>
      </c>
      <c r="E27" t="s">
        <v>3781</v>
      </c>
      <c r="F27" t="s">
        <v>981</v>
      </c>
      <c r="G27" t="s">
        <v>1156</v>
      </c>
      <c r="H27" t="s">
        <v>1592</v>
      </c>
      <c r="J27" t="s">
        <v>2211</v>
      </c>
    </row>
    <row r="28" spans="1:10" x14ac:dyDescent="0.25">
      <c r="A28" s="2277" t="s">
        <v>3811</v>
      </c>
      <c r="B28" s="2277" t="str">
        <f>VLOOKUP(A28,' Measure INDEX'!$B$9:$B$669,1,FALSE)</f>
        <v>801227_2020_12_</v>
      </c>
      <c r="C28" t="s">
        <v>3811</v>
      </c>
      <c r="E28" t="s">
        <v>806</v>
      </c>
      <c r="F28" t="s">
        <v>3601</v>
      </c>
      <c r="G28" t="s">
        <v>1158</v>
      </c>
      <c r="H28" t="s">
        <v>1594</v>
      </c>
      <c r="J28" t="s">
        <v>2213</v>
      </c>
    </row>
    <row r="29" spans="1:10" x14ac:dyDescent="0.25">
      <c r="A29" s="2277" t="s">
        <v>3812</v>
      </c>
      <c r="B29" s="2277" t="str">
        <f>VLOOKUP(A29,' Measure INDEX'!$B$9:$B$669,1,FALSE)</f>
        <v>801229_2020_12_</v>
      </c>
      <c r="C29" t="s">
        <v>3812</v>
      </c>
      <c r="E29" t="s">
        <v>824</v>
      </c>
      <c r="F29" t="s">
        <v>983</v>
      </c>
      <c r="G29" t="s">
        <v>1159</v>
      </c>
      <c r="H29" t="s">
        <v>1596</v>
      </c>
      <c r="J29" t="s">
        <v>2215</v>
      </c>
    </row>
    <row r="30" spans="1:10" x14ac:dyDescent="0.25">
      <c r="A30" s="2277" t="s">
        <v>3813</v>
      </c>
      <c r="B30" s="2277" t="str">
        <f>VLOOKUP(A30,' Measure INDEX'!$B$9:$B$669,1,FALSE)</f>
        <v>801231_2020_12_</v>
      </c>
      <c r="C30" t="s">
        <v>3813</v>
      </c>
      <c r="E30" t="s">
        <v>845</v>
      </c>
      <c r="F30" t="s">
        <v>3602</v>
      </c>
      <c r="G30" t="s">
        <v>1160</v>
      </c>
      <c r="H30" t="s">
        <v>1598</v>
      </c>
      <c r="J30" t="s">
        <v>2217</v>
      </c>
    </row>
    <row r="31" spans="1:10" x14ac:dyDescent="0.25">
      <c r="A31" s="2277" t="s">
        <v>3814</v>
      </c>
      <c r="B31" s="2277" t="str">
        <f>VLOOKUP(A31,' Measure INDEX'!$B$9:$B$669,1,FALSE)</f>
        <v>801233_2020_12_</v>
      </c>
      <c r="C31" t="s">
        <v>3814</v>
      </c>
      <c r="E31" t="s">
        <v>846</v>
      </c>
      <c r="F31" t="s">
        <v>1001</v>
      </c>
      <c r="G31" t="s">
        <v>1161</v>
      </c>
      <c r="H31" t="s">
        <v>1600</v>
      </c>
      <c r="J31" t="s">
        <v>2218</v>
      </c>
    </row>
    <row r="32" spans="1:10" x14ac:dyDescent="0.25">
      <c r="A32" s="2277" t="s">
        <v>3815</v>
      </c>
      <c r="B32" s="2277" t="str">
        <f>VLOOKUP(A32,' Measure INDEX'!$B$9:$B$669,1,FALSE)</f>
        <v>801235_2020_12_</v>
      </c>
      <c r="C32" t="s">
        <v>3815</v>
      </c>
      <c r="F32" t="s">
        <v>3603</v>
      </c>
      <c r="G32" t="s">
        <v>1162</v>
      </c>
      <c r="H32" t="s">
        <v>1602</v>
      </c>
      <c r="J32" t="s">
        <v>2219</v>
      </c>
    </row>
    <row r="33" spans="1:10" x14ac:dyDescent="0.25">
      <c r="A33" s="2277" t="s">
        <v>3816</v>
      </c>
      <c r="B33" s="2277" t="str">
        <f>VLOOKUP(A33,' Measure INDEX'!$B$9:$B$669,1,FALSE)</f>
        <v>801237_2020_12_</v>
      </c>
      <c r="C33" t="s">
        <v>3816</v>
      </c>
      <c r="F33" t="s">
        <v>1003</v>
      </c>
      <c r="G33" t="s">
        <v>1163</v>
      </c>
      <c r="H33" t="s">
        <v>1604</v>
      </c>
      <c r="J33" t="s">
        <v>2220</v>
      </c>
    </row>
    <row r="34" spans="1:10" x14ac:dyDescent="0.25">
      <c r="A34" s="2277" t="s">
        <v>3817</v>
      </c>
      <c r="B34" s="2277" t="str">
        <f>VLOOKUP(A34,' Measure INDEX'!$B$9:$B$669,1,FALSE)</f>
        <v>801239_2020_12_</v>
      </c>
      <c r="C34" t="s">
        <v>3817</v>
      </c>
      <c r="F34" t="s">
        <v>3604</v>
      </c>
      <c r="G34" t="s">
        <v>1164</v>
      </c>
      <c r="H34" t="s">
        <v>1606</v>
      </c>
      <c r="J34" t="s">
        <v>3642</v>
      </c>
    </row>
    <row r="35" spans="1:10" x14ac:dyDescent="0.25">
      <c r="A35" s="2277" t="s">
        <v>81</v>
      </c>
      <c r="B35" s="2277" t="str">
        <f>VLOOKUP(A35,' Measure INDEX'!$B$9:$B$669,1,FALSE)</f>
        <v>801250_2019_12_</v>
      </c>
      <c r="C35" t="s">
        <v>81</v>
      </c>
      <c r="F35" t="s">
        <v>1037</v>
      </c>
      <c r="G35" t="s">
        <v>3395</v>
      </c>
      <c r="H35" t="s">
        <v>1608</v>
      </c>
      <c r="J35" t="s">
        <v>3643</v>
      </c>
    </row>
    <row r="36" spans="1:10" x14ac:dyDescent="0.25">
      <c r="A36" s="2277" t="s">
        <v>84</v>
      </c>
      <c r="B36" s="2277" t="str">
        <f>VLOOKUP(A36,' Measure INDEX'!$B$9:$B$669,1,FALSE)</f>
        <v>801300_2019_12_</v>
      </c>
      <c r="C36" t="s">
        <v>84</v>
      </c>
      <c r="F36" t="s">
        <v>3771</v>
      </c>
      <c r="G36" t="s">
        <v>3396</v>
      </c>
      <c r="H36" t="s">
        <v>1610</v>
      </c>
      <c r="J36" t="s">
        <v>2221</v>
      </c>
    </row>
    <row r="37" spans="1:10" x14ac:dyDescent="0.25">
      <c r="A37" s="2277" t="s">
        <v>86</v>
      </c>
      <c r="B37" s="2277" t="str">
        <f>VLOOKUP(A37,' Measure INDEX'!$B$9:$B$669,1,FALSE)</f>
        <v>801350_2019_12_</v>
      </c>
      <c r="C37" t="s">
        <v>86</v>
      </c>
      <c r="F37" t="s">
        <v>1039</v>
      </c>
      <c r="G37" t="s">
        <v>3397</v>
      </c>
      <c r="H37" t="s">
        <v>1612</v>
      </c>
      <c r="J37" t="s">
        <v>2222</v>
      </c>
    </row>
    <row r="38" spans="1:10" x14ac:dyDescent="0.25">
      <c r="A38" s="2277" t="s">
        <v>88</v>
      </c>
      <c r="B38" s="2277" t="str">
        <f>VLOOKUP(A38,' Measure INDEX'!$B$9:$B$669,1,FALSE)</f>
        <v>801400_2019_12_</v>
      </c>
      <c r="C38" t="s">
        <v>88</v>
      </c>
      <c r="F38" t="s">
        <v>1041</v>
      </c>
      <c r="G38" t="s">
        <v>3398</v>
      </c>
      <c r="H38" t="s">
        <v>1614</v>
      </c>
      <c r="J38" t="s">
        <v>3640</v>
      </c>
    </row>
    <row r="39" spans="1:10" x14ac:dyDescent="0.25">
      <c r="A39" s="2277" t="s">
        <v>90</v>
      </c>
      <c r="B39" s="2277" t="str">
        <f>VLOOKUP(A39,' Measure INDEX'!$B$9:$B$669,1,FALSE)</f>
        <v>801450_2019_12_</v>
      </c>
      <c r="C39" t="s">
        <v>90</v>
      </c>
      <c r="F39" t="s">
        <v>3772</v>
      </c>
      <c r="G39" t="s">
        <v>3399</v>
      </c>
      <c r="H39" t="s">
        <v>1616</v>
      </c>
      <c r="J39" t="s">
        <v>2223</v>
      </c>
    </row>
    <row r="40" spans="1:10" x14ac:dyDescent="0.25">
      <c r="A40" s="2277" t="s">
        <v>92</v>
      </c>
      <c r="B40" s="2277" t="str">
        <f>VLOOKUP(A40,' Measure INDEX'!$B$9:$B$669,1,FALSE)</f>
        <v>801500_2019_12_</v>
      </c>
      <c r="C40" t="s">
        <v>92</v>
      </c>
      <c r="F40" t="s">
        <v>1042</v>
      </c>
      <c r="G40" t="s">
        <v>3400</v>
      </c>
      <c r="H40" t="s">
        <v>1618</v>
      </c>
      <c r="J40" t="s">
        <v>2229</v>
      </c>
    </row>
    <row r="41" spans="1:10" x14ac:dyDescent="0.25">
      <c r="A41" s="2277" t="s">
        <v>94</v>
      </c>
      <c r="B41" s="2277" t="str">
        <f>VLOOKUP(A41,' Measure INDEX'!$B$9:$B$669,1,FALSE)</f>
        <v>801550_2019_12_</v>
      </c>
      <c r="C41" t="s">
        <v>94</v>
      </c>
      <c r="F41" t="s">
        <v>1044</v>
      </c>
      <c r="G41" t="s">
        <v>3401</v>
      </c>
      <c r="H41" t="s">
        <v>1620</v>
      </c>
      <c r="J41" t="s">
        <v>2237</v>
      </c>
    </row>
    <row r="42" spans="1:10" x14ac:dyDescent="0.25">
      <c r="A42" s="2277" t="s">
        <v>96</v>
      </c>
      <c r="B42" s="2277" t="str">
        <f>VLOOKUP(A42,' Measure INDEX'!$B$9:$B$669,1,FALSE)</f>
        <v>801600_2019_12_</v>
      </c>
      <c r="C42" t="s">
        <v>96</v>
      </c>
      <c r="F42" t="s">
        <v>3773</v>
      </c>
      <c r="G42" t="s">
        <v>3402</v>
      </c>
      <c r="H42" t="s">
        <v>1622</v>
      </c>
      <c r="J42" t="s">
        <v>2240</v>
      </c>
    </row>
    <row r="43" spans="1:10" x14ac:dyDescent="0.25">
      <c r="A43" s="2277" t="s">
        <v>98</v>
      </c>
      <c r="B43" s="2277" t="str">
        <f>VLOOKUP(A43,' Measure INDEX'!$B$9:$B$669,1,FALSE)</f>
        <v>801650_2019_12_</v>
      </c>
      <c r="C43" t="s">
        <v>98</v>
      </c>
      <c r="F43" t="s">
        <v>1045</v>
      </c>
      <c r="G43" t="s">
        <v>3403</v>
      </c>
      <c r="H43" t="s">
        <v>1624</v>
      </c>
      <c r="J43" t="s">
        <v>2248</v>
      </c>
    </row>
    <row r="44" spans="1:10" x14ac:dyDescent="0.25">
      <c r="A44" s="2277" t="s">
        <v>100</v>
      </c>
      <c r="B44" s="2277" t="str">
        <f>VLOOKUP(A44,' Measure INDEX'!$B$9:$B$669,1,FALSE)</f>
        <v>801700_2019_12_</v>
      </c>
      <c r="C44" t="s">
        <v>100</v>
      </c>
      <c r="F44" t="s">
        <v>3839</v>
      </c>
      <c r="G44" t="s">
        <v>3404</v>
      </c>
      <c r="H44" t="s">
        <v>1626</v>
      </c>
      <c r="J44" t="s">
        <v>2249</v>
      </c>
    </row>
    <row r="45" spans="1:10" x14ac:dyDescent="0.25">
      <c r="A45" s="2277" t="s">
        <v>102</v>
      </c>
      <c r="B45" s="2277" t="str">
        <f>VLOOKUP(A45,' Measure INDEX'!$B$9:$B$669,1,FALSE)</f>
        <v>801750_2019_12_</v>
      </c>
      <c r="C45" t="s">
        <v>102</v>
      </c>
      <c r="F45" t="s">
        <v>3774</v>
      </c>
      <c r="G45" t="s">
        <v>3405</v>
      </c>
      <c r="H45" t="s">
        <v>1628</v>
      </c>
      <c r="J45" t="s">
        <v>2250</v>
      </c>
    </row>
    <row r="46" spans="1:10" x14ac:dyDescent="0.25">
      <c r="A46" s="2277" t="s">
        <v>104</v>
      </c>
      <c r="B46" s="2277" t="str">
        <f>VLOOKUP(A46,' Measure INDEX'!$B$9:$B$669,1,FALSE)</f>
        <v>801800_2019_12_</v>
      </c>
      <c r="C46" t="s">
        <v>104</v>
      </c>
      <c r="G46" t="s">
        <v>3406</v>
      </c>
      <c r="H46" t="s">
        <v>1630</v>
      </c>
      <c r="J46" t="s">
        <v>2251</v>
      </c>
    </row>
    <row r="47" spans="1:10" x14ac:dyDescent="0.25">
      <c r="A47" s="2277" t="s">
        <v>106</v>
      </c>
      <c r="B47" s="2277" t="str">
        <f>VLOOKUP(A47,' Measure INDEX'!$B$9:$B$669,1,FALSE)</f>
        <v>801850_2019_12_</v>
      </c>
      <c r="C47" t="s">
        <v>106</v>
      </c>
      <c r="G47" t="s">
        <v>3407</v>
      </c>
      <c r="H47" t="s">
        <v>1632</v>
      </c>
      <c r="J47" t="s">
        <v>2252</v>
      </c>
    </row>
    <row r="48" spans="1:10" x14ac:dyDescent="0.25">
      <c r="A48" s="2277" t="s">
        <v>108</v>
      </c>
      <c r="B48" s="2277" t="str">
        <f>VLOOKUP(A48,' Measure INDEX'!$B$9:$B$669,1,FALSE)</f>
        <v>801900_2019_12_</v>
      </c>
      <c r="C48" t="s">
        <v>108</v>
      </c>
      <c r="G48" t="s">
        <v>3408</v>
      </c>
      <c r="H48" t="s">
        <v>1634</v>
      </c>
      <c r="J48" t="s">
        <v>2253</v>
      </c>
    </row>
    <row r="49" spans="1:10" x14ac:dyDescent="0.25">
      <c r="A49" s="2277" t="s">
        <v>110</v>
      </c>
      <c r="B49" s="2277" t="str">
        <f>VLOOKUP(A49,' Measure INDEX'!$B$9:$B$669,1,FALSE)</f>
        <v>801950_2019_12_</v>
      </c>
      <c r="C49" t="s">
        <v>110</v>
      </c>
      <c r="G49" t="s">
        <v>3409</v>
      </c>
      <c r="H49" t="s">
        <v>1636</v>
      </c>
      <c r="J49" t="s">
        <v>2254</v>
      </c>
    </row>
    <row r="50" spans="1:10" x14ac:dyDescent="0.25">
      <c r="A50" s="2277" t="s">
        <v>112</v>
      </c>
      <c r="B50" s="2277" t="str">
        <f>VLOOKUP(A50,' Measure INDEX'!$B$9:$B$669,1,FALSE)</f>
        <v>802000_2019_12_</v>
      </c>
      <c r="C50" t="s">
        <v>112</v>
      </c>
      <c r="G50" t="s">
        <v>3410</v>
      </c>
      <c r="H50" t="s">
        <v>1638</v>
      </c>
      <c r="J50" t="s">
        <v>2255</v>
      </c>
    </row>
    <row r="51" spans="1:10" x14ac:dyDescent="0.25">
      <c r="A51" s="2277" t="s">
        <v>114</v>
      </c>
      <c r="B51" s="2277" t="str">
        <f>VLOOKUP(A51,' Measure INDEX'!$B$9:$B$669,1,FALSE)</f>
        <v>802050_2019_12_</v>
      </c>
      <c r="C51" t="s">
        <v>114</v>
      </c>
      <c r="G51" t="s">
        <v>3411</v>
      </c>
      <c r="H51" t="s">
        <v>1640</v>
      </c>
      <c r="J51" t="s">
        <v>2256</v>
      </c>
    </row>
    <row r="52" spans="1:10" x14ac:dyDescent="0.25">
      <c r="A52" s="2277" t="s">
        <v>116</v>
      </c>
      <c r="B52" s="2277" t="str">
        <f>VLOOKUP(A52,' Measure INDEX'!$B$9:$B$669,1,FALSE)</f>
        <v>802100_2019_12_</v>
      </c>
      <c r="C52" t="s">
        <v>116</v>
      </c>
      <c r="G52" t="s">
        <v>3412</v>
      </c>
      <c r="H52" t="s">
        <v>1642</v>
      </c>
      <c r="J52" t="s">
        <v>2257</v>
      </c>
    </row>
    <row r="53" spans="1:10" x14ac:dyDescent="0.25">
      <c r="A53" s="2277" t="s">
        <v>148</v>
      </c>
      <c r="B53" s="2277" t="str">
        <f>VLOOKUP(A53,' Measure INDEX'!$B$9:$B$669,1,FALSE)</f>
        <v>802150_2019_12_</v>
      </c>
      <c r="C53" t="s">
        <v>148</v>
      </c>
      <c r="G53" t="s">
        <v>3413</v>
      </c>
      <c r="H53" t="s">
        <v>1665</v>
      </c>
      <c r="J53" t="s">
        <v>2258</v>
      </c>
    </row>
    <row r="54" spans="1:10" x14ac:dyDescent="0.25">
      <c r="A54" s="2277" t="s">
        <v>151</v>
      </c>
      <c r="B54" s="2277" t="str">
        <f>VLOOKUP(A54,' Measure INDEX'!$B$9:$B$669,1,FALSE)</f>
        <v>802200_2019_12_</v>
      </c>
      <c r="C54" t="s">
        <v>151</v>
      </c>
      <c r="G54" t="s">
        <v>3414</v>
      </c>
      <c r="H54" t="s">
        <v>1666</v>
      </c>
      <c r="J54" t="s">
        <v>2259</v>
      </c>
    </row>
    <row r="55" spans="1:10" x14ac:dyDescent="0.25">
      <c r="A55" s="2277" t="s">
        <v>159</v>
      </c>
      <c r="B55" s="2277" t="str">
        <f>VLOOKUP(A55,' Measure INDEX'!$B$9:$B$669,1,FALSE)</f>
        <v>802250_2019_12_</v>
      </c>
      <c r="C55" t="s">
        <v>159</v>
      </c>
      <c r="G55" t="s">
        <v>3415</v>
      </c>
      <c r="H55" t="s">
        <v>1667</v>
      </c>
      <c r="J55" t="s">
        <v>2260</v>
      </c>
    </row>
    <row r="56" spans="1:10" x14ac:dyDescent="0.25">
      <c r="A56" s="2277" t="s">
        <v>162</v>
      </c>
      <c r="B56" s="2277" t="str">
        <f>VLOOKUP(A56,' Measure INDEX'!$B$9:$B$669,1,FALSE)</f>
        <v>802300_2019_12_</v>
      </c>
      <c r="C56" t="s">
        <v>162</v>
      </c>
      <c r="G56" t="s">
        <v>3416</v>
      </c>
      <c r="H56" t="s">
        <v>3367</v>
      </c>
      <c r="J56" t="s">
        <v>2261</v>
      </c>
    </row>
    <row r="57" spans="1:10" x14ac:dyDescent="0.25">
      <c r="A57" s="2277" t="s">
        <v>164</v>
      </c>
      <c r="B57" s="2277" t="str">
        <f>VLOOKUP(A57,' Measure INDEX'!$B$9:$B$669,1,FALSE)</f>
        <v>802350_2019_12_</v>
      </c>
      <c r="C57" t="s">
        <v>164</v>
      </c>
      <c r="G57" t="s">
        <v>3417</v>
      </c>
      <c r="H57" t="s">
        <v>3368</v>
      </c>
      <c r="J57" t="s">
        <v>2262</v>
      </c>
    </row>
    <row r="58" spans="1:10" x14ac:dyDescent="0.25">
      <c r="A58" s="2277" t="s">
        <v>166</v>
      </c>
      <c r="B58" s="2277" t="str">
        <f>VLOOKUP(A58,' Measure INDEX'!$B$9:$B$669,1,FALSE)</f>
        <v>802400_2019_12_</v>
      </c>
      <c r="C58" t="s">
        <v>166</v>
      </c>
      <c r="G58" t="s">
        <v>3418</v>
      </c>
      <c r="H58" t="s">
        <v>3369</v>
      </c>
      <c r="J58" t="s">
        <v>2268</v>
      </c>
    </row>
    <row r="59" spans="1:10" x14ac:dyDescent="0.25">
      <c r="A59" s="2277" t="s">
        <v>168</v>
      </c>
      <c r="B59" s="2277" t="str">
        <f>VLOOKUP(A59,' Measure INDEX'!$B$9:$B$669,1,FALSE)</f>
        <v>802450_2019_12_</v>
      </c>
      <c r="C59" t="s">
        <v>168</v>
      </c>
      <c r="G59" t="s">
        <v>1205</v>
      </c>
      <c r="H59" t="s">
        <v>1673</v>
      </c>
      <c r="J59" t="s">
        <v>2282</v>
      </c>
    </row>
    <row r="60" spans="1:10" x14ac:dyDescent="0.25">
      <c r="A60" s="2277" t="s">
        <v>186</v>
      </c>
      <c r="B60" s="2277" t="str">
        <f>VLOOKUP(A60,' Measure INDEX'!$B$9:$B$669,1,FALSE)</f>
        <v>802500_2019_12_</v>
      </c>
      <c r="C60" t="s">
        <v>186</v>
      </c>
      <c r="G60" t="s">
        <v>1208</v>
      </c>
      <c r="H60" t="s">
        <v>1675</v>
      </c>
    </row>
    <row r="61" spans="1:10" x14ac:dyDescent="0.25">
      <c r="A61" s="2277" t="s">
        <v>188</v>
      </c>
      <c r="B61" s="2277" t="str">
        <f>VLOOKUP(A61,' Measure INDEX'!$B$9:$B$669,1,FALSE)</f>
        <v>802550_2019_12_</v>
      </c>
      <c r="C61" t="s">
        <v>188</v>
      </c>
      <c r="G61" t="s">
        <v>1210</v>
      </c>
      <c r="H61" t="s">
        <v>1687</v>
      </c>
    </row>
    <row r="62" spans="1:10" x14ac:dyDescent="0.25">
      <c r="A62" s="2277" t="s">
        <v>198</v>
      </c>
      <c r="B62" s="2277" t="str">
        <f>VLOOKUP(A62,' Measure INDEX'!$B$9:$B$669,1,FALSE)</f>
        <v>802600_2019_12_</v>
      </c>
      <c r="C62" t="s">
        <v>198</v>
      </c>
      <c r="G62" t="s">
        <v>1212</v>
      </c>
      <c r="H62" t="s">
        <v>1689</v>
      </c>
    </row>
    <row r="63" spans="1:10" x14ac:dyDescent="0.25">
      <c r="A63" s="2277" t="s">
        <v>202</v>
      </c>
      <c r="B63" s="2277" t="str">
        <f>VLOOKUP(A63,' Measure INDEX'!$B$9:$B$669,1,FALSE)</f>
        <v>802650_2019_12_</v>
      </c>
      <c r="C63" t="s">
        <v>202</v>
      </c>
      <c r="G63" t="s">
        <v>1214</v>
      </c>
      <c r="H63" t="s">
        <v>1691</v>
      </c>
    </row>
    <row r="64" spans="1:10" x14ac:dyDescent="0.25">
      <c r="A64" s="2277" t="s">
        <v>207</v>
      </c>
      <c r="B64" s="2277" t="str">
        <f>VLOOKUP(A64,' Measure INDEX'!$B$9:$B$669,1,FALSE)</f>
        <v>802700_2019_12_</v>
      </c>
      <c r="C64" t="s">
        <v>207</v>
      </c>
      <c r="G64" t="s">
        <v>1218</v>
      </c>
      <c r="H64" t="s">
        <v>1731</v>
      </c>
    </row>
    <row r="65" spans="1:8" x14ac:dyDescent="0.25">
      <c r="A65" s="2277" t="s">
        <v>210</v>
      </c>
      <c r="B65" s="2277" t="str">
        <f>VLOOKUP(A65,' Measure INDEX'!$B$9:$B$669,1,FALSE)</f>
        <v>802750_2019_12_</v>
      </c>
      <c r="C65" t="s">
        <v>210</v>
      </c>
      <c r="G65" t="s">
        <v>1220</v>
      </c>
      <c r="H65" t="s">
        <v>1732</v>
      </c>
    </row>
    <row r="66" spans="1:8" x14ac:dyDescent="0.25">
      <c r="A66" s="2277" t="s">
        <v>212</v>
      </c>
      <c r="B66" s="2277" t="str">
        <f>VLOOKUP(A66,' Measure INDEX'!$B$9:$B$669,1,FALSE)</f>
        <v>802800_2019_12_</v>
      </c>
      <c r="C66" t="s">
        <v>212</v>
      </c>
      <c r="G66" t="s">
        <v>1223</v>
      </c>
      <c r="H66" t="s">
        <v>3818</v>
      </c>
    </row>
    <row r="67" spans="1:8" x14ac:dyDescent="0.25">
      <c r="A67" s="2277" t="s">
        <v>214</v>
      </c>
      <c r="B67" s="2277" t="str">
        <f>VLOOKUP(A67,' Measure INDEX'!$B$9:$B$669,1,FALSE)</f>
        <v>802850_2019_12_</v>
      </c>
      <c r="C67" t="s">
        <v>214</v>
      </c>
      <c r="G67" t="s">
        <v>1226</v>
      </c>
      <c r="H67" t="s">
        <v>3819</v>
      </c>
    </row>
    <row r="68" spans="1:8" x14ac:dyDescent="0.25">
      <c r="A68" s="2277" t="s">
        <v>229</v>
      </c>
      <c r="B68" s="2277" t="str">
        <f>VLOOKUP(A68,' Measure INDEX'!$B$9:$B$669,1,FALSE)</f>
        <v>802900_2019_12_</v>
      </c>
      <c r="C68" t="s">
        <v>229</v>
      </c>
      <c r="G68" t="s">
        <v>1227</v>
      </c>
      <c r="H68" t="s">
        <v>1734</v>
      </c>
    </row>
    <row r="69" spans="1:8" x14ac:dyDescent="0.25">
      <c r="A69" s="2277" t="s">
        <v>231</v>
      </c>
      <c r="B69" s="2277" t="str">
        <f>VLOOKUP(A69,' Measure INDEX'!$B$9:$B$669,1,FALSE)</f>
        <v>802950_2019_12_</v>
      </c>
      <c r="C69" t="s">
        <v>231</v>
      </c>
      <c r="G69" t="s">
        <v>1229</v>
      </c>
      <c r="H69" t="s">
        <v>1736</v>
      </c>
    </row>
    <row r="70" spans="1:8" x14ac:dyDescent="0.25">
      <c r="A70" s="2277" t="s">
        <v>233</v>
      </c>
      <c r="B70" s="2277" t="str">
        <f>VLOOKUP(A70,' Measure INDEX'!$B$9:$B$669,1,FALSE)</f>
        <v>803000_2019_12_</v>
      </c>
      <c r="C70" t="s">
        <v>233</v>
      </c>
      <c r="G70" t="s">
        <v>1230</v>
      </c>
      <c r="H70" t="s">
        <v>1752</v>
      </c>
    </row>
    <row r="71" spans="1:8" x14ac:dyDescent="0.25">
      <c r="A71" s="2277" t="s">
        <v>244</v>
      </c>
      <c r="B71" s="2277" t="str">
        <f>VLOOKUP(A71,' Measure INDEX'!$B$9:$B$669,1,FALSE)</f>
        <v>803050_2019_12_</v>
      </c>
      <c r="C71" t="s">
        <v>244</v>
      </c>
      <c r="G71" t="s">
        <v>1232</v>
      </c>
      <c r="H71" t="s">
        <v>1754</v>
      </c>
    </row>
    <row r="72" spans="1:8" x14ac:dyDescent="0.25">
      <c r="A72" s="2277" t="s">
        <v>3445</v>
      </c>
      <c r="B72" s="2277" t="str">
        <f>VLOOKUP(A72,' Measure INDEX'!$B$9:$B$669,1,FALSE)</f>
        <v>803100_2020_07_</v>
      </c>
      <c r="C72" t="s">
        <v>3445</v>
      </c>
      <c r="G72" t="s">
        <v>1233</v>
      </c>
      <c r="H72" t="s">
        <v>1757</v>
      </c>
    </row>
    <row r="73" spans="1:8" x14ac:dyDescent="0.25">
      <c r="A73" s="2277" t="s">
        <v>3446</v>
      </c>
      <c r="B73" s="2277" t="str">
        <f>VLOOKUP(A73,' Measure INDEX'!$B$9:$B$669,1,FALSE)</f>
        <v>803150_2020_07_</v>
      </c>
      <c r="C73" t="s">
        <v>3446</v>
      </c>
      <c r="G73" t="s">
        <v>1235</v>
      </c>
      <c r="H73" t="s">
        <v>1759</v>
      </c>
    </row>
    <row r="74" spans="1:8" x14ac:dyDescent="0.25">
      <c r="A74" s="2277" t="s">
        <v>3443</v>
      </c>
      <c r="B74" s="2277" t="str">
        <f>VLOOKUP(A74,' Measure INDEX'!$B$9:$B$669,1,FALSE)</f>
        <v>803155_2020_07_</v>
      </c>
      <c r="C74" t="s">
        <v>3443</v>
      </c>
      <c r="G74" t="s">
        <v>1236</v>
      </c>
      <c r="H74" t="s">
        <v>1762</v>
      </c>
    </row>
    <row r="75" spans="1:8" x14ac:dyDescent="0.25">
      <c r="A75" s="2277" t="s">
        <v>3444</v>
      </c>
      <c r="B75" s="2277" t="str">
        <f>VLOOKUP(A75,' Measure INDEX'!$B$9:$B$669,1,FALSE)</f>
        <v>803160_2020_07_</v>
      </c>
      <c r="C75" t="s">
        <v>3444</v>
      </c>
      <c r="G75" t="s">
        <v>1239</v>
      </c>
      <c r="H75" t="s">
        <v>1764</v>
      </c>
    </row>
    <row r="76" spans="1:8" x14ac:dyDescent="0.25">
      <c r="A76" s="2277" t="s">
        <v>3447</v>
      </c>
      <c r="B76" s="2277" t="str">
        <f>VLOOKUP(A76,' Measure INDEX'!$B$9:$B$669,1,FALSE)</f>
        <v>803200_2020_07_</v>
      </c>
      <c r="C76" t="s">
        <v>3447</v>
      </c>
      <c r="G76" t="s">
        <v>1240</v>
      </c>
      <c r="H76" t="s">
        <v>1767</v>
      </c>
    </row>
    <row r="77" spans="1:8" x14ac:dyDescent="0.25">
      <c r="A77" s="2277" t="s">
        <v>3448</v>
      </c>
      <c r="B77" s="2277" t="str">
        <f>VLOOKUP(A77,' Measure INDEX'!$B$9:$B$669,1,FALSE)</f>
        <v>803250_2020_07_</v>
      </c>
      <c r="C77" t="s">
        <v>3448</v>
      </c>
      <c r="G77" t="s">
        <v>1242</v>
      </c>
      <c r="H77" t="s">
        <v>1769</v>
      </c>
    </row>
    <row r="78" spans="1:8" x14ac:dyDescent="0.25">
      <c r="A78" s="2277" t="s">
        <v>3449</v>
      </c>
      <c r="B78" s="2277" t="str">
        <f>VLOOKUP(A78,' Measure INDEX'!$B$9:$B$669,1,FALSE)</f>
        <v>803300_2020_07_</v>
      </c>
      <c r="C78" t="s">
        <v>3449</v>
      </c>
      <c r="G78" t="s">
        <v>1243</v>
      </c>
      <c r="H78" t="s">
        <v>1786</v>
      </c>
    </row>
    <row r="79" spans="1:8" x14ac:dyDescent="0.25">
      <c r="A79" s="2277" t="s">
        <v>3450</v>
      </c>
      <c r="B79" s="2277" t="str">
        <f>VLOOKUP(A79,' Measure INDEX'!$B$9:$B$669,1,FALSE)</f>
        <v>803350_2020_07_</v>
      </c>
      <c r="C79" t="s">
        <v>3450</v>
      </c>
      <c r="G79" t="s">
        <v>1246</v>
      </c>
      <c r="H79" t="s">
        <v>1788</v>
      </c>
    </row>
    <row r="80" spans="1:8" x14ac:dyDescent="0.25">
      <c r="A80" s="2277" t="s">
        <v>3451</v>
      </c>
      <c r="B80" s="2277" t="str">
        <f>VLOOKUP(A80,' Measure INDEX'!$B$9:$B$669,1,FALSE)</f>
        <v>803400_2020_07_</v>
      </c>
      <c r="C80" t="s">
        <v>3451</v>
      </c>
      <c r="G80" t="s">
        <v>1271</v>
      </c>
      <c r="H80" t="s">
        <v>1789</v>
      </c>
    </row>
    <row r="81" spans="1:8" x14ac:dyDescent="0.25">
      <c r="A81" s="2277" t="s">
        <v>3452</v>
      </c>
      <c r="B81" s="2277" t="str">
        <f>VLOOKUP(A81,' Measure INDEX'!$B$9:$B$669,1,FALSE)</f>
        <v>803450_2020_07_</v>
      </c>
      <c r="C81" t="s">
        <v>3452</v>
      </c>
      <c r="G81" t="s">
        <v>1276</v>
      </c>
      <c r="H81" t="s">
        <v>1791</v>
      </c>
    </row>
    <row r="82" spans="1:8" x14ac:dyDescent="0.25">
      <c r="A82" s="2277" t="s">
        <v>295</v>
      </c>
      <c r="B82" s="2277" t="str">
        <f>VLOOKUP(A82,' Measure INDEX'!$B$9:$B$669,1,FALSE)</f>
        <v>803500_2019_12_</v>
      </c>
      <c r="C82" t="s">
        <v>295</v>
      </c>
      <c r="G82" t="s">
        <v>1277</v>
      </c>
      <c r="H82" t="s">
        <v>1793</v>
      </c>
    </row>
    <row r="83" spans="1:8" x14ac:dyDescent="0.25">
      <c r="A83" s="2277" t="s">
        <v>297</v>
      </c>
      <c r="B83" s="2277" t="str">
        <f>VLOOKUP(A83,' Measure INDEX'!$B$9:$B$669,1,FALSE)</f>
        <v>803550_2019_12_</v>
      </c>
      <c r="C83" t="s">
        <v>297</v>
      </c>
      <c r="G83" t="s">
        <v>1279</v>
      </c>
      <c r="H83" t="s">
        <v>1794</v>
      </c>
    </row>
    <row r="84" spans="1:8" x14ac:dyDescent="0.25">
      <c r="A84" s="2277" t="s">
        <v>3453</v>
      </c>
      <c r="B84" s="2277" t="str">
        <f>VLOOKUP(A84,' Measure INDEX'!$B$9:$B$669,1,FALSE)</f>
        <v>803600_2020_07_</v>
      </c>
      <c r="C84" t="s">
        <v>3453</v>
      </c>
      <c r="G84" t="s">
        <v>1280</v>
      </c>
      <c r="H84" t="s">
        <v>1796</v>
      </c>
    </row>
    <row r="85" spans="1:8" x14ac:dyDescent="0.25">
      <c r="A85" s="2277" t="s">
        <v>3454</v>
      </c>
      <c r="B85" s="2277" t="str">
        <f>VLOOKUP(A85,' Measure INDEX'!$B$9:$B$669,1,FALSE)</f>
        <v>803650_2020_07_</v>
      </c>
      <c r="C85" t="s">
        <v>3454</v>
      </c>
      <c r="G85" t="s">
        <v>1282</v>
      </c>
      <c r="H85" t="s">
        <v>1798</v>
      </c>
    </row>
    <row r="86" spans="1:8" x14ac:dyDescent="0.25">
      <c r="A86" s="2277" t="s">
        <v>3455</v>
      </c>
      <c r="B86" s="2277" t="str">
        <f>VLOOKUP(A86,' Measure INDEX'!$B$9:$B$669,1,FALSE)</f>
        <v>803700_2020_07_</v>
      </c>
      <c r="C86" t="s">
        <v>3455</v>
      </c>
      <c r="G86" t="s">
        <v>1307</v>
      </c>
      <c r="H86" t="s">
        <v>1799</v>
      </c>
    </row>
    <row r="87" spans="1:8" x14ac:dyDescent="0.25">
      <c r="A87" s="2277" t="s">
        <v>3456</v>
      </c>
      <c r="B87" s="2277" t="str">
        <f>VLOOKUP(A87,' Measure INDEX'!$B$9:$B$669,1,FALSE)</f>
        <v>803750_2020_07_</v>
      </c>
      <c r="C87" t="s">
        <v>3456</v>
      </c>
      <c r="G87" t="s">
        <v>1310</v>
      </c>
      <c r="H87" t="s">
        <v>1801</v>
      </c>
    </row>
    <row r="88" spans="1:8" x14ac:dyDescent="0.25">
      <c r="A88" s="2277" t="s">
        <v>312</v>
      </c>
      <c r="B88" s="2277" t="str">
        <f>VLOOKUP(A88,' Measure INDEX'!$B$9:$B$669,1,FALSE)</f>
        <v>803800_2019_12_</v>
      </c>
      <c r="C88" t="s">
        <v>312</v>
      </c>
      <c r="G88" t="s">
        <v>1316</v>
      </c>
      <c r="H88" t="s">
        <v>3294</v>
      </c>
    </row>
    <row r="89" spans="1:8" x14ac:dyDescent="0.25">
      <c r="A89" s="2277" t="s">
        <v>318</v>
      </c>
      <c r="B89" s="2277" t="str">
        <f>VLOOKUP(A89,' Measure INDEX'!$B$9:$B$669,1,FALSE)</f>
        <v>803850_2019_12_</v>
      </c>
      <c r="C89" t="s">
        <v>318</v>
      </c>
      <c r="G89" t="s">
        <v>1320</v>
      </c>
      <c r="H89" t="s">
        <v>1820</v>
      </c>
    </row>
    <row r="90" spans="1:8" x14ac:dyDescent="0.25">
      <c r="A90" s="2277" t="s">
        <v>320</v>
      </c>
      <c r="B90" s="2277" t="str">
        <f>VLOOKUP(A90,' Measure INDEX'!$B$9:$B$669,1,FALSE)</f>
        <v>803900_2019_12_</v>
      </c>
      <c r="C90" t="s">
        <v>320</v>
      </c>
      <c r="G90" t="s">
        <v>1329</v>
      </c>
      <c r="H90" t="s">
        <v>3685</v>
      </c>
    </row>
    <row r="91" spans="1:8" x14ac:dyDescent="0.25">
      <c r="A91" s="2277" t="s">
        <v>322</v>
      </c>
      <c r="B91" s="2277" t="str">
        <f>VLOOKUP(A91,' Measure INDEX'!$B$9:$B$669,1,FALSE)</f>
        <v>803950_2019_12_</v>
      </c>
      <c r="C91" t="s">
        <v>322</v>
      </c>
      <c r="G91" t="s">
        <v>1333</v>
      </c>
      <c r="H91" t="s">
        <v>1823</v>
      </c>
    </row>
    <row r="92" spans="1:8" x14ac:dyDescent="0.25">
      <c r="A92" s="2277" t="s">
        <v>324</v>
      </c>
      <c r="B92" s="2277" t="str">
        <f>VLOOKUP(A92,' Measure INDEX'!$B$9:$B$669,1,FALSE)</f>
        <v>804000_2019_12_</v>
      </c>
      <c r="C92" t="s">
        <v>324</v>
      </c>
      <c r="G92" t="s">
        <v>1336</v>
      </c>
      <c r="H92" t="s">
        <v>1826</v>
      </c>
    </row>
    <row r="93" spans="1:8" x14ac:dyDescent="0.25">
      <c r="A93" s="2277" t="s">
        <v>338</v>
      </c>
      <c r="B93" s="2277" t="str">
        <f>VLOOKUP(A93,' Measure INDEX'!$B$9:$B$669,1,FALSE)</f>
        <v>804050_2019_12_</v>
      </c>
      <c r="C93" t="s">
        <v>338</v>
      </c>
      <c r="G93" t="s">
        <v>1338</v>
      </c>
      <c r="H93" t="s">
        <v>3690</v>
      </c>
    </row>
    <row r="94" spans="1:8" x14ac:dyDescent="0.25">
      <c r="A94" s="2277" t="s">
        <v>340</v>
      </c>
      <c r="B94" s="2277" t="str">
        <f>VLOOKUP(A94,' Measure INDEX'!$B$9:$B$669,1,FALSE)</f>
        <v>804100_2019_12_</v>
      </c>
      <c r="C94" t="s">
        <v>340</v>
      </c>
      <c r="G94" t="s">
        <v>1340</v>
      </c>
      <c r="H94" t="s">
        <v>3692</v>
      </c>
    </row>
    <row r="95" spans="1:8" x14ac:dyDescent="0.25">
      <c r="A95" s="2277" t="s">
        <v>342</v>
      </c>
      <c r="B95" s="2277" t="str">
        <f>VLOOKUP(A95,' Measure INDEX'!$B$9:$B$669,1,FALSE)</f>
        <v>804150_2019_12_</v>
      </c>
      <c r="C95" t="s">
        <v>342</v>
      </c>
      <c r="G95" t="s">
        <v>1343</v>
      </c>
      <c r="H95" t="s">
        <v>3694</v>
      </c>
    </row>
    <row r="96" spans="1:8" x14ac:dyDescent="0.25">
      <c r="A96" s="2277" t="s">
        <v>344</v>
      </c>
      <c r="B96" s="2277" t="str">
        <f>VLOOKUP(A96,' Measure INDEX'!$B$9:$B$669,1,FALSE)</f>
        <v>804200_2019_12_</v>
      </c>
      <c r="C96" t="s">
        <v>344</v>
      </c>
      <c r="G96" t="s">
        <v>1346</v>
      </c>
      <c r="H96" t="s">
        <v>3696</v>
      </c>
    </row>
    <row r="97" spans="1:8" x14ac:dyDescent="0.25">
      <c r="A97" s="2277" t="s">
        <v>346</v>
      </c>
      <c r="B97" s="2277" t="str">
        <f>VLOOKUP(A97,' Measure INDEX'!$B$9:$B$669,1,FALSE)</f>
        <v>804250_2019_12_</v>
      </c>
      <c r="C97" t="s">
        <v>346</v>
      </c>
      <c r="G97" t="s">
        <v>1348</v>
      </c>
      <c r="H97" t="s">
        <v>1850</v>
      </c>
    </row>
    <row r="98" spans="1:8" x14ac:dyDescent="0.25">
      <c r="A98" s="2277" t="s">
        <v>353</v>
      </c>
      <c r="B98" s="2277" t="str">
        <f>VLOOKUP(A98,' Measure INDEX'!$B$9:$B$669,1,FALSE)</f>
        <v>804300_2019_12_</v>
      </c>
      <c r="C98" t="s">
        <v>353</v>
      </c>
      <c r="G98" t="s">
        <v>1350</v>
      </c>
      <c r="H98" t="s">
        <v>1852</v>
      </c>
    </row>
    <row r="99" spans="1:8" x14ac:dyDescent="0.25">
      <c r="A99" s="2277" t="s">
        <v>356</v>
      </c>
      <c r="B99" s="2277" t="str">
        <f>VLOOKUP(A99,' Measure INDEX'!$B$9:$B$669,1,FALSE)</f>
        <v>804350_2019_12_</v>
      </c>
      <c r="C99" t="s">
        <v>356</v>
      </c>
      <c r="G99" t="s">
        <v>1353</v>
      </c>
      <c r="H99" t="s">
        <v>1854</v>
      </c>
    </row>
    <row r="100" spans="1:8" x14ac:dyDescent="0.25">
      <c r="A100" s="2277" t="s">
        <v>358</v>
      </c>
      <c r="B100" s="2277" t="str">
        <f>VLOOKUP(A100,' Measure INDEX'!$B$9:$B$669,1,FALSE)</f>
        <v>804400_2019_12_</v>
      </c>
      <c r="C100" t="s">
        <v>358</v>
      </c>
      <c r="G100" t="s">
        <v>1354</v>
      </c>
      <c r="H100" t="s">
        <v>1856</v>
      </c>
    </row>
    <row r="101" spans="1:8" x14ac:dyDescent="0.25">
      <c r="A101" s="2277" t="s">
        <v>360</v>
      </c>
      <c r="B101" s="2277" t="str">
        <f>VLOOKUP(A101,' Measure INDEX'!$B$9:$B$669,1,FALSE)</f>
        <v>804450_2019_12_</v>
      </c>
      <c r="C101" t="s">
        <v>360</v>
      </c>
      <c r="G101" t="s">
        <v>1357</v>
      </c>
      <c r="H101" t="s">
        <v>1858</v>
      </c>
    </row>
    <row r="102" spans="1:8" x14ac:dyDescent="0.25">
      <c r="A102" s="2277" t="s">
        <v>362</v>
      </c>
      <c r="B102" s="2277" t="str">
        <f>VLOOKUP(A102,' Measure INDEX'!$B$9:$B$669,1,FALSE)</f>
        <v>804500_2019_12_</v>
      </c>
      <c r="C102" t="s">
        <v>362</v>
      </c>
      <c r="G102" t="s">
        <v>1358</v>
      </c>
      <c r="H102" t="s">
        <v>1875</v>
      </c>
    </row>
    <row r="103" spans="1:8" x14ac:dyDescent="0.25">
      <c r="A103" s="2277" t="s">
        <v>364</v>
      </c>
      <c r="B103" s="2277" t="str">
        <f>VLOOKUP(A103,' Measure INDEX'!$B$9:$B$669,1,FALSE)</f>
        <v>804550_2019_12_</v>
      </c>
      <c r="C103" t="s">
        <v>364</v>
      </c>
      <c r="G103" t="s">
        <v>1360</v>
      </c>
      <c r="H103" t="s">
        <v>1877</v>
      </c>
    </row>
    <row r="104" spans="1:8" x14ac:dyDescent="0.25">
      <c r="A104" s="2277" t="s">
        <v>366</v>
      </c>
      <c r="B104" s="2277" t="str">
        <f>VLOOKUP(A104,' Measure INDEX'!$B$9:$B$669,1,FALSE)</f>
        <v>804600_2019_12_</v>
      </c>
      <c r="C104" t="s">
        <v>366</v>
      </c>
      <c r="G104" t="s">
        <v>1361</v>
      </c>
      <c r="H104" t="s">
        <v>1879</v>
      </c>
    </row>
    <row r="105" spans="1:8" x14ac:dyDescent="0.25">
      <c r="A105" s="2277" t="s">
        <v>370</v>
      </c>
      <c r="B105" s="2277" t="str">
        <f>VLOOKUP(A105,' Measure INDEX'!$B$9:$B$669,1,FALSE)</f>
        <v>804650_2019_12_</v>
      </c>
      <c r="C105" t="s">
        <v>370</v>
      </c>
      <c r="G105" t="s">
        <v>1364</v>
      </c>
      <c r="H105" t="s">
        <v>1892</v>
      </c>
    </row>
    <row r="106" spans="1:8" x14ac:dyDescent="0.25">
      <c r="A106" s="2277" t="s">
        <v>372</v>
      </c>
      <c r="B106" s="2277" t="str">
        <f>VLOOKUP(A106,' Measure INDEX'!$B$9:$B$669,1,FALSE)</f>
        <v>804700_2019_12_</v>
      </c>
      <c r="C106" t="s">
        <v>372</v>
      </c>
      <c r="G106" t="s">
        <v>1365</v>
      </c>
      <c r="H106" t="s">
        <v>1894</v>
      </c>
    </row>
    <row r="107" spans="1:8" x14ac:dyDescent="0.25">
      <c r="A107" s="2277" t="s">
        <v>374</v>
      </c>
      <c r="B107" s="2277" t="str">
        <f>VLOOKUP(A107,' Measure INDEX'!$B$9:$B$669,1,FALSE)</f>
        <v>804750_2019_12_</v>
      </c>
      <c r="C107" t="s">
        <v>374</v>
      </c>
      <c r="G107" t="s">
        <v>1367</v>
      </c>
      <c r="H107" t="s">
        <v>1895</v>
      </c>
    </row>
    <row r="108" spans="1:8" x14ac:dyDescent="0.25">
      <c r="A108" s="2277" t="s">
        <v>376</v>
      </c>
      <c r="B108" s="2277" t="str">
        <f>VLOOKUP(A108,' Measure INDEX'!$B$9:$B$669,1,FALSE)</f>
        <v>804800_2019_12_</v>
      </c>
      <c r="C108" t="s">
        <v>376</v>
      </c>
      <c r="G108" t="s">
        <v>1368</v>
      </c>
      <c r="H108" t="s">
        <v>1897</v>
      </c>
    </row>
    <row r="109" spans="1:8" x14ac:dyDescent="0.25">
      <c r="A109" s="2277" t="s">
        <v>378</v>
      </c>
      <c r="B109" s="2277" t="str">
        <f>VLOOKUP(A109,' Measure INDEX'!$B$9:$B$669,1,FALSE)</f>
        <v>804850_2019_12_</v>
      </c>
      <c r="C109" t="s">
        <v>378</v>
      </c>
      <c r="G109" t="s">
        <v>1370</v>
      </c>
      <c r="H109" t="s">
        <v>1899</v>
      </c>
    </row>
    <row r="110" spans="1:8" x14ac:dyDescent="0.25">
      <c r="A110" s="2277" t="s">
        <v>380</v>
      </c>
      <c r="B110" s="2277" t="str">
        <f>VLOOKUP(A110,' Measure INDEX'!$B$9:$B$669,1,FALSE)</f>
        <v>804900_2019_12_</v>
      </c>
      <c r="C110" t="s">
        <v>380</v>
      </c>
      <c r="G110" t="s">
        <v>1371</v>
      </c>
      <c r="H110" t="s">
        <v>1900</v>
      </c>
    </row>
    <row r="111" spans="1:8" x14ac:dyDescent="0.25">
      <c r="A111" s="2277" t="s">
        <v>382</v>
      </c>
      <c r="B111" s="2277" t="str">
        <f>VLOOKUP(A111,' Measure INDEX'!$B$9:$B$669,1,FALSE)</f>
        <v>804950_2019_12_</v>
      </c>
      <c r="C111" t="s">
        <v>382</v>
      </c>
      <c r="G111" t="s">
        <v>1374</v>
      </c>
      <c r="H111" t="s">
        <v>1902</v>
      </c>
    </row>
    <row r="112" spans="1:8" x14ac:dyDescent="0.25">
      <c r="A112" s="2277" t="s">
        <v>3458</v>
      </c>
      <c r="B112" s="2277" t="str">
        <f>VLOOKUP(A112,' Measure INDEX'!$B$9:$B$669,1,FALSE)</f>
        <v>805000_2020_07_</v>
      </c>
      <c r="C112" t="s">
        <v>3458</v>
      </c>
      <c r="G112" t="s">
        <v>1375</v>
      </c>
      <c r="H112" t="s">
        <v>1904</v>
      </c>
    </row>
    <row r="113" spans="1:8" x14ac:dyDescent="0.25">
      <c r="A113" s="2277" t="s">
        <v>393</v>
      </c>
      <c r="B113" s="2277" t="str">
        <f>VLOOKUP(A113,' Measure INDEX'!$B$9:$B$669,1,FALSE)</f>
        <v>805050_2019_12_</v>
      </c>
      <c r="C113" t="s">
        <v>393</v>
      </c>
      <c r="G113" t="s">
        <v>1376</v>
      </c>
      <c r="H113" t="s">
        <v>1905</v>
      </c>
    </row>
    <row r="114" spans="1:8" x14ac:dyDescent="0.25">
      <c r="A114" s="2277" t="s">
        <v>395</v>
      </c>
      <c r="B114" s="2277" t="str">
        <f>VLOOKUP(A114,' Measure INDEX'!$B$9:$B$669,1,FALSE)</f>
        <v>805100_2019_12_</v>
      </c>
      <c r="C114" t="s">
        <v>395</v>
      </c>
      <c r="G114" t="s">
        <v>1377</v>
      </c>
      <c r="H114" t="s">
        <v>1907</v>
      </c>
    </row>
    <row r="115" spans="1:8" x14ac:dyDescent="0.25">
      <c r="A115" s="2277" t="s">
        <v>416</v>
      </c>
      <c r="B115" s="2277" t="str">
        <f>VLOOKUP(A115,' Measure INDEX'!$B$9:$B$669,1,FALSE)</f>
        <v>805150_2019_12_</v>
      </c>
      <c r="C115" t="s">
        <v>416</v>
      </c>
      <c r="G115" t="s">
        <v>1379</v>
      </c>
      <c r="H115" t="s">
        <v>1909</v>
      </c>
    </row>
    <row r="116" spans="1:8" x14ac:dyDescent="0.25">
      <c r="A116" s="2277" t="s">
        <v>418</v>
      </c>
      <c r="B116" s="2277" t="str">
        <f>VLOOKUP(A116,' Measure INDEX'!$B$9:$B$669,1,FALSE)</f>
        <v>805200_2019_12_</v>
      </c>
      <c r="C116" t="s">
        <v>418</v>
      </c>
      <c r="G116" t="s">
        <v>1381</v>
      </c>
      <c r="H116" t="s">
        <v>1910</v>
      </c>
    </row>
    <row r="117" spans="1:8" x14ac:dyDescent="0.25">
      <c r="A117" s="2277" t="s">
        <v>429</v>
      </c>
      <c r="B117" s="2277" t="str">
        <f>VLOOKUP(A117,' Measure INDEX'!$B$9:$B$669,1,FALSE)</f>
        <v>805250_2019_12_</v>
      </c>
      <c r="C117" t="s">
        <v>429</v>
      </c>
      <c r="G117" t="s">
        <v>1382</v>
      </c>
      <c r="H117" t="s">
        <v>1921</v>
      </c>
    </row>
    <row r="118" spans="1:8" x14ac:dyDescent="0.25">
      <c r="A118" s="2277" t="s">
        <v>431</v>
      </c>
      <c r="B118" s="2277" t="str">
        <f>VLOOKUP(A118,' Measure INDEX'!$B$9:$B$669,1,FALSE)</f>
        <v>805300_2019_12_</v>
      </c>
      <c r="C118" t="s">
        <v>431</v>
      </c>
      <c r="G118" t="s">
        <v>1384</v>
      </c>
      <c r="H118" t="s">
        <v>1923</v>
      </c>
    </row>
    <row r="119" spans="1:8" x14ac:dyDescent="0.25">
      <c r="A119" s="2277" t="s">
        <v>434</v>
      </c>
      <c r="B119" s="2277" t="str">
        <f>VLOOKUP(A119,' Measure INDEX'!$B$9:$B$669,1,FALSE)</f>
        <v>805350_2019_12_</v>
      </c>
      <c r="C119" t="s">
        <v>434</v>
      </c>
      <c r="G119" t="s">
        <v>1386</v>
      </c>
      <c r="H119" t="s">
        <v>1934</v>
      </c>
    </row>
    <row r="120" spans="1:8" x14ac:dyDescent="0.25">
      <c r="A120" s="2277" t="s">
        <v>3459</v>
      </c>
      <c r="B120" s="2277" t="str">
        <f>VLOOKUP(A120,' Measure INDEX'!$B$9:$B$669,1,FALSE)</f>
        <v>805405_2020_07_</v>
      </c>
      <c r="C120" t="s">
        <v>3459</v>
      </c>
      <c r="G120" t="s">
        <v>1387</v>
      </c>
      <c r="H120" t="s">
        <v>1946</v>
      </c>
    </row>
    <row r="121" spans="1:8" x14ac:dyDescent="0.25">
      <c r="A121" s="2277" t="s">
        <v>3460</v>
      </c>
      <c r="B121" s="2277" t="str">
        <f>VLOOKUP(A121,' Measure INDEX'!$B$9:$B$669,1,FALSE)</f>
        <v>805410_2020_07_</v>
      </c>
      <c r="C121" t="s">
        <v>3460</v>
      </c>
      <c r="G121" t="s">
        <v>1389</v>
      </c>
      <c r="H121" t="s">
        <v>1958</v>
      </c>
    </row>
    <row r="122" spans="1:8" x14ac:dyDescent="0.25">
      <c r="A122" s="2277" t="s">
        <v>442</v>
      </c>
      <c r="B122" s="2277" t="str">
        <f>VLOOKUP(A122,' Measure INDEX'!$B$9:$B$669,1,FALSE)</f>
        <v>805450_2019_12_</v>
      </c>
      <c r="C122" t="s">
        <v>442</v>
      </c>
      <c r="G122" t="s">
        <v>1391</v>
      </c>
      <c r="H122" t="s">
        <v>1967</v>
      </c>
    </row>
    <row r="123" spans="1:8" x14ac:dyDescent="0.25">
      <c r="A123" s="2277" t="s">
        <v>451</v>
      </c>
      <c r="B123" s="2277" t="str">
        <f>VLOOKUP(A123,' Measure INDEX'!$B$9:$B$669,1,FALSE)</f>
        <v>805500_2019_12_</v>
      </c>
      <c r="C123" t="s">
        <v>451</v>
      </c>
      <c r="G123" t="s">
        <v>1392</v>
      </c>
      <c r="H123" t="s">
        <v>1970</v>
      </c>
    </row>
    <row r="124" spans="1:8" x14ac:dyDescent="0.25">
      <c r="A124" s="2277" t="s">
        <v>460</v>
      </c>
      <c r="B124" s="2277" t="str">
        <f>VLOOKUP(A124,' Measure INDEX'!$B$9:$B$669,1,FALSE)</f>
        <v>805550_2019_12_</v>
      </c>
      <c r="C124" t="s">
        <v>460</v>
      </c>
      <c r="G124" t="s">
        <v>1395</v>
      </c>
      <c r="H124" t="s">
        <v>1971</v>
      </c>
    </row>
    <row r="125" spans="1:8" x14ac:dyDescent="0.25">
      <c r="A125" s="2277" t="s">
        <v>463</v>
      </c>
      <c r="B125" s="2277" t="str">
        <f>VLOOKUP(A125,' Measure INDEX'!$B$9:$B$669,1,FALSE)</f>
        <v>805600_2019_12_</v>
      </c>
      <c r="C125" t="s">
        <v>463</v>
      </c>
      <c r="G125" t="s">
        <v>1397</v>
      </c>
      <c r="H125" t="s">
        <v>1973</v>
      </c>
    </row>
    <row r="126" spans="1:8" x14ac:dyDescent="0.25">
      <c r="A126" s="2277" t="s">
        <v>469</v>
      </c>
      <c r="B126" s="2277" t="str">
        <f>VLOOKUP(A126,' Measure INDEX'!$B$9:$B$669,1,FALSE)</f>
        <v>805650_2019_12_</v>
      </c>
      <c r="C126" t="s">
        <v>469</v>
      </c>
      <c r="G126" t="s">
        <v>1399</v>
      </c>
      <c r="H126" t="s">
        <v>1974</v>
      </c>
    </row>
    <row r="127" spans="1:8" x14ac:dyDescent="0.25">
      <c r="A127" s="2277" t="s">
        <v>473</v>
      </c>
      <c r="B127" s="2277" t="str">
        <f>VLOOKUP(A127,' Measure INDEX'!$B$9:$B$669,1,FALSE)</f>
        <v>805700_2019_12_</v>
      </c>
      <c r="C127" t="s">
        <v>473</v>
      </c>
      <c r="G127" t="s">
        <v>1400</v>
      </c>
      <c r="H127" t="s">
        <v>3628</v>
      </c>
    </row>
    <row r="128" spans="1:8" x14ac:dyDescent="0.25">
      <c r="A128" s="2277" t="s">
        <v>475</v>
      </c>
      <c r="B128" s="2277" t="str">
        <f>VLOOKUP(A128,' Measure INDEX'!$B$9:$B$669,1,FALSE)</f>
        <v>805750_2019_12_</v>
      </c>
      <c r="C128" t="s">
        <v>475</v>
      </c>
      <c r="G128" t="s">
        <v>1403</v>
      </c>
      <c r="H128" t="s">
        <v>1975</v>
      </c>
    </row>
    <row r="129" spans="1:8" x14ac:dyDescent="0.25">
      <c r="A129" s="2277" t="s">
        <v>481</v>
      </c>
      <c r="B129" s="2277" t="str">
        <f>VLOOKUP(A129,' Measure INDEX'!$B$9:$B$669,1,FALSE)</f>
        <v>805800_2019_12_</v>
      </c>
      <c r="C129" t="s">
        <v>481</v>
      </c>
      <c r="G129" t="s">
        <v>1406</v>
      </c>
      <c r="H129" t="s">
        <v>1977</v>
      </c>
    </row>
    <row r="130" spans="1:8" x14ac:dyDescent="0.25">
      <c r="A130" s="2277" t="s">
        <v>490</v>
      </c>
      <c r="B130" s="2277" t="str">
        <f>VLOOKUP(A130,' Measure INDEX'!$B$9:$B$669,1,FALSE)</f>
        <v>805850_2019_12_</v>
      </c>
      <c r="C130" t="s">
        <v>490</v>
      </c>
      <c r="G130" t="s">
        <v>1407</v>
      </c>
      <c r="H130" t="s">
        <v>1979</v>
      </c>
    </row>
    <row r="131" spans="1:8" x14ac:dyDescent="0.25">
      <c r="A131" s="2277" t="s">
        <v>492</v>
      </c>
      <c r="B131" s="2277" t="str">
        <f>VLOOKUP(A131,' Measure INDEX'!$B$9:$B$669,1,FALSE)</f>
        <v>805900_2019_12_</v>
      </c>
      <c r="C131" t="s">
        <v>492</v>
      </c>
      <c r="G131" t="s">
        <v>1409</v>
      </c>
      <c r="H131" t="s">
        <v>1980</v>
      </c>
    </row>
    <row r="132" spans="1:8" x14ac:dyDescent="0.25">
      <c r="A132" s="2277" t="s">
        <v>502</v>
      </c>
      <c r="B132" s="2277" t="str">
        <f>VLOOKUP(A132,' Measure INDEX'!$B$9:$B$669,1,FALSE)</f>
        <v>805950_2019_12_</v>
      </c>
      <c r="C132" t="s">
        <v>502</v>
      </c>
      <c r="G132" t="s">
        <v>1410</v>
      </c>
      <c r="H132" t="s">
        <v>1982</v>
      </c>
    </row>
    <row r="133" spans="1:8" x14ac:dyDescent="0.25">
      <c r="A133" s="2277" t="s">
        <v>504</v>
      </c>
      <c r="B133" s="2277" t="str">
        <f>VLOOKUP(A133,' Measure INDEX'!$B$9:$B$669,1,FALSE)</f>
        <v>806000_2019_12_</v>
      </c>
      <c r="C133" t="s">
        <v>504</v>
      </c>
      <c r="G133" t="s">
        <v>1411</v>
      </c>
      <c r="H133" t="s">
        <v>1984</v>
      </c>
    </row>
    <row r="134" spans="1:8" x14ac:dyDescent="0.25">
      <c r="A134" s="2277" t="s">
        <v>509</v>
      </c>
      <c r="B134" s="2277" t="str">
        <f>VLOOKUP(A134,' Measure INDEX'!$B$9:$B$669,1,FALSE)</f>
        <v>806050_2019_12_</v>
      </c>
      <c r="C134" t="s">
        <v>509</v>
      </c>
      <c r="G134" t="s">
        <v>1414</v>
      </c>
      <c r="H134" t="s">
        <v>1986</v>
      </c>
    </row>
    <row r="135" spans="1:8" x14ac:dyDescent="0.25">
      <c r="A135" s="2277" t="s">
        <v>3463</v>
      </c>
      <c r="B135" s="2277" t="str">
        <f>VLOOKUP(A135,' Measure INDEX'!$B$9:$B$669,1,FALSE)</f>
        <v>806100_2020_07_</v>
      </c>
      <c r="C135" t="s">
        <v>3463</v>
      </c>
      <c r="G135" t="s">
        <v>1416</v>
      </c>
      <c r="H135" t="s">
        <v>1988</v>
      </c>
    </row>
    <row r="136" spans="1:8" x14ac:dyDescent="0.25">
      <c r="A136" s="2277" t="s">
        <v>3464</v>
      </c>
      <c r="B136" s="2277" t="str">
        <f>VLOOKUP(A136,' Measure INDEX'!$B$9:$B$669,1,FALSE)</f>
        <v>806110_2020_07_</v>
      </c>
      <c r="C136" t="s">
        <v>3464</v>
      </c>
      <c r="G136" t="s">
        <v>1419</v>
      </c>
      <c r="H136" t="s">
        <v>1989</v>
      </c>
    </row>
    <row r="137" spans="1:8" x14ac:dyDescent="0.25">
      <c r="A137" s="2277" t="s">
        <v>3465</v>
      </c>
      <c r="B137" s="2277" t="str">
        <f>VLOOKUP(A137,' Measure INDEX'!$B$9:$B$669,1,FALSE)</f>
        <v>806120_2020_07_</v>
      </c>
      <c r="C137" t="s">
        <v>3465</v>
      </c>
      <c r="G137" t="s">
        <v>1421</v>
      </c>
      <c r="H137" t="s">
        <v>1991</v>
      </c>
    </row>
    <row r="138" spans="1:8" x14ac:dyDescent="0.25">
      <c r="A138" s="2277" t="s">
        <v>514</v>
      </c>
      <c r="B138" s="2277" t="str">
        <f>VLOOKUP(A138,' Measure INDEX'!$B$9:$B$669,1,FALSE)</f>
        <v>999999_2019_12</v>
      </c>
      <c r="C138" t="s">
        <v>514</v>
      </c>
      <c r="G138" t="s">
        <v>1424</v>
      </c>
      <c r="H138" t="s">
        <v>1993</v>
      </c>
    </row>
    <row r="139" spans="1:8" x14ac:dyDescent="0.25">
      <c r="A139" s="2277" t="s">
        <v>530</v>
      </c>
      <c r="B139" s="2277" t="str">
        <f>VLOOKUP(A139,' Measure INDEX'!$B$9:$B$669,1,FALSE)</f>
        <v>200050_2019_12_</v>
      </c>
      <c r="G139" t="s">
        <v>1426</v>
      </c>
      <c r="H139" t="s">
        <v>1995</v>
      </c>
    </row>
    <row r="140" spans="1:8" x14ac:dyDescent="0.25">
      <c r="A140" s="2277" t="s">
        <v>534</v>
      </c>
      <c r="B140" s="2277" t="str">
        <f>VLOOKUP(A140,' Measure INDEX'!$B$9:$B$669,1,FALSE)</f>
        <v>200100_2019_12_</v>
      </c>
      <c r="G140" t="s">
        <v>1429</v>
      </c>
      <c r="H140" t="s">
        <v>3629</v>
      </c>
    </row>
    <row r="141" spans="1:8" x14ac:dyDescent="0.25">
      <c r="A141" s="2277" t="s">
        <v>536</v>
      </c>
      <c r="B141" s="2277" t="str">
        <f>VLOOKUP(A141,' Measure INDEX'!$B$9:$B$669,1,FALSE)</f>
        <v>200150_2019_12_</v>
      </c>
      <c r="G141" t="s">
        <v>1432</v>
      </c>
      <c r="H141" t="s">
        <v>1996</v>
      </c>
    </row>
    <row r="142" spans="1:8" x14ac:dyDescent="0.25">
      <c r="A142" s="2277" t="s">
        <v>538</v>
      </c>
      <c r="B142" s="2277" t="str">
        <f>VLOOKUP(A142,' Measure INDEX'!$B$9:$B$669,1,FALSE)</f>
        <v>200200_2019_12_</v>
      </c>
      <c r="G142" t="s">
        <v>1433</v>
      </c>
      <c r="H142" t="s">
        <v>1998</v>
      </c>
    </row>
    <row r="143" spans="1:8" x14ac:dyDescent="0.25">
      <c r="A143" s="2277" t="s">
        <v>540</v>
      </c>
      <c r="B143" s="2277" t="str">
        <f>VLOOKUP(A143,' Measure INDEX'!$B$9:$B$669,1,FALSE)</f>
        <v>200250_2019_12_</v>
      </c>
      <c r="G143" t="s">
        <v>1436</v>
      </c>
      <c r="H143" t="s">
        <v>1999</v>
      </c>
    </row>
    <row r="144" spans="1:8" x14ac:dyDescent="0.25">
      <c r="A144" s="2277" t="s">
        <v>542</v>
      </c>
      <c r="B144" s="2277" t="str">
        <f>VLOOKUP(A144,' Measure INDEX'!$B$9:$B$669,1,FALSE)</f>
        <v>200300_2019_12_</v>
      </c>
      <c r="G144" t="s">
        <v>1437</v>
      </c>
      <c r="H144" t="s">
        <v>3820</v>
      </c>
    </row>
    <row r="145" spans="1:8" x14ac:dyDescent="0.25">
      <c r="A145" s="2277" t="s">
        <v>544</v>
      </c>
      <c r="B145" s="2277" t="str">
        <f>VLOOKUP(A145,' Measure INDEX'!$B$9:$B$669,1,FALSE)</f>
        <v>200350_2019_12_</v>
      </c>
      <c r="G145" t="s">
        <v>1440</v>
      </c>
      <c r="H145" t="s">
        <v>2020</v>
      </c>
    </row>
    <row r="146" spans="1:8" x14ac:dyDescent="0.25">
      <c r="A146" s="2277" t="s">
        <v>545</v>
      </c>
      <c r="B146" s="2277" t="str">
        <f>VLOOKUP(A146,' Measure INDEX'!$B$9:$B$669,1,FALSE)</f>
        <v>200400_2019_12_</v>
      </c>
      <c r="G146" t="s">
        <v>1443</v>
      </c>
      <c r="H146" t="s">
        <v>3782</v>
      </c>
    </row>
    <row r="147" spans="1:8" x14ac:dyDescent="0.25">
      <c r="A147" s="2277" t="s">
        <v>3485</v>
      </c>
      <c r="B147" s="2277" t="e">
        <f>VLOOKUP(A147,' Measure INDEX'!$B$9:$B$669,1,FALSE)</f>
        <v>#N/A</v>
      </c>
      <c r="G147" t="s">
        <v>1444</v>
      </c>
      <c r="H147" t="s">
        <v>2022</v>
      </c>
    </row>
    <row r="148" spans="1:8" x14ac:dyDescent="0.25">
      <c r="A148" s="2277" t="s">
        <v>3487</v>
      </c>
      <c r="B148" s="2277" t="e">
        <f>VLOOKUP(A148,' Measure INDEX'!$B$9:$B$669,1,FALSE)</f>
        <v>#N/A</v>
      </c>
      <c r="G148" t="s">
        <v>1447</v>
      </c>
      <c r="H148" t="s">
        <v>2024</v>
      </c>
    </row>
    <row r="149" spans="1:8" x14ac:dyDescent="0.25">
      <c r="A149" s="2277" t="s">
        <v>546</v>
      </c>
      <c r="B149" s="2277" t="str">
        <f>VLOOKUP(A149,' Measure INDEX'!$B$9:$B$669,1,FALSE)</f>
        <v>200450_2019_12_</v>
      </c>
      <c r="G149" t="s">
        <v>1448</v>
      </c>
      <c r="H149" t="s">
        <v>3783</v>
      </c>
    </row>
    <row r="150" spans="1:8" x14ac:dyDescent="0.25">
      <c r="A150" s="2277" t="s">
        <v>548</v>
      </c>
      <c r="B150" s="2277" t="str">
        <f>VLOOKUP(A150,' Measure INDEX'!$B$9:$B$669,1,FALSE)</f>
        <v>200500_2019_12_</v>
      </c>
      <c r="G150" t="s">
        <v>1451</v>
      </c>
      <c r="H150" t="s">
        <v>2026</v>
      </c>
    </row>
    <row r="151" spans="1:8" x14ac:dyDescent="0.25">
      <c r="A151" s="2277" t="s">
        <v>550</v>
      </c>
      <c r="B151" s="2277" t="str">
        <f>VLOOKUP(A151,' Measure INDEX'!$B$9:$B$669,1,FALSE)</f>
        <v>200550_2019_12_</v>
      </c>
      <c r="G151" t="s">
        <v>1454</v>
      </c>
      <c r="H151" t="s">
        <v>2028</v>
      </c>
    </row>
    <row r="152" spans="1:8" x14ac:dyDescent="0.25">
      <c r="A152" s="2277" t="s">
        <v>552</v>
      </c>
      <c r="B152" s="2277" t="str">
        <f>VLOOKUP(A152,' Measure INDEX'!$B$9:$B$669,1,FALSE)</f>
        <v>200600_2019_12_</v>
      </c>
      <c r="G152" t="s">
        <v>1455</v>
      </c>
      <c r="H152" t="s">
        <v>3784</v>
      </c>
    </row>
    <row r="153" spans="1:8" x14ac:dyDescent="0.25">
      <c r="A153" s="2277" t="s">
        <v>554</v>
      </c>
      <c r="B153" s="2277" t="str">
        <f>VLOOKUP(A153,' Measure INDEX'!$B$9:$B$669,1,FALSE)</f>
        <v>200650_2019_12_</v>
      </c>
      <c r="G153" t="s">
        <v>1458</v>
      </c>
      <c r="H153" t="s">
        <v>2030</v>
      </c>
    </row>
    <row r="154" spans="1:8" x14ac:dyDescent="0.25">
      <c r="A154" s="2277" t="s">
        <v>555</v>
      </c>
      <c r="B154" s="2277" t="str">
        <f>VLOOKUP(A154,' Measure INDEX'!$B$9:$B$669,1,FALSE)</f>
        <v>200700_2019_12_</v>
      </c>
      <c r="G154" t="s">
        <v>1459</v>
      </c>
      <c r="H154" t="s">
        <v>2032</v>
      </c>
    </row>
    <row r="155" spans="1:8" x14ac:dyDescent="0.25">
      <c r="A155" s="2277" t="s">
        <v>556</v>
      </c>
      <c r="B155" s="2277" t="str">
        <f>VLOOKUP(A155,' Measure INDEX'!$B$9:$B$669,1,FALSE)</f>
        <v>200750_2019_12_</v>
      </c>
      <c r="G155" t="s">
        <v>1462</v>
      </c>
      <c r="H155" t="s">
        <v>3785</v>
      </c>
    </row>
    <row r="156" spans="1:8" x14ac:dyDescent="0.25">
      <c r="A156" s="2277" t="s">
        <v>558</v>
      </c>
      <c r="B156" s="2277" t="str">
        <f>VLOOKUP(A156,' Measure INDEX'!$B$9:$B$669,1,FALSE)</f>
        <v>200800_2019_12_</v>
      </c>
      <c r="G156" t="s">
        <v>1464</v>
      </c>
      <c r="H156" t="s">
        <v>2035</v>
      </c>
    </row>
    <row r="157" spans="1:8" x14ac:dyDescent="0.25">
      <c r="A157" s="2277" t="s">
        <v>560</v>
      </c>
      <c r="B157" s="2277" t="str">
        <f>VLOOKUP(A157,' Measure INDEX'!$B$9:$B$669,1,FALSE)</f>
        <v>200850_2019_12_</v>
      </c>
      <c r="G157" t="s">
        <v>1467</v>
      </c>
      <c r="H157" t="s">
        <v>2040</v>
      </c>
    </row>
    <row r="158" spans="1:8" x14ac:dyDescent="0.25">
      <c r="A158" s="2277" t="s">
        <v>562</v>
      </c>
      <c r="B158" s="2277" t="str">
        <f>VLOOKUP(A158,' Measure INDEX'!$B$9:$B$669,1,FALSE)</f>
        <v>200900_2019_12_</v>
      </c>
      <c r="G158" t="s">
        <v>1468</v>
      </c>
      <c r="H158" t="s">
        <v>2077</v>
      </c>
    </row>
    <row r="159" spans="1:8" x14ac:dyDescent="0.25">
      <c r="A159" s="2277" t="s">
        <v>564</v>
      </c>
      <c r="B159" s="2277" t="str">
        <f>VLOOKUP(A159,' Measure INDEX'!$B$9:$B$669,1,FALSE)</f>
        <v>200950_2019_12_</v>
      </c>
      <c r="G159" t="s">
        <v>1471</v>
      </c>
      <c r="H159" t="s">
        <v>2078</v>
      </c>
    </row>
    <row r="160" spans="1:8" x14ac:dyDescent="0.25">
      <c r="A160" s="2277" t="s">
        <v>565</v>
      </c>
      <c r="B160" s="2277" t="str">
        <f>VLOOKUP(A160,' Measure INDEX'!$B$9:$B$669,1,FALSE)</f>
        <v>201000_2019_12_</v>
      </c>
      <c r="G160" t="s">
        <v>1472</v>
      </c>
      <c r="H160" t="s">
        <v>2079</v>
      </c>
    </row>
    <row r="161" spans="1:8" x14ac:dyDescent="0.25">
      <c r="A161" s="2277" t="s">
        <v>566</v>
      </c>
      <c r="B161" s="2277" t="str">
        <f>VLOOKUP(A161,' Measure INDEX'!$B$9:$B$669,1,FALSE)</f>
        <v>201050_2019_12_</v>
      </c>
      <c r="G161" t="s">
        <v>1475</v>
      </c>
      <c r="H161" t="s">
        <v>2080</v>
      </c>
    </row>
    <row r="162" spans="1:8" x14ac:dyDescent="0.25">
      <c r="A162" s="2277" t="s">
        <v>568</v>
      </c>
      <c r="B162" s="2277" t="str">
        <f>VLOOKUP(A162,' Measure INDEX'!$B$9:$B$669,1,FALSE)</f>
        <v>201100_2019_12_</v>
      </c>
      <c r="G162" t="s">
        <v>1477</v>
      </c>
      <c r="H162" t="s">
        <v>2081</v>
      </c>
    </row>
    <row r="163" spans="1:8" x14ac:dyDescent="0.25">
      <c r="A163" s="2277" t="s">
        <v>620</v>
      </c>
      <c r="B163" s="2277" t="str">
        <f>VLOOKUP(A163,' Measure INDEX'!$B$9:$B$669,1,FALSE)</f>
        <v>250050_2019_12_</v>
      </c>
      <c r="G163" t="s">
        <v>1479</v>
      </c>
      <c r="H163" t="s">
        <v>2083</v>
      </c>
    </row>
    <row r="164" spans="1:8" x14ac:dyDescent="0.25">
      <c r="A164" s="2277" t="s">
        <v>688</v>
      </c>
      <c r="B164" s="2277" t="str">
        <f>VLOOKUP(A164,' Measure INDEX'!$B$9:$B$669,1,FALSE)</f>
        <v>250100_2019_12_</v>
      </c>
      <c r="G164" t="s">
        <v>1480</v>
      </c>
      <c r="H164" t="s">
        <v>3295</v>
      </c>
    </row>
    <row r="165" spans="1:8" x14ac:dyDescent="0.25">
      <c r="A165" s="2277" t="s">
        <v>692</v>
      </c>
      <c r="B165" s="2277" t="str">
        <f>VLOOKUP(A165,' Measure INDEX'!$B$9:$B$669,1,FALSE)</f>
        <v>250101_2019_12_</v>
      </c>
      <c r="G165" t="s">
        <v>1483</v>
      </c>
      <c r="H165" t="s">
        <v>2086</v>
      </c>
    </row>
    <row r="166" spans="1:8" x14ac:dyDescent="0.25">
      <c r="A166" s="2277" t="s">
        <v>694</v>
      </c>
      <c r="B166" s="2277" t="str">
        <f>VLOOKUP(A166,' Measure INDEX'!$B$9:$B$669,1,FALSE)</f>
        <v>250102_2019_12_</v>
      </c>
      <c r="G166" t="s">
        <v>1484</v>
      </c>
      <c r="H166" t="s">
        <v>2088</v>
      </c>
    </row>
    <row r="167" spans="1:8" x14ac:dyDescent="0.25">
      <c r="A167" s="2277" t="s">
        <v>695</v>
      </c>
      <c r="B167" s="2277" t="str">
        <f>VLOOKUP(A167,' Measure INDEX'!$B$9:$B$669,1,FALSE)</f>
        <v>250150_2019_12_</v>
      </c>
      <c r="G167" t="s">
        <v>1486</v>
      </c>
      <c r="H167" t="s">
        <v>2090</v>
      </c>
    </row>
    <row r="168" spans="1:8" x14ac:dyDescent="0.25">
      <c r="A168" s="2277" t="s">
        <v>697</v>
      </c>
      <c r="B168" s="2277" t="str">
        <f>VLOOKUP(A168,' Measure INDEX'!$B$9:$B$669,1,FALSE)</f>
        <v>250151_2019_12_</v>
      </c>
      <c r="G168" t="s">
        <v>1487</v>
      </c>
      <c r="H168" t="s">
        <v>2092</v>
      </c>
    </row>
    <row r="169" spans="1:8" x14ac:dyDescent="0.25">
      <c r="A169" s="2277" t="s">
        <v>698</v>
      </c>
      <c r="B169" s="2277" t="str">
        <f>VLOOKUP(A169,' Measure INDEX'!$B$9:$B$669,1,FALSE)</f>
        <v>250250_2019_12_</v>
      </c>
      <c r="G169" t="s">
        <v>1489</v>
      </c>
      <c r="H169" t="s">
        <v>2094</v>
      </c>
    </row>
    <row r="170" spans="1:8" x14ac:dyDescent="0.25">
      <c r="A170" s="2277" t="s">
        <v>700</v>
      </c>
      <c r="B170" s="2277" t="str">
        <f>VLOOKUP(A170,' Measure INDEX'!$B$9:$B$669,1,FALSE)</f>
        <v>250350_2019_12_</v>
      </c>
      <c r="G170" t="s">
        <v>1490</v>
      </c>
      <c r="H170" t="s">
        <v>2096</v>
      </c>
    </row>
    <row r="171" spans="1:8" x14ac:dyDescent="0.25">
      <c r="A171" s="2277" t="s">
        <v>701</v>
      </c>
      <c r="B171" s="2277" t="str">
        <f>VLOOKUP(A171,' Measure INDEX'!$B$9:$B$669,1,FALSE)</f>
        <v>250351_2019_12_</v>
      </c>
      <c r="G171" t="s">
        <v>1492</v>
      </c>
      <c r="H171" t="s">
        <v>2098</v>
      </c>
    </row>
    <row r="172" spans="1:8" x14ac:dyDescent="0.25">
      <c r="A172" s="2277" t="s">
        <v>703</v>
      </c>
      <c r="B172" s="2277" t="str">
        <f>VLOOKUP(A172,' Measure INDEX'!$B$9:$B$669,1,FALSE)</f>
        <v>250352_2019_12_</v>
      </c>
      <c r="G172" t="s">
        <v>1493</v>
      </c>
      <c r="H172" t="s">
        <v>2100</v>
      </c>
    </row>
    <row r="173" spans="1:8" x14ac:dyDescent="0.25">
      <c r="A173" s="2277" t="s">
        <v>705</v>
      </c>
      <c r="B173" s="2277" t="str">
        <f>VLOOKUP(A173,' Measure INDEX'!$B$9:$B$669,1,FALSE)</f>
        <v>250450_2019_12_</v>
      </c>
      <c r="G173" t="s">
        <v>1495</v>
      </c>
      <c r="H173" t="s">
        <v>2102</v>
      </c>
    </row>
    <row r="174" spans="1:8" x14ac:dyDescent="0.25">
      <c r="A174" s="2277" t="s">
        <v>706</v>
      </c>
      <c r="B174" s="2277" t="str">
        <f>VLOOKUP(A174,' Measure INDEX'!$B$9:$B$669,1,FALSE)</f>
        <v>250451_2019_12_</v>
      </c>
      <c r="G174" t="s">
        <v>1496</v>
      </c>
      <c r="H174" t="s">
        <v>2104</v>
      </c>
    </row>
    <row r="175" spans="1:8" x14ac:dyDescent="0.25">
      <c r="A175" s="2277" t="s">
        <v>708</v>
      </c>
      <c r="B175" s="2277" t="str">
        <f>VLOOKUP(A175,' Measure INDEX'!$B$9:$B$669,1,FALSE)</f>
        <v>250452_2019_12_</v>
      </c>
      <c r="G175" t="s">
        <v>1498</v>
      </c>
      <c r="H175" t="s">
        <v>2106</v>
      </c>
    </row>
    <row r="176" spans="1:8" x14ac:dyDescent="0.25">
      <c r="A176" s="2277" t="s">
        <v>753</v>
      </c>
      <c r="B176" s="2277" t="str">
        <f>VLOOKUP(A176,' Measure INDEX'!$B$9:$B$669,1,FALSE)</f>
        <v>250500_2019_12_</v>
      </c>
      <c r="H176" t="s">
        <v>2108</v>
      </c>
    </row>
    <row r="177" spans="1:8" x14ac:dyDescent="0.25">
      <c r="A177" s="2277" t="s">
        <v>755</v>
      </c>
      <c r="B177" s="2277" t="str">
        <f>VLOOKUP(A177,' Measure INDEX'!$B$9:$B$669,1,FALSE)</f>
        <v>250550_2019_12_</v>
      </c>
      <c r="H177" t="s">
        <v>2110</v>
      </c>
    </row>
    <row r="178" spans="1:8" x14ac:dyDescent="0.25">
      <c r="A178" s="2277" t="s">
        <v>782</v>
      </c>
      <c r="B178" s="2277" t="str">
        <f>VLOOKUP(A178,' Measure INDEX'!$B$9:$B$669,1,FALSE)</f>
        <v>250600_2019_12_</v>
      </c>
      <c r="H178" t="s">
        <v>2112</v>
      </c>
    </row>
    <row r="179" spans="1:8" x14ac:dyDescent="0.25">
      <c r="A179" s="2277" t="s">
        <v>785</v>
      </c>
      <c r="B179" s="2277" t="str">
        <f>VLOOKUP(A179,' Measure INDEX'!$B$9:$B$669,1,FALSE)</f>
        <v>250650_2019_12_</v>
      </c>
      <c r="H179" t="s">
        <v>2114</v>
      </c>
    </row>
    <row r="180" spans="1:8" x14ac:dyDescent="0.25">
      <c r="A180" s="2277" t="s">
        <v>787</v>
      </c>
      <c r="B180" s="2277" t="str">
        <f>VLOOKUP(A180,' Measure INDEX'!$B$9:$B$669,1,FALSE)</f>
        <v>250700_2019_12_</v>
      </c>
      <c r="H180" t="s">
        <v>2116</v>
      </c>
    </row>
    <row r="181" spans="1:8" x14ac:dyDescent="0.25">
      <c r="A181" s="2277" t="s">
        <v>789</v>
      </c>
      <c r="B181" s="2277" t="str">
        <f>VLOOKUP(A181,' Measure INDEX'!$B$9:$B$669,1,FALSE)</f>
        <v>250750_2019_12_</v>
      </c>
      <c r="H181" t="s">
        <v>2118</v>
      </c>
    </row>
    <row r="182" spans="1:8" x14ac:dyDescent="0.25">
      <c r="A182" s="2277" t="s">
        <v>791</v>
      </c>
      <c r="B182" s="2277" t="str">
        <f>VLOOKUP(A182,' Measure INDEX'!$B$9:$B$669,1,FALSE)</f>
        <v>250800_2019_12_</v>
      </c>
      <c r="H182" t="s">
        <v>3712</v>
      </c>
    </row>
    <row r="183" spans="1:8" x14ac:dyDescent="0.25">
      <c r="A183" s="2277" t="s">
        <v>793</v>
      </c>
      <c r="B183" s="2277" t="str">
        <f>VLOOKUP(A183,' Measure INDEX'!$B$9:$B$669,1,FALSE)</f>
        <v>250850_2019_12_</v>
      </c>
      <c r="H183" t="s">
        <v>3715</v>
      </c>
    </row>
    <row r="184" spans="1:8" x14ac:dyDescent="0.25">
      <c r="A184" s="2277" t="s">
        <v>795</v>
      </c>
      <c r="B184" s="2277" t="str">
        <f>VLOOKUP(A184,' Measure INDEX'!$B$9:$B$669,1,FALSE)</f>
        <v>250900_2019_12_</v>
      </c>
      <c r="H184" t="s">
        <v>3717</v>
      </c>
    </row>
    <row r="185" spans="1:8" x14ac:dyDescent="0.25">
      <c r="A185" s="2277" t="s">
        <v>797</v>
      </c>
      <c r="B185" s="2277" t="str">
        <f>VLOOKUP(A185,' Measure INDEX'!$B$9:$B$669,1,FALSE)</f>
        <v>250950_2019_12_</v>
      </c>
      <c r="H185" t="s">
        <v>3719</v>
      </c>
    </row>
    <row r="186" spans="1:8" x14ac:dyDescent="0.25">
      <c r="A186" s="2277" t="s">
        <v>799</v>
      </c>
      <c r="B186" s="2277" t="str">
        <f>VLOOKUP(A186,' Measure INDEX'!$B$9:$B$669,1,FALSE)</f>
        <v>251000_2019_12_</v>
      </c>
      <c r="H186" t="s">
        <v>3721</v>
      </c>
    </row>
    <row r="187" spans="1:8" x14ac:dyDescent="0.25">
      <c r="A187" s="2277" t="s">
        <v>3781</v>
      </c>
      <c r="B187" s="2277" t="str">
        <f>VLOOKUP(A187,' Measure INDEX'!$B$9:$B$669,1,FALSE)</f>
        <v>251001_2020_12_</v>
      </c>
      <c r="H187" t="s">
        <v>3723</v>
      </c>
    </row>
    <row r="188" spans="1:8" x14ac:dyDescent="0.25">
      <c r="A188" s="2277" t="s">
        <v>806</v>
      </c>
      <c r="B188" s="2277" t="str">
        <f>VLOOKUP(A188,' Measure INDEX'!$B$9:$B$669,1,FALSE)</f>
        <v>251050_2019_12_</v>
      </c>
      <c r="H188" t="s">
        <v>3725</v>
      </c>
    </row>
    <row r="189" spans="1:8" x14ac:dyDescent="0.25">
      <c r="A189" s="2277" t="s">
        <v>824</v>
      </c>
      <c r="B189" s="2277" t="str">
        <f>VLOOKUP(A189,' Measure INDEX'!$B$9:$B$669,1,FALSE)</f>
        <v>251100_2019_12_</v>
      </c>
      <c r="H189" t="s">
        <v>3727</v>
      </c>
    </row>
    <row r="190" spans="1:8" x14ac:dyDescent="0.25">
      <c r="A190" s="2277" t="s">
        <v>845</v>
      </c>
      <c r="B190" s="2277" t="str">
        <f>VLOOKUP(A190,' Measure INDEX'!$B$9:$B$669,1,FALSE)</f>
        <v>251150_2019_12_</v>
      </c>
      <c r="H190" t="s">
        <v>3729</v>
      </c>
    </row>
    <row r="191" spans="1:8" x14ac:dyDescent="0.25">
      <c r="A191" s="2277" t="s">
        <v>846</v>
      </c>
      <c r="B191" s="2277" t="str">
        <f>VLOOKUP(A191,' Measure INDEX'!$B$9:$B$669,1,FALSE)</f>
        <v>251200_2019_12_</v>
      </c>
      <c r="H191" t="s">
        <v>3731</v>
      </c>
    </row>
    <row r="192" spans="1:8" x14ac:dyDescent="0.25">
      <c r="A192" s="2277" t="s">
        <v>874</v>
      </c>
      <c r="B192" s="2277" t="str">
        <f>VLOOKUP(A192,' Measure INDEX'!$B$9:$B$669,1,FALSE)</f>
        <v>300050_2019_12_</v>
      </c>
      <c r="H192" t="s">
        <v>3733</v>
      </c>
    </row>
    <row r="193" spans="1:8" x14ac:dyDescent="0.25">
      <c r="A193" s="2277" t="s">
        <v>3518</v>
      </c>
      <c r="B193" s="2277" t="str">
        <f>VLOOKUP(A193,' Measure INDEX'!$B$9:$B$669,1,FALSE)</f>
        <v>300051_2020_12_</v>
      </c>
      <c r="H193" t="s">
        <v>3735</v>
      </c>
    </row>
    <row r="194" spans="1:8" x14ac:dyDescent="0.25">
      <c r="A194" s="2277" t="s">
        <v>3520</v>
      </c>
      <c r="B194" s="2277" t="str">
        <f>VLOOKUP(A194,' Measure INDEX'!$B$9:$B$669,1,FALSE)</f>
        <v>300060_2020_12_</v>
      </c>
    </row>
    <row r="195" spans="1:8" x14ac:dyDescent="0.25">
      <c r="A195" s="2277" t="s">
        <v>878</v>
      </c>
      <c r="B195" s="2277" t="str">
        <f>VLOOKUP(A195,' Measure INDEX'!$B$9:$B$669,1,FALSE)</f>
        <v>300100_2019_12_</v>
      </c>
    </row>
    <row r="196" spans="1:8" x14ac:dyDescent="0.25">
      <c r="A196" s="2277" t="s">
        <v>880</v>
      </c>
      <c r="B196" s="2277" t="str">
        <f>VLOOKUP(A196,' Measure INDEX'!$B$9:$B$669,1,FALSE)</f>
        <v>300101_2019_12_</v>
      </c>
    </row>
    <row r="197" spans="1:8" x14ac:dyDescent="0.25">
      <c r="A197" s="2277" t="s">
        <v>902</v>
      </c>
      <c r="B197" s="2277" t="str">
        <f>VLOOKUP(A197,' Measure INDEX'!$B$9:$B$669,1,FALSE)</f>
        <v>300150_2019_12_</v>
      </c>
    </row>
    <row r="198" spans="1:8" x14ac:dyDescent="0.25">
      <c r="A198" s="2277" t="s">
        <v>903</v>
      </c>
      <c r="B198" s="2277" t="str">
        <f>VLOOKUP(A198,' Measure INDEX'!$B$9:$B$669,1,FALSE)</f>
        <v>300200_2019_12_</v>
      </c>
    </row>
    <row r="199" spans="1:8" x14ac:dyDescent="0.25">
      <c r="A199" s="2277" t="s">
        <v>904</v>
      </c>
      <c r="B199" s="2277" t="str">
        <f>VLOOKUP(A199,' Measure INDEX'!$B$9:$B$669,1,FALSE)</f>
        <v>300250_2019_12_</v>
      </c>
    </row>
    <row r="200" spans="1:8" x14ac:dyDescent="0.25">
      <c r="A200" s="2277" t="s">
        <v>3536</v>
      </c>
      <c r="B200" s="2277" t="str">
        <f>VLOOKUP(A200,' Measure INDEX'!$B$9:$B$669,1,FALSE)</f>
        <v>300251_2020_12_</v>
      </c>
    </row>
    <row r="201" spans="1:8" x14ac:dyDescent="0.25">
      <c r="A201" s="2277" t="s">
        <v>3538</v>
      </c>
      <c r="B201" s="2277" t="str">
        <f>VLOOKUP(A201,' Measure INDEX'!$B$9:$B$669,1,FALSE)</f>
        <v>300260_2020_12_</v>
      </c>
    </row>
    <row r="202" spans="1:8" x14ac:dyDescent="0.25">
      <c r="A202" s="2277" t="s">
        <v>905</v>
      </c>
      <c r="B202" s="2277" t="str">
        <f>VLOOKUP(A202,' Measure INDEX'!$B$9:$B$669,1,FALSE)</f>
        <v>300300_2019_12_</v>
      </c>
    </row>
    <row r="203" spans="1:8" x14ac:dyDescent="0.25">
      <c r="A203" s="2277" t="s">
        <v>906</v>
      </c>
      <c r="B203" s="2277" t="str">
        <f>VLOOKUP(A203,' Measure INDEX'!$B$9:$B$669,1,FALSE)</f>
        <v>300350_2019_12_</v>
      </c>
    </row>
    <row r="204" spans="1:8" x14ac:dyDescent="0.25">
      <c r="A204" s="2277" t="s">
        <v>3309</v>
      </c>
      <c r="B204" s="2277" t="str">
        <f>VLOOKUP(A204,' Measure INDEX'!$B$9:$B$669,1,FALSE)</f>
        <v>300400_2019_12_</v>
      </c>
    </row>
    <row r="205" spans="1:8" x14ac:dyDescent="0.25">
      <c r="A205" s="2277" t="s">
        <v>3533</v>
      </c>
      <c r="B205" s="2277" t="str">
        <f>VLOOKUP(A205,' Measure INDEX'!$B$9:$B$669,1,FALSE)</f>
        <v>300401_2020_12_</v>
      </c>
    </row>
    <row r="206" spans="1:8" x14ac:dyDescent="0.25">
      <c r="A206" s="2277" t="s">
        <v>3534</v>
      </c>
      <c r="B206" s="2277" t="str">
        <f>VLOOKUP(A206,' Measure INDEX'!$B$9:$B$669,1,FALSE)</f>
        <v>300402_2020_12_</v>
      </c>
    </row>
    <row r="207" spans="1:8" x14ac:dyDescent="0.25">
      <c r="A207" s="2277" t="s">
        <v>3535</v>
      </c>
      <c r="B207" s="2277" t="str">
        <f>VLOOKUP(A207,' Measure INDEX'!$B$9:$B$669,1,FALSE)</f>
        <v>300403_2020_12_</v>
      </c>
    </row>
    <row r="208" spans="1:8" x14ac:dyDescent="0.25">
      <c r="A208" s="2277" t="s">
        <v>934</v>
      </c>
      <c r="B208" s="2277" t="str">
        <f>VLOOKUP(A208,' Measure INDEX'!$B$9:$B$669,1,FALSE)</f>
        <v>300450_2019_12_</v>
      </c>
    </row>
    <row r="209" spans="1:2" x14ac:dyDescent="0.25">
      <c r="A209" s="2277" t="s">
        <v>3548</v>
      </c>
      <c r="B209" s="2277" t="str">
        <f>VLOOKUP(A209,' Measure INDEX'!$B$9:$B$669,1,FALSE)</f>
        <v>300460_2020_12_</v>
      </c>
    </row>
    <row r="210" spans="1:2" x14ac:dyDescent="0.25">
      <c r="A210" s="2277" t="s">
        <v>936</v>
      </c>
      <c r="B210" s="2277" t="str">
        <f>VLOOKUP(A210,' Measure INDEX'!$B$9:$B$669,1,FALSE)</f>
        <v>300500_2019_12_</v>
      </c>
    </row>
    <row r="211" spans="1:2" x14ac:dyDescent="0.25">
      <c r="A211" s="2277" t="s">
        <v>3549</v>
      </c>
      <c r="B211" s="2277" t="str">
        <f>VLOOKUP(A211,' Measure INDEX'!$B$9:$B$669,1,FALSE)</f>
        <v>300501_2020_12_</v>
      </c>
    </row>
    <row r="212" spans="1:2" x14ac:dyDescent="0.25">
      <c r="A212" s="2277" t="s">
        <v>974</v>
      </c>
      <c r="B212" s="2277" t="str">
        <f>VLOOKUP(A212,' Measure INDEX'!$B$9:$B$669,1,FALSE)</f>
        <v>300550_2019_12_</v>
      </c>
    </row>
    <row r="213" spans="1:2" x14ac:dyDescent="0.25">
      <c r="A213" s="2277" t="s">
        <v>3599</v>
      </c>
      <c r="B213" s="2277" t="str">
        <f>VLOOKUP(A213,' Measure INDEX'!$B$9:$B$669,1,FALSE)</f>
        <v>300560_2020_12_</v>
      </c>
    </row>
    <row r="214" spans="1:2" x14ac:dyDescent="0.25">
      <c r="A214" s="2277" t="s">
        <v>976</v>
      </c>
      <c r="B214" s="2277" t="str">
        <f>VLOOKUP(A214,' Measure INDEX'!$B$9:$B$669,1,FALSE)</f>
        <v>300600_2019_12_</v>
      </c>
    </row>
    <row r="215" spans="1:2" x14ac:dyDescent="0.25">
      <c r="A215" s="2277" t="s">
        <v>3600</v>
      </c>
      <c r="B215" s="2277" t="str">
        <f>VLOOKUP(A215,' Measure INDEX'!$B$9:$B$669,1,FALSE)</f>
        <v>300601_2020_12_</v>
      </c>
    </row>
    <row r="216" spans="1:2" x14ac:dyDescent="0.25">
      <c r="A216" s="2277" t="s">
        <v>981</v>
      </c>
      <c r="B216" s="2277" t="str">
        <f>VLOOKUP(A216,' Measure INDEX'!$B$9:$B$669,1,FALSE)</f>
        <v>300650_2019_12_</v>
      </c>
    </row>
    <row r="217" spans="1:2" x14ac:dyDescent="0.25">
      <c r="A217" s="2277" t="s">
        <v>3601</v>
      </c>
      <c r="B217" s="2277" t="str">
        <f>VLOOKUP(A217,' Measure INDEX'!$B$9:$B$669,1,FALSE)</f>
        <v>300660_2020_12_</v>
      </c>
    </row>
    <row r="218" spans="1:2" x14ac:dyDescent="0.25">
      <c r="A218" s="2277" t="s">
        <v>983</v>
      </c>
      <c r="B218" s="2277" t="str">
        <f>VLOOKUP(A218,' Measure INDEX'!$B$9:$B$669,1,FALSE)</f>
        <v>300700_2019_12_</v>
      </c>
    </row>
    <row r="219" spans="1:2" x14ac:dyDescent="0.25">
      <c r="A219" s="2277" t="s">
        <v>3602</v>
      </c>
      <c r="B219" s="2277" t="str">
        <f>VLOOKUP(A219,' Measure INDEX'!$B$9:$B$669,1,FALSE)</f>
        <v>300701_2020_12_</v>
      </c>
    </row>
    <row r="220" spans="1:2" x14ac:dyDescent="0.25">
      <c r="A220" s="2277" t="s">
        <v>1001</v>
      </c>
      <c r="B220" s="2277" t="str">
        <f>VLOOKUP(A220,' Measure INDEX'!$B$9:$B$669,1,FALSE)</f>
        <v>300750_2019_12_</v>
      </c>
    </row>
    <row r="221" spans="1:2" x14ac:dyDescent="0.25">
      <c r="A221" s="2277" t="s">
        <v>3603</v>
      </c>
      <c r="B221" s="2277" t="str">
        <f>VLOOKUP(A221,' Measure INDEX'!$B$9:$B$669,1,FALSE)</f>
        <v>300760_2020_12_</v>
      </c>
    </row>
    <row r="222" spans="1:2" x14ac:dyDescent="0.25">
      <c r="A222" s="2277" t="s">
        <v>1003</v>
      </c>
      <c r="B222" s="2277" t="str">
        <f>VLOOKUP(A222,' Measure INDEX'!$B$9:$B$669,1,FALSE)</f>
        <v>300800_2019_12_</v>
      </c>
    </row>
    <row r="223" spans="1:2" x14ac:dyDescent="0.25">
      <c r="A223" s="2277" t="s">
        <v>3604</v>
      </c>
      <c r="B223" s="2277" t="str">
        <f>VLOOKUP(A223,' Measure INDEX'!$B$9:$B$669,1,FALSE)</f>
        <v>300801_2020_12_</v>
      </c>
    </row>
    <row r="224" spans="1:2" x14ac:dyDescent="0.25">
      <c r="A224" s="2277" t="s">
        <v>1037</v>
      </c>
      <c r="B224" s="2277" t="str">
        <f>VLOOKUP(A224,' Measure INDEX'!$B$9:$B$669,1,FALSE)</f>
        <v>300850_2019_12_</v>
      </c>
    </row>
    <row r="225" spans="1:2" x14ac:dyDescent="0.25">
      <c r="A225" s="2277" t="s">
        <v>3771</v>
      </c>
      <c r="B225" s="2277" t="str">
        <f>VLOOKUP(A225,' Measure INDEX'!$B$9:$B$669,1,FALSE)</f>
        <v>300851_2020_12_</v>
      </c>
    </row>
    <row r="226" spans="1:2" x14ac:dyDescent="0.25">
      <c r="A226" s="2277" t="s">
        <v>1039</v>
      </c>
      <c r="B226" s="2277" t="str">
        <f>VLOOKUP(A226,' Measure INDEX'!$B$9:$B$669,1,FALSE)</f>
        <v>300900_2019_12_</v>
      </c>
    </row>
    <row r="227" spans="1:2" x14ac:dyDescent="0.25">
      <c r="A227" s="2277" t="s">
        <v>1041</v>
      </c>
      <c r="B227" s="2277" t="str">
        <f>VLOOKUP(A227,' Measure INDEX'!$B$9:$B$669,1,FALSE)</f>
        <v>300950_2019_12_</v>
      </c>
    </row>
    <row r="228" spans="1:2" x14ac:dyDescent="0.25">
      <c r="A228" s="2277" t="s">
        <v>3772</v>
      </c>
      <c r="B228" s="2277" t="str">
        <f>VLOOKUP(A228,' Measure INDEX'!$B$9:$B$669,1,FALSE)</f>
        <v>300951_2020_12_</v>
      </c>
    </row>
    <row r="229" spans="1:2" x14ac:dyDescent="0.25">
      <c r="A229" s="2277" t="s">
        <v>1042</v>
      </c>
      <c r="B229" s="2277" t="str">
        <f>VLOOKUP(A229,' Measure INDEX'!$B$9:$B$669,1,FALSE)</f>
        <v>301000_2019_12_</v>
      </c>
    </row>
    <row r="230" spans="1:2" x14ac:dyDescent="0.25">
      <c r="A230" s="2277" t="s">
        <v>1044</v>
      </c>
      <c r="B230" s="2277" t="str">
        <f>VLOOKUP(A230,' Measure INDEX'!$B$9:$B$669,1,FALSE)</f>
        <v>301050_2019_12_</v>
      </c>
    </row>
    <row r="231" spans="1:2" x14ac:dyDescent="0.25">
      <c r="A231" s="2277" t="s">
        <v>3773</v>
      </c>
      <c r="B231" s="2277" t="str">
        <f>VLOOKUP(A231,' Measure INDEX'!$B$9:$B$669,1,FALSE)</f>
        <v>301051_2020_12_</v>
      </c>
    </row>
    <row r="232" spans="1:2" x14ac:dyDescent="0.25">
      <c r="A232" s="2277" t="s">
        <v>1045</v>
      </c>
      <c r="B232" s="2277" t="str">
        <f>VLOOKUP(A232,' Measure INDEX'!$B$9:$B$669,1,FALSE)</f>
        <v>301100_2019_12_</v>
      </c>
    </row>
    <row r="233" spans="1:2" x14ac:dyDescent="0.25">
      <c r="A233" s="2277" t="s">
        <v>3774</v>
      </c>
      <c r="B233" s="2277" t="str">
        <f>VLOOKUP(A233,' Measure INDEX'!$B$9:$B$669,1,FALSE)</f>
        <v>301150_2020_12_</v>
      </c>
    </row>
    <row r="234" spans="1:2" x14ac:dyDescent="0.25">
      <c r="A234" s="2277" t="s">
        <v>1059</v>
      </c>
      <c r="B234" s="2277" t="str">
        <f>VLOOKUP(A234,' Measure INDEX'!$B$9:$B$669,1,FALSE)</f>
        <v>350050_2019_12_</v>
      </c>
    </row>
    <row r="235" spans="1:2" x14ac:dyDescent="0.25">
      <c r="A235" s="2277" t="s">
        <v>1061</v>
      </c>
      <c r="B235" s="2277" t="str">
        <f>VLOOKUP(A235,' Measure INDEX'!$B$9:$B$669,1,FALSE)</f>
        <v>350100_2019_12_</v>
      </c>
    </row>
    <row r="236" spans="1:2" x14ac:dyDescent="0.25">
      <c r="A236" s="2277" t="s">
        <v>1063</v>
      </c>
      <c r="B236" s="2277" t="str">
        <f>VLOOKUP(A236,' Measure INDEX'!$B$9:$B$669,1,FALSE)</f>
        <v>350150_2019_12_</v>
      </c>
    </row>
    <row r="237" spans="1:2" x14ac:dyDescent="0.25">
      <c r="A237" s="2277" t="s">
        <v>1066</v>
      </c>
      <c r="B237" s="2277" t="str">
        <f>VLOOKUP(A237,' Measure INDEX'!$B$9:$B$669,1,FALSE)</f>
        <v>350175_2019_12_</v>
      </c>
    </row>
    <row r="238" spans="1:2" x14ac:dyDescent="0.25">
      <c r="A238" s="2277" t="s">
        <v>1069</v>
      </c>
      <c r="B238" s="2277" t="str">
        <f>VLOOKUP(A238,' Measure INDEX'!$B$9:$B$669,1,FALSE)</f>
        <v>350200_2019_12_</v>
      </c>
    </row>
    <row r="239" spans="1:2" x14ac:dyDescent="0.25">
      <c r="A239" s="2277" t="s">
        <v>1071</v>
      </c>
      <c r="B239" s="2277" t="str">
        <f>VLOOKUP(A239,' Measure INDEX'!$B$9:$B$669,1,FALSE)</f>
        <v>350250_2019_12_</v>
      </c>
    </row>
    <row r="240" spans="1:2" x14ac:dyDescent="0.25">
      <c r="A240" s="2277" t="s">
        <v>1073</v>
      </c>
      <c r="B240" s="2277" t="str">
        <f>VLOOKUP(A240,' Measure INDEX'!$B$9:$B$669,1,FALSE)</f>
        <v>350300_2019_12_</v>
      </c>
    </row>
    <row r="241" spans="1:2" x14ac:dyDescent="0.25">
      <c r="A241" s="2277" t="s">
        <v>1076</v>
      </c>
      <c r="B241" s="2277" t="str">
        <f>VLOOKUP(A241,' Measure INDEX'!$B$9:$B$669,1,FALSE)</f>
        <v>350350_2019_12_</v>
      </c>
    </row>
    <row r="242" spans="1:2" x14ac:dyDescent="0.25">
      <c r="A242" s="2277" t="s">
        <v>1122</v>
      </c>
      <c r="B242" s="2277" t="str">
        <f>VLOOKUP(A242,' Measure INDEX'!$B$9:$B$669,1,FALSE)</f>
        <v>350400_2019_12_</v>
      </c>
    </row>
    <row r="243" spans="1:2" x14ac:dyDescent="0.25">
      <c r="A243" s="2277" t="s">
        <v>1126</v>
      </c>
      <c r="B243" s="2277" t="str">
        <f>VLOOKUP(A243,' Measure INDEX'!$B$9:$B$669,1,FALSE)</f>
        <v>350450_2019_12_</v>
      </c>
    </row>
    <row r="244" spans="1:2" x14ac:dyDescent="0.25">
      <c r="A244" s="2277" t="s">
        <v>1128</v>
      </c>
      <c r="B244" s="2277" t="str">
        <f>VLOOKUP(A244,' Measure INDEX'!$B$9:$B$669,1,FALSE)</f>
        <v>350500_2019_12_</v>
      </c>
    </row>
    <row r="245" spans="1:2" x14ac:dyDescent="0.25">
      <c r="A245" s="2277" t="s">
        <v>1131</v>
      </c>
      <c r="B245" s="2277" t="str">
        <f>VLOOKUP(A245,' Measure INDEX'!$B$9:$B$669,1,FALSE)</f>
        <v>350501_2019_12_</v>
      </c>
    </row>
    <row r="246" spans="1:2" x14ac:dyDescent="0.25">
      <c r="A246" s="2277" t="s">
        <v>1132</v>
      </c>
      <c r="B246" s="2277" t="str">
        <f>VLOOKUP(A246,' Measure INDEX'!$B$9:$B$669,1,FALSE)</f>
        <v>350550_2019_12_</v>
      </c>
    </row>
    <row r="247" spans="1:2" x14ac:dyDescent="0.25">
      <c r="A247" s="2277" t="s">
        <v>1134</v>
      </c>
      <c r="B247" s="2277" t="str">
        <f>VLOOKUP(A247,' Measure INDEX'!$B$9:$B$669,1,FALSE)</f>
        <v>350551_2019_12_</v>
      </c>
    </row>
    <row r="248" spans="1:2" x14ac:dyDescent="0.25">
      <c r="A248" s="2277" t="s">
        <v>1135</v>
      </c>
      <c r="B248" s="2277" t="str">
        <f>VLOOKUP(A248,' Measure INDEX'!$B$9:$B$669,1,FALSE)</f>
        <v>350600_2019_12_</v>
      </c>
    </row>
    <row r="249" spans="1:2" x14ac:dyDescent="0.25">
      <c r="A249" s="2277" t="s">
        <v>1138</v>
      </c>
      <c r="B249" s="2277" t="str">
        <f>VLOOKUP(A249,' Measure INDEX'!$B$9:$B$669,1,FALSE)</f>
        <v>350650_2019_12_</v>
      </c>
    </row>
    <row r="250" spans="1:2" x14ac:dyDescent="0.25">
      <c r="A250" s="2277" t="s">
        <v>1140</v>
      </c>
      <c r="B250" s="2277" t="str">
        <f>VLOOKUP(A250,' Measure INDEX'!$B$9:$B$669,1,FALSE)</f>
        <v>350700_2019_12_</v>
      </c>
    </row>
    <row r="251" spans="1:2" x14ac:dyDescent="0.25">
      <c r="A251" s="2277" t="s">
        <v>1143</v>
      </c>
      <c r="B251" s="2277" t="str">
        <f>VLOOKUP(A251,' Measure INDEX'!$B$9:$B$669,1,FALSE)</f>
        <v>350701_2019_12_</v>
      </c>
    </row>
    <row r="252" spans="1:2" x14ac:dyDescent="0.25">
      <c r="A252" s="2277" t="s">
        <v>1144</v>
      </c>
      <c r="B252" s="2277" t="str">
        <f>VLOOKUP(A252,' Measure INDEX'!$B$9:$B$669,1,FALSE)</f>
        <v>350750_2019_12_</v>
      </c>
    </row>
    <row r="253" spans="1:2" x14ac:dyDescent="0.25">
      <c r="A253" s="2277" t="s">
        <v>1146</v>
      </c>
      <c r="B253" s="2277" t="str">
        <f>VLOOKUP(A253,' Measure INDEX'!$B$9:$B$669,1,FALSE)</f>
        <v>350751_2019_12_</v>
      </c>
    </row>
    <row r="254" spans="1:2" x14ac:dyDescent="0.25">
      <c r="A254" s="2277" t="s">
        <v>1147</v>
      </c>
      <c r="B254" s="2277" t="str">
        <f>VLOOKUP(A254,' Measure INDEX'!$B$9:$B$669,1,FALSE)</f>
        <v>350800_2019_12_</v>
      </c>
    </row>
    <row r="255" spans="1:2" x14ac:dyDescent="0.25">
      <c r="A255" s="2277" t="s">
        <v>1150</v>
      </c>
      <c r="B255" s="2277" t="str">
        <f>VLOOKUP(A255,' Measure INDEX'!$B$9:$B$669,1,FALSE)</f>
        <v>350850_2019_12_</v>
      </c>
    </row>
    <row r="256" spans="1:2" x14ac:dyDescent="0.25">
      <c r="A256" s="2277" t="s">
        <v>1152</v>
      </c>
      <c r="B256" s="2277" t="str">
        <f>VLOOKUP(A256,' Measure INDEX'!$B$9:$B$669,1,FALSE)</f>
        <v>350900_2019_12_</v>
      </c>
    </row>
    <row r="257" spans="1:2" x14ac:dyDescent="0.25">
      <c r="A257" s="2277" t="s">
        <v>1155</v>
      </c>
      <c r="B257" s="2277" t="str">
        <f>VLOOKUP(A257,' Measure INDEX'!$B$9:$B$669,1,FALSE)</f>
        <v>350901_2019_12_</v>
      </c>
    </row>
    <row r="258" spans="1:2" x14ac:dyDescent="0.25">
      <c r="A258" s="2277" t="s">
        <v>1156</v>
      </c>
      <c r="B258" s="2277" t="str">
        <f>VLOOKUP(A258,' Measure INDEX'!$B$9:$B$669,1,FALSE)</f>
        <v>350950_2019_12_</v>
      </c>
    </row>
    <row r="259" spans="1:2" x14ac:dyDescent="0.25">
      <c r="A259" s="2277" t="s">
        <v>1158</v>
      </c>
      <c r="B259" s="2277" t="str">
        <f>VLOOKUP(A259,' Measure INDEX'!$B$9:$B$669,1,FALSE)</f>
        <v>350951_2019_12_</v>
      </c>
    </row>
    <row r="260" spans="1:2" x14ac:dyDescent="0.25">
      <c r="A260" s="2277" t="s">
        <v>1159</v>
      </c>
      <c r="B260" s="2277" t="str">
        <f>VLOOKUP(A260,' Measure INDEX'!$B$9:$B$669,1,FALSE)</f>
        <v>351000_2019_12_</v>
      </c>
    </row>
    <row r="261" spans="1:2" x14ac:dyDescent="0.25">
      <c r="A261" s="2277" t="s">
        <v>1160</v>
      </c>
      <c r="B261" s="2277" t="str">
        <f>VLOOKUP(A261,' Measure INDEX'!$B$9:$B$669,1,FALSE)</f>
        <v>351050_2019_12_</v>
      </c>
    </row>
    <row r="262" spans="1:2" x14ac:dyDescent="0.25">
      <c r="A262" s="2277" t="s">
        <v>1161</v>
      </c>
      <c r="B262" s="2277" t="str">
        <f>VLOOKUP(A262,' Measure INDEX'!$B$9:$B$669,1,FALSE)</f>
        <v>351100_2019_12_</v>
      </c>
    </row>
    <row r="263" spans="1:2" x14ac:dyDescent="0.25">
      <c r="A263" s="2277" t="s">
        <v>1162</v>
      </c>
      <c r="B263" s="2277" t="str">
        <f>VLOOKUP(A263,' Measure INDEX'!$B$9:$B$669,1,FALSE)</f>
        <v>351101_2019_12_</v>
      </c>
    </row>
    <row r="264" spans="1:2" x14ac:dyDescent="0.25">
      <c r="A264" s="2277" t="s">
        <v>1163</v>
      </c>
      <c r="B264" s="2277" t="str">
        <f>VLOOKUP(A264,' Measure INDEX'!$B$9:$B$669,1,FALSE)</f>
        <v>351150_2019_12_</v>
      </c>
    </row>
    <row r="265" spans="1:2" x14ac:dyDescent="0.25">
      <c r="A265" s="2277" t="s">
        <v>1164</v>
      </c>
      <c r="B265" s="2277" t="str">
        <f>VLOOKUP(A265,' Measure INDEX'!$B$9:$B$669,1,FALSE)</f>
        <v>351151_2019_12_</v>
      </c>
    </row>
    <row r="266" spans="1:2" x14ac:dyDescent="0.25">
      <c r="A266" s="2277" t="s">
        <v>3395</v>
      </c>
      <c r="B266" s="2277" t="str">
        <f>VLOOKUP(A266,' Measure INDEX'!$B$9:$B$669,1,FALSE)</f>
        <v>351160_2020_02_</v>
      </c>
    </row>
    <row r="267" spans="1:2" x14ac:dyDescent="0.25">
      <c r="A267" s="2277" t="s">
        <v>3396</v>
      </c>
      <c r="B267" s="2277" t="str">
        <f>VLOOKUP(A267,' Measure INDEX'!$B$9:$B$669,1,FALSE)</f>
        <v>351161_2020_02_</v>
      </c>
    </row>
    <row r="268" spans="1:2" x14ac:dyDescent="0.25">
      <c r="A268" s="2277" t="s">
        <v>3397</v>
      </c>
      <c r="B268" s="2277" t="str">
        <f>VLOOKUP(A268,' Measure INDEX'!$B$9:$B$669,1,FALSE)</f>
        <v>351162_2020_02_</v>
      </c>
    </row>
    <row r="269" spans="1:2" x14ac:dyDescent="0.25">
      <c r="A269" s="2277" t="s">
        <v>3398</v>
      </c>
      <c r="B269" s="2277" t="str">
        <f>VLOOKUP(A269,' Measure INDEX'!$B$9:$B$669,1,FALSE)</f>
        <v>351163_2020_02_</v>
      </c>
    </row>
    <row r="270" spans="1:2" x14ac:dyDescent="0.25">
      <c r="A270" s="2277" t="s">
        <v>3399</v>
      </c>
      <c r="B270" s="2277" t="str">
        <f>VLOOKUP(A270,' Measure INDEX'!$B$9:$B$669,1,FALSE)</f>
        <v>351164_2020_02_</v>
      </c>
    </row>
    <row r="271" spans="1:2" x14ac:dyDescent="0.25">
      <c r="A271" s="2277" t="s">
        <v>3400</v>
      </c>
      <c r="B271" s="2277" t="str">
        <f>VLOOKUP(A271,' Measure INDEX'!$B$9:$B$669,1,FALSE)</f>
        <v>351165_2020_02_</v>
      </c>
    </row>
    <row r="272" spans="1:2" x14ac:dyDescent="0.25">
      <c r="A272" s="2277" t="s">
        <v>3401</v>
      </c>
      <c r="B272" s="2277" t="str">
        <f>VLOOKUP(A272,' Measure INDEX'!$B$9:$B$669,1,FALSE)</f>
        <v>351170_2020_02_</v>
      </c>
    </row>
    <row r="273" spans="1:2" x14ac:dyDescent="0.25">
      <c r="A273" s="2277" t="s">
        <v>3402</v>
      </c>
      <c r="B273" s="2277" t="str">
        <f>VLOOKUP(A273,' Measure INDEX'!$B$9:$B$669,1,FALSE)</f>
        <v>351171_2020_02_</v>
      </c>
    </row>
    <row r="274" spans="1:2" x14ac:dyDescent="0.25">
      <c r="A274" s="2277" t="s">
        <v>3403</v>
      </c>
      <c r="B274" s="2277" t="str">
        <f>VLOOKUP(A274,' Measure INDEX'!$B$9:$B$669,1,FALSE)</f>
        <v>351172_2020_02_</v>
      </c>
    </row>
    <row r="275" spans="1:2" x14ac:dyDescent="0.25">
      <c r="A275" s="2277" t="s">
        <v>3404</v>
      </c>
      <c r="B275" s="2277" t="str">
        <f>VLOOKUP(A275,' Measure INDEX'!$B$9:$B$669,1,FALSE)</f>
        <v>351173_2020_02_</v>
      </c>
    </row>
    <row r="276" spans="1:2" x14ac:dyDescent="0.25">
      <c r="A276" s="2277" t="s">
        <v>3405</v>
      </c>
      <c r="B276" s="2277" t="str">
        <f>VLOOKUP(A276,' Measure INDEX'!$B$9:$B$669,1,FALSE)</f>
        <v>351174_2020_02_</v>
      </c>
    </row>
    <row r="277" spans="1:2" x14ac:dyDescent="0.25">
      <c r="A277" s="2277" t="s">
        <v>3406</v>
      </c>
      <c r="B277" s="2277" t="str">
        <f>VLOOKUP(A277,' Measure INDEX'!$B$9:$B$669,1,FALSE)</f>
        <v>351175_2020_02_</v>
      </c>
    </row>
    <row r="278" spans="1:2" x14ac:dyDescent="0.25">
      <c r="A278" s="2277" t="s">
        <v>3407</v>
      </c>
      <c r="B278" s="2277" t="str">
        <f>VLOOKUP(A278,' Measure INDEX'!$B$9:$B$669,1,FALSE)</f>
        <v>351180_2020_02_</v>
      </c>
    </row>
    <row r="279" spans="1:2" x14ac:dyDescent="0.25">
      <c r="A279" s="2277" t="s">
        <v>3408</v>
      </c>
      <c r="B279" s="2277" t="str">
        <f>VLOOKUP(A279,' Measure INDEX'!$B$9:$B$669,1,FALSE)</f>
        <v>351181_2020_02_</v>
      </c>
    </row>
    <row r="280" spans="1:2" x14ac:dyDescent="0.25">
      <c r="A280" s="2277" t="s">
        <v>3409</v>
      </c>
      <c r="B280" s="2277" t="str">
        <f>VLOOKUP(A280,' Measure INDEX'!$B$9:$B$669,1,FALSE)</f>
        <v>351182_2020_02_</v>
      </c>
    </row>
    <row r="281" spans="1:2" x14ac:dyDescent="0.25">
      <c r="A281" s="2277" t="s">
        <v>3410</v>
      </c>
      <c r="B281" s="2277" t="str">
        <f>VLOOKUP(A281,' Measure INDEX'!$B$9:$B$669,1,FALSE)</f>
        <v>351183_2020_02_</v>
      </c>
    </row>
    <row r="282" spans="1:2" x14ac:dyDescent="0.25">
      <c r="A282" s="2277" t="s">
        <v>3411</v>
      </c>
      <c r="B282" s="2277" t="str">
        <f>VLOOKUP(A282,' Measure INDEX'!$B$9:$B$669,1,FALSE)</f>
        <v>351184_2020_02_</v>
      </c>
    </row>
    <row r="283" spans="1:2" x14ac:dyDescent="0.25">
      <c r="A283" s="2277" t="s">
        <v>3412</v>
      </c>
      <c r="B283" s="2277" t="str">
        <f>VLOOKUP(A283,' Measure INDEX'!$B$9:$B$669,1,FALSE)</f>
        <v>351185_2020_02_</v>
      </c>
    </row>
    <row r="284" spans="1:2" x14ac:dyDescent="0.25">
      <c r="A284" s="2277" t="s">
        <v>3413</v>
      </c>
      <c r="B284" s="2277" t="str">
        <f>VLOOKUP(A284,' Measure INDEX'!$B$9:$B$669,1,FALSE)</f>
        <v>351190_2020_02_</v>
      </c>
    </row>
    <row r="285" spans="1:2" x14ac:dyDescent="0.25">
      <c r="A285" s="2277" t="s">
        <v>3414</v>
      </c>
      <c r="B285" s="2277" t="str">
        <f>VLOOKUP(A285,' Measure INDEX'!$B$9:$B$669,1,FALSE)</f>
        <v>351191_2020_02_</v>
      </c>
    </row>
    <row r="286" spans="1:2" x14ac:dyDescent="0.25">
      <c r="A286" s="2277" t="s">
        <v>3415</v>
      </c>
      <c r="B286" s="2277" t="str">
        <f>VLOOKUP(A286,' Measure INDEX'!$B$9:$B$669,1,FALSE)</f>
        <v>351192_2020_02_</v>
      </c>
    </row>
    <row r="287" spans="1:2" x14ac:dyDescent="0.25">
      <c r="A287" s="2277" t="s">
        <v>3416</v>
      </c>
      <c r="B287" s="2277" t="str">
        <f>VLOOKUP(A287,' Measure INDEX'!$B$9:$B$669,1,FALSE)</f>
        <v>351193_2020_02_</v>
      </c>
    </row>
    <row r="288" spans="1:2" x14ac:dyDescent="0.25">
      <c r="A288" s="2277" t="s">
        <v>3417</v>
      </c>
      <c r="B288" s="2277" t="str">
        <f>VLOOKUP(A288,' Measure INDEX'!$B$9:$B$669,1,FALSE)</f>
        <v>351194_2020_02_</v>
      </c>
    </row>
    <row r="289" spans="1:2" x14ac:dyDescent="0.25">
      <c r="A289" s="2277" t="s">
        <v>3418</v>
      </c>
      <c r="B289" s="2277" t="str">
        <f>VLOOKUP(A289,' Measure INDEX'!$B$9:$B$669,1,FALSE)</f>
        <v>351195_2020_02_</v>
      </c>
    </row>
    <row r="290" spans="1:2" x14ac:dyDescent="0.25">
      <c r="A290" s="2277" t="s">
        <v>1205</v>
      </c>
      <c r="B290" s="2277" t="str">
        <f>VLOOKUP(A290,' Measure INDEX'!$B$9:$B$669,1,FALSE)</f>
        <v>351200_2019_12_</v>
      </c>
    </row>
    <row r="291" spans="1:2" x14ac:dyDescent="0.25">
      <c r="A291" s="2277" t="s">
        <v>1208</v>
      </c>
      <c r="B291" s="2277" t="str">
        <f>VLOOKUP(A291,' Measure INDEX'!$B$9:$B$669,1,FALSE)</f>
        <v>351250_2019_12_</v>
      </c>
    </row>
    <row r="292" spans="1:2" x14ac:dyDescent="0.25">
      <c r="A292" s="2277" t="s">
        <v>1210</v>
      </c>
      <c r="B292" s="2277" t="str">
        <f>VLOOKUP(A292,' Measure INDEX'!$B$9:$B$669,1,FALSE)</f>
        <v>351300_2019_12_</v>
      </c>
    </row>
    <row r="293" spans="1:2" x14ac:dyDescent="0.25">
      <c r="A293" s="2277" t="s">
        <v>1212</v>
      </c>
      <c r="B293" s="2277" t="str">
        <f>VLOOKUP(A293,' Measure INDEX'!$B$9:$B$669,1,FALSE)</f>
        <v>351350_2019_12_</v>
      </c>
    </row>
    <row r="294" spans="1:2" x14ac:dyDescent="0.25">
      <c r="A294" s="2277" t="s">
        <v>1214</v>
      </c>
      <c r="B294" s="2277" t="str">
        <f>VLOOKUP(A294,' Measure INDEX'!$B$9:$B$669,1,FALSE)</f>
        <v>351400_2019_12_</v>
      </c>
    </row>
    <row r="295" spans="1:2" x14ac:dyDescent="0.25">
      <c r="A295" s="2277" t="s">
        <v>1218</v>
      </c>
      <c r="B295" s="2277" t="str">
        <f>VLOOKUP(A295,' Measure INDEX'!$B$9:$B$669,1,FALSE)</f>
        <v>351450_2019_12_</v>
      </c>
    </row>
    <row r="296" spans="1:2" x14ac:dyDescent="0.25">
      <c r="A296" s="2277" t="s">
        <v>1220</v>
      </c>
      <c r="B296" s="2277" t="str">
        <f>VLOOKUP(A296,' Measure INDEX'!$B$9:$B$669,1,FALSE)</f>
        <v>351500_2019_12_</v>
      </c>
    </row>
    <row r="297" spans="1:2" x14ac:dyDescent="0.25">
      <c r="A297" s="2277" t="s">
        <v>1223</v>
      </c>
      <c r="B297" s="2277" t="str">
        <f>VLOOKUP(A297,' Measure INDEX'!$B$9:$B$669,1,FALSE)</f>
        <v>351550_2019_12_</v>
      </c>
    </row>
    <row r="298" spans="1:2" x14ac:dyDescent="0.25">
      <c r="A298" s="2277" t="s">
        <v>1226</v>
      </c>
      <c r="B298" s="2277" t="str">
        <f>VLOOKUP(A298,' Measure INDEX'!$B$9:$B$669,1,FALSE)</f>
        <v>351551_2019_12_</v>
      </c>
    </row>
    <row r="299" spans="1:2" x14ac:dyDescent="0.25">
      <c r="A299" s="2277" t="s">
        <v>1227</v>
      </c>
      <c r="B299" s="2277" t="str">
        <f>VLOOKUP(A299,' Measure INDEX'!$B$9:$B$669,1,FALSE)</f>
        <v>351600_2019_12_</v>
      </c>
    </row>
    <row r="300" spans="1:2" x14ac:dyDescent="0.25">
      <c r="A300" s="2277" t="s">
        <v>1229</v>
      </c>
      <c r="B300" s="2277" t="str">
        <f>VLOOKUP(A300,' Measure INDEX'!$B$9:$B$669,1,FALSE)</f>
        <v>351601_2019_12_</v>
      </c>
    </row>
    <row r="301" spans="1:2" x14ac:dyDescent="0.25">
      <c r="A301" s="2277" t="s">
        <v>1230</v>
      </c>
      <c r="B301" s="2277" t="str">
        <f>VLOOKUP(A301,' Measure INDEX'!$B$9:$B$669,1,FALSE)</f>
        <v>351650_2019_12_</v>
      </c>
    </row>
    <row r="302" spans="1:2" x14ac:dyDescent="0.25">
      <c r="A302" s="2277" t="s">
        <v>1232</v>
      </c>
      <c r="B302" s="2277" t="str">
        <f>VLOOKUP(A302,' Measure INDEX'!$B$9:$B$669,1,FALSE)</f>
        <v>351651_2019_12_</v>
      </c>
    </row>
    <row r="303" spans="1:2" x14ac:dyDescent="0.25">
      <c r="A303" s="2277" t="s">
        <v>1233</v>
      </c>
      <c r="B303" s="2277" t="str">
        <f>VLOOKUP(A303,' Measure INDEX'!$B$9:$B$669,1,FALSE)</f>
        <v>351700_2019_12_</v>
      </c>
    </row>
    <row r="304" spans="1:2" x14ac:dyDescent="0.25">
      <c r="A304" s="2277" t="s">
        <v>1235</v>
      </c>
      <c r="B304" s="2277" t="str">
        <f>VLOOKUP(A304,' Measure INDEX'!$B$9:$B$669,1,FALSE)</f>
        <v>351701_2019_12_</v>
      </c>
    </row>
    <row r="305" spans="1:2" x14ac:dyDescent="0.25">
      <c r="A305" s="2277" t="s">
        <v>1236</v>
      </c>
      <c r="B305" s="2277" t="str">
        <f>VLOOKUP(A305,' Measure INDEX'!$B$9:$B$669,1,FALSE)</f>
        <v>351750_2019_12_</v>
      </c>
    </row>
    <row r="306" spans="1:2" x14ac:dyDescent="0.25">
      <c r="A306" s="2277" t="s">
        <v>1239</v>
      </c>
      <c r="B306" s="2277" t="str">
        <f>VLOOKUP(A306,' Measure INDEX'!$B$9:$B$669,1,FALSE)</f>
        <v>351751_2019_12_</v>
      </c>
    </row>
    <row r="307" spans="1:2" x14ac:dyDescent="0.25">
      <c r="A307" s="2277" t="s">
        <v>1240</v>
      </c>
      <c r="B307" s="2277" t="str">
        <f>VLOOKUP(A307,' Measure INDEX'!$B$9:$B$669,1,FALSE)</f>
        <v>351800_2019_12_</v>
      </c>
    </row>
    <row r="308" spans="1:2" x14ac:dyDescent="0.25">
      <c r="A308" s="2277" t="s">
        <v>1242</v>
      </c>
      <c r="B308" s="2277" t="str">
        <f>VLOOKUP(A308,' Measure INDEX'!$B$9:$B$669,1,FALSE)</f>
        <v>351801_2019_12_</v>
      </c>
    </row>
    <row r="309" spans="1:2" x14ac:dyDescent="0.25">
      <c r="A309" s="2277" t="s">
        <v>1243</v>
      </c>
      <c r="B309" s="2277" t="str">
        <f>VLOOKUP(A309,' Measure INDEX'!$B$9:$B$669,1,FALSE)</f>
        <v>351850_2019_12_</v>
      </c>
    </row>
    <row r="310" spans="1:2" x14ac:dyDescent="0.25">
      <c r="A310" s="2277" t="s">
        <v>1246</v>
      </c>
      <c r="B310" s="2277" t="str">
        <f>VLOOKUP(A310,' Measure INDEX'!$B$9:$B$669,1,FALSE)</f>
        <v>351851_2019_12_</v>
      </c>
    </row>
    <row r="311" spans="1:2" x14ac:dyDescent="0.25">
      <c r="A311" s="2277" t="s">
        <v>1271</v>
      </c>
      <c r="B311" s="2277" t="str">
        <f>VLOOKUP(A311,' Measure INDEX'!$B$9:$B$669,1,FALSE)</f>
        <v>351900_2019_12_</v>
      </c>
    </row>
    <row r="312" spans="1:2" x14ac:dyDescent="0.25">
      <c r="A312" s="2277" t="s">
        <v>1276</v>
      </c>
      <c r="B312" s="2277" t="str">
        <f>VLOOKUP(A312,' Measure INDEX'!$B$9:$B$669,1,FALSE)</f>
        <v>351901_2019_12_</v>
      </c>
    </row>
    <row r="313" spans="1:2" x14ac:dyDescent="0.25">
      <c r="A313" s="2277" t="s">
        <v>1277</v>
      </c>
      <c r="B313" s="2277" t="str">
        <f>VLOOKUP(A313,' Measure INDEX'!$B$9:$B$669,1,FALSE)</f>
        <v>351950_2019_12_</v>
      </c>
    </row>
    <row r="314" spans="1:2" x14ac:dyDescent="0.25">
      <c r="A314" s="2277" t="s">
        <v>1279</v>
      </c>
      <c r="B314" s="2277" t="str">
        <f>VLOOKUP(A314,' Measure INDEX'!$B$9:$B$669,1,FALSE)</f>
        <v>351951_2019_12_</v>
      </c>
    </row>
    <row r="315" spans="1:2" x14ac:dyDescent="0.25">
      <c r="A315" s="2277" t="s">
        <v>1280</v>
      </c>
      <c r="B315" s="2277" t="str">
        <f>VLOOKUP(A315,' Measure INDEX'!$B$9:$B$669,1,FALSE)</f>
        <v>352000_2019_12_</v>
      </c>
    </row>
    <row r="316" spans="1:2" x14ac:dyDescent="0.25">
      <c r="A316" s="2277" t="s">
        <v>1282</v>
      </c>
      <c r="B316" s="2277" t="str">
        <f>VLOOKUP(A316,' Measure INDEX'!$B$9:$B$669,1,FALSE)</f>
        <v>352001_2019_12_</v>
      </c>
    </row>
    <row r="317" spans="1:2" x14ac:dyDescent="0.25">
      <c r="A317" s="2277" t="s">
        <v>1307</v>
      </c>
      <c r="B317" s="2277" t="str">
        <f>VLOOKUP(A317,' Measure INDEX'!$B$9:$B$669,1,FALSE)</f>
        <v>352050_2019_12_</v>
      </c>
    </row>
    <row r="318" spans="1:2" x14ac:dyDescent="0.25">
      <c r="A318" s="2277" t="s">
        <v>1310</v>
      </c>
      <c r="B318" s="2277" t="str">
        <f>VLOOKUP(A318,' Measure INDEX'!$B$9:$B$669,1,FALSE)</f>
        <v>352100_2019_12_</v>
      </c>
    </row>
    <row r="319" spans="1:2" x14ac:dyDescent="0.25">
      <c r="A319" s="2277" t="s">
        <v>1316</v>
      </c>
      <c r="B319" s="2277" t="str">
        <f>VLOOKUP(A319,' Measure INDEX'!$B$9:$B$669,1,FALSE)</f>
        <v>352200_2019_12_</v>
      </c>
    </row>
    <row r="320" spans="1:2" x14ac:dyDescent="0.25">
      <c r="A320" s="2277" t="s">
        <v>1320</v>
      </c>
      <c r="B320" s="2277" t="str">
        <f>VLOOKUP(A320,' Measure INDEX'!$B$9:$B$669,1,FALSE)</f>
        <v>352250_2019_12_</v>
      </c>
    </row>
    <row r="321" spans="1:2" x14ac:dyDescent="0.25">
      <c r="A321" s="2277" t="s">
        <v>1329</v>
      </c>
      <c r="B321" s="2277" t="str">
        <f>VLOOKUP(A321,' Measure INDEX'!$B$9:$B$669,1,FALSE)</f>
        <v>352300_2019_12_</v>
      </c>
    </row>
    <row r="322" spans="1:2" x14ac:dyDescent="0.25">
      <c r="A322" s="2277" t="s">
        <v>1333</v>
      </c>
      <c r="B322" s="2277" t="str">
        <f>VLOOKUP(A322,' Measure INDEX'!$B$9:$B$669,1,FALSE)</f>
        <v>352350_2019_12_</v>
      </c>
    </row>
    <row r="323" spans="1:2" x14ac:dyDescent="0.25">
      <c r="A323" s="2277" t="s">
        <v>1336</v>
      </c>
      <c r="B323" s="2277" t="str">
        <f>VLOOKUP(A323,' Measure INDEX'!$B$9:$B$669,1,FALSE)</f>
        <v>352400_2019_12_</v>
      </c>
    </row>
    <row r="324" spans="1:2" x14ac:dyDescent="0.25">
      <c r="A324" s="2277" t="s">
        <v>1338</v>
      </c>
      <c r="B324" s="2277" t="str">
        <f>VLOOKUP(A324,' Measure INDEX'!$B$9:$B$669,1,FALSE)</f>
        <v>352450_2019_12_</v>
      </c>
    </row>
    <row r="325" spans="1:2" x14ac:dyDescent="0.25">
      <c r="A325" s="2277" t="s">
        <v>1340</v>
      </c>
      <c r="B325" s="2277" t="str">
        <f>VLOOKUP(A325,' Measure INDEX'!$B$9:$B$669,1,FALSE)</f>
        <v>352500_2019_12_</v>
      </c>
    </row>
    <row r="326" spans="1:2" x14ac:dyDescent="0.25">
      <c r="A326" s="2277" t="s">
        <v>1343</v>
      </c>
      <c r="B326" s="2277" t="str">
        <f>VLOOKUP(A326,' Measure INDEX'!$B$9:$B$669,1,FALSE)</f>
        <v>352550_2019_12_</v>
      </c>
    </row>
    <row r="327" spans="1:2" x14ac:dyDescent="0.25">
      <c r="A327" s="2277" t="s">
        <v>1346</v>
      </c>
      <c r="B327" s="2277" t="str">
        <f>VLOOKUP(A327,' Measure INDEX'!$B$9:$B$669,1,FALSE)</f>
        <v>352600_2019_12_</v>
      </c>
    </row>
    <row r="328" spans="1:2" x14ac:dyDescent="0.25">
      <c r="A328" s="2277" t="s">
        <v>1348</v>
      </c>
      <c r="B328" s="2277" t="str">
        <f>VLOOKUP(A328,' Measure INDEX'!$B$9:$B$669,1,FALSE)</f>
        <v>352650_2019_12_</v>
      </c>
    </row>
    <row r="329" spans="1:2" x14ac:dyDescent="0.25">
      <c r="A329" s="2277" t="s">
        <v>1350</v>
      </c>
      <c r="B329" s="2277" t="str">
        <f>VLOOKUP(A329,' Measure INDEX'!$B$9:$B$669,1,FALSE)</f>
        <v>352700_2019_12_</v>
      </c>
    </row>
    <row r="330" spans="1:2" x14ac:dyDescent="0.25">
      <c r="A330" s="2277" t="s">
        <v>1353</v>
      </c>
      <c r="B330" s="2277" t="str">
        <f>VLOOKUP(A330,' Measure INDEX'!$B$9:$B$669,1,FALSE)</f>
        <v>352701_2019_12_</v>
      </c>
    </row>
    <row r="331" spans="1:2" x14ac:dyDescent="0.25">
      <c r="A331" s="2277" t="s">
        <v>1354</v>
      </c>
      <c r="B331" s="2277" t="str">
        <f>VLOOKUP(A331,' Measure INDEX'!$B$9:$B$669,1,FALSE)</f>
        <v>352750_2019_12_</v>
      </c>
    </row>
    <row r="332" spans="1:2" x14ac:dyDescent="0.25">
      <c r="A332" s="2277" t="s">
        <v>1357</v>
      </c>
      <c r="B332" s="2277" t="str">
        <f>VLOOKUP(A332,' Measure INDEX'!$B$9:$B$669,1,FALSE)</f>
        <v>352751_2019_12_</v>
      </c>
    </row>
    <row r="333" spans="1:2" x14ac:dyDescent="0.25">
      <c r="A333" s="2277" t="s">
        <v>1358</v>
      </c>
      <c r="B333" s="2277" t="str">
        <f>VLOOKUP(A333,' Measure INDEX'!$B$9:$B$669,1,FALSE)</f>
        <v>352800_2019_12_</v>
      </c>
    </row>
    <row r="334" spans="1:2" x14ac:dyDescent="0.25">
      <c r="A334" s="2277" t="s">
        <v>1360</v>
      </c>
      <c r="B334" s="2277" t="str">
        <f>VLOOKUP(A334,' Measure INDEX'!$B$9:$B$669,1,FALSE)</f>
        <v>352801_2019_12_</v>
      </c>
    </row>
    <row r="335" spans="1:2" x14ac:dyDescent="0.25">
      <c r="A335" s="2277" t="s">
        <v>1361</v>
      </c>
      <c r="B335" s="2277" t="str">
        <f>VLOOKUP(A335,' Measure INDEX'!$B$9:$B$669,1,FALSE)</f>
        <v>352850_2019_12_</v>
      </c>
    </row>
    <row r="336" spans="1:2" x14ac:dyDescent="0.25">
      <c r="A336" s="2277" t="s">
        <v>1364</v>
      </c>
      <c r="B336" s="2277" t="str">
        <f>VLOOKUP(A336,' Measure INDEX'!$B$9:$B$669,1,FALSE)</f>
        <v>352851_2019_12_</v>
      </c>
    </row>
    <row r="337" spans="1:2" x14ac:dyDescent="0.25">
      <c r="A337" s="2277" t="s">
        <v>1365</v>
      </c>
      <c r="B337" s="2277" t="str">
        <f>VLOOKUP(A337,' Measure INDEX'!$B$9:$B$669,1,FALSE)</f>
        <v>352900_2019_12_</v>
      </c>
    </row>
    <row r="338" spans="1:2" x14ac:dyDescent="0.25">
      <c r="A338" s="2277" t="s">
        <v>1367</v>
      </c>
      <c r="B338" s="2277" t="str">
        <f>VLOOKUP(A338,' Measure INDEX'!$B$9:$B$669,1,FALSE)</f>
        <v>352901_2019_12_</v>
      </c>
    </row>
    <row r="339" spans="1:2" x14ac:dyDescent="0.25">
      <c r="A339" s="2277" t="s">
        <v>1368</v>
      </c>
      <c r="B339" s="2277" t="str">
        <f>VLOOKUP(A339,' Measure INDEX'!$B$9:$B$669,1,FALSE)</f>
        <v>352950_2019_12_</v>
      </c>
    </row>
    <row r="340" spans="1:2" x14ac:dyDescent="0.25">
      <c r="A340" s="2277" t="s">
        <v>1370</v>
      </c>
      <c r="B340" s="2277" t="str">
        <f>VLOOKUP(A340,' Measure INDEX'!$B$9:$B$669,1,FALSE)</f>
        <v>352951_2019_12_</v>
      </c>
    </row>
    <row r="341" spans="1:2" x14ac:dyDescent="0.25">
      <c r="A341" s="2277" t="s">
        <v>1371</v>
      </c>
      <c r="B341" s="2277" t="str">
        <f>VLOOKUP(A341,' Measure INDEX'!$B$9:$B$669,1,FALSE)</f>
        <v>353000_2019_12_</v>
      </c>
    </row>
    <row r="342" spans="1:2" x14ac:dyDescent="0.25">
      <c r="A342" s="2277" t="s">
        <v>1374</v>
      </c>
      <c r="B342" s="2277" t="str">
        <f>VLOOKUP(A342,' Measure INDEX'!$B$9:$B$669,1,FALSE)</f>
        <v>353001_2019_12_</v>
      </c>
    </row>
    <row r="343" spans="1:2" x14ac:dyDescent="0.25">
      <c r="A343" s="2277" t="s">
        <v>1375</v>
      </c>
      <c r="B343" s="2277" t="str">
        <f>VLOOKUP(A343,' Measure INDEX'!$B$9:$B$669,1,FALSE)</f>
        <v>353050_2019_12_</v>
      </c>
    </row>
    <row r="344" spans="1:2" x14ac:dyDescent="0.25">
      <c r="A344" s="2277" t="s">
        <v>1376</v>
      </c>
      <c r="B344" s="2277" t="str">
        <f>VLOOKUP(A344,' Measure INDEX'!$B$9:$B$669,1,FALSE)</f>
        <v>353051_2019_12_</v>
      </c>
    </row>
    <row r="345" spans="1:2" x14ac:dyDescent="0.25">
      <c r="A345" s="2277" t="s">
        <v>1377</v>
      </c>
      <c r="B345" s="2277" t="str">
        <f>VLOOKUP(A345,' Measure INDEX'!$B$9:$B$669,1,FALSE)</f>
        <v>353100_2019_12_</v>
      </c>
    </row>
    <row r="346" spans="1:2" x14ac:dyDescent="0.25">
      <c r="A346" s="2277" t="s">
        <v>1379</v>
      </c>
      <c r="B346" s="2277" t="str">
        <f>VLOOKUP(A346,' Measure INDEX'!$B$9:$B$669,1,FALSE)</f>
        <v>353150_2019_12_</v>
      </c>
    </row>
    <row r="347" spans="1:2" x14ac:dyDescent="0.25">
      <c r="A347" s="2277" t="s">
        <v>1381</v>
      </c>
      <c r="B347" s="2277" t="str">
        <f>VLOOKUP(A347,' Measure INDEX'!$B$9:$B$669,1,FALSE)</f>
        <v>353151_2019_12_</v>
      </c>
    </row>
    <row r="348" spans="1:2" x14ac:dyDescent="0.25">
      <c r="A348" s="2277" t="s">
        <v>1382</v>
      </c>
      <c r="B348" s="2277" t="str">
        <f>VLOOKUP(A348,' Measure INDEX'!$B$9:$B$669,1,FALSE)</f>
        <v>353200_2019_12_</v>
      </c>
    </row>
    <row r="349" spans="1:2" x14ac:dyDescent="0.25">
      <c r="A349" s="2277" t="s">
        <v>1384</v>
      </c>
      <c r="B349" s="2277" t="str">
        <f>VLOOKUP(A349,' Measure INDEX'!$B$9:$B$669,1,FALSE)</f>
        <v>353250_2019_12_</v>
      </c>
    </row>
    <row r="350" spans="1:2" x14ac:dyDescent="0.25">
      <c r="A350" s="2277" t="s">
        <v>1386</v>
      </c>
      <c r="B350" s="2277" t="str">
        <f>VLOOKUP(A350,' Measure INDEX'!$B$9:$B$669,1,FALSE)</f>
        <v>353251_2019_12_</v>
      </c>
    </row>
    <row r="351" spans="1:2" x14ac:dyDescent="0.25">
      <c r="A351" s="2277" t="s">
        <v>1387</v>
      </c>
      <c r="B351" s="2277" t="str">
        <f>VLOOKUP(A351,' Measure INDEX'!$B$9:$B$669,1,FALSE)</f>
        <v>353300_2019_12_</v>
      </c>
    </row>
    <row r="352" spans="1:2" x14ac:dyDescent="0.25">
      <c r="A352" s="2277" t="s">
        <v>1389</v>
      </c>
      <c r="B352" s="2277" t="str">
        <f>VLOOKUP(A352,' Measure INDEX'!$B$9:$B$669,1,FALSE)</f>
        <v>353350_2019_12_</v>
      </c>
    </row>
    <row r="353" spans="1:2" x14ac:dyDescent="0.25">
      <c r="A353" s="2277" t="s">
        <v>1391</v>
      </c>
      <c r="B353" s="2277" t="str">
        <f>VLOOKUP(A353,' Measure INDEX'!$B$9:$B$669,1,FALSE)</f>
        <v>353351_2019_12_</v>
      </c>
    </row>
    <row r="354" spans="1:2" x14ac:dyDescent="0.25">
      <c r="A354" s="2277" t="s">
        <v>1392</v>
      </c>
      <c r="B354" s="2277" t="str">
        <f>VLOOKUP(A354,' Measure INDEX'!$B$9:$B$669,1,FALSE)</f>
        <v>353400_2019_12_</v>
      </c>
    </row>
    <row r="355" spans="1:2" x14ac:dyDescent="0.25">
      <c r="A355" s="2277" t="s">
        <v>1395</v>
      </c>
      <c r="B355" s="2277" t="str">
        <f>VLOOKUP(A355,' Measure INDEX'!$B$9:$B$669,1,FALSE)</f>
        <v>353450_2019_12_</v>
      </c>
    </row>
    <row r="356" spans="1:2" x14ac:dyDescent="0.25">
      <c r="A356" s="2277" t="s">
        <v>1397</v>
      </c>
      <c r="B356" s="2277" t="str">
        <f>VLOOKUP(A356,' Measure INDEX'!$B$9:$B$669,1,FALSE)</f>
        <v>353500_2019_12_</v>
      </c>
    </row>
    <row r="357" spans="1:2" x14ac:dyDescent="0.25">
      <c r="A357" s="2277" t="s">
        <v>1399</v>
      </c>
      <c r="B357" s="2277" t="str">
        <f>VLOOKUP(A357,' Measure INDEX'!$B$9:$B$669,1,FALSE)</f>
        <v>353501_2019_12_</v>
      </c>
    </row>
    <row r="358" spans="1:2" x14ac:dyDescent="0.25">
      <c r="A358" s="2277" t="s">
        <v>1400</v>
      </c>
      <c r="B358" s="2277" t="str">
        <f>VLOOKUP(A358,' Measure INDEX'!$B$9:$B$669,1,FALSE)</f>
        <v>353550_2019_12_</v>
      </c>
    </row>
    <row r="359" spans="1:2" x14ac:dyDescent="0.25">
      <c r="A359" s="2277" t="s">
        <v>1403</v>
      </c>
      <c r="B359" s="2277" t="str">
        <f>VLOOKUP(A359,' Measure INDEX'!$B$9:$B$669,1,FALSE)</f>
        <v>353600_2019_12_</v>
      </c>
    </row>
    <row r="360" spans="1:2" x14ac:dyDescent="0.25">
      <c r="A360" s="2277" t="s">
        <v>1406</v>
      </c>
      <c r="B360" s="2277" t="str">
        <f>VLOOKUP(A360,' Measure INDEX'!$B$9:$B$669,1,FALSE)</f>
        <v>353601_2019_12_</v>
      </c>
    </row>
    <row r="361" spans="1:2" x14ac:dyDescent="0.25">
      <c r="A361" s="2277" t="s">
        <v>1407</v>
      </c>
      <c r="B361" s="2277" t="str">
        <f>VLOOKUP(A361,' Measure INDEX'!$B$9:$B$669,1,FALSE)</f>
        <v>353650_2019_12_</v>
      </c>
    </row>
    <row r="362" spans="1:2" x14ac:dyDescent="0.25">
      <c r="A362" s="2277" t="s">
        <v>1409</v>
      </c>
      <c r="B362" s="2277" t="str">
        <f>VLOOKUP(A362,' Measure INDEX'!$B$9:$B$669,1,FALSE)</f>
        <v>353700_2019_12_</v>
      </c>
    </row>
    <row r="363" spans="1:2" x14ac:dyDescent="0.25">
      <c r="A363" s="2277" t="s">
        <v>1410</v>
      </c>
      <c r="B363" s="2277" t="str">
        <f>VLOOKUP(A363,' Measure INDEX'!$B$9:$B$669,1,FALSE)</f>
        <v>353701_2019_12_</v>
      </c>
    </row>
    <row r="364" spans="1:2" x14ac:dyDescent="0.25">
      <c r="A364" s="2277" t="s">
        <v>1411</v>
      </c>
      <c r="B364" s="2277" t="str">
        <f>VLOOKUP(A364,' Measure INDEX'!$B$9:$B$669,1,FALSE)</f>
        <v>353750_2019_12_</v>
      </c>
    </row>
    <row r="365" spans="1:2" x14ac:dyDescent="0.25">
      <c r="A365" s="2277" t="s">
        <v>1414</v>
      </c>
      <c r="B365" s="2277" t="str">
        <f>VLOOKUP(A365,' Measure INDEX'!$B$9:$B$669,1,FALSE)</f>
        <v>353800_2019_12_</v>
      </c>
    </row>
    <row r="366" spans="1:2" x14ac:dyDescent="0.25">
      <c r="A366" s="2277" t="s">
        <v>1416</v>
      </c>
      <c r="B366" s="2277" t="str">
        <f>VLOOKUP(A366,' Measure INDEX'!$B$9:$B$669,1,FALSE)</f>
        <v>353850_2019_12_</v>
      </c>
    </row>
    <row r="367" spans="1:2" x14ac:dyDescent="0.25">
      <c r="A367" s="2277" t="s">
        <v>1419</v>
      </c>
      <c r="B367" s="2277" t="str">
        <f>VLOOKUP(A367,' Measure INDEX'!$B$9:$B$669,1,FALSE)</f>
        <v>353950_2019_12_</v>
      </c>
    </row>
    <row r="368" spans="1:2" x14ac:dyDescent="0.25">
      <c r="A368" s="2277" t="s">
        <v>1421</v>
      </c>
      <c r="B368" s="2277" t="str">
        <f>VLOOKUP(A368,' Measure INDEX'!$B$9:$B$669,1,FALSE)</f>
        <v>354000_2019_12_</v>
      </c>
    </row>
    <row r="369" spans="1:2" x14ac:dyDescent="0.25">
      <c r="A369" s="2277" t="s">
        <v>1424</v>
      </c>
      <c r="B369" s="2277" t="str">
        <f>VLOOKUP(A369,' Measure INDEX'!$B$9:$B$669,1,FALSE)</f>
        <v>354050_2019_12_</v>
      </c>
    </row>
    <row r="370" spans="1:2" x14ac:dyDescent="0.25">
      <c r="A370" s="2277" t="s">
        <v>1426</v>
      </c>
      <c r="B370" s="2277" t="str">
        <f>VLOOKUP(A370,' Measure INDEX'!$B$9:$B$669,1,FALSE)</f>
        <v>354100_2019_12_</v>
      </c>
    </row>
    <row r="371" spans="1:2" x14ac:dyDescent="0.25">
      <c r="A371" s="2277" t="s">
        <v>1429</v>
      </c>
      <c r="B371" s="2277" t="str">
        <f>VLOOKUP(A371,' Measure INDEX'!$B$9:$B$669,1,FALSE)</f>
        <v>354150_2019_12_</v>
      </c>
    </row>
    <row r="372" spans="1:2" x14ac:dyDescent="0.25">
      <c r="A372" s="2277" t="s">
        <v>1432</v>
      </c>
      <c r="B372" s="2277" t="str">
        <f>VLOOKUP(A372,' Measure INDEX'!$B$9:$B$669,1,FALSE)</f>
        <v>354151_2019_12_</v>
      </c>
    </row>
    <row r="373" spans="1:2" x14ac:dyDescent="0.25">
      <c r="A373" s="2277" t="s">
        <v>1433</v>
      </c>
      <c r="B373" s="2277" t="str">
        <f>VLOOKUP(A373,' Measure INDEX'!$B$9:$B$669,1,FALSE)</f>
        <v>354200_2019_12_</v>
      </c>
    </row>
    <row r="374" spans="1:2" x14ac:dyDescent="0.25">
      <c r="A374" s="2277" t="s">
        <v>1436</v>
      </c>
      <c r="B374" s="2277" t="str">
        <f>VLOOKUP(A374,' Measure INDEX'!$B$9:$B$669,1,FALSE)</f>
        <v>354201_2019_12_</v>
      </c>
    </row>
    <row r="375" spans="1:2" x14ac:dyDescent="0.25">
      <c r="A375" s="2277" t="s">
        <v>1437</v>
      </c>
      <c r="B375" s="2277" t="str">
        <f>VLOOKUP(A375,' Measure INDEX'!$B$9:$B$669,1,FALSE)</f>
        <v>354250_2019_12_</v>
      </c>
    </row>
    <row r="376" spans="1:2" x14ac:dyDescent="0.25">
      <c r="A376" s="2277" t="s">
        <v>1440</v>
      </c>
      <c r="B376" s="2277" t="str">
        <f>VLOOKUP(A376,' Measure INDEX'!$B$9:$B$669,1,FALSE)</f>
        <v>354300_2019_12_</v>
      </c>
    </row>
    <row r="377" spans="1:2" x14ac:dyDescent="0.25">
      <c r="A377" s="2277" t="s">
        <v>1443</v>
      </c>
      <c r="B377" s="2277" t="str">
        <f>VLOOKUP(A377,' Measure INDEX'!$B$9:$B$669,1,FALSE)</f>
        <v>354301_2019_12_</v>
      </c>
    </row>
    <row r="378" spans="1:2" x14ac:dyDescent="0.25">
      <c r="A378" s="2277" t="s">
        <v>1444</v>
      </c>
      <c r="B378" s="2277" t="str">
        <f>VLOOKUP(A378,' Measure INDEX'!$B$9:$B$669,1,FALSE)</f>
        <v>354350_2019_12_</v>
      </c>
    </row>
    <row r="379" spans="1:2" x14ac:dyDescent="0.25">
      <c r="A379" s="2277" t="s">
        <v>1447</v>
      </c>
      <c r="B379" s="2277" t="str">
        <f>VLOOKUP(A379,' Measure INDEX'!$B$9:$B$669,1,FALSE)</f>
        <v>354351_2019_12_</v>
      </c>
    </row>
    <row r="380" spans="1:2" x14ac:dyDescent="0.25">
      <c r="A380" s="2277" t="s">
        <v>1448</v>
      </c>
      <c r="B380" s="2277" t="str">
        <f>VLOOKUP(A380,' Measure INDEX'!$B$9:$B$669,1,FALSE)</f>
        <v>354400_2019_12_</v>
      </c>
    </row>
    <row r="381" spans="1:2" x14ac:dyDescent="0.25">
      <c r="A381" s="2277" t="s">
        <v>1451</v>
      </c>
      <c r="B381" s="2277" t="str">
        <f>VLOOKUP(A381,' Measure INDEX'!$B$9:$B$669,1,FALSE)</f>
        <v>354450_2019_12_</v>
      </c>
    </row>
    <row r="382" spans="1:2" x14ac:dyDescent="0.25">
      <c r="A382" s="2277" t="s">
        <v>1454</v>
      </c>
      <c r="B382" s="2277" t="str">
        <f>VLOOKUP(A382,' Measure INDEX'!$B$9:$B$669,1,FALSE)</f>
        <v>354451_2019_12_</v>
      </c>
    </row>
    <row r="383" spans="1:2" x14ac:dyDescent="0.25">
      <c r="A383" s="2277" t="s">
        <v>1455</v>
      </c>
      <c r="B383" s="2277" t="str">
        <f>VLOOKUP(A383,' Measure INDEX'!$B$9:$B$669,1,FALSE)</f>
        <v>354500_2019_12_</v>
      </c>
    </row>
    <row r="384" spans="1:2" x14ac:dyDescent="0.25">
      <c r="A384" s="2277" t="s">
        <v>1458</v>
      </c>
      <c r="B384" s="2277" t="str">
        <f>VLOOKUP(A384,' Measure INDEX'!$B$9:$B$669,1,FALSE)</f>
        <v>354501_2019_12_</v>
      </c>
    </row>
    <row r="385" spans="1:2" x14ac:dyDescent="0.25">
      <c r="A385" s="2277" t="s">
        <v>1459</v>
      </c>
      <c r="B385" s="2277" t="str">
        <f>VLOOKUP(A385,' Measure INDEX'!$B$9:$B$669,1,FALSE)</f>
        <v>354550_2019_12_</v>
      </c>
    </row>
    <row r="386" spans="1:2" x14ac:dyDescent="0.25">
      <c r="A386" s="2277" t="s">
        <v>1462</v>
      </c>
      <c r="B386" s="2277" t="str">
        <f>VLOOKUP(A386,' Measure INDEX'!$B$9:$B$669,1,FALSE)</f>
        <v>354600_2019_12_</v>
      </c>
    </row>
    <row r="387" spans="1:2" x14ac:dyDescent="0.25">
      <c r="A387" s="2277" t="s">
        <v>1464</v>
      </c>
      <c r="B387" s="2277" t="str">
        <f>VLOOKUP(A387,' Measure INDEX'!$B$9:$B$669,1,FALSE)</f>
        <v>354650_2019_12_</v>
      </c>
    </row>
    <row r="388" spans="1:2" x14ac:dyDescent="0.25">
      <c r="A388" s="2277" t="s">
        <v>1467</v>
      </c>
      <c r="B388" s="2277" t="str">
        <f>VLOOKUP(A388,' Measure INDEX'!$B$9:$B$669,1,FALSE)</f>
        <v>354651_2019_12_</v>
      </c>
    </row>
    <row r="389" spans="1:2" x14ac:dyDescent="0.25">
      <c r="A389" s="2277" t="s">
        <v>1468</v>
      </c>
      <c r="B389" s="2277" t="str">
        <f>VLOOKUP(A389,' Measure INDEX'!$B$9:$B$669,1,FALSE)</f>
        <v>354700_2019_12_</v>
      </c>
    </row>
    <row r="390" spans="1:2" x14ac:dyDescent="0.25">
      <c r="A390" s="2277" t="s">
        <v>1471</v>
      </c>
      <c r="B390" s="2277" t="str">
        <f>VLOOKUP(A390,' Measure INDEX'!$B$9:$B$669,1,FALSE)</f>
        <v>354701_2019_12_</v>
      </c>
    </row>
    <row r="391" spans="1:2" x14ac:dyDescent="0.25">
      <c r="A391" s="2277" t="s">
        <v>1472</v>
      </c>
      <c r="B391" s="2277" t="str">
        <f>VLOOKUP(A391,' Measure INDEX'!$B$9:$B$669,1,FALSE)</f>
        <v>354750_2019_12_</v>
      </c>
    </row>
    <row r="392" spans="1:2" x14ac:dyDescent="0.25">
      <c r="A392" s="2277" t="s">
        <v>1475</v>
      </c>
      <c r="B392" s="2277" t="str">
        <f>VLOOKUP(A392,' Measure INDEX'!$B$9:$B$669,1,FALSE)</f>
        <v>354800_2019_12_</v>
      </c>
    </row>
    <row r="393" spans="1:2" x14ac:dyDescent="0.25">
      <c r="A393" s="2277" t="s">
        <v>1477</v>
      </c>
      <c r="B393" s="2277" t="str">
        <f>VLOOKUP(A393,' Measure INDEX'!$B$9:$B$669,1,FALSE)</f>
        <v>354850_2019_12_</v>
      </c>
    </row>
    <row r="394" spans="1:2" x14ac:dyDescent="0.25">
      <c r="A394" s="2277" t="s">
        <v>1479</v>
      </c>
      <c r="B394" s="2277" t="str">
        <f>VLOOKUP(A394,' Measure INDEX'!$B$9:$B$669,1,FALSE)</f>
        <v>354851_2019_12_</v>
      </c>
    </row>
    <row r="395" spans="1:2" x14ac:dyDescent="0.25">
      <c r="A395" s="2277" t="s">
        <v>1480</v>
      </c>
      <c r="B395" s="2277" t="str">
        <f>VLOOKUP(A395,' Measure INDEX'!$B$9:$B$669,1,FALSE)</f>
        <v>354900_2019_12_</v>
      </c>
    </row>
    <row r="396" spans="1:2" x14ac:dyDescent="0.25">
      <c r="A396" s="2277" t="s">
        <v>1483</v>
      </c>
      <c r="B396" s="2277" t="str">
        <f>VLOOKUP(A396,' Measure INDEX'!$B$9:$B$669,1,FALSE)</f>
        <v>354901_2019_12_</v>
      </c>
    </row>
    <row r="397" spans="1:2" x14ac:dyDescent="0.25">
      <c r="A397" s="2277" t="s">
        <v>1484</v>
      </c>
      <c r="B397" s="2277" t="str">
        <f>VLOOKUP(A397,' Measure INDEX'!$B$9:$B$669,1,FALSE)</f>
        <v>354950_2019_12_</v>
      </c>
    </row>
    <row r="398" spans="1:2" x14ac:dyDescent="0.25">
      <c r="A398" s="2277" t="s">
        <v>1486</v>
      </c>
      <c r="B398" s="2277" t="str">
        <f>VLOOKUP(A398,' Measure INDEX'!$B$9:$B$669,1,FALSE)</f>
        <v>354951_2019_12_</v>
      </c>
    </row>
    <row r="399" spans="1:2" x14ac:dyDescent="0.25">
      <c r="A399" s="2277" t="s">
        <v>1487</v>
      </c>
      <c r="B399" s="2277" t="str">
        <f>VLOOKUP(A399,' Measure INDEX'!$B$9:$B$669,1,FALSE)</f>
        <v>355000_2019_12_</v>
      </c>
    </row>
    <row r="400" spans="1:2" x14ac:dyDescent="0.25">
      <c r="A400" s="2277" t="s">
        <v>1489</v>
      </c>
      <c r="B400" s="2277" t="str">
        <f>VLOOKUP(A400,' Measure INDEX'!$B$9:$B$669,1,FALSE)</f>
        <v>355001_2019_12_</v>
      </c>
    </row>
    <row r="401" spans="1:2" x14ac:dyDescent="0.25">
      <c r="A401" s="2277" t="s">
        <v>1490</v>
      </c>
      <c r="B401" s="2277" t="str">
        <f>VLOOKUP(A401,' Measure INDEX'!$B$9:$B$669,1,FALSE)</f>
        <v>355050_2019_12_</v>
      </c>
    </row>
    <row r="402" spans="1:2" x14ac:dyDescent="0.25">
      <c r="A402" s="2277" t="s">
        <v>1492</v>
      </c>
      <c r="B402" s="2277" t="str">
        <f>VLOOKUP(A402,' Measure INDEX'!$B$9:$B$669,1,FALSE)</f>
        <v>355051_2019_12_</v>
      </c>
    </row>
    <row r="403" spans="1:2" x14ac:dyDescent="0.25">
      <c r="A403" s="2277" t="s">
        <v>1493</v>
      </c>
      <c r="B403" s="2277" t="str">
        <f>VLOOKUP(A403,' Measure INDEX'!$B$9:$B$669,1,FALSE)</f>
        <v>355100_2019_12_</v>
      </c>
    </row>
    <row r="404" spans="1:2" x14ac:dyDescent="0.25">
      <c r="A404" s="2277" t="s">
        <v>1495</v>
      </c>
      <c r="B404" s="2277" t="str">
        <f>VLOOKUP(A404,' Measure INDEX'!$B$9:$B$669,1,FALSE)</f>
        <v>355101_2019_12_</v>
      </c>
    </row>
    <row r="405" spans="1:2" x14ac:dyDescent="0.25">
      <c r="A405" s="2277" t="s">
        <v>1496</v>
      </c>
      <c r="B405" s="2277" t="str">
        <f>VLOOKUP(A405,' Measure INDEX'!$B$9:$B$669,1,FALSE)</f>
        <v>355150_2019_12_</v>
      </c>
    </row>
    <row r="406" spans="1:2" x14ac:dyDescent="0.25">
      <c r="A406" s="2277" t="s">
        <v>1498</v>
      </c>
      <c r="B406" s="2277" t="str">
        <f>VLOOKUP(A406,' Measure INDEX'!$B$9:$B$669,1,FALSE)</f>
        <v>355151_2019_12_</v>
      </c>
    </row>
    <row r="407" spans="1:2" x14ac:dyDescent="0.25">
      <c r="A407" s="2277" t="s">
        <v>1514</v>
      </c>
      <c r="B407" s="2277" t="str">
        <f>VLOOKUP(A407,' Measure INDEX'!$B$9:$B$669,1,FALSE)</f>
        <v>400050_2019_12_</v>
      </c>
    </row>
    <row r="408" spans="1:2" x14ac:dyDescent="0.25">
      <c r="A408" s="2277" t="s">
        <v>1517</v>
      </c>
      <c r="B408" s="2277" t="str">
        <f>VLOOKUP(A408,' Measure INDEX'!$B$9:$B$669,1,FALSE)</f>
        <v>400100_2019_12_</v>
      </c>
    </row>
    <row r="409" spans="1:2" x14ac:dyDescent="0.25">
      <c r="A409" s="2277" t="s">
        <v>1520</v>
      </c>
      <c r="B409" s="2277" t="str">
        <f>VLOOKUP(A409,' Measure INDEX'!$B$9:$B$669,1,FALSE)</f>
        <v>400101_2019_12_</v>
      </c>
    </row>
    <row r="410" spans="1:2" x14ac:dyDescent="0.25">
      <c r="A410" s="2277" t="s">
        <v>1522</v>
      </c>
      <c r="B410" s="2277" t="str">
        <f>VLOOKUP(A410,' Measure INDEX'!$B$9:$B$669,1,FALSE)</f>
        <v>400150_2019_12_</v>
      </c>
    </row>
    <row r="411" spans="1:2" x14ac:dyDescent="0.25">
      <c r="A411" s="2277" t="s">
        <v>1524</v>
      </c>
      <c r="B411" s="2277" t="str">
        <f>VLOOKUP(A411,' Measure INDEX'!$B$9:$B$669,1,FALSE)</f>
        <v>400200_2019_12_</v>
      </c>
    </row>
    <row r="412" spans="1:2" x14ac:dyDescent="0.25">
      <c r="A412" s="2277" t="s">
        <v>1526</v>
      </c>
      <c r="B412" s="2277" t="str">
        <f>VLOOKUP(A412,' Measure INDEX'!$B$9:$B$669,1,FALSE)</f>
        <v>400201_2019_12_</v>
      </c>
    </row>
    <row r="413" spans="1:2" x14ac:dyDescent="0.25">
      <c r="A413" s="2277" t="s">
        <v>1527</v>
      </c>
      <c r="B413" s="2277" t="str">
        <f>VLOOKUP(A413,' Measure INDEX'!$B$9:$B$669,1,FALSE)</f>
        <v>400250_2019_12_</v>
      </c>
    </row>
    <row r="414" spans="1:2" x14ac:dyDescent="0.25">
      <c r="A414" s="2277" t="s">
        <v>1529</v>
      </c>
      <c r="B414" s="2277" t="str">
        <f>VLOOKUP(A414,' Measure INDEX'!$B$9:$B$669,1,FALSE)</f>
        <v>400300_2019_12_</v>
      </c>
    </row>
    <row r="415" spans="1:2" x14ac:dyDescent="0.25">
      <c r="A415" s="2277" t="s">
        <v>1531</v>
      </c>
      <c r="B415" s="2277" t="str">
        <f>VLOOKUP(A415,' Measure INDEX'!$B$9:$B$669,1,FALSE)</f>
        <v>400301_2019_12_</v>
      </c>
    </row>
    <row r="416" spans="1:2" x14ac:dyDescent="0.25">
      <c r="A416" s="2277" t="s">
        <v>1532</v>
      </c>
      <c r="B416" s="2277" t="str">
        <f>VLOOKUP(A416,' Measure INDEX'!$B$9:$B$669,1,FALSE)</f>
        <v>400350_2019_12_</v>
      </c>
    </row>
    <row r="417" spans="1:2" x14ac:dyDescent="0.25">
      <c r="A417" s="2277" t="s">
        <v>1534</v>
      </c>
      <c r="B417" s="2277" t="str">
        <f>VLOOKUP(A417,' Measure INDEX'!$B$9:$B$669,1,FALSE)</f>
        <v>400400_2019_12_</v>
      </c>
    </row>
    <row r="418" spans="1:2" x14ac:dyDescent="0.25">
      <c r="A418" s="2277" t="s">
        <v>1536</v>
      </c>
      <c r="B418" s="2277" t="str">
        <f>VLOOKUP(A418,' Measure INDEX'!$B$9:$B$669,1,FALSE)</f>
        <v>400401_2019_12_</v>
      </c>
    </row>
    <row r="419" spans="1:2" x14ac:dyDescent="0.25">
      <c r="A419" s="2277" t="s">
        <v>1556</v>
      </c>
      <c r="B419" s="2277" t="str">
        <f>VLOOKUP(A419,' Measure INDEX'!$B$9:$B$669,1,FALSE)</f>
        <v>400450_2019_12_</v>
      </c>
    </row>
    <row r="420" spans="1:2" x14ac:dyDescent="0.25">
      <c r="A420" s="2277" t="s">
        <v>1559</v>
      </c>
      <c r="B420" s="2277" t="str">
        <f>VLOOKUP(A420,' Measure INDEX'!$B$9:$B$669,1,FALSE)</f>
        <v>400500_2019_12_</v>
      </c>
    </row>
    <row r="421" spans="1:2" x14ac:dyDescent="0.25">
      <c r="A421" s="2277" t="s">
        <v>1561</v>
      </c>
      <c r="B421" s="2277" t="str">
        <f>VLOOKUP(A421,' Measure INDEX'!$B$9:$B$669,1,FALSE)</f>
        <v>400550_2019_12_</v>
      </c>
    </row>
    <row r="422" spans="1:2" x14ac:dyDescent="0.25">
      <c r="A422" s="2277" t="s">
        <v>1563</v>
      </c>
      <c r="B422" s="2277" t="str">
        <f>VLOOKUP(A422,' Measure INDEX'!$B$9:$B$669,1,FALSE)</f>
        <v>400551_2019_12_</v>
      </c>
    </row>
    <row r="423" spans="1:2" x14ac:dyDescent="0.25">
      <c r="A423" s="2277" t="s">
        <v>1564</v>
      </c>
      <c r="B423" s="2277" t="str">
        <f>VLOOKUP(A423,' Measure INDEX'!$B$9:$B$669,1,FALSE)</f>
        <v>400600_2019_12_</v>
      </c>
    </row>
    <row r="424" spans="1:2" x14ac:dyDescent="0.25">
      <c r="A424" s="2277" t="s">
        <v>1566</v>
      </c>
      <c r="B424" s="2277" t="str">
        <f>VLOOKUP(A424,' Measure INDEX'!$B$9:$B$669,1,FALSE)</f>
        <v>400650_2019_12_</v>
      </c>
    </row>
    <row r="425" spans="1:2" x14ac:dyDescent="0.25">
      <c r="A425" s="2277" t="s">
        <v>1568</v>
      </c>
      <c r="B425" s="2277" t="str">
        <f>VLOOKUP(A425,' Measure INDEX'!$B$9:$B$669,1,FALSE)</f>
        <v>400651_2019_12_</v>
      </c>
    </row>
    <row r="426" spans="1:2" x14ac:dyDescent="0.25">
      <c r="A426" s="2277" t="s">
        <v>1570</v>
      </c>
      <c r="B426" s="2277" t="str">
        <f>VLOOKUP(A426,' Measure INDEX'!$B$9:$B$669,1,FALSE)</f>
        <v>400652_2019_12_</v>
      </c>
    </row>
    <row r="427" spans="1:2" x14ac:dyDescent="0.25">
      <c r="A427" s="2277" t="s">
        <v>1584</v>
      </c>
      <c r="B427" s="2277" t="str">
        <f>VLOOKUP(A427,' Measure INDEX'!$B$9:$B$669,1,FALSE)</f>
        <v>400700_2019_12_</v>
      </c>
    </row>
    <row r="428" spans="1:2" x14ac:dyDescent="0.25">
      <c r="A428" s="2277" t="s">
        <v>1586</v>
      </c>
      <c r="B428" s="2277" t="str">
        <f>VLOOKUP(A428,' Measure INDEX'!$B$9:$B$669,1,FALSE)</f>
        <v>400750_2019_12_</v>
      </c>
    </row>
    <row r="429" spans="1:2" x14ac:dyDescent="0.25">
      <c r="A429" s="2277" t="s">
        <v>1588</v>
      </c>
      <c r="B429" s="2277" t="str">
        <f>VLOOKUP(A429,' Measure INDEX'!$B$9:$B$669,1,FALSE)</f>
        <v>400800_2019_12_</v>
      </c>
    </row>
    <row r="430" spans="1:2" x14ac:dyDescent="0.25">
      <c r="A430" s="2277" t="s">
        <v>1590</v>
      </c>
      <c r="B430" s="2277" t="str">
        <f>VLOOKUP(A430,' Measure INDEX'!$B$9:$B$669,1,FALSE)</f>
        <v>400850_2019_12_</v>
      </c>
    </row>
    <row r="431" spans="1:2" x14ac:dyDescent="0.25">
      <c r="A431" s="2277" t="s">
        <v>1592</v>
      </c>
      <c r="B431" s="2277" t="str">
        <f>VLOOKUP(A431,' Measure INDEX'!$B$9:$B$669,1,FALSE)</f>
        <v>400900_2019_12_</v>
      </c>
    </row>
    <row r="432" spans="1:2" x14ac:dyDescent="0.25">
      <c r="A432" s="2277" t="s">
        <v>1594</v>
      </c>
      <c r="B432" s="2277" t="str">
        <f>VLOOKUP(A432,' Measure INDEX'!$B$9:$B$669,1,FALSE)</f>
        <v>400950_2019_12_</v>
      </c>
    </row>
    <row r="433" spans="1:2" x14ac:dyDescent="0.25">
      <c r="A433" s="2277" t="s">
        <v>1596</v>
      </c>
      <c r="B433" s="2277" t="str">
        <f>VLOOKUP(A433,' Measure INDEX'!$B$9:$B$669,1,FALSE)</f>
        <v>401000_2019_12_</v>
      </c>
    </row>
    <row r="434" spans="1:2" x14ac:dyDescent="0.25">
      <c r="A434" s="2277" t="s">
        <v>1598</v>
      </c>
      <c r="B434" s="2277" t="str">
        <f>VLOOKUP(A434,' Measure INDEX'!$B$9:$B$669,1,FALSE)</f>
        <v>401050_2019_12_</v>
      </c>
    </row>
    <row r="435" spans="1:2" x14ac:dyDescent="0.25">
      <c r="A435" s="2277" t="s">
        <v>1600</v>
      </c>
      <c r="B435" s="2277" t="str">
        <f>VLOOKUP(A435,' Measure INDEX'!$B$9:$B$669,1,FALSE)</f>
        <v>401100_2019_12_</v>
      </c>
    </row>
    <row r="436" spans="1:2" x14ac:dyDescent="0.25">
      <c r="A436" s="2277" t="s">
        <v>1602</v>
      </c>
      <c r="B436" s="2277" t="str">
        <f>VLOOKUP(A436,' Measure INDEX'!$B$9:$B$669,1,FALSE)</f>
        <v>401150_2019_12_</v>
      </c>
    </row>
    <row r="437" spans="1:2" x14ac:dyDescent="0.25">
      <c r="A437" s="2277" t="s">
        <v>1604</v>
      </c>
      <c r="B437" s="2277" t="str">
        <f>VLOOKUP(A437,' Measure INDEX'!$B$9:$B$669,1,FALSE)</f>
        <v>401200_2019_12_</v>
      </c>
    </row>
    <row r="438" spans="1:2" x14ac:dyDescent="0.25">
      <c r="A438" s="2277" t="s">
        <v>1606</v>
      </c>
      <c r="B438" s="2277" t="str">
        <f>VLOOKUP(A438,' Measure INDEX'!$B$9:$B$669,1,FALSE)</f>
        <v>401250_2019_12_</v>
      </c>
    </row>
    <row r="439" spans="1:2" x14ac:dyDescent="0.25">
      <c r="A439" s="2277" t="s">
        <v>1608</v>
      </c>
      <c r="B439" s="2277" t="str">
        <f>VLOOKUP(A439,' Measure INDEX'!$B$9:$B$669,1,FALSE)</f>
        <v>401300_2019_12_</v>
      </c>
    </row>
    <row r="440" spans="1:2" x14ac:dyDescent="0.25">
      <c r="A440" s="2277" t="s">
        <v>1610</v>
      </c>
      <c r="B440" s="2277" t="str">
        <f>VLOOKUP(A440,' Measure INDEX'!$B$9:$B$669,1,FALSE)</f>
        <v>401350_2019_12_</v>
      </c>
    </row>
    <row r="441" spans="1:2" x14ac:dyDescent="0.25">
      <c r="A441" s="2277" t="s">
        <v>1612</v>
      </c>
      <c r="B441" s="2277" t="str">
        <f>VLOOKUP(A441,' Measure INDEX'!$B$9:$B$669,1,FALSE)</f>
        <v>401400_2019_12_</v>
      </c>
    </row>
    <row r="442" spans="1:2" x14ac:dyDescent="0.25">
      <c r="A442" s="2277" t="s">
        <v>1614</v>
      </c>
      <c r="B442" s="2277" t="str">
        <f>VLOOKUP(A442,' Measure INDEX'!$B$9:$B$669,1,FALSE)</f>
        <v>401450_2019_12_</v>
      </c>
    </row>
    <row r="443" spans="1:2" x14ac:dyDescent="0.25">
      <c r="A443" s="2277" t="s">
        <v>1616</v>
      </c>
      <c r="B443" s="2277" t="str">
        <f>VLOOKUP(A443,' Measure INDEX'!$B$9:$B$669,1,FALSE)</f>
        <v>401500_2019_12_</v>
      </c>
    </row>
    <row r="444" spans="1:2" x14ac:dyDescent="0.25">
      <c r="A444" s="2277" t="s">
        <v>1618</v>
      </c>
      <c r="B444" s="2277" t="str">
        <f>VLOOKUP(A444,' Measure INDEX'!$B$9:$B$669,1,FALSE)</f>
        <v>401550_2019_12_</v>
      </c>
    </row>
    <row r="445" spans="1:2" x14ac:dyDescent="0.25">
      <c r="A445" s="2277" t="s">
        <v>1620</v>
      </c>
      <c r="B445" s="2277" t="str">
        <f>VLOOKUP(A445,' Measure INDEX'!$B$9:$B$669,1,FALSE)</f>
        <v>401600_2019_12_</v>
      </c>
    </row>
    <row r="446" spans="1:2" x14ac:dyDescent="0.25">
      <c r="A446" s="2277" t="s">
        <v>1622</v>
      </c>
      <c r="B446" s="2277" t="str">
        <f>VLOOKUP(A446,' Measure INDEX'!$B$9:$B$669,1,FALSE)</f>
        <v>401650_2019_12_</v>
      </c>
    </row>
    <row r="447" spans="1:2" x14ac:dyDescent="0.25">
      <c r="A447" s="2277" t="s">
        <v>1624</v>
      </c>
      <c r="B447" s="2277" t="str">
        <f>VLOOKUP(A447,' Measure INDEX'!$B$9:$B$669,1,FALSE)</f>
        <v>401700_2019_12_</v>
      </c>
    </row>
    <row r="448" spans="1:2" x14ac:dyDescent="0.25">
      <c r="A448" s="2277" t="s">
        <v>1626</v>
      </c>
      <c r="B448" s="2277" t="str">
        <f>VLOOKUP(A448,' Measure INDEX'!$B$9:$B$669,1,FALSE)</f>
        <v>401750_2019_12_</v>
      </c>
    </row>
    <row r="449" spans="1:2" x14ac:dyDescent="0.25">
      <c r="A449" s="2277" t="s">
        <v>1628</v>
      </c>
      <c r="B449" s="2277" t="str">
        <f>VLOOKUP(A449,' Measure INDEX'!$B$9:$B$669,1,FALSE)</f>
        <v>401800_2019_12_</v>
      </c>
    </row>
    <row r="450" spans="1:2" x14ac:dyDescent="0.25">
      <c r="A450" s="2277" t="s">
        <v>1630</v>
      </c>
      <c r="B450" s="2277" t="str">
        <f>VLOOKUP(A450,' Measure INDEX'!$B$9:$B$669,1,FALSE)</f>
        <v>401850_2019_12_</v>
      </c>
    </row>
    <row r="451" spans="1:2" x14ac:dyDescent="0.25">
      <c r="A451" s="2277" t="s">
        <v>1632</v>
      </c>
      <c r="B451" s="2277" t="str">
        <f>VLOOKUP(A451,' Measure INDEX'!$B$9:$B$669,1,FALSE)</f>
        <v>401900_2019_12_</v>
      </c>
    </row>
    <row r="452" spans="1:2" x14ac:dyDescent="0.25">
      <c r="A452" s="2277" t="s">
        <v>1634</v>
      </c>
      <c r="B452" s="2277" t="str">
        <f>VLOOKUP(A452,' Measure INDEX'!$B$9:$B$669,1,FALSE)</f>
        <v>401950_2019_12_</v>
      </c>
    </row>
    <row r="453" spans="1:2" x14ac:dyDescent="0.25">
      <c r="A453" s="2277" t="s">
        <v>1636</v>
      </c>
      <c r="B453" s="2277" t="str">
        <f>VLOOKUP(A453,' Measure INDEX'!$B$9:$B$669,1,FALSE)</f>
        <v>402000_2019_12_</v>
      </c>
    </row>
    <row r="454" spans="1:2" x14ac:dyDescent="0.25">
      <c r="A454" s="2277" t="s">
        <v>1638</v>
      </c>
      <c r="B454" s="2277" t="str">
        <f>VLOOKUP(A454,' Measure INDEX'!$B$9:$B$669,1,FALSE)</f>
        <v>402050_2019_12_</v>
      </c>
    </row>
    <row r="455" spans="1:2" x14ac:dyDescent="0.25">
      <c r="A455" s="2277" t="s">
        <v>1640</v>
      </c>
      <c r="B455" s="2277" t="str">
        <f>VLOOKUP(A455,' Measure INDEX'!$B$9:$B$669,1,FALSE)</f>
        <v>402100_2019_12_</v>
      </c>
    </row>
    <row r="456" spans="1:2" x14ac:dyDescent="0.25">
      <c r="A456" s="2277" t="s">
        <v>1642</v>
      </c>
      <c r="B456" s="2277" t="str">
        <f>VLOOKUP(A456,' Measure INDEX'!$B$9:$B$669,1,FALSE)</f>
        <v>402150_2019_12_</v>
      </c>
    </row>
    <row r="457" spans="1:2" x14ac:dyDescent="0.25">
      <c r="A457" s="2277" t="s">
        <v>1665</v>
      </c>
      <c r="B457" s="2277" t="str">
        <f>VLOOKUP(A457,' Measure INDEX'!$B$9:$B$669,1,FALSE)</f>
        <v>402200_2019_12_</v>
      </c>
    </row>
    <row r="458" spans="1:2" x14ac:dyDescent="0.25">
      <c r="A458" s="2277" t="s">
        <v>1666</v>
      </c>
      <c r="B458" s="2277" t="str">
        <f>VLOOKUP(A458,' Measure INDEX'!$B$9:$B$669,1,FALSE)</f>
        <v>402201_2019_12_</v>
      </c>
    </row>
    <row r="459" spans="1:2" x14ac:dyDescent="0.25">
      <c r="A459" s="2277" t="s">
        <v>1667</v>
      </c>
      <c r="B459" s="2277" t="str">
        <f>VLOOKUP(A459,' Measure INDEX'!$B$9:$B$669,1,FALSE)</f>
        <v>402202_2019_12_</v>
      </c>
    </row>
    <row r="460" spans="1:2" x14ac:dyDescent="0.25">
      <c r="A460" s="2277" t="s">
        <v>3367</v>
      </c>
      <c r="B460" s="2277" t="str">
        <f>VLOOKUP(A460,' Measure INDEX'!$B$9:$B$669,1,FALSE)</f>
        <v>402203_2020_02_</v>
      </c>
    </row>
    <row r="461" spans="1:2" x14ac:dyDescent="0.25">
      <c r="A461" s="2277" t="s">
        <v>3368</v>
      </c>
      <c r="B461" s="2277" t="str">
        <f>VLOOKUP(A461,' Measure INDEX'!$B$9:$B$669,1,FALSE)</f>
        <v>402204_2020_02_</v>
      </c>
    </row>
    <row r="462" spans="1:2" x14ac:dyDescent="0.25">
      <c r="A462" s="2277" t="s">
        <v>3369</v>
      </c>
      <c r="B462" s="2277" t="str">
        <f>VLOOKUP(A462,' Measure INDEX'!$B$9:$B$669,1,FALSE)</f>
        <v>402205_2020_02_</v>
      </c>
    </row>
    <row r="463" spans="1:2" x14ac:dyDescent="0.25">
      <c r="A463" s="2277" t="s">
        <v>1673</v>
      </c>
      <c r="B463" s="2277" t="str">
        <f>VLOOKUP(A463,' Measure INDEX'!$B$9:$B$669,1,FALSE)</f>
        <v>402250_2019_12_</v>
      </c>
    </row>
    <row r="464" spans="1:2" x14ac:dyDescent="0.25">
      <c r="A464" s="2277" t="s">
        <v>1675</v>
      </c>
      <c r="B464" s="2277" t="str">
        <f>VLOOKUP(A464,' Measure INDEX'!$B$9:$B$669,1,FALSE)</f>
        <v>402251_2019_12_</v>
      </c>
    </row>
    <row r="465" spans="1:2" x14ac:dyDescent="0.25">
      <c r="A465" s="2277" t="s">
        <v>1687</v>
      </c>
      <c r="B465" s="2277" t="str">
        <f>VLOOKUP(A465,' Measure INDEX'!$B$9:$B$669,1,FALSE)</f>
        <v>402300_2019_12_</v>
      </c>
    </row>
    <row r="466" spans="1:2" x14ac:dyDescent="0.25">
      <c r="A466" s="2277" t="s">
        <v>1689</v>
      </c>
      <c r="B466" s="2277" t="str">
        <f>VLOOKUP(A466,' Measure INDEX'!$B$9:$B$669,1,FALSE)</f>
        <v>402350_2019_12_</v>
      </c>
    </row>
    <row r="467" spans="1:2" x14ac:dyDescent="0.25">
      <c r="A467" s="2277" t="s">
        <v>1691</v>
      </c>
      <c r="B467" s="2277" t="str">
        <f>VLOOKUP(A467,' Measure INDEX'!$B$9:$B$669,1,FALSE)</f>
        <v>402400_2019_12_</v>
      </c>
    </row>
    <row r="468" spans="1:2" x14ac:dyDescent="0.25">
      <c r="A468" s="2277" t="s">
        <v>1731</v>
      </c>
      <c r="B468" s="2277" t="str">
        <f>VLOOKUP(A468,' Measure INDEX'!$B$9:$B$669,1,FALSE)</f>
        <v>402450_2019_12_</v>
      </c>
    </row>
    <row r="469" spans="1:2" x14ac:dyDescent="0.25">
      <c r="A469" s="2277" t="s">
        <v>1732</v>
      </c>
      <c r="B469" s="2277" t="str">
        <f>VLOOKUP(A469,' Measure INDEX'!$B$9:$B$669,1,FALSE)</f>
        <v>402451_2019_12_</v>
      </c>
    </row>
    <row r="470" spans="1:2" x14ac:dyDescent="0.25">
      <c r="A470" s="2277" t="s">
        <v>3818</v>
      </c>
      <c r="B470" s="2277" t="str">
        <f>VLOOKUP(A470,' Measure INDEX'!$B$9:$B$669,1,FALSE)</f>
        <v>402452_2020_12_</v>
      </c>
    </row>
    <row r="471" spans="1:2" x14ac:dyDescent="0.25">
      <c r="A471" s="2277" t="s">
        <v>3819</v>
      </c>
      <c r="B471" s="2277" t="str">
        <f>VLOOKUP(A471,' Measure INDEX'!$B$9:$B$669,1,FALSE)</f>
        <v>402453_2020_12_</v>
      </c>
    </row>
    <row r="472" spans="1:2" x14ac:dyDescent="0.25">
      <c r="A472" s="2277" t="s">
        <v>1734</v>
      </c>
      <c r="B472" s="2277" t="str">
        <f>VLOOKUP(A472,' Measure INDEX'!$B$9:$B$669,1,FALSE)</f>
        <v>402500_2019_12_</v>
      </c>
    </row>
    <row r="473" spans="1:2" x14ac:dyDescent="0.25">
      <c r="A473" s="2277" t="s">
        <v>1736</v>
      </c>
      <c r="B473" s="2277" t="str">
        <f>VLOOKUP(A473,' Measure INDEX'!$B$9:$B$669,1,FALSE)</f>
        <v>402501_2019_12_</v>
      </c>
    </row>
    <row r="474" spans="1:2" x14ac:dyDescent="0.25">
      <c r="A474" s="2277" t="s">
        <v>1752</v>
      </c>
      <c r="B474" s="2277" t="str">
        <f>VLOOKUP(A474,' Measure INDEX'!$B$9:$B$669,1,FALSE)</f>
        <v>402550_2019_12_</v>
      </c>
    </row>
    <row r="475" spans="1:2" x14ac:dyDescent="0.25">
      <c r="A475" s="2277" t="s">
        <v>1754</v>
      </c>
      <c r="B475" s="2277" t="str">
        <f>VLOOKUP(A475,' Measure INDEX'!$B$9:$B$669,1,FALSE)</f>
        <v>402600_2019_12_</v>
      </c>
    </row>
    <row r="476" spans="1:2" x14ac:dyDescent="0.25">
      <c r="A476" s="2277" t="s">
        <v>1757</v>
      </c>
      <c r="B476" s="2277" t="str">
        <f>VLOOKUP(A476,' Measure INDEX'!$B$9:$B$669,1,FALSE)</f>
        <v>402650_2019_12_</v>
      </c>
    </row>
    <row r="477" spans="1:2" x14ac:dyDescent="0.25">
      <c r="A477" s="2277" t="s">
        <v>1759</v>
      </c>
      <c r="B477" s="2277" t="str">
        <f>VLOOKUP(A477,' Measure INDEX'!$B$9:$B$669,1,FALSE)</f>
        <v>402700_2019_12_</v>
      </c>
    </row>
    <row r="478" spans="1:2" x14ac:dyDescent="0.25">
      <c r="A478" s="2277" t="s">
        <v>1762</v>
      </c>
      <c r="B478" s="2277" t="str">
        <f>VLOOKUP(A478,' Measure INDEX'!$B$9:$B$669,1,FALSE)</f>
        <v>402750_2019_12_</v>
      </c>
    </row>
    <row r="479" spans="1:2" x14ac:dyDescent="0.25">
      <c r="A479" s="2277" t="s">
        <v>1764</v>
      </c>
      <c r="B479" s="2277" t="str">
        <f>VLOOKUP(A479,' Measure INDEX'!$B$9:$B$669,1,FALSE)</f>
        <v>402800_2019_12_</v>
      </c>
    </row>
    <row r="480" spans="1:2" x14ac:dyDescent="0.25">
      <c r="A480" s="2277" t="s">
        <v>1767</v>
      </c>
      <c r="B480" s="2277" t="str">
        <f>VLOOKUP(A480,' Measure INDEX'!$B$9:$B$669,1,FALSE)</f>
        <v>402850_2019_12_</v>
      </c>
    </row>
    <row r="481" spans="1:2" x14ac:dyDescent="0.25">
      <c r="A481" s="2277" t="s">
        <v>1769</v>
      </c>
      <c r="B481" s="2277" t="str">
        <f>VLOOKUP(A481,' Measure INDEX'!$B$9:$B$669,1,FALSE)</f>
        <v>402900_2019_12_</v>
      </c>
    </row>
    <row r="482" spans="1:2" x14ac:dyDescent="0.25">
      <c r="A482" s="2277" t="s">
        <v>1786</v>
      </c>
      <c r="B482" s="2277" t="str">
        <f>VLOOKUP(A482,' Measure INDEX'!$B$9:$B$669,1,FALSE)</f>
        <v>402950_2019_12_</v>
      </c>
    </row>
    <row r="483" spans="1:2" x14ac:dyDescent="0.25">
      <c r="A483" s="2277" t="s">
        <v>1788</v>
      </c>
      <c r="B483" s="2277" t="str">
        <f>VLOOKUP(A483,' Measure INDEX'!$B$9:$B$669,1,FALSE)</f>
        <v>403000_2019_12_</v>
      </c>
    </row>
    <row r="484" spans="1:2" x14ac:dyDescent="0.25">
      <c r="A484" s="2277" t="s">
        <v>1789</v>
      </c>
      <c r="B484" s="2277" t="str">
        <f>VLOOKUP(A484,' Measure INDEX'!$B$9:$B$669,1,FALSE)</f>
        <v>403050_2019_12_</v>
      </c>
    </row>
    <row r="485" spans="1:2" x14ac:dyDescent="0.25">
      <c r="A485" s="2277" t="s">
        <v>1791</v>
      </c>
      <c r="B485" s="2277" t="str">
        <f>VLOOKUP(A485,' Measure INDEX'!$B$9:$B$669,1,FALSE)</f>
        <v>403100_2019_12_</v>
      </c>
    </row>
    <row r="486" spans="1:2" x14ac:dyDescent="0.25">
      <c r="A486" s="2277" t="s">
        <v>1793</v>
      </c>
      <c r="B486" s="2277" t="str">
        <f>VLOOKUP(A486,' Measure INDEX'!$B$9:$B$669,1,FALSE)</f>
        <v>403101_2019_12_</v>
      </c>
    </row>
    <row r="487" spans="1:2" x14ac:dyDescent="0.25">
      <c r="A487" s="2277" t="s">
        <v>1794</v>
      </c>
      <c r="B487" s="2277" t="str">
        <f>VLOOKUP(A487,' Measure INDEX'!$B$9:$B$669,1,FALSE)</f>
        <v>403150_2019_12_</v>
      </c>
    </row>
    <row r="488" spans="1:2" x14ac:dyDescent="0.25">
      <c r="A488" s="2277" t="s">
        <v>1796</v>
      </c>
      <c r="B488" s="2277" t="str">
        <f>VLOOKUP(A488,' Measure INDEX'!$B$9:$B$669,1,FALSE)</f>
        <v>403200_2019_12_</v>
      </c>
    </row>
    <row r="489" spans="1:2" x14ac:dyDescent="0.25">
      <c r="A489" s="2277" t="s">
        <v>1798</v>
      </c>
      <c r="B489" s="2277" t="str">
        <f>VLOOKUP(A489,' Measure INDEX'!$B$9:$B$669,1,FALSE)</f>
        <v>403201_2019_12_</v>
      </c>
    </row>
    <row r="490" spans="1:2" x14ac:dyDescent="0.25">
      <c r="A490" s="2277" t="s">
        <v>1799</v>
      </c>
      <c r="B490" s="2277" t="str">
        <f>VLOOKUP(A490,' Measure INDEX'!$B$9:$B$669,1,FALSE)</f>
        <v>403250_2019_12_</v>
      </c>
    </row>
    <row r="491" spans="1:2" x14ac:dyDescent="0.25">
      <c r="A491" s="2277" t="s">
        <v>1801</v>
      </c>
      <c r="B491" s="2277" t="str">
        <f>VLOOKUP(A491,' Measure INDEX'!$B$9:$B$669,1,FALSE)</f>
        <v>403300_2019_12_</v>
      </c>
    </row>
    <row r="492" spans="1:2" x14ac:dyDescent="0.25">
      <c r="A492" s="2277" t="s">
        <v>3294</v>
      </c>
      <c r="B492" s="2277" t="str">
        <f>VLOOKUP(A492,' Measure INDEX'!$B$9:$B$669,1,FALSE)</f>
        <v>403301_2019_12_</v>
      </c>
    </row>
    <row r="493" spans="1:2" x14ac:dyDescent="0.25">
      <c r="A493" s="2277" t="s">
        <v>1820</v>
      </c>
      <c r="B493" s="2277" t="str">
        <f>VLOOKUP(A493,' Measure INDEX'!$B$9:$B$669,1,FALSE)</f>
        <v>403350_2019_12_</v>
      </c>
    </row>
    <row r="494" spans="1:2" x14ac:dyDescent="0.25">
      <c r="A494" s="2277" t="s">
        <v>3685</v>
      </c>
      <c r="B494" s="2277" t="e">
        <f>VLOOKUP(A494,' Measure INDEX'!$B$9:$B$669,1,FALSE)</f>
        <v>#N/A</v>
      </c>
    </row>
    <row r="495" spans="1:2" x14ac:dyDescent="0.25">
      <c r="A495" s="2277" t="s">
        <v>1823</v>
      </c>
      <c r="B495" s="2277" t="str">
        <f>VLOOKUP(A495,' Measure INDEX'!$B$9:$B$669,1,FALSE)</f>
        <v>403400_2019_12_</v>
      </c>
    </row>
    <row r="496" spans="1:2" x14ac:dyDescent="0.25">
      <c r="A496" s="2277" t="s">
        <v>1826</v>
      </c>
      <c r="B496" s="2277" t="str">
        <f>VLOOKUP(A496,' Measure INDEX'!$B$9:$B$669,1,FALSE)</f>
        <v>403450_2019_12_</v>
      </c>
    </row>
    <row r="497" spans="1:2" x14ac:dyDescent="0.25">
      <c r="A497" s="2277" t="s">
        <v>3690</v>
      </c>
      <c r="B497" s="2277" t="str">
        <f>VLOOKUP(A497,' Measure INDEX'!$B$9:$B$669,1,FALSE)</f>
        <v>403470_2020_12_</v>
      </c>
    </row>
    <row r="498" spans="1:2" x14ac:dyDescent="0.25">
      <c r="A498" s="2277" t="s">
        <v>3692</v>
      </c>
      <c r="B498" s="2277" t="str">
        <f>VLOOKUP(A498,' Measure INDEX'!$B$9:$B$669,1,FALSE)</f>
        <v>403471_2020_12_</v>
      </c>
    </row>
    <row r="499" spans="1:2" x14ac:dyDescent="0.25">
      <c r="A499" s="2277" t="s">
        <v>3694</v>
      </c>
      <c r="B499" s="2277" t="str">
        <f>VLOOKUP(A499,' Measure INDEX'!$B$9:$B$669,1,FALSE)</f>
        <v>403480_2020_12_</v>
      </c>
    </row>
    <row r="500" spans="1:2" x14ac:dyDescent="0.25">
      <c r="A500" s="2277" t="s">
        <v>3696</v>
      </c>
      <c r="B500" s="2277" t="str">
        <f>VLOOKUP(A500,' Measure INDEX'!$B$9:$B$669,1,FALSE)</f>
        <v>403481_2020_12_</v>
      </c>
    </row>
    <row r="501" spans="1:2" x14ac:dyDescent="0.25">
      <c r="A501" s="2277" t="s">
        <v>1850</v>
      </c>
      <c r="B501" s="2277" t="str">
        <f>VLOOKUP(A501,' Measure INDEX'!$B$9:$B$669,1,FALSE)</f>
        <v>403500_2019_12_</v>
      </c>
    </row>
    <row r="502" spans="1:2" x14ac:dyDescent="0.25">
      <c r="A502" s="2277" t="s">
        <v>1852</v>
      </c>
      <c r="B502" s="2277" t="str">
        <f>VLOOKUP(A502,' Measure INDEX'!$B$9:$B$669,1,FALSE)</f>
        <v>403550_2019_12_</v>
      </c>
    </row>
    <row r="503" spans="1:2" x14ac:dyDescent="0.25">
      <c r="A503" s="2277" t="s">
        <v>1854</v>
      </c>
      <c r="B503" s="2277" t="str">
        <f>VLOOKUP(A503,' Measure INDEX'!$B$9:$B$669,1,FALSE)</f>
        <v>403551_2019_12_</v>
      </c>
    </row>
    <row r="504" spans="1:2" x14ac:dyDescent="0.25">
      <c r="A504" s="2277" t="s">
        <v>1856</v>
      </c>
      <c r="B504" s="2277" t="str">
        <f>VLOOKUP(A504,' Measure INDEX'!$B$9:$B$669,1,FALSE)</f>
        <v>403600_2019_12_</v>
      </c>
    </row>
    <row r="505" spans="1:2" x14ac:dyDescent="0.25">
      <c r="A505" s="2277" t="s">
        <v>1858</v>
      </c>
      <c r="B505" s="2277" t="str">
        <f>VLOOKUP(A505,' Measure INDEX'!$B$9:$B$669,1,FALSE)</f>
        <v>403601_2019_12_</v>
      </c>
    </row>
    <row r="506" spans="1:2" x14ac:dyDescent="0.25">
      <c r="A506" s="2277" t="s">
        <v>1875</v>
      </c>
      <c r="B506" s="2277" t="str">
        <f>VLOOKUP(A506,' Measure INDEX'!$B$9:$B$669,1,FALSE)</f>
        <v>403650_2019_12_</v>
      </c>
    </row>
    <row r="507" spans="1:2" x14ac:dyDescent="0.25">
      <c r="A507" s="2277" t="s">
        <v>1877</v>
      </c>
      <c r="B507" s="2277" t="str">
        <f>VLOOKUP(A507,' Measure INDEX'!$B$9:$B$669,1,FALSE)</f>
        <v>403700_2019_12_</v>
      </c>
    </row>
    <row r="508" spans="1:2" x14ac:dyDescent="0.25">
      <c r="A508" s="2277" t="s">
        <v>1879</v>
      </c>
      <c r="B508" s="2277" t="str">
        <f>VLOOKUP(A508,' Measure INDEX'!$B$9:$B$669,1,FALSE)</f>
        <v>403750_2019_12_</v>
      </c>
    </row>
    <row r="509" spans="1:2" x14ac:dyDescent="0.25">
      <c r="A509" s="2277" t="s">
        <v>1892</v>
      </c>
      <c r="B509" s="2277" t="str">
        <f>VLOOKUP(A509,' Measure INDEX'!$B$9:$B$669,1,FALSE)</f>
        <v>403800_2019_12_</v>
      </c>
    </row>
    <row r="510" spans="1:2" x14ac:dyDescent="0.25">
      <c r="A510" s="2277" t="s">
        <v>1894</v>
      </c>
      <c r="B510" s="2277" t="str">
        <f>VLOOKUP(A510,' Measure INDEX'!$B$9:$B$669,1,FALSE)</f>
        <v>403801_2019_12_</v>
      </c>
    </row>
    <row r="511" spans="1:2" x14ac:dyDescent="0.25">
      <c r="A511" s="2277" t="s">
        <v>1895</v>
      </c>
      <c r="B511" s="2277" t="str">
        <f>VLOOKUP(A511,' Measure INDEX'!$B$9:$B$669,1,FALSE)</f>
        <v>403850_2019_12_</v>
      </c>
    </row>
    <row r="512" spans="1:2" x14ac:dyDescent="0.25">
      <c r="A512" s="2277" t="s">
        <v>1897</v>
      </c>
      <c r="B512" s="2277" t="str">
        <f>VLOOKUP(A512,' Measure INDEX'!$B$9:$B$669,1,FALSE)</f>
        <v>403900_2019_12_</v>
      </c>
    </row>
    <row r="513" spans="1:2" x14ac:dyDescent="0.25">
      <c r="A513" s="2277" t="s">
        <v>1899</v>
      </c>
      <c r="B513" s="2277" t="str">
        <f>VLOOKUP(A513,' Measure INDEX'!$B$9:$B$669,1,FALSE)</f>
        <v>403901_2019_12_</v>
      </c>
    </row>
    <row r="514" spans="1:2" x14ac:dyDescent="0.25">
      <c r="A514" s="2277" t="s">
        <v>1900</v>
      </c>
      <c r="B514" s="2277" t="str">
        <f>VLOOKUP(A514,' Measure INDEX'!$B$9:$B$669,1,FALSE)</f>
        <v>403950_2019_12_</v>
      </c>
    </row>
    <row r="515" spans="1:2" x14ac:dyDescent="0.25">
      <c r="A515" s="2277" t="s">
        <v>1902</v>
      </c>
      <c r="B515" s="2277" t="str">
        <f>VLOOKUP(A515,' Measure INDEX'!$B$9:$B$669,1,FALSE)</f>
        <v>404000_2019_12_</v>
      </c>
    </row>
    <row r="516" spans="1:2" x14ac:dyDescent="0.25">
      <c r="A516" s="2277" t="s">
        <v>1904</v>
      </c>
      <c r="B516" s="2277" t="str">
        <f>VLOOKUP(A516,' Measure INDEX'!$B$9:$B$669,1,FALSE)</f>
        <v>404001_2019_12_</v>
      </c>
    </row>
    <row r="517" spans="1:2" x14ac:dyDescent="0.25">
      <c r="A517" s="2277" t="s">
        <v>1905</v>
      </c>
      <c r="B517" s="2277" t="str">
        <f>VLOOKUP(A517,' Measure INDEX'!$B$9:$B$669,1,FALSE)</f>
        <v>404050_2019_12_</v>
      </c>
    </row>
    <row r="518" spans="1:2" x14ac:dyDescent="0.25">
      <c r="A518" s="2277" t="s">
        <v>1907</v>
      </c>
      <c r="B518" s="2277" t="str">
        <f>VLOOKUP(A518,' Measure INDEX'!$B$9:$B$669,1,FALSE)</f>
        <v>404100_2019_12_</v>
      </c>
    </row>
    <row r="519" spans="1:2" x14ac:dyDescent="0.25">
      <c r="A519" s="2277" t="s">
        <v>1909</v>
      </c>
      <c r="B519" s="2277" t="str">
        <f>VLOOKUP(A519,' Measure INDEX'!$B$9:$B$669,1,FALSE)</f>
        <v>404101_2019_12_</v>
      </c>
    </row>
    <row r="520" spans="1:2" x14ac:dyDescent="0.25">
      <c r="A520" s="2277" t="s">
        <v>1910</v>
      </c>
      <c r="B520" s="2277" t="str">
        <f>VLOOKUP(A520,' Measure INDEX'!$B$9:$B$669,1,FALSE)</f>
        <v>404150_2019_12_</v>
      </c>
    </row>
    <row r="521" spans="1:2" x14ac:dyDescent="0.25">
      <c r="A521" s="2277" t="s">
        <v>1921</v>
      </c>
      <c r="B521" s="2277" t="str">
        <f>VLOOKUP(A521,' Measure INDEX'!$B$9:$B$669,1,FALSE)</f>
        <v>404200_2019_12_</v>
      </c>
    </row>
    <row r="522" spans="1:2" x14ac:dyDescent="0.25">
      <c r="A522" s="2277" t="s">
        <v>1923</v>
      </c>
      <c r="B522" s="2277" t="str">
        <f>VLOOKUP(A522,' Measure INDEX'!$B$9:$B$669,1,FALSE)</f>
        <v>404250_2019_12_</v>
      </c>
    </row>
    <row r="523" spans="1:2" x14ac:dyDescent="0.25">
      <c r="A523" s="2277" t="s">
        <v>1934</v>
      </c>
      <c r="B523" s="2277" t="str">
        <f>VLOOKUP(A523,' Measure INDEX'!$B$9:$B$669,1,FALSE)</f>
        <v>404300_2019_12_</v>
      </c>
    </row>
    <row r="524" spans="1:2" x14ac:dyDescent="0.25">
      <c r="A524" s="2277" t="s">
        <v>1946</v>
      </c>
      <c r="B524" s="2277" t="str">
        <f>VLOOKUP(A524,' Measure INDEX'!$B$9:$B$669,1,FALSE)</f>
        <v>404350_2019_12_</v>
      </c>
    </row>
    <row r="525" spans="1:2" x14ac:dyDescent="0.25">
      <c r="A525" s="2277" t="s">
        <v>1958</v>
      </c>
      <c r="B525" s="2277" t="str">
        <f>VLOOKUP(A525,' Measure INDEX'!$B$9:$B$669,1,FALSE)</f>
        <v>404400_2019_12_</v>
      </c>
    </row>
    <row r="526" spans="1:2" x14ac:dyDescent="0.25">
      <c r="A526" s="2277" t="s">
        <v>1967</v>
      </c>
      <c r="B526" s="2277" t="str">
        <f>VLOOKUP(A526,' Measure INDEX'!$B$9:$B$669,1,FALSE)</f>
        <v>404450_2019_12_</v>
      </c>
    </row>
    <row r="527" spans="1:2" x14ac:dyDescent="0.25">
      <c r="A527" s="2277" t="s">
        <v>1970</v>
      </c>
      <c r="B527" s="2277" t="str">
        <f>VLOOKUP(A527,' Measure INDEX'!$B$9:$B$669,1,FALSE)</f>
        <v>404500_2019_12_</v>
      </c>
    </row>
    <row r="528" spans="1:2" x14ac:dyDescent="0.25">
      <c r="A528" s="2277" t="s">
        <v>1971</v>
      </c>
      <c r="B528" s="2277" t="str">
        <f>VLOOKUP(A528,' Measure INDEX'!$B$9:$B$669,1,FALSE)</f>
        <v>404550_2019_12_</v>
      </c>
    </row>
    <row r="529" spans="1:2" x14ac:dyDescent="0.25">
      <c r="A529" s="2277" t="s">
        <v>1973</v>
      </c>
      <c r="B529" s="2277" t="str">
        <f>VLOOKUP(A529,' Measure INDEX'!$B$9:$B$669,1,FALSE)</f>
        <v>404600_2019_12_</v>
      </c>
    </row>
    <row r="530" spans="1:2" x14ac:dyDescent="0.25">
      <c r="A530" s="2277" t="s">
        <v>1974</v>
      </c>
      <c r="B530" s="2277" t="str">
        <f>VLOOKUP(A530,' Measure INDEX'!$B$9:$B$669,1,FALSE)</f>
        <v>404650_2019_12_</v>
      </c>
    </row>
    <row r="531" spans="1:2" x14ac:dyDescent="0.25">
      <c r="A531" s="2277" t="s">
        <v>3628</v>
      </c>
      <c r="B531" s="2277" t="e">
        <f>VLOOKUP(A531,' Measure INDEX'!$B$9:$B$669,1,FALSE)</f>
        <v>#N/A</v>
      </c>
    </row>
    <row r="532" spans="1:2" x14ac:dyDescent="0.25">
      <c r="A532" s="2277" t="s">
        <v>1975</v>
      </c>
      <c r="B532" s="2277" t="str">
        <f>VLOOKUP(A532,' Measure INDEX'!$B$9:$B$669,1,FALSE)</f>
        <v>404700_2019_12_</v>
      </c>
    </row>
    <row r="533" spans="1:2" x14ac:dyDescent="0.25">
      <c r="A533" s="2277" t="s">
        <v>1977</v>
      </c>
      <c r="B533" s="2277" t="str">
        <f>VLOOKUP(A533,' Measure INDEX'!$B$9:$B$669,1,FALSE)</f>
        <v>404750_2019_12_</v>
      </c>
    </row>
    <row r="534" spans="1:2" x14ac:dyDescent="0.25">
      <c r="A534" s="2277" t="s">
        <v>1979</v>
      </c>
      <c r="B534" s="2277" t="str">
        <f>VLOOKUP(A534,' Measure INDEX'!$B$9:$B$669,1,FALSE)</f>
        <v>404800_2019_12_</v>
      </c>
    </row>
    <row r="535" spans="1:2" x14ac:dyDescent="0.25">
      <c r="A535" s="2277" t="s">
        <v>1980</v>
      </c>
      <c r="B535" s="2277" t="str">
        <f>VLOOKUP(A535,' Measure INDEX'!$B$9:$B$669,1,FALSE)</f>
        <v>404850_2019_12_</v>
      </c>
    </row>
    <row r="536" spans="1:2" x14ac:dyDescent="0.25">
      <c r="A536" s="2277" t="s">
        <v>1982</v>
      </c>
      <c r="B536" s="2277" t="str">
        <f>VLOOKUP(A536,' Measure INDEX'!$B$9:$B$669,1,FALSE)</f>
        <v>404900_2019_12_</v>
      </c>
    </row>
    <row r="537" spans="1:2" x14ac:dyDescent="0.25">
      <c r="A537" s="2277" t="s">
        <v>1984</v>
      </c>
      <c r="B537" s="2277" t="str">
        <f>VLOOKUP(A537,' Measure INDEX'!$B$9:$B$669,1,FALSE)</f>
        <v>404950_2019_12_</v>
      </c>
    </row>
    <row r="538" spans="1:2" x14ac:dyDescent="0.25">
      <c r="A538" s="2277" t="s">
        <v>1986</v>
      </c>
      <c r="B538" s="2277" t="str">
        <f>VLOOKUP(A538,' Measure INDEX'!$B$9:$B$669,1,FALSE)</f>
        <v>405000_2019_12_</v>
      </c>
    </row>
    <row r="539" spans="1:2" x14ac:dyDescent="0.25">
      <c r="A539" s="2277" t="s">
        <v>1988</v>
      </c>
      <c r="B539" s="2277" t="str">
        <f>VLOOKUP(A539,' Measure INDEX'!$B$9:$B$669,1,FALSE)</f>
        <v>405050_2019_12_</v>
      </c>
    </row>
    <row r="540" spans="1:2" x14ac:dyDescent="0.25">
      <c r="A540" s="2277" t="s">
        <v>1989</v>
      </c>
      <c r="B540" s="2277" t="str">
        <f>VLOOKUP(A540,' Measure INDEX'!$B$9:$B$669,1,FALSE)</f>
        <v>405100_2019_12_</v>
      </c>
    </row>
    <row r="541" spans="1:2" x14ac:dyDescent="0.25">
      <c r="A541" s="2277" t="s">
        <v>1991</v>
      </c>
      <c r="B541" s="2277" t="str">
        <f>VLOOKUP(A541,' Measure INDEX'!$B$9:$B$669,1,FALSE)</f>
        <v>405150_2019_12_</v>
      </c>
    </row>
    <row r="542" spans="1:2" x14ac:dyDescent="0.25">
      <c r="A542" s="2277" t="s">
        <v>1993</v>
      </c>
      <c r="B542" s="2277" t="str">
        <f>VLOOKUP(A542,' Measure INDEX'!$B$9:$B$669,1,FALSE)</f>
        <v>405200_2019_12_</v>
      </c>
    </row>
    <row r="543" spans="1:2" x14ac:dyDescent="0.25">
      <c r="A543" s="2277" t="s">
        <v>1995</v>
      </c>
      <c r="B543" s="2277" t="str">
        <f>VLOOKUP(A543,' Measure INDEX'!$B$9:$B$669,1,FALSE)</f>
        <v>405250_2019_12_</v>
      </c>
    </row>
    <row r="544" spans="1:2" x14ac:dyDescent="0.25">
      <c r="A544" s="2277" t="s">
        <v>3629</v>
      </c>
      <c r="B544" s="2277" t="e">
        <f>VLOOKUP(A544,' Measure INDEX'!$B$9:$B$669,1,FALSE)</f>
        <v>#N/A</v>
      </c>
    </row>
    <row r="545" spans="1:2" x14ac:dyDescent="0.25">
      <c r="A545" s="2277" t="s">
        <v>1996</v>
      </c>
      <c r="B545" s="2277" t="str">
        <f>VLOOKUP(A545,' Measure INDEX'!$B$9:$B$669,1,FALSE)</f>
        <v>405300_2019_12_</v>
      </c>
    </row>
    <row r="546" spans="1:2" x14ac:dyDescent="0.25">
      <c r="A546" s="2277" t="s">
        <v>1998</v>
      </c>
      <c r="B546" s="2277" t="str">
        <f>VLOOKUP(A546,' Measure INDEX'!$B$9:$B$669,1,FALSE)</f>
        <v>405350_2019_12_</v>
      </c>
    </row>
    <row r="547" spans="1:2" x14ac:dyDescent="0.25">
      <c r="A547" s="2277" t="s">
        <v>1999</v>
      </c>
      <c r="B547" s="2277" t="str">
        <f>VLOOKUP(A547,' Measure INDEX'!$B$9:$B$669,1,FALSE)</f>
        <v>405400_2019_12_</v>
      </c>
    </row>
    <row r="548" spans="1:2" x14ac:dyDescent="0.25">
      <c r="A548" s="2277" t="s">
        <v>3820</v>
      </c>
      <c r="B548" s="2277" t="str">
        <f>VLOOKUP(A548,' Measure INDEX'!$B$9:$B$669,1,FALSE)</f>
        <v>405410_2019_12_</v>
      </c>
    </row>
    <row r="549" spans="1:2" x14ac:dyDescent="0.25">
      <c r="A549" s="2277" t="s">
        <v>2020</v>
      </c>
      <c r="B549" s="2277" t="str">
        <f>VLOOKUP(A549,' Measure INDEX'!$B$9:$B$669,1,FALSE)</f>
        <v>405450_2019_12_</v>
      </c>
    </row>
    <row r="550" spans="1:2" x14ac:dyDescent="0.25">
      <c r="A550" s="2277" t="s">
        <v>3782</v>
      </c>
      <c r="B550" s="2277" t="str">
        <f>VLOOKUP(A550,' Measure INDEX'!$B$9:$B$669,1,FALSE)</f>
        <v>405451_2020_12_</v>
      </c>
    </row>
    <row r="551" spans="1:2" x14ac:dyDescent="0.25">
      <c r="A551" s="2277" t="s">
        <v>2022</v>
      </c>
      <c r="B551" s="2277" t="str">
        <f>VLOOKUP(A551,' Measure INDEX'!$B$9:$B$669,1,FALSE)</f>
        <v>405500_2019_12_</v>
      </c>
    </row>
    <row r="552" spans="1:2" x14ac:dyDescent="0.25">
      <c r="A552" s="2277" t="s">
        <v>2024</v>
      </c>
      <c r="B552" s="2277" t="str">
        <f>VLOOKUP(A552,' Measure INDEX'!$B$9:$B$669,1,FALSE)</f>
        <v>405550_2019_12_</v>
      </c>
    </row>
    <row r="553" spans="1:2" x14ac:dyDescent="0.25">
      <c r="A553" s="2277" t="s">
        <v>3783</v>
      </c>
      <c r="B553" s="2277" t="str">
        <f>VLOOKUP(A553,' Measure INDEX'!$B$9:$B$669,1,FALSE)</f>
        <v>405551_2020_12_</v>
      </c>
    </row>
    <row r="554" spans="1:2" x14ac:dyDescent="0.25">
      <c r="A554" s="2277" t="s">
        <v>2026</v>
      </c>
      <c r="B554" s="2277" t="str">
        <f>VLOOKUP(A554,' Measure INDEX'!$B$9:$B$669,1,FALSE)</f>
        <v>405600_2019_12_</v>
      </c>
    </row>
    <row r="555" spans="1:2" x14ac:dyDescent="0.25">
      <c r="A555" s="2277" t="s">
        <v>2028</v>
      </c>
      <c r="B555" s="2277" t="str">
        <f>VLOOKUP(A555,' Measure INDEX'!$B$9:$B$669,1,FALSE)</f>
        <v>405650_2019_12_</v>
      </c>
    </row>
    <row r="556" spans="1:2" x14ac:dyDescent="0.25">
      <c r="A556" s="2277" t="s">
        <v>3784</v>
      </c>
      <c r="B556" s="2277" t="str">
        <f>VLOOKUP(A556,' Measure INDEX'!$B$9:$B$669,1,FALSE)</f>
        <v>405651_2020_12_</v>
      </c>
    </row>
    <row r="557" spans="1:2" x14ac:dyDescent="0.25">
      <c r="A557" s="2277" t="s">
        <v>2030</v>
      </c>
      <c r="B557" s="2277" t="str">
        <f>VLOOKUP(A557,' Measure INDEX'!$B$9:$B$669,1,FALSE)</f>
        <v>405700_2019_12_</v>
      </c>
    </row>
    <row r="558" spans="1:2" x14ac:dyDescent="0.25">
      <c r="A558" s="2277" t="s">
        <v>2032</v>
      </c>
      <c r="B558" s="2277" t="str">
        <f>VLOOKUP(A558,' Measure INDEX'!$B$9:$B$669,1,FALSE)</f>
        <v>405750_2019_12_</v>
      </c>
    </row>
    <row r="559" spans="1:2" x14ac:dyDescent="0.25">
      <c r="A559" s="2277" t="s">
        <v>3785</v>
      </c>
      <c r="B559" s="2277" t="str">
        <f>VLOOKUP(A559,' Measure INDEX'!$B$9:$B$669,1,FALSE)</f>
        <v>405751_2020_12_</v>
      </c>
    </row>
    <row r="560" spans="1:2" x14ac:dyDescent="0.25">
      <c r="A560" s="2277" t="s">
        <v>2035</v>
      </c>
      <c r="B560" s="2277" t="str">
        <f>VLOOKUP(A560,' Measure INDEX'!$B$9:$B$669,1,FALSE)</f>
        <v>405800_2019_12_</v>
      </c>
    </row>
    <row r="561" spans="1:2" x14ac:dyDescent="0.25">
      <c r="A561" s="2277" t="s">
        <v>2040</v>
      </c>
      <c r="B561" s="2277" t="str">
        <f>VLOOKUP(A561,' Measure INDEX'!$B$9:$B$669,1,FALSE)</f>
        <v>405825_2019_12_</v>
      </c>
    </row>
    <row r="562" spans="1:2" x14ac:dyDescent="0.25">
      <c r="A562" s="2277" t="s">
        <v>2077</v>
      </c>
      <c r="B562" s="2277" t="str">
        <f>VLOOKUP(A562,' Measure INDEX'!$B$9:$B$669,1,FALSE)</f>
        <v>405850_2019_12_</v>
      </c>
    </row>
    <row r="563" spans="1:2" x14ac:dyDescent="0.25">
      <c r="A563" s="2277" t="s">
        <v>2078</v>
      </c>
      <c r="B563" s="2277" t="str">
        <f>VLOOKUP(A563,' Measure INDEX'!$B$9:$B$669,1,FALSE)</f>
        <v>405900_2019_12_</v>
      </c>
    </row>
    <row r="564" spans="1:2" x14ac:dyDescent="0.25">
      <c r="A564" s="2277" t="s">
        <v>2079</v>
      </c>
      <c r="B564" s="2277" t="str">
        <f>VLOOKUP(A564,' Measure INDEX'!$B$9:$B$669,1,FALSE)</f>
        <v>405950_2019_12_</v>
      </c>
    </row>
    <row r="565" spans="1:2" x14ac:dyDescent="0.25">
      <c r="A565" s="2277" t="s">
        <v>2080</v>
      </c>
      <c r="B565" s="2277" t="str">
        <f>VLOOKUP(A565,' Measure INDEX'!$B$9:$B$669,1,FALSE)</f>
        <v>406000_2019_12_</v>
      </c>
    </row>
    <row r="566" spans="1:2" x14ac:dyDescent="0.25">
      <c r="A566" s="2277" t="s">
        <v>2081</v>
      </c>
      <c r="B566" s="2277" t="str">
        <f>VLOOKUP(A566,' Measure INDEX'!$B$9:$B$669,1,FALSE)</f>
        <v>405851_2019_12_</v>
      </c>
    </row>
    <row r="567" spans="1:2" x14ac:dyDescent="0.25">
      <c r="A567" s="2277" t="s">
        <v>2083</v>
      </c>
      <c r="B567" s="2277" t="str">
        <f>VLOOKUP(A567,' Measure INDEX'!$B$9:$B$669,1,FALSE)</f>
        <v>405901_2019_12_</v>
      </c>
    </row>
    <row r="568" spans="1:2" x14ac:dyDescent="0.25">
      <c r="A568" s="2277" t="s">
        <v>3295</v>
      </c>
      <c r="B568" s="2277" t="str">
        <f>VLOOKUP(A568,' Measure INDEX'!$B$9:$B$669,1,FALSE)</f>
        <v>405951_2019_12_</v>
      </c>
    </row>
    <row r="569" spans="1:2" x14ac:dyDescent="0.25">
      <c r="A569" s="2277" t="s">
        <v>2086</v>
      </c>
      <c r="B569" s="2277" t="str">
        <f>VLOOKUP(A569,' Measure INDEX'!$B$9:$B$669,1,FALSE)</f>
        <v>406001_2019_12_</v>
      </c>
    </row>
    <row r="570" spans="1:2" x14ac:dyDescent="0.25">
      <c r="A570" s="2277" t="s">
        <v>2088</v>
      </c>
      <c r="B570" s="2277" t="str">
        <f>VLOOKUP(A570,' Measure INDEX'!$B$9:$B$669,1,FALSE)</f>
        <v>405852_2019_12_</v>
      </c>
    </row>
    <row r="571" spans="1:2" x14ac:dyDescent="0.25">
      <c r="A571" s="2277" t="s">
        <v>2090</v>
      </c>
      <c r="B571" s="2277" t="str">
        <f>VLOOKUP(A571,' Measure INDEX'!$B$9:$B$669,1,FALSE)</f>
        <v>405902_2019_12_</v>
      </c>
    </row>
    <row r="572" spans="1:2" x14ac:dyDescent="0.25">
      <c r="A572" s="2277" t="s">
        <v>2092</v>
      </c>
      <c r="B572" s="2277" t="str">
        <f>VLOOKUP(A572,' Measure INDEX'!$B$9:$B$669,1,FALSE)</f>
        <v>405952_2019_12_</v>
      </c>
    </row>
    <row r="573" spans="1:2" x14ac:dyDescent="0.25">
      <c r="A573" s="2277" t="s">
        <v>2094</v>
      </c>
      <c r="B573" s="2277" t="str">
        <f>VLOOKUP(A573,' Measure INDEX'!$B$9:$B$669,1,FALSE)</f>
        <v>406002_2019_12_</v>
      </c>
    </row>
    <row r="574" spans="1:2" x14ac:dyDescent="0.25">
      <c r="A574" s="2277" t="s">
        <v>2096</v>
      </c>
      <c r="B574" s="2277" t="str">
        <f>VLOOKUP(A574,' Measure INDEX'!$B$9:$B$669,1,FALSE)</f>
        <v>405853_2019_12_</v>
      </c>
    </row>
    <row r="575" spans="1:2" x14ac:dyDescent="0.25">
      <c r="A575" s="2277" t="s">
        <v>2098</v>
      </c>
      <c r="B575" s="2277" t="str">
        <f>VLOOKUP(A575,' Measure INDEX'!$B$9:$B$669,1,FALSE)</f>
        <v>405903_2019_12_</v>
      </c>
    </row>
    <row r="576" spans="1:2" x14ac:dyDescent="0.25">
      <c r="A576" s="2277" t="s">
        <v>2100</v>
      </c>
      <c r="B576" s="2277" t="str">
        <f>VLOOKUP(A576,' Measure INDEX'!$B$9:$B$669,1,FALSE)</f>
        <v>405953_2019_12_</v>
      </c>
    </row>
    <row r="577" spans="1:2" x14ac:dyDescent="0.25">
      <c r="A577" s="2277" t="s">
        <v>2102</v>
      </c>
      <c r="B577" s="2277" t="str">
        <f>VLOOKUP(A577,' Measure INDEX'!$B$9:$B$669,1,FALSE)</f>
        <v>406003_2019_12_</v>
      </c>
    </row>
    <row r="578" spans="1:2" x14ac:dyDescent="0.25">
      <c r="A578" s="2277" t="s">
        <v>2104</v>
      </c>
      <c r="B578" s="2277" t="str">
        <f>VLOOKUP(A578,' Measure INDEX'!$B$9:$B$669,1,FALSE)</f>
        <v>405854_2019_12_</v>
      </c>
    </row>
    <row r="579" spans="1:2" x14ac:dyDescent="0.25">
      <c r="A579" s="2277" t="s">
        <v>2106</v>
      </c>
      <c r="B579" s="2277" t="str">
        <f>VLOOKUP(A579,' Measure INDEX'!$B$9:$B$669,1,FALSE)</f>
        <v>405904_2019_12_</v>
      </c>
    </row>
    <row r="580" spans="1:2" x14ac:dyDescent="0.25">
      <c r="A580" s="2277" t="s">
        <v>2108</v>
      </c>
      <c r="B580" s="2277" t="str">
        <f>VLOOKUP(A580,' Measure INDEX'!$B$9:$B$669,1,FALSE)</f>
        <v>405954_2019_12_</v>
      </c>
    </row>
    <row r="581" spans="1:2" x14ac:dyDescent="0.25">
      <c r="A581" s="2277" t="s">
        <v>2110</v>
      </c>
      <c r="B581" s="2277" t="str">
        <f>VLOOKUP(A581,' Measure INDEX'!$B$9:$B$669,1,FALSE)</f>
        <v>406004_2019_12_</v>
      </c>
    </row>
    <row r="582" spans="1:2" x14ac:dyDescent="0.25">
      <c r="A582" s="2277" t="s">
        <v>2112</v>
      </c>
      <c r="B582" s="2277" t="str">
        <f>VLOOKUP(A582,' Measure INDEX'!$B$9:$B$669,1,FALSE)</f>
        <v>405855_2019_12_</v>
      </c>
    </row>
    <row r="583" spans="1:2" x14ac:dyDescent="0.25">
      <c r="A583" s="2277" t="s">
        <v>2114</v>
      </c>
      <c r="B583" s="2277" t="str">
        <f>VLOOKUP(A583,' Measure INDEX'!$B$9:$B$669,1,FALSE)</f>
        <v>405905_2019_12_</v>
      </c>
    </row>
    <row r="584" spans="1:2" x14ac:dyDescent="0.25">
      <c r="A584" s="2277" t="s">
        <v>2116</v>
      </c>
      <c r="B584" s="2277" t="str">
        <f>VLOOKUP(A584,' Measure INDEX'!$B$9:$B$669,1,FALSE)</f>
        <v>405955_2019_12_</v>
      </c>
    </row>
    <row r="585" spans="1:2" x14ac:dyDescent="0.25">
      <c r="A585" s="2277" t="s">
        <v>2118</v>
      </c>
      <c r="B585" s="2277" t="str">
        <f>VLOOKUP(A585,' Measure INDEX'!$B$9:$B$669,1,FALSE)</f>
        <v>406005_2019_12_</v>
      </c>
    </row>
    <row r="586" spans="1:2" x14ac:dyDescent="0.25">
      <c r="A586" s="2277" t="s">
        <v>3712</v>
      </c>
      <c r="B586" s="2277" t="str">
        <f>VLOOKUP(A586,' Measure INDEX'!$B$9:$B$669,1,FALSE)</f>
        <v>406025_2020_12_</v>
      </c>
    </row>
    <row r="587" spans="1:2" x14ac:dyDescent="0.25">
      <c r="A587" s="2277" t="s">
        <v>3715</v>
      </c>
      <c r="B587" s="2277" t="str">
        <f>VLOOKUP(A587,' Measure INDEX'!$B$9:$B$669,1,FALSE)</f>
        <v>406050_2020_12_</v>
      </c>
    </row>
    <row r="588" spans="1:2" x14ac:dyDescent="0.25">
      <c r="A588" s="2277" t="s">
        <v>3717</v>
      </c>
      <c r="B588" s="2277" t="str">
        <f>VLOOKUP(A588,' Measure INDEX'!$B$9:$B$669,1,FALSE)</f>
        <v>406075_2020_12_</v>
      </c>
    </row>
    <row r="589" spans="1:2" x14ac:dyDescent="0.25">
      <c r="A589" s="2277" t="s">
        <v>3719</v>
      </c>
      <c r="B589" s="2277" t="str">
        <f>VLOOKUP(A589,' Measure INDEX'!$B$9:$B$669,1,FALSE)</f>
        <v>406100_2020_12_</v>
      </c>
    </row>
    <row r="590" spans="1:2" x14ac:dyDescent="0.25">
      <c r="A590" s="2277" t="s">
        <v>3721</v>
      </c>
      <c r="B590" s="2277" t="str">
        <f>VLOOKUP(A590,' Measure INDEX'!$B$9:$B$669,1,FALSE)</f>
        <v>406125_2020_12_</v>
      </c>
    </row>
    <row r="591" spans="1:2" x14ac:dyDescent="0.25">
      <c r="A591" s="2277" t="s">
        <v>3723</v>
      </c>
      <c r="B591" s="2277" t="str">
        <f>VLOOKUP(A591,' Measure INDEX'!$B$9:$B$669,1,FALSE)</f>
        <v>406150_2020_12_</v>
      </c>
    </row>
    <row r="592" spans="1:2" x14ac:dyDescent="0.25">
      <c r="A592" s="2277" t="s">
        <v>3725</v>
      </c>
      <c r="B592" s="2277" t="str">
        <f>VLOOKUP(A592,' Measure INDEX'!$B$9:$B$669,1,FALSE)</f>
        <v>406175_2020_12_</v>
      </c>
    </row>
    <row r="593" spans="1:2" x14ac:dyDescent="0.25">
      <c r="A593" s="2277" t="s">
        <v>3727</v>
      </c>
      <c r="B593" s="2277" t="str">
        <f>VLOOKUP(A593,' Measure INDEX'!$B$9:$B$669,1,FALSE)</f>
        <v>406200_2020_12_</v>
      </c>
    </row>
    <row r="594" spans="1:2" x14ac:dyDescent="0.25">
      <c r="A594" s="2277" t="s">
        <v>3729</v>
      </c>
      <c r="B594" s="2277" t="str">
        <f>VLOOKUP(A594,' Measure INDEX'!$B$9:$B$669,1,FALSE)</f>
        <v>406225_2020_12_</v>
      </c>
    </row>
    <row r="595" spans="1:2" x14ac:dyDescent="0.25">
      <c r="A595" s="2277" t="s">
        <v>3731</v>
      </c>
      <c r="B595" s="2277" t="str">
        <f>VLOOKUP(A595,' Measure INDEX'!$B$9:$B$669,1,FALSE)</f>
        <v>406250_2020_12_</v>
      </c>
    </row>
    <row r="596" spans="1:2" x14ac:dyDescent="0.25">
      <c r="A596" s="2277" t="s">
        <v>3733</v>
      </c>
      <c r="B596" s="2277" t="str">
        <f>VLOOKUP(A596,' Measure INDEX'!$B$9:$B$669,1,FALSE)</f>
        <v>406275_2020_12_</v>
      </c>
    </row>
    <row r="597" spans="1:2" x14ac:dyDescent="0.25">
      <c r="A597" s="2277" t="s">
        <v>3735</v>
      </c>
      <c r="B597" s="2277" t="str">
        <f>VLOOKUP(A597,' Measure INDEX'!$B$9:$B$669,1,FALSE)</f>
        <v>406300_2020_12_</v>
      </c>
    </row>
    <row r="598" spans="1:2" x14ac:dyDescent="0.25">
      <c r="A598" s="2277" t="s">
        <v>3605</v>
      </c>
      <c r="B598" s="2277" t="str">
        <f>VLOOKUP(A598,' Measure INDEX'!$B$9:$B$669,1,FALSE)</f>
        <v>450050_2020_12_</v>
      </c>
    </row>
    <row r="599" spans="1:2" x14ac:dyDescent="0.25">
      <c r="A599" s="2277" t="s">
        <v>2146</v>
      </c>
      <c r="B599" s="2277" t="str">
        <f>VLOOKUP(A599,' Measure INDEX'!$B$9:$B$669,1,FALSE)</f>
        <v>500050_2019_12_</v>
      </c>
    </row>
    <row r="600" spans="1:2" x14ac:dyDescent="0.25">
      <c r="A600" s="2277" t="s">
        <v>2149</v>
      </c>
      <c r="B600" s="2277" t="str">
        <f>VLOOKUP(A600,' Measure INDEX'!$B$9:$B$669,1,FALSE)</f>
        <v>500051_2019_12_</v>
      </c>
    </row>
    <row r="601" spans="1:2" x14ac:dyDescent="0.25">
      <c r="A601" s="2277" t="s">
        <v>2151</v>
      </c>
      <c r="B601" s="2277" t="str">
        <f>VLOOKUP(A601,' Measure INDEX'!$B$9:$B$669,1,FALSE)</f>
        <v>500100_2019_12_</v>
      </c>
    </row>
    <row r="602" spans="1:2" x14ac:dyDescent="0.25">
      <c r="A602" s="2277" t="s">
        <v>2153</v>
      </c>
      <c r="B602" s="2277" t="str">
        <f>VLOOKUP(A602,' Measure INDEX'!$B$9:$B$669,1,FALSE)</f>
        <v>500101_2019_12_</v>
      </c>
    </row>
    <row r="603" spans="1:2" x14ac:dyDescent="0.25">
      <c r="A603" s="2277" t="s">
        <v>2154</v>
      </c>
      <c r="B603" s="2277" t="str">
        <f>VLOOKUP(A603,' Measure INDEX'!$B$9:$B$669,1,FALSE)</f>
        <v>500150_2019_12_</v>
      </c>
    </row>
    <row r="604" spans="1:2" x14ac:dyDescent="0.25">
      <c r="A604" s="2277" t="s">
        <v>2156</v>
      </c>
      <c r="B604" s="2277" t="str">
        <f>VLOOKUP(A604,' Measure INDEX'!$B$9:$B$669,1,FALSE)</f>
        <v>500151_2019_12_</v>
      </c>
    </row>
    <row r="605" spans="1:2" x14ac:dyDescent="0.25">
      <c r="A605" s="2277" t="s">
        <v>2157</v>
      </c>
      <c r="B605" s="2277" t="str">
        <f>VLOOKUP(A605,' Measure INDEX'!$B$9:$B$669,1,FALSE)</f>
        <v>500200_2019_12_</v>
      </c>
    </row>
    <row r="606" spans="1:2" x14ac:dyDescent="0.25">
      <c r="A606" s="2277" t="s">
        <v>2159</v>
      </c>
      <c r="B606" s="2277" t="str">
        <f>VLOOKUP(A606,' Measure INDEX'!$B$9:$B$669,1,FALSE)</f>
        <v>500201_2019_12_</v>
      </c>
    </row>
    <row r="607" spans="1:2" x14ac:dyDescent="0.25">
      <c r="A607" s="2277" t="s">
        <v>3296</v>
      </c>
      <c r="B607" s="2277" t="str">
        <f>VLOOKUP(A607,' Measure INDEX'!$B$9:$B$669,1,FALSE)</f>
        <v>500250_2019_12_</v>
      </c>
    </row>
    <row r="608" spans="1:2" x14ac:dyDescent="0.25">
      <c r="A608" s="2277" t="s">
        <v>3297</v>
      </c>
      <c r="B608" s="2277" t="str">
        <f>VLOOKUP(A608,' Measure INDEX'!$B$9:$B$669,1,FALSE)</f>
        <v>500300_2019_12_</v>
      </c>
    </row>
    <row r="609" spans="1:2" x14ac:dyDescent="0.25">
      <c r="A609" s="2277" t="s">
        <v>3298</v>
      </c>
      <c r="B609" s="2277" t="str">
        <f>VLOOKUP(A609,' Measure INDEX'!$B$9:$B$669,1,FALSE)</f>
        <v>500350_2019_12_</v>
      </c>
    </row>
    <row r="610" spans="1:2" x14ac:dyDescent="0.25">
      <c r="A610" s="2277" t="s">
        <v>3299</v>
      </c>
      <c r="B610" s="2277" t="str">
        <f>VLOOKUP(A610,' Measure INDEX'!$B$9:$B$669,1,FALSE)</f>
        <v>500400_2019_12_</v>
      </c>
    </row>
    <row r="611" spans="1:2" x14ac:dyDescent="0.25">
      <c r="A611" s="2277" t="s">
        <v>3300</v>
      </c>
      <c r="B611" s="2277" t="str">
        <f>VLOOKUP(A611,' Measure INDEX'!$B$9:$B$669,1,FALSE)</f>
        <v>500450_2019_12_</v>
      </c>
    </row>
    <row r="612" spans="1:2" x14ac:dyDescent="0.25">
      <c r="A612" s="2277" t="s">
        <v>3301</v>
      </c>
      <c r="B612" s="2277" t="str">
        <f>VLOOKUP(A612,' Measure INDEX'!$B$9:$B$669,1,FALSE)</f>
        <v>500500_2019_12_</v>
      </c>
    </row>
    <row r="613" spans="1:2" x14ac:dyDescent="0.25">
      <c r="A613" s="2277" t="s">
        <v>3302</v>
      </c>
      <c r="B613" s="2277" t="str">
        <f>VLOOKUP(A613,' Measure INDEX'!$B$9:$B$669,1,FALSE)</f>
        <v>500550_2019_12_</v>
      </c>
    </row>
    <row r="614" spans="1:2" x14ac:dyDescent="0.25">
      <c r="A614" s="2277" t="s">
        <v>3303</v>
      </c>
      <c r="B614" s="2277" t="str">
        <f>VLOOKUP(A614,' Measure INDEX'!$B$9:$B$669,1,FALSE)</f>
        <v>500600_2019_12_</v>
      </c>
    </row>
    <row r="615" spans="1:2" x14ac:dyDescent="0.25">
      <c r="A615" s="2277" t="s">
        <v>3304</v>
      </c>
      <c r="B615" s="2277" t="str">
        <f>VLOOKUP(A615,' Measure INDEX'!$B$9:$B$669,1,FALSE)</f>
        <v>500650_2019_12_</v>
      </c>
    </row>
    <row r="616" spans="1:2" x14ac:dyDescent="0.25">
      <c r="A616" s="2277" t="s">
        <v>3305</v>
      </c>
      <c r="B616" s="2277" t="str">
        <f>VLOOKUP(A616,' Measure INDEX'!$B$9:$B$669,1,FALSE)</f>
        <v>500700_2019_12_</v>
      </c>
    </row>
    <row r="617" spans="1:2" x14ac:dyDescent="0.25">
      <c r="A617" s="2277" t="s">
        <v>3306</v>
      </c>
      <c r="B617" s="2277" t="str">
        <f>VLOOKUP(A617,' Measure INDEX'!$B$9:$B$669,1,FALSE)</f>
        <v>500750_2019_12_</v>
      </c>
    </row>
    <row r="618" spans="1:2" x14ac:dyDescent="0.25">
      <c r="A618" s="2277" t="s">
        <v>3307</v>
      </c>
      <c r="B618" s="2277" t="str">
        <f>VLOOKUP(A618,' Measure INDEX'!$B$9:$B$669,1,FALSE)</f>
        <v>500751_2019_12_</v>
      </c>
    </row>
    <row r="619" spans="1:2" x14ac:dyDescent="0.25">
      <c r="A619" s="2277" t="s">
        <v>2199</v>
      </c>
      <c r="B619" s="2277" t="str">
        <f>VLOOKUP(A619,' Measure INDEX'!$B$9:$B$669,1,FALSE)</f>
        <v>500800_2019_12_</v>
      </c>
    </row>
    <row r="620" spans="1:2" x14ac:dyDescent="0.25">
      <c r="A620" s="2277" t="s">
        <v>2208</v>
      </c>
      <c r="B620" s="2277" t="str">
        <f>VLOOKUP(A620,' Measure INDEX'!$B$9:$B$669,1,FALSE)</f>
        <v>500850_2019_12_</v>
      </c>
    </row>
    <row r="621" spans="1:2" x14ac:dyDescent="0.25">
      <c r="A621" s="2277" t="s">
        <v>2209</v>
      </c>
      <c r="B621" s="2277" t="str">
        <f>VLOOKUP(A621,' Measure INDEX'!$B$9:$B$669,1,FALSE)</f>
        <v>500900_2019_12_</v>
      </c>
    </row>
    <row r="622" spans="1:2" x14ac:dyDescent="0.25">
      <c r="A622" s="2277" t="s">
        <v>2210</v>
      </c>
      <c r="B622" s="2277" t="str">
        <f>VLOOKUP(A622,' Measure INDEX'!$B$9:$B$669,1,FALSE)</f>
        <v>500950_2019_12_</v>
      </c>
    </row>
    <row r="623" spans="1:2" x14ac:dyDescent="0.25">
      <c r="A623" s="2277" t="s">
        <v>2211</v>
      </c>
      <c r="B623" s="2277" t="str">
        <f>VLOOKUP(A623,' Measure INDEX'!$B$9:$B$669,1,FALSE)</f>
        <v>501000_2019_12_</v>
      </c>
    </row>
    <row r="624" spans="1:2" x14ac:dyDescent="0.25">
      <c r="A624" s="2277" t="s">
        <v>2213</v>
      </c>
      <c r="B624" s="2277" t="str">
        <f>VLOOKUP(A624,' Measure INDEX'!$B$9:$B$669,1,FALSE)</f>
        <v>501050_2019_12_</v>
      </c>
    </row>
    <row r="625" spans="1:2" x14ac:dyDescent="0.25">
      <c r="A625" s="2277" t="s">
        <v>2215</v>
      </c>
      <c r="B625" s="2277" t="str">
        <f>VLOOKUP(A625,' Measure INDEX'!$B$9:$B$669,1,FALSE)</f>
        <v>501100_2019_12_</v>
      </c>
    </row>
    <row r="626" spans="1:2" x14ac:dyDescent="0.25">
      <c r="A626" s="2277" t="s">
        <v>2217</v>
      </c>
      <c r="B626" s="2277" t="str">
        <f>VLOOKUP(A626,' Measure INDEX'!$B$9:$B$669,1,FALSE)</f>
        <v>501150_2019_12_</v>
      </c>
    </row>
    <row r="627" spans="1:2" x14ac:dyDescent="0.25">
      <c r="A627" s="2277" t="s">
        <v>2218</v>
      </c>
      <c r="B627" s="2277" t="str">
        <f>VLOOKUP(A627,' Measure INDEX'!$B$9:$B$669,1,FALSE)</f>
        <v>501200_2019_12_</v>
      </c>
    </row>
    <row r="628" spans="1:2" x14ac:dyDescent="0.25">
      <c r="A628" s="2277" t="s">
        <v>2219</v>
      </c>
      <c r="B628" s="2277" t="str">
        <f>VLOOKUP(A628,' Measure INDEX'!$B$9:$B$669,1,FALSE)</f>
        <v>501250_2019_12_</v>
      </c>
    </row>
    <row r="629" spans="1:2" x14ac:dyDescent="0.25">
      <c r="A629" s="2277" t="s">
        <v>2220</v>
      </c>
      <c r="B629" s="2277" t="str">
        <f>VLOOKUP(A629,' Measure INDEX'!$B$9:$B$669,1,FALSE)</f>
        <v>501300_2019_12_</v>
      </c>
    </row>
    <row r="630" spans="1:2" x14ac:dyDescent="0.25">
      <c r="A630" s="2277" t="s">
        <v>3642</v>
      </c>
      <c r="B630" s="2277" t="str">
        <f>VLOOKUP(A630,' Measure INDEX'!$B$9:$B$669,1,FALSE)</f>
        <v>501310_2020_12_</v>
      </c>
    </row>
    <row r="631" spans="1:2" x14ac:dyDescent="0.25">
      <c r="A631" s="2277" t="s">
        <v>3643</v>
      </c>
      <c r="B631" s="2277" t="str">
        <f>VLOOKUP(A631,' Measure INDEX'!$B$9:$B$669,1,FALSE)</f>
        <v>501311_2020_12_</v>
      </c>
    </row>
    <row r="632" spans="1:2" x14ac:dyDescent="0.25">
      <c r="A632" s="2277" t="s">
        <v>2221</v>
      </c>
      <c r="B632" s="2277" t="str">
        <f>VLOOKUP(A632,' Measure INDEX'!$B$9:$B$669,1,FALSE)</f>
        <v>501350_2019_12_</v>
      </c>
    </row>
    <row r="633" spans="1:2" x14ac:dyDescent="0.25">
      <c r="A633" s="2277" t="s">
        <v>2222</v>
      </c>
      <c r="B633" s="2277" t="str">
        <f>VLOOKUP(A633,' Measure INDEX'!$B$9:$B$669,1,FALSE)</f>
        <v>501400_2019_12_</v>
      </c>
    </row>
    <row r="634" spans="1:2" x14ac:dyDescent="0.25">
      <c r="A634" s="2277" t="s">
        <v>3640</v>
      </c>
      <c r="B634" s="2277" t="str">
        <f>VLOOKUP(A634,' Measure INDEX'!$B$9:$B$669,1,FALSE)</f>
        <v>501401_2019_12_</v>
      </c>
    </row>
    <row r="635" spans="1:2" x14ac:dyDescent="0.25">
      <c r="A635" s="2277" t="s">
        <v>2223</v>
      </c>
      <c r="B635" s="2277" t="str">
        <f>VLOOKUP(A635,' Measure INDEX'!$B$9:$B$669,1,FALSE)</f>
        <v>501450_2019_12_</v>
      </c>
    </row>
    <row r="636" spans="1:2" x14ac:dyDescent="0.25">
      <c r="A636" s="2277" t="s">
        <v>2229</v>
      </c>
      <c r="B636" s="2277" t="str">
        <f>VLOOKUP(A636,' Measure INDEX'!$B$9:$B$669,1,FALSE)</f>
        <v>501500_2019_12_</v>
      </c>
    </row>
    <row r="637" spans="1:2" x14ac:dyDescent="0.25">
      <c r="A637" s="2277" t="s">
        <v>2237</v>
      </c>
      <c r="B637" s="2277" t="str">
        <f>VLOOKUP(A637,' Measure INDEX'!$B$9:$B$669,1,FALSE)</f>
        <v>501550_2019_12_</v>
      </c>
    </row>
    <row r="638" spans="1:2" x14ac:dyDescent="0.25">
      <c r="A638" s="2277" t="s">
        <v>2240</v>
      </c>
      <c r="B638" s="2277" t="str">
        <f>VLOOKUP(A638,' Measure INDEX'!$B$9:$B$669,1,FALSE)</f>
        <v>501600_2019_12_</v>
      </c>
    </row>
    <row r="639" spans="1:2" x14ac:dyDescent="0.25">
      <c r="A639" s="2277" t="s">
        <v>2248</v>
      </c>
      <c r="B639" s="2277" t="str">
        <f>VLOOKUP(A639,' Measure INDEX'!$B$9:$B$669,1,FALSE)</f>
        <v>501650_2019_12_</v>
      </c>
    </row>
    <row r="640" spans="1:2" x14ac:dyDescent="0.25">
      <c r="A640" s="2277" t="s">
        <v>2249</v>
      </c>
      <c r="B640" s="2277" t="str">
        <f>VLOOKUP(A640,' Measure INDEX'!$B$9:$B$669,1,FALSE)</f>
        <v>501700_2019_12_</v>
      </c>
    </row>
    <row r="641" spans="1:2" x14ac:dyDescent="0.25">
      <c r="A641" s="2277" t="s">
        <v>2250</v>
      </c>
      <c r="B641" s="2277" t="str">
        <f>VLOOKUP(A641,' Measure INDEX'!$B$9:$B$669,1,FALSE)</f>
        <v>501750_2019_12_</v>
      </c>
    </row>
    <row r="642" spans="1:2" x14ac:dyDescent="0.25">
      <c r="A642" s="2277" t="s">
        <v>2251</v>
      </c>
      <c r="B642" s="2277" t="str">
        <f>VLOOKUP(A642,' Measure INDEX'!$B$9:$B$669,1,FALSE)</f>
        <v>501800_2019_12_</v>
      </c>
    </row>
    <row r="643" spans="1:2" x14ac:dyDescent="0.25">
      <c r="A643" s="2277" t="s">
        <v>2252</v>
      </c>
      <c r="B643" s="2277" t="str">
        <f>VLOOKUP(A643,' Measure INDEX'!$B$9:$B$669,1,FALSE)</f>
        <v>501850_2019_12_</v>
      </c>
    </row>
    <row r="644" spans="1:2" x14ac:dyDescent="0.25">
      <c r="A644" s="2277" t="s">
        <v>2253</v>
      </c>
      <c r="B644" s="2277" t="str">
        <f>VLOOKUP(A644,' Measure INDEX'!$B$9:$B$669,1,FALSE)</f>
        <v>501900_2019_12_</v>
      </c>
    </row>
    <row r="645" spans="1:2" x14ac:dyDescent="0.25">
      <c r="A645" s="2277" t="s">
        <v>2254</v>
      </c>
      <c r="B645" s="2277" t="str">
        <f>VLOOKUP(A645,' Measure INDEX'!$B$9:$B$669,1,FALSE)</f>
        <v>501950_2019_12_</v>
      </c>
    </row>
    <row r="646" spans="1:2" x14ac:dyDescent="0.25">
      <c r="A646" s="2277" t="s">
        <v>2255</v>
      </c>
      <c r="B646" s="2277" t="str">
        <f>VLOOKUP(A646,' Measure INDEX'!$B$9:$B$669,1,FALSE)</f>
        <v>502000_2019_12_</v>
      </c>
    </row>
    <row r="647" spans="1:2" x14ac:dyDescent="0.25">
      <c r="A647" s="2277" t="s">
        <v>2256</v>
      </c>
      <c r="B647" s="2277" t="str">
        <f>VLOOKUP(A647,' Measure INDEX'!$B$9:$B$669,1,FALSE)</f>
        <v>502050_2019_12_</v>
      </c>
    </row>
    <row r="648" spans="1:2" x14ac:dyDescent="0.25">
      <c r="A648" s="2277" t="s">
        <v>2257</v>
      </c>
      <c r="B648" s="2277" t="str">
        <f>VLOOKUP(A648,' Measure INDEX'!$B$9:$B$669,1,FALSE)</f>
        <v>502100_2019_12_</v>
      </c>
    </row>
    <row r="649" spans="1:2" x14ac:dyDescent="0.25">
      <c r="A649" s="2277" t="s">
        <v>2258</v>
      </c>
      <c r="B649" s="2277" t="str">
        <f>VLOOKUP(A649,' Measure INDEX'!$B$9:$B$669,1,FALSE)</f>
        <v>502150_2019_12_</v>
      </c>
    </row>
    <row r="650" spans="1:2" x14ac:dyDescent="0.25">
      <c r="A650" s="2277" t="s">
        <v>2259</v>
      </c>
      <c r="B650" s="2277" t="str">
        <f>VLOOKUP(A650,' Measure INDEX'!$B$9:$B$669,1,FALSE)</f>
        <v>502200_2019_12_</v>
      </c>
    </row>
    <row r="651" spans="1:2" x14ac:dyDescent="0.25">
      <c r="A651" s="2277" t="s">
        <v>2260</v>
      </c>
      <c r="B651" s="2277" t="str">
        <f>VLOOKUP(A651,' Measure INDEX'!$B$9:$B$669,1,FALSE)</f>
        <v>502250_2019_12_</v>
      </c>
    </row>
    <row r="652" spans="1:2" x14ac:dyDescent="0.25">
      <c r="A652" s="2277" t="s">
        <v>2261</v>
      </c>
      <c r="B652" s="2277" t="str">
        <f>VLOOKUP(A652,' Measure INDEX'!$B$9:$B$669,1,FALSE)</f>
        <v>502300_2019_12_</v>
      </c>
    </row>
    <row r="653" spans="1:2" x14ac:dyDescent="0.25">
      <c r="A653" s="2277" t="s">
        <v>2262</v>
      </c>
      <c r="B653" s="2277" t="str">
        <f>VLOOKUP(A653,' Measure INDEX'!$B$9:$B$669,1,FALSE)</f>
        <v>502350_2019_12_</v>
      </c>
    </row>
    <row r="654" spans="1:2" x14ac:dyDescent="0.25">
      <c r="A654" s="2277" t="s">
        <v>2268</v>
      </c>
      <c r="B654" s="2277" t="str">
        <f>VLOOKUP(A654,' Measure INDEX'!$B$9:$B$669,1,FALSE)</f>
        <v>502400_2019_12_</v>
      </c>
    </row>
    <row r="655" spans="1:2" x14ac:dyDescent="0.25">
      <c r="A655" s="2277" t="s">
        <v>2282</v>
      </c>
      <c r="B655" s="2277" t="str">
        <f>VLOOKUP(A655,' Measure INDEX'!$B$9:$B$669,1,FALSE)</f>
        <v>502450_2019_12_</v>
      </c>
    </row>
    <row r="656" spans="1:2" x14ac:dyDescent="0.25">
      <c r="A656" s="2277" t="s">
        <v>2303</v>
      </c>
      <c r="B656" s="2277" t="str">
        <f>VLOOKUP(A656,' Measure INDEX'!$B$9:$B$669,1,FALSE)</f>
        <v>550050_2019_12_</v>
      </c>
    </row>
    <row r="657" spans="1:2" x14ac:dyDescent="0.25">
      <c r="A657" s="2277" t="s">
        <v>2306</v>
      </c>
      <c r="B657" s="2277" t="str">
        <f>VLOOKUP(A657,' Measure INDEX'!$B$9:$B$669,1,FALSE)</f>
        <v>550100_2019_12_</v>
      </c>
    </row>
    <row r="658" spans="1:2" x14ac:dyDescent="0.25">
      <c r="A658" s="2277" t="s">
        <v>2311</v>
      </c>
      <c r="B658" s="2277" t="str">
        <f>VLOOKUP(A658,' Measure INDEX'!$B$9:$B$669,1,FALSE)</f>
        <v>550150_2019_12_</v>
      </c>
    </row>
    <row r="659" spans="1:2" x14ac:dyDescent="0.25">
      <c r="A659" s="2277" t="s">
        <v>2314</v>
      </c>
      <c r="B659" s="2277" t="str">
        <f>VLOOKUP(A659,' Measure INDEX'!$B$9:$B$669,1,FALSE)</f>
        <v>550200_2019_12_</v>
      </c>
    </row>
    <row r="660" spans="1:2" x14ac:dyDescent="0.25">
      <c r="A660" s="2277" t="s">
        <v>2316</v>
      </c>
      <c r="B660" s="2277" t="str">
        <f>VLOOKUP(A660,' Measure INDEX'!$B$9:$B$669,1,FALSE)</f>
        <v>550250_2019_12_</v>
      </c>
    </row>
    <row r="661" spans="1:2" x14ac:dyDescent="0.25">
      <c r="A661" s="2277" t="s">
        <v>2330</v>
      </c>
      <c r="B661" s="2277" t="str">
        <f>VLOOKUP(A661,' Measure INDEX'!$B$9:$B$669,1,FALSE)</f>
        <v>550300_2019_12_</v>
      </c>
    </row>
    <row r="662" spans="1:2" x14ac:dyDescent="0.25">
      <c r="A662" s="2277" t="s">
        <v>3607</v>
      </c>
      <c r="B662" s="2277" t="str">
        <f>VLOOKUP(A662,' Measure INDEX'!$B$9:$B$669,1,FALSE)</f>
        <v>600050_2020_12_</v>
      </c>
    </row>
  </sheetData>
  <autoFilter ref="A1:L66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election activeCell="D32" sqref="D32"/>
    </sheetView>
  </sheetViews>
  <sheetFormatPr defaultRowHeight="15" x14ac:dyDescent="0.25"/>
  <cols>
    <col min="1" max="1" width="3" style="135" customWidth="1"/>
    <col min="2" max="2" width="20.5703125" style="2049" customWidth="1"/>
    <col min="3" max="3" width="27.28515625" style="2049" customWidth="1"/>
    <col min="4" max="4" width="19.140625" style="2049" bestFit="1" customWidth="1"/>
    <col min="5" max="5" width="68.28515625" style="2104" customWidth="1"/>
  </cols>
  <sheetData>
    <row r="2" spans="1:5" x14ac:dyDescent="0.25">
      <c r="B2" s="2180" t="s">
        <v>3391</v>
      </c>
      <c r="C2" s="2180"/>
      <c r="D2" s="2180"/>
    </row>
    <row r="3" spans="1:5" x14ac:dyDescent="0.25">
      <c r="B3" s="2180"/>
      <c r="C3" s="2180"/>
      <c r="D3" s="2180"/>
    </row>
    <row r="4" spans="1:5" x14ac:dyDescent="0.25">
      <c r="A4" s="2105" t="s">
        <v>3384</v>
      </c>
      <c r="B4" s="2167" t="s">
        <v>3279</v>
      </c>
      <c r="C4" s="2167" t="s">
        <v>3379</v>
      </c>
      <c r="D4" s="2167" t="s">
        <v>3317</v>
      </c>
      <c r="E4" s="2168" t="s">
        <v>4</v>
      </c>
    </row>
    <row r="5" spans="1:5" x14ac:dyDescent="0.25">
      <c r="A5" s="2181">
        <v>1</v>
      </c>
      <c r="B5" s="2166" t="s">
        <v>3318</v>
      </c>
      <c r="C5" s="2166" t="s">
        <v>3377</v>
      </c>
      <c r="D5" s="2166" t="s">
        <v>3319</v>
      </c>
      <c r="E5" s="2173" t="s">
        <v>3388</v>
      </c>
    </row>
    <row r="6" spans="1:5" x14ac:dyDescent="0.25">
      <c r="A6" s="2181">
        <v>2</v>
      </c>
      <c r="B6" s="2166" t="s">
        <v>240</v>
      </c>
      <c r="C6" s="2166" t="s">
        <v>3378</v>
      </c>
      <c r="D6" s="2166" t="s">
        <v>3370</v>
      </c>
      <c r="E6" s="2173" t="s">
        <v>3394</v>
      </c>
    </row>
    <row r="7" spans="1:5" x14ac:dyDescent="0.25">
      <c r="A7" s="2181">
        <v>3</v>
      </c>
      <c r="B7" s="2166" t="s">
        <v>240</v>
      </c>
      <c r="C7" s="2166" t="s">
        <v>3377</v>
      </c>
      <c r="D7" s="2166" t="s">
        <v>3374</v>
      </c>
      <c r="E7" s="2173" t="s">
        <v>3389</v>
      </c>
    </row>
    <row r="8" spans="1:5" ht="81.75" customHeight="1" x14ac:dyDescent="0.25">
      <c r="A8" s="2181">
        <v>4</v>
      </c>
      <c r="B8" s="2166" t="s">
        <v>240</v>
      </c>
      <c r="C8" s="2166" t="s">
        <v>3377</v>
      </c>
      <c r="D8" s="2166" t="s">
        <v>3376</v>
      </c>
      <c r="E8" s="2173" t="s">
        <v>3393</v>
      </c>
    </row>
    <row r="9" spans="1:5" x14ac:dyDescent="0.25">
      <c r="A9" s="2181">
        <v>5</v>
      </c>
      <c r="B9" s="2166" t="s">
        <v>3321</v>
      </c>
      <c r="C9" s="2166" t="s">
        <v>3377</v>
      </c>
      <c r="D9" s="2166" t="s">
        <v>3320</v>
      </c>
      <c r="E9" s="2173" t="s">
        <v>3389</v>
      </c>
    </row>
    <row r="10" spans="1:5" ht="30" x14ac:dyDescent="0.25">
      <c r="A10" s="2181">
        <v>6</v>
      </c>
      <c r="B10" s="2166" t="s">
        <v>3321</v>
      </c>
      <c r="C10" s="2166" t="s">
        <v>3378</v>
      </c>
      <c r="D10" s="2166" t="s">
        <v>3371</v>
      </c>
      <c r="E10" s="2173" t="s">
        <v>3372</v>
      </c>
    </row>
    <row r="11" spans="1:5" ht="30" x14ac:dyDescent="0.25">
      <c r="A11" s="2181">
        <v>7</v>
      </c>
      <c r="B11" s="2166" t="s">
        <v>3321</v>
      </c>
      <c r="C11" s="2166" t="s">
        <v>3377</v>
      </c>
      <c r="D11" s="2166" t="s">
        <v>3373</v>
      </c>
      <c r="E11" s="2173" t="s">
        <v>3390</v>
      </c>
    </row>
    <row r="12" spans="1:5" x14ac:dyDescent="0.25">
      <c r="A12" s="2181">
        <v>8</v>
      </c>
      <c r="B12" s="2166" t="s">
        <v>2147</v>
      </c>
      <c r="C12" s="2166" t="s">
        <v>3377</v>
      </c>
      <c r="D12" s="2166" t="s">
        <v>3322</v>
      </c>
      <c r="E12" s="2173" t="s">
        <v>3388</v>
      </c>
    </row>
    <row r="13" spans="1:5" x14ac:dyDescent="0.25">
      <c r="A13" s="2181">
        <v>9</v>
      </c>
      <c r="B13" s="2166" t="s">
        <v>2147</v>
      </c>
      <c r="C13" s="2166" t="s">
        <v>3377</v>
      </c>
      <c r="D13" s="2166" t="s">
        <v>3323</v>
      </c>
      <c r="E13" s="2173" t="s">
        <v>3389</v>
      </c>
    </row>
    <row r="14" spans="1:5" x14ac:dyDescent="0.25">
      <c r="A14" s="2182"/>
      <c r="B14" s="2183"/>
      <c r="C14" s="2183"/>
      <c r="D14" s="2183"/>
      <c r="E14" s="2184"/>
    </row>
    <row r="15" spans="1:5" x14ac:dyDescent="0.25">
      <c r="A15" s="2182"/>
      <c r="B15" s="2183"/>
      <c r="C15" s="2183"/>
      <c r="D15" s="2183"/>
      <c r="E15" s="2184"/>
    </row>
    <row r="16" spans="1:5" x14ac:dyDescent="0.25">
      <c r="A16" s="2185"/>
      <c r="B16" s="2186"/>
      <c r="C16" s="2186"/>
      <c r="D16" s="2186"/>
      <c r="E16" s="218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0" zoomScaleNormal="80" workbookViewId="0">
      <selection activeCell="K11" sqref="K11"/>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3330"/>
      <c r="E1" s="3330"/>
      <c r="F1" s="3331"/>
      <c r="G1" s="3331"/>
    </row>
    <row r="3" spans="1:13" ht="46.5" x14ac:dyDescent="0.7">
      <c r="A3" s="3332" t="s">
        <v>0</v>
      </c>
      <c r="B3" s="3332"/>
      <c r="C3" s="3332"/>
      <c r="D3" s="3332"/>
      <c r="E3" s="3332"/>
      <c r="F3" s="3332"/>
      <c r="G3" s="1"/>
      <c r="H3" s="1"/>
      <c r="I3" s="1"/>
      <c r="J3" s="1"/>
      <c r="K3" s="1"/>
      <c r="L3" s="1"/>
      <c r="M3" s="1"/>
    </row>
    <row r="4" spans="1:13" ht="18.75" customHeight="1" thickBot="1" x14ac:dyDescent="0.6">
      <c r="D4" s="3333"/>
      <c r="E4" s="3333"/>
      <c r="F4" s="3334"/>
      <c r="G4" s="3334"/>
    </row>
    <row r="5" spans="1:13" ht="18.75" x14ac:dyDescent="0.25">
      <c r="A5" s="3335" t="s">
        <v>1</v>
      </c>
      <c r="B5" s="3335" t="s">
        <v>2</v>
      </c>
      <c r="C5" s="3339" t="s">
        <v>3</v>
      </c>
      <c r="D5" s="3340"/>
      <c r="E5" s="3341"/>
      <c r="F5" s="3335" t="s">
        <v>4</v>
      </c>
    </row>
    <row r="6" spans="1:13" ht="77.25" customHeight="1" x14ac:dyDescent="0.25">
      <c r="A6" s="3336"/>
      <c r="B6" s="3337"/>
      <c r="C6" s="2" t="s">
        <v>5</v>
      </c>
      <c r="D6" s="3" t="s">
        <v>6</v>
      </c>
      <c r="E6" s="4" t="s">
        <v>7</v>
      </c>
      <c r="F6" s="3337"/>
    </row>
    <row r="7" spans="1:13" ht="15.75" thickBot="1" x14ac:dyDescent="0.3">
      <c r="A7" s="5" t="s">
        <v>8</v>
      </c>
      <c r="B7" s="3338"/>
      <c r="C7" s="6" t="s">
        <v>8</v>
      </c>
      <c r="D7" s="7" t="s">
        <v>8</v>
      </c>
      <c r="E7" s="8" t="s">
        <v>8</v>
      </c>
      <c r="F7" s="3338"/>
    </row>
    <row r="8" spans="1:13" ht="35.1" customHeight="1" x14ac:dyDescent="0.25">
      <c r="A8" s="9">
        <v>1</v>
      </c>
      <c r="B8" s="10">
        <v>43250</v>
      </c>
      <c r="C8" s="11">
        <v>1</v>
      </c>
      <c r="D8" s="11">
        <v>1</v>
      </c>
      <c r="E8" s="11">
        <v>1</v>
      </c>
      <c r="F8" s="12" t="s">
        <v>9</v>
      </c>
    </row>
    <row r="9" spans="1:13" ht="47.25" customHeight="1" x14ac:dyDescent="0.25">
      <c r="A9" s="13">
        <v>2</v>
      </c>
      <c r="B9" s="2238">
        <v>43465</v>
      </c>
      <c r="C9" s="14">
        <v>1</v>
      </c>
      <c r="D9" s="14">
        <v>1</v>
      </c>
      <c r="E9" s="14">
        <v>2</v>
      </c>
      <c r="F9" s="15" t="s">
        <v>10</v>
      </c>
    </row>
    <row r="10" spans="1:13" ht="41.25" customHeight="1" x14ac:dyDescent="0.25">
      <c r="A10" s="13">
        <v>3</v>
      </c>
      <c r="B10" s="2238">
        <v>43831</v>
      </c>
      <c r="C10" s="14">
        <v>1</v>
      </c>
      <c r="D10" s="14">
        <v>1</v>
      </c>
      <c r="E10" s="14">
        <v>3</v>
      </c>
      <c r="F10" s="15" t="s">
        <v>3211</v>
      </c>
    </row>
    <row r="11" spans="1:13" ht="35.1" customHeight="1" x14ac:dyDescent="0.25">
      <c r="A11" s="16">
        <v>3.1</v>
      </c>
      <c r="B11" s="2239">
        <v>43867</v>
      </c>
      <c r="C11" s="18">
        <v>1</v>
      </c>
      <c r="D11" s="18">
        <v>1</v>
      </c>
      <c r="E11" s="18">
        <v>3</v>
      </c>
      <c r="F11" s="19" t="s">
        <v>3375</v>
      </c>
    </row>
    <row r="12" spans="1:13" ht="35.1" customHeight="1" x14ac:dyDescent="0.25">
      <c r="A12" s="16">
        <v>3.2</v>
      </c>
      <c r="B12" s="2239">
        <v>44000</v>
      </c>
      <c r="C12" s="18">
        <v>1</v>
      </c>
      <c r="D12" s="18">
        <v>1.1000000000000001</v>
      </c>
      <c r="E12" s="18">
        <v>3</v>
      </c>
      <c r="F12" s="19" t="s">
        <v>3462</v>
      </c>
    </row>
    <row r="13" spans="1:13" ht="40.5" customHeight="1" x14ac:dyDescent="0.25">
      <c r="A13" s="4140">
        <v>4</v>
      </c>
      <c r="B13" s="4145">
        <v>44197</v>
      </c>
      <c r="C13" s="4141">
        <v>1</v>
      </c>
      <c r="D13" s="4141">
        <v>2</v>
      </c>
      <c r="E13" s="4141">
        <v>4</v>
      </c>
      <c r="F13" s="4142" t="s">
        <v>3801</v>
      </c>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10"/>
  <sheetViews>
    <sheetView zoomScale="70" zoomScaleNormal="70" workbookViewId="0">
      <selection activeCell="C16" sqref="C16"/>
    </sheetView>
  </sheetViews>
  <sheetFormatPr defaultRowHeight="15" outlineLevelRow="1" x14ac:dyDescent="0.25"/>
  <cols>
    <col min="1" max="1" width="5.85546875" style="157" customWidth="1"/>
    <col min="2" max="2" width="9.140625" style="157"/>
    <col min="3" max="3" width="20.42578125" style="385" bestFit="1" customWidth="1"/>
    <col min="4" max="4" width="14" style="157" customWidth="1"/>
    <col min="5" max="5" width="75" style="157" customWidth="1"/>
    <col min="6" max="6" width="76.85546875" style="157" customWidth="1"/>
    <col min="7" max="7" width="15.5703125" style="157" customWidth="1"/>
    <col min="8" max="8" width="20.85546875" style="157" customWidth="1"/>
    <col min="9" max="9" width="16.85546875" style="157" customWidth="1"/>
    <col min="10" max="10" width="15.28515625" style="157" customWidth="1"/>
    <col min="11" max="11" width="18" style="157" customWidth="1"/>
    <col min="12" max="12" width="11.140625" style="157" customWidth="1"/>
    <col min="13" max="13" width="12.5703125" style="157" customWidth="1"/>
    <col min="14" max="14" width="11.7109375" style="157" customWidth="1"/>
    <col min="15" max="15" width="11.42578125" style="157" customWidth="1"/>
    <col min="16" max="17" width="9.140625" style="157" customWidth="1"/>
    <col min="18" max="18" width="15.42578125" style="157" customWidth="1"/>
    <col min="19" max="19" width="21" style="157" customWidth="1"/>
    <col min="20" max="21" width="9.140625" style="157" customWidth="1"/>
    <col min="22" max="22" width="23.85546875" customWidth="1"/>
    <col min="23" max="28" width="19.285156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3343" t="s">
        <v>517</v>
      </c>
      <c r="B1" s="3344"/>
      <c r="C1" s="3344"/>
      <c r="D1" s="3344"/>
      <c r="E1" s="3344"/>
      <c r="F1" s="3344"/>
      <c r="G1" s="3344"/>
      <c r="H1" s="3344"/>
      <c r="I1" s="3344"/>
      <c r="J1" s="3344"/>
      <c r="K1" s="3344"/>
      <c r="L1" s="3344"/>
      <c r="M1" s="3344"/>
      <c r="N1" s="3344"/>
      <c r="O1" s="3344"/>
      <c r="P1" s="3344"/>
      <c r="Q1" s="3345"/>
      <c r="R1" s="3346"/>
      <c r="S1" s="3346"/>
      <c r="T1" s="1470"/>
      <c r="U1" s="1470"/>
      <c r="V1" s="33"/>
      <c r="W1" s="34"/>
      <c r="X1" s="34"/>
      <c r="Y1" s="35"/>
      <c r="Z1" s="35"/>
      <c r="AA1" s="35"/>
      <c r="AB1" s="35"/>
      <c r="AC1" s="35"/>
      <c r="AD1" s="35"/>
      <c r="AE1" s="35"/>
      <c r="AF1" s="35"/>
      <c r="AG1" s="35"/>
      <c r="AH1" s="35"/>
    </row>
    <row r="2" spans="1:57" s="26" customFormat="1" ht="30" customHeight="1" outlineLevel="1" x14ac:dyDescent="0.35">
      <c r="A2" s="1470"/>
      <c r="B2" s="1472"/>
      <c r="C2" s="190"/>
      <c r="D2" s="3347" t="s">
        <v>3212</v>
      </c>
      <c r="E2" s="3348"/>
      <c r="F2" s="3349"/>
      <c r="G2" s="3349"/>
      <c r="H2" s="3349"/>
      <c r="I2" s="3349"/>
      <c r="J2" s="3349"/>
      <c r="K2" s="972"/>
      <c r="L2" s="972"/>
      <c r="M2" s="1470"/>
      <c r="N2" s="1470"/>
      <c r="O2" s="1470"/>
      <c r="P2" s="1470"/>
      <c r="Q2" s="1470"/>
      <c r="R2" s="1470"/>
      <c r="S2" s="1470"/>
      <c r="T2" s="1470"/>
      <c r="U2" s="1470"/>
    </row>
    <row r="3" spans="1:57" s="29" customFormat="1" ht="33.75" customHeight="1" x14ac:dyDescent="0.25">
      <c r="A3" s="973"/>
      <c r="B3" s="973"/>
      <c r="C3" s="191"/>
      <c r="D3" s="191"/>
      <c r="E3" s="191"/>
      <c r="F3" s="191"/>
      <c r="G3" s="191"/>
      <c r="H3" s="191"/>
      <c r="I3" s="191"/>
      <c r="J3" s="191"/>
      <c r="K3" s="973"/>
      <c r="L3" s="973"/>
      <c r="M3" s="973"/>
      <c r="N3" s="973"/>
      <c r="O3" s="973"/>
      <c r="P3" s="973"/>
      <c r="Q3" s="973"/>
      <c r="R3" s="973"/>
      <c r="S3" s="973"/>
      <c r="T3" s="973"/>
      <c r="U3" s="973"/>
    </row>
    <row r="4" spans="1:57" x14ac:dyDescent="0.25">
      <c r="B4" s="3350" t="s">
        <v>518</v>
      </c>
      <c r="C4" s="3351"/>
      <c r="D4" s="3351"/>
      <c r="E4" s="3351"/>
      <c r="F4" s="3351"/>
      <c r="G4" s="3351"/>
      <c r="H4" s="3351"/>
      <c r="I4" s="3352"/>
      <c r="J4" s="3352"/>
      <c r="K4" s="3352"/>
      <c r="L4" s="3352"/>
      <c r="M4" s="3352"/>
      <c r="N4" s="3352"/>
      <c r="O4" s="3352"/>
      <c r="P4" s="3352"/>
      <c r="Q4" s="3352"/>
      <c r="R4" s="3352"/>
      <c r="S4" s="3353"/>
      <c r="V4" s="3350" t="str">
        <f>B4</f>
        <v>Lighting Program</v>
      </c>
      <c r="W4" s="3351"/>
      <c r="X4" s="3351"/>
      <c r="Y4" s="3351"/>
      <c r="Z4" s="3351"/>
      <c r="AA4" s="3351"/>
      <c r="AB4" s="3351"/>
      <c r="AC4" s="3354"/>
      <c r="AD4" s="3354"/>
      <c r="AE4" s="3354"/>
      <c r="AF4" s="3354"/>
      <c r="AG4" s="3354"/>
      <c r="AH4" s="3354"/>
      <c r="AI4" s="3355"/>
    </row>
    <row r="5" spans="1:57" x14ac:dyDescent="0.25">
      <c r="E5" s="648" t="s">
        <v>3837</v>
      </c>
    </row>
    <row r="6" spans="1:57" ht="30" x14ac:dyDescent="0.25">
      <c r="C6" s="2765" t="s">
        <v>17</v>
      </c>
      <c r="D6" s="2765" t="s">
        <v>18</v>
      </c>
      <c r="E6" s="2765" t="s">
        <v>19</v>
      </c>
      <c r="F6" s="2765" t="s">
        <v>20</v>
      </c>
      <c r="G6" s="2765" t="s">
        <v>23</v>
      </c>
      <c r="H6" s="2765" t="s">
        <v>519</v>
      </c>
      <c r="I6" s="2765" t="s">
        <v>520</v>
      </c>
      <c r="J6" s="2765" t="s">
        <v>521</v>
      </c>
      <c r="K6" s="2765" t="s">
        <v>522</v>
      </c>
      <c r="L6" s="1409" t="s">
        <v>523</v>
      </c>
      <c r="M6" s="1409" t="s">
        <v>524</v>
      </c>
      <c r="N6" s="1409" t="s">
        <v>525</v>
      </c>
      <c r="O6" s="1409" t="s">
        <v>526</v>
      </c>
      <c r="P6" s="1409" t="s">
        <v>527</v>
      </c>
      <c r="Q6" s="1409" t="s">
        <v>528</v>
      </c>
      <c r="R6" s="1409" t="s">
        <v>529</v>
      </c>
      <c r="S6" s="1409" t="s">
        <v>26</v>
      </c>
      <c r="V6" s="55" t="s">
        <v>27</v>
      </c>
      <c r="W6" s="56">
        <v>43252</v>
      </c>
      <c r="X6" s="56">
        <v>43435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64" customFormat="1" x14ac:dyDescent="0.25">
      <c r="A7" s="157"/>
      <c r="B7" s="157"/>
      <c r="C7" s="1670" t="s">
        <v>530</v>
      </c>
      <c r="D7" s="3080" t="s">
        <v>16</v>
      </c>
      <c r="E7" s="3008" t="s">
        <v>531</v>
      </c>
      <c r="F7" s="601">
        <f>ROUND(L7+M7,2)</f>
        <v>9.68</v>
      </c>
      <c r="G7" s="1757">
        <f t="shared" ref="G7:G14" si="0">ROUND(((L7/F7)*I7+(M7/F7)*K7)*F7,6)</f>
        <v>1.5009999999999999E-3</v>
      </c>
      <c r="H7" s="140" t="s">
        <v>532</v>
      </c>
      <c r="I7" s="515">
        <f>VLOOKUP(H7,'CP FACTORS'!$A$3:$B$38, 2, FALSE)</f>
        <v>1.4925290000000001E-4</v>
      </c>
      <c r="J7" s="140" t="s">
        <v>36</v>
      </c>
      <c r="K7" s="515">
        <f>VLOOKUP(J7,'CP FACTORS'!$A$3:$B$38, 2, FALSE)</f>
        <v>1.899635E-4</v>
      </c>
      <c r="L7" s="2410">
        <f>((G42-G66)*$G$104*$G$90*(1-$G$97)*($G$100*$G$101)/1000)</f>
        <v>8.290220325649365</v>
      </c>
      <c r="M7" s="2491">
        <f t="shared" ref="M7:M14" si="1">((G42-G66)*(1-$G$104)*$G$90*(1-$G$97)*($G$102*$G$103)/1000)</f>
        <v>1.3873010057369219</v>
      </c>
      <c r="N7" s="2492">
        <f>L7*I7</f>
        <v>1.2373394252421122E-3</v>
      </c>
      <c r="O7" s="2492">
        <f>M7*K7</f>
        <v>2.635365546033058E-4</v>
      </c>
      <c r="P7" s="3095">
        <f t="shared" ref="P7:P14" si="2">$G$107</f>
        <v>19</v>
      </c>
      <c r="Q7" s="3095">
        <f t="shared" ref="Q7:Q14" si="3">$G$108</f>
        <v>6</v>
      </c>
      <c r="R7" s="2493">
        <v>9.9999999999999995E-7</v>
      </c>
      <c r="S7" s="1670" t="s">
        <v>533</v>
      </c>
      <c r="T7" s="277"/>
      <c r="U7" s="277"/>
      <c r="V7" s="3080" t="s">
        <v>20</v>
      </c>
      <c r="W7" s="2372">
        <v>12.91958407191729</v>
      </c>
      <c r="X7" s="163">
        <v>12.018748359511475</v>
      </c>
      <c r="Y7" s="2509">
        <v>9.52</v>
      </c>
      <c r="Z7" s="163">
        <v>9.52</v>
      </c>
      <c r="AA7" s="163">
        <v>9.52</v>
      </c>
      <c r="AB7" s="2509">
        <v>9.68</v>
      </c>
      <c r="AC7" s="2510"/>
      <c r="AD7" s="2510"/>
      <c r="AE7" s="2510"/>
      <c r="AF7" s="2510"/>
      <c r="AG7" s="2510"/>
      <c r="AH7" s="2518"/>
      <c r="AI7" s="2511"/>
      <c r="AJ7" s="2511"/>
      <c r="AK7" s="2511"/>
      <c r="BB7" s="144">
        <f>(BD7)/(BE7)</f>
        <v>22797.049945335755</v>
      </c>
      <c r="BC7" s="68" t="str">
        <f>CONCATENATE(H7," ",P7," Year EUL")</f>
        <v>Lighting RES 19 Year EUL</v>
      </c>
      <c r="BD7" s="145">
        <f>(INDEX('Avoided Cost Benefits'!$C$4:$C$857,MATCH(BC7,'Avoided Cost Benefits'!$A$4:$A$857,0)))*F7</f>
        <v>5.6704634239860923</v>
      </c>
      <c r="BE7" s="69">
        <f>O7/(1.0595^(2020-2019))</f>
        <v>2.4873671977659819E-4</v>
      </c>
    </row>
    <row r="8" spans="1:57" s="64" customFormat="1" x14ac:dyDescent="0.25">
      <c r="A8" s="157"/>
      <c r="B8" s="157"/>
      <c r="C8" s="1670" t="s">
        <v>534</v>
      </c>
      <c r="D8" s="3080" t="s">
        <v>16</v>
      </c>
      <c r="E8" s="3008" t="s">
        <v>535</v>
      </c>
      <c r="F8" s="601">
        <f t="shared" ref="F8:F30" si="4">ROUND(L8+M8,2)</f>
        <v>39.74</v>
      </c>
      <c r="G8" s="1757">
        <f t="shared" si="0"/>
        <v>6.1640000000000002E-3</v>
      </c>
      <c r="H8" s="140" t="s">
        <v>532</v>
      </c>
      <c r="I8" s="515">
        <f>VLOOKUP(H8,'CP FACTORS'!$A$3:$B$38, 2, FALSE)</f>
        <v>1.4925290000000001E-4</v>
      </c>
      <c r="J8" s="140" t="s">
        <v>36</v>
      </c>
      <c r="K8" s="515">
        <f>VLOOKUP(J8,'CP FACTORS'!$A$3:$B$38, 2, FALSE)</f>
        <v>1.899635E-4</v>
      </c>
      <c r="L8" s="2410">
        <f>((G43-G67)*$G$104*$G$90*(1-$G$97)*($G$100*$G$101)/1000)</f>
        <v>34.046244638346423</v>
      </c>
      <c r="M8" s="2491">
        <f t="shared" si="1"/>
        <v>5.6973623827836688</v>
      </c>
      <c r="N8" s="2492">
        <f t="shared" ref="N8:N30" si="5">L8*I8</f>
        <v>5.0815007463826554E-3</v>
      </c>
      <c r="O8" s="2492">
        <f t="shared" ref="O8:O30" si="6">M8*K8</f>
        <v>1.0822908990019255E-3</v>
      </c>
      <c r="P8" s="3095">
        <f t="shared" si="2"/>
        <v>19</v>
      </c>
      <c r="Q8" s="3095">
        <f t="shared" si="3"/>
        <v>6</v>
      </c>
      <c r="R8" s="2493">
        <v>9.9999999999999995E-7</v>
      </c>
      <c r="S8" s="1670" t="s">
        <v>533</v>
      </c>
      <c r="T8" s="277"/>
      <c r="U8" s="277"/>
      <c r="V8" s="3080" t="s">
        <v>20</v>
      </c>
      <c r="W8" s="2372">
        <v>33.221787613501611</v>
      </c>
      <c r="X8" s="163">
        <v>25.609179196805226</v>
      </c>
      <c r="Y8" s="2509">
        <v>39.11</v>
      </c>
      <c r="Z8" s="163">
        <v>39.11</v>
      </c>
      <c r="AA8" s="163">
        <v>39.11</v>
      </c>
      <c r="AB8" s="2509">
        <v>39.74</v>
      </c>
      <c r="AC8" s="2510"/>
      <c r="AD8" s="2510"/>
      <c r="AE8" s="2510"/>
      <c r="AF8" s="2510"/>
      <c r="AG8" s="2510"/>
      <c r="AH8" s="2518"/>
      <c r="AI8" s="2511"/>
      <c r="AJ8" s="2511"/>
      <c r="AK8" s="2511"/>
      <c r="BB8" s="147">
        <f t="shared" ref="BB8:BB30" si="7">(BD8)/(BE8)</f>
        <v>22789.144046179212</v>
      </c>
      <c r="BC8" s="72" t="str">
        <f t="shared" ref="BC8:BC30" si="8">CONCATENATE(H8," ",P8," Year EUL")</f>
        <v>Lighting RES 19 Year EUL</v>
      </c>
      <c r="BD8" s="148">
        <f>(INDEX('Avoided Cost Benefits'!$C$4:$C$857,MATCH(BC8,'Avoided Cost Benefits'!$A$4:$A$857,0)))*F8</f>
        <v>23.279361205496624</v>
      </c>
      <c r="BE8" s="73">
        <f t="shared" ref="BE8:BE30" si="9">O8/(1.0595^(2020-2019))</f>
        <v>1.0215109948106893E-3</v>
      </c>
    </row>
    <row r="9" spans="1:57" s="64" customFormat="1" x14ac:dyDescent="0.25">
      <c r="A9" s="157"/>
      <c r="B9" s="157"/>
      <c r="C9" s="1670" t="s">
        <v>536</v>
      </c>
      <c r="D9" s="3080" t="s">
        <v>16</v>
      </c>
      <c r="E9" s="3008" t="s">
        <v>3481</v>
      </c>
      <c r="F9" s="601">
        <f t="shared" si="4"/>
        <v>4.7</v>
      </c>
      <c r="G9" s="1757">
        <f t="shared" si="0"/>
        <v>7.2900000000000005E-4</v>
      </c>
      <c r="H9" s="140" t="s">
        <v>532</v>
      </c>
      <c r="I9" s="515">
        <f>VLOOKUP(H9,'CP FACTORS'!$A$3:$B$38, 2, FALSE)</f>
        <v>1.4925290000000001E-4</v>
      </c>
      <c r="J9" s="140" t="s">
        <v>36</v>
      </c>
      <c r="K9" s="515">
        <f>VLOOKUP(J9,'CP FACTORS'!$A$3:$B$38, 2, FALSE)</f>
        <v>1.899635E-4</v>
      </c>
      <c r="L9" s="2410">
        <f>((G44-G68)*$G$104*$G$90*(1-$G$97)*($G$100*$G$101)/1000)</f>
        <v>4.0243787988589146</v>
      </c>
      <c r="M9" s="2491">
        <f t="shared" si="1"/>
        <v>0.67344709016355431</v>
      </c>
      <c r="N9" s="2492">
        <f t="shared" si="5"/>
        <v>6.0065020642820969E-4</v>
      </c>
      <c r="O9" s="2492">
        <f t="shared" si="6"/>
        <v>1.2793036631228436E-4</v>
      </c>
      <c r="P9" s="3095">
        <f t="shared" si="2"/>
        <v>19</v>
      </c>
      <c r="Q9" s="3095">
        <f t="shared" si="3"/>
        <v>6</v>
      </c>
      <c r="R9" s="2493">
        <v>9.9999999999999995E-7</v>
      </c>
      <c r="S9" s="1670" t="s">
        <v>533</v>
      </c>
      <c r="T9" s="277"/>
      <c r="U9" s="277"/>
      <c r="V9" s="3080" t="s">
        <v>20</v>
      </c>
      <c r="W9" s="2372">
        <v>3.9681579649460259</v>
      </c>
      <c r="X9" s="163">
        <v>3.9754321496845653</v>
      </c>
      <c r="Y9" s="2509">
        <v>4.62</v>
      </c>
      <c r="Z9" s="163">
        <v>4.62</v>
      </c>
      <c r="AA9" s="163">
        <v>4.62</v>
      </c>
      <c r="AB9" s="2509">
        <v>4.7</v>
      </c>
      <c r="AC9" s="2510"/>
      <c r="AD9" s="2510"/>
      <c r="AE9" s="2510"/>
      <c r="AF9" s="2510"/>
      <c r="AG9" s="2510"/>
      <c r="AH9" s="2518"/>
      <c r="AI9" s="2511"/>
      <c r="AJ9" s="2511"/>
      <c r="AK9" s="2511"/>
      <c r="BB9" s="147">
        <f t="shared" si="7"/>
        <v>22801.760079621985</v>
      </c>
      <c r="BC9" s="72" t="str">
        <f t="shared" si="8"/>
        <v>Lighting RES 19 Year EUL</v>
      </c>
      <c r="BD9" s="148">
        <f>(INDEX('Avoided Cost Benefits'!$C$4:$C$857,MATCH(BC9,'Avoided Cost Benefits'!$A$4:$A$857,0)))*F9</f>
        <v>2.7532208773486193</v>
      </c>
      <c r="BE9" s="73">
        <f t="shared" si="9"/>
        <v>1.2074598047407678E-4</v>
      </c>
    </row>
    <row r="10" spans="1:57" s="64" customFormat="1" x14ac:dyDescent="0.25">
      <c r="A10" s="157"/>
      <c r="B10" s="157"/>
      <c r="C10" s="1670" t="s">
        <v>538</v>
      </c>
      <c r="D10" s="3080" t="s">
        <v>16</v>
      </c>
      <c r="E10" s="3008" t="s">
        <v>3482</v>
      </c>
      <c r="F10" s="601">
        <f t="shared" si="4"/>
        <v>32.51</v>
      </c>
      <c r="G10" s="1757">
        <f t="shared" si="0"/>
        <v>5.0419999999999996E-3</v>
      </c>
      <c r="H10" s="140" t="s">
        <v>532</v>
      </c>
      <c r="I10" s="515">
        <f>VLOOKUP(H10,'CP FACTORS'!$A$3:$B$38, 2, FALSE)</f>
        <v>1.4925290000000001E-4</v>
      </c>
      <c r="J10" s="140" t="s">
        <v>36</v>
      </c>
      <c r="K10" s="515">
        <f>VLOOKUP(J10,'CP FACTORS'!$A$3:$B$38, 2, FALSE)</f>
        <v>1.899635E-4</v>
      </c>
      <c r="L10" s="2410">
        <f>(($G$45-$G$69)*$G$104*$G$90*(1-$G$97)*($G$100*$G$101)/1000)</f>
        <v>27.848701288103694</v>
      </c>
      <c r="M10" s="2491">
        <f t="shared" si="1"/>
        <v>4.6602538639317963</v>
      </c>
      <c r="N10" s="2492">
        <f t="shared" si="5"/>
        <v>4.1564994284832117E-3</v>
      </c>
      <c r="O10" s="2492">
        <f t="shared" si="6"/>
        <v>8.8527813488100781E-4</v>
      </c>
      <c r="P10" s="3095">
        <f t="shared" si="2"/>
        <v>19</v>
      </c>
      <c r="Q10" s="3095">
        <f t="shared" si="3"/>
        <v>6</v>
      </c>
      <c r="R10" s="2493">
        <v>9.9999999999999995E-7</v>
      </c>
      <c r="S10" s="1670" t="s">
        <v>533</v>
      </c>
      <c r="T10" s="277"/>
      <c r="U10" s="277"/>
      <c r="V10" s="3080" t="s">
        <v>20</v>
      </c>
      <c r="W10" s="2372">
        <v>29.733499914083939</v>
      </c>
      <c r="X10" s="163">
        <v>29.677063256947569</v>
      </c>
      <c r="Y10" s="2509">
        <v>28.75</v>
      </c>
      <c r="Z10" s="163">
        <v>28.75</v>
      </c>
      <c r="AA10" s="163">
        <v>28.75</v>
      </c>
      <c r="AB10" s="2509">
        <v>32.51</v>
      </c>
      <c r="AC10" s="2510"/>
      <c r="AD10" s="2510"/>
      <c r="AE10" s="2510"/>
      <c r="AF10" s="2510"/>
      <c r="AG10" s="2510"/>
      <c r="AH10" s="2518"/>
      <c r="AI10" s="2511"/>
      <c r="AJ10" s="2511"/>
      <c r="AK10" s="2511"/>
      <c r="BB10" s="147">
        <f t="shared" si="7"/>
        <v>22791.945031008196</v>
      </c>
      <c r="BC10" s="72" t="str">
        <f t="shared" si="8"/>
        <v>Lighting RES 19 Year EUL</v>
      </c>
      <c r="BD10" s="148">
        <f>(INDEX('Avoided Cost Benefits'!$C$4:$C$857,MATCH(BC10,'Avoided Cost Benefits'!$A$4:$A$857,0)))*F10</f>
        <v>19.044087387788</v>
      </c>
      <c r="BE10" s="73">
        <f t="shared" si="9"/>
        <v>8.3556218488061134E-4</v>
      </c>
    </row>
    <row r="11" spans="1:57" s="64" customFormat="1" x14ac:dyDescent="0.25">
      <c r="A11" s="157"/>
      <c r="B11" s="157"/>
      <c r="C11" s="1670" t="s">
        <v>540</v>
      </c>
      <c r="D11" s="3080" t="s">
        <v>16</v>
      </c>
      <c r="E11" s="3008" t="s">
        <v>541</v>
      </c>
      <c r="F11" s="601">
        <f t="shared" si="4"/>
        <v>2.44</v>
      </c>
      <c r="G11" s="1757">
        <f t="shared" si="0"/>
        <v>3.79E-4</v>
      </c>
      <c r="H11" s="140" t="s">
        <v>532</v>
      </c>
      <c r="I11" s="515">
        <f>VLOOKUP(H11,'CP FACTORS'!$A$3:$B$38, 2, FALSE)</f>
        <v>1.4925290000000001E-4</v>
      </c>
      <c r="J11" s="140" t="s">
        <v>36</v>
      </c>
      <c r="K11" s="515">
        <f>VLOOKUP(J11,'CP FACTORS'!$A$3:$B$38, 2, FALSE)</f>
        <v>1.899635E-4</v>
      </c>
      <c r="L11" s="2410">
        <f>((G46-G70)*$G$104*$G$90*(1-$G$97)*($G$100*$G$101)/1000)</f>
        <v>2.0926769754066354</v>
      </c>
      <c r="M11" s="2491">
        <f t="shared" si="1"/>
        <v>0.35019248688504817</v>
      </c>
      <c r="N11" s="2492">
        <f t="shared" si="5"/>
        <v>3.1233810734266905E-4</v>
      </c>
      <c r="O11" s="2492">
        <f t="shared" si="6"/>
        <v>6.6523790482387853E-5</v>
      </c>
      <c r="P11" s="3095">
        <f t="shared" si="2"/>
        <v>19</v>
      </c>
      <c r="Q11" s="3095">
        <f t="shared" si="3"/>
        <v>6</v>
      </c>
      <c r="R11" s="2493">
        <v>9.9999999999999995E-7</v>
      </c>
      <c r="S11" s="1670" t="s">
        <v>533</v>
      </c>
      <c r="T11" s="277"/>
      <c r="U11" s="277"/>
      <c r="V11" s="3080" t="s">
        <v>20</v>
      </c>
      <c r="W11" s="2372">
        <v>7.8440331865212132</v>
      </c>
      <c r="X11" s="163">
        <v>7.8584123889113489</v>
      </c>
      <c r="Y11" s="2509">
        <v>2.4</v>
      </c>
      <c r="Z11" s="163">
        <v>2.4</v>
      </c>
      <c r="AA11" s="163">
        <v>2.4</v>
      </c>
      <c r="AB11" s="2509">
        <v>2.44</v>
      </c>
      <c r="AC11" s="2510"/>
      <c r="AD11" s="2510"/>
      <c r="AE11" s="2510"/>
      <c r="AF11" s="2510"/>
      <c r="AG11" s="2510"/>
      <c r="AH11" s="2518"/>
      <c r="AI11" s="2511"/>
      <c r="AJ11" s="2511"/>
      <c r="AK11" s="2511"/>
      <c r="BB11" s="147">
        <f t="shared" si="7"/>
        <v>22764.441323354193</v>
      </c>
      <c r="BC11" s="72" t="str">
        <f t="shared" si="8"/>
        <v>Lighting RES 19 Year EUL</v>
      </c>
      <c r="BD11" s="148">
        <f>(INDEX('Avoided Cost Benefits'!$C$4:$C$857,MATCH(BC11,'Avoided Cost Benefits'!$A$4:$A$857,0)))*F11</f>
        <v>1.4293316895171555</v>
      </c>
      <c r="BE11" s="73">
        <f t="shared" si="9"/>
        <v>6.278790984651991E-5</v>
      </c>
    </row>
    <row r="12" spans="1:57" s="64" customFormat="1" x14ac:dyDescent="0.25">
      <c r="A12" s="157"/>
      <c r="B12" s="157"/>
      <c r="C12" s="1670" t="s">
        <v>542</v>
      </c>
      <c r="D12" s="3080" t="s">
        <v>16</v>
      </c>
      <c r="E12" s="3008" t="s">
        <v>2212</v>
      </c>
      <c r="F12" s="601">
        <f t="shared" si="4"/>
        <v>72.16</v>
      </c>
      <c r="G12" s="1757">
        <f t="shared" si="0"/>
        <v>1.1191E-2</v>
      </c>
      <c r="H12" s="140" t="s">
        <v>532</v>
      </c>
      <c r="I12" s="515">
        <f>VLOOKUP(H12,'CP FACTORS'!$A$3:$B$38, 2, FALSE)</f>
        <v>1.4925290000000001E-4</v>
      </c>
      <c r="J12" s="140" t="s">
        <v>36</v>
      </c>
      <c r="K12" s="515">
        <f>VLOOKUP(J12,'CP FACTORS'!$A$3:$B$38, 2, FALSE)</f>
        <v>1.899635E-4</v>
      </c>
      <c r="L12" s="2410">
        <f>((G47-G71)*$G$104*$G$90*(1-$G$97)*($G$100*$G$101)/1000)</f>
        <v>61.814458350472925</v>
      </c>
      <c r="M12" s="2491">
        <f t="shared" si="1"/>
        <v>10.344147304912193</v>
      </c>
      <c r="N12" s="2492">
        <f t="shared" si="5"/>
        <v>9.2259871707373008E-3</v>
      </c>
      <c r="O12" s="2492">
        <f t="shared" si="6"/>
        <v>1.9650104265566872E-3</v>
      </c>
      <c r="P12" s="3095">
        <f t="shared" si="2"/>
        <v>19</v>
      </c>
      <c r="Q12" s="3095">
        <f t="shared" si="3"/>
        <v>6</v>
      </c>
      <c r="R12" s="2493">
        <v>9.9999999999999995E-7</v>
      </c>
      <c r="S12" s="1670" t="s">
        <v>533</v>
      </c>
      <c r="T12" s="277"/>
      <c r="U12" s="277"/>
      <c r="V12" s="3080" t="s">
        <v>20</v>
      </c>
      <c r="W12" s="2372">
        <v>61.59873120003423</v>
      </c>
      <c r="X12" s="163">
        <v>47.335378154383655</v>
      </c>
      <c r="Y12" s="2509">
        <v>71</v>
      </c>
      <c r="Z12" s="163">
        <v>71</v>
      </c>
      <c r="AA12" s="163">
        <v>71</v>
      </c>
      <c r="AB12" s="2509">
        <v>72.16</v>
      </c>
      <c r="AC12" s="2510"/>
      <c r="AD12" s="2510"/>
      <c r="AE12" s="2510"/>
      <c r="AF12" s="2510"/>
      <c r="AG12" s="2510"/>
      <c r="AH12" s="2518"/>
      <c r="AI12" s="2511"/>
      <c r="AJ12" s="2511"/>
      <c r="AK12" s="2511"/>
      <c r="BB12" s="147">
        <f t="shared" si="7"/>
        <v>22791.652916466122</v>
      </c>
      <c r="BC12" s="72" t="str">
        <f t="shared" si="8"/>
        <v>Lighting RES 19 Year EUL</v>
      </c>
      <c r="BD12" s="148">
        <f>(INDEX('Avoided Cost Benefits'!$C$4:$C$857,MATCH(BC12,'Avoided Cost Benefits'!$A$4:$A$857,0)))*F12</f>
        <v>42.270727342441774</v>
      </c>
      <c r="BE12" s="73">
        <f t="shared" si="9"/>
        <v>1.8546582600818188E-3</v>
      </c>
    </row>
    <row r="13" spans="1:57" s="64" customFormat="1" x14ac:dyDescent="0.25">
      <c r="A13" s="157"/>
      <c r="B13" s="157"/>
      <c r="C13" s="1670" t="s">
        <v>544</v>
      </c>
      <c r="D13" s="3080" t="s">
        <v>16</v>
      </c>
      <c r="E13" s="3008" t="s">
        <v>3483</v>
      </c>
      <c r="F13" s="601">
        <f t="shared" si="4"/>
        <v>38.43</v>
      </c>
      <c r="G13" s="1757">
        <f t="shared" si="0"/>
        <v>5.96E-3</v>
      </c>
      <c r="H13" s="140" t="s">
        <v>532</v>
      </c>
      <c r="I13" s="515">
        <f>VLOOKUP(H13,'CP FACTORS'!$A$3:$B$38, 2, FALSE)</f>
        <v>1.4925290000000001E-4</v>
      </c>
      <c r="J13" s="140" t="s">
        <v>36</v>
      </c>
      <c r="K13" s="515">
        <f>VLOOKUP(J13,'CP FACTORS'!$A$3:$B$38, 2, FALSE)</f>
        <v>1.899635E-4</v>
      </c>
      <c r="L13" s="2410">
        <f>((G48-G72)*$G$104*$G$90*(1-$G$97)*($G$100*$G$101)/1000)</f>
        <v>32.919418574665919</v>
      </c>
      <c r="M13" s="2491">
        <f t="shared" si="1"/>
        <v>5.5087971975378736</v>
      </c>
      <c r="N13" s="2492">
        <f t="shared" si="5"/>
        <v>4.9133186885827549E-3</v>
      </c>
      <c r="O13" s="2492">
        <f t="shared" si="6"/>
        <v>1.0464703964344858E-3</v>
      </c>
      <c r="P13" s="3095">
        <f t="shared" si="2"/>
        <v>19</v>
      </c>
      <c r="Q13" s="3095">
        <f t="shared" si="3"/>
        <v>6</v>
      </c>
      <c r="R13" s="2493">
        <v>9.9999999999999995E-7</v>
      </c>
      <c r="S13" s="1670" t="s">
        <v>533</v>
      </c>
      <c r="T13" s="277"/>
      <c r="U13" s="277"/>
      <c r="V13" s="3080" t="s">
        <v>20</v>
      </c>
      <c r="W13" s="2372">
        <v>39.127883189235227</v>
      </c>
      <c r="X13" s="163">
        <v>38.275090929521156</v>
      </c>
      <c r="Y13" s="2509">
        <v>37.81</v>
      </c>
      <c r="Z13" s="163">
        <v>37.81</v>
      </c>
      <c r="AA13" s="163">
        <v>37.81</v>
      </c>
      <c r="AB13" s="2509">
        <v>38.43</v>
      </c>
      <c r="AC13" s="2510"/>
      <c r="AD13" s="2510"/>
      <c r="AE13" s="2510"/>
      <c r="AF13" s="2510"/>
      <c r="AG13" s="2510"/>
      <c r="AH13" s="2518"/>
      <c r="AI13" s="2511"/>
      <c r="AJ13" s="2511"/>
      <c r="AK13" s="2511"/>
      <c r="BB13" s="147">
        <f t="shared" si="7"/>
        <v>22792.270713725044</v>
      </c>
      <c r="BC13" s="72" t="str">
        <f t="shared" si="8"/>
        <v>Lighting RES 19 Year EUL</v>
      </c>
      <c r="BD13" s="148">
        <f>(INDEX('Avoided Cost Benefits'!$C$4:$C$857,MATCH(BC13,'Avoided Cost Benefits'!$A$4:$A$857,0)))*F13</f>
        <v>22.511974109895199</v>
      </c>
      <c r="BE13" s="73">
        <f t="shared" si="9"/>
        <v>9.8770212027794778E-4</v>
      </c>
    </row>
    <row r="14" spans="1:57" s="64" customFormat="1" x14ac:dyDescent="0.25">
      <c r="A14" s="157"/>
      <c r="B14" s="157"/>
      <c r="C14" s="1670" t="s">
        <v>545</v>
      </c>
      <c r="D14" s="3080" t="s">
        <v>16</v>
      </c>
      <c r="E14" s="3008" t="s">
        <v>3484</v>
      </c>
      <c r="F14" s="601">
        <f t="shared" si="4"/>
        <v>6.39</v>
      </c>
      <c r="G14" s="1757">
        <f t="shared" si="0"/>
        <v>9.9099999999999991E-4</v>
      </c>
      <c r="H14" s="140" t="s">
        <v>532</v>
      </c>
      <c r="I14" s="515">
        <f>VLOOKUP(H14,'CP FACTORS'!$A$3:$B$38, 2, FALSE)</f>
        <v>1.4925290000000001E-4</v>
      </c>
      <c r="J14" s="140" t="s">
        <v>36</v>
      </c>
      <c r="K14" s="515">
        <f>VLOOKUP(J14,'CP FACTORS'!$A$3:$B$38, 2, FALSE)</f>
        <v>1.899635E-4</v>
      </c>
      <c r="L14" s="2410">
        <f>((G49-G73)*$G$104*$G$90*(1-$G$97)*($G$100*$G$101)/1000)</f>
        <v>5.4731551664481231</v>
      </c>
      <c r="M14" s="2491">
        <f t="shared" si="1"/>
        <v>0.91588804262243373</v>
      </c>
      <c r="N14" s="2492">
        <f t="shared" si="5"/>
        <v>8.1688428074236515E-4</v>
      </c>
      <c r="O14" s="2492">
        <f t="shared" si="6"/>
        <v>1.739852981847067E-4</v>
      </c>
      <c r="P14" s="3095">
        <f t="shared" si="2"/>
        <v>19</v>
      </c>
      <c r="Q14" s="3095">
        <f t="shared" si="3"/>
        <v>6</v>
      </c>
      <c r="R14" s="2493">
        <v>9.9999999999999995E-7</v>
      </c>
      <c r="S14" s="1670" t="s">
        <v>533</v>
      </c>
      <c r="T14" s="277"/>
      <c r="U14" s="277"/>
      <c r="V14" s="3080" t="s">
        <v>20</v>
      </c>
      <c r="W14" s="2372">
        <v>7.6594676997795368</v>
      </c>
      <c r="X14" s="163">
        <v>7.6735085679957855</v>
      </c>
      <c r="Y14" s="2509">
        <v>6.29</v>
      </c>
      <c r="Z14" s="163">
        <v>6.29</v>
      </c>
      <c r="AA14" s="163">
        <v>6.29</v>
      </c>
      <c r="AB14" s="2509">
        <v>6.39</v>
      </c>
      <c r="AC14" s="2510"/>
      <c r="AD14" s="2510"/>
      <c r="AE14" s="2510"/>
      <c r="AF14" s="2510"/>
      <c r="AG14" s="2510"/>
      <c r="AH14" s="2518"/>
      <c r="AI14" s="2511"/>
      <c r="AJ14" s="2511"/>
      <c r="AK14" s="2511"/>
      <c r="BB14" s="147">
        <f t="shared" si="7"/>
        <v>22794.625611511965</v>
      </c>
      <c r="BC14" s="72" t="str">
        <f t="shared" si="8"/>
        <v>Lighting RES 19 Year EUL</v>
      </c>
      <c r="BD14" s="148">
        <f>(INDEX('Avoided Cost Benefits'!$C$4:$C$857,MATCH(BC14,'Avoided Cost Benefits'!$A$4:$A$857,0)))*F14</f>
        <v>3.7432088098420584</v>
      </c>
      <c r="BE14" s="73">
        <f t="shared" si="9"/>
        <v>1.6421453344474439E-4</v>
      </c>
    </row>
    <row r="15" spans="1:57" s="2289" customFormat="1" x14ac:dyDescent="0.25">
      <c r="A15" s="157"/>
      <c r="B15" s="157"/>
      <c r="C15" s="1670" t="s">
        <v>3854</v>
      </c>
      <c r="D15" s="3080" t="s">
        <v>16</v>
      </c>
      <c r="E15" s="3008" t="s">
        <v>3486</v>
      </c>
      <c r="F15" s="601">
        <f t="shared" ref="F15:F16" si="10">ROUND(L15+M15,2)</f>
        <v>7.41</v>
      </c>
      <c r="G15" s="1757">
        <f t="shared" ref="G15:G16" si="11">ROUND(((L15/F15)*I15+(M15/F15)*K15)*F15,6)</f>
        <v>1.15E-3</v>
      </c>
      <c r="H15" s="140" t="s">
        <v>532</v>
      </c>
      <c r="I15" s="515">
        <f>VLOOKUP(H15,'CP FACTORS'!$A$3:$B$38, 2, FALSE)</f>
        <v>1.4925290000000001E-4</v>
      </c>
      <c r="J15" s="140" t="s">
        <v>36</v>
      </c>
      <c r="K15" s="515">
        <f>VLOOKUP(J15,'CP FACTORS'!$A$3:$B$38, 2, FALSE)</f>
        <v>1.899635E-4</v>
      </c>
      <c r="L15" s="2410">
        <f t="shared" ref="L15:L16" si="12">((G50-G74)*$G$104*$G$90*(1-$G$97)*($G$100*$G$101)/1000)</f>
        <v>6.3495754381996212</v>
      </c>
      <c r="M15" s="2491">
        <f t="shared" ref="M15:M16" si="13">((G50-G74)*(1-$G$104)*$G$90*(1-$G$97)*($G$102*$G$103)/1000)</f>
        <v>1.0625498533691635</v>
      </c>
      <c r="N15" s="2492">
        <f t="shared" ref="N15:N16" si="14">L15*I15</f>
        <v>9.4769254792006433E-4</v>
      </c>
      <c r="O15" s="2492">
        <f t="shared" ref="O15:O16" si="15">M15*K15</f>
        <v>2.0184568907049311E-4</v>
      </c>
      <c r="P15" s="3095">
        <f t="shared" ref="P15:P16" si="16">$G$107</f>
        <v>19</v>
      </c>
      <c r="Q15" s="3095">
        <f t="shared" ref="Q15:Q16" si="17">$G$108</f>
        <v>6</v>
      </c>
      <c r="R15" s="2493">
        <v>9.9999999999999995E-7</v>
      </c>
      <c r="S15" s="1670" t="s">
        <v>533</v>
      </c>
      <c r="T15" s="277"/>
      <c r="U15" s="277"/>
      <c r="V15" s="3080" t="s">
        <v>20</v>
      </c>
      <c r="W15" s="2372"/>
      <c r="X15" s="163"/>
      <c r="Y15" s="2509"/>
      <c r="Z15" s="163"/>
      <c r="AA15" s="163"/>
      <c r="AB15" s="2509">
        <v>7.41</v>
      </c>
      <c r="AC15" s="2510"/>
      <c r="AD15" s="2510"/>
      <c r="AE15" s="2510"/>
      <c r="AF15" s="2510"/>
      <c r="AG15" s="2510"/>
      <c r="AH15" s="2518"/>
      <c r="AI15" s="2511"/>
      <c r="AJ15" s="2511"/>
      <c r="AK15" s="2511"/>
      <c r="BB15" s="147">
        <f t="shared" ref="BB15:BB16" si="18">(BD15)/(BE15)</f>
        <v>22784.67755034447</v>
      </c>
      <c r="BC15" s="2295" t="str">
        <f t="shared" ref="BC15:BC16" si="19">CONCATENATE(H15," ",P15," Year EUL")</f>
        <v>Lighting RES 19 Year EUL</v>
      </c>
      <c r="BD15" s="148">
        <f>(INDEX('Avoided Cost Benefits'!$C$4:$C$857,MATCH(BC15,'Avoided Cost Benefits'!$A$4:$A$857,0)))*F15</f>
        <v>4.3407163193943124</v>
      </c>
      <c r="BE15" s="2296">
        <f t="shared" ref="BE15:BE16" si="20">O15/(1.0595^(2020-2019))</f>
        <v>1.9051032474798782E-4</v>
      </c>
    </row>
    <row r="16" spans="1:57" s="2289" customFormat="1" x14ac:dyDescent="0.25">
      <c r="A16" s="157"/>
      <c r="B16" s="157"/>
      <c r="C16" s="1670" t="s">
        <v>3855</v>
      </c>
      <c r="D16" s="3080" t="s">
        <v>16</v>
      </c>
      <c r="E16" s="3008" t="s">
        <v>3488</v>
      </c>
      <c r="F16" s="601">
        <f t="shared" si="10"/>
        <v>50.74</v>
      </c>
      <c r="G16" s="1757">
        <f t="shared" si="11"/>
        <v>7.8689999999999993E-3</v>
      </c>
      <c r="H16" s="140" t="s">
        <v>532</v>
      </c>
      <c r="I16" s="515">
        <f>VLOOKUP(H16,'CP FACTORS'!$A$3:$B$38, 2, FALSE)</f>
        <v>1.4925290000000001E-4</v>
      </c>
      <c r="J16" s="140" t="s">
        <v>36</v>
      </c>
      <c r="K16" s="515">
        <f>VLOOKUP(J16,'CP FACTORS'!$A$3:$B$38, 2, FALSE)</f>
        <v>1.899635E-4</v>
      </c>
      <c r="L16" s="2410">
        <f t="shared" si="12"/>
        <v>43.463291027676277</v>
      </c>
      <c r="M16" s="2491">
        <f t="shared" si="13"/>
        <v>7.2732285737663869</v>
      </c>
      <c r="N16" s="2492">
        <f t="shared" si="14"/>
        <v>6.4870222294246653E-3</v>
      </c>
      <c r="O16" s="2492">
        <f t="shared" si="15"/>
        <v>1.3816479561726712E-3</v>
      </c>
      <c r="P16" s="3095">
        <f t="shared" si="16"/>
        <v>19</v>
      </c>
      <c r="Q16" s="3095">
        <f t="shared" si="17"/>
        <v>6</v>
      </c>
      <c r="R16" s="2493">
        <v>9.9999999999999995E-7</v>
      </c>
      <c r="S16" s="1670" t="s">
        <v>533</v>
      </c>
      <c r="T16" s="277"/>
      <c r="U16" s="277"/>
      <c r="V16" s="3080" t="s">
        <v>20</v>
      </c>
      <c r="W16" s="2372"/>
      <c r="X16" s="163"/>
      <c r="Y16" s="2509"/>
      <c r="Z16" s="163"/>
      <c r="AA16" s="163"/>
      <c r="AB16" s="2509">
        <v>50.74</v>
      </c>
      <c r="AC16" s="2510"/>
      <c r="AD16" s="2510"/>
      <c r="AE16" s="2510"/>
      <c r="AF16" s="2510"/>
      <c r="AG16" s="2510"/>
      <c r="AH16" s="2518"/>
      <c r="AI16" s="2511"/>
      <c r="AJ16" s="2511"/>
      <c r="AK16" s="2511"/>
      <c r="BB16" s="147">
        <f t="shared" si="18"/>
        <v>22792.775934594549</v>
      </c>
      <c r="BC16" s="2295" t="str">
        <f t="shared" si="19"/>
        <v>Lighting RES 19 Year EUL</v>
      </c>
      <c r="BD16" s="148">
        <f>(INDEX('Avoided Cost Benefits'!$C$4:$C$857,MATCH(BC16,'Avoided Cost Benefits'!$A$4:$A$857,0)))*F16</f>
        <v>29.723069641844454</v>
      </c>
      <c r="BE16" s="2296">
        <f t="shared" si="20"/>
        <v>1.3040565891200293E-3</v>
      </c>
    </row>
    <row r="17" spans="1:57" s="64" customFormat="1" x14ac:dyDescent="0.25">
      <c r="A17" s="157"/>
      <c r="B17" s="157"/>
      <c r="C17" s="1670" t="s">
        <v>546</v>
      </c>
      <c r="D17" s="3080" t="s">
        <v>16</v>
      </c>
      <c r="E17" s="3008" t="s">
        <v>547</v>
      </c>
      <c r="F17" s="601">
        <f t="shared" si="4"/>
        <v>5.64</v>
      </c>
      <c r="G17" s="1757">
        <f t="shared" ref="G17:G30" si="21">ROUND(((L17/F17)*I17+(M17/F17)*K17)*F17,6)</f>
        <v>8.7399999999999999E-4</v>
      </c>
      <c r="H17" s="140" t="s">
        <v>532</v>
      </c>
      <c r="I17" s="515">
        <f>VLOOKUP(H17,'CP FACTORS'!$A$3:$B$38, 2, FALSE)</f>
        <v>1.4925290000000001E-4</v>
      </c>
      <c r="J17" s="140" t="s">
        <v>36</v>
      </c>
      <c r="K17" s="515">
        <f>VLOOKUP(J17,'CP FACTORS'!$A$3:$B$38, 2, FALSE)</f>
        <v>1.899635E-4</v>
      </c>
      <c r="L17" s="2410">
        <f t="shared" ref="L17:L30" si="22">((G52-G76)*$G$104*$G$90*(1-$G$97)*($G$100*$G$101)/1000)</f>
        <v>4.8292545586306987</v>
      </c>
      <c r="M17" s="2491">
        <f t="shared" ref="M17:M30" si="23">((G52-G76)*(1-$G$104)*$G$90*(1-$G$97)*($G$102*$G$103)/1000)</f>
        <v>0.80813650819626515</v>
      </c>
      <c r="N17" s="2492">
        <f t="shared" si="5"/>
        <v>7.2078024771385189E-4</v>
      </c>
      <c r="O17" s="2492">
        <f t="shared" si="6"/>
        <v>1.5351643957474122E-4</v>
      </c>
      <c r="P17" s="3095">
        <f t="shared" ref="P17:P30" si="24">$G$107</f>
        <v>19</v>
      </c>
      <c r="Q17" s="3095">
        <f t="shared" ref="Q17:Q30" si="25">$G$108</f>
        <v>6</v>
      </c>
      <c r="R17" s="2493">
        <v>9.9999999999999995E-7</v>
      </c>
      <c r="S17" s="1670" t="s">
        <v>533</v>
      </c>
      <c r="T17" s="277"/>
      <c r="U17" s="277"/>
      <c r="V17" s="3080" t="s">
        <v>20</v>
      </c>
      <c r="W17" s="2372">
        <v>4.4295716818002155</v>
      </c>
      <c r="X17" s="163">
        <v>4.4376917019734679</v>
      </c>
      <c r="Y17" s="2509">
        <v>5.55</v>
      </c>
      <c r="Z17" s="163">
        <v>5.55</v>
      </c>
      <c r="AA17" s="163">
        <v>5.55</v>
      </c>
      <c r="AB17" s="2509">
        <v>5.64</v>
      </c>
      <c r="AC17" s="2510"/>
      <c r="AD17" s="2510"/>
      <c r="AE17" s="2510"/>
      <c r="AF17" s="2510"/>
      <c r="AG17" s="2510"/>
      <c r="AH17" s="2518"/>
      <c r="AI17" s="2511"/>
      <c r="AJ17" s="2511"/>
      <c r="AK17" s="2511"/>
      <c r="BB17" s="147">
        <f t="shared" si="7"/>
        <v>22801.760079621981</v>
      </c>
      <c r="BC17" s="72" t="str">
        <f t="shared" si="8"/>
        <v>Lighting RES 19 Year EUL</v>
      </c>
      <c r="BD17" s="148">
        <f>(INDEX('Avoided Cost Benefits'!$C$4:$C$857,MATCH(BC17,'Avoided Cost Benefits'!$A$4:$A$857,0)))*F17</f>
        <v>3.3038650528183426</v>
      </c>
      <c r="BE17" s="73">
        <f t="shared" si="9"/>
        <v>1.4489517656889213E-4</v>
      </c>
    </row>
    <row r="18" spans="1:57" s="64" customFormat="1" x14ac:dyDescent="0.25">
      <c r="A18" s="157"/>
      <c r="B18" s="157"/>
      <c r="C18" s="1670" t="s">
        <v>548</v>
      </c>
      <c r="D18" s="3080" t="s">
        <v>16</v>
      </c>
      <c r="E18" s="3008" t="s">
        <v>549</v>
      </c>
      <c r="F18" s="601">
        <f t="shared" si="4"/>
        <v>48.2</v>
      </c>
      <c r="G18" s="1757">
        <f t="shared" si="21"/>
        <v>7.4749999999999999E-3</v>
      </c>
      <c r="H18" s="140" t="s">
        <v>532</v>
      </c>
      <c r="I18" s="515">
        <f>VLOOKUP(H18,'CP FACTORS'!$A$3:$B$38, 2, FALSE)</f>
        <v>1.4925290000000001E-4</v>
      </c>
      <c r="J18" s="140" t="s">
        <v>36</v>
      </c>
      <c r="K18" s="515">
        <f>VLOOKUP(J18,'CP FACTORS'!$A$3:$B$38, 2, FALSE)</f>
        <v>1.899635E-4</v>
      </c>
      <c r="L18" s="2410">
        <f t="shared" si="22"/>
        <v>41.290126476292464</v>
      </c>
      <c r="M18" s="2491">
        <f t="shared" si="23"/>
        <v>6.9095671450780678</v>
      </c>
      <c r="N18" s="2492">
        <f t="shared" si="5"/>
        <v>6.1626711179534315E-3</v>
      </c>
      <c r="O18" s="2492">
        <f t="shared" si="6"/>
        <v>1.3125655583640376E-3</v>
      </c>
      <c r="P18" s="3095">
        <f t="shared" si="24"/>
        <v>19</v>
      </c>
      <c r="Q18" s="3095">
        <f t="shared" si="25"/>
        <v>6</v>
      </c>
      <c r="R18" s="2493">
        <v>9.9999999999999995E-7</v>
      </c>
      <c r="S18" s="1670" t="s">
        <v>533</v>
      </c>
      <c r="T18" s="277"/>
      <c r="U18" s="277"/>
      <c r="V18" s="3080" t="s">
        <v>20</v>
      </c>
      <c r="W18" s="2372">
        <v>46.971916375756443</v>
      </c>
      <c r="X18" s="163">
        <v>46.503310960263626</v>
      </c>
      <c r="Y18" s="2509">
        <v>47.43</v>
      </c>
      <c r="Z18" s="163">
        <v>47.43</v>
      </c>
      <c r="AA18" s="163">
        <v>47.43</v>
      </c>
      <c r="AB18" s="2509">
        <v>48.2</v>
      </c>
      <c r="AC18" s="2510"/>
      <c r="AD18" s="2510"/>
      <c r="AE18" s="2510"/>
      <c r="AF18" s="2510"/>
      <c r="AG18" s="2510"/>
      <c r="AH18" s="2518"/>
      <c r="AI18" s="2511"/>
      <c r="AJ18" s="2511"/>
      <c r="AK18" s="2511"/>
      <c r="BB18" s="147">
        <f t="shared" si="7"/>
        <v>22791.357385379692</v>
      </c>
      <c r="BC18" s="72" t="str">
        <f t="shared" si="8"/>
        <v>Lighting RES 19 Year EUL</v>
      </c>
      <c r="BD18" s="148">
        <f>(INDEX('Avoided Cost Benefits'!$C$4:$C$857,MATCH(BC18,'Avoided Cost Benefits'!$A$4:$A$857,0)))*F18</f>
        <v>28.235158784724138</v>
      </c>
      <c r="BE18" s="73">
        <f t="shared" si="9"/>
        <v>1.2388537596640279E-3</v>
      </c>
    </row>
    <row r="19" spans="1:57" s="64" customFormat="1" x14ac:dyDescent="0.25">
      <c r="A19" s="157"/>
      <c r="B19" s="157"/>
      <c r="C19" s="1670" t="s">
        <v>550</v>
      </c>
      <c r="D19" s="3080" t="s">
        <v>16</v>
      </c>
      <c r="E19" s="3008" t="s">
        <v>551</v>
      </c>
      <c r="F19" s="601">
        <f t="shared" si="4"/>
        <v>4.7</v>
      </c>
      <c r="G19" s="1757">
        <f t="shared" si="21"/>
        <v>7.2900000000000005E-4</v>
      </c>
      <c r="H19" s="140" t="s">
        <v>532</v>
      </c>
      <c r="I19" s="515">
        <f>VLOOKUP(H19,'CP FACTORS'!$A$3:$B$38, 2, FALSE)</f>
        <v>1.4925290000000001E-4</v>
      </c>
      <c r="J19" s="140" t="s">
        <v>36</v>
      </c>
      <c r="K19" s="515">
        <f>VLOOKUP(J19,'CP FACTORS'!$A$3:$B$38, 2, FALSE)</f>
        <v>1.899635E-4</v>
      </c>
      <c r="L19" s="2410">
        <f t="shared" si="22"/>
        <v>4.0243787988589146</v>
      </c>
      <c r="M19" s="2491">
        <f t="shared" si="23"/>
        <v>0.67344709016355431</v>
      </c>
      <c r="N19" s="2492">
        <f t="shared" si="5"/>
        <v>6.0065020642820969E-4</v>
      </c>
      <c r="O19" s="2492">
        <f t="shared" si="6"/>
        <v>1.2793036631228436E-4</v>
      </c>
      <c r="P19" s="3095">
        <f t="shared" si="24"/>
        <v>19</v>
      </c>
      <c r="Q19" s="3095">
        <f t="shared" si="25"/>
        <v>6</v>
      </c>
      <c r="R19" s="2493">
        <v>9.9999999999999995E-7</v>
      </c>
      <c r="S19" s="1670" t="s">
        <v>533</v>
      </c>
      <c r="T19" s="277"/>
      <c r="U19" s="277"/>
      <c r="V19" s="3080" t="s">
        <v>20</v>
      </c>
      <c r="W19" s="2372">
        <v>4.6141371685418902</v>
      </c>
      <c r="X19" s="163">
        <v>4.6225955228890285</v>
      </c>
      <c r="Y19" s="163">
        <v>4.62</v>
      </c>
      <c r="Z19" s="163">
        <v>4.62</v>
      </c>
      <c r="AA19" s="163">
        <v>4.62</v>
      </c>
      <c r="AB19" s="2509">
        <v>4.7</v>
      </c>
      <c r="AC19" s="2510"/>
      <c r="AD19" s="2510"/>
      <c r="AE19" s="2510"/>
      <c r="AF19" s="2510"/>
      <c r="AG19" s="2510"/>
      <c r="AH19" s="2518"/>
      <c r="AI19" s="2511"/>
      <c r="AJ19" s="2511"/>
      <c r="AK19" s="2511"/>
      <c r="BB19" s="147">
        <f t="shared" si="7"/>
        <v>22801.760079621985</v>
      </c>
      <c r="BC19" s="72" t="str">
        <f t="shared" si="8"/>
        <v>Lighting RES 19 Year EUL</v>
      </c>
      <c r="BD19" s="148">
        <f>(INDEX('Avoided Cost Benefits'!$C$4:$C$857,MATCH(BC19,'Avoided Cost Benefits'!$A$4:$A$857,0)))*F19</f>
        <v>2.7532208773486193</v>
      </c>
      <c r="BE19" s="73">
        <f t="shared" si="9"/>
        <v>1.2074598047407678E-4</v>
      </c>
    </row>
    <row r="20" spans="1:57" s="64" customFormat="1" x14ac:dyDescent="0.25">
      <c r="A20" s="157"/>
      <c r="B20" s="157"/>
      <c r="C20" s="1670" t="s">
        <v>552</v>
      </c>
      <c r="D20" s="3080" t="s">
        <v>16</v>
      </c>
      <c r="E20" s="3008" t="s">
        <v>553</v>
      </c>
      <c r="F20" s="601">
        <f t="shared" si="4"/>
        <v>77.040000000000006</v>
      </c>
      <c r="G20" s="1757">
        <f t="shared" si="21"/>
        <v>1.1949E-2</v>
      </c>
      <c r="H20" s="140" t="s">
        <v>532</v>
      </c>
      <c r="I20" s="515">
        <f>VLOOKUP(H20,'CP FACTORS'!$A$3:$B$38, 2, FALSE)</f>
        <v>1.4925290000000001E-4</v>
      </c>
      <c r="J20" s="140" t="s">
        <v>36</v>
      </c>
      <c r="K20" s="515">
        <f>VLOOKUP(J20,'CP FACTORS'!$A$3:$B$38, 2, FALSE)</f>
        <v>1.899635E-4</v>
      </c>
      <c r="L20" s="2410">
        <f t="shared" si="22"/>
        <v>65.999812301286198</v>
      </c>
      <c r="M20" s="2491">
        <f t="shared" si="23"/>
        <v>11.04453227868229</v>
      </c>
      <c r="N20" s="2492">
        <f t="shared" si="5"/>
        <v>9.8506633854226391E-3</v>
      </c>
      <c r="O20" s="2492">
        <f t="shared" si="6"/>
        <v>2.0980580075214634E-3</v>
      </c>
      <c r="P20" s="3095">
        <f t="shared" si="24"/>
        <v>19</v>
      </c>
      <c r="Q20" s="3095">
        <f t="shared" si="25"/>
        <v>6</v>
      </c>
      <c r="R20" s="2493">
        <v>9.9999999999999995E-7</v>
      </c>
      <c r="S20" s="1670" t="s">
        <v>533</v>
      </c>
      <c r="T20" s="277"/>
      <c r="U20" s="277"/>
      <c r="V20" s="3080" t="s">
        <v>20</v>
      </c>
      <c r="W20" s="2372">
        <v>75.671849564086983</v>
      </c>
      <c r="X20" s="163">
        <v>75.810566575380079</v>
      </c>
      <c r="Y20" s="163">
        <v>75.81</v>
      </c>
      <c r="Z20" s="163">
        <v>75.81</v>
      </c>
      <c r="AA20" s="163">
        <v>75.81</v>
      </c>
      <c r="AB20" s="2509">
        <v>77.040000000000006</v>
      </c>
      <c r="AC20" s="2510"/>
      <c r="AD20" s="2510"/>
      <c r="AE20" s="2510"/>
      <c r="AF20" s="2510"/>
      <c r="AG20" s="2510"/>
      <c r="AH20" s="2518"/>
      <c r="AI20" s="2511"/>
      <c r="AJ20" s="2511"/>
      <c r="AK20" s="2511"/>
      <c r="BB20" s="147">
        <f t="shared" si="7"/>
        <v>22789.927303244393</v>
      </c>
      <c r="BC20" s="72" t="str">
        <f t="shared" si="8"/>
        <v>Lighting RES 19 Year EUL</v>
      </c>
      <c r="BD20" s="148">
        <f>(INDEX('Avoided Cost Benefits'!$C$4:$C$857,MATCH(BC20,'Avoided Cost Benefits'!$A$4:$A$857,0)))*F20</f>
        <v>45.129390721476092</v>
      </c>
      <c r="BE20" s="73">
        <f t="shared" si="9"/>
        <v>1.980234079774859E-3</v>
      </c>
    </row>
    <row r="21" spans="1:57" s="64" customFormat="1" x14ac:dyDescent="0.25">
      <c r="A21" s="157"/>
      <c r="B21" s="157"/>
      <c r="C21" s="1670" t="s">
        <v>554</v>
      </c>
      <c r="D21" s="3080" t="s">
        <v>16</v>
      </c>
      <c r="E21" s="3008" t="s">
        <v>3489</v>
      </c>
      <c r="F21" s="601">
        <f t="shared" si="4"/>
        <v>9.02</v>
      </c>
      <c r="G21" s="1757">
        <f t="shared" si="21"/>
        <v>1.3990000000000001E-3</v>
      </c>
      <c r="H21" s="140" t="s">
        <v>532</v>
      </c>
      <c r="I21" s="515">
        <f>VLOOKUP(H21,'CP FACTORS'!$A$3:$B$38, 2, FALSE)</f>
        <v>1.4925290000000001E-4</v>
      </c>
      <c r="J21" s="140" t="s">
        <v>36</v>
      </c>
      <c r="K21" s="515">
        <f>VLOOKUP(J21,'CP FACTORS'!$A$3:$B$38, 2, FALSE)</f>
        <v>1.899635E-4</v>
      </c>
      <c r="L21" s="2410">
        <f t="shared" si="22"/>
        <v>7.7268072938091175</v>
      </c>
      <c r="M21" s="2491">
        <f t="shared" si="23"/>
        <v>1.2930184131140243</v>
      </c>
      <c r="N21" s="2492">
        <f t="shared" si="5"/>
        <v>1.1532483963421628E-3</v>
      </c>
      <c r="O21" s="2492">
        <f t="shared" si="6"/>
        <v>2.4562630331958596E-4</v>
      </c>
      <c r="P21" s="3095">
        <f t="shared" si="24"/>
        <v>19</v>
      </c>
      <c r="Q21" s="3095">
        <f t="shared" si="25"/>
        <v>6</v>
      </c>
      <c r="R21" s="2493">
        <v>9.9999999999999995E-7</v>
      </c>
      <c r="S21" s="1670" t="s">
        <v>533</v>
      </c>
      <c r="T21" s="277"/>
      <c r="U21" s="277"/>
      <c r="V21" s="3080" t="s">
        <v>20</v>
      </c>
      <c r="W21" s="2372">
        <v>9.043708850342103</v>
      </c>
      <c r="X21" s="163">
        <v>9.0602872248624973</v>
      </c>
      <c r="Y21" s="2509">
        <v>8.8800000000000008</v>
      </c>
      <c r="Z21" s="163">
        <v>8.8800000000000008</v>
      </c>
      <c r="AA21" s="163">
        <v>8.8800000000000008</v>
      </c>
      <c r="AB21" s="2509">
        <v>9.02</v>
      </c>
      <c r="AC21" s="2510"/>
      <c r="AD21" s="2510"/>
      <c r="AE21" s="2510"/>
      <c r="AF21" s="2510"/>
      <c r="AG21" s="2510"/>
      <c r="AH21" s="2518"/>
      <c r="AI21" s="2511"/>
      <c r="AJ21" s="2511"/>
      <c r="AK21" s="2511"/>
      <c r="BB21" s="147">
        <f t="shared" si="7"/>
        <v>22791.652916466119</v>
      </c>
      <c r="BC21" s="72" t="str">
        <f t="shared" si="8"/>
        <v>Lighting RES 19 Year EUL</v>
      </c>
      <c r="BD21" s="148">
        <f>(INDEX('Avoided Cost Benefits'!$C$4:$C$857,MATCH(BC21,'Avoided Cost Benefits'!$A$4:$A$857,0)))*F21</f>
        <v>5.2838409178052217</v>
      </c>
      <c r="BE21" s="73">
        <f t="shared" si="9"/>
        <v>2.3183228251022741E-4</v>
      </c>
    </row>
    <row r="22" spans="1:57" s="64" customFormat="1" x14ac:dyDescent="0.25">
      <c r="A22" s="157"/>
      <c r="B22" s="157"/>
      <c r="C22" s="1670" t="s">
        <v>555</v>
      </c>
      <c r="D22" s="3080" t="s">
        <v>16</v>
      </c>
      <c r="E22" s="3008" t="s">
        <v>3490</v>
      </c>
      <c r="F22" s="601">
        <f t="shared" si="4"/>
        <v>53.37</v>
      </c>
      <c r="G22" s="1757">
        <f t="shared" si="21"/>
        <v>8.2769999999999996E-3</v>
      </c>
      <c r="H22" s="140" t="s">
        <v>532</v>
      </c>
      <c r="I22" s="515">
        <f>VLOOKUP(H22,'CP FACTORS'!$A$3:$B$38, 2, FALSE)</f>
        <v>1.4925290000000001E-4</v>
      </c>
      <c r="J22" s="140" t="s">
        <v>36</v>
      </c>
      <c r="K22" s="515">
        <f>VLOOKUP(J22,'CP FACTORS'!$A$3:$B$38, 2, FALSE)</f>
        <v>1.899635E-4</v>
      </c>
      <c r="L22" s="2410">
        <f t="shared" si="22"/>
        <v>45.716943155037271</v>
      </c>
      <c r="M22" s="2491">
        <f t="shared" si="23"/>
        <v>7.6503589442579765</v>
      </c>
      <c r="N22" s="2492">
        <f t="shared" si="5"/>
        <v>6.8233863450244629E-3</v>
      </c>
      <c r="O22" s="2492">
        <f t="shared" si="6"/>
        <v>1.4532889613075501E-3</v>
      </c>
      <c r="P22" s="3095">
        <f t="shared" si="24"/>
        <v>19</v>
      </c>
      <c r="Q22" s="3095">
        <f t="shared" si="25"/>
        <v>6</v>
      </c>
      <c r="R22" s="2493">
        <v>9.9999999999999995E-7</v>
      </c>
      <c r="S22" s="1670" t="s">
        <v>533</v>
      </c>
      <c r="T22" s="277"/>
      <c r="U22" s="277"/>
      <c r="V22" s="3080" t="s">
        <v>20</v>
      </c>
      <c r="W22" s="2372">
        <v>52.601163721377539</v>
      </c>
      <c r="X22" s="163">
        <v>52.512685140019379</v>
      </c>
      <c r="Y22" s="163">
        <v>52.51</v>
      </c>
      <c r="Z22" s="163">
        <v>52.51</v>
      </c>
      <c r="AA22" s="163">
        <v>52.51</v>
      </c>
      <c r="AB22" s="2509">
        <v>53.37</v>
      </c>
      <c r="AC22" s="2510"/>
      <c r="AD22" s="2510"/>
      <c r="AE22" s="2510"/>
      <c r="AF22" s="2510"/>
      <c r="AG22" s="2510"/>
      <c r="AH22" s="2518"/>
      <c r="AI22" s="2511"/>
      <c r="AJ22" s="2511"/>
      <c r="AK22" s="2511"/>
      <c r="BB22" s="147">
        <f t="shared" si="7"/>
        <v>22792.364688519352</v>
      </c>
      <c r="BC22" s="72" t="str">
        <f t="shared" si="8"/>
        <v>Lighting RES 19 Year EUL</v>
      </c>
      <c r="BD22" s="148">
        <f>(INDEX('Avoided Cost Benefits'!$C$4:$C$857,MATCH(BC22,'Avoided Cost Benefits'!$A$4:$A$857,0)))*F22</f>
        <v>31.263701749807616</v>
      </c>
      <c r="BE22" s="73">
        <f t="shared" si="9"/>
        <v>1.371674338185512E-3</v>
      </c>
    </row>
    <row r="23" spans="1:57" s="64" customFormat="1" x14ac:dyDescent="0.25">
      <c r="A23" s="157"/>
      <c r="B23" s="157"/>
      <c r="C23" s="1670" t="s">
        <v>556</v>
      </c>
      <c r="D23" s="3080" t="s">
        <v>16</v>
      </c>
      <c r="E23" s="3008" t="s">
        <v>557</v>
      </c>
      <c r="F23" s="601">
        <f t="shared" si="4"/>
        <v>4.7</v>
      </c>
      <c r="G23" s="1757">
        <f t="shared" si="21"/>
        <v>7.2900000000000005E-4</v>
      </c>
      <c r="H23" s="140" t="s">
        <v>532</v>
      </c>
      <c r="I23" s="515">
        <f>VLOOKUP(H23,'CP FACTORS'!$A$3:$B$38, 2, FALSE)</f>
        <v>1.4925290000000001E-4</v>
      </c>
      <c r="J23" s="140" t="s">
        <v>36</v>
      </c>
      <c r="K23" s="515">
        <f>VLOOKUP(J23,'CP FACTORS'!$A$3:$B$38, 2, FALSE)</f>
        <v>1.899635E-4</v>
      </c>
      <c r="L23" s="2410">
        <f t="shared" si="22"/>
        <v>4.0243787988589146</v>
      </c>
      <c r="M23" s="2491">
        <f t="shared" si="23"/>
        <v>0.67344709016355431</v>
      </c>
      <c r="N23" s="2492">
        <f t="shared" si="5"/>
        <v>6.0065020642820969E-4</v>
      </c>
      <c r="O23" s="2492">
        <f t="shared" si="6"/>
        <v>1.2793036631228436E-4</v>
      </c>
      <c r="P23" s="3095">
        <f t="shared" si="24"/>
        <v>19</v>
      </c>
      <c r="Q23" s="3095">
        <f t="shared" si="25"/>
        <v>6</v>
      </c>
      <c r="R23" s="2493">
        <v>9.9999999999999995E-7</v>
      </c>
      <c r="S23" s="1670" t="s">
        <v>533</v>
      </c>
      <c r="T23" s="277"/>
      <c r="U23" s="277"/>
      <c r="V23" s="3080" t="s">
        <v>20</v>
      </c>
      <c r="W23" s="2372">
        <v>4.1527234516877014</v>
      </c>
      <c r="X23" s="163">
        <v>4.1603359706001255</v>
      </c>
      <c r="Y23" s="2509">
        <v>4.62</v>
      </c>
      <c r="Z23" s="163">
        <v>4.62</v>
      </c>
      <c r="AA23" s="163">
        <v>4.62</v>
      </c>
      <c r="AB23" s="2509">
        <v>4.7</v>
      </c>
      <c r="AC23" s="2510"/>
      <c r="AD23" s="2510"/>
      <c r="AE23" s="2510"/>
      <c r="AF23" s="2510"/>
      <c r="AG23" s="2510"/>
      <c r="AH23" s="2518"/>
      <c r="AI23" s="2511"/>
      <c r="AJ23" s="2511"/>
      <c r="AK23" s="2511"/>
      <c r="BB23" s="147">
        <f t="shared" si="7"/>
        <v>22801.760079621985</v>
      </c>
      <c r="BC23" s="72" t="str">
        <f t="shared" si="8"/>
        <v>Lighting RES 19 Year EUL</v>
      </c>
      <c r="BD23" s="148">
        <f>(INDEX('Avoided Cost Benefits'!$C$4:$C$857,MATCH(BC23,'Avoided Cost Benefits'!$A$4:$A$857,0)))*F23</f>
        <v>2.7532208773486193</v>
      </c>
      <c r="BE23" s="73">
        <f t="shared" si="9"/>
        <v>1.2074598047407678E-4</v>
      </c>
    </row>
    <row r="24" spans="1:57" s="64" customFormat="1" x14ac:dyDescent="0.25">
      <c r="A24" s="157"/>
      <c r="B24" s="157"/>
      <c r="C24" s="1670" t="s">
        <v>558</v>
      </c>
      <c r="D24" s="3080" t="s">
        <v>16</v>
      </c>
      <c r="E24" s="3008" t="s">
        <v>559</v>
      </c>
      <c r="F24" s="601">
        <f t="shared" si="4"/>
        <v>32.880000000000003</v>
      </c>
      <c r="G24" s="1757">
        <f t="shared" si="21"/>
        <v>5.1000000000000004E-3</v>
      </c>
      <c r="H24" s="140" t="s">
        <v>532</v>
      </c>
      <c r="I24" s="515">
        <f>VLOOKUP(H24,'CP FACTORS'!$A$3:$B$38, 2, FALSE)</f>
        <v>1.4925290000000001E-4</v>
      </c>
      <c r="J24" s="140" t="s">
        <v>36</v>
      </c>
      <c r="K24" s="515">
        <f>VLOOKUP(J24,'CP FACTORS'!$A$3:$B$38, 2, FALSE)</f>
        <v>1.899635E-4</v>
      </c>
      <c r="L24" s="2410">
        <f t="shared" si="22"/>
        <v>28.170651592012405</v>
      </c>
      <c r="M24" s="2491">
        <f t="shared" si="23"/>
        <v>4.7141296311448802</v>
      </c>
      <c r="N24" s="2492">
        <f t="shared" si="5"/>
        <v>4.2045514449974685E-3</v>
      </c>
      <c r="O24" s="2492">
        <f t="shared" si="6"/>
        <v>8.9551256418599046E-4</v>
      </c>
      <c r="P24" s="3095">
        <f t="shared" si="24"/>
        <v>19</v>
      </c>
      <c r="Q24" s="3095">
        <f t="shared" si="25"/>
        <v>6</v>
      </c>
      <c r="R24" s="2493">
        <v>9.9999999999999995E-7</v>
      </c>
      <c r="S24" s="1670" t="s">
        <v>533</v>
      </c>
      <c r="T24" s="277"/>
      <c r="U24" s="277"/>
      <c r="V24" s="3080" t="s">
        <v>20</v>
      </c>
      <c r="W24" s="2372">
        <v>33.138733144467849</v>
      </c>
      <c r="X24" s="163">
        <v>33.652495406632127</v>
      </c>
      <c r="Y24" s="2509">
        <v>32.36</v>
      </c>
      <c r="Z24" s="163">
        <v>32.36</v>
      </c>
      <c r="AA24" s="163">
        <v>32.36</v>
      </c>
      <c r="AB24" s="2509">
        <v>32.880000000000003</v>
      </c>
      <c r="AC24" s="2510"/>
      <c r="AD24" s="2510"/>
      <c r="AE24" s="2510"/>
      <c r="AF24" s="2510"/>
      <c r="AG24" s="2510"/>
      <c r="AH24" s="2518"/>
      <c r="AI24" s="2511"/>
      <c r="AJ24" s="2511"/>
      <c r="AK24" s="2511"/>
      <c r="BB24" s="147">
        <f t="shared" si="7"/>
        <v>22787.89882729395</v>
      </c>
      <c r="BC24" s="72" t="str">
        <f t="shared" si="8"/>
        <v>Lighting RES 19 Year EUL</v>
      </c>
      <c r="BD24" s="148">
        <f>(INDEX('Avoided Cost Benefits'!$C$4:$C$857,MATCH(BC24,'Avoided Cost Benefits'!$A$4:$A$857,0)))*F24</f>
        <v>19.260830307919704</v>
      </c>
      <c r="BE24" s="73">
        <f t="shared" si="9"/>
        <v>8.4522186331853738E-4</v>
      </c>
    </row>
    <row r="25" spans="1:57" s="64" customFormat="1" x14ac:dyDescent="0.25">
      <c r="A25" s="157"/>
      <c r="B25" s="157"/>
      <c r="C25" s="1670" t="s">
        <v>560</v>
      </c>
      <c r="D25" s="3080" t="s">
        <v>16</v>
      </c>
      <c r="E25" s="3008" t="s">
        <v>561</v>
      </c>
      <c r="F25" s="601">
        <f t="shared" si="4"/>
        <v>5.45</v>
      </c>
      <c r="G25" s="1757">
        <f t="shared" si="21"/>
        <v>8.4500000000000005E-4</v>
      </c>
      <c r="H25" s="140" t="s">
        <v>532</v>
      </c>
      <c r="I25" s="515">
        <f>VLOOKUP(H25,'CP FACTORS'!$A$3:$B$38, 2, FALSE)</f>
        <v>1.4925290000000001E-4</v>
      </c>
      <c r="J25" s="140" t="s">
        <v>36</v>
      </c>
      <c r="K25" s="515">
        <f>VLOOKUP(J25,'CP FACTORS'!$A$3:$B$38, 2, FALSE)</f>
        <v>1.899635E-4</v>
      </c>
      <c r="L25" s="2410">
        <f t="shared" si="22"/>
        <v>4.6682794066763398</v>
      </c>
      <c r="M25" s="2491">
        <f t="shared" si="23"/>
        <v>0.781198624589723</v>
      </c>
      <c r="N25" s="2492">
        <f t="shared" si="5"/>
        <v>6.9675423945672306E-4</v>
      </c>
      <c r="O25" s="2492">
        <f t="shared" si="6"/>
        <v>1.4839922492224984E-4</v>
      </c>
      <c r="P25" s="3095">
        <f t="shared" si="24"/>
        <v>19</v>
      </c>
      <c r="Q25" s="3095">
        <f t="shared" si="25"/>
        <v>6</v>
      </c>
      <c r="R25" s="2493">
        <v>9.9999999999999995E-7</v>
      </c>
      <c r="S25" s="1670" t="s">
        <v>533</v>
      </c>
      <c r="T25" s="277"/>
      <c r="U25" s="277"/>
      <c r="V25" s="3080" t="s">
        <v>20</v>
      </c>
      <c r="W25" s="2372">
        <v>4.706419911912727</v>
      </c>
      <c r="X25" s="163">
        <v>4.7150474333468093</v>
      </c>
      <c r="Y25" s="2509">
        <v>5.36</v>
      </c>
      <c r="Z25" s="163">
        <v>5.36</v>
      </c>
      <c r="AA25" s="163">
        <v>5.36</v>
      </c>
      <c r="AB25" s="2509">
        <v>5.45</v>
      </c>
      <c r="AC25" s="2510"/>
      <c r="AD25" s="2510"/>
      <c r="AE25" s="2510"/>
      <c r="AF25" s="2510"/>
      <c r="AG25" s="2510"/>
      <c r="AH25" s="2518"/>
      <c r="AI25" s="2511"/>
      <c r="AJ25" s="2511"/>
      <c r="AK25" s="2511"/>
      <c r="BB25" s="147">
        <f t="shared" si="7"/>
        <v>22793.395530803344</v>
      </c>
      <c r="BC25" s="72" t="str">
        <f t="shared" si="8"/>
        <v>Lighting RES 19 Year EUL</v>
      </c>
      <c r="BD25" s="148">
        <f>(INDEX('Avoided Cost Benefits'!$C$4:$C$857,MATCH(BC25,'Avoided Cost Benefits'!$A$4:$A$857,0)))*F25</f>
        <v>3.1925646343723351</v>
      </c>
      <c r="BE25" s="73">
        <f t="shared" si="9"/>
        <v>1.4006533734992903E-4</v>
      </c>
    </row>
    <row r="26" spans="1:57" s="64" customFormat="1" x14ac:dyDescent="0.25">
      <c r="A26" s="157"/>
      <c r="B26" s="157"/>
      <c r="C26" s="1670" t="s">
        <v>562</v>
      </c>
      <c r="D26" s="3080" t="s">
        <v>16</v>
      </c>
      <c r="E26" s="3008" t="s">
        <v>563</v>
      </c>
      <c r="F26" s="601">
        <f t="shared" si="4"/>
        <v>34.01</v>
      </c>
      <c r="G26" s="1757">
        <f t="shared" si="21"/>
        <v>5.2750000000000002E-3</v>
      </c>
      <c r="H26" s="140" t="s">
        <v>532</v>
      </c>
      <c r="I26" s="515">
        <f>VLOOKUP(H26,'CP FACTORS'!$A$3:$B$38, 2, FALSE)</f>
        <v>1.4925290000000001E-4</v>
      </c>
      <c r="J26" s="140" t="s">
        <v>36</v>
      </c>
      <c r="K26" s="515">
        <f>VLOOKUP(J26,'CP FACTORS'!$A$3:$B$38, 2, FALSE)</f>
        <v>1.899635E-4</v>
      </c>
      <c r="L26" s="2410">
        <f t="shared" si="22"/>
        <v>29.136502503738537</v>
      </c>
      <c r="M26" s="2491">
        <f t="shared" si="23"/>
        <v>4.8757569327841326</v>
      </c>
      <c r="N26" s="2492">
        <f t="shared" si="5"/>
        <v>4.348707494540238E-3</v>
      </c>
      <c r="O26" s="2492">
        <f t="shared" si="6"/>
        <v>9.2621585210093862E-4</v>
      </c>
      <c r="P26" s="3095">
        <f t="shared" si="24"/>
        <v>19</v>
      </c>
      <c r="Q26" s="3095">
        <f t="shared" si="25"/>
        <v>6</v>
      </c>
      <c r="R26" s="2493">
        <v>9.9999999999999995E-7</v>
      </c>
      <c r="S26" s="1670" t="s">
        <v>533</v>
      </c>
      <c r="T26" s="277"/>
      <c r="U26" s="277"/>
      <c r="V26" s="3080" t="s">
        <v>20</v>
      </c>
      <c r="W26" s="2372">
        <v>33.350983454220781</v>
      </c>
      <c r="X26" s="163">
        <v>32.173264839307649</v>
      </c>
      <c r="Y26" s="2509">
        <v>33.47</v>
      </c>
      <c r="Z26" s="163">
        <v>33.47</v>
      </c>
      <c r="AA26" s="163">
        <v>33.47</v>
      </c>
      <c r="AB26" s="2509">
        <v>34.01</v>
      </c>
      <c r="AC26" s="2510"/>
      <c r="AD26" s="2510"/>
      <c r="AE26" s="2510"/>
      <c r="AF26" s="2510"/>
      <c r="AG26" s="2510"/>
      <c r="AH26" s="2518"/>
      <c r="AI26" s="2511"/>
      <c r="AJ26" s="2511"/>
      <c r="AK26" s="2511"/>
      <c r="BB26" s="147">
        <f t="shared" si="7"/>
        <v>22789.698492651452</v>
      </c>
      <c r="BC26" s="72" t="str">
        <f t="shared" si="8"/>
        <v>Lighting RES 19 Year EUL</v>
      </c>
      <c r="BD26" s="148">
        <f>(INDEX('Avoided Cost Benefits'!$C$4:$C$857,MATCH(BC26,'Avoided Cost Benefits'!$A$4:$A$857,0)))*F26</f>
        <v>19.922774901835432</v>
      </c>
      <c r="BE26" s="73">
        <f t="shared" si="9"/>
        <v>8.7420089863231569E-4</v>
      </c>
    </row>
    <row r="27" spans="1:57" s="64" customFormat="1" x14ac:dyDescent="0.25">
      <c r="A27" s="157"/>
      <c r="B27" s="157"/>
      <c r="C27" s="1670" t="s">
        <v>564</v>
      </c>
      <c r="D27" s="3080" t="s">
        <v>16</v>
      </c>
      <c r="E27" s="3008" t="s">
        <v>3491</v>
      </c>
      <c r="F27" s="601">
        <f t="shared" si="4"/>
        <v>29.22</v>
      </c>
      <c r="G27" s="1757">
        <f t="shared" si="21"/>
        <v>4.5319999999999996E-3</v>
      </c>
      <c r="H27" s="140" t="s">
        <v>532</v>
      </c>
      <c r="I27" s="515">
        <f>VLOOKUP(H27,'CP FACTORS'!$A$3:$B$38, 2, FALSE)</f>
        <v>1.4925290000000001E-4</v>
      </c>
      <c r="J27" s="140" t="s">
        <v>36</v>
      </c>
      <c r="K27" s="515">
        <f>VLOOKUP(J27,'CP FACTORS'!$A$3:$B$38, 2, FALSE)</f>
        <v>1.899635E-4</v>
      </c>
      <c r="L27" s="2410">
        <f t="shared" si="22"/>
        <v>25.031636128902452</v>
      </c>
      <c r="M27" s="2491">
        <f t="shared" si="23"/>
        <v>4.1888409008173086</v>
      </c>
      <c r="N27" s="2492">
        <f t="shared" si="5"/>
        <v>3.7360442839834652E-3</v>
      </c>
      <c r="O27" s="2492">
        <f t="shared" si="6"/>
        <v>7.9572687846240879E-4</v>
      </c>
      <c r="P27" s="3095">
        <f t="shared" si="24"/>
        <v>19</v>
      </c>
      <c r="Q27" s="3095">
        <f t="shared" si="25"/>
        <v>6</v>
      </c>
      <c r="R27" s="2493">
        <v>9.9999999999999995E-7</v>
      </c>
      <c r="S27" s="1670" t="s">
        <v>533</v>
      </c>
      <c r="T27" s="277"/>
      <c r="U27" s="277"/>
      <c r="V27" s="3080" t="s">
        <v>20</v>
      </c>
      <c r="W27" s="2372">
        <v>29.733499914083939</v>
      </c>
      <c r="X27" s="163">
        <v>29.677063256947569</v>
      </c>
      <c r="Y27" s="2509">
        <v>28.75</v>
      </c>
      <c r="Z27" s="163">
        <v>28.75</v>
      </c>
      <c r="AA27" s="163">
        <v>28.75</v>
      </c>
      <c r="AB27" s="2509">
        <v>29.22</v>
      </c>
      <c r="AC27" s="2510"/>
      <c r="AD27" s="2510"/>
      <c r="AE27" s="2510"/>
      <c r="AF27" s="2510"/>
      <c r="AG27" s="2510"/>
      <c r="AH27" s="2518"/>
      <c r="AI27" s="2511"/>
      <c r="AJ27" s="2511"/>
      <c r="AK27" s="2511"/>
      <c r="BB27" s="147">
        <f t="shared" si="7"/>
        <v>22790.840443543617</v>
      </c>
      <c r="BC27" s="72" t="str">
        <f t="shared" si="8"/>
        <v>Lighting RES 19 Year EUL</v>
      </c>
      <c r="BD27" s="148">
        <f>(INDEX('Avoided Cost Benefits'!$C$4:$C$857,MATCH(BC27,'Avoided Cost Benefits'!$A$4:$A$857,0)))*F27</f>
        <v>17.116832773643967</v>
      </c>
      <c r="BE27" s="73">
        <f t="shared" si="9"/>
        <v>7.5103999854875768E-4</v>
      </c>
    </row>
    <row r="28" spans="1:57" s="64" customFormat="1" x14ac:dyDescent="0.25">
      <c r="A28" s="157"/>
      <c r="B28" s="157"/>
      <c r="C28" s="1670" t="s">
        <v>565</v>
      </c>
      <c r="D28" s="3080" t="s">
        <v>16</v>
      </c>
      <c r="E28" s="3008" t="s">
        <v>3492</v>
      </c>
      <c r="F28" s="601">
        <f t="shared" si="4"/>
        <v>38.43</v>
      </c>
      <c r="G28" s="1757">
        <f t="shared" si="21"/>
        <v>5.96E-3</v>
      </c>
      <c r="H28" s="140" t="s">
        <v>532</v>
      </c>
      <c r="I28" s="515">
        <f>VLOOKUP(H28,'CP FACTORS'!$A$3:$B$38, 2, FALSE)</f>
        <v>1.4925290000000001E-4</v>
      </c>
      <c r="J28" s="140" t="s">
        <v>36</v>
      </c>
      <c r="K28" s="515">
        <f>VLOOKUP(J28,'CP FACTORS'!$A$3:$B$38, 2, FALSE)</f>
        <v>1.899635E-4</v>
      </c>
      <c r="L28" s="2410">
        <f t="shared" si="22"/>
        <v>32.919418574665919</v>
      </c>
      <c r="M28" s="2491">
        <f t="shared" si="23"/>
        <v>5.5087971975378736</v>
      </c>
      <c r="N28" s="2492">
        <f t="shared" si="5"/>
        <v>4.9133186885827549E-3</v>
      </c>
      <c r="O28" s="2492">
        <f t="shared" si="6"/>
        <v>1.0464703964344858E-3</v>
      </c>
      <c r="P28" s="3095">
        <f t="shared" si="24"/>
        <v>19</v>
      </c>
      <c r="Q28" s="3095">
        <f t="shared" si="25"/>
        <v>6</v>
      </c>
      <c r="R28" s="2493">
        <v>9.9999999999999995E-7</v>
      </c>
      <c r="S28" s="1670" t="s">
        <v>533</v>
      </c>
      <c r="T28" s="277"/>
      <c r="U28" s="277"/>
      <c r="V28" s="3080" t="s">
        <v>20</v>
      </c>
      <c r="W28" s="2372">
        <v>39.127883189235227</v>
      </c>
      <c r="X28" s="163">
        <v>38.275090929521156</v>
      </c>
      <c r="Y28" s="2509">
        <v>37.81</v>
      </c>
      <c r="Z28" s="163">
        <v>37.81</v>
      </c>
      <c r="AA28" s="163">
        <v>37.81</v>
      </c>
      <c r="AB28" s="2509">
        <v>38.43</v>
      </c>
      <c r="AC28" s="2510"/>
      <c r="AD28" s="2510"/>
      <c r="AE28" s="2510"/>
      <c r="AF28" s="2510"/>
      <c r="AG28" s="2510"/>
      <c r="AH28" s="2518"/>
      <c r="AI28" s="2511"/>
      <c r="AJ28" s="2511"/>
      <c r="AK28" s="2511"/>
      <c r="BB28" s="147">
        <f t="shared" si="7"/>
        <v>22792.270713725044</v>
      </c>
      <c r="BC28" s="72" t="str">
        <f t="shared" si="8"/>
        <v>Lighting RES 19 Year EUL</v>
      </c>
      <c r="BD28" s="148">
        <f>(INDEX('Avoided Cost Benefits'!$C$4:$C$857,MATCH(BC28,'Avoided Cost Benefits'!$A$4:$A$857,0)))*F28</f>
        <v>22.511974109895199</v>
      </c>
      <c r="BE28" s="73">
        <f t="shared" si="9"/>
        <v>9.8770212027794778E-4</v>
      </c>
    </row>
    <row r="29" spans="1:57" s="64" customFormat="1" x14ac:dyDescent="0.25">
      <c r="A29" s="157"/>
      <c r="B29" s="157"/>
      <c r="C29" s="1670" t="s">
        <v>566</v>
      </c>
      <c r="D29" s="3080" t="s">
        <v>16</v>
      </c>
      <c r="E29" s="3008" t="s">
        <v>567</v>
      </c>
      <c r="F29" s="601">
        <f t="shared" si="4"/>
        <v>46.23</v>
      </c>
      <c r="G29" s="1757">
        <f t="shared" si="21"/>
        <v>7.169E-3</v>
      </c>
      <c r="H29" s="140" t="s">
        <v>532</v>
      </c>
      <c r="I29" s="515">
        <f>VLOOKUP(H29,'CP FACTORS'!$A$3:$B$38, 2, FALSE)</f>
        <v>1.4925290000000001E-4</v>
      </c>
      <c r="J29" s="140" t="s">
        <v>36</v>
      </c>
      <c r="K29" s="515">
        <f>VLOOKUP(J29,'CP FACTORS'!$A$3:$B$38, 2, FALSE)</f>
        <v>1.899635E-4</v>
      </c>
      <c r="L29" s="2410">
        <f t="shared" si="22"/>
        <v>39.599887380771726</v>
      </c>
      <c r="M29" s="2491">
        <f t="shared" si="23"/>
        <v>6.6267193672093745</v>
      </c>
      <c r="N29" s="2492">
        <f t="shared" si="5"/>
        <v>5.9103980312535847E-3</v>
      </c>
      <c r="O29" s="2492">
        <f t="shared" si="6"/>
        <v>1.2588348045128781E-3</v>
      </c>
      <c r="P29" s="3095">
        <f t="shared" si="24"/>
        <v>19</v>
      </c>
      <c r="Q29" s="3095">
        <f t="shared" si="25"/>
        <v>6</v>
      </c>
      <c r="R29" s="2493">
        <v>9.9999999999999995E-7</v>
      </c>
      <c r="S29" s="1670" t="s">
        <v>533</v>
      </c>
      <c r="T29" s="277"/>
      <c r="U29" s="277"/>
      <c r="V29" s="3080" t="s">
        <v>20</v>
      </c>
      <c r="W29" s="2372">
        <v>46.971916375756443</v>
      </c>
      <c r="X29" s="163">
        <v>46.503310960263626</v>
      </c>
      <c r="Y29" s="2509">
        <v>45.49</v>
      </c>
      <c r="Z29" s="163">
        <v>45.49</v>
      </c>
      <c r="AA29" s="163">
        <v>45.49</v>
      </c>
      <c r="AB29" s="2509">
        <v>46.23</v>
      </c>
      <c r="AC29" s="2510"/>
      <c r="AD29" s="2510"/>
      <c r="AE29" s="2510"/>
      <c r="AF29" s="2510"/>
      <c r="AG29" s="2510"/>
      <c r="AH29" s="2518"/>
      <c r="AI29" s="2511"/>
      <c r="AJ29" s="2511"/>
      <c r="AK29" s="2511"/>
      <c r="BB29" s="147">
        <f t="shared" si="7"/>
        <v>22792.885497338782</v>
      </c>
      <c r="BC29" s="72" t="str">
        <f t="shared" si="8"/>
        <v>Lighting RES 19 Year EUL</v>
      </c>
      <c r="BD29" s="148">
        <f>(INDEX('Avoided Cost Benefits'!$C$4:$C$857,MATCH(BC29,'Avoided Cost Benefits'!$A$4:$A$857,0)))*F29</f>
        <v>27.081149182941839</v>
      </c>
      <c r="BE29" s="73">
        <f t="shared" si="9"/>
        <v>1.1881404478649156E-3</v>
      </c>
    </row>
    <row r="30" spans="1:57" s="64" customFormat="1" x14ac:dyDescent="0.25">
      <c r="A30" s="157"/>
      <c r="B30" s="157"/>
      <c r="C30" s="1670" t="s">
        <v>568</v>
      </c>
      <c r="D30" s="3080" t="s">
        <v>16</v>
      </c>
      <c r="E30" s="3008" t="s">
        <v>3493</v>
      </c>
      <c r="F30" s="601">
        <f t="shared" si="4"/>
        <v>21.61</v>
      </c>
      <c r="G30" s="1757">
        <f t="shared" si="21"/>
        <v>3.3509999999999998E-3</v>
      </c>
      <c r="H30" s="140" t="s">
        <v>532</v>
      </c>
      <c r="I30" s="515">
        <f>VLOOKUP(H30,'CP FACTORS'!$A$3:$B$38, 2, FALSE)</f>
        <v>1.4925290000000001E-4</v>
      </c>
      <c r="J30" s="140" t="s">
        <v>36</v>
      </c>
      <c r="K30" s="515">
        <f>VLOOKUP(J30,'CP FACTORS'!$A$3:$B$38, 2, FALSE)</f>
        <v>1.899635E-4</v>
      </c>
      <c r="L30" s="2410">
        <f t="shared" si="22"/>
        <v>18.512142474751005</v>
      </c>
      <c r="M30" s="2491">
        <f t="shared" si="23"/>
        <v>3.0978566147523492</v>
      </c>
      <c r="N30" s="2492">
        <f t="shared" si="5"/>
        <v>2.7629909495697647E-3</v>
      </c>
      <c r="O30" s="2492">
        <f t="shared" si="6"/>
        <v>5.8847968503650792E-4</v>
      </c>
      <c r="P30" s="3095">
        <f t="shared" si="24"/>
        <v>19</v>
      </c>
      <c r="Q30" s="3095">
        <f t="shared" si="25"/>
        <v>6</v>
      </c>
      <c r="R30" s="2493">
        <v>9.9999999999999995E-7</v>
      </c>
      <c r="S30" s="1670" t="s">
        <v>533</v>
      </c>
      <c r="T30" s="277"/>
      <c r="U30" s="277"/>
      <c r="V30" s="3080" t="s">
        <v>20</v>
      </c>
      <c r="W30" s="2372"/>
      <c r="X30" s="163"/>
      <c r="Y30" s="2509">
        <v>21.26</v>
      </c>
      <c r="Z30" s="163">
        <v>21.26</v>
      </c>
      <c r="AA30" s="163">
        <v>21.26</v>
      </c>
      <c r="AB30" s="2509">
        <v>21.61</v>
      </c>
      <c r="AC30" s="2510"/>
      <c r="AD30" s="2510"/>
      <c r="AE30" s="2510"/>
      <c r="AF30" s="2510"/>
      <c r="AG30" s="2510"/>
      <c r="AH30" s="2518"/>
      <c r="AI30" s="2511"/>
      <c r="AJ30" s="2511"/>
      <c r="AK30" s="2511"/>
      <c r="BB30" s="152">
        <f t="shared" si="7"/>
        <v>22791.213474589786</v>
      </c>
      <c r="BC30" s="72" t="str">
        <f t="shared" si="8"/>
        <v>Lighting RES 19 Year EUL</v>
      </c>
      <c r="BD30" s="153">
        <f>(INDEX('Avoided Cost Benefits'!$C$4:$C$857,MATCH(BC30,'Avoided Cost Benefits'!$A$4:$A$857,0)))*F30</f>
        <v>12.658958119043332</v>
      </c>
      <c r="BE30" s="75">
        <f t="shared" si="9"/>
        <v>5.5543151018075301E-4</v>
      </c>
    </row>
    <row r="31" spans="1:57" x14ac:dyDescent="0.25">
      <c r="C31" s="1737"/>
      <c r="D31" s="2766"/>
      <c r="E31" s="1363"/>
      <c r="F31" s="2880" t="s">
        <v>569</v>
      </c>
      <c r="G31" s="277"/>
      <c r="H31" s="2881"/>
      <c r="I31" s="2881"/>
      <c r="J31" s="2881"/>
      <c r="K31" s="2881"/>
      <c r="L31" s="2519"/>
      <c r="M31" s="2519"/>
      <c r="N31" s="2519"/>
      <c r="O31" s="2519"/>
      <c r="P31" s="2519"/>
      <c r="Q31" s="2519"/>
      <c r="R31" s="2519"/>
      <c r="S31" s="586"/>
      <c r="T31" s="277"/>
      <c r="U31" s="2520"/>
      <c r="V31" s="2521"/>
      <c r="W31" s="276"/>
      <c r="X31" s="276"/>
      <c r="Y31" s="276"/>
      <c r="Z31" s="276"/>
      <c r="AA31" s="276"/>
      <c r="AB31" s="276"/>
      <c r="AC31" s="276"/>
      <c r="AD31" s="276"/>
      <c r="AE31" s="276"/>
      <c r="AF31" s="276"/>
      <c r="AG31" s="276"/>
      <c r="AH31" s="276"/>
      <c r="AI31" s="276"/>
      <c r="AJ31" s="276"/>
      <c r="AK31" s="276"/>
    </row>
    <row r="32" spans="1:57" x14ac:dyDescent="0.25">
      <c r="C32" s="154"/>
      <c r="D32" s="768"/>
      <c r="E32" s="1227"/>
      <c r="F32" s="156" t="s">
        <v>570</v>
      </c>
    </row>
    <row r="33" spans="3:33" outlineLevel="1" x14ac:dyDescent="0.25">
      <c r="C33" s="154"/>
      <c r="D33" s="2879" t="s">
        <v>571</v>
      </c>
      <c r="E33" s="768"/>
      <c r="H33" s="3342"/>
      <c r="I33" s="3342"/>
      <c r="J33" s="3342"/>
      <c r="K33" s="3342"/>
      <c r="L33" s="3342"/>
      <c r="M33" s="3342"/>
      <c r="N33" s="3342"/>
      <c r="O33" s="3342"/>
      <c r="P33" s="3342"/>
      <c r="Q33" s="3342"/>
      <c r="R33" s="3342"/>
      <c r="S33" s="3342"/>
    </row>
    <row r="34" spans="3:33" outlineLevel="1" x14ac:dyDescent="0.25">
      <c r="C34" s="154"/>
      <c r="D34" s="768"/>
      <c r="E34" s="768"/>
    </row>
    <row r="35" spans="3:33" outlineLevel="1" x14ac:dyDescent="0.25">
      <c r="C35" s="154"/>
      <c r="D35" s="768"/>
      <c r="E35" s="768"/>
    </row>
    <row r="36" spans="3:33" outlineLevel="1" x14ac:dyDescent="0.25">
      <c r="C36" s="154"/>
      <c r="D36" s="768"/>
      <c r="E36" s="768"/>
    </row>
    <row r="37" spans="3:33" outlineLevel="1" x14ac:dyDescent="0.25">
      <c r="C37" s="154"/>
      <c r="D37" s="768"/>
      <c r="E37" s="768"/>
    </row>
    <row r="38" spans="3:33" outlineLevel="1" x14ac:dyDescent="0.25">
      <c r="C38" s="154"/>
      <c r="D38" s="768"/>
      <c r="E38" s="768"/>
    </row>
    <row r="39" spans="3:33" outlineLevel="1" x14ac:dyDescent="0.25">
      <c r="C39" s="154"/>
      <c r="D39" s="768"/>
      <c r="E39" s="768"/>
    </row>
    <row r="40" spans="3:33" outlineLevel="1" x14ac:dyDescent="0.25"/>
    <row r="41" spans="3:33" ht="48.75" customHeight="1" outlineLevel="1" thickBot="1" x14ac:dyDescent="0.3">
      <c r="D41" s="1406" t="s">
        <v>572</v>
      </c>
      <c r="E41" s="1406" t="s">
        <v>573</v>
      </c>
      <c r="F41" s="1406" t="s">
        <v>71</v>
      </c>
      <c r="G41" s="1406" t="s">
        <v>574</v>
      </c>
      <c r="H41" s="1406" t="str">
        <f t="shared" ref="H41:H49" si="26">C6</f>
        <v>Measure Reference No.</v>
      </c>
      <c r="I41" s="3356" t="s">
        <v>575</v>
      </c>
      <c r="J41" s="3356"/>
      <c r="K41" s="3356"/>
      <c r="L41" s="3356"/>
      <c r="V41" s="55" t="s">
        <v>27</v>
      </c>
      <c r="W41" s="56">
        <v>43252</v>
      </c>
      <c r="X41" s="56">
        <f>$Y$6</f>
        <v>43800</v>
      </c>
      <c r="Y41" s="56">
        <f>$Y$6</f>
        <v>43800</v>
      </c>
      <c r="Z41" s="56">
        <f>$Z$6</f>
        <v>43862</v>
      </c>
      <c r="AA41" s="56">
        <f>$AA$6</f>
        <v>44013</v>
      </c>
      <c r="AB41" s="56">
        <f>$AB$6</f>
        <v>44166</v>
      </c>
      <c r="AC41" s="56" t="str">
        <f>$AC$6</f>
        <v>-</v>
      </c>
      <c r="AD41" s="56" t="str">
        <f>$AD$6</f>
        <v>-</v>
      </c>
      <c r="AE41" s="56" t="str">
        <f>$AE$6</f>
        <v>-</v>
      </c>
      <c r="AF41" s="56" t="str">
        <f>$AF$6</f>
        <v>-</v>
      </c>
      <c r="AG41" s="56" t="str">
        <f>$AG$6</f>
        <v>-</v>
      </c>
    </row>
    <row r="42" spans="3:33" outlineLevel="1" x14ac:dyDescent="0.25">
      <c r="D42" s="3357" t="s">
        <v>576</v>
      </c>
      <c r="E42" s="3361" t="s">
        <v>577</v>
      </c>
      <c r="F42" s="2522" t="str">
        <f t="shared" ref="F42:F49" si="27">E7</f>
        <v>LED - 10.5W Downlight E26 (CFL baseline)</v>
      </c>
      <c r="G42" s="158">
        <v>21</v>
      </c>
      <c r="H42" s="169" t="str">
        <f t="shared" si="26"/>
        <v>200050_2019_12_</v>
      </c>
      <c r="I42" s="3364"/>
      <c r="J42" s="3364"/>
      <c r="K42" s="3364"/>
      <c r="L42" s="3364"/>
      <c r="V42" s="3365" t="s">
        <v>576</v>
      </c>
      <c r="W42" s="158">
        <v>21</v>
      </c>
      <c r="X42" s="159">
        <v>21</v>
      </c>
      <c r="Y42" s="159">
        <v>21</v>
      </c>
      <c r="Z42" s="2530">
        <v>21</v>
      </c>
      <c r="AA42" s="2530">
        <v>21</v>
      </c>
      <c r="AB42" s="159">
        <v>21</v>
      </c>
      <c r="AC42" s="159"/>
      <c r="AD42" s="159"/>
      <c r="AE42" s="159"/>
      <c r="AF42" s="159"/>
      <c r="AG42" s="159"/>
    </row>
    <row r="43" spans="3:33" outlineLevel="1" x14ac:dyDescent="0.25">
      <c r="D43" s="3358"/>
      <c r="E43" s="3362"/>
      <c r="F43" s="2431" t="str">
        <f t="shared" si="27"/>
        <v>LED - 10.5W Downlight E26 (Halogen baseline)</v>
      </c>
      <c r="G43" s="143">
        <v>53</v>
      </c>
      <c r="H43" s="2294" t="str">
        <f t="shared" si="26"/>
        <v>200100_2019_12_</v>
      </c>
      <c r="I43" s="3369" t="s">
        <v>578</v>
      </c>
      <c r="J43" s="3369"/>
      <c r="K43" s="3369"/>
      <c r="L43" s="3369"/>
      <c r="V43" s="3366"/>
      <c r="W43" s="143">
        <v>43</v>
      </c>
      <c r="X43" s="62">
        <v>34.200000000000003</v>
      </c>
      <c r="Y43" s="62">
        <v>53</v>
      </c>
      <c r="Z43" s="163">
        <v>53</v>
      </c>
      <c r="AA43" s="163">
        <v>53</v>
      </c>
      <c r="AB43" s="2531">
        <v>53</v>
      </c>
      <c r="AC43" s="2531"/>
      <c r="AD43" s="161"/>
      <c r="AE43" s="161"/>
      <c r="AF43" s="161"/>
      <c r="AG43" s="161"/>
    </row>
    <row r="44" spans="3:33" outlineLevel="1" x14ac:dyDescent="0.25">
      <c r="D44" s="3358"/>
      <c r="E44" s="3362"/>
      <c r="F44" s="2431" t="str">
        <f t="shared" si="27"/>
        <v>LED - 10W (CFL baseline) (750-1049 lumens)</v>
      </c>
      <c r="G44" s="143">
        <v>13.4</v>
      </c>
      <c r="H44" s="2294" t="str">
        <f t="shared" si="26"/>
        <v>200150_2019_12_</v>
      </c>
      <c r="I44" s="3370" t="s">
        <v>579</v>
      </c>
      <c r="J44" s="3370"/>
      <c r="K44" s="3370"/>
      <c r="L44" s="3370"/>
      <c r="V44" s="3366"/>
      <c r="W44" s="143">
        <v>13.4</v>
      </c>
      <c r="X44" s="161">
        <v>13.4</v>
      </c>
      <c r="Y44" s="161">
        <v>13.4</v>
      </c>
      <c r="Z44" s="163">
        <v>13.4</v>
      </c>
      <c r="AA44" s="163">
        <v>13.4</v>
      </c>
      <c r="AB44" s="2531">
        <v>13.4</v>
      </c>
      <c r="AC44" s="2531"/>
      <c r="AD44" s="161"/>
      <c r="AE44" s="161"/>
      <c r="AF44" s="161"/>
      <c r="AG44" s="161"/>
    </row>
    <row r="45" spans="3:33" ht="14.45" customHeight="1" outlineLevel="1" x14ac:dyDescent="0.25">
      <c r="D45" s="3358"/>
      <c r="E45" s="3362"/>
      <c r="F45" s="2431" t="str">
        <f t="shared" si="27"/>
        <v>LED - 10W (Halogen baseline) (750-1049 lumens)</v>
      </c>
      <c r="G45" s="163">
        <v>43</v>
      </c>
      <c r="H45" s="163" t="str">
        <f t="shared" si="26"/>
        <v>200200_2019_12_</v>
      </c>
      <c r="I45" s="3371" t="s">
        <v>3494</v>
      </c>
      <c r="J45" s="3371"/>
      <c r="K45" s="3371"/>
      <c r="L45" s="3371"/>
      <c r="V45" s="3366"/>
      <c r="W45" s="143">
        <v>41.32</v>
      </c>
      <c r="X45" s="162">
        <v>41.1</v>
      </c>
      <c r="Y45" s="62">
        <v>39.5</v>
      </c>
      <c r="Z45" s="163">
        <v>39.5</v>
      </c>
      <c r="AA45" s="163">
        <v>39.5</v>
      </c>
      <c r="AB45" s="2531">
        <v>43</v>
      </c>
      <c r="AC45" s="2531"/>
      <c r="AD45" s="161"/>
      <c r="AE45" s="161"/>
      <c r="AF45" s="161"/>
      <c r="AG45" s="161"/>
    </row>
    <row r="46" spans="3:33" outlineLevel="1" x14ac:dyDescent="0.25">
      <c r="D46" s="3358"/>
      <c r="E46" s="3362"/>
      <c r="F46" s="2431" t="str">
        <f t="shared" si="27"/>
        <v>LED - 12W Dimmable Light Bulb (Replacing CFL)</v>
      </c>
      <c r="G46" s="143">
        <v>18</v>
      </c>
      <c r="H46" s="2294" t="str">
        <f t="shared" si="26"/>
        <v>200250_2019_12_</v>
      </c>
      <c r="I46" s="3372"/>
      <c r="J46" s="3372"/>
      <c r="K46" s="3372"/>
      <c r="L46" s="3372"/>
      <c r="V46" s="3366"/>
      <c r="W46" s="143">
        <v>18</v>
      </c>
      <c r="X46" s="160">
        <v>18</v>
      </c>
      <c r="Y46" s="160">
        <v>18</v>
      </c>
      <c r="Z46" s="163">
        <v>18</v>
      </c>
      <c r="AA46" s="163">
        <v>18</v>
      </c>
      <c r="AB46" s="2531">
        <v>18</v>
      </c>
      <c r="AC46" s="2531"/>
      <c r="AD46" s="160"/>
      <c r="AE46" s="160"/>
      <c r="AF46" s="160"/>
      <c r="AG46" s="160"/>
    </row>
    <row r="47" spans="3:33" outlineLevel="1" x14ac:dyDescent="0.25">
      <c r="D47" s="3358"/>
      <c r="E47" s="3362"/>
      <c r="F47" s="2431" t="str">
        <f t="shared" si="27"/>
        <v>LED - 12W Dimmable Light Bulb (Replacing Specialty Incandescent)</v>
      </c>
      <c r="G47" s="143">
        <v>92.2</v>
      </c>
      <c r="H47" s="2294" t="str">
        <f t="shared" si="26"/>
        <v>200300_2019_12_</v>
      </c>
      <c r="I47" s="3369" t="s">
        <v>578</v>
      </c>
      <c r="J47" s="3369"/>
      <c r="K47" s="3369"/>
      <c r="L47" s="3369"/>
      <c r="V47" s="3366"/>
      <c r="W47" s="143">
        <v>76.25</v>
      </c>
      <c r="X47" s="146">
        <v>60</v>
      </c>
      <c r="Y47" s="146">
        <v>92.2</v>
      </c>
      <c r="Z47" s="163">
        <v>92.2</v>
      </c>
      <c r="AA47" s="163">
        <v>92.2</v>
      </c>
      <c r="AB47" s="2531">
        <v>92.2</v>
      </c>
      <c r="AC47" s="2531"/>
      <c r="AD47" s="160"/>
      <c r="AE47" s="160"/>
      <c r="AF47" s="160"/>
      <c r="AG47" s="160"/>
    </row>
    <row r="48" spans="3:33" outlineLevel="1" x14ac:dyDescent="0.25">
      <c r="D48" s="3358"/>
      <c r="E48" s="3362"/>
      <c r="F48" s="2431" t="str">
        <f t="shared" si="27"/>
        <v>LED - 15W (Halogen baseline) (1050-1489 lumens)</v>
      </c>
      <c r="G48" s="143">
        <v>53</v>
      </c>
      <c r="H48" s="2294" t="str">
        <f t="shared" si="26"/>
        <v>200350_2019_12_</v>
      </c>
      <c r="I48" s="3370" t="s">
        <v>578</v>
      </c>
      <c r="J48" s="3370"/>
      <c r="K48" s="3370"/>
      <c r="L48" s="3370"/>
      <c r="V48" s="3366"/>
      <c r="W48" s="143">
        <v>53</v>
      </c>
      <c r="X48" s="163">
        <v>53</v>
      </c>
      <c r="Y48" s="163">
        <v>53</v>
      </c>
      <c r="Z48" s="163">
        <v>53</v>
      </c>
      <c r="AA48" s="163">
        <v>53</v>
      </c>
      <c r="AB48" s="163">
        <v>53</v>
      </c>
      <c r="AC48" s="163"/>
      <c r="AD48" s="163"/>
      <c r="AE48" s="163"/>
      <c r="AF48" s="163"/>
      <c r="AG48" s="163"/>
    </row>
    <row r="49" spans="1:33" outlineLevel="1" x14ac:dyDescent="0.25">
      <c r="D49" s="3358"/>
      <c r="E49" s="3362"/>
      <c r="F49" s="2431" t="str">
        <f t="shared" si="27"/>
        <v>LED - 15W (CFL baseline) (1050-1489 lumens)</v>
      </c>
      <c r="G49" s="143">
        <v>18.899999999999999</v>
      </c>
      <c r="H49" s="2294" t="str">
        <f t="shared" si="26"/>
        <v>200400_2019_12_</v>
      </c>
      <c r="I49" s="3370" t="s">
        <v>580</v>
      </c>
      <c r="J49" s="3370"/>
      <c r="K49" s="3370"/>
      <c r="L49" s="3370"/>
      <c r="V49" s="3366"/>
      <c r="W49" s="143">
        <v>18.899999999999999</v>
      </c>
      <c r="X49" s="163">
        <v>18.899999999999999</v>
      </c>
      <c r="Y49" s="163">
        <v>18.899999999999999</v>
      </c>
      <c r="Z49" s="163">
        <v>18.899999999999999</v>
      </c>
      <c r="AA49" s="163">
        <v>18.899999999999999</v>
      </c>
      <c r="AB49" s="163">
        <v>18.899999999999999</v>
      </c>
      <c r="AC49" s="163"/>
      <c r="AD49" s="163"/>
      <c r="AE49" s="163"/>
      <c r="AF49" s="163"/>
      <c r="AG49" s="163"/>
    </row>
    <row r="50" spans="1:33" s="2277" customFormat="1" outlineLevel="1" x14ac:dyDescent="0.25">
      <c r="A50" s="157"/>
      <c r="B50" s="157"/>
      <c r="C50" s="385"/>
      <c r="D50" s="3358"/>
      <c r="E50" s="3362"/>
      <c r="F50" s="2431" t="str">
        <f t="shared" ref="F50:F51" si="28">E15</f>
        <v>LED - 11W Flood Light BR30 Bulb (CFL baseline)</v>
      </c>
      <c r="G50" s="163">
        <f>850/45</f>
        <v>18.888888888888889</v>
      </c>
      <c r="H50" s="163" t="str">
        <f t="shared" ref="H50:H51" si="29">C15</f>
        <v>200401_2020_12_</v>
      </c>
      <c r="I50" s="3380" t="s">
        <v>3495</v>
      </c>
      <c r="J50" s="3381"/>
      <c r="K50" s="3381"/>
      <c r="L50" s="3382"/>
      <c r="M50" s="157"/>
      <c r="N50" s="157"/>
      <c r="O50" s="157"/>
      <c r="P50" s="157"/>
      <c r="Q50" s="157"/>
      <c r="R50" s="157"/>
      <c r="S50" s="157"/>
      <c r="T50" s="157"/>
      <c r="U50" s="157"/>
      <c r="V50" s="3366"/>
      <c r="W50" s="143"/>
      <c r="X50" s="163"/>
      <c r="Y50" s="163"/>
      <c r="Z50" s="163"/>
      <c r="AA50" s="163"/>
      <c r="AB50" s="2509">
        <v>18.888888888888889</v>
      </c>
      <c r="AC50" s="163"/>
      <c r="AD50" s="163"/>
      <c r="AE50" s="163"/>
      <c r="AF50" s="163"/>
      <c r="AG50" s="163"/>
    </row>
    <row r="51" spans="1:33" s="2277" customFormat="1" outlineLevel="1" x14ac:dyDescent="0.25">
      <c r="A51" s="157"/>
      <c r="B51" s="157"/>
      <c r="C51" s="385"/>
      <c r="D51" s="3358"/>
      <c r="E51" s="3362"/>
      <c r="F51" s="2431" t="str">
        <f t="shared" si="28"/>
        <v xml:space="preserve">LED - 11W Flood Light BR30 Bulb (Halogen baseline) </v>
      </c>
      <c r="G51" s="163">
        <v>65</v>
      </c>
      <c r="H51" s="163" t="str">
        <f t="shared" si="29"/>
        <v>200402_2020_12_</v>
      </c>
      <c r="I51" s="3380" t="s">
        <v>3496</v>
      </c>
      <c r="J51" s="3381"/>
      <c r="K51" s="3381"/>
      <c r="L51" s="3382"/>
      <c r="M51" s="157"/>
      <c r="N51" s="157"/>
      <c r="O51" s="157"/>
      <c r="P51" s="157"/>
      <c r="Q51" s="157"/>
      <c r="R51" s="157"/>
      <c r="S51" s="157"/>
      <c r="T51" s="157"/>
      <c r="U51" s="157"/>
      <c r="V51" s="3366"/>
      <c r="W51" s="143"/>
      <c r="X51" s="163"/>
      <c r="Y51" s="163"/>
      <c r="Z51" s="163"/>
      <c r="AA51" s="163"/>
      <c r="AB51" s="2509">
        <v>65</v>
      </c>
      <c r="AC51" s="163"/>
      <c r="AD51" s="163"/>
      <c r="AE51" s="163"/>
      <c r="AF51" s="163"/>
      <c r="AG51" s="163"/>
    </row>
    <row r="52" spans="1:33" outlineLevel="1" x14ac:dyDescent="0.25">
      <c r="D52" s="3358"/>
      <c r="E52" s="3362"/>
      <c r="F52" s="2431" t="str">
        <f t="shared" ref="F52:F65" si="30">E17</f>
        <v>LED - 15W Flood Light PAR30 Bulb (CFL baseline)</v>
      </c>
      <c r="G52" s="164">
        <v>16</v>
      </c>
      <c r="H52" s="2294" t="str">
        <f t="shared" ref="H52:H65" si="31">C17</f>
        <v>200450_2019_12_</v>
      </c>
      <c r="I52" s="3372"/>
      <c r="J52" s="3372"/>
      <c r="K52" s="3372"/>
      <c r="L52" s="3372"/>
      <c r="V52" s="3366"/>
      <c r="W52" s="164">
        <v>16</v>
      </c>
      <c r="X52" s="164">
        <v>16</v>
      </c>
      <c r="Y52" s="164">
        <v>16</v>
      </c>
      <c r="Z52" s="165">
        <v>16</v>
      </c>
      <c r="AA52" s="165">
        <v>16</v>
      </c>
      <c r="AB52" s="165">
        <v>16</v>
      </c>
      <c r="AC52" s="165"/>
      <c r="AD52" s="164"/>
      <c r="AE52" s="164"/>
      <c r="AF52" s="164"/>
      <c r="AG52" s="164"/>
    </row>
    <row r="53" spans="1:33" outlineLevel="1" x14ac:dyDescent="0.25">
      <c r="D53" s="3358"/>
      <c r="E53" s="3362"/>
      <c r="F53" s="2431" t="str">
        <f t="shared" si="30"/>
        <v>LED - 15W Flood Light PAR30 Bulb (Halogen baseline)</v>
      </c>
      <c r="G53" s="143">
        <v>61.3</v>
      </c>
      <c r="H53" s="2294" t="str">
        <f t="shared" si="31"/>
        <v>200500_2019_12_</v>
      </c>
      <c r="I53" s="3369" t="s">
        <v>578</v>
      </c>
      <c r="J53" s="3369"/>
      <c r="K53" s="3369"/>
      <c r="L53" s="3369"/>
      <c r="V53" s="3366"/>
      <c r="W53" s="143">
        <v>62.1</v>
      </c>
      <c r="X53" s="62">
        <v>60.9</v>
      </c>
      <c r="Y53" s="62">
        <v>61.3</v>
      </c>
      <c r="Z53" s="163">
        <v>61.3</v>
      </c>
      <c r="AA53" s="163">
        <v>61.3</v>
      </c>
      <c r="AB53" s="2531">
        <v>61.3</v>
      </c>
      <c r="AC53" s="2531"/>
      <c r="AD53" s="161"/>
      <c r="AE53" s="161"/>
      <c r="AF53" s="161"/>
      <c r="AG53" s="161"/>
    </row>
    <row r="54" spans="1:33" outlineLevel="1" x14ac:dyDescent="0.25">
      <c r="D54" s="3358"/>
      <c r="E54" s="3362"/>
      <c r="F54" s="2431" t="str">
        <f t="shared" si="30"/>
        <v>LED - 18W Flood Light PAR30 Bulb (CFL baseline)</v>
      </c>
      <c r="G54" s="164">
        <v>23</v>
      </c>
      <c r="H54" s="2294" t="str">
        <f t="shared" si="31"/>
        <v>200550_2019_12_</v>
      </c>
      <c r="I54" s="3370" t="s">
        <v>581</v>
      </c>
      <c r="J54" s="3370"/>
      <c r="K54" s="3370"/>
      <c r="L54" s="3370"/>
      <c r="V54" s="3366"/>
      <c r="W54" s="164">
        <v>23</v>
      </c>
      <c r="X54" s="165">
        <v>23</v>
      </c>
      <c r="Y54" s="165">
        <v>23</v>
      </c>
      <c r="Z54" s="165">
        <v>23</v>
      </c>
      <c r="AA54" s="165">
        <v>23</v>
      </c>
      <c r="AB54" s="165">
        <v>23</v>
      </c>
      <c r="AC54" s="165"/>
      <c r="AD54" s="165"/>
      <c r="AE54" s="165"/>
      <c r="AF54" s="165"/>
      <c r="AG54" s="165"/>
    </row>
    <row r="55" spans="1:33" outlineLevel="1" x14ac:dyDescent="0.25">
      <c r="D55" s="3358"/>
      <c r="E55" s="3362"/>
      <c r="F55" s="2431" t="str">
        <f t="shared" si="30"/>
        <v>LED - 18W Flood Light PAR38 Bulb (Halogen baseline)</v>
      </c>
      <c r="G55" s="143">
        <v>100</v>
      </c>
      <c r="H55" s="2294" t="str">
        <f t="shared" si="31"/>
        <v>200600_2019_12_</v>
      </c>
      <c r="I55" s="3369" t="s">
        <v>582</v>
      </c>
      <c r="J55" s="3369"/>
      <c r="K55" s="3369"/>
      <c r="L55" s="3369"/>
      <c r="V55" s="3366"/>
      <c r="W55" s="143">
        <v>100</v>
      </c>
      <c r="X55" s="161">
        <v>100</v>
      </c>
      <c r="Y55" s="70">
        <v>100</v>
      </c>
      <c r="Z55" s="163">
        <v>100</v>
      </c>
      <c r="AA55" s="163">
        <v>100</v>
      </c>
      <c r="AB55" s="2531">
        <v>100</v>
      </c>
      <c r="AC55" s="2531"/>
      <c r="AD55" s="161"/>
      <c r="AE55" s="161"/>
      <c r="AF55" s="161"/>
      <c r="AG55" s="161"/>
    </row>
    <row r="56" spans="1:33" outlineLevel="1" x14ac:dyDescent="0.25">
      <c r="D56" s="3358"/>
      <c r="E56" s="3362"/>
      <c r="F56" s="2431" t="str">
        <f t="shared" si="30"/>
        <v>LED - 20W (CFL baseline) (1490-2600 lumens)</v>
      </c>
      <c r="G56" s="143">
        <v>24.8</v>
      </c>
      <c r="H56" s="2294" t="str">
        <f t="shared" si="31"/>
        <v>200650_2019_12_</v>
      </c>
      <c r="I56" s="3370" t="s">
        <v>583</v>
      </c>
      <c r="J56" s="3370"/>
      <c r="K56" s="3370"/>
      <c r="L56" s="3370"/>
      <c r="V56" s="3366"/>
      <c r="W56" s="143">
        <v>24.8</v>
      </c>
      <c r="X56" s="161">
        <v>24.8</v>
      </c>
      <c r="Y56" s="70">
        <v>24.8</v>
      </c>
      <c r="Z56" s="163">
        <v>24.8</v>
      </c>
      <c r="AA56" s="163">
        <v>24.8</v>
      </c>
      <c r="AB56" s="2531">
        <v>24.8</v>
      </c>
      <c r="AC56" s="2531"/>
      <c r="AD56" s="161"/>
      <c r="AE56" s="161"/>
      <c r="AF56" s="161"/>
      <c r="AG56" s="161"/>
    </row>
    <row r="57" spans="1:33" outlineLevel="1" x14ac:dyDescent="0.25">
      <c r="D57" s="3358"/>
      <c r="E57" s="3362"/>
      <c r="F57" s="2431" t="str">
        <f t="shared" si="30"/>
        <v>LED - 20W (Halogen baseline) (1490-2600 lumens)</v>
      </c>
      <c r="G57" s="143">
        <v>72</v>
      </c>
      <c r="H57" s="2294" t="str">
        <f t="shared" si="31"/>
        <v>200700_2019_12_</v>
      </c>
      <c r="I57" s="3369" t="s">
        <v>578</v>
      </c>
      <c r="J57" s="3369"/>
      <c r="K57" s="3369"/>
      <c r="L57" s="3369"/>
      <c r="V57" s="3366"/>
      <c r="W57" s="143">
        <v>72</v>
      </c>
      <c r="X57" s="62">
        <v>71.7</v>
      </c>
      <c r="Y57" s="62">
        <v>72</v>
      </c>
      <c r="Z57" s="163">
        <v>72</v>
      </c>
      <c r="AA57" s="163">
        <v>72</v>
      </c>
      <c r="AB57" s="2531">
        <v>72</v>
      </c>
      <c r="AC57" s="2531"/>
      <c r="AD57" s="161"/>
      <c r="AE57" s="161"/>
      <c r="AF57" s="161"/>
      <c r="AG57" s="161"/>
    </row>
    <row r="58" spans="1:33" outlineLevel="1" x14ac:dyDescent="0.25">
      <c r="D58" s="3358"/>
      <c r="E58" s="3362"/>
      <c r="F58" s="2431" t="str">
        <f t="shared" si="30"/>
        <v>LED - 4W Candelabra (CFL baseline)</v>
      </c>
      <c r="G58" s="143">
        <v>9</v>
      </c>
      <c r="H58" s="2294" t="str">
        <f t="shared" si="31"/>
        <v>200750_2019_12_</v>
      </c>
      <c r="I58" s="3370" t="s">
        <v>584</v>
      </c>
      <c r="J58" s="3370"/>
      <c r="K58" s="3370"/>
      <c r="L58" s="3370"/>
      <c r="V58" s="3366"/>
      <c r="W58" s="143">
        <v>9</v>
      </c>
      <c r="X58" s="161">
        <v>9</v>
      </c>
      <c r="Y58" s="70">
        <v>9</v>
      </c>
      <c r="Z58" s="163">
        <v>9</v>
      </c>
      <c r="AA58" s="163">
        <v>9</v>
      </c>
      <c r="AB58" s="2531">
        <v>9</v>
      </c>
      <c r="AC58" s="2531"/>
      <c r="AD58" s="161"/>
      <c r="AE58" s="161"/>
      <c r="AF58" s="161"/>
      <c r="AG58" s="161"/>
    </row>
    <row r="59" spans="1:33" outlineLevel="1" x14ac:dyDescent="0.25">
      <c r="D59" s="3358"/>
      <c r="E59" s="3362"/>
      <c r="F59" s="2431" t="str">
        <f t="shared" si="30"/>
        <v>LED - 4W Candelabra (Replacing Specialty Incandescent)</v>
      </c>
      <c r="G59" s="143">
        <v>39</v>
      </c>
      <c r="H59" s="2294" t="str">
        <f t="shared" si="31"/>
        <v>200800_2019_12_</v>
      </c>
      <c r="I59" s="3369" t="s">
        <v>578</v>
      </c>
      <c r="J59" s="3369"/>
      <c r="K59" s="3369"/>
      <c r="L59" s="3369"/>
      <c r="V59" s="3366"/>
      <c r="W59" s="143">
        <v>40.409999999999997</v>
      </c>
      <c r="X59" s="62">
        <v>41</v>
      </c>
      <c r="Y59" s="62">
        <v>39</v>
      </c>
      <c r="Z59" s="163">
        <v>39</v>
      </c>
      <c r="AA59" s="163">
        <v>39</v>
      </c>
      <c r="AB59" s="163">
        <v>39</v>
      </c>
      <c r="AC59" s="163"/>
      <c r="AD59" s="70"/>
      <c r="AE59" s="70"/>
      <c r="AF59" s="70"/>
      <c r="AG59" s="70"/>
    </row>
    <row r="60" spans="1:33" outlineLevel="1" x14ac:dyDescent="0.25">
      <c r="D60" s="3358"/>
      <c r="E60" s="3362"/>
      <c r="F60" s="2431" t="str">
        <f t="shared" si="30"/>
        <v>LED - 8W Globe Light G25 Bulb (Replacing CFL)</v>
      </c>
      <c r="G60" s="143">
        <v>11</v>
      </c>
      <c r="H60" s="2294" t="str">
        <f t="shared" si="31"/>
        <v>200850_2019_12_</v>
      </c>
      <c r="I60" s="3370" t="s">
        <v>585</v>
      </c>
      <c r="J60" s="3370"/>
      <c r="K60" s="3370"/>
      <c r="L60" s="3370"/>
      <c r="V60" s="3366"/>
      <c r="W60" s="143">
        <v>11</v>
      </c>
      <c r="X60" s="70">
        <v>11</v>
      </c>
      <c r="Y60" s="70">
        <v>11</v>
      </c>
      <c r="Z60" s="163">
        <v>11</v>
      </c>
      <c r="AA60" s="163">
        <v>11</v>
      </c>
      <c r="AB60" s="163">
        <v>11</v>
      </c>
      <c r="AC60" s="163"/>
      <c r="AD60" s="70"/>
      <c r="AE60" s="70"/>
      <c r="AF60" s="70"/>
      <c r="AG60" s="70"/>
    </row>
    <row r="61" spans="1:33" outlineLevel="1" x14ac:dyDescent="0.25">
      <c r="D61" s="3358"/>
      <c r="E61" s="3362"/>
      <c r="F61" s="2431" t="str">
        <f t="shared" si="30"/>
        <v>LED - 8W Globe Light G25 Bulb (Replacing Specialty Incandescent)</v>
      </c>
      <c r="G61" s="143">
        <v>41.4</v>
      </c>
      <c r="H61" s="2294" t="str">
        <f t="shared" si="31"/>
        <v>200900_2019_12_</v>
      </c>
      <c r="I61" s="3369" t="s">
        <v>578</v>
      </c>
      <c r="J61" s="3369"/>
      <c r="K61" s="3369"/>
      <c r="L61" s="3369"/>
      <c r="V61" s="3366"/>
      <c r="W61" s="143">
        <v>42.04</v>
      </c>
      <c r="X61" s="62">
        <v>40.6</v>
      </c>
      <c r="Y61" s="62">
        <v>41.4</v>
      </c>
      <c r="Z61" s="163">
        <v>41.4</v>
      </c>
      <c r="AA61" s="163">
        <v>41.4</v>
      </c>
      <c r="AB61" s="163">
        <v>41.4</v>
      </c>
      <c r="AC61" s="163"/>
      <c r="AD61" s="70"/>
      <c r="AE61" s="70"/>
      <c r="AF61" s="70"/>
      <c r="AG61" s="70"/>
    </row>
    <row r="62" spans="1:33" outlineLevel="1" x14ac:dyDescent="0.25">
      <c r="D62" s="3359"/>
      <c r="E62" s="3362"/>
      <c r="F62" s="2431" t="str">
        <f t="shared" si="30"/>
        <v>LED - 10W (Halogen baseline) (750-1049 lumens) - Specialty Connected Light</v>
      </c>
      <c r="G62" s="143">
        <v>39.5</v>
      </c>
      <c r="H62" s="2294" t="str">
        <f t="shared" si="31"/>
        <v>200950_2019_12_</v>
      </c>
      <c r="I62" s="3370" t="str">
        <f>I45</f>
        <v>EISA Baseline for Lumen Range (reference IL TRM)</v>
      </c>
      <c r="J62" s="3370"/>
      <c r="K62" s="3370"/>
      <c r="L62" s="3370"/>
      <c r="V62" s="3367"/>
      <c r="W62" s="143">
        <f>W45</f>
        <v>41.32</v>
      </c>
      <c r="X62" s="70">
        <f>X45</f>
        <v>41.1</v>
      </c>
      <c r="Y62" s="62">
        <v>39.5</v>
      </c>
      <c r="Z62" s="163">
        <v>39.5</v>
      </c>
      <c r="AA62" s="163">
        <v>39.5</v>
      </c>
      <c r="AB62" s="163">
        <v>39.5</v>
      </c>
      <c r="AC62" s="163"/>
      <c r="AD62" s="70"/>
      <c r="AE62" s="70"/>
      <c r="AF62" s="70"/>
      <c r="AG62" s="70"/>
    </row>
    <row r="63" spans="1:33" outlineLevel="1" x14ac:dyDescent="0.25">
      <c r="D63" s="3359"/>
      <c r="E63" s="3362"/>
      <c r="F63" s="2431" t="str">
        <f t="shared" si="30"/>
        <v>LED - 15W (Halogen baseline) (1050-1489 lumens) - Specialty Connected Light</v>
      </c>
      <c r="G63" s="143">
        <v>53</v>
      </c>
      <c r="H63" s="2294" t="str">
        <f t="shared" si="31"/>
        <v>201000_2019_12_</v>
      </c>
      <c r="I63" s="3370" t="str">
        <f>I48</f>
        <v>Ameren Missouri Lighting Evaluation PY2018</v>
      </c>
      <c r="J63" s="3370"/>
      <c r="K63" s="3370"/>
      <c r="L63" s="3370"/>
      <c r="V63" s="3367"/>
      <c r="W63" s="143">
        <f>W48</f>
        <v>53</v>
      </c>
      <c r="X63" s="70">
        <f>X48</f>
        <v>53</v>
      </c>
      <c r="Y63" s="70">
        <v>53</v>
      </c>
      <c r="Z63" s="163">
        <v>53</v>
      </c>
      <c r="AA63" s="163">
        <v>53</v>
      </c>
      <c r="AB63" s="163">
        <v>53</v>
      </c>
      <c r="AC63" s="163"/>
      <c r="AD63" s="70"/>
      <c r="AE63" s="70"/>
      <c r="AF63" s="70"/>
      <c r="AG63" s="70"/>
    </row>
    <row r="64" spans="1:33" outlineLevel="1" x14ac:dyDescent="0.25">
      <c r="D64" s="3359"/>
      <c r="E64" s="3362"/>
      <c r="F64" s="3052" t="str">
        <f t="shared" si="30"/>
        <v>LED - 15W Flood Light PAR30 Bulb (Halogen baseline) - Specialty Connected Light</v>
      </c>
      <c r="G64" s="143">
        <v>61.3</v>
      </c>
      <c r="H64" s="2294" t="str">
        <f t="shared" si="31"/>
        <v>201050_2019_12_</v>
      </c>
      <c r="I64" s="3373" t="s">
        <v>578</v>
      </c>
      <c r="J64" s="3352"/>
      <c r="K64" s="3352"/>
      <c r="L64" s="3353"/>
      <c r="V64" s="3367"/>
      <c r="W64" s="143">
        <f>W53</f>
        <v>62.1</v>
      </c>
      <c r="X64" s="62">
        <f>X53</f>
        <v>60.9</v>
      </c>
      <c r="Y64" s="62">
        <v>61.3</v>
      </c>
      <c r="Z64" s="163">
        <v>61.3</v>
      </c>
      <c r="AA64" s="163">
        <v>61.3</v>
      </c>
      <c r="AB64" s="163">
        <v>61.3</v>
      </c>
      <c r="AC64" s="163"/>
      <c r="AD64" s="70"/>
      <c r="AE64" s="70"/>
      <c r="AF64" s="70"/>
      <c r="AG64" s="70"/>
    </row>
    <row r="65" spans="1:33" ht="15" customHeight="1" outlineLevel="1" thickBot="1" x14ac:dyDescent="0.3">
      <c r="D65" s="3360"/>
      <c r="E65" s="3363"/>
      <c r="F65" s="1625" t="str">
        <f t="shared" si="30"/>
        <v>LED - 6W (Halogen baseline) (310-749 lumens)</v>
      </c>
      <c r="G65" s="166">
        <v>29</v>
      </c>
      <c r="H65" s="167" t="str">
        <f t="shared" si="31"/>
        <v>201100_2019_12_</v>
      </c>
      <c r="I65" s="3386" t="s">
        <v>586</v>
      </c>
      <c r="J65" s="3387"/>
      <c r="K65" s="3387"/>
      <c r="L65" s="3388"/>
      <c r="V65" s="3368"/>
      <c r="W65" s="166"/>
      <c r="X65" s="167"/>
      <c r="Y65" s="168">
        <v>29</v>
      </c>
      <c r="Z65" s="2532">
        <v>29</v>
      </c>
      <c r="AA65" s="2532">
        <v>29</v>
      </c>
      <c r="AB65" s="2532">
        <v>29</v>
      </c>
      <c r="AC65" s="2532"/>
      <c r="AD65" s="167"/>
      <c r="AE65" s="167"/>
      <c r="AF65" s="167"/>
      <c r="AG65" s="167"/>
    </row>
    <row r="66" spans="1:33" outlineLevel="1" x14ac:dyDescent="0.25">
      <c r="D66" s="3357" t="s">
        <v>587</v>
      </c>
      <c r="E66" s="3361" t="s">
        <v>588</v>
      </c>
      <c r="F66" s="1624" t="str">
        <f t="shared" ref="F66:F75" si="32">E7</f>
        <v>LED - 10.5W Downlight E26 (CFL baseline)</v>
      </c>
      <c r="G66" s="158">
        <v>10.7</v>
      </c>
      <c r="H66" s="169" t="str">
        <f t="shared" ref="H66:H73" si="33">C7</f>
        <v>200050_2019_12_</v>
      </c>
      <c r="I66" s="3374" t="s">
        <v>578</v>
      </c>
      <c r="J66" s="3375"/>
      <c r="K66" s="3375"/>
      <c r="L66" s="3376"/>
      <c r="V66" s="3365" t="s">
        <v>587</v>
      </c>
      <c r="W66" s="158">
        <v>7</v>
      </c>
      <c r="X66" s="169">
        <v>8</v>
      </c>
      <c r="Y66" s="170">
        <v>10.7</v>
      </c>
      <c r="Z66" s="2530">
        <v>10.7</v>
      </c>
      <c r="AA66" s="2530">
        <v>10.7</v>
      </c>
      <c r="AB66" s="2530">
        <v>10.7</v>
      </c>
      <c r="AC66" s="2530"/>
      <c r="AD66" s="169"/>
      <c r="AE66" s="169"/>
      <c r="AF66" s="169"/>
      <c r="AG66" s="169"/>
    </row>
    <row r="67" spans="1:33" ht="15" customHeight="1" outlineLevel="1" x14ac:dyDescent="0.25">
      <c r="D67" s="3358"/>
      <c r="E67" s="3362"/>
      <c r="F67" s="3052" t="str">
        <f t="shared" si="32"/>
        <v>LED - 10.5W Downlight E26 (Halogen baseline)</v>
      </c>
      <c r="G67" s="143">
        <v>10.7</v>
      </c>
      <c r="H67" s="2294" t="str">
        <f t="shared" si="33"/>
        <v>200100_2019_12_</v>
      </c>
      <c r="I67" s="3377" t="s">
        <v>578</v>
      </c>
      <c r="J67" s="3378"/>
      <c r="K67" s="3378"/>
      <c r="L67" s="3379"/>
      <c r="V67" s="3366"/>
      <c r="W67" s="143">
        <v>7</v>
      </c>
      <c r="X67" s="62">
        <v>6.5</v>
      </c>
      <c r="Y67" s="62">
        <v>10.7</v>
      </c>
      <c r="Z67" s="163">
        <v>10.7</v>
      </c>
      <c r="AA67" s="163">
        <v>10.7</v>
      </c>
      <c r="AB67" s="163">
        <v>10.7</v>
      </c>
      <c r="AC67" s="163"/>
      <c r="AD67" s="70"/>
      <c r="AE67" s="70"/>
      <c r="AF67" s="70"/>
      <c r="AG67" s="70"/>
    </row>
    <row r="68" spans="1:33" ht="15" customHeight="1" outlineLevel="1" x14ac:dyDescent="0.25">
      <c r="D68" s="3358"/>
      <c r="E68" s="3362"/>
      <c r="F68" s="3052" t="str">
        <f t="shared" si="32"/>
        <v>LED - 10W (CFL baseline) (750-1049 lumens)</v>
      </c>
      <c r="G68" s="164">
        <v>8.4</v>
      </c>
      <c r="H68" s="2294" t="str">
        <f t="shared" si="33"/>
        <v>200150_2019_12_</v>
      </c>
      <c r="I68" s="3377" t="s">
        <v>578</v>
      </c>
      <c r="J68" s="3378"/>
      <c r="K68" s="3378"/>
      <c r="L68" s="3379"/>
      <c r="V68" s="3366"/>
      <c r="W68" s="164">
        <v>9.1</v>
      </c>
      <c r="X68" s="164">
        <v>9.1</v>
      </c>
      <c r="Y68" s="171">
        <v>8.4</v>
      </c>
      <c r="Z68" s="165">
        <v>8.4</v>
      </c>
      <c r="AA68" s="165">
        <v>8.4</v>
      </c>
      <c r="AB68" s="165">
        <v>8.4</v>
      </c>
      <c r="AC68" s="165"/>
      <c r="AD68" s="164"/>
      <c r="AE68" s="164"/>
      <c r="AF68" s="164"/>
      <c r="AG68" s="164"/>
    </row>
    <row r="69" spans="1:33" ht="15" customHeight="1" outlineLevel="1" x14ac:dyDescent="0.25">
      <c r="D69" s="3358"/>
      <c r="E69" s="3362"/>
      <c r="F69" s="3052" t="str">
        <f t="shared" si="32"/>
        <v>LED - 10W (Halogen baseline) (750-1049 lumens)</v>
      </c>
      <c r="G69" s="164">
        <v>8.4</v>
      </c>
      <c r="H69" s="2294" t="str">
        <f t="shared" si="33"/>
        <v>200200_2019_12_</v>
      </c>
      <c r="I69" s="3377" t="s">
        <v>578</v>
      </c>
      <c r="J69" s="3378"/>
      <c r="K69" s="3378"/>
      <c r="L69" s="3379"/>
      <c r="V69" s="3366"/>
      <c r="W69" s="164">
        <v>9.1</v>
      </c>
      <c r="X69" s="171">
        <v>9</v>
      </c>
      <c r="Y69" s="171">
        <v>8.4</v>
      </c>
      <c r="Z69" s="165">
        <v>8.4</v>
      </c>
      <c r="AA69" s="165">
        <v>8.4</v>
      </c>
      <c r="AB69" s="165">
        <v>8.4</v>
      </c>
      <c r="AC69" s="165"/>
      <c r="AD69" s="164"/>
      <c r="AE69" s="164"/>
      <c r="AF69" s="164"/>
      <c r="AG69" s="164"/>
    </row>
    <row r="70" spans="1:33" ht="15" customHeight="1" outlineLevel="1" x14ac:dyDescent="0.25">
      <c r="D70" s="3358"/>
      <c r="E70" s="3362"/>
      <c r="F70" s="3052" t="str">
        <f t="shared" si="32"/>
        <v>LED - 12W Dimmable Light Bulb (Replacing CFL)</v>
      </c>
      <c r="G70" s="143">
        <v>15.4</v>
      </c>
      <c r="H70" s="2294" t="str">
        <f t="shared" si="33"/>
        <v>200250_2019_12_</v>
      </c>
      <c r="I70" s="3377" t="s">
        <v>578</v>
      </c>
      <c r="J70" s="3378"/>
      <c r="K70" s="3378"/>
      <c r="L70" s="3379"/>
      <c r="V70" s="3366"/>
      <c r="W70" s="143">
        <v>9.5</v>
      </c>
      <c r="X70" s="143">
        <v>9.5</v>
      </c>
      <c r="Y70" s="146">
        <v>15.4</v>
      </c>
      <c r="Z70" s="163">
        <v>15.4</v>
      </c>
      <c r="AA70" s="163">
        <v>15.4</v>
      </c>
      <c r="AB70" s="163">
        <v>15.4</v>
      </c>
      <c r="AC70" s="163"/>
      <c r="AD70" s="143"/>
      <c r="AE70" s="143"/>
      <c r="AF70" s="143"/>
      <c r="AG70" s="143"/>
    </row>
    <row r="71" spans="1:33" ht="15" customHeight="1" outlineLevel="1" x14ac:dyDescent="0.25">
      <c r="D71" s="3358"/>
      <c r="E71" s="3362"/>
      <c r="F71" s="3052" t="str">
        <f t="shared" si="32"/>
        <v>LED - 12W Dimmable Light Bulb (Replacing Specialty Incandescent)</v>
      </c>
      <c r="G71" s="143">
        <v>15.4</v>
      </c>
      <c r="H71" s="2294" t="str">
        <f t="shared" si="33"/>
        <v>200300_2019_12_</v>
      </c>
      <c r="I71" s="3377" t="s">
        <v>578</v>
      </c>
      <c r="J71" s="3378"/>
      <c r="K71" s="3378"/>
      <c r="L71" s="3379"/>
      <c r="V71" s="3366"/>
      <c r="W71" s="143">
        <v>9.5</v>
      </c>
      <c r="X71" s="146">
        <v>8.8000000000000007</v>
      </c>
      <c r="Y71" s="146">
        <v>15.4</v>
      </c>
      <c r="Z71" s="163">
        <v>15.4</v>
      </c>
      <c r="AA71" s="163">
        <v>15.4</v>
      </c>
      <c r="AB71" s="163">
        <v>15.4</v>
      </c>
      <c r="AC71" s="163"/>
      <c r="AD71" s="143"/>
      <c r="AE71" s="143"/>
      <c r="AF71" s="143"/>
      <c r="AG71" s="143"/>
    </row>
    <row r="72" spans="1:33" ht="15" customHeight="1" outlineLevel="1" x14ac:dyDescent="0.25">
      <c r="D72" s="3358"/>
      <c r="E72" s="3362"/>
      <c r="F72" s="2431" t="str">
        <f t="shared" si="32"/>
        <v>LED - 15W (Halogen baseline) (1050-1489 lumens)</v>
      </c>
      <c r="G72" s="165">
        <v>12.1</v>
      </c>
      <c r="H72" s="163" t="str">
        <f t="shared" si="33"/>
        <v>200350_2019_12_</v>
      </c>
      <c r="I72" s="3380" t="s">
        <v>578</v>
      </c>
      <c r="J72" s="3381"/>
      <c r="K72" s="3381"/>
      <c r="L72" s="3382"/>
      <c r="V72" s="3366"/>
      <c r="W72" s="164">
        <v>10.6</v>
      </c>
      <c r="X72" s="171">
        <v>11.6</v>
      </c>
      <c r="Y72" s="171">
        <v>12.1</v>
      </c>
      <c r="Z72" s="165">
        <v>12.1</v>
      </c>
      <c r="AA72" s="165">
        <v>12.1</v>
      </c>
      <c r="AB72" s="165">
        <v>12.1</v>
      </c>
      <c r="AC72" s="165"/>
      <c r="AD72" s="164"/>
      <c r="AE72" s="164"/>
      <c r="AF72" s="164"/>
      <c r="AG72" s="164"/>
    </row>
    <row r="73" spans="1:33" ht="15" customHeight="1" outlineLevel="1" x14ac:dyDescent="0.25">
      <c r="D73" s="3358"/>
      <c r="E73" s="3362"/>
      <c r="F73" s="2431" t="str">
        <f t="shared" si="32"/>
        <v>LED - 15W (CFL baseline) (1050-1489 lumens)</v>
      </c>
      <c r="G73" s="165">
        <v>12.1</v>
      </c>
      <c r="H73" s="163" t="str">
        <f t="shared" si="33"/>
        <v>200400_2019_12_</v>
      </c>
      <c r="I73" s="3380" t="s">
        <v>578</v>
      </c>
      <c r="J73" s="3381"/>
      <c r="K73" s="3381"/>
      <c r="L73" s="3382"/>
      <c r="V73" s="3366"/>
      <c r="W73" s="164">
        <v>10.6</v>
      </c>
      <c r="X73" s="164">
        <v>10.6</v>
      </c>
      <c r="Y73" s="171">
        <v>12.1</v>
      </c>
      <c r="Z73" s="165">
        <v>12.1</v>
      </c>
      <c r="AA73" s="165">
        <v>12.1</v>
      </c>
      <c r="AB73" s="165">
        <v>12.1</v>
      </c>
      <c r="AC73" s="165"/>
      <c r="AD73" s="164"/>
      <c r="AE73" s="164"/>
      <c r="AF73" s="164"/>
      <c r="AG73" s="164"/>
    </row>
    <row r="74" spans="1:33" s="2277" customFormat="1" ht="15" customHeight="1" outlineLevel="1" x14ac:dyDescent="0.25">
      <c r="A74" s="157"/>
      <c r="B74" s="157"/>
      <c r="C74" s="385"/>
      <c r="D74" s="3358"/>
      <c r="E74" s="3362"/>
      <c r="F74" s="2431" t="str">
        <f t="shared" si="32"/>
        <v>LED - 11W Flood Light BR30 Bulb (CFL baseline)</v>
      </c>
      <c r="G74" s="163">
        <v>11</v>
      </c>
      <c r="H74" s="163" t="str">
        <f t="shared" ref="H74:H75" si="34">C15</f>
        <v>200401_2020_12_</v>
      </c>
      <c r="I74" s="3380" t="s">
        <v>2003</v>
      </c>
      <c r="J74" s="3381"/>
      <c r="K74" s="3381"/>
      <c r="L74" s="3382"/>
      <c r="M74" s="157"/>
      <c r="N74" s="157"/>
      <c r="O74" s="157"/>
      <c r="P74" s="157"/>
      <c r="Q74" s="157"/>
      <c r="R74" s="157"/>
      <c r="S74" s="157"/>
      <c r="T74" s="157"/>
      <c r="U74" s="157"/>
      <c r="V74" s="3366"/>
      <c r="W74" s="164"/>
      <c r="X74" s="164"/>
      <c r="Y74" s="171"/>
      <c r="Z74" s="165"/>
      <c r="AA74" s="165"/>
      <c r="AB74" s="2533">
        <v>11</v>
      </c>
      <c r="AC74" s="165"/>
      <c r="AD74" s="164"/>
      <c r="AE74" s="164"/>
      <c r="AF74" s="164"/>
      <c r="AG74" s="164"/>
    </row>
    <row r="75" spans="1:33" s="2277" customFormat="1" ht="15" customHeight="1" outlineLevel="1" x14ac:dyDescent="0.25">
      <c r="A75" s="157"/>
      <c r="B75" s="157"/>
      <c r="C75" s="385"/>
      <c r="D75" s="3358"/>
      <c r="E75" s="3362"/>
      <c r="F75" s="2431" t="str">
        <f t="shared" si="32"/>
        <v xml:space="preserve">LED - 11W Flood Light BR30 Bulb (Halogen baseline) </v>
      </c>
      <c r="G75" s="163">
        <v>11</v>
      </c>
      <c r="H75" s="163" t="str">
        <f t="shared" si="34"/>
        <v>200402_2020_12_</v>
      </c>
      <c r="I75" s="3380" t="s">
        <v>2003</v>
      </c>
      <c r="J75" s="3381"/>
      <c r="K75" s="3381"/>
      <c r="L75" s="3382"/>
      <c r="M75" s="157"/>
      <c r="N75" s="157"/>
      <c r="O75" s="157"/>
      <c r="P75" s="157"/>
      <c r="Q75" s="157"/>
      <c r="R75" s="157"/>
      <c r="S75" s="157"/>
      <c r="T75" s="157"/>
      <c r="U75" s="157"/>
      <c r="V75" s="3366"/>
      <c r="W75" s="164"/>
      <c r="X75" s="164"/>
      <c r="Y75" s="171"/>
      <c r="Z75" s="165"/>
      <c r="AA75" s="165"/>
      <c r="AB75" s="2533">
        <v>11</v>
      </c>
      <c r="AC75" s="165"/>
      <c r="AD75" s="164"/>
      <c r="AE75" s="164"/>
      <c r="AF75" s="164"/>
      <c r="AG75" s="164"/>
    </row>
    <row r="76" spans="1:33" ht="15" customHeight="1" outlineLevel="1" x14ac:dyDescent="0.25">
      <c r="D76" s="3358"/>
      <c r="E76" s="3362"/>
      <c r="F76" s="2431" t="str">
        <f t="shared" ref="F76:F89" si="35">E17</f>
        <v>LED - 15W Flood Light PAR30 Bulb (CFL baseline)</v>
      </c>
      <c r="G76" s="163">
        <v>10</v>
      </c>
      <c r="H76" s="163" t="str">
        <f t="shared" ref="H76:H85" si="36">C17</f>
        <v>200450_2019_12_</v>
      </c>
      <c r="I76" s="3380" t="s">
        <v>578</v>
      </c>
      <c r="J76" s="3381"/>
      <c r="K76" s="3381"/>
      <c r="L76" s="3382"/>
      <c r="V76" s="3366"/>
      <c r="W76" s="143">
        <v>11.2</v>
      </c>
      <c r="X76" s="70">
        <v>11.2</v>
      </c>
      <c r="Y76" s="62">
        <v>10</v>
      </c>
      <c r="Z76" s="163">
        <v>10</v>
      </c>
      <c r="AA76" s="163">
        <v>10</v>
      </c>
      <c r="AB76" s="163">
        <v>10</v>
      </c>
      <c r="AC76" s="163"/>
      <c r="AD76" s="70"/>
      <c r="AE76" s="70"/>
      <c r="AF76" s="70"/>
      <c r="AG76" s="70"/>
    </row>
    <row r="77" spans="1:33" ht="15" customHeight="1" outlineLevel="1" x14ac:dyDescent="0.25">
      <c r="D77" s="3358"/>
      <c r="E77" s="3362"/>
      <c r="F77" s="2431" t="str">
        <f t="shared" si="35"/>
        <v>LED - 15W Flood Light PAR30 Bulb (Halogen baseline)</v>
      </c>
      <c r="G77" s="163">
        <v>10</v>
      </c>
      <c r="H77" s="163" t="str">
        <f t="shared" si="36"/>
        <v>200500_2019_12_</v>
      </c>
      <c r="I77" s="3380" t="s">
        <v>578</v>
      </c>
      <c r="J77" s="3381"/>
      <c r="K77" s="3381"/>
      <c r="L77" s="3382"/>
      <c r="V77" s="3366"/>
      <c r="W77" s="143">
        <v>11.2</v>
      </c>
      <c r="X77" s="62">
        <v>10.6</v>
      </c>
      <c r="Y77" s="62">
        <v>10</v>
      </c>
      <c r="Z77" s="163">
        <v>10</v>
      </c>
      <c r="AA77" s="163">
        <v>10</v>
      </c>
      <c r="AB77" s="163">
        <v>10</v>
      </c>
      <c r="AC77" s="163"/>
      <c r="AD77" s="70"/>
      <c r="AE77" s="70"/>
      <c r="AF77" s="70"/>
      <c r="AG77" s="70"/>
    </row>
    <row r="78" spans="1:33" outlineLevel="1" x14ac:dyDescent="0.25">
      <c r="D78" s="3358"/>
      <c r="E78" s="3362"/>
      <c r="F78" s="3052" t="str">
        <f t="shared" si="35"/>
        <v>LED - 18W Flood Light PAR30 Bulb (CFL baseline)</v>
      </c>
      <c r="G78" s="143">
        <v>18</v>
      </c>
      <c r="H78" s="2294" t="str">
        <f t="shared" si="36"/>
        <v>200550_2019_12_</v>
      </c>
      <c r="I78" s="3369" t="s">
        <v>582</v>
      </c>
      <c r="J78" s="3369"/>
      <c r="K78" s="3369"/>
      <c r="L78" s="3369"/>
      <c r="V78" s="3366"/>
      <c r="W78" s="143">
        <v>18</v>
      </c>
      <c r="X78" s="70">
        <v>18</v>
      </c>
      <c r="Y78" s="70">
        <v>18</v>
      </c>
      <c r="Z78" s="163">
        <v>18</v>
      </c>
      <c r="AA78" s="163">
        <v>18</v>
      </c>
      <c r="AB78" s="163">
        <v>18</v>
      </c>
      <c r="AC78" s="163"/>
      <c r="AD78" s="70"/>
      <c r="AE78" s="70"/>
      <c r="AF78" s="70"/>
      <c r="AG78" s="70"/>
    </row>
    <row r="79" spans="1:33" outlineLevel="1" x14ac:dyDescent="0.25">
      <c r="D79" s="3358"/>
      <c r="E79" s="3362"/>
      <c r="F79" s="3052" t="str">
        <f t="shared" si="35"/>
        <v>LED - 18W Flood Light PAR38 Bulb (Halogen baseline)</v>
      </c>
      <c r="G79" s="143">
        <v>18</v>
      </c>
      <c r="H79" s="2294" t="str">
        <f t="shared" si="36"/>
        <v>200600_2019_12_</v>
      </c>
      <c r="I79" s="3369" t="s">
        <v>582</v>
      </c>
      <c r="J79" s="3369"/>
      <c r="K79" s="3369"/>
      <c r="L79" s="3369"/>
      <c r="V79" s="3366"/>
      <c r="W79" s="143">
        <v>18</v>
      </c>
      <c r="X79" s="70">
        <v>18</v>
      </c>
      <c r="Y79" s="70">
        <v>18</v>
      </c>
      <c r="Z79" s="163">
        <v>18</v>
      </c>
      <c r="AA79" s="163">
        <v>18</v>
      </c>
      <c r="AB79" s="163">
        <v>18</v>
      </c>
      <c r="AC79" s="163"/>
      <c r="AD79" s="70"/>
      <c r="AE79" s="70"/>
      <c r="AF79" s="70"/>
      <c r="AG79" s="70"/>
    </row>
    <row r="80" spans="1:33" outlineLevel="1" x14ac:dyDescent="0.25">
      <c r="D80" s="3358"/>
      <c r="E80" s="3362"/>
      <c r="F80" s="3052" t="str">
        <f t="shared" si="35"/>
        <v>LED - 20W (CFL baseline) (1490-2600 lumens)</v>
      </c>
      <c r="G80" s="143">
        <v>15.2</v>
      </c>
      <c r="H80" s="2294" t="str">
        <f t="shared" si="36"/>
        <v>200650_2019_12_</v>
      </c>
      <c r="I80" s="3377" t="s">
        <v>578</v>
      </c>
      <c r="J80" s="3378"/>
      <c r="K80" s="3378"/>
      <c r="L80" s="3379"/>
      <c r="V80" s="3366"/>
      <c r="W80" s="143">
        <v>15</v>
      </c>
      <c r="X80" s="70">
        <v>15</v>
      </c>
      <c r="Y80" s="172">
        <v>15.2</v>
      </c>
      <c r="Z80" s="2534">
        <v>15.2</v>
      </c>
      <c r="AA80" s="2534">
        <v>15.2</v>
      </c>
      <c r="AB80" s="163">
        <v>15.2</v>
      </c>
      <c r="AC80" s="163"/>
      <c r="AD80" s="70"/>
      <c r="AE80" s="70"/>
      <c r="AF80" s="70"/>
      <c r="AG80" s="70"/>
    </row>
    <row r="81" spans="1:33" outlineLevel="1" x14ac:dyDescent="0.25">
      <c r="D81" s="3358"/>
      <c r="E81" s="3362"/>
      <c r="F81" s="3052" t="str">
        <f t="shared" si="35"/>
        <v>LED - 20W (Halogen baseline) (1490-2600 lumens)</v>
      </c>
      <c r="G81" s="143">
        <v>15.2</v>
      </c>
      <c r="H81" s="2294" t="str">
        <f t="shared" si="36"/>
        <v>200700_2019_12_</v>
      </c>
      <c r="I81" s="3369" t="s">
        <v>578</v>
      </c>
      <c r="J81" s="3369"/>
      <c r="K81" s="3369"/>
      <c r="L81" s="3369"/>
      <c r="V81" s="3366"/>
      <c r="W81" s="143">
        <v>15</v>
      </c>
      <c r="X81" s="62">
        <v>14.9</v>
      </c>
      <c r="Y81" s="172">
        <v>15.2</v>
      </c>
      <c r="Z81" s="2534">
        <v>15.2</v>
      </c>
      <c r="AA81" s="2534">
        <v>15.2</v>
      </c>
      <c r="AB81" s="163">
        <v>15.2</v>
      </c>
      <c r="AC81" s="163"/>
      <c r="AD81" s="70"/>
      <c r="AE81" s="70"/>
      <c r="AF81" s="70"/>
      <c r="AG81" s="70"/>
    </row>
    <row r="82" spans="1:33" outlineLevel="1" x14ac:dyDescent="0.25">
      <c r="D82" s="3358"/>
      <c r="E82" s="3362"/>
      <c r="F82" s="3052" t="str">
        <f t="shared" si="35"/>
        <v>LED - 4W Candelabra (CFL baseline)</v>
      </c>
      <c r="G82" s="143">
        <v>4</v>
      </c>
      <c r="H82" s="2294" t="str">
        <f t="shared" si="36"/>
        <v>200750_2019_12_</v>
      </c>
      <c r="I82" s="3377" t="s">
        <v>578</v>
      </c>
      <c r="J82" s="3378"/>
      <c r="K82" s="3378"/>
      <c r="L82" s="3379"/>
      <c r="V82" s="3366"/>
      <c r="W82" s="143">
        <v>4.5</v>
      </c>
      <c r="X82" s="70">
        <v>4.5</v>
      </c>
      <c r="Y82" s="62">
        <v>4</v>
      </c>
      <c r="Z82" s="163">
        <v>4</v>
      </c>
      <c r="AA82" s="163">
        <v>4</v>
      </c>
      <c r="AB82" s="163">
        <v>4</v>
      </c>
      <c r="AC82" s="163"/>
      <c r="AD82" s="70"/>
      <c r="AE82" s="70"/>
      <c r="AF82" s="70"/>
      <c r="AG82" s="70"/>
    </row>
    <row r="83" spans="1:33" outlineLevel="1" x14ac:dyDescent="0.25">
      <c r="D83" s="3358"/>
      <c r="E83" s="3362"/>
      <c r="F83" s="3052" t="str">
        <f t="shared" si="35"/>
        <v>LED - 4W Candelabra (Replacing Specialty Incandescent)</v>
      </c>
      <c r="G83" s="143">
        <v>4</v>
      </c>
      <c r="H83" s="2294" t="str">
        <f t="shared" si="36"/>
        <v>200800_2019_12_</v>
      </c>
      <c r="I83" s="3369" t="s">
        <v>578</v>
      </c>
      <c r="J83" s="3369"/>
      <c r="K83" s="3369"/>
      <c r="L83" s="3369"/>
      <c r="V83" s="3366"/>
      <c r="W83" s="143">
        <v>4.5</v>
      </c>
      <c r="X83" s="62">
        <v>4.5999999999999996</v>
      </c>
      <c r="Y83" s="62">
        <v>4</v>
      </c>
      <c r="Z83" s="163">
        <v>4</v>
      </c>
      <c r="AA83" s="163">
        <v>4</v>
      </c>
      <c r="AB83" s="163">
        <v>4</v>
      </c>
      <c r="AC83" s="163"/>
      <c r="AD83" s="70"/>
      <c r="AE83" s="70"/>
      <c r="AF83" s="70"/>
      <c r="AG83" s="70"/>
    </row>
    <row r="84" spans="1:33" outlineLevel="1" x14ac:dyDescent="0.25">
      <c r="D84" s="3358"/>
      <c r="E84" s="3362"/>
      <c r="F84" s="3052" t="str">
        <f t="shared" si="35"/>
        <v>LED - 8W Globe Light G25 Bulb (Replacing CFL)</v>
      </c>
      <c r="G84" s="143">
        <v>5.2</v>
      </c>
      <c r="H84" s="2294" t="str">
        <f t="shared" si="36"/>
        <v>200850_2019_12_</v>
      </c>
      <c r="I84" s="3377" t="s">
        <v>578</v>
      </c>
      <c r="J84" s="3378"/>
      <c r="K84" s="3378"/>
      <c r="L84" s="3379"/>
      <c r="V84" s="3366"/>
      <c r="W84" s="143">
        <v>5.9</v>
      </c>
      <c r="X84" s="70">
        <v>5.9</v>
      </c>
      <c r="Y84" s="62">
        <v>5.2</v>
      </c>
      <c r="Z84" s="163">
        <v>5.2</v>
      </c>
      <c r="AA84" s="163">
        <v>5.2</v>
      </c>
      <c r="AB84" s="163">
        <v>5.2</v>
      </c>
      <c r="AC84" s="163"/>
      <c r="AD84" s="70"/>
      <c r="AE84" s="70"/>
      <c r="AF84" s="70"/>
      <c r="AG84" s="70"/>
    </row>
    <row r="85" spans="1:33" outlineLevel="1" x14ac:dyDescent="0.25">
      <c r="D85" s="3358"/>
      <c r="E85" s="3362"/>
      <c r="F85" s="3052" t="str">
        <f t="shared" si="35"/>
        <v>LED - 8W Globe Light G25 Bulb (Replacing Specialty Incandescent)</v>
      </c>
      <c r="G85" s="143">
        <v>5.2</v>
      </c>
      <c r="H85" s="2294" t="str">
        <f t="shared" si="36"/>
        <v>200900_2019_12_</v>
      </c>
      <c r="I85" s="3369" t="s">
        <v>578</v>
      </c>
      <c r="J85" s="3369"/>
      <c r="K85" s="3369"/>
      <c r="L85" s="3369"/>
      <c r="V85" s="3366"/>
      <c r="W85" s="143">
        <v>5.9</v>
      </c>
      <c r="X85" s="62">
        <v>5.8</v>
      </c>
      <c r="Y85" s="62">
        <v>5.2</v>
      </c>
      <c r="Z85" s="163">
        <v>5.2</v>
      </c>
      <c r="AA85" s="163">
        <v>5.2</v>
      </c>
      <c r="AB85" s="163">
        <v>5.2</v>
      </c>
      <c r="AC85" s="163"/>
      <c r="AD85" s="70"/>
      <c r="AE85" s="70"/>
      <c r="AF85" s="70"/>
      <c r="AG85" s="70"/>
    </row>
    <row r="86" spans="1:33" ht="15" customHeight="1" outlineLevel="1" x14ac:dyDescent="0.25">
      <c r="D86" s="3359"/>
      <c r="E86" s="3362"/>
      <c r="F86" s="3052" t="str">
        <f t="shared" si="35"/>
        <v>LED - 10W (Halogen baseline) (750-1049 lumens) - Specialty Connected Light</v>
      </c>
      <c r="G86" s="143">
        <v>8.4</v>
      </c>
      <c r="H86" s="2294" t="s">
        <v>564</v>
      </c>
      <c r="I86" s="3369" t="s">
        <v>578</v>
      </c>
      <c r="J86" s="3369"/>
      <c r="K86" s="3369"/>
      <c r="L86" s="3369"/>
      <c r="V86" s="3367"/>
      <c r="W86" s="143">
        <f>W69</f>
        <v>9.1</v>
      </c>
      <c r="X86" s="62">
        <f>X69</f>
        <v>9</v>
      </c>
      <c r="Y86" s="62">
        <v>8.4</v>
      </c>
      <c r="Z86" s="163">
        <v>8.4</v>
      </c>
      <c r="AA86" s="163">
        <v>8.4</v>
      </c>
      <c r="AB86" s="163">
        <v>8.4</v>
      </c>
      <c r="AC86" s="163"/>
      <c r="AD86" s="70"/>
      <c r="AE86" s="70"/>
      <c r="AF86" s="70"/>
      <c r="AG86" s="70"/>
    </row>
    <row r="87" spans="1:33" ht="15" customHeight="1" outlineLevel="1" x14ac:dyDescent="0.25">
      <c r="D87" s="3359"/>
      <c r="E87" s="3362"/>
      <c r="F87" s="3052" t="str">
        <f t="shared" si="35"/>
        <v>LED - 15W (Halogen baseline) (1050-1489 lumens) - Specialty Connected Light</v>
      </c>
      <c r="G87" s="143">
        <v>12.1</v>
      </c>
      <c r="H87" s="2294" t="s">
        <v>565</v>
      </c>
      <c r="I87" s="3369" t="s">
        <v>578</v>
      </c>
      <c r="J87" s="3369"/>
      <c r="K87" s="3369"/>
      <c r="L87" s="3369"/>
      <c r="V87" s="3367"/>
      <c r="W87" s="143">
        <f>W72</f>
        <v>10.6</v>
      </c>
      <c r="X87" s="62">
        <f>X72</f>
        <v>11.6</v>
      </c>
      <c r="Y87" s="62">
        <v>12.1</v>
      </c>
      <c r="Z87" s="163">
        <v>12.1</v>
      </c>
      <c r="AA87" s="163">
        <v>12.1</v>
      </c>
      <c r="AB87" s="163">
        <v>12.1</v>
      </c>
      <c r="AC87" s="163"/>
      <c r="AD87" s="70"/>
      <c r="AE87" s="70"/>
      <c r="AF87" s="70"/>
      <c r="AG87" s="70"/>
    </row>
    <row r="88" spans="1:33" ht="15" customHeight="1" outlineLevel="1" x14ac:dyDescent="0.25">
      <c r="D88" s="3359"/>
      <c r="E88" s="3362"/>
      <c r="F88" s="3052" t="str">
        <f t="shared" si="35"/>
        <v>LED - 15W Flood Light PAR30 Bulb (Halogen baseline) - Specialty Connected Light</v>
      </c>
      <c r="G88" s="143">
        <v>12.1</v>
      </c>
      <c r="H88" s="2294" t="s">
        <v>566</v>
      </c>
      <c r="I88" s="3369" t="s">
        <v>578</v>
      </c>
      <c r="J88" s="3369"/>
      <c r="K88" s="3369"/>
      <c r="L88" s="3369"/>
      <c r="V88" s="3367"/>
      <c r="W88" s="143">
        <f>W77</f>
        <v>11.2</v>
      </c>
      <c r="X88" s="62">
        <f>X77</f>
        <v>10.6</v>
      </c>
      <c r="Y88" s="62">
        <v>12.1</v>
      </c>
      <c r="Z88" s="163">
        <v>12.1</v>
      </c>
      <c r="AA88" s="163">
        <v>12.1</v>
      </c>
      <c r="AB88" s="163">
        <v>12.1</v>
      </c>
      <c r="AC88" s="163"/>
      <c r="AD88" s="70"/>
      <c r="AE88" s="70"/>
      <c r="AF88" s="70"/>
      <c r="AG88" s="70"/>
    </row>
    <row r="89" spans="1:33" ht="15.75" outlineLevel="1" thickBot="1" x14ac:dyDescent="0.3">
      <c r="D89" s="3360"/>
      <c r="E89" s="3363"/>
      <c r="F89" s="1625" t="str">
        <f t="shared" si="35"/>
        <v>LED - 6W (Halogen baseline) (310-749 lumens)</v>
      </c>
      <c r="G89" s="166">
        <v>6</v>
      </c>
      <c r="H89" s="167" t="s">
        <v>568</v>
      </c>
      <c r="I89" s="3385" t="s">
        <v>589</v>
      </c>
      <c r="J89" s="3385"/>
      <c r="K89" s="3385"/>
      <c r="L89" s="3385"/>
      <c r="V89" s="3368"/>
      <c r="W89" s="166"/>
      <c r="X89" s="167"/>
      <c r="Y89" s="168">
        <v>6</v>
      </c>
      <c r="Z89" s="2532">
        <v>6</v>
      </c>
      <c r="AA89" s="2532">
        <v>6</v>
      </c>
      <c r="AB89" s="2532">
        <v>6</v>
      </c>
      <c r="AC89" s="2532"/>
      <c r="AD89" s="167"/>
      <c r="AE89" s="167"/>
      <c r="AF89" s="167"/>
      <c r="AG89" s="167"/>
    </row>
    <row r="90" spans="1:33" ht="14.45" customHeight="1" outlineLevel="1" x14ac:dyDescent="0.25">
      <c r="D90" s="3357" t="s">
        <v>75</v>
      </c>
      <c r="E90" s="3361" t="s">
        <v>590</v>
      </c>
      <c r="F90" s="2523" t="s">
        <v>591</v>
      </c>
      <c r="G90" s="2375">
        <f>SUMPRODUCT(G91:G96,M91:M96)/SUM(M91:M96)</f>
        <v>0.8861492875353153</v>
      </c>
      <c r="H90" s="2375"/>
      <c r="I90" s="3390" t="s">
        <v>3503</v>
      </c>
      <c r="J90" s="3391"/>
      <c r="K90" s="3391"/>
      <c r="L90" s="3392"/>
      <c r="M90" s="3104" t="s">
        <v>3769</v>
      </c>
      <c r="V90" s="3399" t="s">
        <v>75</v>
      </c>
      <c r="W90" s="173">
        <v>0.95118909047730049</v>
      </c>
      <c r="X90" s="174">
        <v>0.91918787238999333</v>
      </c>
      <c r="Y90" s="175">
        <v>0.91918787238999333</v>
      </c>
      <c r="Z90" s="175">
        <v>0.91918787238999333</v>
      </c>
      <c r="AA90" s="175">
        <v>0.91918787238999333</v>
      </c>
      <c r="AB90" s="174">
        <v>0.8861492875353153</v>
      </c>
      <c r="AC90" s="175"/>
      <c r="AD90" s="175"/>
      <c r="AE90" s="175"/>
      <c r="AF90" s="175"/>
      <c r="AG90" s="175"/>
    </row>
    <row r="91" spans="1:33" s="2277" customFormat="1" outlineLevel="1" x14ac:dyDescent="0.25">
      <c r="A91" s="157"/>
      <c r="B91" s="157"/>
      <c r="C91" s="385"/>
      <c r="D91" s="3358"/>
      <c r="E91" s="3362"/>
      <c r="F91" s="3105" t="s">
        <v>3497</v>
      </c>
      <c r="G91" s="3106">
        <v>0.8</v>
      </c>
      <c r="H91" s="175"/>
      <c r="I91" s="3393"/>
      <c r="J91" s="3394"/>
      <c r="K91" s="3394"/>
      <c r="L91" s="3395"/>
      <c r="M91" s="3107">
        <v>7728</v>
      </c>
      <c r="N91" s="157"/>
      <c r="O91" s="157"/>
      <c r="P91" s="157"/>
      <c r="Q91" s="157"/>
      <c r="R91" s="157"/>
      <c r="S91" s="157"/>
      <c r="T91" s="157"/>
      <c r="U91" s="157"/>
      <c r="V91" s="3400"/>
      <c r="W91" s="173"/>
      <c r="X91" s="174"/>
      <c r="Y91" s="175"/>
      <c r="Z91" s="175"/>
      <c r="AA91" s="175"/>
      <c r="AB91" s="174">
        <v>0.8</v>
      </c>
      <c r="AC91" s="175"/>
      <c r="AD91" s="175"/>
      <c r="AE91" s="175"/>
      <c r="AF91" s="175"/>
      <c r="AG91" s="175"/>
    </row>
    <row r="92" spans="1:33" s="2277" customFormat="1" outlineLevel="1" x14ac:dyDescent="0.25">
      <c r="A92" s="157"/>
      <c r="B92" s="157"/>
      <c r="C92" s="385"/>
      <c r="D92" s="3358"/>
      <c r="E92" s="3362"/>
      <c r="F92" s="3105" t="s">
        <v>3498</v>
      </c>
      <c r="G92" s="3106">
        <v>0.8</v>
      </c>
      <c r="H92" s="175"/>
      <c r="I92" s="3393"/>
      <c r="J92" s="3394"/>
      <c r="K92" s="3394"/>
      <c r="L92" s="3395"/>
      <c r="M92" s="3107">
        <v>2026</v>
      </c>
      <c r="N92" s="157"/>
      <c r="O92" s="157"/>
      <c r="P92" s="157"/>
      <c r="Q92" s="157"/>
      <c r="R92" s="157"/>
      <c r="S92" s="157"/>
      <c r="T92" s="157"/>
      <c r="U92" s="157"/>
      <c r="V92" s="3400"/>
      <c r="W92" s="173"/>
      <c r="X92" s="174"/>
      <c r="Y92" s="175"/>
      <c r="Z92" s="175"/>
      <c r="AA92" s="175"/>
      <c r="AB92" s="174">
        <v>0.8</v>
      </c>
      <c r="AC92" s="175"/>
      <c r="AD92" s="175"/>
      <c r="AE92" s="175"/>
      <c r="AF92" s="175"/>
      <c r="AG92" s="175"/>
    </row>
    <row r="93" spans="1:33" s="2277" customFormat="1" outlineLevel="1" x14ac:dyDescent="0.25">
      <c r="A93" s="157"/>
      <c r="B93" s="157"/>
      <c r="C93" s="385"/>
      <c r="D93" s="3358"/>
      <c r="E93" s="3362"/>
      <c r="F93" s="3105" t="s">
        <v>3499</v>
      </c>
      <c r="G93" s="3106">
        <v>0.84</v>
      </c>
      <c r="H93" s="175"/>
      <c r="I93" s="3393"/>
      <c r="J93" s="3394"/>
      <c r="K93" s="3394"/>
      <c r="L93" s="3395"/>
      <c r="M93" s="3107">
        <v>1002</v>
      </c>
      <c r="N93" s="157"/>
      <c r="O93" s="157"/>
      <c r="P93" s="157"/>
      <c r="Q93" s="157"/>
      <c r="R93" s="157"/>
      <c r="S93" s="157"/>
      <c r="T93" s="157"/>
      <c r="U93" s="157"/>
      <c r="V93" s="3400"/>
      <c r="W93" s="173"/>
      <c r="X93" s="174"/>
      <c r="Y93" s="175"/>
      <c r="Z93" s="175"/>
      <c r="AA93" s="175"/>
      <c r="AB93" s="174">
        <v>0.84</v>
      </c>
      <c r="AC93" s="175"/>
      <c r="AD93" s="175"/>
      <c r="AE93" s="175"/>
      <c r="AF93" s="175"/>
      <c r="AG93" s="175"/>
    </row>
    <row r="94" spans="1:33" s="2277" customFormat="1" outlineLevel="1" x14ac:dyDescent="0.25">
      <c r="A94" s="157"/>
      <c r="B94" s="157"/>
      <c r="C94" s="385"/>
      <c r="D94" s="3358"/>
      <c r="E94" s="3362"/>
      <c r="F94" s="3105" t="s">
        <v>3500</v>
      </c>
      <c r="G94" s="3106">
        <v>0.88</v>
      </c>
      <c r="H94" s="175"/>
      <c r="I94" s="3393"/>
      <c r="J94" s="3394"/>
      <c r="K94" s="3394"/>
      <c r="L94" s="3395"/>
      <c r="M94" s="3107">
        <v>2152115</v>
      </c>
      <c r="N94" s="157"/>
      <c r="O94" s="157"/>
      <c r="P94" s="157"/>
      <c r="Q94" s="157"/>
      <c r="R94" s="157"/>
      <c r="S94" s="157"/>
      <c r="T94" s="157"/>
      <c r="U94" s="157"/>
      <c r="V94" s="3400"/>
      <c r="W94" s="173"/>
      <c r="X94" s="174"/>
      <c r="Y94" s="175"/>
      <c r="Z94" s="175"/>
      <c r="AA94" s="175"/>
      <c r="AB94" s="174">
        <v>0.88</v>
      </c>
      <c r="AC94" s="175"/>
      <c r="AD94" s="175"/>
      <c r="AE94" s="175"/>
      <c r="AF94" s="175"/>
      <c r="AG94" s="175"/>
    </row>
    <row r="95" spans="1:33" s="2277" customFormat="1" outlineLevel="1" x14ac:dyDescent="0.25">
      <c r="A95" s="157"/>
      <c r="B95" s="157"/>
      <c r="C95" s="385"/>
      <c r="D95" s="3358"/>
      <c r="E95" s="3362"/>
      <c r="F95" s="3105" t="s">
        <v>3501</v>
      </c>
      <c r="G95" s="3106">
        <v>0.9</v>
      </c>
      <c r="H95" s="175"/>
      <c r="I95" s="3393"/>
      <c r="J95" s="3394"/>
      <c r="K95" s="3394"/>
      <c r="L95" s="3395"/>
      <c r="M95" s="3107">
        <v>353711</v>
      </c>
      <c r="N95" s="157"/>
      <c r="O95" s="157"/>
      <c r="P95" s="157"/>
      <c r="Q95" s="157"/>
      <c r="R95" s="157"/>
      <c r="S95" s="157"/>
      <c r="T95" s="157"/>
      <c r="U95" s="157"/>
      <c r="V95" s="3400"/>
      <c r="W95" s="173"/>
      <c r="X95" s="174"/>
      <c r="Y95" s="175"/>
      <c r="Z95" s="175"/>
      <c r="AA95" s="175"/>
      <c r="AB95" s="174">
        <v>0.9</v>
      </c>
      <c r="AC95" s="175"/>
      <c r="AD95" s="175"/>
      <c r="AE95" s="175"/>
      <c r="AF95" s="175"/>
      <c r="AG95" s="175"/>
    </row>
    <row r="96" spans="1:33" s="2277" customFormat="1" ht="15.75" outlineLevel="1" thickBot="1" x14ac:dyDescent="0.3">
      <c r="A96" s="157"/>
      <c r="B96" s="157"/>
      <c r="C96" s="385"/>
      <c r="D96" s="3389"/>
      <c r="E96" s="3363"/>
      <c r="F96" s="2525" t="s">
        <v>3502</v>
      </c>
      <c r="G96" s="3108">
        <v>0.93</v>
      </c>
      <c r="H96" s="2400"/>
      <c r="I96" s="3396"/>
      <c r="J96" s="3397"/>
      <c r="K96" s="3397"/>
      <c r="L96" s="3398"/>
      <c r="M96" s="3107">
        <v>210290</v>
      </c>
      <c r="N96" s="157"/>
      <c r="O96" s="157"/>
      <c r="P96" s="157"/>
      <c r="Q96" s="157"/>
      <c r="R96" s="157"/>
      <c r="S96" s="157"/>
      <c r="T96" s="157"/>
      <c r="U96" s="157"/>
      <c r="V96" s="3401"/>
      <c r="W96" s="2398"/>
      <c r="X96" s="2399"/>
      <c r="Y96" s="2400"/>
      <c r="Z96" s="2400"/>
      <c r="AA96" s="2400"/>
      <c r="AB96" s="2399">
        <v>0.93</v>
      </c>
      <c r="AC96" s="2400"/>
      <c r="AD96" s="2400"/>
      <c r="AE96" s="2400"/>
      <c r="AF96" s="2400"/>
      <c r="AG96" s="2400"/>
    </row>
    <row r="97" spans="1:33" ht="15" customHeight="1" outlineLevel="1" x14ac:dyDescent="0.25">
      <c r="D97" s="3357" t="s">
        <v>593</v>
      </c>
      <c r="E97" s="3361" t="s">
        <v>594</v>
      </c>
      <c r="F97" s="2523" t="s">
        <v>591</v>
      </c>
      <c r="G97" s="2375">
        <f>(G98*SUM(M91:M93)+G99*SUM(M94:M96))/SUM(M91:M96)</f>
        <v>3.9842222150507978E-2</v>
      </c>
      <c r="H97" s="2375"/>
      <c r="I97" s="3390" t="s">
        <v>3503</v>
      </c>
      <c r="J97" s="3391"/>
      <c r="K97" s="3391"/>
      <c r="L97" s="3392"/>
      <c r="V97" s="3400" t="s">
        <v>593</v>
      </c>
      <c r="W97" s="173">
        <v>1.6525893496695268E-2</v>
      </c>
      <c r="X97" s="174">
        <v>2.1860522990637464E-3</v>
      </c>
      <c r="Y97" s="175">
        <v>2.1860522990637464E-3</v>
      </c>
      <c r="Z97" s="175">
        <v>2.1860522990637464E-3</v>
      </c>
      <c r="AA97" s="175">
        <v>2.1860522990637464E-3</v>
      </c>
      <c r="AB97" s="174">
        <v>3.9842222150507978E-2</v>
      </c>
      <c r="AC97" s="2395"/>
      <c r="AD97" s="2395"/>
      <c r="AE97" s="2395"/>
      <c r="AF97" s="2395"/>
      <c r="AG97" s="2395"/>
    </row>
    <row r="98" spans="1:33" s="2277" customFormat="1" ht="15" customHeight="1" outlineLevel="1" x14ac:dyDescent="0.25">
      <c r="A98" s="157"/>
      <c r="B98" s="157"/>
      <c r="C98" s="385"/>
      <c r="D98" s="3358"/>
      <c r="E98" s="3362"/>
      <c r="F98" s="3105" t="s">
        <v>3504</v>
      </c>
      <c r="G98" s="3106">
        <v>0</v>
      </c>
      <c r="H98" s="175"/>
      <c r="I98" s="3393"/>
      <c r="J98" s="3394"/>
      <c r="K98" s="3394"/>
      <c r="L98" s="3395"/>
      <c r="M98" s="157"/>
      <c r="N98" s="157"/>
      <c r="O98" s="157"/>
      <c r="P98" s="157"/>
      <c r="Q98" s="157"/>
      <c r="R98" s="157"/>
      <c r="S98" s="157"/>
      <c r="T98" s="157"/>
      <c r="U98" s="157"/>
      <c r="V98" s="3400"/>
      <c r="W98" s="177"/>
      <c r="X98" s="178"/>
      <c r="Y98" s="179"/>
      <c r="Z98" s="179"/>
      <c r="AA98" s="179"/>
      <c r="AB98" s="178">
        <v>0</v>
      </c>
      <c r="AC98" s="176"/>
      <c r="AD98" s="176"/>
      <c r="AE98" s="176"/>
      <c r="AF98" s="176"/>
      <c r="AG98" s="176"/>
    </row>
    <row r="99" spans="1:33" s="2277" customFormat="1" ht="15" customHeight="1" outlineLevel="1" thickBot="1" x14ac:dyDescent="0.3">
      <c r="A99" s="157"/>
      <c r="B99" s="157"/>
      <c r="C99" s="385"/>
      <c r="D99" s="3389"/>
      <c r="E99" s="3363"/>
      <c r="F99" s="2525" t="s">
        <v>3505</v>
      </c>
      <c r="G99" s="3108">
        <v>0.04</v>
      </c>
      <c r="H99" s="2400"/>
      <c r="I99" s="3396"/>
      <c r="J99" s="3397"/>
      <c r="K99" s="3397"/>
      <c r="L99" s="3398"/>
      <c r="M99" s="157"/>
      <c r="N99" s="157"/>
      <c r="O99" s="157"/>
      <c r="P99" s="157"/>
      <c r="Q99" s="157"/>
      <c r="R99" s="157"/>
      <c r="S99" s="157"/>
      <c r="T99" s="157"/>
      <c r="U99" s="157"/>
      <c r="V99" s="3402"/>
      <c r="W99" s="177"/>
      <c r="X99" s="178"/>
      <c r="Y99" s="179"/>
      <c r="Z99" s="179"/>
      <c r="AA99" s="179"/>
      <c r="AB99" s="178">
        <v>0.04</v>
      </c>
      <c r="AC99" s="176"/>
      <c r="AD99" s="176"/>
      <c r="AE99" s="176"/>
      <c r="AF99" s="176"/>
      <c r="AG99" s="176"/>
    </row>
    <row r="100" spans="1:33" ht="15" customHeight="1" outlineLevel="1" thickBot="1" x14ac:dyDescent="0.3">
      <c r="D100" s="2392" t="s">
        <v>595</v>
      </c>
      <c r="E100" s="2393" t="s">
        <v>596</v>
      </c>
      <c r="F100" s="2524" t="s">
        <v>597</v>
      </c>
      <c r="G100" s="2394">
        <f>2.72652*365</f>
        <v>995.17979999999989</v>
      </c>
      <c r="H100" s="2394"/>
      <c r="I100" s="3403" t="s">
        <v>3838</v>
      </c>
      <c r="J100" s="3403"/>
      <c r="K100" s="3403"/>
      <c r="L100" s="3403"/>
      <c r="V100" s="2401" t="s">
        <v>595</v>
      </c>
      <c r="W100" s="2377">
        <f>2.73*365</f>
        <v>996.45</v>
      </c>
      <c r="X100" s="2402">
        <f>2.72652*365</f>
        <v>995.17979999999989</v>
      </c>
      <c r="Y100" s="2378">
        <f>2.72652*365</f>
        <v>995.17979999999989</v>
      </c>
      <c r="Z100" s="2378">
        <f t="shared" ref="Z100:AA100" si="37">2.72652*365</f>
        <v>995.17979999999989</v>
      </c>
      <c r="AA100" s="2378">
        <f t="shared" si="37"/>
        <v>995.17979999999989</v>
      </c>
      <c r="AB100" s="2403">
        <v>995.17979999999989</v>
      </c>
      <c r="AC100" s="2403"/>
      <c r="AD100" s="2403"/>
      <c r="AE100" s="2403"/>
      <c r="AF100" s="2403"/>
      <c r="AG100" s="2403"/>
    </row>
    <row r="101" spans="1:33" ht="45.75" outlineLevel="1" thickBot="1" x14ac:dyDescent="0.3">
      <c r="D101" s="2383" t="s">
        <v>598</v>
      </c>
      <c r="E101" s="2359" t="s">
        <v>599</v>
      </c>
      <c r="F101" s="2525" t="s">
        <v>600</v>
      </c>
      <c r="G101" s="2385">
        <v>0.99</v>
      </c>
      <c r="H101" s="2385"/>
      <c r="I101" s="3384" t="s">
        <v>601</v>
      </c>
      <c r="J101" s="3384"/>
      <c r="K101" s="3384"/>
      <c r="L101" s="3384"/>
      <c r="V101" s="2404" t="s">
        <v>598</v>
      </c>
      <c r="W101" s="2384">
        <v>0.99</v>
      </c>
      <c r="X101" s="2405">
        <v>0.99</v>
      </c>
      <c r="Y101" s="2385">
        <v>0.99</v>
      </c>
      <c r="Z101" s="2385">
        <v>0.99</v>
      </c>
      <c r="AA101" s="2385">
        <v>0.99</v>
      </c>
      <c r="AB101" s="2405">
        <v>0.99</v>
      </c>
      <c r="AC101" s="2405"/>
      <c r="AD101" s="2405"/>
      <c r="AE101" s="2405"/>
      <c r="AF101" s="2405"/>
      <c r="AG101" s="2405"/>
    </row>
    <row r="102" spans="1:33" ht="93.75" customHeight="1" outlineLevel="1" thickBot="1" x14ac:dyDescent="0.3">
      <c r="D102" s="2383" t="s">
        <v>602</v>
      </c>
      <c r="E102" s="2387" t="s">
        <v>603</v>
      </c>
      <c r="F102" s="2525" t="s">
        <v>604</v>
      </c>
      <c r="G102" s="2385">
        <v>3612</v>
      </c>
      <c r="H102" s="2385"/>
      <c r="I102" s="3384" t="s">
        <v>605</v>
      </c>
      <c r="J102" s="3384"/>
      <c r="K102" s="3384"/>
      <c r="L102" s="3384"/>
      <c r="V102" s="2404" t="s">
        <v>602</v>
      </c>
      <c r="W102" s="2384">
        <v>3613</v>
      </c>
      <c r="X102" s="2406">
        <v>3612</v>
      </c>
      <c r="Y102" s="2385">
        <v>3612</v>
      </c>
      <c r="Z102" s="2385">
        <v>3612</v>
      </c>
      <c r="AA102" s="2385">
        <v>3612</v>
      </c>
      <c r="AB102" s="2405">
        <v>3612</v>
      </c>
      <c r="AC102" s="2405"/>
      <c r="AD102" s="2405"/>
      <c r="AE102" s="2405"/>
      <c r="AF102" s="2405"/>
      <c r="AG102" s="2405"/>
    </row>
    <row r="103" spans="1:33" ht="45.75" outlineLevel="1" thickBot="1" x14ac:dyDescent="0.3">
      <c r="D103" s="2383" t="s">
        <v>606</v>
      </c>
      <c r="E103" s="2359" t="s">
        <v>599</v>
      </c>
      <c r="F103" s="2525" t="s">
        <v>604</v>
      </c>
      <c r="G103" s="2385">
        <v>1.1000000000000001</v>
      </c>
      <c r="H103" s="2385"/>
      <c r="I103" s="3384" t="s">
        <v>607</v>
      </c>
      <c r="J103" s="3384"/>
      <c r="K103" s="3384"/>
      <c r="L103" s="3384"/>
      <c r="V103" s="2404" t="s">
        <v>606</v>
      </c>
      <c r="W103" s="2384">
        <v>1.1000000000000001</v>
      </c>
      <c r="X103" s="2405">
        <v>1.1000000000000001</v>
      </c>
      <c r="Y103" s="2385">
        <v>1.1000000000000001</v>
      </c>
      <c r="Z103" s="2385">
        <v>1.1000000000000001</v>
      </c>
      <c r="AA103" s="2385">
        <v>1.1000000000000001</v>
      </c>
      <c r="AB103" s="2405">
        <v>1.1000000000000001</v>
      </c>
      <c r="AC103" s="2405"/>
      <c r="AD103" s="2405"/>
      <c r="AE103" s="2405"/>
      <c r="AF103" s="2405"/>
      <c r="AG103" s="2405"/>
    </row>
    <row r="104" spans="1:33" ht="15" customHeight="1" outlineLevel="1" x14ac:dyDescent="0.25">
      <c r="D104" s="3357" t="s">
        <v>608</v>
      </c>
      <c r="E104" s="3361" t="s">
        <v>609</v>
      </c>
      <c r="F104" s="2523" t="s">
        <v>591</v>
      </c>
      <c r="G104" s="2375">
        <f>(G105*SUM(M91:M93)+G106*SUM(M94:M96))/SUM(M91:M96)</f>
        <v>0.96015777784949197</v>
      </c>
      <c r="H104" s="2382"/>
      <c r="I104" s="3390" t="s">
        <v>3506</v>
      </c>
      <c r="J104" s="3391"/>
      <c r="K104" s="3391"/>
      <c r="L104" s="3392"/>
      <c r="V104" s="3400" t="s">
        <v>608</v>
      </c>
      <c r="W104" s="2381">
        <v>1</v>
      </c>
      <c r="X104" s="2396">
        <v>0.99237761136046199</v>
      </c>
      <c r="Y104" s="2376">
        <v>0.99237761136046199</v>
      </c>
      <c r="Z104" s="2376">
        <v>0.99237761136046199</v>
      </c>
      <c r="AA104" s="2376">
        <v>0.99237761136046199</v>
      </c>
      <c r="AB104" s="2396">
        <v>0.96015777784949197</v>
      </c>
      <c r="AC104" s="2376"/>
      <c r="AD104" s="2376"/>
      <c r="AE104" s="2376"/>
      <c r="AF104" s="2376"/>
      <c r="AG104" s="2376"/>
    </row>
    <row r="105" spans="1:33" s="2277" customFormat="1" ht="15" customHeight="1" outlineLevel="1" x14ac:dyDescent="0.25">
      <c r="A105" s="157"/>
      <c r="B105" s="157"/>
      <c r="C105" s="385"/>
      <c r="D105" s="3358"/>
      <c r="E105" s="3362"/>
      <c r="F105" s="2526" t="s">
        <v>3504</v>
      </c>
      <c r="G105" s="3106">
        <v>1</v>
      </c>
      <c r="H105" s="185"/>
      <c r="I105" s="3393"/>
      <c r="J105" s="3394"/>
      <c r="K105" s="3394"/>
      <c r="L105" s="3395"/>
      <c r="M105" s="157"/>
      <c r="N105" s="157"/>
      <c r="O105" s="157"/>
      <c r="P105" s="157"/>
      <c r="Q105" s="157"/>
      <c r="R105" s="157"/>
      <c r="S105" s="157"/>
      <c r="T105" s="157"/>
      <c r="U105" s="157"/>
      <c r="V105" s="3400"/>
      <c r="W105" s="184"/>
      <c r="X105" s="186"/>
      <c r="Y105" s="185"/>
      <c r="Z105" s="185"/>
      <c r="AA105" s="185"/>
      <c r="AB105" s="186">
        <v>1</v>
      </c>
      <c r="AC105" s="185"/>
      <c r="AD105" s="185"/>
      <c r="AE105" s="185"/>
      <c r="AF105" s="185"/>
      <c r="AG105" s="185"/>
    </row>
    <row r="106" spans="1:33" s="2277" customFormat="1" ht="15" customHeight="1" outlineLevel="1" thickBot="1" x14ac:dyDescent="0.3">
      <c r="A106" s="157"/>
      <c r="B106" s="157"/>
      <c r="C106" s="385"/>
      <c r="D106" s="3389"/>
      <c r="E106" s="3363"/>
      <c r="F106" s="2527" t="s">
        <v>3505</v>
      </c>
      <c r="G106" s="3108">
        <v>0.96</v>
      </c>
      <c r="H106" s="2409"/>
      <c r="I106" s="3396"/>
      <c r="J106" s="3397"/>
      <c r="K106" s="3397"/>
      <c r="L106" s="3398"/>
      <c r="M106" s="157"/>
      <c r="N106" s="157"/>
      <c r="O106" s="157"/>
      <c r="P106" s="157"/>
      <c r="Q106" s="157"/>
      <c r="R106" s="157"/>
      <c r="S106" s="157"/>
      <c r="T106" s="157"/>
      <c r="U106" s="157"/>
      <c r="V106" s="3401"/>
      <c r="W106" s="2407"/>
      <c r="X106" s="2408"/>
      <c r="Y106" s="2409"/>
      <c r="Z106" s="2409"/>
      <c r="AA106" s="2409"/>
      <c r="AB106" s="2408">
        <v>0.96</v>
      </c>
      <c r="AC106" s="2409"/>
      <c r="AD106" s="2409"/>
      <c r="AE106" s="2409"/>
      <c r="AF106" s="2409"/>
      <c r="AG106" s="2409"/>
    </row>
    <row r="107" spans="1:33" ht="36.6" customHeight="1" outlineLevel="1" thickBot="1" x14ac:dyDescent="0.3">
      <c r="D107" s="2388" t="s">
        <v>610</v>
      </c>
      <c r="E107" s="2388" t="s">
        <v>611</v>
      </c>
      <c r="F107" s="2525" t="s">
        <v>591</v>
      </c>
      <c r="G107" s="2528">
        <v>19</v>
      </c>
      <c r="H107" s="2529"/>
      <c r="I107" s="3384" t="s">
        <v>3507</v>
      </c>
      <c r="J107" s="3384"/>
      <c r="K107" s="3384"/>
      <c r="L107" s="3384"/>
      <c r="V107" s="2388" t="s">
        <v>610</v>
      </c>
      <c r="W107" s="2390">
        <v>19</v>
      </c>
      <c r="X107" s="2390">
        <v>19</v>
      </c>
      <c r="Y107" s="2390">
        <v>19</v>
      </c>
      <c r="Z107" s="2528">
        <v>19</v>
      </c>
      <c r="AA107" s="2528">
        <v>19</v>
      </c>
      <c r="AB107" s="2528">
        <v>19</v>
      </c>
      <c r="AC107" s="2528"/>
      <c r="AD107" s="2390"/>
      <c r="AE107" s="2390"/>
      <c r="AF107" s="2390"/>
      <c r="AG107" s="2390"/>
    </row>
    <row r="108" spans="1:33" ht="15.75" outlineLevel="1" thickBot="1" x14ac:dyDescent="0.3">
      <c r="D108" s="2388" t="s">
        <v>612</v>
      </c>
      <c r="E108" s="2388" t="s">
        <v>611</v>
      </c>
      <c r="F108" s="2389" t="s">
        <v>591</v>
      </c>
      <c r="G108" s="2390">
        <v>6</v>
      </c>
      <c r="H108" s="2391"/>
      <c r="I108" s="3384" t="s">
        <v>3831</v>
      </c>
      <c r="J108" s="3384"/>
      <c r="K108" s="3384"/>
      <c r="L108" s="3384"/>
      <c r="V108" s="2388" t="s">
        <v>612</v>
      </c>
      <c r="W108" s="2390">
        <v>6</v>
      </c>
      <c r="X108" s="2390">
        <v>6</v>
      </c>
      <c r="Y108" s="2390">
        <v>6</v>
      </c>
      <c r="Z108" s="2528">
        <v>6</v>
      </c>
      <c r="AA108" s="2528">
        <v>6</v>
      </c>
      <c r="AB108" s="2528">
        <v>6</v>
      </c>
      <c r="AC108" s="2528"/>
      <c r="AD108" s="2390"/>
      <c r="AE108" s="2390"/>
      <c r="AF108" s="2390"/>
      <c r="AG108" s="2390"/>
    </row>
    <row r="109" spans="1:33" outlineLevel="1" x14ac:dyDescent="0.25">
      <c r="D109" s="2386" t="s">
        <v>25</v>
      </c>
      <c r="E109" s="2379" t="s">
        <v>613</v>
      </c>
      <c r="F109" s="2380" t="s">
        <v>591</v>
      </c>
      <c r="G109" s="2992">
        <v>9.9999999999999995E-7</v>
      </c>
      <c r="H109" s="2381"/>
      <c r="I109" s="3383" t="s">
        <v>3508</v>
      </c>
      <c r="J109" s="3383"/>
      <c r="K109" s="3383"/>
      <c r="L109" s="3383"/>
      <c r="V109" s="2386" t="s">
        <v>25</v>
      </c>
      <c r="W109" s="2397">
        <v>9.9999999999999995E-7</v>
      </c>
      <c r="X109" s="2397">
        <v>9.9999999999999995E-7</v>
      </c>
      <c r="Y109" s="2397">
        <v>9.9999999999999995E-7</v>
      </c>
      <c r="Z109" s="2535">
        <v>9.9999999999999995E-7</v>
      </c>
      <c r="AA109" s="2535">
        <v>9.9999999999999995E-7</v>
      </c>
      <c r="AB109" s="2535">
        <v>9.9999999999999995E-7</v>
      </c>
      <c r="AC109" s="2535"/>
      <c r="AD109" s="2397"/>
      <c r="AE109" s="2397"/>
      <c r="AF109" s="2397"/>
      <c r="AG109" s="2397"/>
    </row>
    <row r="110" spans="1:33" outlineLevel="1" x14ac:dyDescent="0.25"/>
  </sheetData>
  <mergeCells count="80">
    <mergeCell ref="E104:E106"/>
    <mergeCell ref="D104:D106"/>
    <mergeCell ref="I104:L106"/>
    <mergeCell ref="V97:V99"/>
    <mergeCell ref="V104:V106"/>
    <mergeCell ref="I100:L100"/>
    <mergeCell ref="D90:D96"/>
    <mergeCell ref="I90:L96"/>
    <mergeCell ref="V90:V96"/>
    <mergeCell ref="D97:D99"/>
    <mergeCell ref="E97:E99"/>
    <mergeCell ref="I97:L99"/>
    <mergeCell ref="I50:L50"/>
    <mergeCell ref="I51:L51"/>
    <mergeCell ref="I74:L74"/>
    <mergeCell ref="I75:L75"/>
    <mergeCell ref="E90:E96"/>
    <mergeCell ref="I81:L81"/>
    <mergeCell ref="I82:L82"/>
    <mergeCell ref="I83:L83"/>
    <mergeCell ref="I84:L84"/>
    <mergeCell ref="I85:L85"/>
    <mergeCell ref="I86:L86"/>
    <mergeCell ref="I87:L87"/>
    <mergeCell ref="I88:L88"/>
    <mergeCell ref="I89:L89"/>
    <mergeCell ref="I65:L65"/>
    <mergeCell ref="I59:L59"/>
    <mergeCell ref="I109:L109"/>
    <mergeCell ref="I101:L101"/>
    <mergeCell ref="I102:L102"/>
    <mergeCell ref="I103:L103"/>
    <mergeCell ref="I107:L107"/>
    <mergeCell ref="I108:L108"/>
    <mergeCell ref="V66:V89"/>
    <mergeCell ref="I67:L67"/>
    <mergeCell ref="I68:L68"/>
    <mergeCell ref="I69:L69"/>
    <mergeCell ref="I70:L70"/>
    <mergeCell ref="I71:L71"/>
    <mergeCell ref="I72:L72"/>
    <mergeCell ref="I73:L73"/>
    <mergeCell ref="I76:L76"/>
    <mergeCell ref="I77:L77"/>
    <mergeCell ref="D66:D89"/>
    <mergeCell ref="E66:E89"/>
    <mergeCell ref="I66:L66"/>
    <mergeCell ref="I78:L78"/>
    <mergeCell ref="I79:L79"/>
    <mergeCell ref="I80:L80"/>
    <mergeCell ref="I60:L60"/>
    <mergeCell ref="I62:L62"/>
    <mergeCell ref="I63:L63"/>
    <mergeCell ref="I64:L64"/>
    <mergeCell ref="I54:L54"/>
    <mergeCell ref="I55:L55"/>
    <mergeCell ref="I56:L56"/>
    <mergeCell ref="I57:L57"/>
    <mergeCell ref="I58:L58"/>
    <mergeCell ref="V4:AI4"/>
    <mergeCell ref="I41:L41"/>
    <mergeCell ref="D42:D65"/>
    <mergeCell ref="E42:E65"/>
    <mergeCell ref="I42:L42"/>
    <mergeCell ref="V42:V65"/>
    <mergeCell ref="I43:L43"/>
    <mergeCell ref="I44:L44"/>
    <mergeCell ref="I45:L45"/>
    <mergeCell ref="I46:L46"/>
    <mergeCell ref="I47:L47"/>
    <mergeCell ref="I61:L61"/>
    <mergeCell ref="I48:L48"/>
    <mergeCell ref="I49:L49"/>
    <mergeCell ref="I52:L52"/>
    <mergeCell ref="I53:L53"/>
    <mergeCell ref="H33:S33"/>
    <mergeCell ref="A1:P1"/>
    <mergeCell ref="Q1:S1"/>
    <mergeCell ref="D2:J2"/>
    <mergeCell ref="B4:S4"/>
  </mergeCells>
  <conditionalFormatting sqref="AH7:AH29">
    <cfRule type="cellIs" dxfId="438" priority="5" operator="lessThan">
      <formula>-0.1</formula>
    </cfRule>
    <cfRule type="cellIs" dxfId="437" priority="6" operator="greaterThan">
      <formula>0.1</formula>
    </cfRule>
  </conditionalFormatting>
  <conditionalFormatting sqref="B1:B29 B31:B1048576">
    <cfRule type="containsText" dxfId="436" priority="4" operator="containsText" text="x">
      <formula>NOT(ISERROR(SEARCH("x",B1)))</formula>
    </cfRule>
  </conditionalFormatting>
  <conditionalFormatting sqref="AH30">
    <cfRule type="cellIs" dxfId="435" priority="2" operator="lessThan">
      <formula>-0.1</formula>
    </cfRule>
    <cfRule type="cellIs" dxfId="434" priority="3" operator="greaterThan">
      <formula>0.1</formula>
    </cfRule>
  </conditionalFormatting>
  <conditionalFormatting sqref="B30">
    <cfRule type="containsText" dxfId="433" priority="1" operator="containsText" text="x">
      <formula>NOT(ISERROR(SEARCH("x",B30)))</formula>
    </cfRule>
  </conditionalFormatting>
  <hyperlinks>
    <hyperlink ref="I74" r:id="rId1" display="https://amerenmissouristore.com/led-11-watt-flood-br30-65w-eqv/"/>
    <hyperlink ref="I75"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48"/>
  <sheetViews>
    <sheetView zoomScale="70" zoomScaleNormal="70" workbookViewId="0">
      <selection sqref="A1:P1"/>
    </sheetView>
  </sheetViews>
  <sheetFormatPr defaultColWidth="9.140625" defaultRowHeight="15" outlineLevelRow="1" x14ac:dyDescent="0.25"/>
  <cols>
    <col min="1" max="1" width="4.42578125" style="272" customWidth="1"/>
    <col min="2" max="2" width="9.140625" style="272"/>
    <col min="3" max="3" width="24.28515625" style="229" customWidth="1"/>
    <col min="4" max="4" width="39.28515625" style="271" customWidth="1"/>
    <col min="5" max="5" width="67.42578125" style="271" customWidth="1"/>
    <col min="6" max="6" width="22.28515625" style="272" customWidth="1"/>
    <col min="7" max="7" width="34.28515625" style="272" customWidth="1"/>
    <col min="8" max="8" width="39.5703125" style="272" customWidth="1"/>
    <col min="9" max="9" width="47.28515625" style="272" customWidth="1"/>
    <col min="10" max="10" width="15" style="272" customWidth="1"/>
    <col min="11" max="12" width="14.5703125" style="272" customWidth="1"/>
    <col min="13" max="13" width="11.140625" style="272" customWidth="1"/>
    <col min="14" max="14" width="10.5703125" style="272" customWidth="1"/>
    <col min="15" max="15" width="62.28515625" style="272" customWidth="1"/>
    <col min="16" max="16" width="14.140625" style="272" customWidth="1"/>
    <col min="17" max="17" width="21.140625" style="272" customWidth="1"/>
    <col min="18" max="21" width="9.140625" style="272" customWidth="1"/>
    <col min="22" max="22" width="26.5703125" style="128" customWidth="1"/>
    <col min="23" max="23" width="13.85546875" style="128" customWidth="1"/>
    <col min="24" max="24" width="18.42578125" style="128" customWidth="1"/>
    <col min="25" max="25" width="16.85546875" style="128" customWidth="1"/>
    <col min="26" max="26" width="19.140625" style="128" bestFit="1" customWidth="1"/>
    <col min="27" max="27" width="13.85546875" style="128" customWidth="1"/>
    <col min="28" max="28" width="18.5703125" style="128" bestFit="1" customWidth="1"/>
    <col min="29" max="33" width="13.85546875" style="128" customWidth="1"/>
    <col min="34" max="34" width="9.140625" style="128" customWidth="1"/>
    <col min="35" max="35" width="15.5703125" style="128" customWidth="1"/>
    <col min="36" max="37" width="20" style="128" bestFit="1" customWidth="1"/>
    <col min="38" max="39" width="15.5703125" style="128" customWidth="1"/>
    <col min="40" max="40" width="16.85546875" style="128" bestFit="1" customWidth="1"/>
    <col min="41" max="45" width="15.5703125" style="128" customWidth="1"/>
    <col min="46" max="52" width="9.140625" style="128" customWidth="1"/>
    <col min="53" max="53" width="18.28515625" style="128" customWidth="1"/>
    <col min="54" max="54" width="12" style="219" bestFit="1" customWidth="1"/>
    <col min="55" max="55" width="39.28515625" style="128" customWidth="1"/>
    <col min="56" max="56" width="10.28515625" style="128" bestFit="1" customWidth="1"/>
    <col min="57" max="57" width="17.5703125" style="128" bestFit="1" customWidth="1"/>
    <col min="58" max="16384" width="9.140625" style="128"/>
  </cols>
  <sheetData>
    <row r="1" spans="1:57" s="26" customFormat="1" ht="18.75" x14ac:dyDescent="0.3">
      <c r="A1" s="3343" t="s">
        <v>614</v>
      </c>
      <c r="B1" s="3344"/>
      <c r="C1" s="3344"/>
      <c r="D1" s="3344"/>
      <c r="E1" s="3344"/>
      <c r="F1" s="3344"/>
      <c r="G1" s="3344"/>
      <c r="H1" s="3344"/>
      <c r="I1" s="3344"/>
      <c r="J1" s="3344"/>
      <c r="K1" s="3344"/>
      <c r="L1" s="3344"/>
      <c r="M1" s="3344"/>
      <c r="N1" s="3344"/>
      <c r="O1" s="3344"/>
      <c r="P1" s="3344"/>
      <c r="Q1" s="2028"/>
      <c r="R1" s="1470"/>
      <c r="S1" s="1470"/>
      <c r="T1" s="1470"/>
      <c r="U1" s="1470"/>
      <c r="V1" s="33"/>
      <c r="W1" s="34"/>
      <c r="X1" s="34"/>
      <c r="Y1" s="35"/>
      <c r="Z1" s="35"/>
      <c r="AA1" s="35"/>
      <c r="AB1" s="35"/>
      <c r="AC1" s="35"/>
      <c r="AD1" s="35"/>
      <c r="AE1" s="35"/>
      <c r="AF1" s="35"/>
      <c r="AG1" s="35"/>
      <c r="AH1" s="35"/>
      <c r="BB1" s="189"/>
    </row>
    <row r="2" spans="1:57" s="26" customFormat="1" ht="30" customHeight="1" outlineLevel="1" x14ac:dyDescent="0.35">
      <c r="A2" s="1470"/>
      <c r="B2" s="1472"/>
      <c r="C2" s="190"/>
      <c r="D2" s="3347" t="s">
        <v>3212</v>
      </c>
      <c r="E2" s="3348"/>
      <c r="F2" s="3349"/>
      <c r="G2" s="3349"/>
      <c r="H2" s="3349"/>
      <c r="I2" s="3349"/>
      <c r="J2" s="3349"/>
      <c r="K2" s="972"/>
      <c r="L2" s="972"/>
      <c r="M2" s="1470"/>
      <c r="N2" s="1470"/>
      <c r="O2" s="1470"/>
      <c r="P2" s="1470"/>
      <c r="Q2" s="1470"/>
      <c r="R2" s="1470"/>
      <c r="S2" s="1470"/>
      <c r="T2" s="1470"/>
      <c r="U2" s="1470"/>
      <c r="V2" s="76"/>
      <c r="W2" s="76"/>
      <c r="X2" s="76"/>
      <c r="Y2" s="76"/>
      <c r="Z2" s="76"/>
      <c r="AA2" s="76"/>
      <c r="AB2" s="76"/>
      <c r="AC2" s="76"/>
      <c r="AD2" s="76"/>
      <c r="AE2" s="76"/>
      <c r="AF2" s="76"/>
      <c r="AG2" s="76"/>
      <c r="AH2" s="76"/>
      <c r="AI2" s="76"/>
      <c r="BB2" s="189"/>
    </row>
    <row r="3" spans="1:57" s="29" customFormat="1" ht="33.75" customHeight="1" x14ac:dyDescent="0.25">
      <c r="A3" s="973"/>
      <c r="B3" s="973"/>
      <c r="C3" s="191"/>
      <c r="D3" s="192"/>
      <c r="E3" s="192"/>
      <c r="F3" s="191"/>
      <c r="G3" s="191"/>
      <c r="H3" s="191"/>
      <c r="I3" s="191"/>
      <c r="J3" s="191"/>
      <c r="K3" s="973"/>
      <c r="L3" s="973"/>
      <c r="M3" s="973"/>
      <c r="N3" s="973"/>
      <c r="O3" s="973"/>
      <c r="P3" s="973"/>
      <c r="Q3" s="973"/>
      <c r="R3" s="973"/>
      <c r="S3" s="973"/>
      <c r="T3" s="973"/>
      <c r="U3" s="973"/>
      <c r="V3" s="76"/>
      <c r="W3" s="76"/>
      <c r="X3" s="76"/>
      <c r="Y3" s="76"/>
      <c r="Z3" s="76"/>
      <c r="AA3" s="76"/>
      <c r="AB3" s="76"/>
      <c r="AC3" s="76"/>
      <c r="AD3" s="76"/>
      <c r="AE3" s="76"/>
      <c r="AF3" s="76"/>
      <c r="AG3" s="76"/>
      <c r="AH3" s="76"/>
      <c r="AI3" s="76"/>
      <c r="BB3" s="193"/>
    </row>
    <row r="4" spans="1:57" s="194" customFormat="1" x14ac:dyDescent="0.25">
      <c r="B4" s="3350" t="s">
        <v>615</v>
      </c>
      <c r="C4" s="3351"/>
      <c r="D4" s="3351"/>
      <c r="E4" s="3351"/>
      <c r="F4" s="3351"/>
      <c r="G4" s="3351"/>
      <c r="H4" s="3351"/>
      <c r="I4" s="3352"/>
      <c r="J4" s="3352"/>
      <c r="K4" s="3352"/>
      <c r="L4" s="3352"/>
      <c r="M4" s="3352"/>
      <c r="N4" s="3352"/>
      <c r="O4" s="3353"/>
      <c r="V4" s="3350" t="str">
        <f>B4</f>
        <v>Heat Pump Hot Water Heater</v>
      </c>
      <c r="W4" s="3351"/>
      <c r="X4" s="3351"/>
      <c r="Y4" s="3351"/>
      <c r="Z4" s="3351"/>
      <c r="AA4" s="3351"/>
      <c r="AB4" s="3351"/>
      <c r="AC4" s="3354"/>
      <c r="AD4" s="3354"/>
      <c r="AE4" s="3354"/>
      <c r="AF4" s="3354"/>
      <c r="AG4" s="3354"/>
      <c r="AH4" s="3354"/>
      <c r="AI4" s="3355"/>
      <c r="BB4" s="195"/>
    </row>
    <row r="5" spans="1:57" s="43" customFormat="1" x14ac:dyDescent="0.25">
      <c r="A5" s="198"/>
      <c r="B5" s="198"/>
      <c r="C5" s="196"/>
      <c r="D5" s="197"/>
      <c r="E5" s="197"/>
      <c r="F5" s="198"/>
      <c r="G5" s="198"/>
      <c r="H5" s="198"/>
      <c r="I5" s="198"/>
      <c r="J5" s="198"/>
      <c r="K5" s="198"/>
      <c r="L5" s="198"/>
      <c r="M5" s="198"/>
      <c r="N5" s="198"/>
      <c r="O5" s="198"/>
      <c r="P5" s="198"/>
      <c r="Q5" s="198"/>
      <c r="R5" s="198"/>
      <c r="S5" s="198"/>
      <c r="T5" s="198"/>
      <c r="U5" s="198"/>
      <c r="BB5" s="200"/>
    </row>
    <row r="6" spans="1:57" s="50" customFormat="1" ht="48.75" customHeight="1" x14ac:dyDescent="0.25">
      <c r="A6" s="1480"/>
      <c r="B6" s="1480"/>
      <c r="C6" s="2029" t="s">
        <v>17</v>
      </c>
      <c r="D6" s="2029" t="s">
        <v>616</v>
      </c>
      <c r="E6" s="2029" t="s">
        <v>19</v>
      </c>
      <c r="F6" s="2029" t="s">
        <v>20</v>
      </c>
      <c r="G6" s="2029" t="s">
        <v>21</v>
      </c>
      <c r="H6" s="2029" t="s">
        <v>22</v>
      </c>
      <c r="I6" s="2029" t="s">
        <v>617</v>
      </c>
      <c r="J6" s="2029" t="s">
        <v>618</v>
      </c>
      <c r="K6" s="2029" t="s">
        <v>619</v>
      </c>
      <c r="L6" s="2029" t="s">
        <v>23</v>
      </c>
      <c r="M6" s="2029" t="s">
        <v>24</v>
      </c>
      <c r="N6" s="2029" t="s">
        <v>25</v>
      </c>
      <c r="O6" s="2029" t="s">
        <v>26</v>
      </c>
      <c r="P6" s="1480"/>
      <c r="Q6" s="1480"/>
      <c r="R6" s="1480"/>
      <c r="S6" s="1480"/>
      <c r="T6" s="1480"/>
      <c r="U6" s="1480"/>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43" customFormat="1" ht="15.75" customHeight="1" x14ac:dyDescent="0.25">
      <c r="A7" s="1629"/>
      <c r="B7" s="198"/>
      <c r="C7" s="201" t="s">
        <v>620</v>
      </c>
      <c r="D7" s="2134" t="s">
        <v>621</v>
      </c>
      <c r="E7" s="201" t="s">
        <v>615</v>
      </c>
      <c r="F7" s="3109">
        <f>ROUND((((((1/F27)-(1/F28))*F29*F30*F31*F32*(F33-F34)*F35)/F36)-(J7+K7)+I7)*F49,2)</f>
        <v>2276.14</v>
      </c>
      <c r="G7" s="2044" t="s">
        <v>622</v>
      </c>
      <c r="H7" s="202">
        <f>VLOOKUP(G7,'CP FACTORS'!$A$3:$B$38, 2, FALSE)</f>
        <v>8.8731800000000003E-5</v>
      </c>
      <c r="I7" s="203">
        <f>(((1-1/F28)*F29*F30*F31*F32*(F33-F34)*F35)*F37*F38*F45/(F40*F36))*F46</f>
        <v>383.38412702395192</v>
      </c>
      <c r="J7" s="204">
        <f>(((1-1/F28)*F29*F30*F31*F32*(F33-F34)*F35)*F37*F39/(F41*F36))*F47</f>
        <v>153.81117612979111</v>
      </c>
      <c r="K7" s="204">
        <f>(((1-1/F28)*F29*F30*F31*F32*(F33-F34)*F35)*F37*F39/(F43*F36)*F48)</f>
        <v>96.428688738777211</v>
      </c>
      <c r="L7" s="205">
        <f>ROUND(F7*H7,6)</f>
        <v>0.20196600000000001</v>
      </c>
      <c r="M7" s="206">
        <f>F50</f>
        <v>13</v>
      </c>
      <c r="N7" s="207">
        <f>F51</f>
        <v>588</v>
      </c>
      <c r="O7" s="1959" t="s">
        <v>37</v>
      </c>
      <c r="P7" s="198"/>
      <c r="Q7" s="198"/>
      <c r="R7" s="1627"/>
      <c r="S7" s="198"/>
      <c r="T7" s="198"/>
      <c r="U7" s="198"/>
      <c r="V7" s="208" t="str">
        <f>F6</f>
        <v>kWh Annual Savings</v>
      </c>
      <c r="W7" s="209">
        <v>3736.4662164914935</v>
      </c>
      <c r="X7" s="206">
        <v>2506.58000131569</v>
      </c>
      <c r="Y7" s="210">
        <v>2296.31</v>
      </c>
      <c r="Z7" s="2545">
        <v>2296.31</v>
      </c>
      <c r="AA7" s="2545">
        <v>2296.31</v>
      </c>
      <c r="AB7" s="2373">
        <v>2276.14</v>
      </c>
      <c r="AC7" s="208"/>
      <c r="AD7" s="208"/>
      <c r="AE7" s="208"/>
      <c r="AF7" s="208"/>
      <c r="AG7" s="208"/>
      <c r="AH7" s="211"/>
      <c r="AU7" s="212"/>
      <c r="BB7" s="213">
        <f>(BD7)/(BE7)</f>
        <v>1.7840168446063165</v>
      </c>
      <c r="BC7" s="2036" t="str">
        <f>CONCATENATE(G7," ",M7," Year EUL")</f>
        <v>Water Heating RES 13 Year EUL</v>
      </c>
      <c r="BD7" s="214">
        <f>(INDEX('Avoided Cost Benefits'!$C$4:$C$857,MATCH(BC7,'Avoided Cost Benefits'!$A$4:$A$857,0)))*F7</f>
        <v>990.09146260359978</v>
      </c>
      <c r="BE7" s="109">
        <f>N7/(1.0595^(2020-2019))</f>
        <v>554.97876356772053</v>
      </c>
    </row>
    <row r="8" spans="1:57" s="43" customFormat="1" outlineLevel="1" x14ac:dyDescent="0.25">
      <c r="A8" s="198"/>
      <c r="B8" s="198"/>
      <c r="C8" s="196"/>
      <c r="D8" s="215"/>
      <c r="E8" s="216"/>
      <c r="F8" s="217"/>
      <c r="G8" s="198"/>
      <c r="H8" s="218"/>
      <c r="I8" s="198"/>
      <c r="J8" s="198"/>
      <c r="K8" s="198"/>
      <c r="L8" s="463"/>
      <c r="M8" s="198"/>
      <c r="N8" s="198"/>
      <c r="O8" s="198"/>
      <c r="P8" s="198"/>
      <c r="Q8" s="198"/>
      <c r="R8" s="198"/>
      <c r="S8" s="198"/>
      <c r="T8" s="198"/>
      <c r="U8" s="198"/>
      <c r="Z8" s="128"/>
      <c r="AA8" s="128"/>
      <c r="AB8" s="128"/>
      <c r="AU8" s="212"/>
      <c r="BB8" s="219"/>
      <c r="BC8" s="128"/>
      <c r="BD8" s="128"/>
      <c r="BE8" s="128"/>
    </row>
    <row r="9" spans="1:57" s="43" customFormat="1" outlineLevel="1" x14ac:dyDescent="0.25">
      <c r="A9" s="224"/>
      <c r="B9" s="224"/>
      <c r="C9" s="221"/>
      <c r="D9" s="222" t="s">
        <v>571</v>
      </c>
      <c r="E9" s="222"/>
      <c r="F9" s="223"/>
      <c r="G9" s="224"/>
      <c r="H9" s="225"/>
      <c r="I9" s="157"/>
      <c r="J9" s="157"/>
      <c r="K9" s="157"/>
      <c r="L9" s="463"/>
      <c r="M9" s="198"/>
      <c r="N9" s="198"/>
      <c r="O9" s="198"/>
      <c r="P9" s="198"/>
      <c r="Q9" s="198"/>
      <c r="R9" s="198"/>
      <c r="S9" s="198"/>
      <c r="T9" s="198"/>
      <c r="U9" s="198"/>
      <c r="AU9" s="212"/>
      <c r="BB9" s="219"/>
      <c r="BC9" s="128"/>
      <c r="BD9" s="128"/>
      <c r="BE9" s="128"/>
    </row>
    <row r="10" spans="1:57" s="43" customFormat="1" outlineLevel="1" x14ac:dyDescent="0.25">
      <c r="A10" s="224"/>
      <c r="B10" s="224"/>
      <c r="C10" s="221"/>
      <c r="D10" s="225"/>
      <c r="E10" s="227"/>
      <c r="F10" s="223"/>
      <c r="G10" s="224"/>
      <c r="H10" s="224"/>
      <c r="I10" s="224"/>
      <c r="J10" s="198"/>
      <c r="K10" s="198"/>
      <c r="L10" s="1630"/>
      <c r="M10" s="198"/>
      <c r="N10" s="198"/>
      <c r="O10" s="198"/>
      <c r="P10" s="198"/>
      <c r="Q10" s="198"/>
      <c r="R10" s="198"/>
      <c r="S10" s="198"/>
      <c r="T10" s="198"/>
      <c r="U10" s="198"/>
      <c r="AU10" s="212"/>
      <c r="BB10" s="219"/>
      <c r="BC10" s="128"/>
      <c r="BD10" s="128"/>
      <c r="BE10" s="128"/>
    </row>
    <row r="11" spans="1:57" s="43" customFormat="1" outlineLevel="1" x14ac:dyDescent="0.25">
      <c r="A11" s="224"/>
      <c r="B11" s="224"/>
      <c r="C11" s="221"/>
      <c r="D11" s="228"/>
      <c r="E11" s="227"/>
      <c r="F11" s="223"/>
      <c r="G11" s="224"/>
      <c r="H11" s="224"/>
      <c r="I11" s="224"/>
      <c r="J11" s="198"/>
      <c r="K11" s="198"/>
      <c r="L11" s="463"/>
      <c r="M11" s="198"/>
      <c r="N11" s="198"/>
      <c r="O11" s="198"/>
      <c r="P11" s="198"/>
      <c r="Q11" s="198"/>
      <c r="R11" s="198"/>
      <c r="S11" s="198"/>
      <c r="T11" s="198"/>
      <c r="U11" s="198"/>
      <c r="AU11" s="212"/>
      <c r="BB11" s="219"/>
      <c r="BC11" s="128"/>
      <c r="BD11" s="128"/>
      <c r="BE11" s="128"/>
    </row>
    <row r="12" spans="1:57" s="43" customFormat="1" outlineLevel="1" x14ac:dyDescent="0.25">
      <c r="A12" s="224"/>
      <c r="B12" s="224"/>
      <c r="C12" s="221"/>
      <c r="D12" s="228"/>
      <c r="E12" s="227"/>
      <c r="F12" s="223"/>
      <c r="G12" s="224"/>
      <c r="H12" s="224"/>
      <c r="I12" s="224"/>
      <c r="J12" s="198"/>
      <c r="K12" s="198"/>
      <c r="L12" s="463"/>
      <c r="M12" s="198"/>
      <c r="N12" s="198"/>
      <c r="O12" s="198"/>
      <c r="P12" s="198"/>
      <c r="Q12" s="198"/>
      <c r="R12" s="198"/>
      <c r="S12" s="198"/>
      <c r="T12" s="198"/>
      <c r="U12" s="198"/>
      <c r="AU12" s="212"/>
      <c r="BB12" s="219"/>
      <c r="BC12" s="128"/>
      <c r="BD12" s="128"/>
      <c r="BE12" s="128"/>
    </row>
    <row r="13" spans="1:57" s="43" customFormat="1" outlineLevel="1" x14ac:dyDescent="0.25">
      <c r="A13" s="224"/>
      <c r="B13" s="224"/>
      <c r="C13" s="221"/>
      <c r="D13" s="228"/>
      <c r="E13" s="227"/>
      <c r="F13" s="223"/>
      <c r="G13" s="224"/>
      <c r="H13" s="224"/>
      <c r="I13" s="224"/>
      <c r="J13" s="198"/>
      <c r="K13" s="198"/>
      <c r="L13" s="463"/>
      <c r="M13" s="198"/>
      <c r="N13" s="198"/>
      <c r="O13" s="198"/>
      <c r="P13" s="198"/>
      <c r="Q13" s="198"/>
      <c r="R13" s="198"/>
      <c r="S13" s="198"/>
      <c r="T13" s="198"/>
      <c r="U13" s="198"/>
      <c r="AU13" s="212"/>
      <c r="BB13" s="219"/>
      <c r="BC13" s="128"/>
      <c r="BD13" s="128"/>
      <c r="BE13" s="128"/>
    </row>
    <row r="14" spans="1:57" s="43" customFormat="1" outlineLevel="1" x14ac:dyDescent="0.25">
      <c r="A14" s="224"/>
      <c r="B14" s="224"/>
      <c r="C14" s="221"/>
      <c r="D14" s="227"/>
      <c r="E14" s="227"/>
      <c r="F14" s="223"/>
      <c r="G14" s="224"/>
      <c r="H14" s="224"/>
      <c r="I14" s="224"/>
      <c r="J14" s="198"/>
      <c r="K14" s="198"/>
      <c r="L14" s="463"/>
      <c r="M14" s="198"/>
      <c r="N14" s="198"/>
      <c r="O14" s="198"/>
      <c r="P14" s="198"/>
      <c r="Q14" s="198"/>
      <c r="R14" s="198"/>
      <c r="S14" s="198"/>
      <c r="T14" s="198"/>
      <c r="U14" s="198"/>
      <c r="AU14" s="212"/>
      <c r="BB14" s="219"/>
      <c r="BC14" s="128"/>
      <c r="BD14" s="128"/>
      <c r="BE14" s="128"/>
    </row>
    <row r="15" spans="1:57" s="43" customFormat="1" outlineLevel="1" x14ac:dyDescent="0.25">
      <c r="A15" s="224"/>
      <c r="B15" s="224"/>
      <c r="C15" s="221"/>
      <c r="D15" s="227"/>
      <c r="E15" s="227"/>
      <c r="F15" s="223"/>
      <c r="G15" s="224"/>
      <c r="H15" s="224"/>
      <c r="I15" s="224"/>
      <c r="J15" s="198"/>
      <c r="K15" s="198"/>
      <c r="L15" s="463"/>
      <c r="M15" s="198"/>
      <c r="N15" s="198"/>
      <c r="O15" s="198"/>
      <c r="P15" s="198"/>
      <c r="Q15" s="198"/>
      <c r="R15" s="198"/>
      <c r="S15" s="198"/>
      <c r="T15" s="198"/>
      <c r="U15" s="198"/>
      <c r="AU15" s="212"/>
      <c r="BB15" s="219"/>
      <c r="BC15" s="128"/>
      <c r="BD15" s="128"/>
      <c r="BE15" s="128"/>
    </row>
    <row r="16" spans="1:57" s="43" customFormat="1" outlineLevel="1" x14ac:dyDescent="0.25">
      <c r="A16" s="224"/>
      <c r="B16" s="224"/>
      <c r="C16" s="221"/>
      <c r="D16" s="227"/>
      <c r="E16" s="227"/>
      <c r="F16" s="223"/>
      <c r="G16" s="224"/>
      <c r="H16" s="224"/>
      <c r="I16" s="224"/>
      <c r="J16" s="198"/>
      <c r="K16" s="198"/>
      <c r="L16" s="463"/>
      <c r="M16" s="198"/>
      <c r="N16" s="198"/>
      <c r="O16" s="198"/>
      <c r="P16" s="198"/>
      <c r="Q16" s="198"/>
      <c r="R16" s="198"/>
      <c r="S16" s="198"/>
      <c r="T16" s="198"/>
      <c r="U16" s="198"/>
      <c r="AU16" s="212"/>
      <c r="BB16" s="219"/>
      <c r="BC16" s="128"/>
      <c r="BD16" s="128"/>
      <c r="BE16" s="128"/>
    </row>
    <row r="17" spans="1:57" s="43" customFormat="1" outlineLevel="1" x14ac:dyDescent="0.25">
      <c r="A17" s="224"/>
      <c r="B17" s="224"/>
      <c r="C17" s="221"/>
      <c r="D17" s="227"/>
      <c r="E17" s="227"/>
      <c r="F17" s="223"/>
      <c r="G17" s="224"/>
      <c r="H17" s="224"/>
      <c r="I17" s="224"/>
      <c r="J17" s="198"/>
      <c r="K17" s="198"/>
      <c r="L17" s="463"/>
      <c r="M17" s="198"/>
      <c r="N17" s="198"/>
      <c r="O17" s="198"/>
      <c r="P17" s="198"/>
      <c r="Q17" s="198"/>
      <c r="R17" s="198"/>
      <c r="S17" s="198"/>
      <c r="T17" s="198"/>
      <c r="U17" s="198"/>
      <c r="AU17" s="212"/>
      <c r="BB17" s="219"/>
      <c r="BC17" s="128"/>
      <c r="BD17" s="128"/>
      <c r="BE17" s="128"/>
    </row>
    <row r="18" spans="1:57" s="43" customFormat="1" outlineLevel="1" x14ac:dyDescent="0.25">
      <c r="A18" s="224"/>
      <c r="B18" s="224"/>
      <c r="C18" s="221"/>
      <c r="D18" s="227"/>
      <c r="E18" s="227"/>
      <c r="F18" s="223"/>
      <c r="G18" s="224"/>
      <c r="H18" s="224"/>
      <c r="I18" s="224"/>
      <c r="J18" s="198"/>
      <c r="K18" s="198"/>
      <c r="L18" s="463"/>
      <c r="M18" s="198"/>
      <c r="N18" s="198"/>
      <c r="O18" s="198"/>
      <c r="P18" s="198"/>
      <c r="Q18" s="198"/>
      <c r="R18" s="198"/>
      <c r="S18" s="198"/>
      <c r="T18" s="198"/>
      <c r="U18" s="198"/>
      <c r="AU18" s="212"/>
      <c r="BB18" s="219"/>
      <c r="BC18" s="128"/>
      <c r="BD18" s="128"/>
      <c r="BE18" s="128"/>
    </row>
    <row r="19" spans="1:57" s="43" customFormat="1" outlineLevel="1" x14ac:dyDescent="0.25">
      <c r="A19" s="224"/>
      <c r="B19" s="224"/>
      <c r="C19" s="221"/>
      <c r="D19" s="227"/>
      <c r="E19" s="227"/>
      <c r="F19" s="223"/>
      <c r="G19" s="224"/>
      <c r="H19" s="224"/>
      <c r="I19" s="224"/>
      <c r="J19" s="198"/>
      <c r="K19" s="198"/>
      <c r="L19" s="463"/>
      <c r="M19" s="198"/>
      <c r="N19" s="198"/>
      <c r="O19" s="198"/>
      <c r="P19" s="198"/>
      <c r="Q19" s="198"/>
      <c r="R19" s="198"/>
      <c r="S19" s="198"/>
      <c r="T19" s="198"/>
      <c r="U19" s="198"/>
      <c r="AU19" s="212"/>
      <c r="BB19" s="219"/>
      <c r="BC19" s="128"/>
      <c r="BD19" s="128"/>
      <c r="BE19" s="128"/>
    </row>
    <row r="20" spans="1:57" s="43" customFormat="1" outlineLevel="1" x14ac:dyDescent="0.25">
      <c r="A20" s="224"/>
      <c r="B20" s="224"/>
      <c r="C20" s="221"/>
      <c r="D20" s="227"/>
      <c r="E20" s="227"/>
      <c r="F20" s="223"/>
      <c r="G20" s="224"/>
      <c r="H20" s="224"/>
      <c r="I20" s="224"/>
      <c r="J20" s="198"/>
      <c r="K20" s="198"/>
      <c r="L20" s="463"/>
      <c r="M20" s="198"/>
      <c r="N20" s="198"/>
      <c r="O20" s="198"/>
      <c r="P20" s="198"/>
      <c r="Q20" s="198"/>
      <c r="R20" s="198"/>
      <c r="S20" s="198"/>
      <c r="T20" s="198"/>
      <c r="U20" s="198"/>
      <c r="AU20" s="212"/>
      <c r="BB20" s="219"/>
      <c r="BC20" s="128"/>
      <c r="BD20" s="128"/>
      <c r="BE20" s="128"/>
    </row>
    <row r="21" spans="1:57" s="43" customFormat="1" outlineLevel="1" x14ac:dyDescent="0.25">
      <c r="A21" s="224"/>
      <c r="B21" s="224"/>
      <c r="C21" s="221"/>
      <c r="D21" s="227"/>
      <c r="E21" s="227"/>
      <c r="F21" s="223"/>
      <c r="G21" s="224"/>
      <c r="H21" s="224"/>
      <c r="I21" s="224"/>
      <c r="J21" s="198"/>
      <c r="K21" s="198"/>
      <c r="L21" s="463"/>
      <c r="M21" s="198"/>
      <c r="N21" s="198"/>
      <c r="O21" s="198"/>
      <c r="P21" s="198"/>
      <c r="Q21" s="198"/>
      <c r="R21" s="198"/>
      <c r="S21" s="198"/>
      <c r="T21" s="198"/>
      <c r="U21" s="198"/>
      <c r="AU21" s="212"/>
      <c r="BB21" s="219"/>
      <c r="BC21" s="128"/>
      <c r="BD21" s="128"/>
      <c r="BE21" s="128"/>
    </row>
    <row r="22" spans="1:57" s="43" customFormat="1" outlineLevel="1" x14ac:dyDescent="0.25">
      <c r="A22" s="224"/>
      <c r="B22" s="224"/>
      <c r="C22" s="221"/>
      <c r="D22" s="227"/>
      <c r="E22" s="227"/>
      <c r="F22" s="223"/>
      <c r="G22" s="224"/>
      <c r="H22" s="224"/>
      <c r="I22" s="224"/>
      <c r="J22" s="198"/>
      <c r="K22" s="198"/>
      <c r="L22" s="463"/>
      <c r="M22" s="198"/>
      <c r="N22" s="198"/>
      <c r="O22" s="198"/>
      <c r="P22" s="198"/>
      <c r="Q22" s="198"/>
      <c r="R22" s="198"/>
      <c r="S22" s="198"/>
      <c r="T22" s="198"/>
      <c r="U22" s="198"/>
      <c r="W22" s="199"/>
      <c r="AU22" s="212"/>
      <c r="BB22" s="219"/>
      <c r="BC22" s="128"/>
      <c r="BD22" s="128"/>
      <c r="BE22" s="128"/>
    </row>
    <row r="23" spans="1:57" s="43" customFormat="1" outlineLevel="1" x14ac:dyDescent="0.25">
      <c r="A23" s="224"/>
      <c r="B23" s="224"/>
      <c r="C23" s="221"/>
      <c r="D23" s="227"/>
      <c r="E23" s="227"/>
      <c r="F23" s="223"/>
      <c r="G23" s="224"/>
      <c r="H23" s="224"/>
      <c r="I23" s="224"/>
      <c r="J23" s="198"/>
      <c r="K23" s="198"/>
      <c r="L23" s="463"/>
      <c r="M23" s="198"/>
      <c r="N23" s="198"/>
      <c r="O23" s="198"/>
      <c r="P23" s="198"/>
      <c r="Q23" s="198"/>
      <c r="R23" s="198"/>
      <c r="S23" s="198"/>
      <c r="T23" s="198"/>
      <c r="U23" s="198"/>
      <c r="AU23" s="212"/>
      <c r="BB23" s="219"/>
      <c r="BC23" s="128"/>
      <c r="BD23" s="128"/>
      <c r="BE23" s="128"/>
    </row>
    <row r="24" spans="1:57" s="43" customFormat="1" outlineLevel="1" x14ac:dyDescent="0.25">
      <c r="A24" s="224"/>
      <c r="B24" s="224"/>
      <c r="C24" s="221"/>
      <c r="D24" s="227"/>
      <c r="E24" s="227"/>
      <c r="F24" s="223"/>
      <c r="G24" s="224"/>
      <c r="H24" s="224"/>
      <c r="I24" s="224"/>
      <c r="J24" s="198"/>
      <c r="K24" s="198"/>
      <c r="L24" s="463"/>
      <c r="M24" s="198"/>
      <c r="N24" s="198"/>
      <c r="O24" s="198"/>
      <c r="P24" s="198"/>
      <c r="Q24" s="198"/>
      <c r="R24" s="198"/>
      <c r="S24" s="198"/>
      <c r="T24" s="198"/>
      <c r="U24" s="198"/>
      <c r="AU24" s="212"/>
      <c r="BB24" s="219"/>
      <c r="BC24" s="128"/>
      <c r="BD24" s="128"/>
      <c r="BE24" s="128"/>
    </row>
    <row r="25" spans="1:57" s="43" customFormat="1" outlineLevel="1" x14ac:dyDescent="0.25">
      <c r="A25" s="224"/>
      <c r="B25" s="224"/>
      <c r="C25" s="221"/>
      <c r="D25" s="227"/>
      <c r="E25" s="227"/>
      <c r="F25" s="223"/>
      <c r="G25" s="224"/>
      <c r="H25" s="224"/>
      <c r="I25" s="224"/>
      <c r="J25" s="198"/>
      <c r="K25" s="198"/>
      <c r="L25" s="463"/>
      <c r="M25" s="198"/>
      <c r="N25" s="198"/>
      <c r="O25" s="198"/>
      <c r="P25" s="198"/>
      <c r="Q25" s="198"/>
      <c r="R25" s="198"/>
      <c r="S25" s="198"/>
      <c r="T25" s="198"/>
      <c r="U25" s="198"/>
      <c r="AU25" s="212"/>
      <c r="BB25" s="219"/>
      <c r="BC25" s="128"/>
      <c r="BD25" s="128"/>
      <c r="BE25" s="128"/>
    </row>
    <row r="26" spans="1:57" s="77" customFormat="1" ht="15" customHeight="1" outlineLevel="1" x14ac:dyDescent="0.25">
      <c r="A26" s="463"/>
      <c r="B26" s="463"/>
      <c r="C26" s="196"/>
      <c r="D26" s="2045" t="s">
        <v>573</v>
      </c>
      <c r="E26" s="2045" t="s">
        <v>623</v>
      </c>
      <c r="F26" s="2029" t="s">
        <v>574</v>
      </c>
      <c r="G26" s="3419" t="s">
        <v>624</v>
      </c>
      <c r="H26" s="3419"/>
      <c r="I26" s="2042" t="s">
        <v>575</v>
      </c>
      <c r="J26" s="1631"/>
      <c r="K26" s="463"/>
      <c r="L26" s="463"/>
      <c r="M26" s="463"/>
      <c r="N26" s="463"/>
      <c r="O26" s="463"/>
      <c r="P26" s="463"/>
      <c r="Q26" s="463"/>
      <c r="R26" s="463"/>
      <c r="S26" s="463"/>
      <c r="T26" s="463"/>
      <c r="U26" s="463"/>
      <c r="V26" s="55" t="s">
        <v>27</v>
      </c>
      <c r="W26" s="56">
        <v>43252</v>
      </c>
      <c r="X26" s="56">
        <f>$X$6</f>
        <v>43465</v>
      </c>
      <c r="Y26" s="56">
        <f>$Y$6</f>
        <v>43800</v>
      </c>
      <c r="Z26" s="56">
        <f>$Z$6</f>
        <v>43862</v>
      </c>
      <c r="AA26" s="56">
        <f>$AA$6</f>
        <v>44013</v>
      </c>
      <c r="AB26" s="56">
        <f>$AB$6</f>
        <v>44166</v>
      </c>
      <c r="AC26" s="56" t="str">
        <f>$AC$6</f>
        <v>-</v>
      </c>
      <c r="AD26" s="56" t="str">
        <f>$AD$6</f>
        <v>-</v>
      </c>
      <c r="AE26" s="56" t="str">
        <f>$AE$6</f>
        <v>-</v>
      </c>
      <c r="AF26" s="56" t="str">
        <f>$AF$6</f>
        <v>-</v>
      </c>
      <c r="AG26" s="56" t="str">
        <f>$AG$6</f>
        <v>-</v>
      </c>
      <c r="AU26" s="212"/>
      <c r="BB26" s="219"/>
      <c r="BC26" s="128"/>
      <c r="BD26" s="128"/>
      <c r="BE26" s="128"/>
    </row>
    <row r="27" spans="1:57" ht="39.6" customHeight="1" outlineLevel="1" x14ac:dyDescent="0.25">
      <c r="D27" s="2031" t="s">
        <v>625</v>
      </c>
      <c r="E27" s="2031" t="s">
        <v>626</v>
      </c>
      <c r="F27" s="230">
        <v>0.94451470457134135</v>
      </c>
      <c r="G27" s="3420" t="s">
        <v>627</v>
      </c>
      <c r="H27" s="3420"/>
      <c r="I27" s="231" t="s">
        <v>628</v>
      </c>
      <c r="V27" s="2411" t="str">
        <f t="shared" ref="V27:V51" si="0">D27</f>
        <v>EFBASE</v>
      </c>
      <c r="W27" s="230">
        <v>0.9</v>
      </c>
      <c r="X27" s="234">
        <v>0.94358243626061789</v>
      </c>
      <c r="Y27" s="235">
        <v>0.94451470457134135</v>
      </c>
      <c r="Z27" s="236">
        <v>0.94451470457134135</v>
      </c>
      <c r="AA27" s="236">
        <v>0.94451470457134135</v>
      </c>
      <c r="AB27" s="236">
        <v>0.94451470457134135</v>
      </c>
      <c r="AC27" s="236"/>
      <c r="AD27" s="236"/>
      <c r="AE27" s="236"/>
      <c r="AF27" s="236"/>
      <c r="AG27" s="236"/>
      <c r="AU27" s="212"/>
    </row>
    <row r="28" spans="1:57" ht="18" outlineLevel="1" x14ac:dyDescent="0.25">
      <c r="D28" s="2031" t="s">
        <v>629</v>
      </c>
      <c r="E28" s="2031" t="s">
        <v>630</v>
      </c>
      <c r="F28" s="237">
        <v>3.4379630138240294</v>
      </c>
      <c r="G28" s="3420" t="s">
        <v>631</v>
      </c>
      <c r="H28" s="3420"/>
      <c r="I28" s="231" t="s">
        <v>632</v>
      </c>
      <c r="J28" s="1631"/>
      <c r="V28" s="2411" t="str">
        <f t="shared" si="0"/>
        <v>EFEE</v>
      </c>
      <c r="W28" s="238">
        <v>3.14</v>
      </c>
      <c r="X28" s="239">
        <v>3.255169603721936</v>
      </c>
      <c r="Y28" s="240">
        <v>3.4379630138240294</v>
      </c>
      <c r="Z28" s="242">
        <v>3.4379630138240294</v>
      </c>
      <c r="AA28" s="242">
        <v>3.4379630138240294</v>
      </c>
      <c r="AB28" s="241">
        <v>3.4379630138240294</v>
      </c>
      <c r="AC28" s="241"/>
      <c r="AD28" s="241"/>
      <c r="AE28" s="241"/>
      <c r="AF28" s="241"/>
      <c r="AG28" s="241"/>
      <c r="AU28" s="212"/>
    </row>
    <row r="29" spans="1:57" ht="45" outlineLevel="1" x14ac:dyDescent="0.25">
      <c r="D29" s="2031" t="s">
        <v>633</v>
      </c>
      <c r="E29" s="2031" t="s">
        <v>634</v>
      </c>
      <c r="F29" s="237">
        <v>17.600000000000001</v>
      </c>
      <c r="G29" s="3420" t="s">
        <v>635</v>
      </c>
      <c r="H29" s="3420"/>
      <c r="I29" s="231" t="s">
        <v>636</v>
      </c>
      <c r="J29" s="1631"/>
      <c r="V29" s="2411" t="str">
        <f t="shared" si="0"/>
        <v>GPD</v>
      </c>
      <c r="W29" s="237">
        <f>64/W30</f>
        <v>23.970037453183522</v>
      </c>
      <c r="X29" s="239">
        <v>17.600000000000001</v>
      </c>
      <c r="Y29" s="238">
        <v>17.600000000000001</v>
      </c>
      <c r="Z29" s="242">
        <v>17.600000000000001</v>
      </c>
      <c r="AA29" s="242">
        <v>17.600000000000001</v>
      </c>
      <c r="AB29" s="242">
        <v>17.600000000000001</v>
      </c>
      <c r="AC29" s="242"/>
      <c r="AD29" s="242"/>
      <c r="AE29" s="242"/>
      <c r="AF29" s="242"/>
      <c r="AG29" s="242"/>
      <c r="AU29" s="212"/>
    </row>
    <row r="30" spans="1:57" ht="33.75" customHeight="1" outlineLevel="1" x14ac:dyDescent="0.25">
      <c r="D30" s="2031" t="s">
        <v>637</v>
      </c>
      <c r="E30" s="2031" t="s">
        <v>638</v>
      </c>
      <c r="F30" s="237">
        <v>2.6500604229607121</v>
      </c>
      <c r="G30" s="3420" t="s">
        <v>639</v>
      </c>
      <c r="H30" s="3420"/>
      <c r="I30" s="231" t="s">
        <v>640</v>
      </c>
      <c r="J30" s="1631"/>
      <c r="V30" s="2411" t="str">
        <f t="shared" si="0"/>
        <v>Household</v>
      </c>
      <c r="W30" s="237">
        <v>2.67</v>
      </c>
      <c r="X30" s="239">
        <v>2.6599441340781969</v>
      </c>
      <c r="Y30" s="240">
        <v>2.6500604229607121</v>
      </c>
      <c r="Z30" s="242">
        <v>2.6500604229607121</v>
      </c>
      <c r="AA30" s="242">
        <v>2.6500604229607121</v>
      </c>
      <c r="AB30" s="242">
        <v>2.6500604229607121</v>
      </c>
      <c r="AC30" s="242"/>
      <c r="AD30" s="242"/>
      <c r="AE30" s="242"/>
      <c r="AF30" s="242"/>
      <c r="AG30" s="242"/>
      <c r="AU30" s="212"/>
    </row>
    <row r="31" spans="1:57" outlineLevel="1" x14ac:dyDescent="0.25">
      <c r="D31" s="243">
        <v>365.25</v>
      </c>
      <c r="E31" s="2031" t="s">
        <v>641</v>
      </c>
      <c r="F31" s="244">
        <v>365.25</v>
      </c>
      <c r="G31" s="3420" t="s">
        <v>642</v>
      </c>
      <c r="H31" s="3420"/>
      <c r="I31" s="231" t="s">
        <v>632</v>
      </c>
      <c r="J31" s="1631"/>
      <c r="V31" s="2411">
        <f t="shared" si="0"/>
        <v>365.25</v>
      </c>
      <c r="W31" s="245">
        <v>365</v>
      </c>
      <c r="X31" s="2360">
        <v>365.25</v>
      </c>
      <c r="Y31" s="2360">
        <v>365.25</v>
      </c>
      <c r="Z31" s="2433">
        <v>365.25</v>
      </c>
      <c r="AA31" s="2433">
        <v>365.25</v>
      </c>
      <c r="AB31" s="246">
        <v>365.25</v>
      </c>
      <c r="AC31" s="246"/>
      <c r="AD31" s="246"/>
      <c r="AE31" s="246"/>
      <c r="AF31" s="246"/>
      <c r="AG31" s="246"/>
      <c r="AU31" s="212"/>
    </row>
    <row r="32" spans="1:57" outlineLevel="1" x14ac:dyDescent="0.25">
      <c r="D32" s="2031" t="s">
        <v>643</v>
      </c>
      <c r="E32" s="2031" t="s">
        <v>644</v>
      </c>
      <c r="F32" s="237">
        <v>8.33</v>
      </c>
      <c r="G32" s="3420" t="s">
        <v>645</v>
      </c>
      <c r="H32" s="3420"/>
      <c r="I32" s="231" t="s">
        <v>632</v>
      </c>
      <c r="J32" s="229"/>
      <c r="V32" s="2411" t="str">
        <f t="shared" si="0"/>
        <v>Den</v>
      </c>
      <c r="W32" s="238">
        <v>8.33</v>
      </c>
      <c r="X32" s="246">
        <v>8.33</v>
      </c>
      <c r="Y32" s="246">
        <v>8.33</v>
      </c>
      <c r="Z32" s="2433">
        <v>8.33</v>
      </c>
      <c r="AA32" s="2433">
        <v>8.33</v>
      </c>
      <c r="AB32" s="241">
        <v>8.33</v>
      </c>
      <c r="AC32" s="241"/>
      <c r="AD32" s="241"/>
      <c r="AE32" s="241"/>
      <c r="AF32" s="241"/>
      <c r="AG32" s="241"/>
      <c r="AU32" s="212"/>
    </row>
    <row r="33" spans="4:47" outlineLevel="1" x14ac:dyDescent="0.25">
      <c r="D33" s="2031" t="s">
        <v>646</v>
      </c>
      <c r="E33" s="2031" t="s">
        <v>647</v>
      </c>
      <c r="F33" s="244">
        <v>125</v>
      </c>
      <c r="G33" s="3420" t="s">
        <v>648</v>
      </c>
      <c r="H33" s="3420"/>
      <c r="I33" s="231" t="s">
        <v>632</v>
      </c>
      <c r="J33" s="229"/>
      <c r="V33" s="2411" t="str">
        <f t="shared" si="0"/>
        <v>HWT</v>
      </c>
      <c r="W33" s="245">
        <v>135</v>
      </c>
      <c r="X33" s="248">
        <v>125</v>
      </c>
      <c r="Y33" s="246">
        <v>125</v>
      </c>
      <c r="Z33" s="2433">
        <v>125</v>
      </c>
      <c r="AA33" s="2433">
        <v>125</v>
      </c>
      <c r="AB33" s="246">
        <v>125</v>
      </c>
      <c r="AC33" s="246"/>
      <c r="AD33" s="246"/>
      <c r="AE33" s="246"/>
      <c r="AF33" s="246"/>
      <c r="AG33" s="246"/>
      <c r="AU33" s="212"/>
    </row>
    <row r="34" spans="4:47" outlineLevel="1" x14ac:dyDescent="0.25">
      <c r="D34" s="2031" t="s">
        <v>649</v>
      </c>
      <c r="E34" s="2031" t="s">
        <v>650</v>
      </c>
      <c r="F34" s="244">
        <v>57.898000000000003</v>
      </c>
      <c r="G34" s="3420" t="s">
        <v>651</v>
      </c>
      <c r="H34" s="3420"/>
      <c r="I34" s="231" t="s">
        <v>632</v>
      </c>
      <c r="J34" s="229"/>
      <c r="V34" s="2411" t="str">
        <f t="shared" si="0"/>
        <v>CWT</v>
      </c>
      <c r="W34" s="245">
        <v>61.3</v>
      </c>
      <c r="X34" s="248">
        <v>57.898000000000003</v>
      </c>
      <c r="Y34" s="246">
        <v>57.898000000000003</v>
      </c>
      <c r="Z34" s="2433">
        <v>57.898000000000003</v>
      </c>
      <c r="AA34" s="2433">
        <v>57.898000000000003</v>
      </c>
      <c r="AB34" s="246">
        <v>57.898000000000003</v>
      </c>
      <c r="AC34" s="246"/>
      <c r="AD34" s="246"/>
      <c r="AE34" s="246"/>
      <c r="AF34" s="246"/>
      <c r="AG34" s="246"/>
      <c r="AU34" s="212"/>
    </row>
    <row r="35" spans="4:47" ht="18" outlineLevel="1" x14ac:dyDescent="0.25">
      <c r="D35" s="2031" t="s">
        <v>652</v>
      </c>
      <c r="E35" s="2031" t="s">
        <v>653</v>
      </c>
      <c r="F35" s="244">
        <v>1</v>
      </c>
      <c r="G35" s="3420" t="s">
        <v>654</v>
      </c>
      <c r="H35" s="3420"/>
      <c r="I35" s="231" t="s">
        <v>632</v>
      </c>
      <c r="V35" s="2411" t="str">
        <f t="shared" si="0"/>
        <v>CP</v>
      </c>
      <c r="W35" s="245">
        <v>1</v>
      </c>
      <c r="X35" s="246">
        <v>1</v>
      </c>
      <c r="Y35" s="245">
        <v>1</v>
      </c>
      <c r="Z35" s="2433">
        <v>1</v>
      </c>
      <c r="AA35" s="2433">
        <v>1</v>
      </c>
      <c r="AB35" s="246">
        <v>1</v>
      </c>
      <c r="AC35" s="246"/>
      <c r="AD35" s="246"/>
      <c r="AE35" s="246"/>
      <c r="AF35" s="246"/>
      <c r="AG35" s="246"/>
      <c r="AU35" s="212"/>
    </row>
    <row r="36" spans="4:47" outlineLevel="1" x14ac:dyDescent="0.25">
      <c r="D36" s="2031">
        <v>3412</v>
      </c>
      <c r="E36" s="2031"/>
      <c r="F36" s="249">
        <v>3412</v>
      </c>
      <c r="G36" s="3420" t="s">
        <v>655</v>
      </c>
      <c r="H36" s="3420"/>
      <c r="I36" s="231" t="s">
        <v>656</v>
      </c>
      <c r="V36" s="2411">
        <f t="shared" si="0"/>
        <v>3412</v>
      </c>
      <c r="W36" s="250">
        <v>3412</v>
      </c>
      <c r="X36" s="251">
        <v>3412</v>
      </c>
      <c r="Y36" s="250">
        <v>3412</v>
      </c>
      <c r="Z36" s="1870">
        <v>3412</v>
      </c>
      <c r="AA36" s="1870">
        <v>3412</v>
      </c>
      <c r="AB36" s="251">
        <v>3412</v>
      </c>
      <c r="AC36" s="251"/>
      <c r="AD36" s="251"/>
      <c r="AE36" s="251"/>
      <c r="AF36" s="251"/>
      <c r="AG36" s="251"/>
      <c r="AU36" s="212"/>
    </row>
    <row r="37" spans="4:47" outlineLevel="1" x14ac:dyDescent="0.25">
      <c r="D37" s="252" t="s">
        <v>274</v>
      </c>
      <c r="E37" s="2031" t="s">
        <v>657</v>
      </c>
      <c r="F37" s="253">
        <v>0.81</v>
      </c>
      <c r="G37" s="3420" t="s">
        <v>658</v>
      </c>
      <c r="H37" s="3420"/>
      <c r="I37" s="231" t="s">
        <v>659</v>
      </c>
      <c r="V37" s="2411" t="str">
        <f t="shared" si="0"/>
        <v>LF</v>
      </c>
      <c r="W37" s="2412">
        <v>1</v>
      </c>
      <c r="X37" s="2413">
        <v>0.5</v>
      </c>
      <c r="Y37" s="2413">
        <v>0.81</v>
      </c>
      <c r="Z37" s="1102">
        <v>0.81</v>
      </c>
      <c r="AA37" s="1102">
        <v>0.81</v>
      </c>
      <c r="AB37" s="2414">
        <v>0.81</v>
      </c>
      <c r="AC37" s="2414"/>
      <c r="AD37" s="2414"/>
      <c r="AE37" s="2414"/>
      <c r="AF37" s="2414"/>
      <c r="AG37" s="2414"/>
      <c r="AU37" s="212"/>
    </row>
    <row r="38" spans="4:47" ht="45" outlineLevel="1" x14ac:dyDescent="0.35">
      <c r="D38" s="1632" t="s">
        <v>3216</v>
      </c>
      <c r="E38" s="2031" t="s">
        <v>660</v>
      </c>
      <c r="F38" s="254">
        <v>0.53</v>
      </c>
      <c r="G38" s="3420" t="s">
        <v>661</v>
      </c>
      <c r="H38" s="3420"/>
      <c r="I38" s="231" t="s">
        <v>662</v>
      </c>
      <c r="V38" s="2411" t="str">
        <f t="shared" si="0"/>
        <v>WHFC</v>
      </c>
      <c r="W38" s="2415">
        <v>0.4</v>
      </c>
      <c r="X38" s="255">
        <v>0.53</v>
      </c>
      <c r="Y38" s="256">
        <v>0.53</v>
      </c>
      <c r="Z38" s="2546">
        <v>0.53</v>
      </c>
      <c r="AA38" s="2546">
        <v>0.53</v>
      </c>
      <c r="AB38" s="2416">
        <v>0.53</v>
      </c>
      <c r="AC38" s="2416"/>
      <c r="AD38" s="2416"/>
      <c r="AE38" s="2416"/>
      <c r="AF38" s="2416"/>
      <c r="AG38" s="2416"/>
      <c r="AU38" s="212"/>
    </row>
    <row r="39" spans="4:47" ht="180" outlineLevel="1" x14ac:dyDescent="0.25">
      <c r="D39" s="259" t="s">
        <v>3217</v>
      </c>
      <c r="E39" s="2031" t="s">
        <v>663</v>
      </c>
      <c r="F39" s="254">
        <v>0.43</v>
      </c>
      <c r="G39" s="3420" t="s">
        <v>661</v>
      </c>
      <c r="H39" s="3420"/>
      <c r="I39" s="2031" t="s">
        <v>664</v>
      </c>
      <c r="V39" s="2411" t="str">
        <f t="shared" si="0"/>
        <v>WHFH</v>
      </c>
      <c r="W39" s="2415">
        <v>0.57999999999999996</v>
      </c>
      <c r="X39" s="255">
        <v>0.43</v>
      </c>
      <c r="Y39" s="256">
        <v>0.43</v>
      </c>
      <c r="Z39" s="2546">
        <v>0.43</v>
      </c>
      <c r="AA39" s="2546">
        <v>0.43</v>
      </c>
      <c r="AB39" s="2416">
        <v>0.43</v>
      </c>
      <c r="AC39" s="2416"/>
      <c r="AD39" s="2416"/>
      <c r="AE39" s="2416"/>
      <c r="AF39" s="2416"/>
      <c r="AG39" s="2416"/>
      <c r="AU39" s="212"/>
    </row>
    <row r="40" spans="4:47" ht="120" outlineLevel="1" x14ac:dyDescent="0.25">
      <c r="D40" s="257" t="s">
        <v>665</v>
      </c>
      <c r="E40" s="2031" t="s">
        <v>666</v>
      </c>
      <c r="F40" s="258">
        <v>2.8</v>
      </c>
      <c r="G40" s="3420" t="s">
        <v>661</v>
      </c>
      <c r="H40" s="3420"/>
      <c r="I40" s="2031" t="s">
        <v>667</v>
      </c>
      <c r="V40" s="2411" t="str">
        <f t="shared" si="0"/>
        <v>COPcool</v>
      </c>
      <c r="W40" s="2412">
        <v>2.8</v>
      </c>
      <c r="X40" s="2414">
        <v>2.8</v>
      </c>
      <c r="Y40" s="2412">
        <v>2.8</v>
      </c>
      <c r="Z40" s="1102">
        <v>2.8</v>
      </c>
      <c r="AA40" s="1102">
        <v>2.8</v>
      </c>
      <c r="AB40" s="2414">
        <v>2.8</v>
      </c>
      <c r="AC40" s="2414"/>
      <c r="AD40" s="2414"/>
      <c r="AE40" s="2414"/>
      <c r="AF40" s="2414"/>
      <c r="AG40" s="2414"/>
      <c r="AU40" s="212"/>
    </row>
    <row r="41" spans="4:47" outlineLevel="1" x14ac:dyDescent="0.25">
      <c r="D41" s="3429" t="s">
        <v>668</v>
      </c>
      <c r="E41" s="2536" t="s">
        <v>669</v>
      </c>
      <c r="F41" s="1102">
        <v>1</v>
      </c>
      <c r="G41" s="3424" t="s">
        <v>661</v>
      </c>
      <c r="H41" s="3424"/>
      <c r="I41" s="3426" t="s">
        <v>670</v>
      </c>
      <c r="V41" s="3421" t="str">
        <f t="shared" si="0"/>
        <v>COPheat</v>
      </c>
      <c r="W41" s="2412">
        <v>1</v>
      </c>
      <c r="X41" s="2414">
        <v>1</v>
      </c>
      <c r="Y41" s="2412">
        <v>1</v>
      </c>
      <c r="Z41" s="1102">
        <v>1</v>
      </c>
      <c r="AA41" s="1102">
        <v>1</v>
      </c>
      <c r="AB41" s="2414">
        <v>1</v>
      </c>
      <c r="AC41" s="2414"/>
      <c r="AD41" s="2414"/>
      <c r="AE41" s="2414"/>
      <c r="AF41" s="2414"/>
      <c r="AG41" s="2414"/>
      <c r="AU41" s="212"/>
    </row>
    <row r="42" spans="4:47" outlineLevel="1" x14ac:dyDescent="0.25">
      <c r="D42" s="3430"/>
      <c r="E42" s="2536" t="s">
        <v>671</v>
      </c>
      <c r="F42" s="2537">
        <v>1.7</v>
      </c>
      <c r="G42" s="3424" t="s">
        <v>661</v>
      </c>
      <c r="H42" s="3424"/>
      <c r="I42" s="3427"/>
      <c r="V42" s="3422">
        <f t="shared" si="0"/>
        <v>0</v>
      </c>
      <c r="W42" s="2417">
        <v>1.7</v>
      </c>
      <c r="X42" s="2417">
        <v>1.7</v>
      </c>
      <c r="Y42" s="2417">
        <v>1.7</v>
      </c>
      <c r="Z42" s="2537">
        <v>1.7</v>
      </c>
      <c r="AA42" s="2537">
        <v>1.7</v>
      </c>
      <c r="AB42" s="2418">
        <v>1.7</v>
      </c>
      <c r="AC42" s="2417"/>
      <c r="AD42" s="2417"/>
      <c r="AE42" s="2417"/>
      <c r="AF42" s="2417"/>
      <c r="AG42" s="2417"/>
      <c r="AU42" s="212"/>
    </row>
    <row r="43" spans="4:47" ht="15" customHeight="1" outlineLevel="1" x14ac:dyDescent="0.25">
      <c r="D43" s="3430"/>
      <c r="E43" s="2536" t="s">
        <v>672</v>
      </c>
      <c r="F43" s="2537">
        <v>1.92</v>
      </c>
      <c r="G43" s="3424" t="s">
        <v>661</v>
      </c>
      <c r="H43" s="3424"/>
      <c r="I43" s="3427"/>
      <c r="V43" s="3422">
        <f t="shared" si="0"/>
        <v>0</v>
      </c>
      <c r="W43" s="2417">
        <v>1.92</v>
      </c>
      <c r="X43" s="260">
        <v>1.92</v>
      </c>
      <c r="Y43" s="260">
        <v>1.92</v>
      </c>
      <c r="Z43" s="2537">
        <v>1.92</v>
      </c>
      <c r="AA43" s="2537">
        <v>1.92</v>
      </c>
      <c r="AB43" s="2418">
        <v>1.92</v>
      </c>
      <c r="AC43" s="2418"/>
      <c r="AD43" s="2418"/>
      <c r="AE43" s="2418"/>
      <c r="AF43" s="2418"/>
      <c r="AG43" s="2418"/>
      <c r="AU43" s="212"/>
    </row>
    <row r="44" spans="4:47" ht="15" customHeight="1" outlineLevel="1" thickBot="1" x14ac:dyDescent="0.3">
      <c r="D44" s="3431"/>
      <c r="E44" s="2538" t="s">
        <v>673</v>
      </c>
      <c r="F44" s="2539">
        <v>2.04</v>
      </c>
      <c r="G44" s="3425" t="s">
        <v>661</v>
      </c>
      <c r="H44" s="3425"/>
      <c r="I44" s="3428"/>
      <c r="V44" s="3423">
        <f t="shared" si="0"/>
        <v>0</v>
      </c>
      <c r="W44" s="2417">
        <v>2.04</v>
      </c>
      <c r="X44" s="2418">
        <v>2.04</v>
      </c>
      <c r="Y44" s="2418">
        <v>2.04</v>
      </c>
      <c r="Z44" s="2537">
        <v>2.04</v>
      </c>
      <c r="AA44" s="2537">
        <v>2.04</v>
      </c>
      <c r="AB44" s="2418">
        <v>2.04</v>
      </c>
      <c r="AC44" s="2418"/>
      <c r="AD44" s="2418"/>
      <c r="AE44" s="2418"/>
      <c r="AF44" s="2418"/>
      <c r="AG44" s="2418"/>
      <c r="AU44" s="212"/>
    </row>
    <row r="45" spans="4:47" ht="54.75" customHeight="1" outlineLevel="1" x14ac:dyDescent="0.25">
      <c r="D45" s="2540" t="s">
        <v>674</v>
      </c>
      <c r="E45" s="3005" t="s">
        <v>675</v>
      </c>
      <c r="F45" s="2541">
        <v>1.33</v>
      </c>
      <c r="G45" s="3438" t="s">
        <v>676</v>
      </c>
      <c r="H45" s="3438"/>
      <c r="I45" s="1633" t="s">
        <v>659</v>
      </c>
      <c r="V45" s="2411" t="str">
        <f t="shared" si="0"/>
        <v>LM</v>
      </c>
      <c r="W45" s="2412">
        <v>3</v>
      </c>
      <c r="X45" s="2419">
        <v>3.52039106145252</v>
      </c>
      <c r="Y45" s="2420">
        <v>1.3299999999999965</v>
      </c>
      <c r="Z45" s="1102">
        <v>1.3299999999999965</v>
      </c>
      <c r="AA45" s="1102">
        <v>1.3299999999999965</v>
      </c>
      <c r="AB45" s="2414">
        <v>1.33</v>
      </c>
      <c r="AC45" s="2414"/>
      <c r="AD45" s="2414"/>
      <c r="AE45" s="2414"/>
      <c r="AF45" s="2414"/>
      <c r="AG45" s="2414"/>
      <c r="AU45" s="212"/>
    </row>
    <row r="46" spans="4:47" ht="15" customHeight="1" outlineLevel="1" x14ac:dyDescent="0.25">
      <c r="D46" s="2542" t="s">
        <v>182</v>
      </c>
      <c r="E46" s="3003" t="s">
        <v>677</v>
      </c>
      <c r="F46" s="2546">
        <v>0.95</v>
      </c>
      <c r="G46" s="3424" t="s">
        <v>3509</v>
      </c>
      <c r="H46" s="3424"/>
      <c r="I46" s="231"/>
      <c r="V46" s="2411" t="str">
        <f t="shared" si="0"/>
        <v>%Cool</v>
      </c>
      <c r="W46" s="2415">
        <v>0.91</v>
      </c>
      <c r="X46" s="2416">
        <v>1</v>
      </c>
      <c r="Y46" s="2415">
        <v>1</v>
      </c>
      <c r="Z46" s="2546">
        <v>1</v>
      </c>
      <c r="AA46" s="2546">
        <v>1</v>
      </c>
      <c r="AB46" s="2543">
        <v>0.95</v>
      </c>
      <c r="AC46" s="2416"/>
      <c r="AD46" s="2416"/>
      <c r="AE46" s="2416"/>
      <c r="AF46" s="2416"/>
      <c r="AG46" s="2416"/>
      <c r="AU46" s="212"/>
    </row>
    <row r="47" spans="4:47" ht="30" customHeight="1" outlineLevel="1" x14ac:dyDescent="0.25">
      <c r="D47" s="3003" t="s">
        <v>678</v>
      </c>
      <c r="E47" s="3003" t="s">
        <v>679</v>
      </c>
      <c r="F47" s="2544">
        <v>0.2231404958677686</v>
      </c>
      <c r="G47" s="3424" t="s">
        <v>680</v>
      </c>
      <c r="H47" s="3424"/>
      <c r="I47" s="231" t="s">
        <v>632</v>
      </c>
      <c r="V47" s="2411" t="str">
        <f t="shared" si="0"/>
        <v xml:space="preserve">%ElectricHeat - Electric Resistance Saturation </v>
      </c>
      <c r="W47" s="261">
        <v>0.375</v>
      </c>
      <c r="X47" s="262">
        <v>0.375</v>
      </c>
      <c r="Y47" s="235">
        <v>0.2231404958677686</v>
      </c>
      <c r="Z47" s="236">
        <v>0.2231404958677686</v>
      </c>
      <c r="AA47" s="236">
        <v>0.2231404958677686</v>
      </c>
      <c r="AB47" s="262">
        <v>0.2231404958677686</v>
      </c>
      <c r="AC47" s="262"/>
      <c r="AD47" s="262"/>
      <c r="AE47" s="262"/>
      <c r="AF47" s="262"/>
      <c r="AG47" s="262"/>
      <c r="AU47" s="212"/>
    </row>
    <row r="48" spans="4:47" ht="30.75" customHeight="1" outlineLevel="1" x14ac:dyDescent="0.25">
      <c r="D48" s="3003" t="s">
        <v>681</v>
      </c>
      <c r="E48" s="3003" t="s">
        <v>682</v>
      </c>
      <c r="F48" s="2544">
        <v>0.26859504132231404</v>
      </c>
      <c r="G48" s="3424" t="s">
        <v>680</v>
      </c>
      <c r="H48" s="3424"/>
      <c r="I48" s="231" t="s">
        <v>683</v>
      </c>
      <c r="V48" s="2411" t="str">
        <f t="shared" si="0"/>
        <v>%ElectricHeat - Heat Pump Saturation</v>
      </c>
      <c r="W48" s="261">
        <v>0.42199999999999999</v>
      </c>
      <c r="X48" s="262">
        <v>0.42199999999999999</v>
      </c>
      <c r="Y48" s="235">
        <v>0.26859504132231404</v>
      </c>
      <c r="Z48" s="236">
        <v>0.26859504132231404</v>
      </c>
      <c r="AA48" s="236">
        <v>0.26859504132231404</v>
      </c>
      <c r="AB48" s="262">
        <v>0.26859504132231404</v>
      </c>
      <c r="AC48" s="262"/>
      <c r="AD48" s="262"/>
      <c r="AE48" s="262"/>
      <c r="AF48" s="262"/>
      <c r="AG48" s="262"/>
      <c r="AU48" s="212"/>
    </row>
    <row r="49" spans="2:57" ht="15" customHeight="1" outlineLevel="1" x14ac:dyDescent="0.25">
      <c r="D49" s="3003" t="s">
        <v>75</v>
      </c>
      <c r="E49" s="3003" t="s">
        <v>684</v>
      </c>
      <c r="F49" s="380">
        <v>1</v>
      </c>
      <c r="G49" s="3424" t="s">
        <v>3510</v>
      </c>
      <c r="H49" s="3424"/>
      <c r="I49" s="231" t="s">
        <v>632</v>
      </c>
      <c r="V49" s="2411" t="str">
        <f t="shared" si="0"/>
        <v>ISR</v>
      </c>
      <c r="W49" s="264">
        <v>1</v>
      </c>
      <c r="X49" s="265">
        <v>1</v>
      </c>
      <c r="Y49" s="265">
        <v>1</v>
      </c>
      <c r="Z49" s="380">
        <v>1</v>
      </c>
      <c r="AA49" s="380">
        <v>1</v>
      </c>
      <c r="AB49" s="265">
        <v>1</v>
      </c>
      <c r="AC49" s="265"/>
      <c r="AD49" s="265"/>
      <c r="AE49" s="265"/>
      <c r="AF49" s="265"/>
      <c r="AG49" s="265"/>
      <c r="AU49" s="212"/>
    </row>
    <row r="50" spans="2:57" ht="15" customHeight="1" outlineLevel="1" x14ac:dyDescent="0.25">
      <c r="D50" s="3003" t="str">
        <f>M6</f>
        <v>EUL</v>
      </c>
      <c r="E50" s="3003" t="str">
        <f>'Energy Effic. Kits Deemed Table'!E38</f>
        <v>Effective Useful Life</v>
      </c>
      <c r="F50" s="382">
        <v>13</v>
      </c>
      <c r="G50" s="3424"/>
      <c r="H50" s="3424"/>
      <c r="I50" s="231"/>
      <c r="V50" s="2411" t="str">
        <f t="shared" si="0"/>
        <v>EUL</v>
      </c>
      <c r="W50" s="266">
        <v>13</v>
      </c>
      <c r="X50" s="266">
        <v>13</v>
      </c>
      <c r="Y50" s="266">
        <v>13</v>
      </c>
      <c r="Z50" s="382">
        <v>13</v>
      </c>
      <c r="AA50" s="382">
        <v>13</v>
      </c>
      <c r="AB50" s="2547">
        <v>13</v>
      </c>
      <c r="AC50" s="266"/>
      <c r="AD50" s="266"/>
      <c r="AE50" s="266"/>
      <c r="AF50" s="266"/>
      <c r="AG50" s="266"/>
      <c r="AU50" s="212"/>
    </row>
    <row r="51" spans="2:57" ht="15" customHeight="1" outlineLevel="1" x14ac:dyDescent="0.25">
      <c r="D51" s="3003" t="str">
        <f>N6</f>
        <v>Inc. Cost</v>
      </c>
      <c r="E51" s="3003" t="str">
        <f>'HVAC Deemed Table'!E100</f>
        <v>Incremental Cost ($)</v>
      </c>
      <c r="F51" s="510">
        <v>588</v>
      </c>
      <c r="G51" s="3424"/>
      <c r="H51" s="3424"/>
      <c r="I51" s="231" t="s">
        <v>37</v>
      </c>
      <c r="V51" s="2411" t="str">
        <f t="shared" si="0"/>
        <v>Inc. Cost</v>
      </c>
      <c r="W51" s="268">
        <v>588</v>
      </c>
      <c r="X51" s="268">
        <v>588</v>
      </c>
      <c r="Y51" s="268">
        <v>588</v>
      </c>
      <c r="Z51" s="510">
        <v>588</v>
      </c>
      <c r="AA51" s="510">
        <v>588</v>
      </c>
      <c r="AB51" s="2548">
        <v>588</v>
      </c>
      <c r="AC51" s="268"/>
      <c r="AD51" s="268"/>
      <c r="AE51" s="268"/>
      <c r="AF51" s="268"/>
      <c r="AG51" s="268"/>
      <c r="AU51" s="212"/>
    </row>
    <row r="52" spans="2:57" x14ac:dyDescent="0.25">
      <c r="D52" s="269"/>
      <c r="E52" s="269"/>
      <c r="F52" s="270"/>
      <c r="G52" s="270"/>
      <c r="H52" s="270"/>
      <c r="I52" s="270"/>
      <c r="J52" s="270"/>
      <c r="K52" s="270"/>
      <c r="L52" s="270"/>
      <c r="M52" s="270"/>
      <c r="N52" s="270"/>
      <c r="O52" s="270"/>
      <c r="X52" s="42"/>
      <c r="Y52" s="42"/>
      <c r="Z52" s="42"/>
      <c r="AA52" s="42"/>
      <c r="AU52" s="212"/>
    </row>
    <row r="53" spans="2:57" x14ac:dyDescent="0.25">
      <c r="X53" s="42"/>
      <c r="Y53" s="42"/>
      <c r="Z53" s="42"/>
      <c r="AA53" s="42"/>
      <c r="AU53" s="212"/>
    </row>
    <row r="54" spans="2:57" x14ac:dyDescent="0.25">
      <c r="B54" s="3350" t="s">
        <v>686</v>
      </c>
      <c r="C54" s="3351"/>
      <c r="D54" s="3351"/>
      <c r="E54" s="3351"/>
      <c r="F54" s="3351"/>
      <c r="G54" s="3351"/>
      <c r="H54" s="3351"/>
      <c r="I54" s="3352"/>
      <c r="J54" s="3352"/>
      <c r="K54" s="3352"/>
      <c r="L54" s="3352"/>
      <c r="M54" s="3352"/>
      <c r="N54" s="3352"/>
      <c r="O54" s="3353"/>
      <c r="P54" s="298"/>
      <c r="Q54" s="298"/>
      <c r="V54" s="3350" t="str">
        <f>B54</f>
        <v>Learning Thermostat / Advanced Thermostat</v>
      </c>
      <c r="W54" s="3351"/>
      <c r="X54" s="3351"/>
      <c r="Y54" s="3351"/>
      <c r="Z54" s="3351"/>
      <c r="AA54" s="3351"/>
      <c r="AB54" s="3351"/>
      <c r="AC54" s="3354"/>
      <c r="AD54" s="3354"/>
      <c r="AE54" s="3354"/>
      <c r="AF54" s="3354"/>
      <c r="AG54" s="3354"/>
      <c r="AH54" s="3354"/>
      <c r="AI54" s="3355"/>
      <c r="AU54" s="212"/>
    </row>
    <row r="55" spans="2:57" x14ac:dyDescent="0.25">
      <c r="B55" s="1634"/>
      <c r="C55" s="274"/>
      <c r="E55" s="386" t="s">
        <v>687</v>
      </c>
      <c r="F55" s="275"/>
      <c r="G55" s="275"/>
      <c r="H55" s="275"/>
      <c r="I55" s="275"/>
      <c r="J55" s="275"/>
      <c r="K55" s="275"/>
      <c r="L55" s="1635"/>
      <c r="M55" s="298"/>
      <c r="N55" s="298"/>
      <c r="O55" s="298"/>
      <c r="P55" s="298"/>
      <c r="Q55" s="298"/>
      <c r="AU55" s="212"/>
    </row>
    <row r="56" spans="2:57" ht="30" x14ac:dyDescent="0.25">
      <c r="B56" s="1634"/>
      <c r="C56" s="2029" t="s">
        <v>17</v>
      </c>
      <c r="D56" s="2029" t="s">
        <v>616</v>
      </c>
      <c r="E56" s="2029" t="s">
        <v>19</v>
      </c>
      <c r="F56" s="2029" t="s">
        <v>20</v>
      </c>
      <c r="G56" s="2029" t="s">
        <v>21</v>
      </c>
      <c r="H56" s="2029" t="s">
        <v>22</v>
      </c>
      <c r="I56" s="2029" t="s">
        <v>23</v>
      </c>
      <c r="J56" s="2032" t="s">
        <v>24</v>
      </c>
      <c r="K56" s="2029" t="s">
        <v>25</v>
      </c>
      <c r="L56" s="2029" t="s">
        <v>26</v>
      </c>
      <c r="M56" s="277"/>
      <c r="N56" s="277"/>
      <c r="O56" s="278"/>
      <c r="P56" s="278"/>
      <c r="Q56" s="298"/>
      <c r="V56" s="55" t="s">
        <v>27</v>
      </c>
      <c r="W56" s="56">
        <v>43252</v>
      </c>
      <c r="X56" s="56">
        <f>$X$6</f>
        <v>43465</v>
      </c>
      <c r="Y56" s="56">
        <f>$Y$6</f>
        <v>43800</v>
      </c>
      <c r="Z56" s="56">
        <f>$Z$6</f>
        <v>43862</v>
      </c>
      <c r="AA56" s="56">
        <f>$AA$6</f>
        <v>44013</v>
      </c>
      <c r="AB56" s="56">
        <f>$AB$6</f>
        <v>44166</v>
      </c>
      <c r="AC56" s="56" t="str">
        <f>$AC$6</f>
        <v>-</v>
      </c>
      <c r="AD56" s="56" t="str">
        <f>$AD$6</f>
        <v>-</v>
      </c>
      <c r="AE56" s="56" t="str">
        <f>$AE$6</f>
        <v>-</v>
      </c>
      <c r="AF56" s="56" t="str">
        <f>$AF$6</f>
        <v>-</v>
      </c>
      <c r="AG56" s="56" t="str">
        <f>$AG$6</f>
        <v>-</v>
      </c>
      <c r="AU56" s="212"/>
      <c r="BB56" s="93" t="str">
        <f>$BB$6</f>
        <v>TRC (2020)</v>
      </c>
      <c r="BC56" s="93" t="str">
        <f>$BC$6</f>
        <v>Benefit Lookup</v>
      </c>
      <c r="BD56" s="279" t="str">
        <f>$BD$6</f>
        <v>Benefits (2019 $)</v>
      </c>
      <c r="BE56" s="279" t="str">
        <f>$BE$6</f>
        <v>Incremental Cost (2019 $)</v>
      </c>
    </row>
    <row r="57" spans="2:57" x14ac:dyDescent="0.25">
      <c r="B57" s="1634"/>
      <c r="C57" s="397" t="s">
        <v>688</v>
      </c>
      <c r="D57" s="2134" t="s">
        <v>621</v>
      </c>
      <c r="E57" s="280" t="s">
        <v>689</v>
      </c>
      <c r="F57" s="281">
        <f>ROUND($F$142*(($F$150*$F$152*1/$F$154)/1000)*$F$155*$F$131,2)</f>
        <v>185.21</v>
      </c>
      <c r="G57" s="282" t="s">
        <v>690</v>
      </c>
      <c r="H57" s="202">
        <f>VLOOKUP(G57,'CP FACTORS'!$A$3:$B$38, 2, FALSE)</f>
        <v>9.4741810000000004E-4</v>
      </c>
      <c r="I57" s="283">
        <f t="shared" ref="I57:I80" si="1">ROUND(H57*F57,6)</f>
        <v>0.17547099999999999</v>
      </c>
      <c r="J57" s="1285">
        <f t="shared" ref="J57:J80" si="2">$F$165</f>
        <v>10</v>
      </c>
      <c r="K57" s="360">
        <f>$F$166</f>
        <v>125</v>
      </c>
      <c r="L57" s="1636" t="s">
        <v>37</v>
      </c>
      <c r="M57" s="278"/>
      <c r="N57" s="284"/>
      <c r="O57" s="194"/>
      <c r="P57" s="194"/>
      <c r="R57" s="1627"/>
      <c r="V57" s="208" t="str">
        <f t="shared" ref="V57:V80" si="3">$F$56</f>
        <v>kWh Annual Savings</v>
      </c>
      <c r="W57" s="285">
        <v>192.51692307692309</v>
      </c>
      <c r="X57" s="286">
        <v>187.92922225947771</v>
      </c>
      <c r="Y57" s="287">
        <v>187.46</v>
      </c>
      <c r="Z57" s="2491">
        <v>187.46</v>
      </c>
      <c r="AA57" s="2491">
        <v>187.46</v>
      </c>
      <c r="AB57" s="2438">
        <v>185.21</v>
      </c>
      <c r="AC57" s="2545"/>
      <c r="AD57" s="208"/>
      <c r="AE57" s="208"/>
      <c r="AF57" s="208"/>
      <c r="AG57" s="208"/>
      <c r="AH57" s="211"/>
      <c r="AU57" s="212"/>
      <c r="BB57" s="288">
        <f>(BD57+BD58)/(BE57+BE58)</f>
        <v>2.8762468713649043</v>
      </c>
      <c r="BC57" s="280" t="str">
        <f t="shared" ref="BC57:BC80" si="4">CONCATENATE(G57," ",J57," Year EUL")</f>
        <v>Cooling RES 10 Year EUL</v>
      </c>
      <c r="BD57" s="145">
        <f>(INDEX('Avoided Cost Benefits'!$C$4:$C$857,MATCH(BC57,'Avoided Cost Benefits'!$A$4:$A$857,0)))*F57</f>
        <v>189.75480552446626</v>
      </c>
      <c r="BE57" s="69">
        <f t="shared" ref="BE57:BE80" si="5">K57/(1.0595^(2020-2019))</f>
        <v>117.98017932987257</v>
      </c>
    </row>
    <row r="58" spans="2:57" x14ac:dyDescent="0.25">
      <c r="B58" s="1634"/>
      <c r="C58" s="397" t="s">
        <v>688</v>
      </c>
      <c r="D58" s="2134" t="s">
        <v>621</v>
      </c>
      <c r="E58" s="289" t="s">
        <v>689</v>
      </c>
      <c r="F58" s="281">
        <f>ROUND($F$99*$F$107*$F$119*$F$127*$F$131+$F$133*$F$141*29.3,2)</f>
        <v>550.48</v>
      </c>
      <c r="G58" s="282" t="s">
        <v>691</v>
      </c>
      <c r="H58" s="202">
        <f>VLOOKUP(G58,'CP FACTORS'!$A$3:$B$38, 2, FALSE)</f>
        <v>0</v>
      </c>
      <c r="I58" s="283">
        <f t="shared" si="1"/>
        <v>0</v>
      </c>
      <c r="J58" s="1285">
        <f t="shared" si="2"/>
        <v>10</v>
      </c>
      <c r="K58" s="360"/>
      <c r="L58" s="1636" t="s">
        <v>37</v>
      </c>
      <c r="M58" s="278"/>
      <c r="N58" s="284"/>
      <c r="O58" s="194"/>
      <c r="P58" s="290"/>
      <c r="R58" s="1627"/>
      <c r="V58" s="208" t="str">
        <f t="shared" si="3"/>
        <v>kWh Annual Savings</v>
      </c>
      <c r="W58" s="285">
        <v>661.9754064</v>
      </c>
      <c r="X58" s="286">
        <v>552.61606399999994</v>
      </c>
      <c r="Y58" s="287">
        <v>557.16</v>
      </c>
      <c r="Z58" s="2491">
        <v>557.16</v>
      </c>
      <c r="AA58" s="2491">
        <v>557.16</v>
      </c>
      <c r="AB58" s="2438">
        <v>550.48</v>
      </c>
      <c r="AC58" s="2545"/>
      <c r="AD58" s="208"/>
      <c r="AE58" s="208"/>
      <c r="AF58" s="208"/>
      <c r="AG58" s="208"/>
      <c r="AH58" s="211"/>
      <c r="AU58" s="212"/>
      <c r="BB58" s="291"/>
      <c r="BC58" s="289" t="str">
        <f t="shared" si="4"/>
        <v>Heating RES 10 Year EUL</v>
      </c>
      <c r="BD58" s="148">
        <f>(INDEX('Avoided Cost Benefits'!$C$4:$C$857,MATCH(BC58,'Avoided Cost Benefits'!$A$4:$A$857,0)))*F58</f>
        <v>149.5853161561501</v>
      </c>
      <c r="BE58" s="73">
        <f t="shared" si="5"/>
        <v>0</v>
      </c>
    </row>
    <row r="59" spans="2:57" x14ac:dyDescent="0.25">
      <c r="B59" s="1634"/>
      <c r="C59" s="397" t="s">
        <v>692</v>
      </c>
      <c r="D59" s="2134" t="s">
        <v>621</v>
      </c>
      <c r="E59" s="280" t="s">
        <v>693</v>
      </c>
      <c r="F59" s="281">
        <f>ROUND($F$143*(($F$150*$F$153*1/$F$154)/1000)*$F$155*$F$131,2)</f>
        <v>185.21</v>
      </c>
      <c r="G59" s="282" t="s">
        <v>690</v>
      </c>
      <c r="H59" s="202">
        <f>VLOOKUP(G59,'CP FACTORS'!$A$3:$B$38, 2, FALSE)</f>
        <v>9.4741810000000004E-4</v>
      </c>
      <c r="I59" s="283">
        <f t="shared" si="1"/>
        <v>0.17547099999999999</v>
      </c>
      <c r="J59" s="1285">
        <f t="shared" si="2"/>
        <v>10</v>
      </c>
      <c r="K59" s="360">
        <f>$F$166</f>
        <v>125</v>
      </c>
      <c r="L59" s="1636" t="s">
        <v>37</v>
      </c>
      <c r="M59" s="278"/>
      <c r="N59" s="284"/>
      <c r="O59" s="194"/>
      <c r="P59" s="290"/>
      <c r="R59" s="1627"/>
      <c r="V59" s="208" t="str">
        <f t="shared" si="3"/>
        <v>kWh Annual Savings</v>
      </c>
      <c r="W59" s="285"/>
      <c r="X59" s="286"/>
      <c r="Y59" s="287">
        <v>187.46</v>
      </c>
      <c r="Z59" s="2491">
        <v>187.46</v>
      </c>
      <c r="AA59" s="2491">
        <v>187.46</v>
      </c>
      <c r="AB59" s="2438">
        <v>185.21</v>
      </c>
      <c r="AC59" s="2545"/>
      <c r="AD59" s="208"/>
      <c r="AE59" s="208"/>
      <c r="AF59" s="208"/>
      <c r="AG59" s="208"/>
      <c r="AH59" s="211"/>
      <c r="AU59" s="212"/>
      <c r="BB59" s="293">
        <f>(BD59+BD60)/(BE59+BE60)</f>
        <v>2.4325054983409662</v>
      </c>
      <c r="BC59" s="280" t="str">
        <f t="shared" si="4"/>
        <v>Cooling RES 10 Year EUL</v>
      </c>
      <c r="BD59" s="148">
        <f>(INDEX('Avoided Cost Benefits'!$C$4:$C$857,MATCH(BC59,'Avoided Cost Benefits'!$A$4:$A$857,0)))*F59</f>
        <v>189.75480552446626</v>
      </c>
      <c r="BE59" s="73">
        <f t="shared" si="5"/>
        <v>117.98017932987257</v>
      </c>
    </row>
    <row r="60" spans="2:57" x14ac:dyDescent="0.25">
      <c r="B60" s="1634"/>
      <c r="C60" s="397" t="s">
        <v>692</v>
      </c>
      <c r="D60" s="2134" t="s">
        <v>621</v>
      </c>
      <c r="E60" s="289" t="s">
        <v>693</v>
      </c>
      <c r="F60" s="281">
        <f>ROUND($F$100*$F$108*$F$120*$F$127*$F$131+$F$133*$F$141*29.3,2)</f>
        <v>357.82</v>
      </c>
      <c r="G60" s="282" t="s">
        <v>691</v>
      </c>
      <c r="H60" s="202">
        <f>VLOOKUP(G60,'CP FACTORS'!$A$3:$B$38, 2, FALSE)</f>
        <v>0</v>
      </c>
      <c r="I60" s="283">
        <f t="shared" si="1"/>
        <v>0</v>
      </c>
      <c r="J60" s="1285">
        <f t="shared" si="2"/>
        <v>10</v>
      </c>
      <c r="K60" s="360"/>
      <c r="L60" s="1636" t="s">
        <v>37</v>
      </c>
      <c r="M60" s="278"/>
      <c r="N60" s="284"/>
      <c r="O60" s="194"/>
      <c r="P60" s="290"/>
      <c r="R60" s="1627"/>
      <c r="V60" s="208" t="str">
        <f t="shared" si="3"/>
        <v>kWh Annual Savings</v>
      </c>
      <c r="W60" s="285"/>
      <c r="X60" s="286"/>
      <c r="Y60" s="287">
        <v>362.16</v>
      </c>
      <c r="Z60" s="2491">
        <v>362.16</v>
      </c>
      <c r="AA60" s="2491">
        <v>362.16</v>
      </c>
      <c r="AB60" s="2438">
        <v>357.82</v>
      </c>
      <c r="AC60" s="2545"/>
      <c r="AD60" s="208"/>
      <c r="AE60" s="208"/>
      <c r="AF60" s="208"/>
      <c r="AG60" s="208"/>
      <c r="AH60" s="211"/>
      <c r="AU60" s="212"/>
      <c r="BB60" s="291"/>
      <c r="BC60" s="289" t="str">
        <f t="shared" si="4"/>
        <v>Heating RES 10 Year EUL</v>
      </c>
      <c r="BD60" s="148">
        <f>(INDEX('Avoided Cost Benefits'!$C$4:$C$857,MATCH(BC60,'Avoided Cost Benefits'!$A$4:$A$857,0)))*F60</f>
        <v>97.232629390701987</v>
      </c>
      <c r="BE60" s="73">
        <f t="shared" si="5"/>
        <v>0</v>
      </c>
    </row>
    <row r="61" spans="2:57" x14ac:dyDescent="0.25">
      <c r="B61" s="1634"/>
      <c r="C61" s="397" t="s">
        <v>694</v>
      </c>
      <c r="D61" s="2170" t="str">
        <f>CONCATENATE(D59,"_CompE")</f>
        <v>Efficient Products_CompE</v>
      </c>
      <c r="E61" s="742" t="str">
        <f>CONCATENATE(E59,"_CompE")</f>
        <v>Learning Thermostat - ASHP heating/cooling MF_CompE</v>
      </c>
      <c r="F61" s="281">
        <f>ROUND($F$143*(($F$151*$F$153*1/$F$154)/1000)*$F$155*$F$131,2)</f>
        <v>134.69999999999999</v>
      </c>
      <c r="G61" s="282" t="s">
        <v>690</v>
      </c>
      <c r="H61" s="202">
        <f>VLOOKUP(G61,'CP FACTORS'!$A$3:$B$38, 2, FALSE)</f>
        <v>9.4741810000000004E-4</v>
      </c>
      <c r="I61" s="283">
        <f t="shared" si="1"/>
        <v>0.12761700000000001</v>
      </c>
      <c r="J61" s="1285">
        <f t="shared" si="2"/>
        <v>10</v>
      </c>
      <c r="K61" s="360">
        <f>$F$166</f>
        <v>125</v>
      </c>
      <c r="L61" s="1636" t="s">
        <v>37</v>
      </c>
      <c r="M61" s="278"/>
      <c r="N61" s="284"/>
      <c r="O61" s="194"/>
      <c r="P61" s="290"/>
      <c r="R61" s="1627"/>
      <c r="V61" s="208" t="str">
        <f t="shared" si="3"/>
        <v>kWh Annual Savings</v>
      </c>
      <c r="W61" s="285"/>
      <c r="X61" s="286"/>
      <c r="Y61" s="287">
        <v>136.33000000000001</v>
      </c>
      <c r="Z61" s="2491">
        <v>136.33000000000001</v>
      </c>
      <c r="AA61" s="2491">
        <v>136.33000000000001</v>
      </c>
      <c r="AB61" s="2438">
        <v>134.69999999999999</v>
      </c>
      <c r="AC61" s="2545"/>
      <c r="AD61" s="208"/>
      <c r="AE61" s="208"/>
      <c r="AF61" s="208"/>
      <c r="AG61" s="208"/>
      <c r="AH61" s="211"/>
      <c r="AU61" s="212"/>
      <c r="BA61" s="232"/>
      <c r="BB61" s="293">
        <f>(BD61+BD62)/(BE61+BE62)</f>
        <v>1.4501293154874502</v>
      </c>
      <c r="BC61" s="280" t="str">
        <f t="shared" si="4"/>
        <v>Cooling RES 10 Year EUL</v>
      </c>
      <c r="BD61" s="148">
        <f>(INDEX('Avoided Cost Benefits'!$C$4:$C$857,MATCH(BC61,'Avoided Cost Benefits'!$A$4:$A$857,0)))*F61</f>
        <v>138.00535772445119</v>
      </c>
      <c r="BE61" s="73">
        <f t="shared" si="5"/>
        <v>117.98017932987257</v>
      </c>
    </row>
    <row r="62" spans="2:57" x14ac:dyDescent="0.25">
      <c r="B62" s="1634"/>
      <c r="C62" s="397" t="s">
        <v>694</v>
      </c>
      <c r="D62" s="2170" t="str">
        <f>CONCATENATE(D60,"_CompE")</f>
        <v>Efficient Products_CompE</v>
      </c>
      <c r="E62" s="750" t="str">
        <f>CONCATENATE(E60,"_CompE")</f>
        <v>Learning Thermostat - ASHP heating/cooling MF_CompE</v>
      </c>
      <c r="F62" s="281">
        <f>ROUND($F$100*$F$109*$F$120*$F$127*$F$131+$F$133*$F$141*29.3,2)</f>
        <v>121.74</v>
      </c>
      <c r="G62" s="282" t="s">
        <v>691</v>
      </c>
      <c r="H62" s="202">
        <f>VLOOKUP(G62,'CP FACTORS'!$A$3:$B$38, 2, FALSE)</f>
        <v>0</v>
      </c>
      <c r="I62" s="283">
        <f t="shared" si="1"/>
        <v>0</v>
      </c>
      <c r="J62" s="1285">
        <f t="shared" si="2"/>
        <v>10</v>
      </c>
      <c r="K62" s="360"/>
      <c r="L62" s="1636" t="s">
        <v>37</v>
      </c>
      <c r="M62" s="278"/>
      <c r="N62" s="284"/>
      <c r="O62" s="194"/>
      <c r="P62" s="290"/>
      <c r="R62" s="1627"/>
      <c r="V62" s="208" t="str">
        <f t="shared" si="3"/>
        <v>kWh Annual Savings</v>
      </c>
      <c r="W62" s="285"/>
      <c r="X62" s="286"/>
      <c r="Y62" s="287">
        <v>123.22</v>
      </c>
      <c r="Z62" s="2491">
        <v>123.22</v>
      </c>
      <c r="AA62" s="2491">
        <v>123.22</v>
      </c>
      <c r="AB62" s="2438">
        <v>121.74</v>
      </c>
      <c r="AC62" s="2545"/>
      <c r="AD62" s="208"/>
      <c r="AE62" s="208"/>
      <c r="AF62" s="208"/>
      <c r="AG62" s="208"/>
      <c r="AH62" s="211"/>
      <c r="AU62" s="212"/>
      <c r="BB62" s="291"/>
      <c r="BC62" s="289" t="str">
        <f t="shared" si="4"/>
        <v>Heating RES 10 Year EUL</v>
      </c>
      <c r="BD62" s="148">
        <f>(INDEX('Avoided Cost Benefits'!$C$4:$C$857,MATCH(BC62,'Avoided Cost Benefits'!$A$4:$A$857,0)))*F62</f>
        <v>33.081158968263537</v>
      </c>
      <c r="BE62" s="73">
        <f t="shared" si="5"/>
        <v>0</v>
      </c>
    </row>
    <row r="63" spans="2:57" x14ac:dyDescent="0.25">
      <c r="B63" s="1634"/>
      <c r="C63" s="397" t="s">
        <v>695</v>
      </c>
      <c r="D63" s="2134" t="s">
        <v>621</v>
      </c>
      <c r="E63" s="280" t="s">
        <v>696</v>
      </c>
      <c r="F63" s="281">
        <f>ROUND($F$144*(($F$150*$F$153*1/$F$154)/1000)*$F$155*$F$131,2)</f>
        <v>185.21</v>
      </c>
      <c r="G63" s="282" t="s">
        <v>690</v>
      </c>
      <c r="H63" s="202">
        <f>VLOOKUP(G63,'CP FACTORS'!$A$3:$B$38, 2, FALSE)</f>
        <v>9.4741810000000004E-4</v>
      </c>
      <c r="I63" s="283">
        <f t="shared" si="1"/>
        <v>0.17547099999999999</v>
      </c>
      <c r="J63" s="1285">
        <f t="shared" si="2"/>
        <v>10</v>
      </c>
      <c r="K63" s="360">
        <f>$F$166</f>
        <v>125</v>
      </c>
      <c r="L63" s="1636" t="s">
        <v>37</v>
      </c>
      <c r="M63" s="278"/>
      <c r="N63" s="284"/>
      <c r="O63" s="194"/>
      <c r="P63" s="294"/>
      <c r="R63" s="1627"/>
      <c r="V63" s="208" t="str">
        <f t="shared" si="3"/>
        <v>kWh Annual Savings</v>
      </c>
      <c r="W63" s="285">
        <v>192.51692307692309</v>
      </c>
      <c r="X63" s="286">
        <v>122.15399446866051</v>
      </c>
      <c r="Y63" s="287">
        <v>187.46</v>
      </c>
      <c r="Z63" s="2491">
        <v>187.46</v>
      </c>
      <c r="AA63" s="2491">
        <v>187.46</v>
      </c>
      <c r="AB63" s="2438">
        <v>185.21</v>
      </c>
      <c r="AC63" s="2545"/>
      <c r="AD63" s="208"/>
      <c r="AE63" s="208"/>
      <c r="AF63" s="208"/>
      <c r="AG63" s="208"/>
      <c r="AH63" s="211"/>
      <c r="AU63" s="212"/>
      <c r="BB63" s="293">
        <f>(BD63+BD64)/(BE63+BE64)</f>
        <v>3.0092356956065851</v>
      </c>
      <c r="BC63" s="280" t="str">
        <f t="shared" si="4"/>
        <v>Cooling RES 10 Year EUL</v>
      </c>
      <c r="BD63" s="148">
        <f>(INDEX('Avoided Cost Benefits'!$C$4:$C$857,MATCH(BC63,'Avoided Cost Benefits'!$A$4:$A$857,0)))*F63</f>
        <v>189.75480552446626</v>
      </c>
      <c r="BE63" s="73">
        <f t="shared" si="5"/>
        <v>117.98017932987257</v>
      </c>
    </row>
    <row r="64" spans="2:57" x14ac:dyDescent="0.25">
      <c r="B64" s="1634"/>
      <c r="C64" s="397" t="s">
        <v>695</v>
      </c>
      <c r="D64" s="2134" t="s">
        <v>621</v>
      </c>
      <c r="E64" s="289" t="s">
        <v>696</v>
      </c>
      <c r="F64" s="281">
        <f>ROUND($F$101*$F$110*$F$121*$F$127*$F$131+$F$135*$F$141*29.3,2)</f>
        <v>608.22</v>
      </c>
      <c r="G64" s="282" t="s">
        <v>691</v>
      </c>
      <c r="H64" s="202">
        <f>VLOOKUP(G64,'CP FACTORS'!$A$3:$B$38, 2, FALSE)</f>
        <v>0</v>
      </c>
      <c r="I64" s="283">
        <f t="shared" si="1"/>
        <v>0</v>
      </c>
      <c r="J64" s="1285">
        <f t="shared" si="2"/>
        <v>10</v>
      </c>
      <c r="K64" s="360"/>
      <c r="L64" s="1636" t="s">
        <v>37</v>
      </c>
      <c r="M64" s="278"/>
      <c r="N64" s="284"/>
      <c r="O64" s="194"/>
      <c r="P64" s="194"/>
      <c r="R64" s="1627"/>
      <c r="V64" s="208" t="str">
        <f t="shared" si="3"/>
        <v>kWh Annual Savings</v>
      </c>
      <c r="W64" s="285">
        <v>710.41841416</v>
      </c>
      <c r="X64" s="286">
        <v>617.03664664150949</v>
      </c>
      <c r="Y64" s="287">
        <v>615.61</v>
      </c>
      <c r="Z64" s="2491">
        <v>615.61</v>
      </c>
      <c r="AA64" s="2491">
        <v>615.61</v>
      </c>
      <c r="AB64" s="2438">
        <v>608.22</v>
      </c>
      <c r="AC64" s="2545"/>
      <c r="AD64" s="208"/>
      <c r="AE64" s="208"/>
      <c r="AF64" s="208"/>
      <c r="AG64" s="208"/>
      <c r="AH64" s="211"/>
      <c r="AU64" s="212"/>
      <c r="BB64" s="291"/>
      <c r="BC64" s="289" t="str">
        <f t="shared" si="4"/>
        <v>Heating RES 10 Year EUL</v>
      </c>
      <c r="BD64" s="148">
        <f>(INDEX('Avoided Cost Benefits'!$C$4:$C$857,MATCH(BC64,'Avoided Cost Benefits'!$A$4:$A$857,0)))*F64</f>
        <v>165.2753614890525</v>
      </c>
      <c r="BE64" s="73">
        <f t="shared" si="5"/>
        <v>0</v>
      </c>
    </row>
    <row r="65" spans="2:57" x14ac:dyDescent="0.25">
      <c r="B65" s="1634"/>
      <c r="C65" s="397" t="s">
        <v>697</v>
      </c>
      <c r="D65" s="2170" t="str">
        <f>CONCATENATE(D63,"_CompE")</f>
        <v>Efficient Products_CompE</v>
      </c>
      <c r="E65" s="742" t="str">
        <f>CONCATENATE(E63,"_CompE")</f>
        <v>Learning Thermostat - electric furnace heating / central AC MF_CompE</v>
      </c>
      <c r="F65" s="281">
        <f>ROUND($F$144*(($F$151*$F$153*1/$F$154)/1000)*$F$155*$F$131,2)</f>
        <v>134.69999999999999</v>
      </c>
      <c r="G65" s="282" t="s">
        <v>690</v>
      </c>
      <c r="H65" s="202">
        <f>VLOOKUP(G65,'CP FACTORS'!$A$3:$B$38, 2, FALSE)</f>
        <v>9.4741810000000004E-4</v>
      </c>
      <c r="I65" s="283">
        <f t="shared" si="1"/>
        <v>0.12761700000000001</v>
      </c>
      <c r="J65" s="1285">
        <f t="shared" si="2"/>
        <v>10</v>
      </c>
      <c r="K65" s="360">
        <f>$F$166</f>
        <v>125</v>
      </c>
      <c r="L65" s="1636" t="s">
        <v>37</v>
      </c>
      <c r="M65" s="278"/>
      <c r="N65" s="284"/>
      <c r="O65" s="194"/>
      <c r="P65" s="194"/>
      <c r="R65" s="1627"/>
      <c r="V65" s="208" t="str">
        <f t="shared" si="3"/>
        <v>kWh Annual Savings</v>
      </c>
      <c r="W65" s="285"/>
      <c r="X65" s="286"/>
      <c r="Y65" s="287">
        <v>136.33000000000001</v>
      </c>
      <c r="Z65" s="2491">
        <v>136.33000000000001</v>
      </c>
      <c r="AA65" s="2491">
        <v>136.33000000000001</v>
      </c>
      <c r="AB65" s="2438">
        <v>134.69999999999999</v>
      </c>
      <c r="AC65" s="2545"/>
      <c r="AD65" s="208"/>
      <c r="AE65" s="208"/>
      <c r="AF65" s="208"/>
      <c r="AG65" s="208"/>
      <c r="AH65" s="211"/>
      <c r="AU65" s="212"/>
      <c r="BA65" s="232"/>
      <c r="BB65" s="293">
        <f>(BD65+BD66)/(BE65+BE66)</f>
        <v>1.6463649896369339</v>
      </c>
      <c r="BC65" s="280" t="str">
        <f t="shared" si="4"/>
        <v>Cooling RES 10 Year EUL</v>
      </c>
      <c r="BD65" s="148">
        <f>(INDEX('Avoided Cost Benefits'!$C$4:$C$857,MATCH(BC65,'Avoided Cost Benefits'!$A$4:$A$857,0)))*F65</f>
        <v>138.00535772445119</v>
      </c>
      <c r="BE65" s="73">
        <f t="shared" si="5"/>
        <v>117.98017932987257</v>
      </c>
    </row>
    <row r="66" spans="2:57" x14ac:dyDescent="0.25">
      <c r="B66" s="1634"/>
      <c r="C66" s="397" t="s">
        <v>697</v>
      </c>
      <c r="D66" s="2170" t="str">
        <f>CONCATENATE(D64,"_CompE")</f>
        <v>Efficient Products_CompE</v>
      </c>
      <c r="E66" s="750" t="str">
        <f>CONCATENATE(E64,"_CompE")</f>
        <v>Learning Thermostat - electric furnace heating / central AC MF_CompE</v>
      </c>
      <c r="F66" s="281">
        <f>ROUND($F$101*$F$111*$F$121*$F$127*$F$131+$F$135*$F$141*29.3,2)</f>
        <v>206.94</v>
      </c>
      <c r="G66" s="282" t="s">
        <v>691</v>
      </c>
      <c r="H66" s="202">
        <f>VLOOKUP(G66,'CP FACTORS'!$A$3:$B$38, 2, FALSE)</f>
        <v>0</v>
      </c>
      <c r="I66" s="283">
        <f t="shared" si="1"/>
        <v>0</v>
      </c>
      <c r="J66" s="1285">
        <f t="shared" si="2"/>
        <v>10</v>
      </c>
      <c r="K66" s="360"/>
      <c r="L66" s="1636" t="s">
        <v>37</v>
      </c>
      <c r="M66" s="278"/>
      <c r="N66" s="284"/>
      <c r="O66" s="194"/>
      <c r="P66" s="194"/>
      <c r="R66" s="1627"/>
      <c r="V66" s="208" t="str">
        <f t="shared" si="3"/>
        <v>kWh Annual Savings</v>
      </c>
      <c r="W66" s="285"/>
      <c r="X66" s="286"/>
      <c r="Y66" s="287">
        <v>209.45</v>
      </c>
      <c r="Z66" s="2491">
        <v>209.45</v>
      </c>
      <c r="AA66" s="2491">
        <v>209.45</v>
      </c>
      <c r="AB66" s="2438">
        <v>206.94</v>
      </c>
      <c r="AC66" s="2545"/>
      <c r="AD66" s="208"/>
      <c r="AE66" s="208"/>
      <c r="AF66" s="208"/>
      <c r="AG66" s="208"/>
      <c r="AH66" s="211"/>
      <c r="AU66" s="212"/>
      <c r="BB66" s="291"/>
      <c r="BC66" s="289" t="str">
        <f t="shared" si="4"/>
        <v>Heating RES 10 Year EUL</v>
      </c>
      <c r="BD66" s="148">
        <f>(INDEX('Avoided Cost Benefits'!$C$4:$C$857,MATCH(BC66,'Avoided Cost Benefits'!$A$4:$A$857,0)))*F66</f>
        <v>56.233078995338069</v>
      </c>
      <c r="BE66" s="73">
        <f t="shared" si="5"/>
        <v>0</v>
      </c>
    </row>
    <row r="67" spans="2:57" x14ac:dyDescent="0.25">
      <c r="B67" s="1634"/>
      <c r="C67" s="397" t="s">
        <v>698</v>
      </c>
      <c r="D67" s="2134" t="s">
        <v>621</v>
      </c>
      <c r="E67" s="280" t="s">
        <v>699</v>
      </c>
      <c r="F67" s="281">
        <f>ROUND($F$145*(($F$150*$F$152*1/$F$154)/1000)*$F$155*$F$131,2)</f>
        <v>185.21</v>
      </c>
      <c r="G67" s="282" t="s">
        <v>690</v>
      </c>
      <c r="H67" s="202">
        <f>VLOOKUP(G67,'CP FACTORS'!$A$3:$B$38, 2, FALSE)</f>
        <v>9.4741810000000004E-4</v>
      </c>
      <c r="I67" s="283">
        <f t="shared" si="1"/>
        <v>0.17547099999999999</v>
      </c>
      <c r="J67" s="1285">
        <f t="shared" si="2"/>
        <v>10</v>
      </c>
      <c r="K67" s="360">
        <f>$F$166</f>
        <v>125</v>
      </c>
      <c r="L67" s="1636" t="s">
        <v>37</v>
      </c>
      <c r="M67" s="278"/>
      <c r="N67" s="284"/>
      <c r="O67" s="194"/>
      <c r="P67" s="194"/>
      <c r="R67" s="1627"/>
      <c r="V67" s="208" t="str">
        <f t="shared" si="3"/>
        <v>kWh Annual Savings</v>
      </c>
      <c r="W67" s="285">
        <v>192.51692307692309</v>
      </c>
      <c r="X67" s="286">
        <v>187.92922225947771</v>
      </c>
      <c r="Y67" s="287">
        <v>187.46</v>
      </c>
      <c r="Z67" s="2491">
        <v>187.46</v>
      </c>
      <c r="AA67" s="2491">
        <v>187.46</v>
      </c>
      <c r="AB67" s="2438">
        <v>185.21</v>
      </c>
      <c r="AC67" s="2545"/>
      <c r="AD67" s="208"/>
      <c r="AE67" s="208"/>
      <c r="AF67" s="208"/>
      <c r="AG67" s="208"/>
      <c r="AH67" s="211"/>
      <c r="AU67" s="212"/>
      <c r="BB67" s="293">
        <f>(BD67+BD68)/(BE67+BE68)</f>
        <v>3.7635453585638143</v>
      </c>
      <c r="BC67" s="280" t="str">
        <f t="shared" si="4"/>
        <v>Cooling RES 10 Year EUL</v>
      </c>
      <c r="BD67" s="148">
        <f>(INDEX('Avoided Cost Benefits'!$C$4:$C$857,MATCH(BC67,'Avoided Cost Benefits'!$A$4:$A$857,0)))*F67</f>
        <v>189.75480552446626</v>
      </c>
      <c r="BE67" s="73">
        <f t="shared" si="5"/>
        <v>117.98017932987257</v>
      </c>
    </row>
    <row r="68" spans="2:57" x14ac:dyDescent="0.25">
      <c r="B68" s="1634"/>
      <c r="C68" s="397" t="s">
        <v>698</v>
      </c>
      <c r="D68" s="2134" t="s">
        <v>621</v>
      </c>
      <c r="E68" s="289" t="s">
        <v>699</v>
      </c>
      <c r="F68" s="281">
        <f>ROUND($F$102*$F$112*$F$122*$F$127*$F$131+$F$136*$F$141*29.3,2)</f>
        <v>935.72</v>
      </c>
      <c r="G68" s="282" t="s">
        <v>691</v>
      </c>
      <c r="H68" s="202">
        <f>VLOOKUP(G68,'CP FACTORS'!$A$3:$B$38, 2, FALSE)</f>
        <v>0</v>
      </c>
      <c r="I68" s="283">
        <f t="shared" si="1"/>
        <v>0</v>
      </c>
      <c r="J68" s="1285">
        <f t="shared" si="2"/>
        <v>10</v>
      </c>
      <c r="K68" s="360"/>
      <c r="L68" s="1636" t="s">
        <v>37</v>
      </c>
      <c r="M68" s="278"/>
      <c r="N68" s="284"/>
      <c r="O68" s="194"/>
      <c r="P68" s="194"/>
      <c r="R68" s="1627"/>
      <c r="V68" s="208" t="str">
        <f t="shared" si="3"/>
        <v>kWh Annual Savings</v>
      </c>
      <c r="W68" s="285">
        <v>1092.9514064</v>
      </c>
      <c r="X68" s="286">
        <v>949.28714867924521</v>
      </c>
      <c r="Y68" s="287">
        <v>947.09</v>
      </c>
      <c r="Z68" s="2491">
        <v>947.09</v>
      </c>
      <c r="AA68" s="2491">
        <v>947.09</v>
      </c>
      <c r="AB68" s="2438">
        <v>935.72</v>
      </c>
      <c r="AC68" s="2545"/>
      <c r="AD68" s="208"/>
      <c r="AE68" s="208"/>
      <c r="AF68" s="208"/>
      <c r="AG68" s="208"/>
      <c r="AH68" s="211"/>
      <c r="AU68" s="212"/>
      <c r="BB68" s="291"/>
      <c r="BC68" s="289" t="str">
        <f t="shared" si="4"/>
        <v>Heating RES 10 Year EUL</v>
      </c>
      <c r="BD68" s="148">
        <f>(INDEX('Avoided Cost Benefits'!$C$4:$C$857,MATCH(BC68,'Avoided Cost Benefits'!$A$4:$A$857,0)))*F68</f>
        <v>254.26895079500213</v>
      </c>
      <c r="BE68" s="73">
        <f t="shared" si="5"/>
        <v>0</v>
      </c>
    </row>
    <row r="69" spans="2:57" x14ac:dyDescent="0.25">
      <c r="B69" s="1634"/>
      <c r="C69" s="397" t="s">
        <v>700</v>
      </c>
      <c r="D69" s="2134" t="s">
        <v>621</v>
      </c>
      <c r="E69" s="280" t="s">
        <v>3218</v>
      </c>
      <c r="F69" s="281">
        <f>ROUND($F$146*(($F$150*$F$152*1/$F$154)/1000)*$F$155*$F$131,2)</f>
        <v>185.21</v>
      </c>
      <c r="G69" s="282" t="s">
        <v>690</v>
      </c>
      <c r="H69" s="202">
        <f>VLOOKUP(G69,'CP FACTORS'!$A$3:$B$38, 2, FALSE)</f>
        <v>9.4741810000000004E-4</v>
      </c>
      <c r="I69" s="283">
        <f t="shared" si="1"/>
        <v>0.17547099999999999</v>
      </c>
      <c r="J69" s="1285">
        <f t="shared" si="2"/>
        <v>10</v>
      </c>
      <c r="K69" s="360">
        <f>$F$166</f>
        <v>125</v>
      </c>
      <c r="L69" s="1636" t="s">
        <v>37</v>
      </c>
      <c r="M69" s="278"/>
      <c r="N69" s="284"/>
      <c r="O69" s="194"/>
      <c r="P69" s="290"/>
      <c r="R69" s="1627"/>
      <c r="V69" s="208" t="str">
        <f t="shared" si="3"/>
        <v>kWh Annual Savings</v>
      </c>
      <c r="W69" s="285">
        <v>192.51692307692309</v>
      </c>
      <c r="X69" s="286">
        <v>187.92922225947771</v>
      </c>
      <c r="Y69" s="287">
        <v>187.46</v>
      </c>
      <c r="Z69" s="2491">
        <v>187.46</v>
      </c>
      <c r="AA69" s="2491">
        <v>187.46</v>
      </c>
      <c r="AB69" s="2438">
        <v>185.21</v>
      </c>
      <c r="AC69" s="2545"/>
      <c r="AD69" s="208"/>
      <c r="AE69" s="208"/>
      <c r="AF69" s="208"/>
      <c r="AG69" s="208"/>
      <c r="AH69" s="211"/>
      <c r="AU69" s="212"/>
      <c r="BB69" s="293">
        <f>(BD69+BD70)/(BE69+BE70)</f>
        <v>1.7036005241850143</v>
      </c>
      <c r="BC69" s="280" t="str">
        <f t="shared" si="4"/>
        <v>Cooling RES 10 Year EUL</v>
      </c>
      <c r="BD69" s="148">
        <f>(INDEX('Avoided Cost Benefits'!$C$4:$C$857,MATCH(BC69,'Avoided Cost Benefits'!$A$4:$A$857,0)))*F69</f>
        <v>189.75480552446626</v>
      </c>
      <c r="BE69" s="73">
        <f t="shared" si="5"/>
        <v>117.98017932987257</v>
      </c>
    </row>
    <row r="70" spans="2:57" x14ac:dyDescent="0.25">
      <c r="B70" s="1634"/>
      <c r="C70" s="397" t="s">
        <v>700</v>
      </c>
      <c r="D70" s="2134" t="s">
        <v>621</v>
      </c>
      <c r="E70" s="289" t="s">
        <v>3218</v>
      </c>
      <c r="F70" s="281">
        <f>ROUND($F$103*$F$113*$F$123*$F$127*$F$131+$F$137*$F$141*29.3,2)</f>
        <v>41.35</v>
      </c>
      <c r="G70" s="282" t="s">
        <v>691</v>
      </c>
      <c r="H70" s="202">
        <f>VLOOKUP(G70,'CP FACTORS'!$A$3:$B$38, 2, FALSE)</f>
        <v>0</v>
      </c>
      <c r="I70" s="283">
        <f t="shared" si="1"/>
        <v>0</v>
      </c>
      <c r="J70" s="1285">
        <f t="shared" si="2"/>
        <v>10</v>
      </c>
      <c r="K70" s="360"/>
      <c r="L70" s="1636" t="s">
        <v>37</v>
      </c>
      <c r="M70" s="278"/>
      <c r="N70" s="284"/>
      <c r="O70" s="194"/>
      <c r="P70" s="294"/>
      <c r="R70" s="1627"/>
      <c r="V70" s="208" t="str">
        <f t="shared" si="3"/>
        <v>kWh Annual Savings</v>
      </c>
      <c r="W70" s="285">
        <v>46.295406399999997</v>
      </c>
      <c r="X70" s="285">
        <v>41.992474552808346</v>
      </c>
      <c r="Y70" s="287">
        <v>41.85</v>
      </c>
      <c r="Z70" s="2491">
        <v>41.85</v>
      </c>
      <c r="AA70" s="2491">
        <v>41.85</v>
      </c>
      <c r="AB70" s="2438">
        <v>41.35</v>
      </c>
      <c r="AC70" s="2545"/>
      <c r="AD70" s="208"/>
      <c r="AE70" s="208"/>
      <c r="AF70" s="208"/>
      <c r="AG70" s="208"/>
      <c r="AH70" s="211"/>
      <c r="AU70" s="212"/>
      <c r="BB70" s="291"/>
      <c r="BC70" s="289" t="str">
        <f t="shared" si="4"/>
        <v>Heating RES 10 Year EUL</v>
      </c>
      <c r="BD70" s="148">
        <f>(INDEX('Avoided Cost Benefits'!$C$4:$C$857,MATCH(BC70,'Avoided Cost Benefits'!$A$4:$A$857,0)))*F70</f>
        <v>11.236289825346619</v>
      </c>
      <c r="BE70" s="73">
        <f t="shared" si="5"/>
        <v>0</v>
      </c>
    </row>
    <row r="71" spans="2:57" x14ac:dyDescent="0.25">
      <c r="B71" s="1634"/>
      <c r="C71" s="397" t="s">
        <v>701</v>
      </c>
      <c r="D71" s="2134" t="s">
        <v>621</v>
      </c>
      <c r="E71" s="280" t="s">
        <v>702</v>
      </c>
      <c r="F71" s="408">
        <f>ROUND($F$147*(($F$150*$F$153*1/$F$154)/1000)*$F$155*$F$131,2)</f>
        <v>185.21</v>
      </c>
      <c r="G71" s="282" t="s">
        <v>690</v>
      </c>
      <c r="H71" s="202">
        <f>VLOOKUP(G71,'CP FACTORS'!$A$3:$B$38, 2, FALSE)</f>
        <v>9.4741810000000004E-4</v>
      </c>
      <c r="I71" s="283">
        <f t="shared" si="1"/>
        <v>0.17547099999999999</v>
      </c>
      <c r="J71" s="1285">
        <f t="shared" si="2"/>
        <v>10</v>
      </c>
      <c r="K71" s="360">
        <f>$F$166</f>
        <v>125</v>
      </c>
      <c r="L71" s="1636" t="s">
        <v>37</v>
      </c>
      <c r="M71" s="278"/>
      <c r="N71" s="284"/>
      <c r="O71" s="194"/>
      <c r="P71" s="294"/>
      <c r="R71" s="1627"/>
      <c r="V71" s="208" t="str">
        <f t="shared" si="3"/>
        <v>kWh Annual Savings</v>
      </c>
      <c r="W71" s="285"/>
      <c r="X71" s="285"/>
      <c r="Y71" s="287">
        <v>136.33000000000001</v>
      </c>
      <c r="Z71" s="2491">
        <v>136.33000000000001</v>
      </c>
      <c r="AA71" s="2491">
        <v>136.33000000000001</v>
      </c>
      <c r="AB71" s="2438">
        <v>185.21</v>
      </c>
      <c r="AC71" s="2545"/>
      <c r="AD71" s="208"/>
      <c r="AE71" s="208"/>
      <c r="AF71" s="208"/>
      <c r="AG71" s="208"/>
      <c r="AH71" s="211"/>
      <c r="AU71" s="212"/>
      <c r="BA71" s="232"/>
      <c r="BB71" s="293">
        <f>(BD71+BD72)/(BE71+BE72)</f>
        <v>1.6702727048781711</v>
      </c>
      <c r="BC71" s="280" t="str">
        <f t="shared" si="4"/>
        <v>Cooling RES 10 Year EUL</v>
      </c>
      <c r="BD71" s="148">
        <f>(INDEX('Avoided Cost Benefits'!$C$4:$C$857,MATCH(BC71,'Avoided Cost Benefits'!$A$4:$A$857,0)))*F71</f>
        <v>189.75480552446626</v>
      </c>
      <c r="BE71" s="73">
        <f t="shared" si="5"/>
        <v>117.98017932987257</v>
      </c>
    </row>
    <row r="72" spans="2:57" x14ac:dyDescent="0.25">
      <c r="B72" s="1634"/>
      <c r="C72" s="397" t="s">
        <v>701</v>
      </c>
      <c r="D72" s="2134" t="s">
        <v>621</v>
      </c>
      <c r="E72" s="289" t="s">
        <v>702</v>
      </c>
      <c r="F72" s="408">
        <f>ROUND($F$104*$F$114*$F$124*$F$127*$F$131+$F$138*$F$141*29.3,2)</f>
        <v>26.88</v>
      </c>
      <c r="G72" s="282" t="s">
        <v>691</v>
      </c>
      <c r="H72" s="202">
        <f>VLOOKUP(G72,'CP FACTORS'!$A$3:$B$38, 2, FALSE)</f>
        <v>0</v>
      </c>
      <c r="I72" s="283">
        <f t="shared" si="1"/>
        <v>0</v>
      </c>
      <c r="J72" s="1285">
        <f t="shared" si="2"/>
        <v>10</v>
      </c>
      <c r="K72" s="360"/>
      <c r="L72" s="1636" t="s">
        <v>37</v>
      </c>
      <c r="M72" s="278"/>
      <c r="N72" s="284"/>
      <c r="O72" s="194"/>
      <c r="P72" s="294"/>
      <c r="R72" s="1627"/>
      <c r="V72" s="208" t="str">
        <f t="shared" si="3"/>
        <v>kWh Annual Savings</v>
      </c>
      <c r="W72" s="285"/>
      <c r="X72" s="285"/>
      <c r="Y72" s="287">
        <v>27.2</v>
      </c>
      <c r="Z72" s="2491">
        <v>27.2</v>
      </c>
      <c r="AA72" s="2491">
        <v>27.2</v>
      </c>
      <c r="AB72" s="2438">
        <v>26.88</v>
      </c>
      <c r="AC72" s="2545"/>
      <c r="AD72" s="208"/>
      <c r="AE72" s="208"/>
      <c r="AF72" s="208"/>
      <c r="AG72" s="208"/>
      <c r="AH72" s="211"/>
      <c r="AU72" s="212"/>
      <c r="BB72" s="291"/>
      <c r="BC72" s="289" t="str">
        <f t="shared" si="4"/>
        <v>Heating RES 10 Year EUL</v>
      </c>
      <c r="BD72" s="148">
        <f>(INDEX('Avoided Cost Benefits'!$C$4:$C$857,MATCH(BC72,'Avoided Cost Benefits'!$A$4:$A$857,0)))*F72</f>
        <v>7.3042677268516831</v>
      </c>
      <c r="BE72" s="73">
        <f t="shared" si="5"/>
        <v>0</v>
      </c>
    </row>
    <row r="73" spans="2:57" x14ac:dyDescent="0.25">
      <c r="B73" s="1634"/>
      <c r="C73" s="397" t="s">
        <v>703</v>
      </c>
      <c r="D73" s="2170" t="str">
        <f>CONCATENATE(D71,"_CompE")</f>
        <v>Efficient Products_CompE</v>
      </c>
      <c r="E73" s="742" t="s">
        <v>704</v>
      </c>
      <c r="F73" s="408">
        <f>ROUND($F$147*(($F$151*$F$153*1/$F$154)/1000)*$F$155*$F$131,2)</f>
        <v>134.69999999999999</v>
      </c>
      <c r="G73" s="282" t="s">
        <v>690</v>
      </c>
      <c r="H73" s="202">
        <f>VLOOKUP(G73,'CP FACTORS'!$A$3:$B$38, 2, FALSE)</f>
        <v>9.4741810000000004E-4</v>
      </c>
      <c r="I73" s="283">
        <f t="shared" si="1"/>
        <v>0.12761700000000001</v>
      </c>
      <c r="J73" s="1285">
        <f t="shared" si="2"/>
        <v>10</v>
      </c>
      <c r="K73" s="360">
        <f>$F$166</f>
        <v>125</v>
      </c>
      <c r="L73" s="1636" t="s">
        <v>37</v>
      </c>
      <c r="M73" s="278"/>
      <c r="N73" s="284"/>
      <c r="O73" s="194"/>
      <c r="P73" s="294"/>
      <c r="R73" s="1627"/>
      <c r="V73" s="208" t="str">
        <f t="shared" si="3"/>
        <v>kWh Annual Savings</v>
      </c>
      <c r="W73" s="285"/>
      <c r="X73" s="285"/>
      <c r="Y73" s="287">
        <v>136.33000000000001</v>
      </c>
      <c r="Z73" s="2491">
        <v>136.33000000000001</v>
      </c>
      <c r="AA73" s="2491">
        <v>136.33000000000001</v>
      </c>
      <c r="AB73" s="2438">
        <v>134.69999999999999</v>
      </c>
      <c r="AC73" s="2545"/>
      <c r="AD73" s="208"/>
      <c r="AE73" s="208"/>
      <c r="AF73" s="208"/>
      <c r="AG73" s="208"/>
      <c r="AH73" s="211"/>
      <c r="AU73" s="212"/>
      <c r="BA73" s="232"/>
      <c r="BB73" s="293">
        <f>(BD73+BD74)/(BE73+BE74)</f>
        <v>1.2316443853252432</v>
      </c>
      <c r="BC73" s="280" t="str">
        <f t="shared" si="4"/>
        <v>Cooling RES 10 Year EUL</v>
      </c>
      <c r="BD73" s="148">
        <f>(INDEX('Avoided Cost Benefits'!$C$4:$C$857,MATCH(BC73,'Avoided Cost Benefits'!$A$4:$A$857,0)))*F73</f>
        <v>138.00535772445119</v>
      </c>
      <c r="BE73" s="73">
        <f t="shared" si="5"/>
        <v>117.98017932987257</v>
      </c>
    </row>
    <row r="74" spans="2:57" x14ac:dyDescent="0.25">
      <c r="B74" s="1634"/>
      <c r="C74" s="397" t="s">
        <v>703</v>
      </c>
      <c r="D74" s="2170" t="str">
        <f>CONCATENATE(D72,"_CompE")</f>
        <v>Efficient Products_CompE</v>
      </c>
      <c r="E74" s="750" t="s">
        <v>704</v>
      </c>
      <c r="F74" s="408">
        <f>ROUND($F$104*$F$115*$F$124*$F$127*$F$131+$F$138*$F$141*29.3,2)</f>
        <v>26.88</v>
      </c>
      <c r="G74" s="282" t="s">
        <v>691</v>
      </c>
      <c r="H74" s="202">
        <f>VLOOKUP(G74,'CP FACTORS'!$A$3:$B$38, 2, FALSE)</f>
        <v>0</v>
      </c>
      <c r="I74" s="283">
        <f t="shared" si="1"/>
        <v>0</v>
      </c>
      <c r="J74" s="1285">
        <f t="shared" si="2"/>
        <v>10</v>
      </c>
      <c r="K74" s="360"/>
      <c r="L74" s="1636" t="s">
        <v>37</v>
      </c>
      <c r="M74" s="278"/>
      <c r="N74" s="284"/>
      <c r="O74" s="194"/>
      <c r="P74" s="294"/>
      <c r="R74" s="1627"/>
      <c r="V74" s="208" t="str">
        <f t="shared" si="3"/>
        <v>kWh Annual Savings</v>
      </c>
      <c r="W74" s="285"/>
      <c r="X74" s="285"/>
      <c r="Y74" s="287">
        <v>27.2</v>
      </c>
      <c r="Z74" s="2491">
        <v>27.2</v>
      </c>
      <c r="AA74" s="2491">
        <v>27.2</v>
      </c>
      <c r="AB74" s="2438">
        <v>26.88</v>
      </c>
      <c r="AC74" s="2545"/>
      <c r="AD74" s="208"/>
      <c r="AE74" s="208"/>
      <c r="AF74" s="208"/>
      <c r="AG74" s="208"/>
      <c r="AH74" s="211"/>
      <c r="AU74" s="212"/>
      <c r="BB74" s="291"/>
      <c r="BC74" s="289" t="str">
        <f t="shared" si="4"/>
        <v>Heating RES 10 Year EUL</v>
      </c>
      <c r="BD74" s="148">
        <f>(INDEX('Avoided Cost Benefits'!$C$4:$C$857,MATCH(BC74,'Avoided Cost Benefits'!$A$4:$A$857,0)))*F74</f>
        <v>7.3042677268516831</v>
      </c>
      <c r="BE74" s="73">
        <f t="shared" si="5"/>
        <v>0</v>
      </c>
    </row>
    <row r="75" spans="2:57" x14ac:dyDescent="0.25">
      <c r="B75" s="1634"/>
      <c r="C75" s="397" t="s">
        <v>705</v>
      </c>
      <c r="D75" s="2134" t="s">
        <v>621</v>
      </c>
      <c r="E75" s="280" t="s">
        <v>3219</v>
      </c>
      <c r="F75" s="408">
        <f>ROUND($F$148*(($F$150*$F$152*1/$F$154)/1000)*$F$155*$F$131,2)</f>
        <v>185.21</v>
      </c>
      <c r="G75" s="282" t="s">
        <v>690</v>
      </c>
      <c r="H75" s="202">
        <f>VLOOKUP(G75,'CP FACTORS'!$A$3:$B$38, 2, FALSE)</f>
        <v>9.4741810000000004E-4</v>
      </c>
      <c r="I75" s="283">
        <f t="shared" si="1"/>
        <v>0.17547099999999999</v>
      </c>
      <c r="J75" s="1285">
        <f t="shared" si="2"/>
        <v>10</v>
      </c>
      <c r="K75" s="360">
        <f>$F$166</f>
        <v>125</v>
      </c>
      <c r="L75" s="1636" t="s">
        <v>37</v>
      </c>
      <c r="M75" s="278"/>
      <c r="N75" s="284"/>
      <c r="O75" s="194"/>
      <c r="P75" s="194"/>
      <c r="R75" s="1627"/>
      <c r="V75" s="208" t="str">
        <f t="shared" si="3"/>
        <v>kWh Annual Savings</v>
      </c>
      <c r="W75" s="285">
        <v>192.51692307692309</v>
      </c>
      <c r="X75" s="286">
        <v>187.92922225947771</v>
      </c>
      <c r="Y75" s="287">
        <v>187.46</v>
      </c>
      <c r="Z75" s="2491">
        <v>187.46</v>
      </c>
      <c r="AA75" s="2491">
        <v>187.46</v>
      </c>
      <c r="AB75" s="2438">
        <v>185.21</v>
      </c>
      <c r="AC75" s="2545"/>
      <c r="AD75" s="208"/>
      <c r="AE75" s="208"/>
      <c r="AF75" s="208"/>
      <c r="AG75" s="208"/>
      <c r="AH75" s="211"/>
      <c r="AU75" s="212"/>
      <c r="BB75" s="293">
        <f>(BD75+BD76)/(BE75+BE76)</f>
        <v>1.9735627702772793</v>
      </c>
      <c r="BC75" s="280" t="str">
        <f t="shared" si="4"/>
        <v>Cooling RES 10 Year EUL</v>
      </c>
      <c r="BD75" s="148">
        <f>(INDEX('Avoided Cost Benefits'!$C$4:$C$857,MATCH(BC75,'Avoided Cost Benefits'!$A$4:$A$857,0)))*F75</f>
        <v>189.75480552446626</v>
      </c>
      <c r="BE75" s="73">
        <f t="shared" si="5"/>
        <v>117.98017932987257</v>
      </c>
    </row>
    <row r="76" spans="2:57" x14ac:dyDescent="0.25">
      <c r="B76" s="1634"/>
      <c r="C76" s="397" t="s">
        <v>705</v>
      </c>
      <c r="D76" s="2134" t="s">
        <v>621</v>
      </c>
      <c r="E76" s="289" t="s">
        <v>3219</v>
      </c>
      <c r="F76" s="408">
        <f>ROUND($F$105*$F$116*$F$125*$F$127*$F$131+$F$139*$F$141*29.3,2)</f>
        <v>158.56</v>
      </c>
      <c r="G76" s="282" t="s">
        <v>691</v>
      </c>
      <c r="H76" s="202">
        <f>VLOOKUP(G76,'CP FACTORS'!$A$3:$B$38, 2, FALSE)</f>
        <v>0</v>
      </c>
      <c r="I76" s="283">
        <f t="shared" si="1"/>
        <v>0</v>
      </c>
      <c r="J76" s="1285">
        <f t="shared" si="2"/>
        <v>10</v>
      </c>
      <c r="K76" s="360"/>
      <c r="L76" s="1636" t="s">
        <v>37</v>
      </c>
      <c r="M76" s="278"/>
      <c r="N76" s="284"/>
      <c r="O76" s="278"/>
      <c r="P76" s="278"/>
      <c r="R76" s="1627"/>
      <c r="V76" s="208" t="str">
        <f t="shared" si="3"/>
        <v>kWh Annual Savings</v>
      </c>
      <c r="W76" s="285">
        <v>377.56641415999997</v>
      </c>
      <c r="X76" s="286">
        <v>226.28150936736847</v>
      </c>
      <c r="Y76" s="287">
        <v>160.49</v>
      </c>
      <c r="Z76" s="2491">
        <v>160.49</v>
      </c>
      <c r="AA76" s="2491">
        <v>160.49</v>
      </c>
      <c r="AB76" s="2438">
        <v>158.56</v>
      </c>
      <c r="AC76" s="2545"/>
      <c r="AD76" s="208"/>
      <c r="AE76" s="208"/>
      <c r="AF76" s="208"/>
      <c r="AG76" s="208"/>
      <c r="AH76" s="211"/>
      <c r="AU76" s="212"/>
      <c r="BB76" s="291"/>
      <c r="BC76" s="289" t="str">
        <f t="shared" si="4"/>
        <v>Heating RES 10 Year EUL</v>
      </c>
      <c r="BD76" s="148">
        <f>(INDEX('Avoided Cost Benefits'!$C$4:$C$857,MATCH(BC76,'Avoided Cost Benefits'!$A$4:$A$857,0)))*F76</f>
        <v>43.086484031607256</v>
      </c>
      <c r="BE76" s="73">
        <f t="shared" si="5"/>
        <v>0</v>
      </c>
    </row>
    <row r="77" spans="2:57" x14ac:dyDescent="0.25">
      <c r="B77" s="1634"/>
      <c r="C77" s="397" t="s">
        <v>706</v>
      </c>
      <c r="D77" s="2134" t="s">
        <v>621</v>
      </c>
      <c r="E77" s="280" t="s">
        <v>707</v>
      </c>
      <c r="F77" s="408">
        <f>ROUND($F$149*(($F$150*$F$153*1/$F$154)/1000)*$F$155*$F$131,2)</f>
        <v>185.21</v>
      </c>
      <c r="G77" s="282" t="s">
        <v>690</v>
      </c>
      <c r="H77" s="202">
        <f>VLOOKUP(G77,'CP FACTORS'!$A$3:$B$38, 2, FALSE)</f>
        <v>9.4741810000000004E-4</v>
      </c>
      <c r="I77" s="283">
        <f t="shared" si="1"/>
        <v>0.17547099999999999</v>
      </c>
      <c r="J77" s="1285">
        <f t="shared" si="2"/>
        <v>10</v>
      </c>
      <c r="K77" s="360">
        <f>$F$166</f>
        <v>125</v>
      </c>
      <c r="L77" s="1636" t="s">
        <v>37</v>
      </c>
      <c r="M77" s="278"/>
      <c r="N77" s="284"/>
      <c r="O77" s="278"/>
      <c r="P77" s="278"/>
      <c r="R77" s="1627"/>
      <c r="V77" s="208" t="str">
        <f t="shared" si="3"/>
        <v>kWh Annual Savings</v>
      </c>
      <c r="W77" s="285"/>
      <c r="X77" s="286"/>
      <c r="Y77" s="287">
        <v>136.33000000000001</v>
      </c>
      <c r="Z77" s="2491">
        <v>136.33000000000001</v>
      </c>
      <c r="AA77" s="2491">
        <v>136.33000000000001</v>
      </c>
      <c r="AB77" s="2438">
        <v>185.21</v>
      </c>
      <c r="AC77" s="2545"/>
      <c r="AD77" s="208"/>
      <c r="AE77" s="208"/>
      <c r="AF77" s="208"/>
      <c r="AG77" s="208"/>
      <c r="AH77" s="211"/>
      <c r="AU77" s="212"/>
      <c r="BA77" s="232"/>
      <c r="BB77" s="293">
        <f>(BD77+BD78)/(BE77+BE78)</f>
        <v>1.8457331938066648</v>
      </c>
      <c r="BC77" s="280" t="str">
        <f t="shared" si="4"/>
        <v>Cooling RES 10 Year EUL</v>
      </c>
      <c r="BD77" s="148">
        <f>(INDEX('Avoided Cost Benefits'!$C$4:$C$857,MATCH(BC77,'Avoided Cost Benefits'!$A$4:$A$857,0)))*F77</f>
        <v>189.75480552446626</v>
      </c>
      <c r="BE77" s="73">
        <f t="shared" si="5"/>
        <v>117.98017932987257</v>
      </c>
    </row>
    <row r="78" spans="2:57" x14ac:dyDescent="0.25">
      <c r="B78" s="1634"/>
      <c r="C78" s="397" t="s">
        <v>706</v>
      </c>
      <c r="D78" s="2134" t="s">
        <v>621</v>
      </c>
      <c r="E78" s="289" t="s">
        <v>707</v>
      </c>
      <c r="F78" s="408">
        <f>ROUND($F$106*$F$117*$F$126*$F$127*$F$131+$F$140*$F$141*29.3,2)</f>
        <v>103.06</v>
      </c>
      <c r="G78" s="282" t="s">
        <v>691</v>
      </c>
      <c r="H78" s="202">
        <f>VLOOKUP(G78,'CP FACTORS'!$A$3:$B$38, 2, FALSE)</f>
        <v>0</v>
      </c>
      <c r="I78" s="283">
        <f t="shared" si="1"/>
        <v>0</v>
      </c>
      <c r="J78" s="1285">
        <f t="shared" si="2"/>
        <v>10</v>
      </c>
      <c r="K78" s="360"/>
      <c r="L78" s="1636" t="s">
        <v>37</v>
      </c>
      <c r="M78" s="278"/>
      <c r="N78" s="284"/>
      <c r="O78" s="278"/>
      <c r="P78" s="278"/>
      <c r="R78" s="1627"/>
      <c r="V78" s="208" t="str">
        <f t="shared" si="3"/>
        <v>kWh Annual Savings</v>
      </c>
      <c r="W78" s="285"/>
      <c r="X78" s="286"/>
      <c r="Y78" s="287">
        <v>104.32</v>
      </c>
      <c r="Z78" s="2491">
        <v>104.32</v>
      </c>
      <c r="AA78" s="2491">
        <v>104.32</v>
      </c>
      <c r="AB78" s="2438">
        <v>103.06</v>
      </c>
      <c r="AC78" s="2545"/>
      <c r="AD78" s="208"/>
      <c r="AE78" s="208"/>
      <c r="AF78" s="208"/>
      <c r="AG78" s="208"/>
      <c r="AH78" s="211"/>
      <c r="AU78" s="212"/>
      <c r="BB78" s="291"/>
      <c r="BC78" s="289" t="str">
        <f t="shared" si="4"/>
        <v>Heating RES 10 Year EUL</v>
      </c>
      <c r="BD78" s="148">
        <f>(INDEX('Avoided Cost Benefits'!$C$4:$C$857,MATCH(BC78,'Avoided Cost Benefits'!$A$4:$A$857,0)))*F78</f>
        <v>28.005127675942504</v>
      </c>
      <c r="BE78" s="73">
        <f t="shared" si="5"/>
        <v>0</v>
      </c>
    </row>
    <row r="79" spans="2:57" x14ac:dyDescent="0.25">
      <c r="B79" s="1634"/>
      <c r="C79" s="397" t="s">
        <v>708</v>
      </c>
      <c r="D79" s="2170" t="str">
        <f>CONCATENATE(D77,"_CompE")</f>
        <v>Efficient Products_CompE</v>
      </c>
      <c r="E79" s="742" t="s">
        <v>709</v>
      </c>
      <c r="F79" s="281">
        <f>ROUND($F$149*(($F$151*$F$153*1/$F$154)/1000)*$F$155*$F$131,2)</f>
        <v>134.69999999999999</v>
      </c>
      <c r="G79" s="282" t="s">
        <v>690</v>
      </c>
      <c r="H79" s="202">
        <f>VLOOKUP(G79,'CP FACTORS'!$A$3:$B$38, 2, FALSE)</f>
        <v>9.4741810000000004E-4</v>
      </c>
      <c r="I79" s="283">
        <f t="shared" si="1"/>
        <v>0.12761700000000001</v>
      </c>
      <c r="J79" s="1285">
        <f t="shared" si="2"/>
        <v>10</v>
      </c>
      <c r="K79" s="360">
        <f>$F$166</f>
        <v>125</v>
      </c>
      <c r="L79" s="1636" t="s">
        <v>37</v>
      </c>
      <c r="M79" s="278"/>
      <c r="N79" s="284"/>
      <c r="O79" s="278"/>
      <c r="P79" s="278"/>
      <c r="R79" s="1627"/>
      <c r="V79" s="208" t="str">
        <f t="shared" si="3"/>
        <v>kWh Annual Savings</v>
      </c>
      <c r="W79" s="285"/>
      <c r="X79" s="286"/>
      <c r="Y79" s="287">
        <v>136.33000000000001</v>
      </c>
      <c r="Z79" s="2491">
        <v>136.33000000000001</v>
      </c>
      <c r="AA79" s="2491">
        <v>136.33000000000001</v>
      </c>
      <c r="AB79" s="2438">
        <v>134.69999999999999</v>
      </c>
      <c r="AC79" s="2545"/>
      <c r="AD79" s="208"/>
      <c r="AE79" s="208"/>
      <c r="AF79" s="208"/>
      <c r="AG79" s="208"/>
      <c r="AH79" s="211"/>
      <c r="AU79" s="212"/>
      <c r="BA79" s="232"/>
      <c r="BB79" s="293">
        <f>(BD79+BD80)/(BE79+BE80)</f>
        <v>1.2846418367592762</v>
      </c>
      <c r="BC79" s="280" t="str">
        <f t="shared" si="4"/>
        <v>Cooling RES 10 Year EUL</v>
      </c>
      <c r="BD79" s="148">
        <f>(INDEX('Avoided Cost Benefits'!$C$4:$C$857,MATCH(BC79,'Avoided Cost Benefits'!$A$4:$A$857,0)))*F79</f>
        <v>138.00535772445119</v>
      </c>
      <c r="BE79" s="73">
        <f t="shared" si="5"/>
        <v>117.98017932987257</v>
      </c>
    </row>
    <row r="80" spans="2:57" x14ac:dyDescent="0.25">
      <c r="B80" s="1634"/>
      <c r="C80" s="397" t="s">
        <v>708</v>
      </c>
      <c r="D80" s="2133" t="str">
        <f>CONCATENATE(D78,"_CompE")</f>
        <v>Efficient Products_CompE</v>
      </c>
      <c r="E80" s="750" t="s">
        <v>709</v>
      </c>
      <c r="F80" s="281">
        <f>ROUND($F$106*$F$118*$F$126*$F$127*$F$131+$F$140*$F$141*29.3,2)</f>
        <v>49.89</v>
      </c>
      <c r="G80" s="282" t="s">
        <v>691</v>
      </c>
      <c r="H80" s="202">
        <f>VLOOKUP(G80,'CP FACTORS'!$A$3:$B$38, 2, FALSE)</f>
        <v>0</v>
      </c>
      <c r="I80" s="283">
        <f t="shared" si="1"/>
        <v>0</v>
      </c>
      <c r="J80" s="1285">
        <f t="shared" si="2"/>
        <v>10</v>
      </c>
      <c r="K80" s="360"/>
      <c r="L80" s="1636" t="s">
        <v>37</v>
      </c>
      <c r="M80" s="278"/>
      <c r="N80" s="284"/>
      <c r="O80" s="278"/>
      <c r="P80" s="278"/>
      <c r="R80" s="1627"/>
      <c r="V80" s="208" t="str">
        <f t="shared" si="3"/>
        <v>kWh Annual Savings</v>
      </c>
      <c r="W80" s="285"/>
      <c r="X80" s="286"/>
      <c r="Y80" s="287">
        <v>50.49</v>
      </c>
      <c r="Z80" s="2491">
        <v>50.49</v>
      </c>
      <c r="AA80" s="2491">
        <v>50.49</v>
      </c>
      <c r="AB80" s="2438">
        <v>49.89</v>
      </c>
      <c r="AC80" s="2545"/>
      <c r="AD80" s="208"/>
      <c r="AE80" s="208"/>
      <c r="AF80" s="208"/>
      <c r="AG80" s="208"/>
      <c r="AH80" s="211"/>
      <c r="AU80" s="212"/>
      <c r="BB80" s="295"/>
      <c r="BC80" s="289" t="str">
        <f t="shared" si="4"/>
        <v>Heating RES 10 Year EUL</v>
      </c>
      <c r="BD80" s="153">
        <f>(INDEX('Avoided Cost Benefits'!$C$4:$C$857,MATCH(BC80,'Avoided Cost Benefits'!$A$4:$A$857,0)))*F80</f>
        <v>13.556916551065122</v>
      </c>
      <c r="BE80" s="75">
        <f t="shared" si="5"/>
        <v>0</v>
      </c>
    </row>
    <row r="81" spans="1:54" outlineLevel="1" x14ac:dyDescent="0.25">
      <c r="B81" s="1634"/>
      <c r="C81" s="274"/>
      <c r="D81" s="296"/>
      <c r="E81" s="296" t="s">
        <v>710</v>
      </c>
      <c r="F81" s="297"/>
      <c r="G81" s="298"/>
      <c r="H81" s="298"/>
      <c r="I81" s="298"/>
      <c r="J81" s="298"/>
      <c r="K81" s="298"/>
      <c r="L81" s="298"/>
      <c r="M81" s="298"/>
      <c r="N81" s="284"/>
      <c r="O81" s="278"/>
      <c r="P81" s="278"/>
      <c r="AU81" s="212"/>
    </row>
    <row r="82" spans="1:54" s="299" customFormat="1" outlineLevel="1" x14ac:dyDescent="0.25">
      <c r="A82" s="306"/>
      <c r="B82" s="1634"/>
      <c r="C82" s="274"/>
      <c r="D82" s="222" t="s">
        <v>571</v>
      </c>
      <c r="E82" s="296"/>
      <c r="F82" s="297"/>
      <c r="G82" s="298"/>
      <c r="H82" s="298"/>
      <c r="I82" s="298"/>
      <c r="J82" s="298"/>
      <c r="K82" s="298"/>
      <c r="L82" s="298"/>
      <c r="M82" s="298"/>
      <c r="N82" s="284"/>
      <c r="O82" s="278"/>
      <c r="P82" s="278"/>
      <c r="Q82" s="306"/>
      <c r="R82" s="306"/>
      <c r="S82" s="306"/>
      <c r="T82" s="306"/>
      <c r="U82" s="306"/>
      <c r="V82" s="300"/>
      <c r="AU82" s="212"/>
      <c r="BB82" s="301"/>
    </row>
    <row r="83" spans="1:54" s="299" customFormat="1" ht="18" customHeight="1" outlineLevel="1" x14ac:dyDescent="0.25">
      <c r="A83" s="306"/>
      <c r="B83" s="1634"/>
      <c r="C83" s="274"/>
      <c r="D83" s="303" t="s">
        <v>711</v>
      </c>
      <c r="E83" s="303"/>
      <c r="F83" s="304"/>
      <c r="G83" s="304"/>
      <c r="H83" s="304"/>
      <c r="I83" s="304"/>
      <c r="J83" s="304"/>
      <c r="K83" s="304"/>
      <c r="L83" s="304"/>
      <c r="M83" s="298"/>
      <c r="N83" s="284"/>
      <c r="O83" s="278"/>
      <c r="P83" s="305"/>
      <c r="Q83" s="306"/>
      <c r="R83" s="306"/>
      <c r="S83" s="306"/>
      <c r="T83" s="306"/>
      <c r="U83" s="306"/>
      <c r="AU83" s="212"/>
      <c r="BB83" s="301"/>
    </row>
    <row r="84" spans="1:54" s="299" customFormat="1" ht="18" customHeight="1" outlineLevel="1" x14ac:dyDescent="0.25">
      <c r="A84" s="306"/>
      <c r="B84" s="1634"/>
      <c r="C84" s="274"/>
      <c r="D84" s="303"/>
      <c r="E84" s="303"/>
      <c r="F84" s="304"/>
      <c r="G84" s="304"/>
      <c r="H84" s="304"/>
      <c r="I84" s="304"/>
      <c r="J84" s="304"/>
      <c r="K84" s="304"/>
      <c r="L84" s="304"/>
      <c r="M84" s="298"/>
      <c r="N84" s="284"/>
      <c r="O84" s="278"/>
      <c r="P84" s="305"/>
      <c r="Q84" s="306"/>
      <c r="R84" s="306"/>
      <c r="S84" s="306"/>
      <c r="T84" s="306"/>
      <c r="U84" s="306"/>
      <c r="AU84" s="212"/>
      <c r="BB84" s="301"/>
    </row>
    <row r="85" spans="1:54" s="299" customFormat="1" ht="18" customHeight="1" outlineLevel="1" x14ac:dyDescent="0.25">
      <c r="A85" s="306"/>
      <c r="B85" s="1634"/>
      <c r="C85" s="274"/>
      <c r="D85" s="303"/>
      <c r="E85" s="303"/>
      <c r="F85" s="304"/>
      <c r="G85" s="304"/>
      <c r="H85" s="304"/>
      <c r="I85" s="304"/>
      <c r="J85" s="304"/>
      <c r="K85" s="304"/>
      <c r="L85" s="304"/>
      <c r="M85" s="298"/>
      <c r="N85" s="284"/>
      <c r="O85" s="278"/>
      <c r="P85" s="305"/>
      <c r="Q85" s="306"/>
      <c r="R85" s="306"/>
      <c r="S85" s="306"/>
      <c r="T85" s="306"/>
      <c r="U85" s="306"/>
      <c r="AU85" s="212"/>
      <c r="BB85" s="301"/>
    </row>
    <row r="86" spans="1:54" s="299" customFormat="1" ht="18" customHeight="1" outlineLevel="1" x14ac:dyDescent="0.25">
      <c r="A86" s="306"/>
      <c r="B86" s="1634"/>
      <c r="C86" s="274"/>
      <c r="D86" s="303"/>
      <c r="E86" s="303"/>
      <c r="F86" s="304"/>
      <c r="G86" s="304"/>
      <c r="H86" s="304"/>
      <c r="I86" s="304"/>
      <c r="J86" s="304"/>
      <c r="K86" s="304"/>
      <c r="L86" s="304"/>
      <c r="M86" s="298"/>
      <c r="N86" s="284"/>
      <c r="O86" s="278"/>
      <c r="P86" s="305"/>
      <c r="Q86" s="306"/>
      <c r="R86" s="306"/>
      <c r="S86" s="306"/>
      <c r="T86" s="306"/>
      <c r="U86" s="306"/>
      <c r="AU86" s="212"/>
      <c r="BB86" s="301"/>
    </row>
    <row r="87" spans="1:54" s="299" customFormat="1" ht="18" customHeight="1" outlineLevel="1" x14ac:dyDescent="0.25">
      <c r="A87" s="306"/>
      <c r="B87" s="1634"/>
      <c r="C87" s="274"/>
      <c r="D87" s="303"/>
      <c r="E87" s="303"/>
      <c r="F87" s="304"/>
      <c r="G87" s="304"/>
      <c r="H87" s="304"/>
      <c r="I87" s="304"/>
      <c r="J87" s="304"/>
      <c r="K87" s="304"/>
      <c r="L87" s="304"/>
      <c r="M87" s="298"/>
      <c r="N87" s="284"/>
      <c r="O87" s="278"/>
      <c r="P87" s="305"/>
      <c r="Q87" s="306"/>
      <c r="R87" s="306"/>
      <c r="S87" s="306"/>
      <c r="T87" s="306"/>
      <c r="U87" s="306"/>
      <c r="AU87" s="212"/>
      <c r="BB87" s="301"/>
    </row>
    <row r="88" spans="1:54" s="299" customFormat="1" ht="18" customHeight="1" outlineLevel="1" x14ac:dyDescent="0.25">
      <c r="A88" s="306"/>
      <c r="B88" s="1634"/>
      <c r="C88" s="274"/>
      <c r="D88" s="303"/>
      <c r="E88" s="303"/>
      <c r="F88" s="304"/>
      <c r="G88" s="304"/>
      <c r="H88" s="304"/>
      <c r="I88" s="304"/>
      <c r="J88" s="304"/>
      <c r="K88" s="304"/>
      <c r="L88" s="304"/>
      <c r="M88" s="298"/>
      <c r="N88" s="284"/>
      <c r="O88" s="278"/>
      <c r="P88" s="305"/>
      <c r="Q88" s="306"/>
      <c r="R88" s="306"/>
      <c r="S88" s="306"/>
      <c r="T88" s="306"/>
      <c r="U88" s="306"/>
      <c r="AU88" s="212"/>
      <c r="BB88" s="301"/>
    </row>
    <row r="89" spans="1:54" s="299" customFormat="1" ht="18" customHeight="1" outlineLevel="1" x14ac:dyDescent="0.25">
      <c r="A89" s="306"/>
      <c r="B89" s="1634"/>
      <c r="C89" s="274"/>
      <c r="D89" s="303"/>
      <c r="E89" s="303"/>
      <c r="F89" s="304"/>
      <c r="G89" s="304"/>
      <c r="H89" s="304"/>
      <c r="I89" s="306"/>
      <c r="J89" s="304"/>
      <c r="K89" s="304"/>
      <c r="L89" s="304"/>
      <c r="M89" s="298"/>
      <c r="N89" s="284"/>
      <c r="O89" s="278"/>
      <c r="P89" s="305"/>
      <c r="Q89" s="306"/>
      <c r="R89" s="306"/>
      <c r="S89" s="306"/>
      <c r="T89" s="306"/>
      <c r="U89" s="306"/>
      <c r="X89" s="307" t="s">
        <v>712</v>
      </c>
      <c r="AU89" s="212"/>
      <c r="BB89" s="301"/>
    </row>
    <row r="90" spans="1:54" s="307" customFormat="1" ht="40.5" customHeight="1" outlineLevel="1" x14ac:dyDescent="0.25">
      <c r="A90" s="1637"/>
      <c r="B90" s="1638"/>
      <c r="C90" s="274"/>
      <c r="D90" s="303"/>
      <c r="E90" s="303"/>
      <c r="F90" s="304"/>
      <c r="G90" s="304"/>
      <c r="H90" s="304"/>
      <c r="I90" s="304"/>
      <c r="J90" s="304"/>
      <c r="K90" s="304"/>
      <c r="L90" s="304"/>
      <c r="M90" s="1276"/>
      <c r="N90" s="284"/>
      <c r="O90" s="308"/>
      <c r="P90" s="309"/>
      <c r="Q90" s="1637"/>
      <c r="R90" s="1637"/>
      <c r="S90" s="1637"/>
      <c r="T90" s="1637"/>
      <c r="U90" s="1637"/>
      <c r="X90" s="56">
        <f>$X$6</f>
        <v>43465</v>
      </c>
      <c r="Y90" s="56">
        <f>$Y$6</f>
        <v>43800</v>
      </c>
      <c r="Z90" s="56">
        <f>$Z$6</f>
        <v>43862</v>
      </c>
      <c r="AA90" s="56">
        <f>$AA$6</f>
        <v>44013</v>
      </c>
      <c r="AB90" s="56">
        <f>$AB$6</f>
        <v>44166</v>
      </c>
      <c r="AC90" s="56" t="str">
        <f>$AC$6</f>
        <v>-</v>
      </c>
      <c r="AD90" s="56" t="str">
        <f>$AD$6</f>
        <v>-</v>
      </c>
      <c r="AE90" s="56" t="str">
        <f>$AE$6</f>
        <v>-</v>
      </c>
      <c r="AF90" s="56" t="str">
        <f>$AF$6</f>
        <v>-</v>
      </c>
      <c r="AG90" s="56" t="str">
        <f>$AG$6</f>
        <v>-</v>
      </c>
      <c r="AU90" s="310"/>
      <c r="BB90" s="311"/>
    </row>
    <row r="91" spans="1:54" s="299" customFormat="1" ht="18" customHeight="1" outlineLevel="1" x14ac:dyDescent="0.25">
      <c r="A91" s="306"/>
      <c r="B91" s="1634"/>
      <c r="C91" s="274"/>
      <c r="D91" s="303"/>
      <c r="E91" s="303"/>
      <c r="F91" s="304"/>
      <c r="G91" s="304"/>
      <c r="H91" s="304"/>
      <c r="I91" s="306"/>
      <c r="J91" s="304"/>
      <c r="K91" s="304"/>
      <c r="L91" s="304"/>
      <c r="M91" s="298"/>
      <c r="N91" s="284"/>
      <c r="O91" s="278"/>
      <c r="P91" s="305"/>
      <c r="Q91" s="306"/>
      <c r="R91" s="306"/>
      <c r="S91" s="306"/>
      <c r="T91" s="306"/>
      <c r="U91" s="306"/>
      <c r="X91" s="313">
        <v>0.41</v>
      </c>
      <c r="Y91" s="314">
        <v>0.42820512820512818</v>
      </c>
      <c r="Z91" s="2549">
        <v>0.42820512820512818</v>
      </c>
      <c r="AA91" s="2549">
        <v>0.42820512820512818</v>
      </c>
      <c r="AB91" s="2550">
        <v>0.42820512820512818</v>
      </c>
      <c r="AC91" s="315"/>
      <c r="AD91" s="315"/>
      <c r="AE91" s="315"/>
      <c r="AF91" s="315"/>
      <c r="AG91" s="315"/>
      <c r="AU91" s="212"/>
      <c r="BB91" s="301"/>
    </row>
    <row r="92" spans="1:54" s="299" customFormat="1" ht="18" customHeight="1" outlineLevel="1" x14ac:dyDescent="0.25">
      <c r="A92" s="306"/>
      <c r="B92" s="1634"/>
      <c r="C92" s="274"/>
      <c r="D92" s="303"/>
      <c r="E92" s="303"/>
      <c r="F92" s="304"/>
      <c r="G92" s="304"/>
      <c r="H92" s="304"/>
      <c r="I92" s="304"/>
      <c r="J92" s="304"/>
      <c r="K92" s="304"/>
      <c r="L92" s="304"/>
      <c r="M92" s="298"/>
      <c r="N92" s="284"/>
      <c r="O92" s="278"/>
      <c r="P92" s="305"/>
      <c r="Q92" s="306"/>
      <c r="R92" s="306"/>
      <c r="S92" s="306"/>
      <c r="T92" s="306"/>
      <c r="U92" s="306"/>
      <c r="X92" s="313">
        <v>0.55000000000000004</v>
      </c>
      <c r="Y92" s="314">
        <v>0.517948717948718</v>
      </c>
      <c r="Z92" s="2549">
        <v>0.517948717948718</v>
      </c>
      <c r="AA92" s="2549">
        <v>0.517948717948718</v>
      </c>
      <c r="AB92" s="312">
        <v>0.517948717948718</v>
      </c>
      <c r="AC92" s="315"/>
      <c r="AD92" s="315"/>
      <c r="AE92" s="315"/>
      <c r="AF92" s="315"/>
      <c r="AG92" s="315"/>
      <c r="AU92" s="212"/>
      <c r="BB92" s="301"/>
    </row>
    <row r="93" spans="1:54" s="299" customFormat="1" ht="18" customHeight="1" outlineLevel="1" x14ac:dyDescent="0.25">
      <c r="A93" s="306"/>
      <c r="B93" s="1634"/>
      <c r="C93" s="274"/>
      <c r="D93" s="303"/>
      <c r="E93" s="303"/>
      <c r="F93" s="304"/>
      <c r="G93" s="304"/>
      <c r="H93" s="304"/>
      <c r="I93" s="306"/>
      <c r="J93" s="304"/>
      <c r="K93" s="304"/>
      <c r="L93" s="304"/>
      <c r="M93" s="298"/>
      <c r="N93" s="284"/>
      <c r="O93" s="278"/>
      <c r="P93" s="305"/>
      <c r="Q93" s="306"/>
      <c r="R93" s="306"/>
      <c r="S93" s="306"/>
      <c r="T93" s="306"/>
      <c r="U93" s="306"/>
      <c r="X93" s="313">
        <v>0</v>
      </c>
      <c r="Y93" s="313">
        <v>0</v>
      </c>
      <c r="Z93" s="2549">
        <v>0</v>
      </c>
      <c r="AA93" s="2549">
        <v>0</v>
      </c>
      <c r="AB93" s="312">
        <v>0</v>
      </c>
      <c r="AC93" s="315"/>
      <c r="AD93" s="315"/>
      <c r="AE93" s="315"/>
      <c r="AF93" s="315"/>
      <c r="AG93" s="315"/>
      <c r="AU93" s="212"/>
      <c r="BB93" s="301"/>
    </row>
    <row r="94" spans="1:54" s="299" customFormat="1" outlineLevel="1" x14ac:dyDescent="0.25">
      <c r="A94" s="306"/>
      <c r="B94" s="1634"/>
      <c r="C94" s="274"/>
      <c r="D94" s="303"/>
      <c r="E94" s="303"/>
      <c r="F94" s="304"/>
      <c r="G94" s="304"/>
      <c r="H94" s="304"/>
      <c r="I94" s="304"/>
      <c r="J94" s="304"/>
      <c r="K94" s="304"/>
      <c r="L94" s="304"/>
      <c r="M94" s="298"/>
      <c r="N94" s="284"/>
      <c r="O94" s="278"/>
      <c r="P94" s="278"/>
      <c r="Q94" s="306"/>
      <c r="R94" s="306"/>
      <c r="S94" s="306"/>
      <c r="T94" s="306"/>
      <c r="U94" s="306"/>
      <c r="X94" s="313">
        <v>0.04</v>
      </c>
      <c r="Y94" s="314">
        <v>5.3846153846153849E-2</v>
      </c>
      <c r="Z94" s="2549">
        <v>5.3846153846153849E-2</v>
      </c>
      <c r="AA94" s="2549">
        <v>5.3846153846153849E-2</v>
      </c>
      <c r="AB94" s="312">
        <v>5.3846153846153849E-2</v>
      </c>
      <c r="AC94" s="315"/>
      <c r="AD94" s="315"/>
      <c r="AE94" s="315"/>
      <c r="AF94" s="315"/>
      <c r="AG94" s="315"/>
      <c r="AU94" s="212"/>
      <c r="BB94" s="301"/>
    </row>
    <row r="95" spans="1:54" s="299" customFormat="1" ht="15" customHeight="1" outlineLevel="1" x14ac:dyDescent="0.25">
      <c r="A95" s="306"/>
      <c r="B95" s="1634"/>
      <c r="C95" s="274"/>
      <c r="D95" s="303"/>
      <c r="E95" s="303"/>
      <c r="F95" s="304"/>
      <c r="G95" s="304"/>
      <c r="H95" s="304"/>
      <c r="I95" s="304"/>
      <c r="J95" s="304"/>
      <c r="K95" s="304"/>
      <c r="L95" s="304"/>
      <c r="M95" s="298"/>
      <c r="N95" s="284"/>
      <c r="O95" s="278"/>
      <c r="P95" s="278"/>
      <c r="Q95" s="306"/>
      <c r="R95" s="306"/>
      <c r="S95" s="306"/>
      <c r="T95" s="306"/>
      <c r="U95" s="306"/>
      <c r="AU95" s="212"/>
      <c r="BB95" s="301"/>
    </row>
    <row r="96" spans="1:54" s="299" customFormat="1" ht="15" customHeight="1" outlineLevel="1" x14ac:dyDescent="0.25">
      <c r="A96" s="306"/>
      <c r="B96" s="1634"/>
      <c r="C96" s="274"/>
      <c r="D96" s="303"/>
      <c r="E96" s="303"/>
      <c r="F96" s="304"/>
      <c r="G96" s="304"/>
      <c r="H96" s="304"/>
      <c r="I96" s="304"/>
      <c r="J96" s="304"/>
      <c r="K96" s="304"/>
      <c r="L96" s="304"/>
      <c r="M96" s="298"/>
      <c r="N96" s="284"/>
      <c r="O96" s="278"/>
      <c r="P96" s="278"/>
      <c r="Q96" s="306"/>
      <c r="R96" s="306"/>
      <c r="S96" s="306"/>
      <c r="T96" s="306"/>
      <c r="U96" s="306"/>
      <c r="AU96" s="212"/>
      <c r="BB96" s="301"/>
    </row>
    <row r="97" spans="1:54" s="299" customFormat="1" outlineLevel="1" x14ac:dyDescent="0.25">
      <c r="A97" s="306"/>
      <c r="B97" s="1634"/>
      <c r="C97" s="274"/>
      <c r="D97" s="296"/>
      <c r="E97" s="296"/>
      <c r="F97" s="298"/>
      <c r="G97" s="298"/>
      <c r="H97" s="298"/>
      <c r="I97" s="298"/>
      <c r="J97" s="298"/>
      <c r="K97" s="298"/>
      <c r="L97" s="298"/>
      <c r="M97" s="278"/>
      <c r="N97" s="284"/>
      <c r="O97" s="278"/>
      <c r="P97" s="278"/>
      <c r="Q97" s="298"/>
      <c r="R97" s="306"/>
      <c r="S97" s="306"/>
      <c r="T97" s="306"/>
      <c r="U97" s="306"/>
      <c r="AU97" s="212"/>
      <c r="BB97" s="301"/>
    </row>
    <row r="98" spans="1:54" outlineLevel="1" x14ac:dyDescent="0.25">
      <c r="B98" s="1634"/>
      <c r="C98" s="274"/>
      <c r="D98" s="2045" t="s">
        <v>572</v>
      </c>
      <c r="E98" s="2045" t="s">
        <v>573</v>
      </c>
      <c r="F98" s="2029" t="s">
        <v>574</v>
      </c>
      <c r="G98" s="2029" t="s">
        <v>624</v>
      </c>
      <c r="H98" s="2029" t="s">
        <v>713</v>
      </c>
      <c r="I98" s="2765" t="s">
        <v>713</v>
      </c>
      <c r="J98" s="298"/>
      <c r="M98" s="277"/>
      <c r="N98" s="284"/>
      <c r="O98" s="278"/>
      <c r="P98" s="278"/>
      <c r="Q98" s="298"/>
      <c r="V98" s="55" t="s">
        <v>27</v>
      </c>
      <c r="W98" s="56">
        <v>43252</v>
      </c>
      <c r="X98" s="56">
        <f>$X$6</f>
        <v>43465</v>
      </c>
      <c r="Y98" s="56">
        <f>$Y$6</f>
        <v>43800</v>
      </c>
      <c r="Z98" s="56">
        <f>$Z$6</f>
        <v>43862</v>
      </c>
      <c r="AA98" s="56">
        <f>$AA$6</f>
        <v>44013</v>
      </c>
      <c r="AB98" s="56">
        <f>$AB$6</f>
        <v>44166</v>
      </c>
      <c r="AC98" s="56" t="str">
        <f>$AC$6</f>
        <v>-</v>
      </c>
      <c r="AD98" s="56" t="str">
        <f>$AD$6</f>
        <v>-</v>
      </c>
      <c r="AE98" s="56" t="str">
        <f>$AE$6</f>
        <v>-</v>
      </c>
      <c r="AF98" s="56" t="str">
        <f>$AF$6</f>
        <v>-</v>
      </c>
      <c r="AG98" s="56" t="str">
        <f>$AG$6</f>
        <v>-</v>
      </c>
      <c r="AH98" s="299"/>
      <c r="AU98" s="212"/>
    </row>
    <row r="99" spans="1:54" outlineLevel="1" x14ac:dyDescent="0.25">
      <c r="B99" s="1634"/>
      <c r="C99" s="274"/>
      <c r="D99" s="3432" t="s">
        <v>183</v>
      </c>
      <c r="E99" s="2454" t="str">
        <f>E57</f>
        <v>Learning Thermostat - ASHP heating/cooling SF</v>
      </c>
      <c r="F99" s="319">
        <v>1</v>
      </c>
      <c r="G99" s="3414" t="s">
        <v>714</v>
      </c>
      <c r="H99" s="3415"/>
      <c r="I99" s="321"/>
      <c r="J99" s="298"/>
      <c r="N99" s="284"/>
      <c r="O99" s="298"/>
      <c r="P99" s="298"/>
      <c r="Q99" s="298"/>
      <c r="V99" s="3435" t="str">
        <f>D99</f>
        <v>%ElectricHeat</v>
      </c>
      <c r="W99" s="322">
        <v>1</v>
      </c>
      <c r="X99" s="322">
        <v>1</v>
      </c>
      <c r="Y99" s="322">
        <v>1</v>
      </c>
      <c r="Z99" s="496">
        <v>1</v>
      </c>
      <c r="AA99" s="496">
        <v>1</v>
      </c>
      <c r="AB99" s="496">
        <v>1</v>
      </c>
      <c r="AC99" s="322"/>
      <c r="AD99" s="322"/>
      <c r="AE99" s="322"/>
      <c r="AF99" s="322"/>
      <c r="AG99" s="322"/>
      <c r="AH99" s="299"/>
      <c r="AU99" s="212"/>
    </row>
    <row r="100" spans="1:54" outlineLevel="1" x14ac:dyDescent="0.25">
      <c r="B100" s="1634"/>
      <c r="C100" s="274"/>
      <c r="D100" s="3433"/>
      <c r="E100" s="2454" t="str">
        <f>E59</f>
        <v>Learning Thermostat - ASHP heating/cooling MF</v>
      </c>
      <c r="F100" s="319">
        <v>1</v>
      </c>
      <c r="G100" s="3414" t="s">
        <v>714</v>
      </c>
      <c r="H100" s="3415"/>
      <c r="I100" s="321"/>
      <c r="J100" s="298"/>
      <c r="N100" s="284"/>
      <c r="O100" s="298"/>
      <c r="P100" s="298"/>
      <c r="Q100" s="298"/>
      <c r="V100" s="3436"/>
      <c r="W100" s="322"/>
      <c r="X100" s="322"/>
      <c r="Y100" s="322">
        <v>1</v>
      </c>
      <c r="Z100" s="496">
        <v>1</v>
      </c>
      <c r="AA100" s="496">
        <v>1</v>
      </c>
      <c r="AB100" s="496">
        <v>1</v>
      </c>
      <c r="AC100" s="322"/>
      <c r="AD100" s="322"/>
      <c r="AE100" s="322"/>
      <c r="AF100" s="322"/>
      <c r="AG100" s="322"/>
      <c r="AH100" s="299"/>
      <c r="AU100" s="212"/>
    </row>
    <row r="101" spans="1:54" outlineLevel="1" x14ac:dyDescent="0.25">
      <c r="B101" s="1634"/>
      <c r="C101" s="274"/>
      <c r="D101" s="3433"/>
      <c r="E101" s="2454" t="str">
        <f>E63</f>
        <v>Learning Thermostat - electric furnace heating / central AC MF</v>
      </c>
      <c r="F101" s="319">
        <v>1</v>
      </c>
      <c r="G101" s="3414" t="s">
        <v>714</v>
      </c>
      <c r="H101" s="3415"/>
      <c r="I101" s="321"/>
      <c r="J101" s="298"/>
      <c r="N101" s="284"/>
      <c r="O101" s="298"/>
      <c r="P101" s="298"/>
      <c r="Q101" s="298"/>
      <c r="V101" s="3436"/>
      <c r="W101" s="322">
        <v>1</v>
      </c>
      <c r="X101" s="322">
        <v>1</v>
      </c>
      <c r="Y101" s="322">
        <v>1</v>
      </c>
      <c r="Z101" s="496">
        <v>1</v>
      </c>
      <c r="AA101" s="496">
        <v>1</v>
      </c>
      <c r="AB101" s="496">
        <v>1</v>
      </c>
      <c r="AC101" s="322"/>
      <c r="AD101" s="322"/>
      <c r="AE101" s="322"/>
      <c r="AF101" s="322"/>
      <c r="AG101" s="322"/>
      <c r="AH101" s="299"/>
      <c r="AU101" s="212"/>
    </row>
    <row r="102" spans="1:54" outlineLevel="1" x14ac:dyDescent="0.25">
      <c r="B102" s="1634"/>
      <c r="C102" s="274"/>
      <c r="D102" s="3433"/>
      <c r="E102" s="2472" t="str">
        <f>E67</f>
        <v>Learning Thermostat - electric furnace heating / central AC SF</v>
      </c>
      <c r="F102" s="319">
        <v>1</v>
      </c>
      <c r="G102" s="3414" t="s">
        <v>714</v>
      </c>
      <c r="H102" s="3415"/>
      <c r="I102" s="321"/>
      <c r="J102" s="298"/>
      <c r="N102" s="284"/>
      <c r="O102" s="298"/>
      <c r="P102" s="298"/>
      <c r="Q102" s="298"/>
      <c r="V102" s="3436"/>
      <c r="W102" s="322">
        <v>1</v>
      </c>
      <c r="X102" s="322">
        <v>1</v>
      </c>
      <c r="Y102" s="322">
        <v>1</v>
      </c>
      <c r="Z102" s="496">
        <v>1</v>
      </c>
      <c r="AA102" s="496">
        <v>1</v>
      </c>
      <c r="AB102" s="496">
        <v>1</v>
      </c>
      <c r="AC102" s="322"/>
      <c r="AD102" s="322"/>
      <c r="AE102" s="322"/>
      <c r="AF102" s="322"/>
      <c r="AG102" s="322"/>
      <c r="AH102" s="299"/>
      <c r="AU102" s="212"/>
    </row>
    <row r="103" spans="1:54" outlineLevel="1" x14ac:dyDescent="0.25">
      <c r="B103" s="1634"/>
      <c r="C103" s="274"/>
      <c r="D103" s="3433"/>
      <c r="E103" s="2472" t="str">
        <f>E69</f>
        <v>Learning Thermostat - Gas Heated / central AC SF**</v>
      </c>
      <c r="F103" s="319">
        <v>0</v>
      </c>
      <c r="G103" s="3414" t="s">
        <v>714</v>
      </c>
      <c r="H103" s="3415"/>
      <c r="I103" s="321"/>
      <c r="J103" s="298"/>
      <c r="N103" s="284"/>
      <c r="O103" s="298"/>
      <c r="P103" s="298"/>
      <c r="Q103" s="298"/>
      <c r="V103" s="3436"/>
      <c r="W103" s="322">
        <v>0</v>
      </c>
      <c r="X103" s="322">
        <v>0</v>
      </c>
      <c r="Y103" s="322">
        <v>0</v>
      </c>
      <c r="Z103" s="496">
        <v>0</v>
      </c>
      <c r="AA103" s="496">
        <v>0</v>
      </c>
      <c r="AB103" s="496">
        <v>0</v>
      </c>
      <c r="AC103" s="322"/>
      <c r="AD103" s="322"/>
      <c r="AE103" s="322"/>
      <c r="AF103" s="322"/>
      <c r="AG103" s="322"/>
      <c r="AH103" s="299"/>
      <c r="AU103" s="212"/>
    </row>
    <row r="104" spans="1:54" outlineLevel="1" x14ac:dyDescent="0.25">
      <c r="B104" s="1634"/>
      <c r="C104" s="274"/>
      <c r="D104" s="3433"/>
      <c r="E104" s="2472" t="str">
        <f>E71</f>
        <v>Learning Thermostat - Gas Heated / central AC MF**</v>
      </c>
      <c r="F104" s="319">
        <v>0</v>
      </c>
      <c r="G104" s="3414" t="s">
        <v>714</v>
      </c>
      <c r="H104" s="3415"/>
      <c r="I104" s="321"/>
      <c r="J104" s="298"/>
      <c r="N104" s="284"/>
      <c r="O104" s="298"/>
      <c r="P104" s="298"/>
      <c r="Q104" s="298"/>
      <c r="V104" s="3436"/>
      <c r="W104" s="322"/>
      <c r="X104" s="322"/>
      <c r="Y104" s="326">
        <v>0</v>
      </c>
      <c r="Z104" s="496">
        <v>0</v>
      </c>
      <c r="AA104" s="496">
        <v>0</v>
      </c>
      <c r="AB104" s="496">
        <v>0</v>
      </c>
      <c r="AC104" s="322"/>
      <c r="AD104" s="322"/>
      <c r="AE104" s="322"/>
      <c r="AF104" s="322"/>
      <c r="AG104" s="322"/>
      <c r="AH104" s="299"/>
      <c r="AU104" s="212"/>
    </row>
    <row r="105" spans="1:54" outlineLevel="1" x14ac:dyDescent="0.25">
      <c r="B105" s="1634"/>
      <c r="C105" s="274"/>
      <c r="D105" s="3433"/>
      <c r="E105" s="2472" t="str">
        <f>E75</f>
        <v>Learning Thermostat - Unknown SF**</v>
      </c>
      <c r="F105" s="319">
        <v>0.16428797970187123</v>
      </c>
      <c r="G105" s="3410" t="s">
        <v>639</v>
      </c>
      <c r="H105" s="3411"/>
      <c r="I105" s="321"/>
      <c r="J105" s="298"/>
      <c r="N105" s="284"/>
      <c r="O105" s="298"/>
      <c r="P105" s="298"/>
      <c r="Q105" s="298"/>
      <c r="V105" s="3436"/>
      <c r="W105" s="322">
        <v>0.35</v>
      </c>
      <c r="X105" s="325">
        <v>0.2446317798632098</v>
      </c>
      <c r="Y105" s="327">
        <v>0.16428797970187123</v>
      </c>
      <c r="Z105" s="2551">
        <v>0.16428797970187123</v>
      </c>
      <c r="AA105" s="2551">
        <v>0.16428797970187123</v>
      </c>
      <c r="AB105" s="496">
        <v>0.16428797970187123</v>
      </c>
      <c r="AC105" s="322"/>
      <c r="AD105" s="322"/>
      <c r="AE105" s="322"/>
      <c r="AF105" s="322"/>
      <c r="AG105" s="322"/>
      <c r="AH105" s="299"/>
      <c r="AU105" s="212"/>
    </row>
    <row r="106" spans="1:54" outlineLevel="1" x14ac:dyDescent="0.25">
      <c r="B106" s="1634"/>
      <c r="C106" s="274"/>
      <c r="D106" s="3434"/>
      <c r="E106" s="2472" t="str">
        <f>E77</f>
        <v>Learning Thermostat - Unknown MF**</v>
      </c>
      <c r="F106" s="319">
        <v>0.16428797970187123</v>
      </c>
      <c r="G106" s="3412"/>
      <c r="H106" s="3413"/>
      <c r="I106" s="321"/>
      <c r="J106" s="298"/>
      <c r="N106" s="284"/>
      <c r="O106" s="298"/>
      <c r="P106" s="298"/>
      <c r="Q106" s="298"/>
      <c r="V106" s="3437"/>
      <c r="W106" s="322"/>
      <c r="X106" s="325"/>
      <c r="Y106" s="327">
        <v>0.16428797970187123</v>
      </c>
      <c r="Z106" s="2551">
        <v>0.16428797970187123</v>
      </c>
      <c r="AA106" s="2551">
        <v>0.16428797970187123</v>
      </c>
      <c r="AB106" s="496">
        <v>0.16428797970187123</v>
      </c>
      <c r="AC106" s="322"/>
      <c r="AD106" s="322"/>
      <c r="AE106" s="322"/>
      <c r="AF106" s="322"/>
      <c r="AG106" s="322"/>
      <c r="AH106" s="299"/>
      <c r="AU106" s="212"/>
    </row>
    <row r="107" spans="1:54" outlineLevel="1" x14ac:dyDescent="0.25">
      <c r="B107" s="1634"/>
      <c r="C107" s="274"/>
      <c r="D107" s="3432" t="s">
        <v>715</v>
      </c>
      <c r="E107" s="2454" t="str">
        <f>$E$99</f>
        <v>Learning Thermostat - ASHP heating/cooling SF</v>
      </c>
      <c r="F107" s="501">
        <v>8354.8764478764479</v>
      </c>
      <c r="G107" s="3404" t="s">
        <v>716</v>
      </c>
      <c r="H107" s="3405"/>
      <c r="I107" s="3442" t="s">
        <v>717</v>
      </c>
      <c r="J107" s="298"/>
      <c r="N107" s="284"/>
      <c r="O107" s="298"/>
      <c r="P107" s="298"/>
      <c r="Q107" s="298"/>
      <c r="V107" s="3435" t="str">
        <f>D107</f>
        <v>HeatingConsumption_Electric</v>
      </c>
      <c r="W107" s="329">
        <v>8320</v>
      </c>
      <c r="X107" s="330">
        <f>206570/25</f>
        <v>8262.7999999999993</v>
      </c>
      <c r="Y107" s="330">
        <v>8354.8764478764479</v>
      </c>
      <c r="Z107" s="501">
        <v>8354.8764478764479</v>
      </c>
      <c r="AA107" s="501">
        <v>8354.8764478764479</v>
      </c>
      <c r="AB107" s="501">
        <v>8354.8764478764479</v>
      </c>
      <c r="AC107" s="329"/>
      <c r="AD107" s="329"/>
      <c r="AE107" s="329"/>
      <c r="AF107" s="329"/>
      <c r="AG107" s="329"/>
      <c r="AH107" s="299"/>
      <c r="AU107" s="212"/>
    </row>
    <row r="108" spans="1:54" outlineLevel="1" x14ac:dyDescent="0.25">
      <c r="B108" s="1634"/>
      <c r="C108" s="274"/>
      <c r="D108" s="3433"/>
      <c r="E108" s="2454" t="str">
        <f>$E$100</f>
        <v>Learning Thermostat - ASHP heating/cooling MF</v>
      </c>
      <c r="F108" s="501">
        <v>8355</v>
      </c>
      <c r="G108" s="3406"/>
      <c r="H108" s="3407"/>
      <c r="I108" s="3443"/>
      <c r="J108" s="298"/>
      <c r="N108" s="284"/>
      <c r="O108" s="298"/>
      <c r="P108" s="298"/>
      <c r="Q108" s="298"/>
      <c r="V108" s="3436"/>
      <c r="W108" s="329"/>
      <c r="X108" s="330"/>
      <c r="Y108" s="330">
        <v>8355</v>
      </c>
      <c r="Z108" s="501">
        <v>8355</v>
      </c>
      <c r="AA108" s="501">
        <v>8355</v>
      </c>
      <c r="AB108" s="501">
        <v>8355</v>
      </c>
      <c r="AC108" s="329"/>
      <c r="AD108" s="329"/>
      <c r="AE108" s="329"/>
      <c r="AF108" s="329"/>
      <c r="AG108" s="329"/>
      <c r="AH108" s="299"/>
      <c r="AU108" s="212"/>
    </row>
    <row r="109" spans="1:54" outlineLevel="1" x14ac:dyDescent="0.25">
      <c r="B109" s="1634"/>
      <c r="C109" s="274"/>
      <c r="D109" s="3433"/>
      <c r="E109" s="2432" t="str">
        <f>E61</f>
        <v>Learning Thermostat - ASHP heating/cooling MF_CompE</v>
      </c>
      <c r="F109" s="501">
        <f>(509/1496)*F108</f>
        <v>2842.7105614973266</v>
      </c>
      <c r="G109" s="3406"/>
      <c r="H109" s="3407"/>
      <c r="I109" s="3443"/>
      <c r="J109" s="298"/>
      <c r="N109" s="284"/>
      <c r="O109" s="298"/>
      <c r="P109" s="298"/>
      <c r="Q109" s="298"/>
      <c r="V109" s="3436"/>
      <c r="W109" s="329"/>
      <c r="X109" s="330"/>
      <c r="Y109" s="330">
        <v>2842.7105614973266</v>
      </c>
      <c r="Z109" s="501">
        <v>2842.7105614973266</v>
      </c>
      <c r="AA109" s="501">
        <v>2842.7105614973266</v>
      </c>
      <c r="AB109" s="501">
        <f>(509/1496)*AB108</f>
        <v>2842.7105614973266</v>
      </c>
      <c r="AC109" s="329"/>
      <c r="AD109" s="329"/>
      <c r="AE109" s="329"/>
      <c r="AF109" s="329"/>
      <c r="AG109" s="329"/>
      <c r="AH109" s="299"/>
      <c r="AU109" s="212"/>
    </row>
    <row r="110" spans="1:54" outlineLevel="1" x14ac:dyDescent="0.25">
      <c r="B110" s="1634"/>
      <c r="C110" s="274"/>
      <c r="D110" s="3433"/>
      <c r="E110" s="2454" t="str">
        <f>$E$101</f>
        <v>Learning Thermostat - electric furnace heating / central AC MF</v>
      </c>
      <c r="F110" s="501">
        <v>14201.965811965812</v>
      </c>
      <c r="G110" s="3406"/>
      <c r="H110" s="3407"/>
      <c r="I110" s="3444"/>
      <c r="J110" s="298"/>
      <c r="N110" s="284"/>
      <c r="O110" s="298"/>
      <c r="P110" s="298"/>
      <c r="Q110" s="298"/>
      <c r="V110" s="3436"/>
      <c r="W110" s="329">
        <f>14144</f>
        <v>14144</v>
      </c>
      <c r="X110" s="330">
        <f>X112</f>
        <v>14193.886792452829</v>
      </c>
      <c r="Y110" s="330">
        <v>14201.965811965812</v>
      </c>
      <c r="Z110" s="501">
        <v>14201.965811965812</v>
      </c>
      <c r="AA110" s="501">
        <v>14201.965811965812</v>
      </c>
      <c r="AB110" s="501">
        <v>14201.965811965812</v>
      </c>
      <c r="AC110" s="329"/>
      <c r="AD110" s="329"/>
      <c r="AE110" s="329"/>
      <c r="AF110" s="329"/>
      <c r="AG110" s="329"/>
      <c r="AH110" s="299"/>
      <c r="AI110" s="332" t="s">
        <v>718</v>
      </c>
      <c r="AJ110" s="333">
        <v>17940</v>
      </c>
      <c r="AK110" s="333">
        <v>10553</v>
      </c>
      <c r="AL110" s="333">
        <v>17017</v>
      </c>
      <c r="AU110" s="212"/>
    </row>
    <row r="111" spans="1:54" outlineLevel="1" x14ac:dyDescent="0.25">
      <c r="B111" s="1634"/>
      <c r="C111" s="274"/>
      <c r="D111" s="3433"/>
      <c r="E111" s="2432" t="str">
        <f>E65</f>
        <v>Learning Thermostat - electric furnace heating / central AC MF_CompE</v>
      </c>
      <c r="F111" s="501">
        <f>(509/1496)*F110</f>
        <v>4832.0859614241972</v>
      </c>
      <c r="G111" s="3406"/>
      <c r="H111" s="3407"/>
      <c r="I111" s="3444"/>
      <c r="J111" s="298"/>
      <c r="N111" s="284"/>
      <c r="O111" s="298"/>
      <c r="P111" s="298"/>
      <c r="Q111" s="298"/>
      <c r="V111" s="3436"/>
      <c r="W111" s="329"/>
      <c r="X111" s="330"/>
      <c r="Y111" s="330">
        <v>4832.0859614241972</v>
      </c>
      <c r="Z111" s="501">
        <v>4832.0859614241972</v>
      </c>
      <c r="AA111" s="501">
        <v>4832.0859614241972</v>
      </c>
      <c r="AB111" s="501">
        <f>(509/1496)*AB110</f>
        <v>4832.0859614241972</v>
      </c>
      <c r="AC111" s="329"/>
      <c r="AD111" s="329"/>
      <c r="AE111" s="329"/>
      <c r="AF111" s="329"/>
      <c r="AG111" s="329"/>
      <c r="AH111" s="299"/>
      <c r="AI111" s="332"/>
      <c r="AJ111" s="333"/>
      <c r="AK111" s="333"/>
      <c r="AL111" s="333"/>
      <c r="AU111" s="212"/>
    </row>
    <row r="112" spans="1:54" outlineLevel="1" x14ac:dyDescent="0.25">
      <c r="B112" s="1634"/>
      <c r="C112" s="274"/>
      <c r="D112" s="3433"/>
      <c r="E112" s="2454" t="str">
        <f>$E$102</f>
        <v>Learning Thermostat - electric furnace heating / central AC SF</v>
      </c>
      <c r="F112" s="501">
        <v>14201.965811965812</v>
      </c>
      <c r="G112" s="3406"/>
      <c r="H112" s="3407"/>
      <c r="I112" s="3444"/>
      <c r="J112" s="298"/>
      <c r="N112" s="284"/>
      <c r="O112" s="298"/>
      <c r="P112" s="298"/>
      <c r="Q112" s="298"/>
      <c r="V112" s="3436"/>
      <c r="W112" s="329">
        <v>14144</v>
      </c>
      <c r="X112" s="330">
        <f>752276/53</f>
        <v>14193.886792452829</v>
      </c>
      <c r="Y112" s="330">
        <v>14201.965811965812</v>
      </c>
      <c r="Z112" s="501">
        <v>14201.965811965812</v>
      </c>
      <c r="AA112" s="501">
        <v>14201.965811965812</v>
      </c>
      <c r="AB112" s="501">
        <v>14201.965811965812</v>
      </c>
      <c r="AC112" s="329"/>
      <c r="AD112" s="329"/>
      <c r="AE112" s="329"/>
      <c r="AF112" s="329"/>
      <c r="AG112" s="329"/>
      <c r="AH112" s="299"/>
      <c r="AI112" s="332" t="s">
        <v>719</v>
      </c>
      <c r="AJ112" s="332">
        <v>19664</v>
      </c>
      <c r="AK112" s="332">
        <v>11567</v>
      </c>
      <c r="AL112" s="332">
        <v>18652</v>
      </c>
      <c r="AU112" s="212"/>
    </row>
    <row r="113" spans="2:47" outlineLevel="1" x14ac:dyDescent="0.25">
      <c r="B113" s="1634"/>
      <c r="C113" s="274"/>
      <c r="D113" s="3433"/>
      <c r="E113" s="2454" t="str">
        <f>$E$103</f>
        <v>Learning Thermostat - Gas Heated / central AC SF**</v>
      </c>
      <c r="F113" s="501">
        <v>0</v>
      </c>
      <c r="G113" s="3406"/>
      <c r="H113" s="3407"/>
      <c r="I113" s="3444"/>
      <c r="J113" s="298"/>
      <c r="N113" s="284"/>
      <c r="O113" s="298"/>
      <c r="P113" s="298"/>
      <c r="Q113" s="298"/>
      <c r="V113" s="3436"/>
      <c r="W113" s="329">
        <v>0</v>
      </c>
      <c r="X113" s="331">
        <v>0</v>
      </c>
      <c r="Y113" s="328">
        <v>0</v>
      </c>
      <c r="Z113" s="501">
        <v>0</v>
      </c>
      <c r="AA113" s="501">
        <v>0</v>
      </c>
      <c r="AB113" s="501">
        <v>0</v>
      </c>
      <c r="AC113" s="329"/>
      <c r="AD113" s="329"/>
      <c r="AE113" s="329"/>
      <c r="AF113" s="329"/>
      <c r="AG113" s="329"/>
      <c r="AH113" s="299"/>
      <c r="AI113" s="332" t="s">
        <v>720</v>
      </c>
      <c r="AJ113" s="333">
        <v>13502</v>
      </c>
      <c r="AK113" s="333">
        <v>7943</v>
      </c>
      <c r="AL113" s="333">
        <v>12807</v>
      </c>
      <c r="AU113" s="212"/>
    </row>
    <row r="114" spans="2:47" outlineLevel="1" x14ac:dyDescent="0.25">
      <c r="B114" s="1634"/>
      <c r="C114" s="274"/>
      <c r="D114" s="3433"/>
      <c r="E114" s="2454" t="str">
        <f>$E$104</f>
        <v>Learning Thermostat - Gas Heated / central AC MF**</v>
      </c>
      <c r="F114" s="501">
        <v>0</v>
      </c>
      <c r="G114" s="3406"/>
      <c r="H114" s="3407"/>
      <c r="I114" s="3444"/>
      <c r="J114" s="298"/>
      <c r="N114" s="284"/>
      <c r="O114" s="298"/>
      <c r="P114" s="298"/>
      <c r="Q114" s="298"/>
      <c r="V114" s="3436"/>
      <c r="W114" s="329"/>
      <c r="X114" s="331"/>
      <c r="Y114" s="330">
        <v>0</v>
      </c>
      <c r="Z114" s="501">
        <v>0</v>
      </c>
      <c r="AA114" s="501">
        <v>0</v>
      </c>
      <c r="AB114" s="501">
        <v>0</v>
      </c>
      <c r="AC114" s="329"/>
      <c r="AD114" s="329"/>
      <c r="AE114" s="329"/>
      <c r="AF114" s="329"/>
      <c r="AG114" s="329"/>
      <c r="AH114" s="299"/>
      <c r="AI114" s="332"/>
      <c r="AJ114" s="333"/>
      <c r="AK114" s="333"/>
      <c r="AL114" s="333"/>
      <c r="AU114" s="212"/>
    </row>
    <row r="115" spans="2:47" outlineLevel="1" x14ac:dyDescent="0.25">
      <c r="B115" s="1634"/>
      <c r="C115" s="274"/>
      <c r="D115" s="3433"/>
      <c r="E115" s="2432" t="str">
        <f>E73</f>
        <v>Learning Thermostat - Gas Heated / central AC MF_CompE**</v>
      </c>
      <c r="F115" s="501">
        <f>(509/1496)*F114</f>
        <v>0</v>
      </c>
      <c r="G115" s="3406"/>
      <c r="H115" s="3407"/>
      <c r="I115" s="3444"/>
      <c r="J115" s="298"/>
      <c r="N115" s="284"/>
      <c r="O115" s="298"/>
      <c r="P115" s="298"/>
      <c r="Q115" s="298"/>
      <c r="V115" s="3436"/>
      <c r="W115" s="329"/>
      <c r="X115" s="331"/>
      <c r="Y115" s="330">
        <v>0</v>
      </c>
      <c r="Z115" s="501">
        <v>0</v>
      </c>
      <c r="AA115" s="501">
        <v>0</v>
      </c>
      <c r="AB115" s="501">
        <f>(509/1496)*AB114</f>
        <v>0</v>
      </c>
      <c r="AC115" s="329"/>
      <c r="AD115" s="329"/>
      <c r="AE115" s="329"/>
      <c r="AF115" s="329"/>
      <c r="AG115" s="329"/>
      <c r="AH115" s="299"/>
      <c r="AI115" s="332"/>
      <c r="AJ115" s="333"/>
      <c r="AK115" s="333"/>
      <c r="AL115" s="333"/>
      <c r="AU115" s="212"/>
    </row>
    <row r="116" spans="2:47" outlineLevel="1" x14ac:dyDescent="0.25">
      <c r="B116" s="1634"/>
      <c r="C116" s="274"/>
      <c r="D116" s="3433"/>
      <c r="E116" s="2454" t="str">
        <f>$E$105</f>
        <v>Learning Thermostat - Unknown SF**</v>
      </c>
      <c r="F116" s="501">
        <v>11456.0072529465</v>
      </c>
      <c r="G116" s="3406"/>
      <c r="H116" s="3407"/>
      <c r="I116" s="3444"/>
      <c r="J116" s="298"/>
      <c r="N116" s="284"/>
      <c r="O116" s="298"/>
      <c r="P116" s="298"/>
      <c r="Q116" s="298"/>
      <c r="V116" s="3436"/>
      <c r="W116" s="331">
        <v>13416</v>
      </c>
      <c r="X116" s="334">
        <v>12382.71</v>
      </c>
      <c r="Y116" s="330">
        <v>11456.0072529465</v>
      </c>
      <c r="Z116" s="501">
        <v>11456.0072529465</v>
      </c>
      <c r="AA116" s="501">
        <v>11456.0072529465</v>
      </c>
      <c r="AB116" s="501">
        <v>11456.0072529465</v>
      </c>
      <c r="AC116" s="329"/>
      <c r="AD116" s="329"/>
      <c r="AE116" s="329"/>
      <c r="AF116" s="329"/>
      <c r="AG116" s="329"/>
      <c r="AH116" s="299"/>
      <c r="AI116" s="332" t="s">
        <v>721</v>
      </c>
      <c r="AJ116" s="333">
        <v>14276</v>
      </c>
      <c r="AK116" s="333">
        <v>8398</v>
      </c>
      <c r="AL116" s="333">
        <v>13541</v>
      </c>
      <c r="AU116" s="212"/>
    </row>
    <row r="117" spans="2:47" outlineLevel="1" x14ac:dyDescent="0.25">
      <c r="B117" s="1634"/>
      <c r="C117" s="274"/>
      <c r="D117" s="3362"/>
      <c r="E117" s="2454" t="str">
        <f>$E$106</f>
        <v>Learning Thermostat - Unknown MF**</v>
      </c>
      <c r="F117" s="501">
        <v>11456.0072529465</v>
      </c>
      <c r="G117" s="3406"/>
      <c r="H117" s="3407"/>
      <c r="I117" s="3444"/>
      <c r="J117" s="298"/>
      <c r="N117" s="284"/>
      <c r="O117" s="298"/>
      <c r="P117" s="298"/>
      <c r="Q117" s="298"/>
      <c r="V117" s="3439"/>
      <c r="W117" s="331"/>
      <c r="X117" s="334"/>
      <c r="Y117" s="330">
        <v>11456.0072529465</v>
      </c>
      <c r="Z117" s="501">
        <v>11456.0072529465</v>
      </c>
      <c r="AA117" s="501">
        <v>11456.0072529465</v>
      </c>
      <c r="AB117" s="501">
        <v>11456.0072529465</v>
      </c>
      <c r="AC117" s="329"/>
      <c r="AD117" s="329"/>
      <c r="AE117" s="329"/>
      <c r="AF117" s="329"/>
      <c r="AG117" s="329"/>
      <c r="AH117" s="299"/>
      <c r="AI117" s="332"/>
      <c r="AJ117" s="333"/>
      <c r="AK117" s="333"/>
      <c r="AL117" s="333"/>
      <c r="AU117" s="212"/>
    </row>
    <row r="118" spans="2:47" outlineLevel="1" x14ac:dyDescent="0.25">
      <c r="B118" s="1634"/>
      <c r="C118" s="274"/>
      <c r="D118" s="3434"/>
      <c r="E118" s="2432" t="str">
        <f>E79</f>
        <v>Learning Thermostat - Unknown MF_CompE**</v>
      </c>
      <c r="F118" s="501">
        <f>(509/1496)*F117</f>
        <v>3897.799259191022</v>
      </c>
      <c r="G118" s="3408"/>
      <c r="H118" s="3409"/>
      <c r="I118" s="3445"/>
      <c r="J118" s="298"/>
      <c r="N118" s="284"/>
      <c r="O118" s="298"/>
      <c r="P118" s="298"/>
      <c r="Q118" s="298"/>
      <c r="V118" s="3437"/>
      <c r="W118" s="331"/>
      <c r="X118" s="334"/>
      <c r="Y118" s="330">
        <v>3897.799259191022</v>
      </c>
      <c r="Z118" s="501">
        <v>3897.799259191022</v>
      </c>
      <c r="AA118" s="501">
        <v>3897.799259191022</v>
      </c>
      <c r="AB118" s="501">
        <f>(509/1496)*AB117</f>
        <v>3897.799259191022</v>
      </c>
      <c r="AC118" s="329"/>
      <c r="AD118" s="329"/>
      <c r="AE118" s="329"/>
      <c r="AF118" s="329"/>
      <c r="AG118" s="329"/>
      <c r="AH118" s="299"/>
      <c r="AI118" s="332"/>
      <c r="AJ118" s="333"/>
      <c r="AK118" s="333"/>
      <c r="AL118" s="333"/>
      <c r="AU118" s="212"/>
    </row>
    <row r="119" spans="2:47" outlineLevel="1" x14ac:dyDescent="0.25">
      <c r="B119" s="1634"/>
      <c r="C119" s="274"/>
      <c r="D119" s="3432" t="s">
        <v>722</v>
      </c>
      <c r="E119" s="2454" t="str">
        <f>$E$99</f>
        <v>Learning Thermostat - ASHP heating/cooling SF</v>
      </c>
      <c r="F119" s="496">
        <v>1</v>
      </c>
      <c r="G119" s="3414" t="s">
        <v>714</v>
      </c>
      <c r="H119" s="3415"/>
      <c r="I119" s="321"/>
      <c r="J119" s="298"/>
      <c r="N119" s="284"/>
      <c r="O119" s="298"/>
      <c r="P119" s="298"/>
      <c r="Q119" s="298"/>
      <c r="V119" s="3435" t="str">
        <f>D119</f>
        <v>HF</v>
      </c>
      <c r="W119" s="322">
        <v>1</v>
      </c>
      <c r="X119" s="322">
        <v>1</v>
      </c>
      <c r="Y119" s="323">
        <v>1</v>
      </c>
      <c r="Z119" s="496">
        <v>1</v>
      </c>
      <c r="AA119" s="496">
        <v>1</v>
      </c>
      <c r="AB119" s="496">
        <v>1</v>
      </c>
      <c r="AC119" s="322"/>
      <c r="AD119" s="322"/>
      <c r="AE119" s="322"/>
      <c r="AF119" s="322"/>
      <c r="AG119" s="322"/>
      <c r="AH119" s="299"/>
      <c r="AI119" s="332" t="s">
        <v>723</v>
      </c>
      <c r="AJ119" s="333">
        <v>14144</v>
      </c>
      <c r="AK119" s="333">
        <v>8320</v>
      </c>
      <c r="AL119" s="333">
        <v>13416</v>
      </c>
      <c r="AU119" s="212"/>
    </row>
    <row r="120" spans="2:47" outlineLevel="1" x14ac:dyDescent="0.25">
      <c r="B120" s="1634"/>
      <c r="C120" s="274"/>
      <c r="D120" s="3433"/>
      <c r="E120" s="2454" t="str">
        <f>$E$100</f>
        <v>Learning Thermostat - ASHP heating/cooling MF</v>
      </c>
      <c r="F120" s="496">
        <v>0.65</v>
      </c>
      <c r="G120" s="3414" t="s">
        <v>714</v>
      </c>
      <c r="H120" s="3415"/>
      <c r="I120" s="321"/>
      <c r="J120" s="298"/>
      <c r="N120" s="284"/>
      <c r="O120" s="298"/>
      <c r="P120" s="298"/>
      <c r="Q120" s="298"/>
      <c r="V120" s="3436"/>
      <c r="W120" s="322"/>
      <c r="X120" s="322"/>
      <c r="Y120" s="325">
        <v>0.65</v>
      </c>
      <c r="Z120" s="496">
        <v>0.65</v>
      </c>
      <c r="AA120" s="496">
        <v>0.65</v>
      </c>
      <c r="AB120" s="496">
        <v>0.65</v>
      </c>
      <c r="AC120" s="322"/>
      <c r="AD120" s="322"/>
      <c r="AE120" s="322"/>
      <c r="AF120" s="322"/>
      <c r="AG120" s="322"/>
      <c r="AH120" s="299"/>
      <c r="AI120" s="332"/>
      <c r="AJ120" s="333"/>
      <c r="AK120" s="333"/>
      <c r="AL120" s="333"/>
      <c r="AU120" s="212"/>
    </row>
    <row r="121" spans="2:47" outlineLevel="1" x14ac:dyDescent="0.25">
      <c r="B121" s="1634"/>
      <c r="C121" s="274"/>
      <c r="D121" s="3433"/>
      <c r="E121" s="2454" t="str">
        <f>$E$101</f>
        <v>Learning Thermostat - electric furnace heating / central AC MF</v>
      </c>
      <c r="F121" s="496">
        <v>0.65</v>
      </c>
      <c r="G121" s="3414" t="s">
        <v>714</v>
      </c>
      <c r="H121" s="3415"/>
      <c r="I121" s="321"/>
      <c r="J121" s="298"/>
      <c r="N121" s="284"/>
      <c r="O121" s="298"/>
      <c r="P121" s="298"/>
      <c r="Q121" s="298"/>
      <c r="V121" s="3436"/>
      <c r="W121" s="322">
        <v>0.65</v>
      </c>
      <c r="X121" s="322">
        <v>0.65</v>
      </c>
      <c r="Y121" s="323">
        <v>0.65</v>
      </c>
      <c r="Z121" s="496">
        <v>0.65</v>
      </c>
      <c r="AA121" s="496">
        <v>0.65</v>
      </c>
      <c r="AB121" s="496">
        <v>0.65</v>
      </c>
      <c r="AC121" s="322"/>
      <c r="AD121" s="322"/>
      <c r="AE121" s="322"/>
      <c r="AF121" s="322"/>
      <c r="AG121" s="322"/>
      <c r="AH121" s="299"/>
      <c r="AI121" s="332" t="s">
        <v>724</v>
      </c>
      <c r="AJ121" s="333">
        <v>16272</v>
      </c>
      <c r="AK121" s="333">
        <v>9572</v>
      </c>
      <c r="AL121" s="333">
        <v>15435</v>
      </c>
      <c r="AU121" s="212"/>
    </row>
    <row r="122" spans="2:47" outlineLevel="1" x14ac:dyDescent="0.25">
      <c r="B122" s="1634"/>
      <c r="C122" s="274"/>
      <c r="D122" s="3433"/>
      <c r="E122" s="2454" t="str">
        <f>$E$102</f>
        <v>Learning Thermostat - electric furnace heating / central AC SF</v>
      </c>
      <c r="F122" s="496">
        <v>1</v>
      </c>
      <c r="G122" s="3414" t="s">
        <v>714</v>
      </c>
      <c r="H122" s="3415"/>
      <c r="I122" s="321"/>
      <c r="J122" s="298"/>
      <c r="N122" s="284"/>
      <c r="O122" s="298"/>
      <c r="P122" s="298"/>
      <c r="Q122" s="298"/>
      <c r="V122" s="3436"/>
      <c r="W122" s="322">
        <v>1</v>
      </c>
      <c r="X122" s="322">
        <v>1</v>
      </c>
      <c r="Y122" s="323">
        <v>1</v>
      </c>
      <c r="Z122" s="496">
        <v>1</v>
      </c>
      <c r="AA122" s="496">
        <v>1</v>
      </c>
      <c r="AB122" s="496">
        <v>1</v>
      </c>
      <c r="AC122" s="322"/>
      <c r="AD122" s="322"/>
      <c r="AE122" s="322"/>
      <c r="AF122" s="322"/>
      <c r="AG122" s="322"/>
      <c r="AH122" s="299"/>
      <c r="AI122" s="332" t="s">
        <v>725</v>
      </c>
      <c r="AJ122" s="333">
        <v>16184</v>
      </c>
      <c r="AK122" s="333">
        <v>9520</v>
      </c>
      <c r="AL122" s="333">
        <v>15351</v>
      </c>
      <c r="AU122" s="212"/>
    </row>
    <row r="123" spans="2:47" outlineLevel="1" x14ac:dyDescent="0.25">
      <c r="B123" s="1634"/>
      <c r="C123" s="274"/>
      <c r="D123" s="3433"/>
      <c r="E123" s="2454" t="str">
        <f>$E$103</f>
        <v>Learning Thermostat - Gas Heated / central AC SF**</v>
      </c>
      <c r="F123" s="496">
        <v>1</v>
      </c>
      <c r="G123" s="3414" t="s">
        <v>714</v>
      </c>
      <c r="H123" s="3415"/>
      <c r="I123" s="321"/>
      <c r="J123" s="298"/>
      <c r="N123" s="284"/>
      <c r="O123" s="298"/>
      <c r="P123" s="298"/>
      <c r="Q123" s="298"/>
      <c r="V123" s="3436"/>
      <c r="W123" s="322">
        <v>1</v>
      </c>
      <c r="X123" s="322">
        <v>1</v>
      </c>
      <c r="Y123" s="322">
        <v>1</v>
      </c>
      <c r="Z123" s="496">
        <v>1</v>
      </c>
      <c r="AA123" s="496">
        <v>1</v>
      </c>
      <c r="AB123" s="496">
        <v>1</v>
      </c>
      <c r="AC123" s="322"/>
      <c r="AD123" s="322"/>
      <c r="AE123" s="322"/>
      <c r="AF123" s="322"/>
      <c r="AG123" s="322"/>
      <c r="AH123" s="299"/>
      <c r="AU123" s="212"/>
    </row>
    <row r="124" spans="2:47" outlineLevel="1" x14ac:dyDescent="0.25">
      <c r="B124" s="1634"/>
      <c r="C124" s="274"/>
      <c r="D124" s="3433"/>
      <c r="E124" s="2454" t="str">
        <f>$E$104</f>
        <v>Learning Thermostat - Gas Heated / central AC MF**</v>
      </c>
      <c r="F124" s="496">
        <v>0.65</v>
      </c>
      <c r="G124" s="3414"/>
      <c r="H124" s="3415"/>
      <c r="I124" s="321"/>
      <c r="J124" s="298"/>
      <c r="N124" s="284"/>
      <c r="O124" s="298"/>
      <c r="P124" s="298"/>
      <c r="Q124" s="298"/>
      <c r="V124" s="3436"/>
      <c r="W124" s="322"/>
      <c r="X124" s="322"/>
      <c r="Y124" s="326">
        <v>0.65</v>
      </c>
      <c r="Z124" s="496">
        <v>0.65</v>
      </c>
      <c r="AA124" s="496">
        <v>0.65</v>
      </c>
      <c r="AB124" s="496">
        <v>0.65</v>
      </c>
      <c r="AC124" s="322"/>
      <c r="AD124" s="322"/>
      <c r="AE124" s="322"/>
      <c r="AF124" s="322"/>
      <c r="AG124" s="322"/>
      <c r="AH124" s="299"/>
      <c r="AU124" s="212"/>
    </row>
    <row r="125" spans="2:47" outlineLevel="1" x14ac:dyDescent="0.25">
      <c r="B125" s="1634"/>
      <c r="C125" s="274"/>
      <c r="D125" s="3433"/>
      <c r="E125" s="2454" t="str">
        <f>$E$105</f>
        <v>Learning Thermostat - Unknown SF**</v>
      </c>
      <c r="F125" s="2552">
        <v>1</v>
      </c>
      <c r="G125" s="3410" t="s">
        <v>639</v>
      </c>
      <c r="H125" s="3411"/>
      <c r="I125" s="321"/>
      <c r="J125" s="298"/>
      <c r="N125" s="284"/>
      <c r="O125" s="298"/>
      <c r="P125" s="298"/>
      <c r="Q125" s="298"/>
      <c r="V125" s="3436"/>
      <c r="W125" s="322">
        <v>1</v>
      </c>
      <c r="X125" s="336">
        <v>0.96572336230188205</v>
      </c>
      <c r="Y125" s="335">
        <v>1</v>
      </c>
      <c r="Z125" s="2552">
        <v>1</v>
      </c>
      <c r="AA125" s="2552">
        <v>1</v>
      </c>
      <c r="AB125" s="2552">
        <v>1</v>
      </c>
      <c r="AC125" s="322"/>
      <c r="AD125" s="322"/>
      <c r="AE125" s="322"/>
      <c r="AF125" s="322"/>
      <c r="AG125" s="322"/>
      <c r="AH125" s="299"/>
      <c r="AJ125" s="337"/>
      <c r="AU125" s="212"/>
    </row>
    <row r="126" spans="2:47" outlineLevel="1" x14ac:dyDescent="0.25">
      <c r="B126" s="1634"/>
      <c r="C126" s="274"/>
      <c r="D126" s="3434"/>
      <c r="E126" s="2454" t="str">
        <f>$E$106</f>
        <v>Learning Thermostat - Unknown MF**</v>
      </c>
      <c r="F126" s="2552">
        <v>0.65</v>
      </c>
      <c r="G126" s="3412"/>
      <c r="H126" s="3413"/>
      <c r="I126" s="321"/>
      <c r="J126" s="298"/>
      <c r="N126" s="284"/>
      <c r="O126" s="298"/>
      <c r="P126" s="298"/>
      <c r="Q126" s="298"/>
      <c r="V126" s="3437"/>
      <c r="W126" s="322"/>
      <c r="X126" s="336"/>
      <c r="Y126" s="335">
        <v>0.65</v>
      </c>
      <c r="Z126" s="2552">
        <v>0.65</v>
      </c>
      <c r="AA126" s="2552">
        <v>0.65</v>
      </c>
      <c r="AB126" s="2552">
        <v>0.65</v>
      </c>
      <c r="AC126" s="322"/>
      <c r="AD126" s="322"/>
      <c r="AE126" s="322"/>
      <c r="AF126" s="322"/>
      <c r="AG126" s="322"/>
      <c r="AH126" s="299"/>
      <c r="AJ126" s="337"/>
      <c r="AU126" s="212"/>
    </row>
    <row r="127" spans="2:47" outlineLevel="1" x14ac:dyDescent="0.25">
      <c r="B127" s="1634"/>
      <c r="C127" s="274"/>
      <c r="D127" s="3432" t="s">
        <v>726</v>
      </c>
      <c r="E127" s="2454" t="s">
        <v>3775</v>
      </c>
      <c r="F127" s="2552">
        <f>SUMPRODUCT(F128:F130,I128:I130)</f>
        <v>6.668717948717949E-2</v>
      </c>
      <c r="G127" s="3404" t="s">
        <v>727</v>
      </c>
      <c r="H127" s="3405"/>
      <c r="I127" s="2895" t="s">
        <v>3779</v>
      </c>
      <c r="J127" s="298"/>
      <c r="N127" s="284"/>
      <c r="O127" s="298"/>
      <c r="P127" s="298"/>
      <c r="Q127" s="298"/>
      <c r="V127" s="3435" t="str">
        <f>D127</f>
        <v>HeatingReduction</v>
      </c>
      <c r="W127" s="338">
        <v>7.3999999999999996E-2</v>
      </c>
      <c r="X127" s="339">
        <v>6.6879999999999995E-2</v>
      </c>
      <c r="Y127" s="339">
        <v>6.668717948717949E-2</v>
      </c>
      <c r="Z127" s="2553">
        <v>6.668717948717949E-2</v>
      </c>
      <c r="AA127" s="2553">
        <v>6.668717948717949E-2</v>
      </c>
      <c r="AB127" s="2552">
        <v>6.668717948717949E-2</v>
      </c>
      <c r="AC127" s="338"/>
      <c r="AD127" s="338"/>
      <c r="AE127" s="338"/>
      <c r="AF127" s="338"/>
      <c r="AG127" s="338"/>
      <c r="AH127" s="299"/>
      <c r="AJ127" s="337"/>
      <c r="AU127" s="212"/>
    </row>
    <row r="128" spans="2:47" outlineLevel="1" x14ac:dyDescent="0.25">
      <c r="B128" s="1634"/>
      <c r="C128" s="274"/>
      <c r="D128" s="3433"/>
      <c r="E128" s="2454" t="s">
        <v>3776</v>
      </c>
      <c r="F128" s="2552">
        <v>8.7999999999999995E-2</v>
      </c>
      <c r="G128" s="3406"/>
      <c r="H128" s="3407"/>
      <c r="I128" s="341">
        <v>0.42820512820512818</v>
      </c>
      <c r="J128" s="298"/>
      <c r="N128" s="284"/>
      <c r="O128" s="298"/>
      <c r="P128" s="298"/>
      <c r="Q128" s="298"/>
      <c r="V128" s="3436"/>
      <c r="W128" s="338"/>
      <c r="X128" s="339"/>
      <c r="Y128" s="339"/>
      <c r="Z128" s="2553"/>
      <c r="AA128" s="2553"/>
      <c r="AB128" s="2554">
        <v>7.3999999999999996E-2</v>
      </c>
      <c r="AC128" s="338"/>
      <c r="AD128" s="338"/>
      <c r="AE128" s="338"/>
      <c r="AF128" s="338"/>
      <c r="AG128" s="338"/>
      <c r="AH128" s="299"/>
      <c r="AJ128" s="337"/>
      <c r="AU128" s="212"/>
    </row>
    <row r="129" spans="2:47" outlineLevel="1" x14ac:dyDescent="0.25">
      <c r="B129" s="1634"/>
      <c r="C129" s="274"/>
      <c r="D129" s="3433"/>
      <c r="E129" s="2454" t="s">
        <v>3777</v>
      </c>
      <c r="F129" s="2552">
        <v>5.6000000000000001E-2</v>
      </c>
      <c r="G129" s="3406"/>
      <c r="H129" s="3407"/>
      <c r="I129" s="341">
        <v>0.517948717948718</v>
      </c>
      <c r="J129" s="298"/>
      <c r="N129" s="284"/>
      <c r="O129" s="298"/>
      <c r="P129" s="298"/>
      <c r="Q129" s="298"/>
      <c r="V129" s="3436"/>
      <c r="W129" s="338"/>
      <c r="X129" s="339"/>
      <c r="Y129" s="339"/>
      <c r="Z129" s="2553"/>
      <c r="AA129" s="2553"/>
      <c r="AB129" s="2554">
        <v>8.7999999999999995E-2</v>
      </c>
      <c r="AC129" s="338"/>
      <c r="AD129" s="338"/>
      <c r="AE129" s="338"/>
      <c r="AF129" s="338"/>
      <c r="AG129" s="338"/>
      <c r="AH129" s="299"/>
      <c r="AJ129" s="337"/>
      <c r="AU129" s="212"/>
    </row>
    <row r="130" spans="2:47" outlineLevel="1" x14ac:dyDescent="0.25">
      <c r="B130" s="1634"/>
      <c r="C130" s="274"/>
      <c r="D130" s="3440"/>
      <c r="E130" s="2454" t="s">
        <v>3778</v>
      </c>
      <c r="F130" s="2552">
        <v>0</v>
      </c>
      <c r="G130" s="3408"/>
      <c r="H130" s="3409"/>
      <c r="I130" s="341">
        <v>5.3846153846153849E-2</v>
      </c>
      <c r="J130" s="298"/>
      <c r="N130" s="284"/>
      <c r="O130" s="298"/>
      <c r="P130" s="298"/>
      <c r="Q130" s="298"/>
      <c r="V130" s="3441"/>
      <c r="W130" s="338"/>
      <c r="X130" s="339"/>
      <c r="Y130" s="339"/>
      <c r="Z130" s="2553"/>
      <c r="AA130" s="2553"/>
      <c r="AB130" s="2554">
        <v>5.6000000000000001E-2</v>
      </c>
      <c r="AC130" s="338"/>
      <c r="AD130" s="338"/>
      <c r="AE130" s="338"/>
      <c r="AF130" s="338"/>
      <c r="AG130" s="338"/>
      <c r="AH130" s="299"/>
      <c r="AJ130" s="337"/>
      <c r="AU130" s="212"/>
    </row>
    <row r="131" spans="2:47" outlineLevel="1" x14ac:dyDescent="0.25">
      <c r="B131" s="1634"/>
      <c r="C131" s="274"/>
      <c r="D131" s="3432" t="s">
        <v>728</v>
      </c>
      <c r="E131" s="2454" t="s">
        <v>591</v>
      </c>
      <c r="F131" s="2552">
        <v>0.98799999999999999</v>
      </c>
      <c r="G131" s="3414" t="s">
        <v>3510</v>
      </c>
      <c r="H131" s="3415"/>
      <c r="I131" s="320" t="s">
        <v>729</v>
      </c>
      <c r="J131" s="298"/>
      <c r="L131" s="1639"/>
      <c r="N131" s="284"/>
      <c r="O131" s="298"/>
      <c r="P131" s="298"/>
      <c r="Q131" s="298"/>
      <c r="V131" s="3435" t="str">
        <f>D131</f>
        <v>Eff_ISR</v>
      </c>
      <c r="W131" s="322">
        <v>1</v>
      </c>
      <c r="X131" s="323">
        <v>1</v>
      </c>
      <c r="Y131" s="341">
        <v>1</v>
      </c>
      <c r="Z131" s="496">
        <v>1</v>
      </c>
      <c r="AA131" s="496">
        <v>1</v>
      </c>
      <c r="AB131" s="2554">
        <v>0.98799999999999999</v>
      </c>
      <c r="AC131" s="322"/>
      <c r="AD131" s="322"/>
      <c r="AE131" s="322"/>
      <c r="AF131" s="322"/>
      <c r="AG131" s="322"/>
      <c r="AH131" s="299"/>
      <c r="AJ131" s="337"/>
      <c r="AU131" s="212"/>
    </row>
    <row r="132" spans="2:47" outlineLevel="1" x14ac:dyDescent="0.25">
      <c r="B132" s="1634"/>
      <c r="C132" s="274"/>
      <c r="D132" s="3440"/>
      <c r="E132" s="2454" t="s">
        <v>3511</v>
      </c>
      <c r="F132" s="496">
        <v>1</v>
      </c>
      <c r="G132" s="3414" t="s">
        <v>3512</v>
      </c>
      <c r="H132" s="3415"/>
      <c r="I132" s="321"/>
      <c r="J132" s="298"/>
      <c r="L132" s="1639"/>
      <c r="N132" s="284"/>
      <c r="O132" s="298"/>
      <c r="P132" s="298"/>
      <c r="Q132" s="298"/>
      <c r="V132" s="3441"/>
      <c r="W132" s="322"/>
      <c r="X132" s="323"/>
      <c r="Y132" s="341"/>
      <c r="Z132" s="496"/>
      <c r="AA132" s="496"/>
      <c r="AB132" s="2555">
        <v>1</v>
      </c>
      <c r="AC132" s="322"/>
      <c r="AD132" s="322"/>
      <c r="AE132" s="322"/>
      <c r="AF132" s="322"/>
      <c r="AG132" s="322"/>
      <c r="AH132" s="299"/>
      <c r="AJ132" s="337"/>
      <c r="AU132" s="212"/>
    </row>
    <row r="133" spans="2:47" outlineLevel="1" x14ac:dyDescent="0.25">
      <c r="B133" s="1634"/>
      <c r="C133" s="274"/>
      <c r="D133" s="3432" t="s">
        <v>730</v>
      </c>
      <c r="E133" s="2454" t="str">
        <f>$E$99</f>
        <v>Learning Thermostat - ASHP heating/cooling SF</v>
      </c>
      <c r="F133" s="2556">
        <f t="shared" ref="F133:F140" si="6">F156*$F$164*F119*$F$127*$F$131</f>
        <v>0</v>
      </c>
      <c r="G133" s="3404" t="s">
        <v>731</v>
      </c>
      <c r="H133" s="3405"/>
      <c r="I133" s="321"/>
      <c r="J133" s="298"/>
      <c r="N133" s="284"/>
      <c r="O133" s="298"/>
      <c r="P133" s="298"/>
      <c r="Q133" s="298"/>
      <c r="V133" s="3435" t="str">
        <f>D133</f>
        <v>∆Therms</v>
      </c>
      <c r="W133" s="344">
        <f>W156*W$164*W119*W$127*W$131</f>
        <v>50.32</v>
      </c>
      <c r="X133" s="344">
        <f>X156*X$164*X119*X$127*X$131</f>
        <v>0</v>
      </c>
      <c r="Y133" s="344">
        <v>0</v>
      </c>
      <c r="Z133" s="2556">
        <v>0</v>
      </c>
      <c r="AA133" s="2556">
        <v>0</v>
      </c>
      <c r="AB133" s="2556">
        <v>0</v>
      </c>
      <c r="AC133" s="344"/>
      <c r="AD133" s="344"/>
      <c r="AE133" s="344"/>
      <c r="AF133" s="344"/>
      <c r="AG133" s="344"/>
      <c r="AH133" s="299"/>
      <c r="AU133" s="212"/>
    </row>
    <row r="134" spans="2:47" outlineLevel="1" x14ac:dyDescent="0.25">
      <c r="B134" s="1634"/>
      <c r="C134" s="274"/>
      <c r="D134" s="3433"/>
      <c r="E134" s="2454" t="str">
        <f>$E$100</f>
        <v>Learning Thermostat - ASHP heating/cooling MF</v>
      </c>
      <c r="F134" s="2556">
        <f t="shared" si="6"/>
        <v>0</v>
      </c>
      <c r="G134" s="3406"/>
      <c r="H134" s="3407"/>
      <c r="I134" s="321"/>
      <c r="J134" s="298"/>
      <c r="N134" s="284"/>
      <c r="O134" s="298"/>
      <c r="P134" s="298"/>
      <c r="Q134" s="298"/>
      <c r="V134" s="3436"/>
      <c r="W134" s="344"/>
      <c r="X134" s="344"/>
      <c r="Y134" s="346">
        <v>0</v>
      </c>
      <c r="Z134" s="2556">
        <v>0</v>
      </c>
      <c r="AA134" s="2556">
        <v>0</v>
      </c>
      <c r="AB134" s="2556">
        <v>0</v>
      </c>
      <c r="AC134" s="344"/>
      <c r="AD134" s="344"/>
      <c r="AE134" s="344"/>
      <c r="AF134" s="344"/>
      <c r="AG134" s="344"/>
      <c r="AH134" s="299"/>
      <c r="AU134" s="212"/>
    </row>
    <row r="135" spans="2:47" outlineLevel="1" x14ac:dyDescent="0.25">
      <c r="B135" s="1634"/>
      <c r="C135" s="274"/>
      <c r="D135" s="3433"/>
      <c r="E135" s="2454" t="str">
        <f>$E$101</f>
        <v>Learning Thermostat - electric furnace heating / central AC MF</v>
      </c>
      <c r="F135" s="2556">
        <f t="shared" si="6"/>
        <v>0</v>
      </c>
      <c r="G135" s="3406"/>
      <c r="H135" s="3407"/>
      <c r="I135" s="321"/>
      <c r="J135" s="298"/>
      <c r="N135" s="284"/>
      <c r="O135" s="298"/>
      <c r="P135" s="298"/>
      <c r="Q135" s="298"/>
      <c r="V135" s="3436"/>
      <c r="W135" s="344">
        <f t="shared" ref="W135:X137" si="7">W158*W$164*W121*W$127*W$131</f>
        <v>32.707999999999998</v>
      </c>
      <c r="X135" s="344">
        <f t="shared" si="7"/>
        <v>0</v>
      </c>
      <c r="Y135" s="344">
        <v>0</v>
      </c>
      <c r="Z135" s="2556">
        <v>0</v>
      </c>
      <c r="AA135" s="2556">
        <v>0</v>
      </c>
      <c r="AB135" s="2556">
        <v>0</v>
      </c>
      <c r="AC135" s="344"/>
      <c r="AD135" s="344"/>
      <c r="AE135" s="344"/>
      <c r="AF135" s="344"/>
      <c r="AG135" s="344"/>
      <c r="AH135" s="299"/>
      <c r="AJ135" s="337"/>
      <c r="AU135" s="212"/>
    </row>
    <row r="136" spans="2:47" outlineLevel="1" x14ac:dyDescent="0.25">
      <c r="B136" s="1634"/>
      <c r="C136" s="274"/>
      <c r="D136" s="3433"/>
      <c r="E136" s="2454" t="str">
        <f>$E$102</f>
        <v>Learning Thermostat - electric furnace heating / central AC SF</v>
      </c>
      <c r="F136" s="2556">
        <f t="shared" si="6"/>
        <v>0</v>
      </c>
      <c r="G136" s="3406"/>
      <c r="H136" s="3407"/>
      <c r="I136" s="321"/>
      <c r="J136" s="298"/>
      <c r="N136" s="284"/>
      <c r="O136" s="298"/>
      <c r="P136" s="298"/>
      <c r="Q136" s="298"/>
      <c r="V136" s="3436"/>
      <c r="W136" s="344">
        <f t="shared" si="7"/>
        <v>50.32</v>
      </c>
      <c r="X136" s="344">
        <f t="shared" si="7"/>
        <v>0</v>
      </c>
      <c r="Y136" s="344">
        <v>0</v>
      </c>
      <c r="Z136" s="2556">
        <v>0</v>
      </c>
      <c r="AA136" s="2556">
        <v>0</v>
      </c>
      <c r="AB136" s="2556">
        <v>0</v>
      </c>
      <c r="AC136" s="344"/>
      <c r="AD136" s="344"/>
      <c r="AE136" s="344"/>
      <c r="AF136" s="344"/>
      <c r="AG136" s="344"/>
      <c r="AH136" s="299"/>
      <c r="AJ136" s="337"/>
      <c r="AU136" s="212"/>
    </row>
    <row r="137" spans="2:47" outlineLevel="1" x14ac:dyDescent="0.25">
      <c r="B137" s="1634"/>
      <c r="C137" s="274"/>
      <c r="D137" s="3433"/>
      <c r="E137" s="2454" t="str">
        <f>$E$103</f>
        <v>Learning Thermostat - Gas Heated / central AC SF**</v>
      </c>
      <c r="F137" s="2556">
        <f t="shared" si="6"/>
        <v>44.944257776146785</v>
      </c>
      <c r="G137" s="3406"/>
      <c r="H137" s="3407"/>
      <c r="I137" s="321"/>
      <c r="J137" s="298"/>
      <c r="N137" s="284"/>
      <c r="O137" s="298"/>
      <c r="P137" s="298"/>
      <c r="Q137" s="298"/>
      <c r="V137" s="3436"/>
      <c r="W137" s="344">
        <f t="shared" si="7"/>
        <v>50.32</v>
      </c>
      <c r="X137" s="344">
        <f t="shared" si="7"/>
        <v>45.643001839969074</v>
      </c>
      <c r="Y137" s="342">
        <v>45.490139449541282</v>
      </c>
      <c r="Z137" s="2556">
        <v>45.490139449541282</v>
      </c>
      <c r="AA137" s="2556">
        <v>45.490139449541282</v>
      </c>
      <c r="AB137" s="2556">
        <v>44.944257776146785</v>
      </c>
      <c r="AC137" s="344"/>
      <c r="AD137" s="344"/>
      <c r="AE137" s="344"/>
      <c r="AF137" s="344"/>
      <c r="AG137" s="344"/>
      <c r="AH137" s="299"/>
      <c r="AJ137" s="337"/>
      <c r="AU137" s="212"/>
    </row>
    <row r="138" spans="2:47" outlineLevel="1" x14ac:dyDescent="0.25">
      <c r="B138" s="1634"/>
      <c r="C138" s="274"/>
      <c r="D138" s="3433"/>
      <c r="E138" s="2454" t="str">
        <f>$E$104</f>
        <v>Learning Thermostat - Gas Heated / central AC MF**</v>
      </c>
      <c r="F138" s="2556">
        <f t="shared" si="6"/>
        <v>29.213767554495412</v>
      </c>
      <c r="G138" s="3406"/>
      <c r="H138" s="3407"/>
      <c r="I138" s="321"/>
      <c r="J138" s="298"/>
      <c r="N138" s="284"/>
      <c r="O138" s="298"/>
      <c r="P138" s="298"/>
      <c r="Q138" s="298"/>
      <c r="V138" s="3436"/>
      <c r="W138" s="344"/>
      <c r="X138" s="344"/>
      <c r="Y138" s="342">
        <v>29.568590642201833</v>
      </c>
      <c r="Z138" s="2556">
        <v>29.568590642201833</v>
      </c>
      <c r="AA138" s="2556">
        <v>29.568590642201833</v>
      </c>
      <c r="AB138" s="2556">
        <v>29.213767554495412</v>
      </c>
      <c r="AC138" s="344"/>
      <c r="AD138" s="344"/>
      <c r="AE138" s="344"/>
      <c r="AF138" s="344"/>
      <c r="AG138" s="344"/>
      <c r="AH138" s="299"/>
      <c r="AJ138" s="337"/>
      <c r="AU138" s="212"/>
    </row>
    <row r="139" spans="2:47" outlineLevel="1" x14ac:dyDescent="0.25">
      <c r="B139" s="1634"/>
      <c r="C139" s="274"/>
      <c r="D139" s="3433"/>
      <c r="E139" s="2454" t="str">
        <f>$E$105</f>
        <v>Learning Thermostat - Unknown SF**</v>
      </c>
      <c r="F139" s="2556">
        <f t="shared" si="6"/>
        <v>37.56045646690351</v>
      </c>
      <c r="G139" s="3406"/>
      <c r="H139" s="3407"/>
      <c r="I139" s="321"/>
      <c r="J139" s="298"/>
      <c r="N139" s="284"/>
      <c r="O139" s="298"/>
      <c r="P139" s="298"/>
      <c r="Q139" s="298"/>
      <c r="V139" s="3436"/>
      <c r="W139" s="344">
        <f>W162*W$164*W125*W$127*W$131</f>
        <v>32.707999999999998</v>
      </c>
      <c r="X139" s="344">
        <f>X162*X$164*X125*X$127*X$131</f>
        <v>33.295508064007585</v>
      </c>
      <c r="Y139" s="342">
        <v>37.134317317128989</v>
      </c>
      <c r="Z139" s="2556">
        <v>37.134317317128989</v>
      </c>
      <c r="AA139" s="2556">
        <v>37.134317317128989</v>
      </c>
      <c r="AB139" s="2556">
        <v>37.56045646690351</v>
      </c>
      <c r="AC139" s="344"/>
      <c r="AD139" s="344"/>
      <c r="AE139" s="344"/>
      <c r="AF139" s="344"/>
      <c r="AG139" s="344"/>
      <c r="AH139" s="299"/>
      <c r="AU139" s="212"/>
    </row>
    <row r="140" spans="2:47" outlineLevel="1" x14ac:dyDescent="0.25">
      <c r="B140" s="1634"/>
      <c r="C140" s="274"/>
      <c r="D140" s="3434"/>
      <c r="E140" s="2454" t="str">
        <f>$E$106</f>
        <v>Learning Thermostat - Unknown MF**</v>
      </c>
      <c r="F140" s="2556">
        <f t="shared" si="6"/>
        <v>24.414296703487285</v>
      </c>
      <c r="G140" s="3408"/>
      <c r="H140" s="3409"/>
      <c r="I140" s="321"/>
      <c r="J140" s="298"/>
      <c r="N140" s="284"/>
      <c r="O140" s="298"/>
      <c r="P140" s="298"/>
      <c r="Q140" s="298"/>
      <c r="V140" s="3437"/>
      <c r="W140" s="344"/>
      <c r="X140" s="344"/>
      <c r="Y140" s="342">
        <v>24.137306256133844</v>
      </c>
      <c r="Z140" s="2556">
        <v>24.137306256133844</v>
      </c>
      <c r="AA140" s="2556">
        <v>24.137306256133844</v>
      </c>
      <c r="AB140" s="2556">
        <v>24.414296703487285</v>
      </c>
      <c r="AC140" s="344"/>
      <c r="AD140" s="344"/>
      <c r="AE140" s="344"/>
      <c r="AF140" s="344"/>
      <c r="AG140" s="344"/>
      <c r="AH140" s="299"/>
      <c r="AU140" s="212"/>
    </row>
    <row r="141" spans="2:47" outlineLevel="1" x14ac:dyDescent="0.25">
      <c r="B141" s="1634"/>
      <c r="C141" s="274"/>
      <c r="D141" s="2486" t="s">
        <v>732</v>
      </c>
      <c r="E141" s="347" t="s">
        <v>591</v>
      </c>
      <c r="F141" s="2557">
        <v>3.1399999999999997E-2</v>
      </c>
      <c r="G141" s="3414" t="s">
        <v>714</v>
      </c>
      <c r="H141" s="3415"/>
      <c r="I141" s="321" t="s">
        <v>733</v>
      </c>
      <c r="J141" s="298"/>
      <c r="N141" s="284"/>
      <c r="O141" s="298"/>
      <c r="P141" s="298"/>
      <c r="Q141" s="298"/>
      <c r="V141" s="2033" t="str">
        <f>D141</f>
        <v>Fe</v>
      </c>
      <c r="W141" s="349">
        <v>3.1399999999999997E-2</v>
      </c>
      <c r="X141" s="349">
        <v>3.1399999999999997E-2</v>
      </c>
      <c r="Y141" s="350">
        <v>3.1399999999999997E-2</v>
      </c>
      <c r="Z141" s="2557">
        <v>3.1399999999999997E-2</v>
      </c>
      <c r="AA141" s="2557">
        <v>3.1399999999999997E-2</v>
      </c>
      <c r="AB141" s="2557">
        <v>3.1399999999999997E-2</v>
      </c>
      <c r="AC141" s="349"/>
      <c r="AD141" s="349"/>
      <c r="AE141" s="349"/>
      <c r="AF141" s="349"/>
      <c r="AG141" s="349"/>
      <c r="AH141" s="299"/>
      <c r="AJ141" s="337"/>
      <c r="AU141" s="212"/>
    </row>
    <row r="142" spans="2:47" outlineLevel="1" x14ac:dyDescent="0.25">
      <c r="B142" s="1634"/>
      <c r="C142" s="274"/>
      <c r="D142" s="3432" t="s">
        <v>734</v>
      </c>
      <c r="E142" s="2454" t="str">
        <f>$E$99</f>
        <v>Learning Thermostat - ASHP heating/cooling SF</v>
      </c>
      <c r="F142" s="496">
        <v>1</v>
      </c>
      <c r="G142" s="3414" t="s">
        <v>714</v>
      </c>
      <c r="H142" s="3415"/>
      <c r="I142" s="321"/>
      <c r="J142" s="298"/>
      <c r="N142" s="284"/>
      <c r="O142" s="298"/>
      <c r="P142" s="298"/>
      <c r="Q142" s="298"/>
      <c r="V142" s="3435" t="str">
        <f>D142</f>
        <v>%AC</v>
      </c>
      <c r="W142" s="322">
        <v>1</v>
      </c>
      <c r="X142" s="322">
        <v>1</v>
      </c>
      <c r="Y142" s="322">
        <v>1</v>
      </c>
      <c r="Z142" s="496">
        <v>1</v>
      </c>
      <c r="AA142" s="496">
        <v>1</v>
      </c>
      <c r="AB142" s="496">
        <v>1</v>
      </c>
      <c r="AC142" s="322"/>
      <c r="AD142" s="322"/>
      <c r="AE142" s="322"/>
      <c r="AF142" s="322"/>
      <c r="AG142" s="322"/>
      <c r="AH142" s="299"/>
      <c r="AJ142" s="337"/>
      <c r="AU142" s="212"/>
    </row>
    <row r="143" spans="2:47" outlineLevel="1" x14ac:dyDescent="0.25">
      <c r="B143" s="1634"/>
      <c r="C143" s="274"/>
      <c r="D143" s="3433"/>
      <c r="E143" s="2454" t="str">
        <f>$E$100</f>
        <v>Learning Thermostat - ASHP heating/cooling MF</v>
      </c>
      <c r="F143" s="496">
        <v>1</v>
      </c>
      <c r="G143" s="3414"/>
      <c r="H143" s="3415"/>
      <c r="I143" s="321"/>
      <c r="J143" s="298"/>
      <c r="N143" s="284"/>
      <c r="O143" s="298"/>
      <c r="P143" s="298"/>
      <c r="Q143" s="298"/>
      <c r="V143" s="3436"/>
      <c r="W143" s="322"/>
      <c r="X143" s="322"/>
      <c r="Y143" s="326">
        <v>1</v>
      </c>
      <c r="Z143" s="496">
        <v>1</v>
      </c>
      <c r="AA143" s="496">
        <v>1</v>
      </c>
      <c r="AB143" s="496">
        <v>1</v>
      </c>
      <c r="AC143" s="322"/>
      <c r="AD143" s="322"/>
      <c r="AE143" s="322"/>
      <c r="AF143" s="322"/>
      <c r="AG143" s="322"/>
      <c r="AH143" s="299"/>
      <c r="AJ143" s="337"/>
      <c r="AU143" s="212"/>
    </row>
    <row r="144" spans="2:47" outlineLevel="1" x14ac:dyDescent="0.25">
      <c r="B144" s="1634"/>
      <c r="C144" s="274"/>
      <c r="D144" s="3433"/>
      <c r="E144" s="2454" t="str">
        <f>$E$101</f>
        <v>Learning Thermostat - electric furnace heating / central AC MF</v>
      </c>
      <c r="F144" s="496">
        <v>1</v>
      </c>
      <c r="G144" s="3414" t="s">
        <v>714</v>
      </c>
      <c r="H144" s="3415"/>
      <c r="I144" s="321"/>
      <c r="J144" s="298"/>
      <c r="N144" s="284"/>
      <c r="O144" s="298"/>
      <c r="P144" s="298"/>
      <c r="Q144" s="298"/>
      <c r="V144" s="3436"/>
      <c r="W144" s="322">
        <v>1</v>
      </c>
      <c r="X144" s="322">
        <v>1</v>
      </c>
      <c r="Y144" s="322">
        <v>1</v>
      </c>
      <c r="Z144" s="496">
        <v>1</v>
      </c>
      <c r="AA144" s="496">
        <v>1</v>
      </c>
      <c r="AB144" s="496">
        <v>1</v>
      </c>
      <c r="AC144" s="322"/>
      <c r="AD144" s="322"/>
      <c r="AE144" s="322"/>
      <c r="AF144" s="322"/>
      <c r="AG144" s="322"/>
      <c r="AH144" s="299"/>
      <c r="AJ144" s="337"/>
      <c r="AU144" s="212"/>
    </row>
    <row r="145" spans="2:47" outlineLevel="1" x14ac:dyDescent="0.25">
      <c r="B145" s="1634"/>
      <c r="C145" s="274"/>
      <c r="D145" s="3433"/>
      <c r="E145" s="2454" t="str">
        <f>$E$102</f>
        <v>Learning Thermostat - electric furnace heating / central AC SF</v>
      </c>
      <c r="F145" s="496">
        <v>1</v>
      </c>
      <c r="G145" s="3414" t="s">
        <v>714</v>
      </c>
      <c r="H145" s="3415"/>
      <c r="I145" s="321"/>
      <c r="J145" s="298"/>
      <c r="N145" s="284"/>
      <c r="O145" s="298"/>
      <c r="P145" s="298"/>
      <c r="Q145" s="298"/>
      <c r="V145" s="3436"/>
      <c r="W145" s="322">
        <v>1</v>
      </c>
      <c r="X145" s="322">
        <v>1</v>
      </c>
      <c r="Y145" s="322">
        <v>1</v>
      </c>
      <c r="Z145" s="496">
        <v>1</v>
      </c>
      <c r="AA145" s="496">
        <v>1</v>
      </c>
      <c r="AB145" s="496">
        <v>1</v>
      </c>
      <c r="AC145" s="322"/>
      <c r="AD145" s="322"/>
      <c r="AE145" s="322"/>
      <c r="AF145" s="322"/>
      <c r="AG145" s="322"/>
      <c r="AH145" s="299"/>
      <c r="AU145" s="212"/>
    </row>
    <row r="146" spans="2:47" outlineLevel="1" x14ac:dyDescent="0.25">
      <c r="B146" s="1634"/>
      <c r="C146" s="274"/>
      <c r="D146" s="3433"/>
      <c r="E146" s="2454" t="str">
        <f>$E$103</f>
        <v>Learning Thermostat - Gas Heated / central AC SF**</v>
      </c>
      <c r="F146" s="496">
        <v>1</v>
      </c>
      <c r="G146" s="3414" t="s">
        <v>714</v>
      </c>
      <c r="H146" s="3415"/>
      <c r="I146" s="321"/>
      <c r="J146" s="298"/>
      <c r="N146" s="284"/>
      <c r="O146" s="298"/>
      <c r="P146" s="298"/>
      <c r="Q146" s="298"/>
      <c r="V146" s="3436"/>
      <c r="W146" s="322">
        <v>1</v>
      </c>
      <c r="X146" s="322">
        <v>1</v>
      </c>
      <c r="Y146" s="322">
        <v>1</v>
      </c>
      <c r="Z146" s="496">
        <v>1</v>
      </c>
      <c r="AA146" s="496">
        <v>1</v>
      </c>
      <c r="AB146" s="496">
        <v>1</v>
      </c>
      <c r="AC146" s="322"/>
      <c r="AD146" s="322"/>
      <c r="AE146" s="322"/>
      <c r="AF146" s="322"/>
      <c r="AG146" s="322"/>
      <c r="AH146" s="299"/>
      <c r="AJ146" s="337"/>
      <c r="AU146" s="212"/>
    </row>
    <row r="147" spans="2:47" outlineLevel="1" x14ac:dyDescent="0.25">
      <c r="B147" s="1634"/>
      <c r="C147" s="274"/>
      <c r="D147" s="3433"/>
      <c r="E147" s="2454" t="str">
        <f>$E$104</f>
        <v>Learning Thermostat - Gas Heated / central AC MF**</v>
      </c>
      <c r="F147" s="496">
        <v>1</v>
      </c>
      <c r="G147" s="3414"/>
      <c r="H147" s="3415"/>
      <c r="I147" s="321"/>
      <c r="J147" s="298"/>
      <c r="N147" s="284"/>
      <c r="O147" s="298"/>
      <c r="P147" s="298"/>
      <c r="Q147" s="298"/>
      <c r="V147" s="3436"/>
      <c r="W147" s="322"/>
      <c r="X147" s="322"/>
      <c r="Y147" s="326">
        <v>1</v>
      </c>
      <c r="Z147" s="496">
        <v>1</v>
      </c>
      <c r="AA147" s="496">
        <v>1</v>
      </c>
      <c r="AB147" s="496">
        <v>1</v>
      </c>
      <c r="AC147" s="322"/>
      <c r="AD147" s="322"/>
      <c r="AE147" s="322"/>
      <c r="AF147" s="322"/>
      <c r="AG147" s="322"/>
      <c r="AH147" s="299"/>
      <c r="AJ147" s="337"/>
      <c r="AU147" s="212"/>
    </row>
    <row r="148" spans="2:47" outlineLevel="1" x14ac:dyDescent="0.25">
      <c r="B148" s="1634"/>
      <c r="C148" s="274"/>
      <c r="D148" s="3433"/>
      <c r="E148" s="2454" t="str">
        <f>$E$105</f>
        <v>Learning Thermostat - Unknown SF**</v>
      </c>
      <c r="F148" s="496">
        <v>1</v>
      </c>
      <c r="G148" s="3414" t="s">
        <v>714</v>
      </c>
      <c r="H148" s="3415"/>
      <c r="I148" s="321"/>
      <c r="J148" s="298"/>
      <c r="N148" s="284"/>
      <c r="O148" s="298"/>
      <c r="P148" s="298"/>
      <c r="Q148" s="298"/>
      <c r="V148" s="3436"/>
      <c r="W148" s="322">
        <v>1</v>
      </c>
      <c r="X148" s="322">
        <v>1</v>
      </c>
      <c r="Y148" s="322">
        <v>1</v>
      </c>
      <c r="Z148" s="496">
        <v>1</v>
      </c>
      <c r="AA148" s="496">
        <v>1</v>
      </c>
      <c r="AB148" s="496">
        <v>1</v>
      </c>
      <c r="AC148" s="322"/>
      <c r="AD148" s="322"/>
      <c r="AE148" s="322"/>
      <c r="AF148" s="322"/>
      <c r="AG148" s="322"/>
      <c r="AH148" s="299"/>
      <c r="AJ148" s="337"/>
      <c r="AU148" s="212"/>
    </row>
    <row r="149" spans="2:47" outlineLevel="1" x14ac:dyDescent="0.25">
      <c r="B149" s="1634"/>
      <c r="C149" s="274"/>
      <c r="D149" s="3434"/>
      <c r="E149" s="2454" t="str">
        <f>$E$106</f>
        <v>Learning Thermostat - Unknown MF**</v>
      </c>
      <c r="F149" s="496">
        <v>1</v>
      </c>
      <c r="G149" s="3414"/>
      <c r="H149" s="3415"/>
      <c r="I149" s="321"/>
      <c r="J149" s="298"/>
      <c r="N149" s="284"/>
      <c r="O149" s="298"/>
      <c r="P149" s="298"/>
      <c r="Q149" s="298"/>
      <c r="V149" s="3437"/>
      <c r="W149" s="322"/>
      <c r="X149" s="322"/>
      <c r="Y149" s="326">
        <v>1</v>
      </c>
      <c r="Z149" s="496">
        <v>1</v>
      </c>
      <c r="AA149" s="496">
        <v>1</v>
      </c>
      <c r="AB149" s="496">
        <v>1</v>
      </c>
      <c r="AC149" s="322"/>
      <c r="AD149" s="322"/>
      <c r="AE149" s="322"/>
      <c r="AF149" s="322"/>
      <c r="AG149" s="322"/>
      <c r="AH149" s="299"/>
      <c r="AJ149" s="337"/>
      <c r="AU149" s="212"/>
    </row>
    <row r="150" spans="2:47" outlineLevel="1" x14ac:dyDescent="0.25">
      <c r="B150" s="1634"/>
      <c r="C150" s="274"/>
      <c r="D150" s="3432" t="s">
        <v>3648</v>
      </c>
      <c r="E150" s="347" t="s">
        <v>735</v>
      </c>
      <c r="F150" s="2558">
        <v>869</v>
      </c>
      <c r="G150" s="3414" t="s">
        <v>714</v>
      </c>
      <c r="H150" s="3415"/>
      <c r="I150" s="321" t="s">
        <v>736</v>
      </c>
      <c r="J150" s="298"/>
      <c r="N150" s="284"/>
      <c r="O150" s="298"/>
      <c r="P150" s="298"/>
      <c r="Q150" s="298"/>
      <c r="V150" s="3435" t="str">
        <f>D150</f>
        <v>EFLH cool</v>
      </c>
      <c r="W150" s="351">
        <v>869</v>
      </c>
      <c r="X150" s="351">
        <v>869</v>
      </c>
      <c r="Y150" s="352">
        <v>869</v>
      </c>
      <c r="Z150" s="2558">
        <v>869</v>
      </c>
      <c r="AA150" s="2558">
        <v>869</v>
      </c>
      <c r="AB150" s="2558">
        <v>869</v>
      </c>
      <c r="AC150" s="351"/>
      <c r="AD150" s="351"/>
      <c r="AE150" s="351"/>
      <c r="AF150" s="351"/>
      <c r="AG150" s="351"/>
      <c r="AH150" s="299"/>
      <c r="AJ150" s="337"/>
      <c r="AU150" s="212"/>
    </row>
    <row r="151" spans="2:47" outlineLevel="1" x14ac:dyDescent="0.25">
      <c r="B151" s="1634"/>
      <c r="C151" s="274"/>
      <c r="D151" s="3434"/>
      <c r="E151" s="347" t="s">
        <v>737</v>
      </c>
      <c r="F151" s="2558">
        <v>632</v>
      </c>
      <c r="G151" s="3414" t="s">
        <v>738</v>
      </c>
      <c r="H151" s="3415"/>
      <c r="I151" s="321"/>
      <c r="J151" s="298"/>
      <c r="N151" s="284"/>
      <c r="O151" s="298"/>
      <c r="P151" s="298"/>
      <c r="Q151" s="298"/>
      <c r="V151" s="3437"/>
      <c r="W151" s="351"/>
      <c r="X151" s="351"/>
      <c r="Y151" s="352">
        <v>632</v>
      </c>
      <c r="Z151" s="2558">
        <v>632</v>
      </c>
      <c r="AA151" s="2558">
        <v>632</v>
      </c>
      <c r="AB151" s="2558">
        <v>632</v>
      </c>
      <c r="AC151" s="351"/>
      <c r="AD151" s="351"/>
      <c r="AE151" s="351"/>
      <c r="AF151" s="351"/>
      <c r="AG151" s="351"/>
      <c r="AH151" s="299"/>
      <c r="AJ151" s="337"/>
      <c r="AU151" s="212"/>
    </row>
    <row r="152" spans="2:47" outlineLevel="1" x14ac:dyDescent="0.25">
      <c r="B152" s="1634"/>
      <c r="C152" s="274"/>
      <c r="D152" s="2487" t="s">
        <v>739</v>
      </c>
      <c r="E152" s="347" t="s">
        <v>740</v>
      </c>
      <c r="F152" s="2558">
        <v>36552.308373947715</v>
      </c>
      <c r="G152" s="3414" t="s">
        <v>714</v>
      </c>
      <c r="H152" s="3415"/>
      <c r="I152" s="321" t="s">
        <v>741</v>
      </c>
      <c r="J152" s="298"/>
      <c r="N152" s="284"/>
      <c r="O152" s="298"/>
      <c r="P152" s="298"/>
      <c r="Q152" s="298"/>
      <c r="V152" s="353" t="str">
        <f>D152</f>
        <v>CapacityCool</v>
      </c>
      <c r="W152" s="351">
        <v>36000</v>
      </c>
      <c r="X152" s="352">
        <v>36065.201197692251</v>
      </c>
      <c r="Y152" s="352">
        <v>36552.308373947715</v>
      </c>
      <c r="Z152" s="2558">
        <v>36552.308373947715</v>
      </c>
      <c r="AA152" s="2558">
        <v>36552.308373947715</v>
      </c>
      <c r="AB152" s="2558">
        <v>36552.308373947715</v>
      </c>
      <c r="AC152" s="351"/>
      <c r="AD152" s="351"/>
      <c r="AE152" s="351"/>
      <c r="AF152" s="351"/>
      <c r="AG152" s="351"/>
      <c r="AH152" s="299"/>
      <c r="AU152" s="212"/>
    </row>
    <row r="153" spans="2:47" outlineLevel="1" x14ac:dyDescent="0.25">
      <c r="B153" s="1634"/>
      <c r="C153" s="274"/>
      <c r="D153" s="2487" t="s">
        <v>739</v>
      </c>
      <c r="E153" s="347" t="s">
        <v>742</v>
      </c>
      <c r="F153" s="2558">
        <v>36552</v>
      </c>
      <c r="G153" s="3414" t="s">
        <v>714</v>
      </c>
      <c r="H153" s="3415"/>
      <c r="I153" s="321" t="s">
        <v>741</v>
      </c>
      <c r="J153" s="298"/>
      <c r="N153" s="284"/>
      <c r="O153" s="298"/>
      <c r="P153" s="298"/>
      <c r="Q153" s="298"/>
      <c r="V153" s="353" t="str">
        <f>D153</f>
        <v>CapacityCool</v>
      </c>
      <c r="W153" s="351" t="s">
        <v>744</v>
      </c>
      <c r="X153" s="352">
        <f>X152*0.65</f>
        <v>23442.380778499963</v>
      </c>
      <c r="Y153" s="352">
        <v>36552.308373947715</v>
      </c>
      <c r="Z153" s="2558">
        <v>36552.308373947715</v>
      </c>
      <c r="AA153" s="2558">
        <v>36552.308373947715</v>
      </c>
      <c r="AB153" s="2558">
        <v>36552</v>
      </c>
      <c r="AC153" s="351"/>
      <c r="AD153" s="351"/>
      <c r="AE153" s="351"/>
      <c r="AF153" s="351"/>
      <c r="AG153" s="351"/>
      <c r="AH153" s="299"/>
      <c r="AJ153" s="337"/>
      <c r="AU153" s="212"/>
    </row>
    <row r="154" spans="2:47" ht="30" outlineLevel="1" x14ac:dyDescent="0.25">
      <c r="B154" s="1634"/>
      <c r="C154" s="274"/>
      <c r="D154" s="2487" t="s">
        <v>745</v>
      </c>
      <c r="E154" s="347" t="s">
        <v>591</v>
      </c>
      <c r="F154" s="2560">
        <v>13.555486634175161</v>
      </c>
      <c r="G154" s="3414" t="s">
        <v>714</v>
      </c>
      <c r="H154" s="3415"/>
      <c r="I154" s="320" t="s">
        <v>717</v>
      </c>
      <c r="J154" s="298"/>
      <c r="N154" s="284"/>
      <c r="O154" s="298"/>
      <c r="P154" s="298"/>
      <c r="Q154" s="298"/>
      <c r="V154" s="353" t="str">
        <f>D154</f>
        <v>SEER</v>
      </c>
      <c r="W154" s="351">
        <v>13</v>
      </c>
      <c r="X154" s="351">
        <v>13.148148689111222</v>
      </c>
      <c r="Y154" s="355">
        <v>13.555486634175161</v>
      </c>
      <c r="Z154" s="2559">
        <v>13.555486634175161</v>
      </c>
      <c r="AA154" s="2559">
        <v>13.555486634175161</v>
      </c>
      <c r="AB154" s="2560">
        <v>13.555486634175161</v>
      </c>
      <c r="AC154" s="351"/>
      <c r="AD154" s="351"/>
      <c r="AE154" s="351"/>
      <c r="AF154" s="351"/>
      <c r="AG154" s="351"/>
      <c r="AH154" s="299"/>
      <c r="AJ154" s="337"/>
      <c r="AU154" s="212"/>
    </row>
    <row r="155" spans="2:47" outlineLevel="1" x14ac:dyDescent="0.25">
      <c r="B155" s="1634"/>
      <c r="C155" s="274"/>
      <c r="D155" s="2486" t="s">
        <v>746</v>
      </c>
      <c r="E155" s="347" t="s">
        <v>591</v>
      </c>
      <c r="F155" s="2552">
        <v>0.08</v>
      </c>
      <c r="G155" s="3414" t="s">
        <v>714</v>
      </c>
      <c r="H155" s="3415"/>
      <c r="I155" s="321" t="s">
        <v>733</v>
      </c>
      <c r="J155" s="298"/>
      <c r="N155" s="284"/>
      <c r="O155" s="298"/>
      <c r="P155" s="298"/>
      <c r="Q155" s="298"/>
      <c r="V155" s="2033" t="str">
        <f>D155</f>
        <v>CoolingReduction</v>
      </c>
      <c r="W155" s="338">
        <v>0.08</v>
      </c>
      <c r="X155" s="338">
        <v>0.08</v>
      </c>
      <c r="Y155" s="356">
        <v>0.08</v>
      </c>
      <c r="Z155" s="2552">
        <v>0.08</v>
      </c>
      <c r="AA155" s="2552">
        <v>0.08</v>
      </c>
      <c r="AB155" s="2552">
        <v>0.08</v>
      </c>
      <c r="AC155" s="338"/>
      <c r="AD155" s="338"/>
      <c r="AE155" s="338"/>
      <c r="AF155" s="338"/>
      <c r="AG155" s="338"/>
      <c r="AH155" s="299"/>
      <c r="AJ155" s="337"/>
      <c r="AU155" s="212"/>
    </row>
    <row r="156" spans="2:47" outlineLevel="1" x14ac:dyDescent="0.25">
      <c r="B156" s="1634"/>
      <c r="C156" s="274"/>
      <c r="D156" s="3432" t="s">
        <v>747</v>
      </c>
      <c r="E156" s="2454" t="str">
        <f>$E$99</f>
        <v>Learning Thermostat - ASHP heating/cooling SF</v>
      </c>
      <c r="F156" s="496">
        <v>0</v>
      </c>
      <c r="G156" s="3414" t="s">
        <v>714</v>
      </c>
      <c r="H156" s="3415"/>
      <c r="I156" s="321"/>
      <c r="J156" s="298"/>
      <c r="N156" s="284"/>
      <c r="O156" s="298"/>
      <c r="P156" s="298"/>
      <c r="Q156" s="298"/>
      <c r="V156" s="3435" t="str">
        <f>D156</f>
        <v>%FossilHeat</v>
      </c>
      <c r="W156" s="322">
        <v>1</v>
      </c>
      <c r="X156" s="326">
        <v>0</v>
      </c>
      <c r="Y156" s="341">
        <v>0</v>
      </c>
      <c r="Z156" s="496">
        <v>0</v>
      </c>
      <c r="AA156" s="496">
        <v>0</v>
      </c>
      <c r="AB156" s="496">
        <v>0</v>
      </c>
      <c r="AC156" s="322"/>
      <c r="AD156" s="322"/>
      <c r="AE156" s="322"/>
      <c r="AF156" s="322"/>
      <c r="AG156" s="322"/>
      <c r="AH156" s="299"/>
      <c r="AU156" s="212"/>
    </row>
    <row r="157" spans="2:47" outlineLevel="1" x14ac:dyDescent="0.25">
      <c r="B157" s="1634"/>
      <c r="C157" s="274"/>
      <c r="D157" s="3433"/>
      <c r="E157" s="2454" t="str">
        <f>$E$100</f>
        <v>Learning Thermostat - ASHP heating/cooling MF</v>
      </c>
      <c r="F157" s="496">
        <v>0</v>
      </c>
      <c r="G157" s="3416"/>
      <c r="H157" s="3417"/>
      <c r="I157" s="321"/>
      <c r="J157" s="298"/>
      <c r="N157" s="284"/>
      <c r="O157" s="298"/>
      <c r="P157" s="298"/>
      <c r="Q157" s="298"/>
      <c r="V157" s="3436"/>
      <c r="W157" s="322"/>
      <c r="X157" s="326"/>
      <c r="Y157" s="326">
        <v>0</v>
      </c>
      <c r="Z157" s="496">
        <v>0</v>
      </c>
      <c r="AA157" s="496">
        <v>0</v>
      </c>
      <c r="AB157" s="496">
        <v>0</v>
      </c>
      <c r="AC157" s="322"/>
      <c r="AD157" s="322"/>
      <c r="AE157" s="322"/>
      <c r="AF157" s="322"/>
      <c r="AG157" s="322"/>
      <c r="AH157" s="299"/>
      <c r="AU157" s="212"/>
    </row>
    <row r="158" spans="2:47" outlineLevel="1" x14ac:dyDescent="0.25">
      <c r="B158" s="1634"/>
      <c r="C158" s="274"/>
      <c r="D158" s="3433"/>
      <c r="E158" s="2454" t="str">
        <f>$E$101</f>
        <v>Learning Thermostat - electric furnace heating / central AC MF</v>
      </c>
      <c r="F158" s="496">
        <v>0</v>
      </c>
      <c r="G158" s="3414" t="s">
        <v>714</v>
      </c>
      <c r="H158" s="3415"/>
      <c r="I158" s="321"/>
      <c r="J158" s="298"/>
      <c r="N158" s="284"/>
      <c r="O158" s="298"/>
      <c r="P158" s="298"/>
      <c r="Q158" s="298"/>
      <c r="V158" s="3436"/>
      <c r="W158" s="322">
        <v>1</v>
      </c>
      <c r="X158" s="326">
        <v>0</v>
      </c>
      <c r="Y158" s="341">
        <v>0</v>
      </c>
      <c r="Z158" s="496">
        <v>0</v>
      </c>
      <c r="AA158" s="496">
        <v>0</v>
      </c>
      <c r="AB158" s="496">
        <v>0</v>
      </c>
      <c r="AC158" s="322"/>
      <c r="AD158" s="322"/>
      <c r="AE158" s="322"/>
      <c r="AF158" s="322"/>
      <c r="AG158" s="322"/>
      <c r="AH158" s="299"/>
      <c r="AU158" s="212"/>
    </row>
    <row r="159" spans="2:47" outlineLevel="1" x14ac:dyDescent="0.25">
      <c r="B159" s="1634"/>
      <c r="C159" s="274"/>
      <c r="D159" s="3433"/>
      <c r="E159" s="2454" t="str">
        <f>$E$102</f>
        <v>Learning Thermostat - electric furnace heating / central AC SF</v>
      </c>
      <c r="F159" s="496">
        <v>0</v>
      </c>
      <c r="G159" s="3414" t="s">
        <v>714</v>
      </c>
      <c r="H159" s="3415"/>
      <c r="I159" s="321"/>
      <c r="J159" s="298"/>
      <c r="N159" s="284"/>
      <c r="O159" s="298"/>
      <c r="P159" s="298"/>
      <c r="Q159" s="298"/>
      <c r="V159" s="3436"/>
      <c r="W159" s="322">
        <v>1</v>
      </c>
      <c r="X159" s="326">
        <v>0</v>
      </c>
      <c r="Y159" s="341">
        <v>0</v>
      </c>
      <c r="Z159" s="496">
        <v>0</v>
      </c>
      <c r="AA159" s="496">
        <v>0</v>
      </c>
      <c r="AB159" s="496">
        <v>0</v>
      </c>
      <c r="AC159" s="322"/>
      <c r="AD159" s="322"/>
      <c r="AE159" s="322"/>
      <c r="AF159" s="322"/>
      <c r="AG159" s="322"/>
      <c r="AH159" s="299"/>
      <c r="AU159" s="212"/>
    </row>
    <row r="160" spans="2:47" outlineLevel="1" x14ac:dyDescent="0.25">
      <c r="B160" s="1634"/>
      <c r="C160" s="274"/>
      <c r="D160" s="3433"/>
      <c r="E160" s="2454" t="str">
        <f>$E$103</f>
        <v>Learning Thermostat - Gas Heated / central AC SF**</v>
      </c>
      <c r="F160" s="496">
        <v>1</v>
      </c>
      <c r="G160" s="3414" t="s">
        <v>714</v>
      </c>
      <c r="H160" s="3415"/>
      <c r="I160" s="321"/>
      <c r="J160" s="298"/>
      <c r="N160" s="284"/>
      <c r="O160" s="298"/>
      <c r="P160" s="298"/>
      <c r="Q160" s="298"/>
      <c r="V160" s="3436"/>
      <c r="W160" s="322">
        <v>1</v>
      </c>
      <c r="X160" s="322">
        <v>1</v>
      </c>
      <c r="Y160" s="341">
        <v>1</v>
      </c>
      <c r="Z160" s="496">
        <v>1</v>
      </c>
      <c r="AA160" s="496">
        <v>1</v>
      </c>
      <c r="AB160" s="496">
        <v>1</v>
      </c>
      <c r="AC160" s="322"/>
      <c r="AD160" s="322"/>
      <c r="AE160" s="322"/>
      <c r="AF160" s="322"/>
      <c r="AG160" s="322"/>
      <c r="AH160" s="299"/>
      <c r="AU160" s="212"/>
    </row>
    <row r="161" spans="1:57" outlineLevel="1" x14ac:dyDescent="0.25">
      <c r="B161" s="1634"/>
      <c r="C161" s="274"/>
      <c r="D161" s="3433"/>
      <c r="E161" s="2454" t="str">
        <f>$E$104</f>
        <v>Learning Thermostat - Gas Heated / central AC MF**</v>
      </c>
      <c r="F161" s="496">
        <v>1</v>
      </c>
      <c r="G161" s="3418" t="s">
        <v>3780</v>
      </c>
      <c r="H161" s="3418"/>
      <c r="I161" s="321"/>
      <c r="J161" s="298"/>
      <c r="N161" s="284"/>
      <c r="O161" s="298"/>
      <c r="P161" s="298"/>
      <c r="Q161" s="298"/>
      <c r="V161" s="3436"/>
      <c r="W161" s="322"/>
      <c r="X161" s="322"/>
      <c r="Y161" s="326">
        <v>1</v>
      </c>
      <c r="Z161" s="496">
        <v>1</v>
      </c>
      <c r="AA161" s="496">
        <v>1</v>
      </c>
      <c r="AB161" s="496">
        <v>1</v>
      </c>
      <c r="AC161" s="322"/>
      <c r="AD161" s="322"/>
      <c r="AE161" s="322"/>
      <c r="AF161" s="322"/>
      <c r="AG161" s="322"/>
      <c r="AH161" s="299"/>
      <c r="AU161" s="212"/>
    </row>
    <row r="162" spans="1:57" outlineLevel="1" x14ac:dyDescent="0.25">
      <c r="B162" s="1634"/>
      <c r="C162" s="274"/>
      <c r="D162" s="3433"/>
      <c r="E162" s="2454" t="str">
        <f>$E$105</f>
        <v>Learning Thermostat - Unknown SF**</v>
      </c>
      <c r="F162" s="496">
        <v>0.83571202029812874</v>
      </c>
      <c r="G162" s="3418" t="s">
        <v>3780</v>
      </c>
      <c r="H162" s="3418"/>
      <c r="I162" s="321"/>
      <c r="J162" s="298"/>
      <c r="N162" s="284"/>
      <c r="O162" s="298"/>
      <c r="P162" s="298"/>
      <c r="Q162" s="298"/>
      <c r="V162" s="3436"/>
      <c r="W162" s="322">
        <v>0.65</v>
      </c>
      <c r="X162" s="326">
        <v>0.75536822013679017</v>
      </c>
      <c r="Y162" s="326">
        <v>0.83571202029812874</v>
      </c>
      <c r="Z162" s="496">
        <v>0.83571202029812874</v>
      </c>
      <c r="AA162" s="496">
        <v>0.83571202029812874</v>
      </c>
      <c r="AB162" s="496">
        <v>0.83571202029812874</v>
      </c>
      <c r="AC162" s="322"/>
      <c r="AD162" s="322"/>
      <c r="AE162" s="322"/>
      <c r="AF162" s="322"/>
      <c r="AG162" s="322"/>
      <c r="AH162" s="299"/>
      <c r="AU162" s="212"/>
    </row>
    <row r="163" spans="1:57" outlineLevel="1" x14ac:dyDescent="0.25">
      <c r="B163" s="1634"/>
      <c r="C163" s="274"/>
      <c r="D163" s="3434"/>
      <c r="E163" s="2454" t="str">
        <f>$E$106</f>
        <v>Learning Thermostat - Unknown MF**</v>
      </c>
      <c r="F163" s="496">
        <v>0.83571202029812874</v>
      </c>
      <c r="G163" s="3418" t="s">
        <v>3780</v>
      </c>
      <c r="H163" s="3418"/>
      <c r="I163" s="321"/>
      <c r="J163" s="298"/>
      <c r="N163" s="284"/>
      <c r="O163" s="298"/>
      <c r="P163" s="298"/>
      <c r="Q163" s="298"/>
      <c r="V163" s="3437"/>
      <c r="W163" s="322"/>
      <c r="X163" s="326"/>
      <c r="Y163" s="326">
        <v>0.83571202029812874</v>
      </c>
      <c r="Z163" s="496">
        <v>0.83571202029812874</v>
      </c>
      <c r="AA163" s="496">
        <v>0.83571202029812874</v>
      </c>
      <c r="AB163" s="496">
        <v>0.83571202029812874</v>
      </c>
      <c r="AC163" s="322"/>
      <c r="AD163" s="322"/>
      <c r="AE163" s="322"/>
      <c r="AF163" s="322"/>
      <c r="AG163" s="322"/>
      <c r="AH163" s="299"/>
      <c r="AU163" s="212"/>
    </row>
    <row r="164" spans="1:57" outlineLevel="1" x14ac:dyDescent="0.25">
      <c r="B164" s="1634"/>
      <c r="C164" s="274"/>
      <c r="D164" s="2486" t="s">
        <v>748</v>
      </c>
      <c r="E164" s="2454" t="s">
        <v>591</v>
      </c>
      <c r="F164" s="501">
        <v>682.14220183486236</v>
      </c>
      <c r="G164" s="3414" t="s">
        <v>749</v>
      </c>
      <c r="H164" s="3415"/>
      <c r="I164" s="321" t="s">
        <v>750</v>
      </c>
      <c r="J164" s="298"/>
      <c r="N164" s="284"/>
      <c r="O164" s="298"/>
      <c r="P164" s="298"/>
      <c r="Q164" s="298"/>
      <c r="V164" s="2033" t="str">
        <f>D164</f>
        <v>HeatingConsumption_Gas</v>
      </c>
      <c r="W164" s="329">
        <v>680</v>
      </c>
      <c r="X164" s="357">
        <v>682.46115191341323</v>
      </c>
      <c r="Y164" s="357">
        <v>682.14220183486236</v>
      </c>
      <c r="Z164" s="501">
        <v>682.14220183486236</v>
      </c>
      <c r="AA164" s="501">
        <v>682.14220183486236</v>
      </c>
      <c r="AB164" s="501">
        <v>682.14220183486236</v>
      </c>
      <c r="AC164" s="329"/>
      <c r="AD164" s="329"/>
      <c r="AE164" s="329"/>
      <c r="AF164" s="329"/>
      <c r="AG164" s="329"/>
      <c r="AH164" s="299"/>
      <c r="AU164" s="212"/>
    </row>
    <row r="165" spans="1:57" outlineLevel="1" x14ac:dyDescent="0.25">
      <c r="B165" s="1634"/>
      <c r="C165" s="274"/>
      <c r="D165" s="2488" t="str">
        <f>$D$50</f>
        <v>EUL</v>
      </c>
      <c r="E165" s="2488" t="str">
        <f>$E$50</f>
        <v>Effective Useful Life</v>
      </c>
      <c r="F165" s="501">
        <v>10</v>
      </c>
      <c r="G165" s="3414"/>
      <c r="H165" s="3415"/>
      <c r="I165" s="321"/>
      <c r="J165" s="298"/>
      <c r="N165" s="284"/>
      <c r="O165" s="298"/>
      <c r="P165" s="298"/>
      <c r="Q165" s="298"/>
      <c r="V165" s="358" t="str">
        <f>D165</f>
        <v>EUL</v>
      </c>
      <c r="W165" s="359">
        <v>10</v>
      </c>
      <c r="X165" s="359">
        <v>10</v>
      </c>
      <c r="Y165" s="359">
        <v>10</v>
      </c>
      <c r="Z165" s="501">
        <v>10</v>
      </c>
      <c r="AA165" s="501">
        <v>10</v>
      </c>
      <c r="AB165" s="501">
        <v>10</v>
      </c>
      <c r="AC165" s="359"/>
      <c r="AD165" s="359"/>
      <c r="AE165" s="359"/>
      <c r="AF165" s="359"/>
      <c r="AG165" s="359"/>
      <c r="AH165" s="299"/>
      <c r="AU165" s="212"/>
    </row>
    <row r="166" spans="1:57" ht="60" outlineLevel="1" x14ac:dyDescent="0.25">
      <c r="B166" s="1634"/>
      <c r="C166" s="274"/>
      <c r="D166" s="2488" t="str">
        <f>$D$51</f>
        <v>Inc. Cost</v>
      </c>
      <c r="E166" s="2488" t="str">
        <f>$E$51</f>
        <v>Incremental Cost ($)</v>
      </c>
      <c r="F166" s="360">
        <v>125</v>
      </c>
      <c r="G166" s="3414" t="s">
        <v>3513</v>
      </c>
      <c r="H166" s="3415"/>
      <c r="I166" s="320" t="s">
        <v>3514</v>
      </c>
      <c r="J166" s="298"/>
      <c r="N166" s="284"/>
      <c r="O166" s="298"/>
      <c r="P166" s="298"/>
      <c r="Q166" s="298"/>
      <c r="V166" s="358" t="str">
        <f>D166</f>
        <v>Inc. Cost</v>
      </c>
      <c r="W166" s="360">
        <v>175</v>
      </c>
      <c r="X166" s="360">
        <v>175</v>
      </c>
      <c r="Y166" s="360">
        <v>175</v>
      </c>
      <c r="Z166" s="360">
        <v>175</v>
      </c>
      <c r="AA166" s="360">
        <v>175</v>
      </c>
      <c r="AB166" s="2561">
        <v>125</v>
      </c>
      <c r="AC166" s="360"/>
      <c r="AD166" s="360"/>
      <c r="AE166" s="360"/>
      <c r="AF166" s="360"/>
      <c r="AG166" s="360"/>
      <c r="AH166" s="299"/>
      <c r="AU166" s="212"/>
    </row>
    <row r="167" spans="1:57" x14ac:dyDescent="0.25">
      <c r="B167" s="1634"/>
      <c r="C167" s="274"/>
      <c r="D167" s="296"/>
      <c r="E167" s="361"/>
      <c r="F167" s="298"/>
      <c r="G167" s="298"/>
      <c r="H167" s="298"/>
      <c r="I167" s="298"/>
      <c r="J167" s="298"/>
      <c r="K167" s="298"/>
      <c r="L167" s="298"/>
      <c r="M167" s="298"/>
      <c r="N167" s="298"/>
      <c r="O167" s="298"/>
      <c r="P167" s="298"/>
      <c r="Q167" s="298"/>
      <c r="AH167" s="299"/>
      <c r="AU167" s="212"/>
    </row>
    <row r="168" spans="1:57" x14ac:dyDescent="0.25">
      <c r="AH168" s="299"/>
      <c r="AU168" s="212"/>
    </row>
    <row r="169" spans="1:57" s="194" customFormat="1" x14ac:dyDescent="0.25">
      <c r="A169" s="157"/>
      <c r="B169" s="3350" t="s">
        <v>751</v>
      </c>
      <c r="C169" s="3351"/>
      <c r="D169" s="3351"/>
      <c r="E169" s="3351"/>
      <c r="F169" s="3351"/>
      <c r="G169" s="3351"/>
      <c r="H169" s="3351"/>
      <c r="I169" s="3352"/>
      <c r="J169" s="3352"/>
      <c r="K169" s="3352"/>
      <c r="L169" s="3352"/>
      <c r="M169" s="3352"/>
      <c r="N169" s="3352"/>
      <c r="O169" s="3353"/>
      <c r="V169" s="3350" t="str">
        <f>B169</f>
        <v>ENERGY STAR Pool Pump and motor w auto controls - multi speed</v>
      </c>
      <c r="W169" s="3351"/>
      <c r="X169" s="3351"/>
      <c r="Y169" s="3351"/>
      <c r="Z169" s="3351"/>
      <c r="AA169" s="3351"/>
      <c r="AB169" s="3351"/>
      <c r="AC169" s="3354"/>
      <c r="AD169" s="3354"/>
      <c r="AE169" s="3354"/>
      <c r="AF169" s="3354"/>
      <c r="AG169" s="3354"/>
      <c r="AH169" s="3354"/>
      <c r="AI169" s="3355"/>
      <c r="AU169" s="212"/>
      <c r="BB169" s="195"/>
    </row>
    <row r="170" spans="1:57" s="43" customFormat="1" x14ac:dyDescent="0.25">
      <c r="A170" s="198"/>
      <c r="B170" s="198"/>
      <c r="C170" s="196"/>
      <c r="D170" s="197"/>
      <c r="E170" s="197"/>
      <c r="F170" s="198"/>
      <c r="G170" s="198"/>
      <c r="H170" s="198"/>
      <c r="I170" s="198"/>
      <c r="J170" s="198"/>
      <c r="K170" s="198"/>
      <c r="L170" s="198"/>
      <c r="M170" s="198"/>
      <c r="N170" s="198"/>
      <c r="O170" s="198"/>
      <c r="P170" s="198"/>
      <c r="Q170" s="198"/>
      <c r="R170" s="198"/>
      <c r="S170" s="198"/>
      <c r="T170" s="198"/>
      <c r="U170" s="198"/>
      <c r="AH170" s="299"/>
      <c r="AU170" s="212"/>
      <c r="BB170" s="200"/>
    </row>
    <row r="171" spans="1:57" s="50" customFormat="1" ht="48.75" customHeight="1" x14ac:dyDescent="0.25">
      <c r="A171" s="1480"/>
      <c r="B171" s="1480"/>
      <c r="C171" s="2029" t="s">
        <v>17</v>
      </c>
      <c r="D171" s="2029" t="s">
        <v>616</v>
      </c>
      <c r="E171" s="2029" t="s">
        <v>19</v>
      </c>
      <c r="F171" s="2029" t="s">
        <v>20</v>
      </c>
      <c r="G171" s="2029" t="s">
        <v>21</v>
      </c>
      <c r="H171" s="2029" t="s">
        <v>22</v>
      </c>
      <c r="I171" s="2029" t="s">
        <v>752</v>
      </c>
      <c r="J171" s="2029" t="s">
        <v>24</v>
      </c>
      <c r="K171" s="2029" t="s">
        <v>25</v>
      </c>
      <c r="L171" s="2029" t="s">
        <v>26</v>
      </c>
      <c r="M171" s="1480"/>
      <c r="N171" s="1480"/>
      <c r="O171" s="1480"/>
      <c r="P171" s="1480"/>
      <c r="Q171" s="1480"/>
      <c r="R171" s="1480"/>
      <c r="S171" s="1480"/>
      <c r="T171" s="1480"/>
      <c r="U171" s="1480"/>
      <c r="V171" s="55" t="s">
        <v>27</v>
      </c>
      <c r="W171" s="56">
        <v>43252</v>
      </c>
      <c r="X171" s="56">
        <f>$X$6</f>
        <v>43465</v>
      </c>
      <c r="Y171" s="56">
        <f>$Y$6</f>
        <v>43800</v>
      </c>
      <c r="Z171" s="56">
        <f>$Z$6</f>
        <v>43862</v>
      </c>
      <c r="AA171" s="56">
        <f>$AA$6</f>
        <v>44013</v>
      </c>
      <c r="AB171" s="56">
        <f>$AB$6</f>
        <v>44166</v>
      </c>
      <c r="AC171" s="56" t="str">
        <f>$AC$6</f>
        <v>-</v>
      </c>
      <c r="AD171" s="56" t="str">
        <f>$AD$6</f>
        <v>-</v>
      </c>
      <c r="AE171" s="56" t="str">
        <f>$AE$6</f>
        <v>-</v>
      </c>
      <c r="AF171" s="56" t="str">
        <f>$AF$6</f>
        <v>-</v>
      </c>
      <c r="AG171" s="56" t="str">
        <f>$AG$6</f>
        <v>-</v>
      </c>
      <c r="AH171" s="299"/>
      <c r="AU171" s="212"/>
      <c r="BB171" s="93" t="str">
        <f>$BB$6</f>
        <v>TRC (2020)</v>
      </c>
      <c r="BC171" s="93" t="str">
        <f>$BC$6</f>
        <v>Benefit Lookup</v>
      </c>
      <c r="BD171" s="279" t="str">
        <f>$BD$6</f>
        <v>Benefits (2019 $)</v>
      </c>
      <c r="BE171" s="279" t="str">
        <f>$BE$6</f>
        <v>Incremental Cost (2019 $)</v>
      </c>
    </row>
    <row r="172" spans="1:57" s="43" customFormat="1" x14ac:dyDescent="0.25">
      <c r="A172" s="198"/>
      <c r="B172" s="198"/>
      <c r="C172" s="398" t="s">
        <v>753</v>
      </c>
      <c r="D172" s="2134" t="s">
        <v>621</v>
      </c>
      <c r="E172" s="362" t="s">
        <v>751</v>
      </c>
      <c r="F172" s="281">
        <f>ROUND(F190*0.06*(F191*F194/F197-F192*F195/F198-F193*F196/F199)*F200,2)</f>
        <v>1799.73</v>
      </c>
      <c r="G172" s="2044" t="s">
        <v>754</v>
      </c>
      <c r="H172" s="202">
        <f>VLOOKUP(G172,'CP FACTORS'!$A$3:$B$38, 2, FALSE)</f>
        <v>2.3544589999999999E-4</v>
      </c>
      <c r="I172" s="283">
        <f>ROUND(H172*F172,6)</f>
        <v>0.42373899999999998</v>
      </c>
      <c r="J172" s="382">
        <v>10</v>
      </c>
      <c r="K172" s="360">
        <v>235</v>
      </c>
      <c r="L172" s="398" t="s">
        <v>37</v>
      </c>
      <c r="M172" s="198"/>
      <c r="N172" s="198"/>
      <c r="O172" s="198"/>
      <c r="P172" s="198"/>
      <c r="Q172" s="198"/>
      <c r="R172" s="1627"/>
      <c r="S172" s="198"/>
      <c r="T172" s="198"/>
      <c r="U172" s="198"/>
      <c r="V172" s="363" t="s">
        <v>20</v>
      </c>
      <c r="W172" s="2961">
        <v>1799.7340444444444</v>
      </c>
      <c r="X172" s="2965">
        <v>1799.7340444444444</v>
      </c>
      <c r="Y172" s="2966">
        <v>1799.73</v>
      </c>
      <c r="Z172" s="2967">
        <v>1799.73</v>
      </c>
      <c r="AA172" s="2967">
        <v>1799.73</v>
      </c>
      <c r="AB172" s="2967">
        <v>1799.73</v>
      </c>
      <c r="AC172" s="363"/>
      <c r="AD172" s="363"/>
      <c r="AE172" s="363"/>
      <c r="AF172" s="363"/>
      <c r="AG172" s="363"/>
      <c r="AH172" s="211"/>
      <c r="AU172" s="212"/>
      <c r="BB172" s="288">
        <f>(BD172)/(BE172)</f>
        <v>3.3867195659400693</v>
      </c>
      <c r="BC172" s="280" t="str">
        <f>CONCATENATE(G172," ",J172," Year EUL")</f>
        <v>Pool Spa RES 10 Year EUL</v>
      </c>
      <c r="BD172" s="145">
        <f>(INDEX('Avoided Cost Benefits'!$C$4:$C$857,MATCH(BC172,'Avoided Cost Benefits'!$A$4:$A$857,0)))*F172</f>
        <v>751.18366965164341</v>
      </c>
      <c r="BE172" s="69">
        <f>K172/(1.0595^(2020-2019))</f>
        <v>221.80273714016042</v>
      </c>
    </row>
    <row r="173" spans="1:57" s="43" customFormat="1" x14ac:dyDescent="0.25">
      <c r="A173" s="198"/>
      <c r="B173" s="198"/>
      <c r="C173" s="398" t="s">
        <v>755</v>
      </c>
      <c r="D173" s="2134" t="s">
        <v>621</v>
      </c>
      <c r="E173" s="2030" t="s">
        <v>756</v>
      </c>
      <c r="F173" s="281">
        <f>ROUND(G190*60/1000*(G191*G194/G197-G192*G195/G198-G193*G196/G199)*G200,2)</f>
        <v>2052.85</v>
      </c>
      <c r="G173" s="2044" t="s">
        <v>754</v>
      </c>
      <c r="H173" s="202">
        <f>VLOOKUP(G173,'CP FACTORS'!$A$3:$B$38, 2, FALSE)</f>
        <v>2.3544589999999999E-4</v>
      </c>
      <c r="I173" s="283">
        <f>ROUND(H173*F173,6)</f>
        <v>0.48333500000000001</v>
      </c>
      <c r="J173" s="382">
        <v>10</v>
      </c>
      <c r="K173" s="360">
        <v>549</v>
      </c>
      <c r="L173" s="398" t="s">
        <v>37</v>
      </c>
      <c r="M173" s="198"/>
      <c r="N173" s="198"/>
      <c r="O173" s="198"/>
      <c r="P173" s="198"/>
      <c r="Q173" s="198"/>
      <c r="R173" s="1627"/>
      <c r="S173" s="198"/>
      <c r="T173" s="198"/>
      <c r="U173" s="198"/>
      <c r="V173" s="363" t="s">
        <v>20</v>
      </c>
      <c r="W173" s="2961">
        <v>2052.8492712328771</v>
      </c>
      <c r="X173" s="2965">
        <v>2052.8492712328771</v>
      </c>
      <c r="Y173" s="2966">
        <v>2052.85</v>
      </c>
      <c r="Z173" s="2967">
        <v>2052.85</v>
      </c>
      <c r="AA173" s="2967">
        <v>2052.85</v>
      </c>
      <c r="AB173" s="2967">
        <v>2052.85</v>
      </c>
      <c r="AC173" s="363"/>
      <c r="AD173" s="363"/>
      <c r="AE173" s="363"/>
      <c r="AF173" s="363"/>
      <c r="AG173" s="363"/>
      <c r="AH173" s="211"/>
      <c r="AU173" s="212"/>
      <c r="BB173" s="366">
        <f>(BD173)/(BE173)</f>
        <v>1.6535777334024884</v>
      </c>
      <c r="BC173" s="367" t="str">
        <f>CONCATENATE(G173," ",J173," Year EUL")</f>
        <v>Pool Spa RES 10 Year EUL</v>
      </c>
      <c r="BD173" s="153">
        <f>(INDEX('Avoided Cost Benefits'!$C$4:$C$857,MATCH(BC173,'Avoided Cost Benefits'!$A$4:$A$857,0)))*F173</f>
        <v>856.8326339197414</v>
      </c>
      <c r="BE173" s="75">
        <f>K173/(1.0595^(2020-2019))</f>
        <v>518.16894761680032</v>
      </c>
    </row>
    <row r="174" spans="1:57" s="43" customFormat="1" outlineLevel="1" x14ac:dyDescent="0.25">
      <c r="A174" s="198"/>
      <c r="B174" s="198"/>
      <c r="C174" s="196"/>
      <c r="D174" s="197"/>
      <c r="E174" s="368"/>
      <c r="F174" s="369"/>
      <c r="G174" s="198"/>
      <c r="H174" s="198"/>
      <c r="I174" s="157"/>
      <c r="J174" s="157"/>
      <c r="K174" s="157"/>
      <c r="L174" s="198"/>
      <c r="M174" s="198"/>
      <c r="N174" s="198"/>
      <c r="O174" s="198"/>
      <c r="P174" s="198"/>
      <c r="Q174" s="198"/>
      <c r="R174" s="198"/>
      <c r="S174" s="198"/>
      <c r="T174" s="198"/>
      <c r="U174" s="198"/>
      <c r="Z174" s="128"/>
      <c r="AA174" s="128"/>
      <c r="AF174" s="233"/>
      <c r="AH174" s="299"/>
      <c r="AU174" s="212"/>
      <c r="BB174" s="219"/>
      <c r="BC174" s="128"/>
      <c r="BD174" s="128"/>
      <c r="BE174" s="128"/>
    </row>
    <row r="175" spans="1:57" s="220" customFormat="1" outlineLevel="1" x14ac:dyDescent="0.25">
      <c r="A175" s="224"/>
      <c r="B175" s="224"/>
      <c r="C175" s="221"/>
      <c r="D175" s="222" t="s">
        <v>571</v>
      </c>
      <c r="E175" s="370"/>
      <c r="F175" s="224"/>
      <c r="G175" s="224"/>
      <c r="H175" s="224"/>
      <c r="I175" s="224"/>
      <c r="J175" s="224"/>
      <c r="K175" s="224"/>
      <c r="L175" s="224"/>
      <c r="M175" s="224"/>
      <c r="N175" s="224"/>
      <c r="O175" s="224"/>
      <c r="P175" s="224"/>
      <c r="Q175" s="224"/>
      <c r="R175" s="224"/>
      <c r="S175" s="224"/>
      <c r="T175" s="224"/>
      <c r="U175" s="224"/>
      <c r="AH175" s="299"/>
      <c r="AU175" s="212"/>
      <c r="BB175" s="219"/>
      <c r="BC175" s="128"/>
      <c r="BD175" s="128"/>
      <c r="BE175" s="128"/>
    </row>
    <row r="176" spans="1:57" s="220" customFormat="1" outlineLevel="1" x14ac:dyDescent="0.25">
      <c r="A176" s="224"/>
      <c r="B176" s="224"/>
      <c r="C176" s="221"/>
      <c r="D176" s="371"/>
      <c r="E176" s="368"/>
      <c r="F176" s="372"/>
      <c r="G176" s="224"/>
      <c r="H176" s="224"/>
      <c r="I176" s="224"/>
      <c r="J176" s="224"/>
      <c r="K176" s="224"/>
      <c r="L176" s="224"/>
      <c r="M176" s="224"/>
      <c r="N176" s="224"/>
      <c r="O176" s="224"/>
      <c r="P176" s="224"/>
      <c r="Q176" s="224"/>
      <c r="R176" s="224"/>
      <c r="S176" s="224"/>
      <c r="T176" s="224"/>
      <c r="U176" s="224"/>
      <c r="AH176" s="299"/>
      <c r="AU176" s="212"/>
      <c r="BB176" s="219"/>
      <c r="BC176" s="128"/>
      <c r="BD176" s="128"/>
      <c r="BE176" s="128"/>
    </row>
    <row r="177" spans="1:57" s="220" customFormat="1" outlineLevel="1" x14ac:dyDescent="0.25">
      <c r="A177" s="224"/>
      <c r="B177" s="224"/>
      <c r="C177" s="221"/>
      <c r="D177" s="371"/>
      <c r="E177" s="368"/>
      <c r="F177" s="372"/>
      <c r="G177" s="224"/>
      <c r="H177" s="224"/>
      <c r="I177" s="224"/>
      <c r="J177" s="224"/>
      <c r="K177" s="224"/>
      <c r="L177" s="157"/>
      <c r="M177" s="157"/>
      <c r="N177" s="157"/>
      <c r="O177" s="157"/>
      <c r="P177" s="157"/>
      <c r="Q177" s="224"/>
      <c r="R177" s="224"/>
      <c r="S177" s="224"/>
      <c r="T177" s="224"/>
      <c r="U177" s="224"/>
      <c r="AH177" s="299"/>
      <c r="AU177" s="212"/>
      <c r="BB177" s="219"/>
      <c r="BC177" s="128"/>
      <c r="BD177" s="128"/>
      <c r="BE177" s="128"/>
    </row>
    <row r="178" spans="1:57" s="220" customFormat="1" outlineLevel="1" x14ac:dyDescent="0.25">
      <c r="A178" s="224"/>
      <c r="B178" s="224"/>
      <c r="C178" s="221"/>
      <c r="D178" s="227"/>
      <c r="E178" s="228"/>
      <c r="F178" s="372"/>
      <c r="G178" s="224"/>
      <c r="H178" s="224"/>
      <c r="I178" s="224"/>
      <c r="J178" s="224"/>
      <c r="K178" s="224"/>
      <c r="L178" s="157"/>
      <c r="M178" s="157"/>
      <c r="N178" s="157"/>
      <c r="O178" s="157"/>
      <c r="P178" s="157"/>
      <c r="Q178" s="224"/>
      <c r="R178" s="224"/>
      <c r="S178" s="224"/>
      <c r="T178" s="224"/>
      <c r="U178" s="224"/>
      <c r="AH178" s="299"/>
      <c r="AU178" s="212"/>
      <c r="BB178" s="219"/>
      <c r="BC178" s="128"/>
      <c r="BD178" s="128"/>
      <c r="BE178" s="128"/>
    </row>
    <row r="179" spans="1:57" s="220" customFormat="1" outlineLevel="1" x14ac:dyDescent="0.25">
      <c r="A179" s="224"/>
      <c r="B179" s="224"/>
      <c r="C179" s="221"/>
      <c r="D179" s="227"/>
      <c r="E179" s="228"/>
      <c r="F179" s="372"/>
      <c r="G179" s="224"/>
      <c r="H179" s="224"/>
      <c r="I179" s="224"/>
      <c r="J179" s="224"/>
      <c r="K179" s="224"/>
      <c r="L179" s="157"/>
      <c r="M179" s="157"/>
      <c r="N179" s="157"/>
      <c r="O179" s="157"/>
      <c r="P179" s="157"/>
      <c r="Q179" s="224"/>
      <c r="R179" s="224"/>
      <c r="S179" s="224"/>
      <c r="T179" s="224"/>
      <c r="U179" s="224"/>
      <c r="AH179" s="299"/>
      <c r="AU179" s="212"/>
      <c r="BB179" s="219"/>
      <c r="BC179" s="128"/>
      <c r="BD179" s="128"/>
      <c r="BE179" s="128"/>
    </row>
    <row r="180" spans="1:57" s="220" customFormat="1" outlineLevel="1" x14ac:dyDescent="0.25">
      <c r="A180" s="224"/>
      <c r="B180" s="224"/>
      <c r="C180" s="221"/>
      <c r="D180" s="227"/>
      <c r="E180" s="228"/>
      <c r="F180" s="372"/>
      <c r="G180" s="224"/>
      <c r="H180" s="224"/>
      <c r="I180" s="224"/>
      <c r="J180" s="224"/>
      <c r="K180" s="224"/>
      <c r="L180" s="157"/>
      <c r="M180" s="157"/>
      <c r="N180" s="157"/>
      <c r="O180" s="157"/>
      <c r="P180" s="157"/>
      <c r="Q180" s="224"/>
      <c r="R180" s="224"/>
      <c r="S180" s="224"/>
      <c r="T180" s="224"/>
      <c r="U180" s="224"/>
      <c r="AH180" s="299"/>
      <c r="AU180" s="212"/>
      <c r="BB180" s="219"/>
      <c r="BC180" s="128"/>
      <c r="BD180" s="128"/>
      <c r="BE180" s="128"/>
    </row>
    <row r="181" spans="1:57" s="220" customFormat="1" outlineLevel="1" x14ac:dyDescent="0.25">
      <c r="A181" s="224"/>
      <c r="B181" s="224"/>
      <c r="C181" s="221"/>
      <c r="D181" s="227"/>
      <c r="E181" s="228"/>
      <c r="F181" s="372"/>
      <c r="G181" s="224"/>
      <c r="H181" s="224"/>
      <c r="I181" s="224"/>
      <c r="J181" s="224"/>
      <c r="K181" s="224"/>
      <c r="L181" s="157"/>
      <c r="M181" s="157"/>
      <c r="N181" s="157"/>
      <c r="O181" s="157"/>
      <c r="P181" s="157"/>
      <c r="Q181" s="224"/>
      <c r="R181" s="224"/>
      <c r="S181" s="224"/>
      <c r="T181" s="224"/>
      <c r="U181" s="224"/>
      <c r="AH181" s="299"/>
      <c r="AU181" s="212"/>
      <c r="BB181" s="219"/>
      <c r="BC181" s="128"/>
      <c r="BD181" s="128"/>
      <c r="BE181" s="128"/>
    </row>
    <row r="182" spans="1:57" s="220" customFormat="1" outlineLevel="1" x14ac:dyDescent="0.25">
      <c r="A182" s="224"/>
      <c r="B182" s="224"/>
      <c r="C182" s="221"/>
      <c r="D182" s="227"/>
      <c r="E182" s="228"/>
      <c r="F182" s="372"/>
      <c r="G182" s="224"/>
      <c r="H182" s="224"/>
      <c r="I182" s="224"/>
      <c r="J182" s="224"/>
      <c r="K182" s="224"/>
      <c r="L182" s="157"/>
      <c r="M182" s="157"/>
      <c r="N182" s="157"/>
      <c r="O182" s="157"/>
      <c r="P182" s="157"/>
      <c r="Q182" s="224"/>
      <c r="R182" s="224"/>
      <c r="S182" s="224"/>
      <c r="T182" s="224"/>
      <c r="U182" s="224"/>
      <c r="AH182" s="299"/>
      <c r="AU182" s="212"/>
      <c r="BB182" s="219"/>
      <c r="BC182" s="128"/>
      <c r="BD182" s="128"/>
      <c r="BE182" s="128"/>
    </row>
    <row r="183" spans="1:57" s="220" customFormat="1" outlineLevel="1" x14ac:dyDescent="0.25">
      <c r="A183" s="224"/>
      <c r="B183" s="224"/>
      <c r="C183" s="221"/>
      <c r="D183" s="227"/>
      <c r="E183" s="228"/>
      <c r="F183" s="372"/>
      <c r="G183" s="224"/>
      <c r="H183" s="224"/>
      <c r="I183" s="224"/>
      <c r="J183" s="224"/>
      <c r="K183" s="224"/>
      <c r="L183" s="157"/>
      <c r="M183" s="157"/>
      <c r="N183" s="157"/>
      <c r="O183" s="157"/>
      <c r="P183" s="157"/>
      <c r="Q183" s="224"/>
      <c r="R183" s="224"/>
      <c r="S183" s="224"/>
      <c r="T183" s="224"/>
      <c r="U183" s="224"/>
      <c r="AH183" s="299"/>
      <c r="AU183" s="212"/>
      <c r="BB183" s="219"/>
      <c r="BC183" s="128"/>
      <c r="BD183" s="128"/>
      <c r="BE183" s="128"/>
    </row>
    <row r="184" spans="1:57" s="220" customFormat="1" outlineLevel="1" x14ac:dyDescent="0.25">
      <c r="A184" s="224"/>
      <c r="B184" s="224"/>
      <c r="C184" s="221"/>
      <c r="D184" s="227"/>
      <c r="E184" s="228"/>
      <c r="F184" s="372"/>
      <c r="G184" s="224"/>
      <c r="H184" s="224"/>
      <c r="I184" s="224"/>
      <c r="J184" s="224"/>
      <c r="K184" s="224"/>
      <c r="L184" s="157"/>
      <c r="M184" s="157"/>
      <c r="N184" s="157"/>
      <c r="O184" s="157"/>
      <c r="P184" s="157"/>
      <c r="Q184" s="224"/>
      <c r="R184" s="224"/>
      <c r="S184" s="224"/>
      <c r="T184" s="224"/>
      <c r="U184" s="224"/>
      <c r="AH184" s="299"/>
      <c r="AU184" s="212"/>
      <c r="BB184" s="219"/>
      <c r="BC184" s="128"/>
      <c r="BD184" s="128"/>
      <c r="BE184" s="128"/>
    </row>
    <row r="185" spans="1:57" s="220" customFormat="1" outlineLevel="1" x14ac:dyDescent="0.25">
      <c r="A185" s="224"/>
      <c r="B185" s="224"/>
      <c r="C185" s="221"/>
      <c r="D185" s="227"/>
      <c r="E185" s="228"/>
      <c r="F185" s="372"/>
      <c r="G185" s="224"/>
      <c r="H185" s="224"/>
      <c r="I185" s="224"/>
      <c r="J185" s="224"/>
      <c r="K185" s="224"/>
      <c r="L185" s="157"/>
      <c r="M185" s="157"/>
      <c r="N185" s="157"/>
      <c r="O185" s="157"/>
      <c r="P185" s="157"/>
      <c r="Q185" s="224"/>
      <c r="R185" s="224"/>
      <c r="S185" s="224"/>
      <c r="T185" s="224"/>
      <c r="U185" s="224"/>
      <c r="AH185" s="299"/>
      <c r="AU185" s="212"/>
      <c r="BB185" s="219"/>
      <c r="BC185" s="128"/>
      <c r="BD185" s="128"/>
      <c r="BE185" s="128"/>
    </row>
    <row r="186" spans="1:57" s="220" customFormat="1" outlineLevel="1" x14ac:dyDescent="0.25">
      <c r="A186" s="224"/>
      <c r="B186" s="224"/>
      <c r="C186" s="221"/>
      <c r="D186" s="227"/>
      <c r="E186" s="228"/>
      <c r="F186" s="372"/>
      <c r="G186" s="224"/>
      <c r="H186" s="224"/>
      <c r="I186" s="224"/>
      <c r="J186" s="224"/>
      <c r="K186" s="224"/>
      <c r="L186" s="157"/>
      <c r="M186" s="157"/>
      <c r="N186" s="157"/>
      <c r="O186" s="157"/>
      <c r="P186" s="157"/>
      <c r="Q186" s="224"/>
      <c r="R186" s="224"/>
      <c r="S186" s="224"/>
      <c r="T186" s="224"/>
      <c r="U186" s="224"/>
      <c r="AH186" s="299"/>
      <c r="AU186" s="212"/>
      <c r="BB186" s="219"/>
      <c r="BC186" s="128"/>
      <c r="BD186" s="128"/>
      <c r="BE186" s="128"/>
    </row>
    <row r="187" spans="1:57" s="220" customFormat="1" outlineLevel="1" x14ac:dyDescent="0.25">
      <c r="A187" s="224"/>
      <c r="B187" s="224"/>
      <c r="C187" s="221"/>
      <c r="D187" s="227"/>
      <c r="E187" s="228"/>
      <c r="F187" s="372"/>
      <c r="G187" s="224"/>
      <c r="H187" s="224"/>
      <c r="I187" s="224"/>
      <c r="J187" s="224"/>
      <c r="K187" s="224"/>
      <c r="L187" s="157"/>
      <c r="M187" s="157"/>
      <c r="N187" s="157"/>
      <c r="O187" s="157"/>
      <c r="P187" s="157"/>
      <c r="Q187" s="224"/>
      <c r="R187" s="224"/>
      <c r="S187" s="224"/>
      <c r="T187" s="224"/>
      <c r="U187" s="224"/>
      <c r="AH187" s="299"/>
      <c r="AU187" s="212"/>
      <c r="BB187" s="219"/>
      <c r="BC187" s="128"/>
      <c r="BD187" s="128"/>
      <c r="BE187" s="128"/>
    </row>
    <row r="188" spans="1:57" s="220" customFormat="1" outlineLevel="1" x14ac:dyDescent="0.25">
      <c r="A188" s="224"/>
      <c r="B188" s="224"/>
      <c r="C188" s="221"/>
      <c r="D188" s="373"/>
      <c r="E188" s="228"/>
      <c r="F188" s="372"/>
      <c r="G188" s="224"/>
      <c r="H188" s="224"/>
      <c r="I188" s="224"/>
      <c r="J188" s="224"/>
      <c r="K188" s="224"/>
      <c r="L188" s="157"/>
      <c r="M188" s="375"/>
      <c r="N188" s="375"/>
      <c r="O188" s="375"/>
      <c r="P188" s="375"/>
      <c r="Q188" s="1641"/>
      <c r="R188" s="224"/>
      <c r="S188" s="224"/>
      <c r="T188" s="224"/>
      <c r="U188" s="224"/>
      <c r="V188" s="55" t="s">
        <v>27</v>
      </c>
      <c r="W188" s="56">
        <v>43252</v>
      </c>
      <c r="X188" s="56">
        <f>$X$6</f>
        <v>43465</v>
      </c>
      <c r="Y188" s="56">
        <f>$Y$6</f>
        <v>43800</v>
      </c>
      <c r="Z188" s="56">
        <f>$Z$6</f>
        <v>43862</v>
      </c>
      <c r="AA188" s="56">
        <f>$AA$6</f>
        <v>44013</v>
      </c>
      <c r="AB188" s="56">
        <f>$AB$6</f>
        <v>44166</v>
      </c>
      <c r="AC188" s="56" t="str">
        <f>$AC$6</f>
        <v>-</v>
      </c>
      <c r="AD188" s="56" t="str">
        <f>$AD$6</f>
        <v>-</v>
      </c>
      <c r="AE188" s="56" t="str">
        <f>$AE$6</f>
        <v>-</v>
      </c>
      <c r="AF188" s="56" t="str">
        <f>$AF$6</f>
        <v>-</v>
      </c>
      <c r="AG188" s="56" t="str">
        <f>$AG$6</f>
        <v>-</v>
      </c>
      <c r="AH188" s="299"/>
      <c r="AI188" s="56">
        <v>43252</v>
      </c>
      <c r="AJ188" s="56">
        <f>$Y$6</f>
        <v>43800</v>
      </c>
      <c r="AK188" s="56">
        <f>$Y$6</f>
        <v>43800</v>
      </c>
      <c r="AL188" s="56">
        <f>$Z$6</f>
        <v>43862</v>
      </c>
      <c r="AM188" s="56">
        <f>$AA$6</f>
        <v>44013</v>
      </c>
      <c r="AN188" s="56">
        <f>$AB$6</f>
        <v>44166</v>
      </c>
      <c r="AO188" s="56" t="str">
        <f>$AC$6</f>
        <v>-</v>
      </c>
      <c r="AP188" s="56" t="str">
        <f>$AD$6</f>
        <v>-</v>
      </c>
      <c r="AQ188" s="56" t="str">
        <f>$AE$6</f>
        <v>-</v>
      </c>
      <c r="AR188" s="56" t="str">
        <f>$AF$6</f>
        <v>-</v>
      </c>
      <c r="AS188" s="56" t="str">
        <f>$AG$6</f>
        <v>-</v>
      </c>
      <c r="AU188" s="212"/>
      <c r="BB188" s="219"/>
      <c r="BC188" s="128"/>
      <c r="BD188" s="128"/>
      <c r="BE188" s="128"/>
    </row>
    <row r="189" spans="1:57" s="77" customFormat="1" ht="30" outlineLevel="1" x14ac:dyDescent="0.25">
      <c r="A189" s="463"/>
      <c r="B189" s="463"/>
      <c r="C189" s="196"/>
      <c r="D189" s="2045" t="s">
        <v>572</v>
      </c>
      <c r="E189" s="2045" t="s">
        <v>573</v>
      </c>
      <c r="F189" s="2029" t="s">
        <v>757</v>
      </c>
      <c r="G189" s="2029" t="s">
        <v>758</v>
      </c>
      <c r="H189" s="3419" t="s">
        <v>624</v>
      </c>
      <c r="I189" s="3419"/>
      <c r="J189" s="3419" t="s">
        <v>575</v>
      </c>
      <c r="K189" s="3419"/>
      <c r="L189" s="463"/>
      <c r="M189" s="194"/>
      <c r="N189" s="194"/>
      <c r="O189" s="194"/>
      <c r="P189" s="194"/>
      <c r="Q189" s="1480"/>
      <c r="R189" s="463"/>
      <c r="S189" s="463"/>
      <c r="T189" s="463"/>
      <c r="U189" s="463"/>
      <c r="V189" s="78"/>
      <c r="W189" s="79" t="s">
        <v>757</v>
      </c>
      <c r="X189" s="79" t="s">
        <v>757</v>
      </c>
      <c r="Y189" s="79" t="s">
        <v>757</v>
      </c>
      <c r="Z189" s="79" t="s">
        <v>757</v>
      </c>
      <c r="AA189" s="79" t="s">
        <v>757</v>
      </c>
      <c r="AB189" s="79" t="s">
        <v>757</v>
      </c>
      <c r="AC189" s="79" t="s">
        <v>757</v>
      </c>
      <c r="AD189" s="79" t="s">
        <v>757</v>
      </c>
      <c r="AE189" s="79" t="s">
        <v>757</v>
      </c>
      <c r="AF189" s="79" t="s">
        <v>757</v>
      </c>
      <c r="AG189" s="79" t="s">
        <v>757</v>
      </c>
      <c r="AH189" s="299"/>
      <c r="AI189" s="79" t="s">
        <v>758</v>
      </c>
      <c r="AJ189" s="79" t="s">
        <v>758</v>
      </c>
      <c r="AK189" s="79" t="s">
        <v>758</v>
      </c>
      <c r="AL189" s="79" t="s">
        <v>758</v>
      </c>
      <c r="AM189" s="79" t="s">
        <v>758</v>
      </c>
      <c r="AN189" s="79" t="s">
        <v>758</v>
      </c>
      <c r="AO189" s="79" t="s">
        <v>758</v>
      </c>
      <c r="AP189" s="79" t="s">
        <v>758</v>
      </c>
      <c r="AQ189" s="79" t="s">
        <v>758</v>
      </c>
      <c r="AR189" s="79" t="s">
        <v>758</v>
      </c>
      <c r="AS189" s="79" t="s">
        <v>758</v>
      </c>
      <c r="AT189" s="220"/>
      <c r="AU189" s="212"/>
      <c r="BB189" s="219"/>
      <c r="BC189" s="128"/>
      <c r="BD189" s="128"/>
      <c r="BE189" s="128"/>
    </row>
    <row r="190" spans="1:57" ht="45" customHeight="1" outlineLevel="1" x14ac:dyDescent="0.25">
      <c r="D190" s="2030" t="s">
        <v>759</v>
      </c>
      <c r="E190" s="2030" t="s">
        <v>760</v>
      </c>
      <c r="F190" s="376">
        <v>121.6</v>
      </c>
      <c r="G190" s="376">
        <v>121.6</v>
      </c>
      <c r="H190" s="3446" t="s">
        <v>761</v>
      </c>
      <c r="I190" s="3446"/>
      <c r="J190" s="3447" t="s">
        <v>632</v>
      </c>
      <c r="K190" s="3447"/>
      <c r="M190" s="1642"/>
      <c r="N190" s="1642"/>
      <c r="O190" s="1642"/>
      <c r="P190" s="1642"/>
      <c r="Q190" s="1643"/>
      <c r="V190" s="381" t="str">
        <f t="shared" ref="V190:V202" si="8">D190</f>
        <v>Daysoper</v>
      </c>
      <c r="W190" s="379">
        <v>121.6</v>
      </c>
      <c r="X190" s="379">
        <v>121.6</v>
      </c>
      <c r="Y190" s="2360">
        <v>121.6</v>
      </c>
      <c r="Z190" s="2433">
        <v>121.6</v>
      </c>
      <c r="AA190" s="2433">
        <v>121.6</v>
      </c>
      <c r="AB190" s="379">
        <v>121.6</v>
      </c>
      <c r="AC190" s="379"/>
      <c r="AD190" s="379"/>
      <c r="AE190" s="379"/>
      <c r="AF190" s="379"/>
      <c r="AG190" s="379"/>
      <c r="AH190" s="2421"/>
      <c r="AI190" s="379">
        <v>121.6</v>
      </c>
      <c r="AJ190" s="379">
        <v>121.6</v>
      </c>
      <c r="AK190" s="246">
        <v>121.6</v>
      </c>
      <c r="AL190" s="246">
        <v>121.6</v>
      </c>
      <c r="AM190" s="246">
        <v>121.6</v>
      </c>
      <c r="AN190" s="376">
        <v>121.6</v>
      </c>
      <c r="AO190" s="379"/>
      <c r="AP190" s="379"/>
      <c r="AQ190" s="379"/>
      <c r="AR190" s="379"/>
      <c r="AS190" s="379"/>
      <c r="AT190" s="220"/>
      <c r="AU190" s="212"/>
    </row>
    <row r="191" spans="1:57" ht="45" customHeight="1" outlineLevel="1" x14ac:dyDescent="0.25">
      <c r="D191" s="2030" t="s">
        <v>762</v>
      </c>
      <c r="E191" s="2030" t="s">
        <v>763</v>
      </c>
      <c r="F191" s="376">
        <v>11.4</v>
      </c>
      <c r="G191" s="376">
        <v>11.4</v>
      </c>
      <c r="H191" s="3446" t="s">
        <v>761</v>
      </c>
      <c r="I191" s="3446"/>
      <c r="J191" s="3447" t="s">
        <v>632</v>
      </c>
      <c r="K191" s="3447"/>
      <c r="M191" s="1642"/>
      <c r="N191" s="1642"/>
      <c r="O191" s="1642"/>
      <c r="P191" s="1642"/>
      <c r="Q191" s="1643"/>
      <c r="V191" s="381" t="str">
        <f t="shared" si="8"/>
        <v>RTss</v>
      </c>
      <c r="W191" s="379">
        <v>11.4</v>
      </c>
      <c r="X191" s="379">
        <v>11.4</v>
      </c>
      <c r="Y191" s="376">
        <v>11.4</v>
      </c>
      <c r="Z191" s="376">
        <v>11.4</v>
      </c>
      <c r="AA191" s="376">
        <v>11.4</v>
      </c>
      <c r="AB191" s="379">
        <v>11.4</v>
      </c>
      <c r="AC191" s="379"/>
      <c r="AD191" s="379"/>
      <c r="AE191" s="379"/>
      <c r="AF191" s="379"/>
      <c r="AG191" s="379"/>
      <c r="AH191" s="2421"/>
      <c r="AI191" s="379">
        <v>11.4</v>
      </c>
      <c r="AJ191" s="379">
        <v>11.4</v>
      </c>
      <c r="AK191" s="379">
        <v>11.4</v>
      </c>
      <c r="AL191" s="379">
        <v>11.4</v>
      </c>
      <c r="AM191" s="379">
        <v>11.4</v>
      </c>
      <c r="AN191" s="376">
        <v>11.4</v>
      </c>
      <c r="AO191" s="379"/>
      <c r="AP191" s="379"/>
      <c r="AQ191" s="379"/>
      <c r="AR191" s="379"/>
      <c r="AS191" s="379"/>
      <c r="AT191" s="220"/>
      <c r="AU191" s="212"/>
    </row>
    <row r="192" spans="1:57" ht="45" customHeight="1" outlineLevel="1" x14ac:dyDescent="0.25">
      <c r="D192" s="2030" t="s">
        <v>764</v>
      </c>
      <c r="E192" s="2030" t="s">
        <v>765</v>
      </c>
      <c r="F192" s="376">
        <v>9.8000000000000007</v>
      </c>
      <c r="G192" s="376">
        <v>10</v>
      </c>
      <c r="H192" s="3446" t="s">
        <v>761</v>
      </c>
      <c r="I192" s="3446"/>
      <c r="J192" s="3447" t="s">
        <v>632</v>
      </c>
      <c r="K192" s="3447"/>
      <c r="M192" s="1642"/>
      <c r="N192" s="1642"/>
      <c r="O192" s="1642"/>
      <c r="P192" s="1642"/>
      <c r="Q192" s="1643"/>
      <c r="V192" s="381" t="str">
        <f t="shared" si="8"/>
        <v>RTls</v>
      </c>
      <c r="W192" s="379">
        <v>9.8000000000000007</v>
      </c>
      <c r="X192" s="379">
        <v>9.8000000000000007</v>
      </c>
      <c r="Y192" s="376">
        <v>9.8000000000000007</v>
      </c>
      <c r="Z192" s="376">
        <v>9.8000000000000007</v>
      </c>
      <c r="AA192" s="376">
        <v>9.8000000000000007</v>
      </c>
      <c r="AB192" s="379">
        <v>9.8000000000000007</v>
      </c>
      <c r="AC192" s="379"/>
      <c r="AD192" s="379"/>
      <c r="AE192" s="379"/>
      <c r="AF192" s="379"/>
      <c r="AG192" s="379"/>
      <c r="AH192" s="2421"/>
      <c r="AI192" s="379">
        <v>10</v>
      </c>
      <c r="AJ192" s="379">
        <v>10</v>
      </c>
      <c r="AK192" s="379">
        <v>10</v>
      </c>
      <c r="AL192" s="379">
        <v>10</v>
      </c>
      <c r="AM192" s="379">
        <v>10</v>
      </c>
      <c r="AN192" s="376">
        <v>10</v>
      </c>
      <c r="AO192" s="379"/>
      <c r="AP192" s="379"/>
      <c r="AQ192" s="379"/>
      <c r="AR192" s="379"/>
      <c r="AS192" s="379"/>
      <c r="AT192" s="220"/>
      <c r="AU192" s="212"/>
    </row>
    <row r="193" spans="1:57" ht="45" customHeight="1" outlineLevel="1" x14ac:dyDescent="0.25">
      <c r="D193" s="2030" t="s">
        <v>766</v>
      </c>
      <c r="E193" s="2030" t="s">
        <v>767</v>
      </c>
      <c r="F193" s="376">
        <v>2</v>
      </c>
      <c r="G193" s="376">
        <v>2</v>
      </c>
      <c r="H193" s="3446" t="s">
        <v>761</v>
      </c>
      <c r="I193" s="3446"/>
      <c r="J193" s="3447" t="s">
        <v>632</v>
      </c>
      <c r="K193" s="3447"/>
      <c r="M193" s="1642"/>
      <c r="N193" s="1642"/>
      <c r="O193" s="1642"/>
      <c r="P193" s="1642"/>
      <c r="Q193" s="1643"/>
      <c r="V193" s="381" t="str">
        <f t="shared" si="8"/>
        <v>RThs</v>
      </c>
      <c r="W193" s="379">
        <v>2</v>
      </c>
      <c r="X193" s="379">
        <v>2</v>
      </c>
      <c r="Y193" s="2360">
        <v>2</v>
      </c>
      <c r="Z193" s="2433">
        <v>2</v>
      </c>
      <c r="AA193" s="2433">
        <v>2</v>
      </c>
      <c r="AB193" s="379">
        <v>2</v>
      </c>
      <c r="AC193" s="379"/>
      <c r="AD193" s="379"/>
      <c r="AE193" s="379"/>
      <c r="AF193" s="379"/>
      <c r="AG193" s="379"/>
      <c r="AH193" s="454"/>
      <c r="AI193" s="379">
        <v>2</v>
      </c>
      <c r="AJ193" s="379">
        <v>2</v>
      </c>
      <c r="AK193" s="246">
        <v>2</v>
      </c>
      <c r="AL193" s="246">
        <v>2</v>
      </c>
      <c r="AM193" s="246">
        <v>2</v>
      </c>
      <c r="AN193" s="376">
        <v>2</v>
      </c>
      <c r="AO193" s="379"/>
      <c r="AP193" s="379"/>
      <c r="AQ193" s="379"/>
      <c r="AR193" s="379"/>
      <c r="AS193" s="379"/>
      <c r="AT193" s="220"/>
      <c r="AU193" s="212"/>
    </row>
    <row r="194" spans="1:57" ht="45" customHeight="1" outlineLevel="1" x14ac:dyDescent="0.25">
      <c r="D194" s="2030" t="s">
        <v>768</v>
      </c>
      <c r="E194" s="2030" t="s">
        <v>769</v>
      </c>
      <c r="F194" s="376">
        <v>64.400000000000006</v>
      </c>
      <c r="G194" s="376">
        <v>64.400000000000006</v>
      </c>
      <c r="H194" s="3446" t="s">
        <v>761</v>
      </c>
      <c r="I194" s="3446"/>
      <c r="J194" s="3447" t="s">
        <v>632</v>
      </c>
      <c r="K194" s="3447"/>
      <c r="M194" s="1642"/>
      <c r="N194" s="1642"/>
      <c r="O194" s="1642"/>
      <c r="P194" s="1642"/>
      <c r="Q194" s="1643"/>
      <c r="V194" s="381" t="str">
        <f t="shared" si="8"/>
        <v>GPMss</v>
      </c>
      <c r="W194" s="379">
        <v>64.400000000000006</v>
      </c>
      <c r="X194" s="379">
        <v>64.400000000000006</v>
      </c>
      <c r="Y194" s="2360">
        <v>64.400000000000006</v>
      </c>
      <c r="Z194" s="2433">
        <v>64.400000000000006</v>
      </c>
      <c r="AA194" s="2433">
        <v>64.400000000000006</v>
      </c>
      <c r="AB194" s="379">
        <v>64.400000000000006</v>
      </c>
      <c r="AC194" s="379"/>
      <c r="AD194" s="379"/>
      <c r="AE194" s="379"/>
      <c r="AF194" s="379"/>
      <c r="AG194" s="379"/>
      <c r="AH194" s="454"/>
      <c r="AI194" s="379">
        <v>64.400000000000006</v>
      </c>
      <c r="AJ194" s="379">
        <v>64.400000000000006</v>
      </c>
      <c r="AK194" s="246">
        <v>64.400000000000006</v>
      </c>
      <c r="AL194" s="246">
        <v>64.400000000000006</v>
      </c>
      <c r="AM194" s="246">
        <v>64.400000000000006</v>
      </c>
      <c r="AN194" s="376">
        <v>64.400000000000006</v>
      </c>
      <c r="AO194" s="379"/>
      <c r="AP194" s="379"/>
      <c r="AQ194" s="379"/>
      <c r="AR194" s="379"/>
      <c r="AS194" s="379"/>
      <c r="AT194" s="220"/>
      <c r="AU194" s="212"/>
    </row>
    <row r="195" spans="1:57" ht="45" customHeight="1" outlineLevel="1" x14ac:dyDescent="0.25">
      <c r="D195" s="2030" t="s">
        <v>770</v>
      </c>
      <c r="E195" s="2030" t="s">
        <v>771</v>
      </c>
      <c r="F195" s="376">
        <v>31</v>
      </c>
      <c r="G195" s="376">
        <v>30.6</v>
      </c>
      <c r="H195" s="3446" t="s">
        <v>761</v>
      </c>
      <c r="I195" s="3446"/>
      <c r="J195" s="3447" t="s">
        <v>632</v>
      </c>
      <c r="K195" s="3447"/>
      <c r="M195" s="1642"/>
      <c r="N195" s="1642"/>
      <c r="O195" s="1642"/>
      <c r="P195" s="1642"/>
      <c r="Q195" s="1643"/>
      <c r="V195" s="381" t="str">
        <f t="shared" si="8"/>
        <v>GPMls</v>
      </c>
      <c r="W195" s="379">
        <v>31</v>
      </c>
      <c r="X195" s="379">
        <v>31</v>
      </c>
      <c r="Y195" s="2360">
        <v>31</v>
      </c>
      <c r="Z195" s="2433">
        <v>31</v>
      </c>
      <c r="AA195" s="2433">
        <v>31</v>
      </c>
      <c r="AB195" s="379">
        <v>31</v>
      </c>
      <c r="AC195" s="379"/>
      <c r="AD195" s="379"/>
      <c r="AE195" s="379"/>
      <c r="AF195" s="379"/>
      <c r="AG195" s="379"/>
      <c r="AH195" s="454"/>
      <c r="AI195" s="379">
        <v>30.6</v>
      </c>
      <c r="AJ195" s="379">
        <v>30.6</v>
      </c>
      <c r="AK195" s="246">
        <v>30.6</v>
      </c>
      <c r="AL195" s="246">
        <v>30.6</v>
      </c>
      <c r="AM195" s="246">
        <v>30.6</v>
      </c>
      <c r="AN195" s="376">
        <v>30.6</v>
      </c>
      <c r="AO195" s="379"/>
      <c r="AP195" s="379"/>
      <c r="AQ195" s="379"/>
      <c r="AR195" s="379"/>
      <c r="AS195" s="379"/>
      <c r="AT195" s="220"/>
      <c r="AU195" s="212"/>
    </row>
    <row r="196" spans="1:57" ht="45" customHeight="1" outlineLevel="1" x14ac:dyDescent="0.25">
      <c r="D196" s="2030" t="s">
        <v>772</v>
      </c>
      <c r="E196" s="2030" t="s">
        <v>773</v>
      </c>
      <c r="F196" s="376">
        <v>56</v>
      </c>
      <c r="G196" s="376">
        <v>50</v>
      </c>
      <c r="H196" s="3446" t="s">
        <v>761</v>
      </c>
      <c r="I196" s="3446"/>
      <c r="J196" s="3447" t="s">
        <v>632</v>
      </c>
      <c r="K196" s="3447"/>
      <c r="M196" s="1642"/>
      <c r="N196" s="1642"/>
      <c r="O196" s="1642"/>
      <c r="P196" s="1642"/>
      <c r="Q196" s="1643"/>
      <c r="V196" s="381" t="str">
        <f t="shared" si="8"/>
        <v>GPMhs</v>
      </c>
      <c r="W196" s="379">
        <v>56</v>
      </c>
      <c r="X196" s="379">
        <v>56</v>
      </c>
      <c r="Y196" s="2360">
        <v>56</v>
      </c>
      <c r="Z196" s="2433">
        <v>56</v>
      </c>
      <c r="AA196" s="2433">
        <v>56</v>
      </c>
      <c r="AB196" s="379">
        <v>56</v>
      </c>
      <c r="AC196" s="379"/>
      <c r="AD196" s="379"/>
      <c r="AE196" s="379"/>
      <c r="AF196" s="379"/>
      <c r="AG196" s="379"/>
      <c r="AH196" s="454"/>
      <c r="AI196" s="379">
        <v>50</v>
      </c>
      <c r="AJ196" s="379">
        <v>50</v>
      </c>
      <c r="AK196" s="246">
        <v>50</v>
      </c>
      <c r="AL196" s="246">
        <v>50</v>
      </c>
      <c r="AM196" s="246">
        <v>50</v>
      </c>
      <c r="AN196" s="376">
        <v>50</v>
      </c>
      <c r="AO196" s="379"/>
      <c r="AP196" s="379"/>
      <c r="AQ196" s="379"/>
      <c r="AR196" s="379"/>
      <c r="AS196" s="379"/>
      <c r="AT196" s="220"/>
      <c r="AU196" s="212"/>
    </row>
    <row r="197" spans="1:57" ht="45" customHeight="1" outlineLevel="1" x14ac:dyDescent="0.25">
      <c r="D197" s="2030" t="s">
        <v>774</v>
      </c>
      <c r="E197" s="2030" t="s">
        <v>775</v>
      </c>
      <c r="F197" s="376">
        <v>2.1</v>
      </c>
      <c r="G197" s="376">
        <v>2.1</v>
      </c>
      <c r="H197" s="3446" t="s">
        <v>761</v>
      </c>
      <c r="I197" s="3446"/>
      <c r="J197" s="3447" t="s">
        <v>632</v>
      </c>
      <c r="K197" s="3447"/>
      <c r="M197" s="1642"/>
      <c r="N197" s="1642"/>
      <c r="O197" s="1642"/>
      <c r="P197" s="1642"/>
      <c r="Q197" s="1643"/>
      <c r="V197" s="381" t="str">
        <f t="shared" si="8"/>
        <v>Efss</v>
      </c>
      <c r="W197" s="379">
        <v>2.1</v>
      </c>
      <c r="X197" s="379">
        <v>2.1</v>
      </c>
      <c r="Y197" s="2360">
        <v>2.1</v>
      </c>
      <c r="Z197" s="2433">
        <v>2.1</v>
      </c>
      <c r="AA197" s="2433">
        <v>2.1</v>
      </c>
      <c r="AB197" s="379">
        <v>2.1</v>
      </c>
      <c r="AC197" s="379"/>
      <c r="AD197" s="379"/>
      <c r="AE197" s="379"/>
      <c r="AF197" s="379"/>
      <c r="AG197" s="379"/>
      <c r="AH197" s="454"/>
      <c r="AI197" s="379">
        <v>2.1</v>
      </c>
      <c r="AJ197" s="379">
        <v>2.1</v>
      </c>
      <c r="AK197" s="246">
        <v>2.1</v>
      </c>
      <c r="AL197" s="246">
        <v>2.1</v>
      </c>
      <c r="AM197" s="246">
        <v>2.1</v>
      </c>
      <c r="AN197" s="376">
        <v>2.1</v>
      </c>
      <c r="AO197" s="379"/>
      <c r="AP197" s="379"/>
      <c r="AQ197" s="379"/>
      <c r="AR197" s="379"/>
      <c r="AS197" s="379"/>
      <c r="AT197" s="220"/>
      <c r="AU197" s="212"/>
    </row>
    <row r="198" spans="1:57" ht="45" customHeight="1" outlineLevel="1" x14ac:dyDescent="0.25">
      <c r="D198" s="2423" t="s">
        <v>776</v>
      </c>
      <c r="E198" s="2423" t="s">
        <v>777</v>
      </c>
      <c r="F198" s="376">
        <v>5.4</v>
      </c>
      <c r="G198" s="376">
        <v>7.3</v>
      </c>
      <c r="H198" s="3446" t="s">
        <v>761</v>
      </c>
      <c r="I198" s="3446"/>
      <c r="J198" s="3446" t="s">
        <v>632</v>
      </c>
      <c r="K198" s="3446"/>
      <c r="M198" s="1642"/>
      <c r="N198" s="1642"/>
      <c r="O198" s="1642"/>
      <c r="P198" s="1642"/>
      <c r="Q198" s="1643"/>
      <c r="V198" s="381" t="str">
        <f t="shared" si="8"/>
        <v>Efls</v>
      </c>
      <c r="W198" s="379">
        <v>5.4</v>
      </c>
      <c r="X198" s="379">
        <v>5.4</v>
      </c>
      <c r="Y198" s="2360">
        <v>5.4</v>
      </c>
      <c r="Z198" s="2433">
        <v>5.4</v>
      </c>
      <c r="AA198" s="2433">
        <v>5.4</v>
      </c>
      <c r="AB198" s="379">
        <v>5.4</v>
      </c>
      <c r="AC198" s="379"/>
      <c r="AD198" s="379"/>
      <c r="AE198" s="379"/>
      <c r="AF198" s="379"/>
      <c r="AG198" s="379"/>
      <c r="AH198" s="454"/>
      <c r="AI198" s="379">
        <v>7.3</v>
      </c>
      <c r="AJ198" s="379">
        <v>7.3</v>
      </c>
      <c r="AK198" s="246">
        <v>7.3</v>
      </c>
      <c r="AL198" s="246">
        <v>7.3</v>
      </c>
      <c r="AM198" s="246">
        <v>7.3</v>
      </c>
      <c r="AN198" s="376">
        <v>7.3</v>
      </c>
      <c r="AO198" s="379"/>
      <c r="AP198" s="379"/>
      <c r="AQ198" s="379"/>
      <c r="AR198" s="379"/>
      <c r="AS198" s="379"/>
      <c r="AT198" s="220"/>
      <c r="AU198" s="212"/>
    </row>
    <row r="199" spans="1:57" ht="45" customHeight="1" outlineLevel="1" x14ac:dyDescent="0.25">
      <c r="D199" s="2423" t="s">
        <v>778</v>
      </c>
      <c r="E199" s="2423" t="s">
        <v>779</v>
      </c>
      <c r="F199" s="376">
        <v>2.4</v>
      </c>
      <c r="G199" s="376">
        <v>3.8</v>
      </c>
      <c r="H199" s="3446" t="s">
        <v>761</v>
      </c>
      <c r="I199" s="3446"/>
      <c r="J199" s="3446" t="s">
        <v>632</v>
      </c>
      <c r="K199" s="3446"/>
      <c r="M199" s="1642"/>
      <c r="N199" s="1642"/>
      <c r="O199" s="1642"/>
      <c r="P199" s="1642"/>
      <c r="Q199" s="1643"/>
      <c r="V199" s="381" t="str">
        <f t="shared" si="8"/>
        <v>Efhs</v>
      </c>
      <c r="W199" s="379">
        <v>2.4</v>
      </c>
      <c r="X199" s="379">
        <v>2.4</v>
      </c>
      <c r="Y199" s="2360">
        <v>2.4</v>
      </c>
      <c r="Z199" s="2433">
        <v>2.4</v>
      </c>
      <c r="AA199" s="2433">
        <v>2.4</v>
      </c>
      <c r="AB199" s="379">
        <v>2.4</v>
      </c>
      <c r="AC199" s="379"/>
      <c r="AD199" s="379"/>
      <c r="AE199" s="379"/>
      <c r="AF199" s="379"/>
      <c r="AG199" s="379"/>
      <c r="AH199" s="454"/>
      <c r="AI199" s="379">
        <v>3.8</v>
      </c>
      <c r="AJ199" s="379">
        <v>3.8</v>
      </c>
      <c r="AK199" s="246">
        <v>3.8</v>
      </c>
      <c r="AL199" s="246">
        <v>3.8</v>
      </c>
      <c r="AM199" s="246">
        <v>3.8</v>
      </c>
      <c r="AN199" s="376">
        <v>3.8</v>
      </c>
      <c r="AO199" s="379"/>
      <c r="AP199" s="379"/>
      <c r="AQ199" s="379"/>
      <c r="AR199" s="379"/>
      <c r="AS199" s="379"/>
      <c r="AT199" s="220"/>
      <c r="AU199" s="212"/>
    </row>
    <row r="200" spans="1:57" s="43" customFormat="1" ht="45" customHeight="1" outlineLevel="1" x14ac:dyDescent="0.25">
      <c r="A200" s="198"/>
      <c r="B200" s="198"/>
      <c r="C200" s="196"/>
      <c r="D200" s="3006" t="s">
        <v>75</v>
      </c>
      <c r="E200" s="3006" t="s">
        <v>684</v>
      </c>
      <c r="F200" s="380">
        <v>1</v>
      </c>
      <c r="G200" s="380">
        <v>1</v>
      </c>
      <c r="H200" s="3446" t="s">
        <v>3510</v>
      </c>
      <c r="I200" s="3446"/>
      <c r="J200" s="3446" t="s">
        <v>632</v>
      </c>
      <c r="K200" s="3446"/>
      <c r="L200" s="198"/>
      <c r="M200" s="1644"/>
      <c r="N200" s="1644"/>
      <c r="O200" s="1644"/>
      <c r="P200" s="1642"/>
      <c r="Q200" s="1643"/>
      <c r="R200" s="198"/>
      <c r="S200" s="198"/>
      <c r="T200" s="198"/>
      <c r="U200" s="198"/>
      <c r="V200" s="381" t="str">
        <f t="shared" si="8"/>
        <v>ISR</v>
      </c>
      <c r="W200" s="265">
        <v>1</v>
      </c>
      <c r="X200" s="265">
        <v>1</v>
      </c>
      <c r="Y200" s="265">
        <v>1</v>
      </c>
      <c r="Z200" s="380">
        <v>1</v>
      </c>
      <c r="AA200" s="380">
        <v>1</v>
      </c>
      <c r="AB200" s="265">
        <v>1</v>
      </c>
      <c r="AC200" s="265"/>
      <c r="AD200" s="265"/>
      <c r="AE200" s="265"/>
      <c r="AF200" s="265"/>
      <c r="AG200" s="265"/>
      <c r="AH200" s="454"/>
      <c r="AI200" s="265">
        <v>1</v>
      </c>
      <c r="AJ200" s="265">
        <v>1</v>
      </c>
      <c r="AK200" s="265">
        <v>1</v>
      </c>
      <c r="AL200" s="265">
        <v>1</v>
      </c>
      <c r="AM200" s="265">
        <v>1</v>
      </c>
      <c r="AN200" s="380">
        <v>1</v>
      </c>
      <c r="AO200" s="265"/>
      <c r="AP200" s="265"/>
      <c r="AQ200" s="265"/>
      <c r="AR200" s="265"/>
      <c r="AS200" s="265"/>
      <c r="AT200" s="220"/>
      <c r="AU200" s="212"/>
      <c r="BB200" s="219"/>
      <c r="BC200" s="128"/>
      <c r="BD200" s="128"/>
      <c r="BE200" s="128"/>
    </row>
    <row r="201" spans="1:57" s="43" customFormat="1" outlineLevel="1" x14ac:dyDescent="0.25">
      <c r="A201" s="198"/>
      <c r="B201" s="198"/>
      <c r="C201" s="196"/>
      <c r="D201" s="358" t="str">
        <f>$D$50</f>
        <v>EUL</v>
      </c>
      <c r="E201" s="358" t="str">
        <f>$E$50</f>
        <v>Effective Useful Life</v>
      </c>
      <c r="F201" s="382">
        <v>10</v>
      </c>
      <c r="G201" s="382">
        <v>10</v>
      </c>
      <c r="H201" s="3446"/>
      <c r="I201" s="3446"/>
      <c r="J201" s="3446" t="s">
        <v>37</v>
      </c>
      <c r="K201" s="3446"/>
      <c r="L201" s="272"/>
      <c r="M201" s="1644"/>
      <c r="N201" s="1644"/>
      <c r="O201" s="1644"/>
      <c r="P201" s="1642"/>
      <c r="Q201" s="1643"/>
      <c r="R201" s="198"/>
      <c r="S201" s="198"/>
      <c r="T201" s="198"/>
      <c r="U201" s="198"/>
      <c r="V201" s="383" t="str">
        <f t="shared" si="8"/>
        <v>EUL</v>
      </c>
      <c r="W201" s="266">
        <v>10</v>
      </c>
      <c r="X201" s="266">
        <v>10</v>
      </c>
      <c r="Y201" s="266">
        <v>10</v>
      </c>
      <c r="Z201" s="382">
        <v>10</v>
      </c>
      <c r="AA201" s="382">
        <v>10</v>
      </c>
      <c r="AB201" s="2547">
        <v>10</v>
      </c>
      <c r="AC201" s="2547"/>
      <c r="AD201" s="2547"/>
      <c r="AE201" s="2547"/>
      <c r="AF201" s="2547"/>
      <c r="AG201" s="2547"/>
      <c r="AH201" s="454"/>
      <c r="AI201" s="2547">
        <v>10</v>
      </c>
      <c r="AJ201" s="2547">
        <v>10</v>
      </c>
      <c r="AK201" s="2547">
        <v>10</v>
      </c>
      <c r="AL201" s="2547">
        <v>10</v>
      </c>
      <c r="AM201" s="2547">
        <v>10</v>
      </c>
      <c r="AN201" s="382">
        <v>10</v>
      </c>
      <c r="AO201" s="2547"/>
      <c r="AP201" s="2547"/>
      <c r="AQ201" s="266"/>
      <c r="AR201" s="266"/>
      <c r="AS201" s="266"/>
      <c r="AT201" s="220"/>
      <c r="AU201" s="212"/>
      <c r="BB201" s="219"/>
      <c r="BC201" s="128"/>
      <c r="BD201" s="128"/>
      <c r="BE201" s="128"/>
    </row>
    <row r="202" spans="1:57" s="43" customFormat="1" outlineLevel="1" x14ac:dyDescent="0.25">
      <c r="A202" s="198"/>
      <c r="B202" s="198"/>
      <c r="C202" s="196"/>
      <c r="D202" s="358" t="str">
        <f>$D$51</f>
        <v>Inc. Cost</v>
      </c>
      <c r="E202" s="358" t="str">
        <f>$E$51</f>
        <v>Incremental Cost ($)</v>
      </c>
      <c r="F202" s="360">
        <v>235</v>
      </c>
      <c r="G202" s="360">
        <v>549</v>
      </c>
      <c r="H202" s="3446"/>
      <c r="I202" s="3446"/>
      <c r="J202" s="3446" t="s">
        <v>37</v>
      </c>
      <c r="K202" s="3446"/>
      <c r="L202" s="272"/>
      <c r="M202" s="1644"/>
      <c r="N202" s="1644"/>
      <c r="O202" s="1644"/>
      <c r="P202" s="1642"/>
      <c r="Q202" s="1643"/>
      <c r="R202" s="198"/>
      <c r="S202" s="198"/>
      <c r="T202" s="198"/>
      <c r="U202" s="198"/>
      <c r="V202" s="383" t="str">
        <f t="shared" si="8"/>
        <v>Inc. Cost</v>
      </c>
      <c r="W202" s="384">
        <v>235</v>
      </c>
      <c r="X202" s="384">
        <v>235</v>
      </c>
      <c r="Y202" s="384">
        <v>235</v>
      </c>
      <c r="Z202" s="360">
        <v>235</v>
      </c>
      <c r="AA202" s="360">
        <v>235</v>
      </c>
      <c r="AB202" s="2562">
        <v>235</v>
      </c>
      <c r="AC202" s="2562"/>
      <c r="AD202" s="2562"/>
      <c r="AE202" s="2562"/>
      <c r="AF202" s="2562"/>
      <c r="AG202" s="2562"/>
      <c r="AH202" s="454"/>
      <c r="AI202" s="2562">
        <v>549</v>
      </c>
      <c r="AJ202" s="2562">
        <v>549</v>
      </c>
      <c r="AK202" s="2562">
        <v>549</v>
      </c>
      <c r="AL202" s="2562">
        <v>549</v>
      </c>
      <c r="AM202" s="2562">
        <v>549</v>
      </c>
      <c r="AN202" s="360">
        <v>549</v>
      </c>
      <c r="AO202" s="2562"/>
      <c r="AP202" s="2562"/>
      <c r="AQ202" s="384"/>
      <c r="AR202" s="384"/>
      <c r="AS202" s="384"/>
      <c r="AT202" s="220"/>
      <c r="AU202" s="212"/>
      <c r="BB202" s="219"/>
      <c r="BC202" s="128"/>
      <c r="BD202" s="128"/>
      <c r="BE202" s="128"/>
    </row>
    <row r="203" spans="1:57" x14ac:dyDescent="0.25">
      <c r="V203" s="454"/>
      <c r="W203" s="454"/>
      <c r="X203" s="454"/>
      <c r="Y203" s="454"/>
      <c r="Z203" s="454"/>
      <c r="AA203" s="454"/>
      <c r="AB203" s="454"/>
      <c r="AC203" s="454"/>
      <c r="AD203" s="454"/>
      <c r="AE203" s="454"/>
      <c r="AF203" s="454"/>
      <c r="AG203" s="454"/>
      <c r="AH203" s="454"/>
      <c r="AI203" s="454"/>
      <c r="AJ203" s="454"/>
      <c r="AK203" s="454"/>
      <c r="AL203" s="454"/>
      <c r="AM203" s="454"/>
      <c r="AN203" s="454"/>
      <c r="AO203" s="454"/>
      <c r="AP203" s="454"/>
      <c r="AQ203" s="454"/>
      <c r="AR203" s="454"/>
      <c r="AT203" s="220"/>
      <c r="AU203" s="212"/>
    </row>
    <row r="204" spans="1:57" x14ac:dyDescent="0.25">
      <c r="AT204" s="220"/>
      <c r="AU204" s="212"/>
    </row>
    <row r="205" spans="1:57" x14ac:dyDescent="0.25">
      <c r="A205" s="157"/>
      <c r="B205" s="3350" t="s">
        <v>781</v>
      </c>
      <c r="C205" s="3351"/>
      <c r="D205" s="3351"/>
      <c r="E205" s="3351"/>
      <c r="F205" s="3351"/>
      <c r="G205" s="3351"/>
      <c r="H205" s="3351"/>
      <c r="I205" s="3352"/>
      <c r="J205" s="3352"/>
      <c r="K205" s="3352"/>
      <c r="L205" s="3352"/>
      <c r="M205" s="3352"/>
      <c r="N205" s="3352"/>
      <c r="O205" s="3353"/>
      <c r="V205" s="3350" t="str">
        <f>B205</f>
        <v>Advanced Power Strips Tier 2  /  Advanced Control Stategies</v>
      </c>
      <c r="W205" s="3351"/>
      <c r="X205" s="3351"/>
      <c r="Y205" s="3351"/>
      <c r="Z205" s="3351"/>
      <c r="AA205" s="3351"/>
      <c r="AB205" s="3351"/>
      <c r="AC205" s="3354"/>
      <c r="AD205" s="3354"/>
      <c r="AE205" s="3354"/>
      <c r="AF205" s="3354"/>
      <c r="AG205" s="3354"/>
      <c r="AH205" s="3354"/>
      <c r="AI205" s="3355"/>
      <c r="AU205" s="212"/>
    </row>
    <row r="206" spans="1:57" x14ac:dyDescent="0.25">
      <c r="A206" s="157"/>
      <c r="B206" s="157"/>
      <c r="C206" s="385"/>
      <c r="D206" s="386"/>
      <c r="E206" s="386"/>
      <c r="F206" s="157"/>
      <c r="G206" s="157"/>
      <c r="H206" s="157"/>
      <c r="I206" s="157"/>
      <c r="J206" s="157"/>
      <c r="K206" s="157"/>
      <c r="L206" s="157"/>
      <c r="AU206" s="212"/>
    </row>
    <row r="207" spans="1:57" ht="30" x14ac:dyDescent="0.25">
      <c r="A207" s="157"/>
      <c r="B207" s="157"/>
      <c r="C207" s="2029" t="s">
        <v>17</v>
      </c>
      <c r="D207" s="2029" t="s">
        <v>616</v>
      </c>
      <c r="E207" s="2029" t="s">
        <v>19</v>
      </c>
      <c r="F207" s="2029" t="s">
        <v>20</v>
      </c>
      <c r="G207" s="2029" t="s">
        <v>21</v>
      </c>
      <c r="H207" s="2029" t="s">
        <v>22</v>
      </c>
      <c r="I207" s="2029" t="s">
        <v>23</v>
      </c>
      <c r="J207" s="2029" t="s">
        <v>24</v>
      </c>
      <c r="K207" s="2029" t="s">
        <v>25</v>
      </c>
      <c r="L207" s="2029" t="s">
        <v>26</v>
      </c>
      <c r="V207" s="55" t="s">
        <v>27</v>
      </c>
      <c r="W207" s="56">
        <v>43252</v>
      </c>
      <c r="X207" s="56">
        <f>$X$6</f>
        <v>43465</v>
      </c>
      <c r="Y207" s="56">
        <f>$Y$6</f>
        <v>43800</v>
      </c>
      <c r="Z207" s="56">
        <f>$Z$6</f>
        <v>43862</v>
      </c>
      <c r="AA207" s="56">
        <f>$AA$6</f>
        <v>44013</v>
      </c>
      <c r="AB207" s="56">
        <f>$AB$6</f>
        <v>44166</v>
      </c>
      <c r="AC207" s="56" t="str">
        <f>$AC$6</f>
        <v>-</v>
      </c>
      <c r="AD207" s="56" t="str">
        <f>$AD$6</f>
        <v>-</v>
      </c>
      <c r="AE207" s="56" t="str">
        <f>$AE$6</f>
        <v>-</v>
      </c>
      <c r="AF207" s="56" t="str">
        <f>$AF$6</f>
        <v>-</v>
      </c>
      <c r="AG207" s="56" t="str">
        <f>$AG$6</f>
        <v>-</v>
      </c>
      <c r="AU207" s="212"/>
      <c r="BB207" s="93" t="str">
        <f>$BB$6</f>
        <v>TRC (2020)</v>
      </c>
      <c r="BC207" s="93" t="str">
        <f>$BC$6</f>
        <v>Benefit Lookup</v>
      </c>
      <c r="BD207" s="279" t="str">
        <f>$BD$6</f>
        <v>Benefits (2019 $)</v>
      </c>
      <c r="BE207" s="279" t="str">
        <f>$BE$6</f>
        <v>Incremental Cost (2019 $)</v>
      </c>
    </row>
    <row r="208" spans="1:57" x14ac:dyDescent="0.25">
      <c r="A208" s="157"/>
      <c r="B208" s="157"/>
      <c r="C208" s="3115" t="s">
        <v>782</v>
      </c>
      <c r="D208" s="3116" t="s">
        <v>621</v>
      </c>
      <c r="E208" s="3117" t="s">
        <v>783</v>
      </c>
      <c r="F208" s="3118">
        <f>ROUND(G225*G$224,2)</f>
        <v>237.6</v>
      </c>
      <c r="G208" s="3119" t="s">
        <v>784</v>
      </c>
      <c r="H208" s="3120">
        <f>VLOOKUP(G208,'CP FACTORS'!$A$3:$B$38, 2, FALSE)</f>
        <v>1.148238E-4</v>
      </c>
      <c r="I208" s="3121">
        <f t="shared" ref="I208:I216" si="9">ROUND(H208*F208,6)</f>
        <v>2.7282000000000001E-2</v>
      </c>
      <c r="J208" s="3122">
        <f>$G$236</f>
        <v>10</v>
      </c>
      <c r="K208" s="3123">
        <f>$G$237</f>
        <v>30</v>
      </c>
      <c r="L208" s="3124" t="s">
        <v>37</v>
      </c>
      <c r="V208" s="332" t="s">
        <v>20</v>
      </c>
      <c r="W208" s="2961">
        <v>237.60000000000002</v>
      </c>
      <c r="X208" s="2961">
        <v>237.60000000000002</v>
      </c>
      <c r="Y208" s="2962">
        <v>237.6</v>
      </c>
      <c r="Z208" s="2963">
        <v>237.6</v>
      </c>
      <c r="AA208" s="2963">
        <v>237.6</v>
      </c>
      <c r="AB208" s="2963">
        <v>237.6</v>
      </c>
      <c r="AC208" s="364"/>
      <c r="AD208" s="364"/>
      <c r="AE208" s="364"/>
      <c r="AF208" s="364"/>
      <c r="AG208" s="364"/>
      <c r="AU208" s="212"/>
      <c r="BB208" s="288">
        <f t="shared" ref="BB208:BB216" si="10">(BD208)/(BE208)</f>
        <v>2.8935964717891705</v>
      </c>
      <c r="BC208" s="280" t="str">
        <f t="shared" ref="BC208:BC216" si="11">CONCATENATE(G208," ",J208," Year EUL")</f>
        <v>Miscellaneous RES 10 Year EUL</v>
      </c>
      <c r="BD208" s="145">
        <f>(INDEX('Avoided Cost Benefits'!$C$4:$C$857,MATCH(BC208,'Avoided Cost Benefits'!$A$4:$A$857,0)))*F208</f>
        <v>81.932887355993486</v>
      </c>
      <c r="BE208" s="69">
        <f t="shared" ref="BE208:BE216" si="12">K208/(1.0595^(2020-2019))</f>
        <v>28.315243039169417</v>
      </c>
    </row>
    <row r="209" spans="1:57" x14ac:dyDescent="0.25">
      <c r="A209" s="157"/>
      <c r="B209" s="157"/>
      <c r="C209" s="3115" t="s">
        <v>785</v>
      </c>
      <c r="D209" s="3116" t="s">
        <v>621</v>
      </c>
      <c r="E209" s="3117" t="s">
        <v>786</v>
      </c>
      <c r="F209" s="3118">
        <f t="shared" ref="F209:F215" si="13">ROUND(G226*G$224,2)</f>
        <v>216</v>
      </c>
      <c r="G209" s="3119" t="s">
        <v>784</v>
      </c>
      <c r="H209" s="3120">
        <f>VLOOKUP(G209,'CP FACTORS'!$A$3:$B$38, 2, FALSE)</f>
        <v>1.148238E-4</v>
      </c>
      <c r="I209" s="3121">
        <f t="shared" si="9"/>
        <v>2.4802000000000001E-2</v>
      </c>
      <c r="J209" s="3122">
        <f t="shared" ref="J209:J217" si="14">$G$236</f>
        <v>10</v>
      </c>
      <c r="K209" s="3123">
        <f t="shared" ref="K209:K216" si="15">$G$237</f>
        <v>30</v>
      </c>
      <c r="L209" s="3124" t="s">
        <v>37</v>
      </c>
      <c r="V209" s="332" t="s">
        <v>20</v>
      </c>
      <c r="W209" s="2961">
        <v>216</v>
      </c>
      <c r="X209" s="2961">
        <v>216</v>
      </c>
      <c r="Y209" s="2962">
        <v>216</v>
      </c>
      <c r="Z209" s="2963">
        <v>216</v>
      </c>
      <c r="AA209" s="2963">
        <v>216</v>
      </c>
      <c r="AB209" s="2963">
        <v>216</v>
      </c>
      <c r="AC209" s="364"/>
      <c r="AD209" s="364"/>
      <c r="AE209" s="364"/>
      <c r="AF209" s="364"/>
      <c r="AG209" s="364"/>
      <c r="AU209" s="212"/>
      <c r="BB209" s="293">
        <f t="shared" si="10"/>
        <v>2.6305422470810638</v>
      </c>
      <c r="BC209" s="280" t="str">
        <f t="shared" si="11"/>
        <v>Miscellaneous RES 10 Year EUL</v>
      </c>
      <c r="BD209" s="148">
        <f>(INDEX('Avoided Cost Benefits'!$C$4:$C$857,MATCH(BC209,'Avoided Cost Benefits'!$A$4:$A$857,0)))*F209</f>
        <v>74.484443050903167</v>
      </c>
      <c r="BE209" s="73">
        <f t="shared" si="12"/>
        <v>28.315243039169417</v>
      </c>
    </row>
    <row r="210" spans="1:57" x14ac:dyDescent="0.25">
      <c r="A210" s="157"/>
      <c r="B210" s="157"/>
      <c r="C210" s="3115" t="s">
        <v>787</v>
      </c>
      <c r="D210" s="3116" t="s">
        <v>621</v>
      </c>
      <c r="E210" s="3117" t="s">
        <v>788</v>
      </c>
      <c r="F210" s="3118">
        <f t="shared" si="13"/>
        <v>194.4</v>
      </c>
      <c r="G210" s="3119" t="s">
        <v>784</v>
      </c>
      <c r="H210" s="3120">
        <f>VLOOKUP(G210,'CP FACTORS'!$A$3:$B$38, 2, FALSE)</f>
        <v>1.148238E-4</v>
      </c>
      <c r="I210" s="3121">
        <f t="shared" si="9"/>
        <v>2.2322000000000002E-2</v>
      </c>
      <c r="J210" s="3122">
        <f t="shared" si="14"/>
        <v>10</v>
      </c>
      <c r="K210" s="3123">
        <f t="shared" si="15"/>
        <v>30</v>
      </c>
      <c r="L210" s="3124" t="s">
        <v>37</v>
      </c>
      <c r="V210" s="332" t="s">
        <v>20</v>
      </c>
      <c r="W210" s="2961">
        <v>194.4</v>
      </c>
      <c r="X210" s="2961">
        <v>194.4</v>
      </c>
      <c r="Y210" s="2962">
        <v>194.4</v>
      </c>
      <c r="Z210" s="2963">
        <v>194.4</v>
      </c>
      <c r="AA210" s="2963">
        <v>194.4</v>
      </c>
      <c r="AB210" s="2963">
        <v>194.4</v>
      </c>
      <c r="AC210" s="364"/>
      <c r="AD210" s="364"/>
      <c r="AE210" s="364"/>
      <c r="AF210" s="364"/>
      <c r="AG210" s="364"/>
      <c r="AU210" s="212"/>
      <c r="BB210" s="293">
        <f t="shared" si="10"/>
        <v>2.3674880223729571</v>
      </c>
      <c r="BC210" s="280" t="str">
        <f t="shared" si="11"/>
        <v>Miscellaneous RES 10 Year EUL</v>
      </c>
      <c r="BD210" s="148">
        <f>(INDEX('Avoided Cost Benefits'!$C$4:$C$857,MATCH(BC210,'Avoided Cost Benefits'!$A$4:$A$857,0)))*F210</f>
        <v>67.035998745812847</v>
      </c>
      <c r="BE210" s="73">
        <f t="shared" si="12"/>
        <v>28.315243039169417</v>
      </c>
    </row>
    <row r="211" spans="1:57" x14ac:dyDescent="0.25">
      <c r="A211" s="157"/>
      <c r="B211" s="157"/>
      <c r="C211" s="3115" t="s">
        <v>789</v>
      </c>
      <c r="D211" s="3116" t="s">
        <v>621</v>
      </c>
      <c r="E211" s="3117" t="s">
        <v>790</v>
      </c>
      <c r="F211" s="3118">
        <f t="shared" si="13"/>
        <v>172.8</v>
      </c>
      <c r="G211" s="3119" t="s">
        <v>784</v>
      </c>
      <c r="H211" s="3120">
        <f>VLOOKUP(G211,'CP FACTORS'!$A$3:$B$38, 2, FALSE)</f>
        <v>1.148238E-4</v>
      </c>
      <c r="I211" s="3121">
        <f t="shared" si="9"/>
        <v>1.9841999999999999E-2</v>
      </c>
      <c r="J211" s="3122">
        <f t="shared" si="14"/>
        <v>10</v>
      </c>
      <c r="K211" s="3123">
        <f t="shared" si="15"/>
        <v>30</v>
      </c>
      <c r="L211" s="3124" t="s">
        <v>37</v>
      </c>
      <c r="V211" s="332" t="s">
        <v>20</v>
      </c>
      <c r="W211" s="2961">
        <v>172.8</v>
      </c>
      <c r="X211" s="2961">
        <v>172.8</v>
      </c>
      <c r="Y211" s="2962">
        <v>172.8</v>
      </c>
      <c r="Z211" s="2963">
        <v>172.8</v>
      </c>
      <c r="AA211" s="2963">
        <v>172.8</v>
      </c>
      <c r="AB211" s="2963">
        <v>172.8</v>
      </c>
      <c r="AC211" s="364"/>
      <c r="AD211" s="364"/>
      <c r="AE211" s="364"/>
      <c r="AF211" s="364"/>
      <c r="AG211" s="364"/>
      <c r="AU211" s="212"/>
      <c r="BB211" s="293">
        <f t="shared" si="10"/>
        <v>2.1044337976648513</v>
      </c>
      <c r="BC211" s="280" t="str">
        <f t="shared" si="11"/>
        <v>Miscellaneous RES 10 Year EUL</v>
      </c>
      <c r="BD211" s="148">
        <f>(INDEX('Avoided Cost Benefits'!$C$4:$C$857,MATCH(BC211,'Avoided Cost Benefits'!$A$4:$A$857,0)))*F211</f>
        <v>59.587554440722535</v>
      </c>
      <c r="BE211" s="73">
        <f t="shared" si="12"/>
        <v>28.315243039169417</v>
      </c>
    </row>
    <row r="212" spans="1:57" x14ac:dyDescent="0.25">
      <c r="A212" s="157"/>
      <c r="B212" s="157"/>
      <c r="C212" s="3115" t="s">
        <v>791</v>
      </c>
      <c r="D212" s="3116" t="s">
        <v>621</v>
      </c>
      <c r="E212" s="3117" t="s">
        <v>792</v>
      </c>
      <c r="F212" s="3118">
        <f t="shared" si="13"/>
        <v>151.19999999999999</v>
      </c>
      <c r="G212" s="3119" t="s">
        <v>784</v>
      </c>
      <c r="H212" s="3120">
        <f>VLOOKUP(G212,'CP FACTORS'!$A$3:$B$38, 2, FALSE)</f>
        <v>1.148238E-4</v>
      </c>
      <c r="I212" s="3121">
        <f t="shared" si="9"/>
        <v>1.7361000000000001E-2</v>
      </c>
      <c r="J212" s="3122">
        <f t="shared" si="14"/>
        <v>10</v>
      </c>
      <c r="K212" s="3123">
        <f t="shared" si="15"/>
        <v>30</v>
      </c>
      <c r="L212" s="3124" t="s">
        <v>37</v>
      </c>
      <c r="V212" s="332" t="s">
        <v>20</v>
      </c>
      <c r="W212" s="2961">
        <v>151.19999999999999</v>
      </c>
      <c r="X212" s="2961">
        <v>151.19999999999999</v>
      </c>
      <c r="Y212" s="2962">
        <v>151.19999999999999</v>
      </c>
      <c r="Z212" s="2963">
        <v>151.19999999999999</v>
      </c>
      <c r="AA212" s="2963">
        <v>151.19999999999999</v>
      </c>
      <c r="AB212" s="2963">
        <v>151.19999999999999</v>
      </c>
      <c r="AC212" s="364"/>
      <c r="AD212" s="364"/>
      <c r="AE212" s="364"/>
      <c r="AF212" s="364"/>
      <c r="AG212" s="364"/>
      <c r="AU212" s="212"/>
      <c r="BB212" s="293">
        <f t="shared" si="10"/>
        <v>1.8413795729567446</v>
      </c>
      <c r="BC212" s="280" t="str">
        <f t="shared" si="11"/>
        <v>Miscellaneous RES 10 Year EUL</v>
      </c>
      <c r="BD212" s="148">
        <f>(INDEX('Avoided Cost Benefits'!$C$4:$C$857,MATCH(BC212,'Avoided Cost Benefits'!$A$4:$A$857,0)))*F212</f>
        <v>52.139110135632215</v>
      </c>
      <c r="BE212" s="73">
        <f t="shared" si="12"/>
        <v>28.315243039169417</v>
      </c>
    </row>
    <row r="213" spans="1:57" x14ac:dyDescent="0.25">
      <c r="A213" s="157"/>
      <c r="B213" s="157"/>
      <c r="C213" s="3115" t="s">
        <v>793</v>
      </c>
      <c r="D213" s="3116" t="s">
        <v>621</v>
      </c>
      <c r="E213" s="3117" t="s">
        <v>794</v>
      </c>
      <c r="F213" s="3118">
        <f t="shared" si="13"/>
        <v>129.6</v>
      </c>
      <c r="G213" s="3119" t="s">
        <v>784</v>
      </c>
      <c r="H213" s="3120">
        <f>VLOOKUP(G213,'CP FACTORS'!$A$3:$B$38, 2, FALSE)</f>
        <v>1.148238E-4</v>
      </c>
      <c r="I213" s="3121">
        <f t="shared" si="9"/>
        <v>1.4881E-2</v>
      </c>
      <c r="J213" s="3122">
        <f t="shared" si="14"/>
        <v>10</v>
      </c>
      <c r="K213" s="3123">
        <f t="shared" si="15"/>
        <v>30</v>
      </c>
      <c r="L213" s="3124" t="s">
        <v>37</v>
      </c>
      <c r="V213" s="332" t="s">
        <v>20</v>
      </c>
      <c r="W213" s="2961">
        <v>129.6</v>
      </c>
      <c r="X213" s="2961">
        <v>129.6</v>
      </c>
      <c r="Y213" s="2962">
        <v>129.6</v>
      </c>
      <c r="Z213" s="2963">
        <v>129.6</v>
      </c>
      <c r="AA213" s="2963">
        <v>129.6</v>
      </c>
      <c r="AB213" s="2963">
        <v>129.6</v>
      </c>
      <c r="AC213" s="364"/>
      <c r="AD213" s="364"/>
      <c r="AE213" s="364"/>
      <c r="AF213" s="364"/>
      <c r="AG213" s="364"/>
      <c r="AU213" s="212"/>
      <c r="BB213" s="293">
        <f t="shared" si="10"/>
        <v>1.5783253482486381</v>
      </c>
      <c r="BC213" s="280" t="str">
        <f t="shared" si="11"/>
        <v>Miscellaneous RES 10 Year EUL</v>
      </c>
      <c r="BD213" s="148">
        <f>(INDEX('Avoided Cost Benefits'!$C$4:$C$857,MATCH(BC213,'Avoided Cost Benefits'!$A$4:$A$857,0)))*F213</f>
        <v>44.690665830541896</v>
      </c>
      <c r="BE213" s="73">
        <f t="shared" si="12"/>
        <v>28.315243039169417</v>
      </c>
    </row>
    <row r="214" spans="1:57" x14ac:dyDescent="0.25">
      <c r="A214" s="157"/>
      <c r="B214" s="157"/>
      <c r="C214" s="3116" t="s">
        <v>795</v>
      </c>
      <c r="D214" s="3116" t="s">
        <v>621</v>
      </c>
      <c r="E214" s="3125" t="s">
        <v>796</v>
      </c>
      <c r="F214" s="3126">
        <f t="shared" si="13"/>
        <v>108</v>
      </c>
      <c r="G214" s="3119" t="s">
        <v>784</v>
      </c>
      <c r="H214" s="3127">
        <f>VLOOKUP(G214,'CP FACTORS'!$A$3:$B$38, 2, FALSE)</f>
        <v>1.148238E-4</v>
      </c>
      <c r="I214" s="3128">
        <f t="shared" si="9"/>
        <v>1.2401000000000001E-2</v>
      </c>
      <c r="J214" s="3122">
        <f t="shared" si="14"/>
        <v>10</v>
      </c>
      <c r="K214" s="3123">
        <f t="shared" si="15"/>
        <v>30</v>
      </c>
      <c r="L214" s="3129" t="s">
        <v>37</v>
      </c>
      <c r="V214" s="332" t="s">
        <v>20</v>
      </c>
      <c r="W214" s="2961">
        <v>108</v>
      </c>
      <c r="X214" s="2961">
        <v>108</v>
      </c>
      <c r="Y214" s="2962">
        <v>108</v>
      </c>
      <c r="Z214" s="2963">
        <v>108</v>
      </c>
      <c r="AA214" s="2963">
        <v>108</v>
      </c>
      <c r="AB214" s="2963">
        <v>108</v>
      </c>
      <c r="AC214" s="364"/>
      <c r="AD214" s="364"/>
      <c r="AE214" s="364"/>
      <c r="AF214" s="364"/>
      <c r="AG214" s="364"/>
      <c r="AU214" s="212"/>
      <c r="BB214" s="293">
        <f t="shared" si="10"/>
        <v>1.3152711235405319</v>
      </c>
      <c r="BC214" s="280" t="str">
        <f t="shared" si="11"/>
        <v>Miscellaneous RES 10 Year EUL</v>
      </c>
      <c r="BD214" s="148">
        <f>(INDEX('Avoided Cost Benefits'!$C$4:$C$857,MATCH(BC214,'Avoided Cost Benefits'!$A$4:$A$857,0)))*F214</f>
        <v>37.242221525451583</v>
      </c>
      <c r="BE214" s="73">
        <f t="shared" si="12"/>
        <v>28.315243039169417</v>
      </c>
    </row>
    <row r="215" spans="1:57" x14ac:dyDescent="0.25">
      <c r="A215" s="157"/>
      <c r="B215" s="157"/>
      <c r="C215" s="3116" t="s">
        <v>797</v>
      </c>
      <c r="D215" s="3116" t="s">
        <v>621</v>
      </c>
      <c r="E215" s="3125" t="s">
        <v>798</v>
      </c>
      <c r="F215" s="3126">
        <f t="shared" si="13"/>
        <v>86.4</v>
      </c>
      <c r="G215" s="3119" t="s">
        <v>784</v>
      </c>
      <c r="H215" s="3127">
        <f>VLOOKUP(G215,'CP FACTORS'!$A$3:$B$38, 2, FALSE)</f>
        <v>1.148238E-4</v>
      </c>
      <c r="I215" s="3128">
        <f t="shared" si="9"/>
        <v>9.9209999999999993E-3</v>
      </c>
      <c r="J215" s="3122">
        <f t="shared" si="14"/>
        <v>10</v>
      </c>
      <c r="K215" s="3123">
        <f t="shared" si="15"/>
        <v>30</v>
      </c>
      <c r="L215" s="3129" t="s">
        <v>37</v>
      </c>
      <c r="V215" s="332" t="s">
        <v>20</v>
      </c>
      <c r="W215" s="2961">
        <v>86.4</v>
      </c>
      <c r="X215" s="2961">
        <v>86.4</v>
      </c>
      <c r="Y215" s="2962">
        <v>86.4</v>
      </c>
      <c r="Z215" s="2963">
        <v>86.4</v>
      </c>
      <c r="AA215" s="2963">
        <v>86.4</v>
      </c>
      <c r="AB215" s="2963">
        <v>86.4</v>
      </c>
      <c r="AC215" s="364"/>
      <c r="AD215" s="364"/>
      <c r="AE215" s="364"/>
      <c r="AF215" s="364"/>
      <c r="AG215" s="364"/>
      <c r="AU215" s="212"/>
      <c r="BB215" s="293">
        <f t="shared" si="10"/>
        <v>1.0522168988324256</v>
      </c>
      <c r="BC215" s="280" t="str">
        <f t="shared" si="11"/>
        <v>Miscellaneous RES 10 Year EUL</v>
      </c>
      <c r="BD215" s="148">
        <f>(INDEX('Avoided Cost Benefits'!$C$4:$C$857,MATCH(BC215,'Avoided Cost Benefits'!$A$4:$A$857,0)))*F215</f>
        <v>29.793777220361267</v>
      </c>
      <c r="BE215" s="73">
        <f t="shared" si="12"/>
        <v>28.315243039169417</v>
      </c>
    </row>
    <row r="216" spans="1:57" s="394" customFormat="1" x14ac:dyDescent="0.25">
      <c r="A216" s="2037"/>
      <c r="B216" s="2037"/>
      <c r="C216" s="3080" t="s">
        <v>799</v>
      </c>
      <c r="D216" s="3080" t="s">
        <v>621</v>
      </c>
      <c r="E216" s="3008" t="s">
        <v>3646</v>
      </c>
      <c r="F216" s="408">
        <f>ROUND(G$224*G$233*G234, 2)</f>
        <v>151.96</v>
      </c>
      <c r="G216" s="391" t="s">
        <v>784</v>
      </c>
      <c r="H216" s="2579">
        <f>VLOOKUP(G216,'CP FACTORS'!$A$3:$B$38, 2, FALSE)</f>
        <v>1.148238E-4</v>
      </c>
      <c r="I216" s="2580">
        <f t="shared" si="9"/>
        <v>1.7448999999999999E-2</v>
      </c>
      <c r="J216" s="141">
        <f t="shared" si="14"/>
        <v>10</v>
      </c>
      <c r="K216" s="979">
        <f t="shared" si="15"/>
        <v>30</v>
      </c>
      <c r="L216" s="3080" t="s">
        <v>37</v>
      </c>
      <c r="M216" s="393"/>
      <c r="N216" s="393"/>
      <c r="O216" s="393"/>
      <c r="P216" s="393"/>
      <c r="Q216" s="393"/>
      <c r="R216" s="393"/>
      <c r="S216" s="393"/>
      <c r="T216" s="393"/>
      <c r="U216" s="393"/>
      <c r="V216" s="395" t="s">
        <v>20</v>
      </c>
      <c r="W216" s="2961">
        <v>162</v>
      </c>
      <c r="X216" s="2961">
        <v>162</v>
      </c>
      <c r="Y216" s="2962">
        <v>162</v>
      </c>
      <c r="Z216" s="2963">
        <v>162</v>
      </c>
      <c r="AA216" s="2963">
        <v>162</v>
      </c>
      <c r="AB216" s="2964">
        <v>151.96</v>
      </c>
      <c r="AC216" s="364"/>
      <c r="AD216" s="364"/>
      <c r="AE216" s="364"/>
      <c r="AF216" s="364"/>
      <c r="AG216" s="364"/>
      <c r="AU216" s="212"/>
      <c r="BB216" s="366">
        <f t="shared" si="10"/>
        <v>1.8506351845668449</v>
      </c>
      <c r="BC216" s="367" t="str">
        <f t="shared" si="11"/>
        <v>Miscellaneous RES 10 Year EUL</v>
      </c>
      <c r="BD216" s="153">
        <f>(INDEX('Avoided Cost Benefits'!$C$4:$C$857,MATCH(BC216,'Avoided Cost Benefits'!$A$4:$A$857,0)))*F216</f>
        <v>52.401185027848364</v>
      </c>
      <c r="BE216" s="75">
        <f t="shared" si="12"/>
        <v>28.315243039169417</v>
      </c>
    </row>
    <row r="217" spans="1:57" s="394" customFormat="1" x14ac:dyDescent="0.25">
      <c r="A217" s="2430"/>
      <c r="B217" s="2430"/>
      <c r="C217" s="3080" t="s">
        <v>3781</v>
      </c>
      <c r="D217" s="3080" t="s">
        <v>621</v>
      </c>
      <c r="E217" s="3008" t="s">
        <v>3645</v>
      </c>
      <c r="F217" s="408">
        <f>ROUND(G$224*G$233*G235, 2)</f>
        <v>153.9</v>
      </c>
      <c r="G217" s="391" t="s">
        <v>784</v>
      </c>
      <c r="H217" s="2579">
        <f>VLOOKUP(G217,'CP FACTORS'!$A$3:$B$38, 2, FALSE)</f>
        <v>1.148238E-4</v>
      </c>
      <c r="I217" s="2580">
        <f t="shared" ref="I217" si="16">ROUND(H217*F217,6)</f>
        <v>1.7670999999999999E-2</v>
      </c>
      <c r="J217" s="141">
        <f t="shared" si="14"/>
        <v>10</v>
      </c>
      <c r="K217" s="979">
        <f>$G$238</f>
        <v>60</v>
      </c>
      <c r="L217" s="3080" t="s">
        <v>37</v>
      </c>
      <c r="M217" s="393"/>
      <c r="N217" s="393"/>
      <c r="O217" s="393"/>
      <c r="P217" s="393"/>
      <c r="Q217" s="393"/>
      <c r="R217" s="393"/>
      <c r="S217" s="393"/>
      <c r="T217" s="393"/>
      <c r="U217" s="393"/>
      <c r="V217" s="395" t="s">
        <v>20</v>
      </c>
      <c r="W217" s="2961">
        <v>162</v>
      </c>
      <c r="X217" s="2961">
        <v>162</v>
      </c>
      <c r="Y217" s="2962">
        <v>162</v>
      </c>
      <c r="Z217" s="2963">
        <v>162</v>
      </c>
      <c r="AA217" s="2963">
        <v>162</v>
      </c>
      <c r="AB217" s="2964">
        <v>153.9</v>
      </c>
      <c r="AC217" s="364"/>
      <c r="AD217" s="364"/>
      <c r="AE217" s="364"/>
      <c r="AF217" s="364"/>
      <c r="AG217" s="364"/>
      <c r="AU217" s="212"/>
      <c r="BB217" s="366">
        <f t="shared" ref="BB217" si="17">(BD217)/(BE217)</f>
        <v>0.93713067552262896</v>
      </c>
      <c r="BC217" s="367" t="str">
        <f t="shared" ref="BC217" si="18">CONCATENATE(G217," ",J217," Year EUL")</f>
        <v>Miscellaneous RES 10 Year EUL</v>
      </c>
      <c r="BD217" s="153">
        <f>(INDEX('Avoided Cost Benefits'!$C$4:$C$857,MATCH(BC217,'Avoided Cost Benefits'!$A$4:$A$857,0)))*F217</f>
        <v>53.070165673768507</v>
      </c>
      <c r="BE217" s="2297">
        <f t="shared" ref="BE217" si="19">K217/(1.0595^(2020-2019))</f>
        <v>56.630486078338834</v>
      </c>
    </row>
    <row r="218" spans="1:57" outlineLevel="1" x14ac:dyDescent="0.25">
      <c r="A218" s="157"/>
      <c r="B218" s="157"/>
      <c r="C218" s="2581"/>
      <c r="D218" s="586"/>
      <c r="E218" s="586"/>
      <c r="F218" s="277"/>
      <c r="G218" s="277"/>
      <c r="H218" s="277" t="s">
        <v>800</v>
      </c>
      <c r="J218" s="277"/>
      <c r="K218" s="277"/>
      <c r="L218" s="277"/>
      <c r="X218" s="272" t="s">
        <v>801</v>
      </c>
      <c r="Y218" s="272" t="s">
        <v>802</v>
      </c>
      <c r="AU218" s="212"/>
    </row>
    <row r="219" spans="1:57" outlineLevel="1" x14ac:dyDescent="0.25">
      <c r="A219" s="157"/>
      <c r="B219" s="157"/>
      <c r="C219" s="2581"/>
      <c r="D219" s="439" t="s">
        <v>571</v>
      </c>
      <c r="E219" s="586"/>
      <c r="F219" s="277"/>
      <c r="G219" s="277"/>
      <c r="H219" s="277"/>
      <c r="I219" s="277"/>
      <c r="J219" s="277"/>
      <c r="K219" s="277"/>
      <c r="L219" s="277"/>
      <c r="AU219" s="212"/>
    </row>
    <row r="220" spans="1:57" outlineLevel="1" x14ac:dyDescent="0.25">
      <c r="A220" s="157"/>
      <c r="B220" s="157"/>
      <c r="C220" s="2581"/>
      <c r="D220" s="586"/>
      <c r="E220" s="586"/>
      <c r="F220" s="277"/>
      <c r="G220" s="277"/>
      <c r="H220" s="277"/>
      <c r="I220" s="277"/>
      <c r="J220" s="277"/>
      <c r="K220" s="277"/>
      <c r="L220" s="277"/>
      <c r="AU220" s="212"/>
    </row>
    <row r="221" spans="1:57" outlineLevel="1" x14ac:dyDescent="0.25">
      <c r="A221" s="157"/>
      <c r="B221" s="157"/>
      <c r="C221" s="2581"/>
      <c r="D221" s="586"/>
      <c r="E221" s="586"/>
      <c r="F221" s="277"/>
      <c r="G221" s="277"/>
      <c r="H221" s="277"/>
      <c r="I221" s="277"/>
      <c r="J221" s="277"/>
      <c r="K221" s="277"/>
      <c r="L221" s="277"/>
      <c r="AU221" s="212"/>
    </row>
    <row r="222" spans="1:57" outlineLevel="1" x14ac:dyDescent="0.25">
      <c r="A222" s="157"/>
      <c r="B222" s="157"/>
      <c r="C222" s="2581"/>
      <c r="D222" s="586"/>
      <c r="E222" s="586"/>
      <c r="F222" s="277"/>
      <c r="G222" s="277"/>
      <c r="H222" s="277"/>
      <c r="I222" s="277"/>
      <c r="J222" s="277"/>
      <c r="M222" s="375"/>
      <c r="N222" s="375"/>
      <c r="O222" s="375"/>
      <c r="P222" s="375"/>
      <c r="AU222" s="212"/>
    </row>
    <row r="223" spans="1:57" outlineLevel="1" x14ac:dyDescent="0.25">
      <c r="A223" s="157"/>
      <c r="B223" s="157"/>
      <c r="C223" s="2581"/>
      <c r="D223" s="2765" t="s">
        <v>572</v>
      </c>
      <c r="E223" s="2765" t="s">
        <v>573</v>
      </c>
      <c r="F223" s="2765" t="s">
        <v>623</v>
      </c>
      <c r="G223" s="2765" t="s">
        <v>574</v>
      </c>
      <c r="H223" s="2765" t="s">
        <v>624</v>
      </c>
      <c r="I223" s="2765" t="s">
        <v>804</v>
      </c>
      <c r="J223" s="277"/>
      <c r="M223" s="194"/>
      <c r="N223" s="194"/>
      <c r="O223" s="194"/>
      <c r="P223" s="194"/>
      <c r="V223" s="55" t="s">
        <v>27</v>
      </c>
      <c r="W223" s="56">
        <v>43252</v>
      </c>
      <c r="X223" s="56">
        <f>$X$6</f>
        <v>43465</v>
      </c>
      <c r="Y223" s="56">
        <f>$Y$6</f>
        <v>43800</v>
      </c>
      <c r="Z223" s="56">
        <f>$Z$6</f>
        <v>43862</v>
      </c>
      <c r="AA223" s="56">
        <f>$AA$6</f>
        <v>44013</v>
      </c>
      <c r="AB223" s="56">
        <f>$AB$6</f>
        <v>44166</v>
      </c>
      <c r="AC223" s="56" t="str">
        <f>$AC$6</f>
        <v>-</v>
      </c>
      <c r="AD223" s="56" t="str">
        <f>$AD$6</f>
        <v>-</v>
      </c>
      <c r="AE223" s="56" t="str">
        <f>$AE$6</f>
        <v>-</v>
      </c>
      <c r="AF223" s="56" t="str">
        <f>$AF$6</f>
        <v>-</v>
      </c>
      <c r="AG223" s="56" t="str">
        <f>$AG$6</f>
        <v>-</v>
      </c>
      <c r="AU223" s="212"/>
    </row>
    <row r="224" spans="1:57" ht="90" outlineLevel="1" x14ac:dyDescent="0.25">
      <c r="A224" s="157"/>
      <c r="B224" s="157"/>
      <c r="C224" s="2581"/>
      <c r="D224" s="3008" t="s">
        <v>3559</v>
      </c>
      <c r="E224" s="3023" t="s">
        <v>3560</v>
      </c>
      <c r="F224" s="3008" t="s">
        <v>591</v>
      </c>
      <c r="G224" s="1291">
        <v>432</v>
      </c>
      <c r="H224" s="3010" t="s">
        <v>3829</v>
      </c>
      <c r="I224" s="3080"/>
      <c r="J224" s="277"/>
      <c r="K224" s="277"/>
      <c r="L224" s="277"/>
      <c r="M224" s="1643"/>
      <c r="N224" s="1643"/>
      <c r="O224" s="1643"/>
      <c r="P224" s="1643"/>
      <c r="V224" s="3008" t="s">
        <v>3559</v>
      </c>
      <c r="W224" s="2563"/>
      <c r="X224" s="2563"/>
      <c r="Y224" s="2563"/>
      <c r="Z224" s="2563"/>
      <c r="AA224" s="2563"/>
      <c r="AB224" s="2564">
        <v>432</v>
      </c>
      <c r="AC224" s="2434"/>
      <c r="AD224" s="2434"/>
      <c r="AE224" s="2434"/>
      <c r="AF224" s="2434"/>
      <c r="AG224" s="2434"/>
      <c r="AU224" s="212"/>
    </row>
    <row r="225" spans="1:47" outlineLevel="1" x14ac:dyDescent="0.25">
      <c r="A225" s="198"/>
      <c r="B225" s="198"/>
      <c r="C225" s="2581"/>
      <c r="D225" s="3448" t="s">
        <v>803</v>
      </c>
      <c r="E225" s="3448" t="s">
        <v>3561</v>
      </c>
      <c r="F225" s="402" t="s">
        <v>3562</v>
      </c>
      <c r="G225" s="2866">
        <v>0.55000000000000004</v>
      </c>
      <c r="H225" s="402" t="s">
        <v>3563</v>
      </c>
      <c r="I225" s="402"/>
      <c r="M225" s="1646"/>
      <c r="N225" s="1647"/>
      <c r="O225" s="1646"/>
      <c r="P225" s="1647"/>
      <c r="V225" s="3448" t="s">
        <v>803</v>
      </c>
      <c r="W225" s="2565"/>
      <c r="X225" s="2565"/>
      <c r="Y225" s="2565"/>
      <c r="Z225" s="2565"/>
      <c r="AA225" s="2565"/>
      <c r="AB225" s="2566">
        <v>0.55000000000000004</v>
      </c>
      <c r="AC225" s="332"/>
      <c r="AD225" s="332"/>
      <c r="AE225" s="332"/>
      <c r="AF225" s="332"/>
      <c r="AG225" s="332"/>
      <c r="AU225" s="212"/>
    </row>
    <row r="226" spans="1:47" outlineLevel="1" x14ac:dyDescent="0.25">
      <c r="A226" s="198"/>
      <c r="B226" s="198"/>
      <c r="C226" s="2581"/>
      <c r="D226" s="3448"/>
      <c r="E226" s="3448"/>
      <c r="F226" s="402" t="s">
        <v>3564</v>
      </c>
      <c r="G226" s="2866">
        <v>0.5</v>
      </c>
      <c r="H226" s="402" t="s">
        <v>3563</v>
      </c>
      <c r="I226" s="402" t="s">
        <v>3565</v>
      </c>
      <c r="M226" s="1646"/>
      <c r="N226" s="1647"/>
      <c r="O226" s="1646"/>
      <c r="P226" s="1647"/>
      <c r="V226" s="3448"/>
      <c r="W226" s="2565"/>
      <c r="X226" s="2565"/>
      <c r="Y226" s="2565"/>
      <c r="Z226" s="2565"/>
      <c r="AA226" s="2565"/>
      <c r="AB226" s="2566">
        <v>0.5</v>
      </c>
      <c r="AC226" s="332"/>
      <c r="AD226" s="332"/>
      <c r="AE226" s="332"/>
      <c r="AF226" s="332"/>
      <c r="AG226" s="332"/>
      <c r="AU226" s="212"/>
    </row>
    <row r="227" spans="1:47" outlineLevel="1" x14ac:dyDescent="0.25">
      <c r="A227" s="198"/>
      <c r="B227" s="198"/>
      <c r="C227" s="2581"/>
      <c r="D227" s="3448"/>
      <c r="E227" s="3448"/>
      <c r="F227" s="402" t="s">
        <v>3566</v>
      </c>
      <c r="G227" s="2866">
        <v>0.45</v>
      </c>
      <c r="H227" s="402" t="s">
        <v>3563</v>
      </c>
      <c r="I227" s="402"/>
      <c r="M227" s="1646"/>
      <c r="N227" s="1647"/>
      <c r="O227" s="1646"/>
      <c r="P227" s="1647"/>
      <c r="V227" s="3448"/>
      <c r="W227" s="2565"/>
      <c r="X227" s="2565"/>
      <c r="Y227" s="2565"/>
      <c r="Z227" s="2565"/>
      <c r="AA227" s="2565"/>
      <c r="AB227" s="2566">
        <v>0.45</v>
      </c>
      <c r="AC227" s="332"/>
      <c r="AD227" s="332"/>
      <c r="AE227" s="332"/>
      <c r="AF227" s="332"/>
      <c r="AG227" s="332"/>
      <c r="AU227" s="212"/>
    </row>
    <row r="228" spans="1:47" outlineLevel="1" x14ac:dyDescent="0.25">
      <c r="A228" s="198"/>
      <c r="B228" s="198"/>
      <c r="C228" s="2581"/>
      <c r="D228" s="3448"/>
      <c r="E228" s="3448"/>
      <c r="F228" s="402" t="s">
        <v>3567</v>
      </c>
      <c r="G228" s="2866">
        <v>0.4</v>
      </c>
      <c r="H228" s="402" t="s">
        <v>3563</v>
      </c>
      <c r="I228" s="402"/>
      <c r="M228" s="1646"/>
      <c r="N228" s="1647"/>
      <c r="O228" s="1646"/>
      <c r="P228" s="1647"/>
      <c r="V228" s="3448"/>
      <c r="W228" s="2565"/>
      <c r="X228" s="2565"/>
      <c r="Y228" s="2565"/>
      <c r="Z228" s="2565"/>
      <c r="AA228" s="2565"/>
      <c r="AB228" s="2566">
        <v>0.4</v>
      </c>
      <c r="AC228" s="332"/>
      <c r="AD228" s="332"/>
      <c r="AE228" s="332"/>
      <c r="AF228" s="332"/>
      <c r="AG228" s="332"/>
      <c r="AU228" s="212"/>
    </row>
    <row r="229" spans="1:47" outlineLevel="1" x14ac:dyDescent="0.25">
      <c r="A229" s="198"/>
      <c r="B229" s="198"/>
      <c r="C229" s="2581"/>
      <c r="D229" s="3448"/>
      <c r="E229" s="3448"/>
      <c r="F229" s="402" t="s">
        <v>3568</v>
      </c>
      <c r="G229" s="2866">
        <v>0.35</v>
      </c>
      <c r="H229" s="402" t="s">
        <v>3563</v>
      </c>
      <c r="I229" s="402"/>
      <c r="M229" s="1646"/>
      <c r="N229" s="1647"/>
      <c r="O229" s="1646"/>
      <c r="P229" s="1647"/>
      <c r="V229" s="3448"/>
      <c r="W229" s="2565"/>
      <c r="X229" s="2565"/>
      <c r="Y229" s="2565"/>
      <c r="Z229" s="2565"/>
      <c r="AA229" s="2565"/>
      <c r="AB229" s="2566">
        <v>0.35</v>
      </c>
      <c r="AC229" s="332"/>
      <c r="AD229" s="332"/>
      <c r="AE229" s="332"/>
      <c r="AF229" s="332"/>
      <c r="AG229" s="332"/>
      <c r="AU229" s="212"/>
    </row>
    <row r="230" spans="1:47" outlineLevel="1" x14ac:dyDescent="0.25">
      <c r="A230" s="198"/>
      <c r="B230" s="198"/>
      <c r="C230" s="2581"/>
      <c r="D230" s="3448"/>
      <c r="E230" s="3448"/>
      <c r="F230" s="402" t="s">
        <v>3569</v>
      </c>
      <c r="G230" s="2866">
        <v>0.3</v>
      </c>
      <c r="H230" s="402" t="s">
        <v>3563</v>
      </c>
      <c r="I230" s="402"/>
      <c r="M230" s="1646"/>
      <c r="N230" s="1647"/>
      <c r="O230" s="1646"/>
      <c r="P230" s="1647"/>
      <c r="V230" s="3448"/>
      <c r="W230" s="2565"/>
      <c r="X230" s="2565"/>
      <c r="Y230" s="2565"/>
      <c r="Z230" s="2565"/>
      <c r="AA230" s="2565"/>
      <c r="AB230" s="2566">
        <v>0.3</v>
      </c>
      <c r="AC230" s="332"/>
      <c r="AD230" s="332"/>
      <c r="AE230" s="332"/>
      <c r="AF230" s="332"/>
      <c r="AG230" s="332"/>
      <c r="AU230" s="212"/>
    </row>
    <row r="231" spans="1:47" outlineLevel="1" x14ac:dyDescent="0.25">
      <c r="A231" s="198"/>
      <c r="B231" s="198"/>
      <c r="C231" s="2581"/>
      <c r="D231" s="3448"/>
      <c r="E231" s="3448"/>
      <c r="F231" s="402" t="s">
        <v>3570</v>
      </c>
      <c r="G231" s="2866">
        <v>0.25</v>
      </c>
      <c r="H231" s="402" t="s">
        <v>3563</v>
      </c>
      <c r="I231" s="402" t="s">
        <v>3565</v>
      </c>
      <c r="M231" s="1646"/>
      <c r="N231" s="1647"/>
      <c r="O231" s="1646"/>
      <c r="P231" s="1647"/>
      <c r="V231" s="3448"/>
      <c r="W231" s="2565"/>
      <c r="X231" s="2565"/>
      <c r="Y231" s="2565"/>
      <c r="Z231" s="2565"/>
      <c r="AA231" s="2565"/>
      <c r="AB231" s="2566">
        <v>0.25</v>
      </c>
      <c r="AC231" s="332"/>
      <c r="AD231" s="332"/>
      <c r="AE231" s="332"/>
      <c r="AF231" s="332"/>
      <c r="AG231" s="332"/>
      <c r="AU231" s="212"/>
    </row>
    <row r="232" spans="1:47" outlineLevel="1" x14ac:dyDescent="0.25">
      <c r="A232" s="198"/>
      <c r="B232" s="198"/>
      <c r="C232" s="2581"/>
      <c r="D232" s="3448"/>
      <c r="E232" s="3448"/>
      <c r="F232" s="402" t="s">
        <v>3571</v>
      </c>
      <c r="G232" s="2866">
        <v>0.2</v>
      </c>
      <c r="H232" s="402" t="s">
        <v>3563</v>
      </c>
      <c r="I232" s="402"/>
      <c r="M232" s="1646"/>
      <c r="N232" s="1647"/>
      <c r="O232" s="1646"/>
      <c r="P232" s="1647"/>
      <c r="V232" s="3448"/>
      <c r="W232" s="2565"/>
      <c r="X232" s="2565"/>
      <c r="Y232" s="2565"/>
      <c r="Z232" s="2565"/>
      <c r="AA232" s="2565"/>
      <c r="AB232" s="2566">
        <v>0.2</v>
      </c>
      <c r="AC232" s="332"/>
      <c r="AD232" s="332"/>
      <c r="AE232" s="332"/>
      <c r="AF232" s="332"/>
      <c r="AG232" s="332"/>
      <c r="AU232" s="212"/>
    </row>
    <row r="233" spans="1:47" outlineLevel="1" x14ac:dyDescent="0.25">
      <c r="A233" s="198"/>
      <c r="B233" s="198"/>
      <c r="C233" s="2581"/>
      <c r="D233" s="3448"/>
      <c r="E233" s="3448"/>
      <c r="F233" s="402" t="s">
        <v>1180</v>
      </c>
      <c r="G233" s="2867">
        <f>AVERAGE(G226,G231)</f>
        <v>0.375</v>
      </c>
      <c r="H233" s="2868" t="s">
        <v>3572</v>
      </c>
      <c r="I233" s="2868"/>
      <c r="M233" s="1646"/>
      <c r="N233" s="1647"/>
      <c r="O233" s="1646"/>
      <c r="P233" s="1647"/>
      <c r="V233" s="3448"/>
      <c r="W233" s="2567"/>
      <c r="X233" s="2567"/>
      <c r="Y233" s="2567"/>
      <c r="Z233" s="2567"/>
      <c r="AA233" s="2567"/>
      <c r="AB233" s="2568">
        <f t="shared" ref="AB233" si="20">AVERAGE(AB226,AB231)</f>
        <v>0.375</v>
      </c>
      <c r="AC233" s="332"/>
      <c r="AD233" s="332"/>
      <c r="AE233" s="332"/>
      <c r="AF233" s="332"/>
      <c r="AG233" s="332"/>
      <c r="AU233" s="212"/>
    </row>
    <row r="234" spans="1:47" outlineLevel="1" x14ac:dyDescent="0.25">
      <c r="A234" s="198"/>
      <c r="B234" s="198"/>
      <c r="C234" s="2581"/>
      <c r="D234" s="3449" t="s">
        <v>75</v>
      </c>
      <c r="E234" s="3456" t="s">
        <v>3573</v>
      </c>
      <c r="F234" s="402" t="s">
        <v>1846</v>
      </c>
      <c r="G234" s="3111">
        <v>0.93799999999999994</v>
      </c>
      <c r="H234" s="2868" t="s">
        <v>3510</v>
      </c>
      <c r="I234" s="2868"/>
      <c r="M234" s="1646"/>
      <c r="N234" s="1647"/>
      <c r="O234" s="1646"/>
      <c r="P234" s="1647"/>
      <c r="V234" s="3449" t="s">
        <v>75</v>
      </c>
      <c r="W234" s="2569"/>
      <c r="X234" s="2569"/>
      <c r="Y234" s="2569"/>
      <c r="Z234" s="2569"/>
      <c r="AA234" s="2569"/>
      <c r="AB234" s="2570">
        <v>0.93799999999999994</v>
      </c>
      <c r="AC234" s="332"/>
      <c r="AD234" s="332"/>
      <c r="AE234" s="332"/>
      <c r="AF234" s="332"/>
      <c r="AG234" s="332"/>
      <c r="AU234" s="212"/>
    </row>
    <row r="235" spans="1:47" outlineLevel="1" x14ac:dyDescent="0.25">
      <c r="A235" s="198"/>
      <c r="B235" s="198"/>
      <c r="C235" s="2581"/>
      <c r="D235" s="3450"/>
      <c r="E235" s="3457"/>
      <c r="F235" s="402" t="s">
        <v>1848</v>
      </c>
      <c r="G235" s="3111">
        <v>0.95</v>
      </c>
      <c r="H235" s="2868" t="s">
        <v>3647</v>
      </c>
      <c r="I235" s="2868"/>
      <c r="M235" s="1646"/>
      <c r="N235" s="1647"/>
      <c r="O235" s="1646"/>
      <c r="P235" s="1647"/>
      <c r="V235" s="3450"/>
      <c r="W235" s="2569"/>
      <c r="X235" s="2569"/>
      <c r="Y235" s="2569"/>
      <c r="Z235" s="2569"/>
      <c r="AA235" s="2569"/>
      <c r="AB235" s="2570">
        <v>0.95</v>
      </c>
      <c r="AC235" s="332"/>
      <c r="AD235" s="332"/>
      <c r="AE235" s="332"/>
      <c r="AF235" s="332"/>
      <c r="AG235" s="332"/>
      <c r="AU235" s="212"/>
    </row>
    <row r="236" spans="1:47" outlineLevel="1" x14ac:dyDescent="0.25">
      <c r="A236" s="198"/>
      <c r="B236" s="198"/>
      <c r="C236" s="2581"/>
      <c r="D236" s="3110" t="s">
        <v>24</v>
      </c>
      <c r="E236" s="3110" t="s">
        <v>611</v>
      </c>
      <c r="F236" s="3110" t="s">
        <v>591</v>
      </c>
      <c r="G236" s="1594">
        <v>10</v>
      </c>
      <c r="H236" s="2868"/>
      <c r="I236" s="2868" t="s">
        <v>37</v>
      </c>
      <c r="M236" s="1646"/>
      <c r="N236" s="1647"/>
      <c r="O236" s="1646"/>
      <c r="P236" s="1647"/>
      <c r="V236" s="3110" t="s">
        <v>24</v>
      </c>
      <c r="W236" s="2571"/>
      <c r="X236" s="2571"/>
      <c r="Y236" s="2571"/>
      <c r="Z236" s="2571"/>
      <c r="AA236" s="2571"/>
      <c r="AB236" s="2572">
        <v>10</v>
      </c>
      <c r="AC236" s="332"/>
      <c r="AD236" s="332"/>
      <c r="AE236" s="332"/>
      <c r="AF236" s="332"/>
      <c r="AG236" s="332"/>
      <c r="AI236" s="401"/>
      <c r="AJ236" s="401"/>
      <c r="AK236" s="377"/>
      <c r="AL236" s="377"/>
      <c r="AM236" s="377"/>
      <c r="AN236" s="377"/>
      <c r="AO236" s="377"/>
      <c r="AP236" s="377"/>
      <c r="AQ236" s="377"/>
      <c r="AR236" s="377"/>
      <c r="AS236" s="377"/>
      <c r="AU236" s="212"/>
    </row>
    <row r="237" spans="1:47" outlineLevel="1" x14ac:dyDescent="0.25">
      <c r="A237" s="198"/>
      <c r="B237" s="198"/>
      <c r="C237" s="2581"/>
      <c r="D237" s="3451" t="str">
        <f>$D$51</f>
        <v>Inc. Cost</v>
      </c>
      <c r="E237" s="3451" t="str">
        <f>$E$51</f>
        <v>Incremental Cost ($)</v>
      </c>
      <c r="F237" s="2869" t="s">
        <v>1846</v>
      </c>
      <c r="G237" s="3112">
        <v>30</v>
      </c>
      <c r="H237" s="2869" t="s">
        <v>3576</v>
      </c>
      <c r="I237" s="3113" t="s">
        <v>3577</v>
      </c>
      <c r="M237" s="1646"/>
      <c r="N237" s="1647"/>
      <c r="O237" s="1646"/>
      <c r="P237" s="1647"/>
      <c r="V237" s="3451" t="str">
        <f>$D$51</f>
        <v>Inc. Cost</v>
      </c>
      <c r="W237" s="2573"/>
      <c r="X237" s="2573"/>
      <c r="Y237" s="2573"/>
      <c r="Z237" s="2573"/>
      <c r="AA237" s="2573"/>
      <c r="AB237" s="2574">
        <v>30</v>
      </c>
      <c r="AC237" s="2575"/>
      <c r="AD237" s="2575"/>
      <c r="AE237" s="2575"/>
      <c r="AF237" s="2575"/>
      <c r="AG237" s="2575"/>
      <c r="AI237" s="401"/>
      <c r="AJ237" s="401"/>
      <c r="AK237" s="377"/>
      <c r="AL237" s="377"/>
      <c r="AM237" s="377"/>
      <c r="AN237" s="377"/>
      <c r="AO237" s="377"/>
      <c r="AP237" s="377"/>
      <c r="AQ237" s="377"/>
      <c r="AR237" s="377"/>
      <c r="AS237" s="377"/>
      <c r="AU237" s="212"/>
    </row>
    <row r="238" spans="1:47" outlineLevel="1" x14ac:dyDescent="0.25">
      <c r="A238" s="198"/>
      <c r="B238" s="198"/>
      <c r="C238" s="2581"/>
      <c r="D238" s="3451"/>
      <c r="E238" s="3451"/>
      <c r="F238" s="3114" t="s">
        <v>1848</v>
      </c>
      <c r="G238" s="3112">
        <v>60</v>
      </c>
      <c r="H238" s="2869" t="s">
        <v>3578</v>
      </c>
      <c r="I238" s="2869" t="s">
        <v>3578</v>
      </c>
      <c r="M238" s="1646"/>
      <c r="N238" s="1647"/>
      <c r="O238" s="1646"/>
      <c r="P238" s="1647"/>
      <c r="V238" s="3451"/>
      <c r="W238" s="2573"/>
      <c r="X238" s="2573"/>
      <c r="Y238" s="2573"/>
      <c r="Z238" s="2573"/>
      <c r="AA238" s="2573"/>
      <c r="AB238" s="2574">
        <v>60</v>
      </c>
      <c r="AC238" s="2576"/>
      <c r="AD238" s="2576"/>
      <c r="AE238" s="2576"/>
      <c r="AF238" s="2576"/>
      <c r="AG238" s="2576"/>
      <c r="AI238" s="401"/>
      <c r="AJ238" s="401"/>
      <c r="AK238" s="377"/>
      <c r="AL238" s="377"/>
      <c r="AM238" s="377"/>
      <c r="AN238" s="377"/>
      <c r="AO238" s="377"/>
      <c r="AP238" s="377"/>
      <c r="AQ238" s="377"/>
      <c r="AR238" s="377"/>
      <c r="AS238" s="377"/>
      <c r="AU238" s="212"/>
    </row>
    <row r="239" spans="1:47" x14ac:dyDescent="0.25">
      <c r="C239" s="2581"/>
      <c r="D239" s="586"/>
      <c r="E239" s="586"/>
      <c r="F239" s="277"/>
      <c r="G239" s="277"/>
      <c r="H239" s="277"/>
      <c r="X239" s="233"/>
      <c r="AU239" s="212"/>
    </row>
    <row r="240" spans="1:47" x14ac:dyDescent="0.25">
      <c r="AU240" s="212"/>
    </row>
    <row r="241" spans="1:57" x14ac:dyDescent="0.25">
      <c r="A241" s="405"/>
      <c r="B241" s="3350" t="s">
        <v>805</v>
      </c>
      <c r="C241" s="3351"/>
      <c r="D241" s="3351"/>
      <c r="E241" s="3351"/>
      <c r="F241" s="3351"/>
      <c r="G241" s="3351"/>
      <c r="H241" s="3351"/>
      <c r="I241" s="3352"/>
      <c r="J241" s="3352"/>
      <c r="K241" s="3352"/>
      <c r="L241" s="3352"/>
      <c r="M241" s="3352"/>
      <c r="N241" s="3352"/>
      <c r="O241" s="3353"/>
      <c r="V241" s="3350" t="str">
        <f>B241</f>
        <v>ENERGY STAR Air Purifier</v>
      </c>
      <c r="W241" s="3351"/>
      <c r="X241" s="3351"/>
      <c r="Y241" s="3351"/>
      <c r="Z241" s="3351"/>
      <c r="AA241" s="3351"/>
      <c r="AB241" s="3351"/>
      <c r="AC241" s="3354"/>
      <c r="AD241" s="3354"/>
      <c r="AE241" s="3354"/>
      <c r="AF241" s="3354"/>
      <c r="AG241" s="3354"/>
      <c r="AH241" s="3354"/>
      <c r="AI241" s="3355"/>
      <c r="AU241" s="212"/>
    </row>
    <row r="242" spans="1:57" x14ac:dyDescent="0.25">
      <c r="A242" s="406"/>
      <c r="B242" s="406"/>
      <c r="C242" s="196"/>
      <c r="D242" s="197"/>
      <c r="E242" s="197"/>
      <c r="F242" s="406"/>
      <c r="G242" s="406"/>
      <c r="H242" s="406"/>
      <c r="I242" s="406"/>
      <c r="J242" s="406"/>
      <c r="K242" s="406"/>
      <c r="L242" s="406"/>
      <c r="AU242" s="212"/>
    </row>
    <row r="243" spans="1:57" ht="30" x14ac:dyDescent="0.25">
      <c r="A243" s="1581"/>
      <c r="B243" s="1581"/>
      <c r="C243" s="2029" t="s">
        <v>17</v>
      </c>
      <c r="D243" s="2029" t="s">
        <v>616</v>
      </c>
      <c r="E243" s="407" t="s">
        <v>19</v>
      </c>
      <c r="F243" s="2029" t="s">
        <v>20</v>
      </c>
      <c r="G243" s="407" t="s">
        <v>21</v>
      </c>
      <c r="H243" s="407" t="s">
        <v>22</v>
      </c>
      <c r="I243" s="407" t="s">
        <v>23</v>
      </c>
      <c r="J243" s="407" t="s">
        <v>24</v>
      </c>
      <c r="K243" s="407" t="s">
        <v>25</v>
      </c>
      <c r="L243" s="2029" t="s">
        <v>26</v>
      </c>
      <c r="M243" s="277"/>
      <c r="N243" s="277"/>
      <c r="V243" s="55" t="s">
        <v>27</v>
      </c>
      <c r="W243" s="56">
        <v>43252</v>
      </c>
      <c r="X243" s="56">
        <f>$X$6</f>
        <v>43465</v>
      </c>
      <c r="Y243" s="56">
        <f>$Y$6</f>
        <v>43800</v>
      </c>
      <c r="Z243" s="56">
        <f>$Z$6</f>
        <v>43862</v>
      </c>
      <c r="AA243" s="56">
        <f>$AA$6</f>
        <v>44013</v>
      </c>
      <c r="AB243" s="56">
        <f>$AB$6</f>
        <v>44166</v>
      </c>
      <c r="AC243" s="56" t="str">
        <f>$AC$6</f>
        <v>-</v>
      </c>
      <c r="AD243" s="56" t="str">
        <f>$AD$6</f>
        <v>-</v>
      </c>
      <c r="AE243" s="56" t="str">
        <f>$AE$6</f>
        <v>-</v>
      </c>
      <c r="AF243" s="56" t="str">
        <f>$AF$6</f>
        <v>-</v>
      </c>
      <c r="AG243" s="56" t="str">
        <f>$AG$6</f>
        <v>-</v>
      </c>
      <c r="AU243" s="212"/>
      <c r="BB243" s="93" t="str">
        <f>$BB$6</f>
        <v>TRC (2020)</v>
      </c>
      <c r="BC243" s="93" t="str">
        <f>$BC$6</f>
        <v>Benefit Lookup</v>
      </c>
      <c r="BD243" s="279" t="str">
        <f>$BD$6</f>
        <v>Benefits (2019 $)</v>
      </c>
      <c r="BE243" s="279" t="str">
        <f>$BE$6</f>
        <v>Incremental Cost (2019 $)</v>
      </c>
    </row>
    <row r="244" spans="1:57" x14ac:dyDescent="0.25">
      <c r="A244" s="406"/>
      <c r="B244" s="406"/>
      <c r="C244" s="398" t="s">
        <v>806</v>
      </c>
      <c r="D244" s="2134" t="s">
        <v>621</v>
      </c>
      <c r="E244" s="201" t="s">
        <v>807</v>
      </c>
      <c r="F244" s="408">
        <f>ROUND((F257*((1/F254)-(1/F253))*(F258)+(F256-F255)*(24-F258))*365/1000*F260,2)</f>
        <v>578.86</v>
      </c>
      <c r="G244" s="560" t="s">
        <v>877</v>
      </c>
      <c r="H244" s="202">
        <f>VLOOKUP(G244,'CP FACTORS'!$A$3:$B$38, 2, FALSE)</f>
        <v>4.6608050000000002E-4</v>
      </c>
      <c r="I244" s="283">
        <f>ROUND(H244*F244,6)</f>
        <v>0.26979500000000001</v>
      </c>
      <c r="J244" s="382">
        <f>F261</f>
        <v>9</v>
      </c>
      <c r="K244" s="1286">
        <f>F262</f>
        <v>70</v>
      </c>
      <c r="L244" s="2044" t="s">
        <v>37</v>
      </c>
      <c r="N244" s="1626"/>
      <c r="O244" s="1627"/>
      <c r="R244" s="1627"/>
      <c r="V244" s="332" t="s">
        <v>20</v>
      </c>
      <c r="W244" s="116">
        <v>555.64466268041224</v>
      </c>
      <c r="X244" s="116">
        <v>588.78703639406001</v>
      </c>
      <c r="Y244" s="210">
        <v>578.86</v>
      </c>
      <c r="Z244" s="332">
        <v>578.86</v>
      </c>
      <c r="AA244" s="332">
        <v>578.86</v>
      </c>
      <c r="AB244" s="332">
        <v>578.86</v>
      </c>
      <c r="AC244" s="332"/>
      <c r="AD244" s="332"/>
      <c r="AE244" s="332"/>
      <c r="AF244" s="332"/>
      <c r="AG244" s="332"/>
      <c r="AH244" s="211"/>
      <c r="AU244" s="212"/>
      <c r="BB244" s="213">
        <f>(BD244)/(BE244)</f>
        <v>5.0190719138903406</v>
      </c>
      <c r="BC244" s="367" t="str">
        <f>CONCATENATE(G244," ",J244," Year EUL")</f>
        <v>HVAC RES 9 Year EUL</v>
      </c>
      <c r="BD244" s="214">
        <f>(INDEX('Avoided Cost Benefits'!$C$4:$C$857,MATCH(BC244,'Avoided Cost Benefits'!$A$4:$A$857,0)))*F244</f>
        <v>331.60456250337313</v>
      </c>
      <c r="BE244" s="109">
        <f>K244/(1.0595^(2020-2019))</f>
        <v>66.068900424728639</v>
      </c>
    </row>
    <row r="245" spans="1:57" outlineLevel="1" x14ac:dyDescent="0.25">
      <c r="A245" s="406"/>
      <c r="B245" s="406"/>
      <c r="C245" s="196"/>
      <c r="D245" s="197"/>
      <c r="E245" s="215"/>
      <c r="F245" s="411"/>
      <c r="G245" s="412"/>
      <c r="H245" s="406"/>
      <c r="I245" s="413"/>
      <c r="J245" s="413"/>
      <c r="K245" s="413"/>
      <c r="L245" s="406"/>
      <c r="W245" s="247"/>
      <c r="X245" s="247"/>
      <c r="AU245" s="212"/>
    </row>
    <row r="246" spans="1:57" s="299" customFormat="1" outlineLevel="1" x14ac:dyDescent="0.25">
      <c r="A246" s="416"/>
      <c r="B246" s="416"/>
      <c r="C246" s="221"/>
      <c r="D246" s="228" t="s">
        <v>571</v>
      </c>
      <c r="E246" s="414"/>
      <c r="F246" s="415"/>
      <c r="G246" s="416"/>
      <c r="H246" s="416"/>
      <c r="I246" s="413"/>
      <c r="J246" s="413"/>
      <c r="K246" s="413"/>
      <c r="L246" s="416"/>
      <c r="M246" s="306"/>
      <c r="N246" s="306"/>
      <c r="O246" s="306"/>
      <c r="P246" s="306"/>
      <c r="Q246" s="306"/>
      <c r="R246" s="306"/>
      <c r="S246" s="306"/>
      <c r="T246" s="306"/>
      <c r="U246" s="306"/>
      <c r="W246" s="417"/>
      <c r="X246" s="417"/>
      <c r="AU246" s="212"/>
      <c r="BB246" s="301"/>
    </row>
    <row r="247" spans="1:57" s="299" customFormat="1" outlineLevel="1" x14ac:dyDescent="0.25">
      <c r="A247" s="416"/>
      <c r="B247" s="416"/>
      <c r="C247" s="221"/>
      <c r="D247" s="418"/>
      <c r="E247" s="414"/>
      <c r="F247" s="415"/>
      <c r="G247" s="416"/>
      <c r="H247" s="416"/>
      <c r="I247" s="413"/>
      <c r="J247" s="413"/>
      <c r="K247" s="413"/>
      <c r="L247" s="416"/>
      <c r="M247" s="306"/>
      <c r="N247" s="306"/>
      <c r="O247" s="306"/>
      <c r="P247" s="306"/>
      <c r="Q247" s="306"/>
      <c r="R247" s="306"/>
      <c r="S247" s="306"/>
      <c r="T247" s="306"/>
      <c r="U247" s="306"/>
      <c r="W247" s="417"/>
      <c r="X247" s="417"/>
      <c r="AU247" s="212"/>
      <c r="BB247" s="301"/>
    </row>
    <row r="248" spans="1:57" s="299" customFormat="1" outlineLevel="1" x14ac:dyDescent="0.25">
      <c r="A248" s="416"/>
      <c r="B248" s="416"/>
      <c r="C248" s="221"/>
      <c r="D248" s="418"/>
      <c r="E248" s="414"/>
      <c r="F248" s="415"/>
      <c r="G248" s="416"/>
      <c r="H248" s="416"/>
      <c r="I248" s="416"/>
      <c r="J248" s="416"/>
      <c r="K248" s="416"/>
      <c r="L248" s="416"/>
      <c r="M248" s="306"/>
      <c r="N248" s="306"/>
      <c r="O248" s="306"/>
      <c r="P248" s="306"/>
      <c r="Q248" s="306"/>
      <c r="R248" s="306"/>
      <c r="S248" s="306"/>
      <c r="T248" s="306"/>
      <c r="U248" s="306"/>
      <c r="W248" s="417"/>
      <c r="X248" s="417"/>
      <c r="AU248" s="212"/>
      <c r="BB248" s="301"/>
    </row>
    <row r="249" spans="1:57" s="299" customFormat="1" outlineLevel="1" x14ac:dyDescent="0.25">
      <c r="A249" s="416"/>
      <c r="B249" s="416"/>
      <c r="C249" s="221"/>
      <c r="D249" s="418"/>
      <c r="E249" s="414"/>
      <c r="F249" s="415"/>
      <c r="G249" s="416"/>
      <c r="H249" s="416"/>
      <c r="I249" s="416"/>
      <c r="J249" s="416"/>
      <c r="K249" s="416"/>
      <c r="L249" s="416"/>
      <c r="M249" s="306"/>
      <c r="N249" s="306"/>
      <c r="O249" s="306"/>
      <c r="P249" s="306"/>
      <c r="Q249" s="306"/>
      <c r="R249" s="306"/>
      <c r="S249" s="306"/>
      <c r="T249" s="306"/>
      <c r="U249" s="306"/>
      <c r="W249" s="417"/>
      <c r="X249" s="417"/>
      <c r="AU249" s="212"/>
      <c r="BB249" s="301"/>
    </row>
    <row r="250" spans="1:57" s="299" customFormat="1" outlineLevel="1" x14ac:dyDescent="0.25">
      <c r="A250" s="416"/>
      <c r="B250" s="416"/>
      <c r="C250" s="221"/>
      <c r="D250" s="418"/>
      <c r="E250" s="414"/>
      <c r="F250" s="415"/>
      <c r="G250" s="416"/>
      <c r="H250" s="416"/>
      <c r="I250" s="416"/>
      <c r="J250" s="416"/>
      <c r="K250" s="416"/>
      <c r="L250" s="416"/>
      <c r="M250" s="306"/>
      <c r="N250" s="306"/>
      <c r="O250" s="306"/>
      <c r="P250" s="306"/>
      <c r="Q250" s="306"/>
      <c r="R250" s="306"/>
      <c r="S250" s="306"/>
      <c r="T250" s="306"/>
      <c r="U250" s="306"/>
      <c r="W250" s="417"/>
      <c r="X250" s="417"/>
      <c r="AU250" s="212"/>
      <c r="BB250" s="301"/>
    </row>
    <row r="251" spans="1:57" s="299" customFormat="1" outlineLevel="1" x14ac:dyDescent="0.25">
      <c r="A251" s="416"/>
      <c r="B251" s="416"/>
      <c r="C251" s="221"/>
      <c r="D251" s="228"/>
      <c r="E251" s="228"/>
      <c r="F251" s="416"/>
      <c r="G251" s="416"/>
      <c r="H251" s="416"/>
      <c r="I251" s="416"/>
      <c r="J251" s="416"/>
      <c r="K251" s="416"/>
      <c r="L251" s="416"/>
      <c r="M251" s="306"/>
      <c r="N251" s="306"/>
      <c r="O251" s="306"/>
      <c r="P251" s="306"/>
      <c r="Q251" s="306"/>
      <c r="R251" s="306"/>
      <c r="S251" s="306"/>
      <c r="T251" s="306"/>
      <c r="U251" s="306"/>
      <c r="W251" s="417"/>
      <c r="X251" s="417"/>
      <c r="AU251" s="212"/>
      <c r="BB251" s="301"/>
    </row>
    <row r="252" spans="1:57" outlineLevel="1" x14ac:dyDescent="0.25">
      <c r="A252" s="1648"/>
      <c r="B252" s="1648"/>
      <c r="C252" s="196"/>
      <c r="D252" s="2045" t="s">
        <v>572</v>
      </c>
      <c r="E252" s="2045" t="s">
        <v>573</v>
      </c>
      <c r="F252" s="419" t="s">
        <v>574</v>
      </c>
      <c r="G252" s="3419" t="s">
        <v>624</v>
      </c>
      <c r="H252" s="3452"/>
      <c r="I252" s="406"/>
      <c r="J252" s="406"/>
      <c r="K252" s="406"/>
      <c r="L252" s="1648"/>
      <c r="M252" s="277"/>
      <c r="N252" s="277"/>
      <c r="V252" s="55" t="s">
        <v>27</v>
      </c>
      <c r="W252" s="420">
        <v>43252</v>
      </c>
      <c r="X252" s="56">
        <f>$X$6</f>
        <v>43465</v>
      </c>
      <c r="Y252" s="56">
        <f>$Y$6</f>
        <v>43800</v>
      </c>
      <c r="Z252" s="56">
        <f>$Z$6</f>
        <v>43862</v>
      </c>
      <c r="AA252" s="56">
        <f>$AA$6</f>
        <v>44013</v>
      </c>
      <c r="AB252" s="56">
        <f>$AB$6</f>
        <v>44166</v>
      </c>
      <c r="AC252" s="56" t="str">
        <f>$AC$6</f>
        <v>-</v>
      </c>
      <c r="AD252" s="56" t="str">
        <f>$AD$6</f>
        <v>-</v>
      </c>
      <c r="AE252" s="56" t="str">
        <f>$AE$6</f>
        <v>-</v>
      </c>
      <c r="AF252" s="56" t="str">
        <f>$AF$6</f>
        <v>-</v>
      </c>
      <c r="AG252" s="56" t="str">
        <f>$AG$6</f>
        <v>-</v>
      </c>
      <c r="AU252" s="212"/>
    </row>
    <row r="253" spans="1:57" ht="36" customHeight="1" outlineLevel="1" x14ac:dyDescent="0.25">
      <c r="A253" s="427"/>
      <c r="B253" s="427"/>
      <c r="D253" s="2030" t="s">
        <v>808</v>
      </c>
      <c r="E253" s="402" t="s">
        <v>809</v>
      </c>
      <c r="F253" s="421">
        <v>3.0027007072388932</v>
      </c>
      <c r="G253" s="3453" t="s">
        <v>810</v>
      </c>
      <c r="H253" s="3454"/>
      <c r="I253" s="406"/>
      <c r="J253" s="406"/>
      <c r="K253" s="406"/>
      <c r="L253" s="427"/>
      <c r="V253" s="381" t="str">
        <f t="shared" ref="V253:V262" si="21">D253</f>
        <v xml:space="preserve">EffES </v>
      </c>
      <c r="W253" s="421">
        <v>2.91</v>
      </c>
      <c r="X253" s="422">
        <v>3.0238677849037763</v>
      </c>
      <c r="Y253" s="422">
        <v>3.0027007072388932</v>
      </c>
      <c r="Z253" s="421">
        <v>3.0027007072388932</v>
      </c>
      <c r="AA253" s="421">
        <v>3.0027007072388932</v>
      </c>
      <c r="AB253" s="421">
        <v>3.0027007072388932</v>
      </c>
      <c r="AC253" s="332"/>
      <c r="AD253" s="332"/>
      <c r="AE253" s="332"/>
      <c r="AF253" s="332"/>
      <c r="AG253" s="332"/>
      <c r="AU253" s="212"/>
    </row>
    <row r="254" spans="1:57" ht="37.5" customHeight="1" outlineLevel="1" x14ac:dyDescent="0.25">
      <c r="A254" s="427"/>
      <c r="B254" s="427"/>
      <c r="D254" s="2030" t="s">
        <v>811</v>
      </c>
      <c r="E254" s="402" t="s">
        <v>812</v>
      </c>
      <c r="F254" s="421">
        <v>1</v>
      </c>
      <c r="G254" s="3446" t="s">
        <v>813</v>
      </c>
      <c r="H254" s="3455"/>
      <c r="I254" s="406"/>
      <c r="J254" s="406"/>
      <c r="K254" s="406"/>
      <c r="L254" s="427"/>
      <c r="V254" s="381" t="str">
        <f t="shared" si="21"/>
        <v>EffBL</v>
      </c>
      <c r="W254" s="421">
        <v>1</v>
      </c>
      <c r="X254" s="423">
        <v>1</v>
      </c>
      <c r="Y254" s="423">
        <v>1</v>
      </c>
      <c r="Z254" s="421">
        <v>1</v>
      </c>
      <c r="AA254" s="421">
        <v>1</v>
      </c>
      <c r="AB254" s="421">
        <v>1</v>
      </c>
      <c r="AC254" s="332"/>
      <c r="AD254" s="332"/>
      <c r="AE254" s="332"/>
      <c r="AF254" s="332"/>
      <c r="AG254" s="332"/>
      <c r="AU254" s="212"/>
    </row>
    <row r="255" spans="1:57" ht="31.5" customHeight="1" outlineLevel="1" x14ac:dyDescent="0.25">
      <c r="A255" s="427"/>
      <c r="B255" s="427"/>
      <c r="D255" s="2030" t="s">
        <v>814</v>
      </c>
      <c r="E255" s="402" t="s">
        <v>815</v>
      </c>
      <c r="F255" s="424">
        <v>0.39132024229062107</v>
      </c>
      <c r="G255" s="3446" t="s">
        <v>810</v>
      </c>
      <c r="H255" s="3455"/>
      <c r="I255" s="406"/>
      <c r="J255" s="406"/>
      <c r="K255" s="406"/>
      <c r="L255" s="427"/>
      <c r="V255" s="381" t="str">
        <f t="shared" si="21"/>
        <v xml:space="preserve">SBES </v>
      </c>
      <c r="W255" s="424">
        <v>0.29299999999999998</v>
      </c>
      <c r="X255" s="425">
        <v>0.3657961405244905</v>
      </c>
      <c r="Y255" s="425">
        <v>0.39132024229062107</v>
      </c>
      <c r="Z255" s="424">
        <v>0.39132024229062107</v>
      </c>
      <c r="AA255" s="424">
        <v>0.39132024229062107</v>
      </c>
      <c r="AB255" s="424">
        <v>0.39132024229062107</v>
      </c>
      <c r="AC255" s="332"/>
      <c r="AD255" s="332"/>
      <c r="AE255" s="332"/>
      <c r="AF255" s="332"/>
      <c r="AG255" s="332"/>
      <c r="AU255" s="212"/>
    </row>
    <row r="256" spans="1:57" ht="38.25" customHeight="1" outlineLevel="1" x14ac:dyDescent="0.25">
      <c r="A256" s="427"/>
      <c r="B256" s="427"/>
      <c r="D256" s="2030" t="s">
        <v>816</v>
      </c>
      <c r="E256" s="402" t="s">
        <v>817</v>
      </c>
      <c r="F256" s="421">
        <v>1</v>
      </c>
      <c r="G256" s="3446" t="s">
        <v>813</v>
      </c>
      <c r="H256" s="3455"/>
      <c r="I256" s="406"/>
      <c r="J256" s="406"/>
      <c r="K256" s="406"/>
      <c r="L256" s="427"/>
      <c r="V256" s="381" t="str">
        <f t="shared" si="21"/>
        <v xml:space="preserve">SBBL </v>
      </c>
      <c r="W256" s="421">
        <v>1</v>
      </c>
      <c r="X256" s="423">
        <v>1</v>
      </c>
      <c r="Y256" s="423">
        <v>1</v>
      </c>
      <c r="Z256" s="421">
        <v>1</v>
      </c>
      <c r="AA256" s="421">
        <v>1</v>
      </c>
      <c r="AB256" s="421">
        <v>1</v>
      </c>
      <c r="AC256" s="332"/>
      <c r="AD256" s="332"/>
      <c r="AE256" s="332"/>
      <c r="AF256" s="332"/>
      <c r="AG256" s="332"/>
      <c r="AU256" s="212"/>
    </row>
    <row r="257" spans="1:57" ht="15" customHeight="1" outlineLevel="1" x14ac:dyDescent="0.25">
      <c r="A257" s="427"/>
      <c r="B257" s="427"/>
      <c r="D257" s="2030" t="s">
        <v>818</v>
      </c>
      <c r="E257" s="402" t="s">
        <v>819</v>
      </c>
      <c r="F257" s="421">
        <v>157.56188608132925</v>
      </c>
      <c r="G257" s="3446" t="s">
        <v>810</v>
      </c>
      <c r="H257" s="3455"/>
      <c r="I257" s="406"/>
      <c r="J257" s="406"/>
      <c r="K257" s="406"/>
      <c r="L257" s="427"/>
      <c r="V257" s="381" t="str">
        <f t="shared" si="21"/>
        <v>CADR</v>
      </c>
      <c r="W257" s="421">
        <v>144.41999999999999</v>
      </c>
      <c r="X257" s="422">
        <v>150.16127281696868</v>
      </c>
      <c r="Y257" s="426">
        <v>157.56188608132925</v>
      </c>
      <c r="Z257" s="1248">
        <v>157.56188608132925</v>
      </c>
      <c r="AA257" s="1248">
        <v>157.56188608132925</v>
      </c>
      <c r="AB257" s="421">
        <v>157.56188608132925</v>
      </c>
      <c r="AC257" s="332"/>
      <c r="AD257" s="332"/>
      <c r="AE257" s="332"/>
      <c r="AF257" s="332"/>
      <c r="AG257" s="332"/>
      <c r="AU257" s="212"/>
    </row>
    <row r="258" spans="1:57" ht="36.75" customHeight="1" outlineLevel="1" x14ac:dyDescent="0.25">
      <c r="A258" s="427"/>
      <c r="B258" s="427"/>
      <c r="D258" s="2030" t="s">
        <v>820</v>
      </c>
      <c r="E258" s="402" t="s">
        <v>821</v>
      </c>
      <c r="F258" s="424">
        <v>16</v>
      </c>
      <c r="G258" s="3446" t="s">
        <v>813</v>
      </c>
      <c r="H258" s="3455"/>
      <c r="I258" s="427"/>
      <c r="J258" s="427"/>
      <c r="K258" s="427"/>
      <c r="L258" s="427"/>
      <c r="V258" s="381" t="str">
        <f t="shared" si="21"/>
        <v>Hroper</v>
      </c>
      <c r="W258" s="421">
        <v>16</v>
      </c>
      <c r="X258" s="423">
        <v>16</v>
      </c>
      <c r="Y258" s="423">
        <v>16</v>
      </c>
      <c r="Z258" s="421">
        <v>16</v>
      </c>
      <c r="AA258" s="421">
        <v>16</v>
      </c>
      <c r="AB258" s="424">
        <v>16</v>
      </c>
      <c r="AC258" s="332"/>
      <c r="AD258" s="332"/>
      <c r="AE258" s="332"/>
      <c r="AF258" s="332"/>
      <c r="AG258" s="332"/>
      <c r="AU258" s="212"/>
    </row>
    <row r="259" spans="1:57" outlineLevel="1" x14ac:dyDescent="0.25">
      <c r="A259" s="406"/>
      <c r="B259" s="406"/>
      <c r="C259" s="196"/>
      <c r="D259" s="2030" t="s">
        <v>822</v>
      </c>
      <c r="E259" s="402" t="s">
        <v>760</v>
      </c>
      <c r="F259" s="424">
        <v>365</v>
      </c>
      <c r="G259" s="3446" t="s">
        <v>813</v>
      </c>
      <c r="H259" s="3455"/>
      <c r="I259" s="427"/>
      <c r="J259" s="427"/>
      <c r="K259" s="427"/>
      <c r="L259" s="406"/>
      <c r="V259" s="381" t="str">
        <f t="shared" si="21"/>
        <v>Days per Year</v>
      </c>
      <c r="W259" s="421">
        <v>365</v>
      </c>
      <c r="X259" s="423">
        <v>365</v>
      </c>
      <c r="Y259" s="423">
        <v>365</v>
      </c>
      <c r="Z259" s="421">
        <v>365</v>
      </c>
      <c r="AA259" s="421">
        <v>365</v>
      </c>
      <c r="AB259" s="424">
        <v>365</v>
      </c>
      <c r="AC259" s="332"/>
      <c r="AD259" s="332"/>
      <c r="AE259" s="332"/>
      <c r="AF259" s="332"/>
      <c r="AG259" s="332"/>
      <c r="AU259" s="212"/>
    </row>
    <row r="260" spans="1:57" outlineLevel="1" x14ac:dyDescent="0.25">
      <c r="A260" s="406"/>
      <c r="B260" s="406"/>
      <c r="C260" s="196"/>
      <c r="D260" s="2030" t="s">
        <v>75</v>
      </c>
      <c r="E260" s="402" t="s">
        <v>684</v>
      </c>
      <c r="F260" s="424">
        <v>0.94047619047619047</v>
      </c>
      <c r="G260" s="3446" t="s">
        <v>685</v>
      </c>
      <c r="H260" s="3455"/>
      <c r="I260" s="406"/>
      <c r="J260" s="406"/>
      <c r="K260" s="406"/>
      <c r="L260" s="406"/>
      <c r="V260" s="381" t="str">
        <f t="shared" si="21"/>
        <v>ISR</v>
      </c>
      <c r="W260" s="119">
        <v>1</v>
      </c>
      <c r="X260" s="428">
        <v>1</v>
      </c>
      <c r="Y260" s="429">
        <v>0.94047619047619047</v>
      </c>
      <c r="Z260" s="119">
        <v>0.94047619047619047</v>
      </c>
      <c r="AA260" s="119">
        <v>0.94047619047619047</v>
      </c>
      <c r="AB260" s="424">
        <v>0.94047619047619047</v>
      </c>
      <c r="AC260" s="332"/>
      <c r="AD260" s="332"/>
      <c r="AE260" s="332"/>
      <c r="AF260" s="332"/>
      <c r="AG260" s="332"/>
      <c r="AU260" s="212"/>
    </row>
    <row r="261" spans="1:57" outlineLevel="1" x14ac:dyDescent="0.25">
      <c r="A261" s="406"/>
      <c r="B261" s="406"/>
      <c r="C261" s="196"/>
      <c r="D261" s="358" t="str">
        <f>$D$50</f>
        <v>EUL</v>
      </c>
      <c r="E261" s="358" t="str">
        <f>$E$50</f>
        <v>Effective Useful Life</v>
      </c>
      <c r="F261" s="421">
        <v>9</v>
      </c>
      <c r="G261" s="3446"/>
      <c r="H261" s="3455"/>
      <c r="I261" s="406"/>
      <c r="J261" s="406"/>
      <c r="K261" s="406"/>
      <c r="L261" s="406"/>
      <c r="V261" s="381" t="str">
        <f t="shared" si="21"/>
        <v>EUL</v>
      </c>
      <c r="W261" s="421">
        <v>9</v>
      </c>
      <c r="X261" s="423">
        <v>9</v>
      </c>
      <c r="Y261" s="423">
        <v>9</v>
      </c>
      <c r="Z261" s="421">
        <v>9</v>
      </c>
      <c r="AA261" s="421">
        <v>9</v>
      </c>
      <c r="AB261" s="421">
        <v>9</v>
      </c>
      <c r="AC261" s="423"/>
      <c r="AD261" s="423"/>
      <c r="AE261" s="423"/>
      <c r="AF261" s="423"/>
      <c r="AG261" s="423"/>
      <c r="AU261" s="212"/>
    </row>
    <row r="262" spans="1:57" outlineLevel="1" x14ac:dyDescent="0.25">
      <c r="A262" s="406"/>
      <c r="B262" s="406"/>
      <c r="C262" s="196"/>
      <c r="D262" s="358" t="str">
        <f>$D$51</f>
        <v>Inc. Cost</v>
      </c>
      <c r="E262" s="358" t="str">
        <f>$E$51</f>
        <v>Incremental Cost ($)</v>
      </c>
      <c r="F262" s="430">
        <v>70</v>
      </c>
      <c r="G262" s="3446"/>
      <c r="H262" s="3455"/>
      <c r="I262" s="406"/>
      <c r="J262" s="406"/>
      <c r="K262" s="406"/>
      <c r="L262" s="406"/>
      <c r="V262" s="381" t="str">
        <f t="shared" si="21"/>
        <v>Inc. Cost</v>
      </c>
      <c r="W262" s="430">
        <v>70</v>
      </c>
      <c r="X262" s="410">
        <v>70</v>
      </c>
      <c r="Y262" s="410">
        <v>70</v>
      </c>
      <c r="Z262" s="430">
        <v>70</v>
      </c>
      <c r="AA262" s="430">
        <v>70</v>
      </c>
      <c r="AB262" s="430">
        <v>70</v>
      </c>
      <c r="AC262" s="410"/>
      <c r="AD262" s="410"/>
      <c r="AE262" s="410"/>
      <c r="AF262" s="410"/>
      <c r="AG262" s="410"/>
      <c r="AU262" s="212"/>
    </row>
    <row r="263" spans="1:57" x14ac:dyDescent="0.25">
      <c r="A263" s="406"/>
      <c r="B263" s="406"/>
      <c r="C263" s="196"/>
      <c r="D263" s="431"/>
      <c r="E263" s="432"/>
      <c r="F263" s="431"/>
      <c r="G263" s="406"/>
      <c r="H263" s="406"/>
      <c r="I263" s="406"/>
      <c r="J263" s="406"/>
      <c r="K263" s="406"/>
      <c r="L263" s="406"/>
      <c r="X263" s="272"/>
      <c r="AU263" s="212"/>
    </row>
    <row r="264" spans="1:57" x14ac:dyDescent="0.25">
      <c r="A264" s="198"/>
      <c r="B264" s="198"/>
      <c r="C264" s="196"/>
      <c r="D264" s="431"/>
      <c r="E264" s="433"/>
      <c r="F264" s="431"/>
      <c r="G264" s="198"/>
      <c r="H264" s="198"/>
      <c r="I264" s="198"/>
      <c r="J264" s="198"/>
      <c r="K264" s="198"/>
      <c r="L264" s="198"/>
      <c r="AU264" s="212"/>
    </row>
    <row r="265" spans="1:57" x14ac:dyDescent="0.25">
      <c r="A265" s="405"/>
      <c r="B265" s="3350" t="s">
        <v>823</v>
      </c>
      <c r="C265" s="3351"/>
      <c r="D265" s="3351"/>
      <c r="E265" s="3351"/>
      <c r="F265" s="3351"/>
      <c r="G265" s="3351"/>
      <c r="H265" s="3351"/>
      <c r="I265" s="3352"/>
      <c r="J265" s="3352"/>
      <c r="K265" s="3352"/>
      <c r="L265" s="3352"/>
      <c r="M265" s="3352"/>
      <c r="N265" s="3352"/>
      <c r="O265" s="3353"/>
      <c r="V265" s="3350" t="str">
        <f>B265</f>
        <v>ENERGY STAR Dehumidifier</v>
      </c>
      <c r="W265" s="3351"/>
      <c r="X265" s="3351"/>
      <c r="Y265" s="3351"/>
      <c r="Z265" s="3351"/>
      <c r="AA265" s="3351"/>
      <c r="AB265" s="3351"/>
      <c r="AC265" s="3354"/>
      <c r="AD265" s="3354"/>
      <c r="AE265" s="3354"/>
      <c r="AF265" s="3354"/>
      <c r="AG265" s="3354"/>
      <c r="AH265" s="3354"/>
      <c r="AI265" s="3355"/>
      <c r="AU265" s="212"/>
    </row>
    <row r="266" spans="1:57" x14ac:dyDescent="0.25">
      <c r="AU266" s="212"/>
    </row>
    <row r="267" spans="1:57" ht="30" x14ac:dyDescent="0.25">
      <c r="A267" s="157"/>
      <c r="B267" s="157"/>
      <c r="C267" s="2029" t="s">
        <v>17</v>
      </c>
      <c r="D267" s="2029" t="s">
        <v>616</v>
      </c>
      <c r="E267" s="2029" t="s">
        <v>19</v>
      </c>
      <c r="F267" s="2029" t="s">
        <v>20</v>
      </c>
      <c r="G267" s="2029" t="s">
        <v>21</v>
      </c>
      <c r="H267" s="2029" t="s">
        <v>22</v>
      </c>
      <c r="I267" s="2029" t="s">
        <v>23</v>
      </c>
      <c r="J267" s="2029" t="s">
        <v>24</v>
      </c>
      <c r="K267" s="2029" t="s">
        <v>25</v>
      </c>
      <c r="L267" s="2029" t="s">
        <v>26</v>
      </c>
      <c r="M267" s="194"/>
      <c r="N267" s="194"/>
      <c r="O267" s="1643"/>
      <c r="V267" s="55" t="s">
        <v>27</v>
      </c>
      <c r="W267" s="56">
        <v>43252</v>
      </c>
      <c r="X267" s="56">
        <f>$X$6</f>
        <v>43465</v>
      </c>
      <c r="Y267" s="56">
        <f>$Y$6</f>
        <v>43800</v>
      </c>
      <c r="Z267" s="56">
        <f>$Z$6</f>
        <v>43862</v>
      </c>
      <c r="AA267" s="56">
        <f>$AA$6</f>
        <v>44013</v>
      </c>
      <c r="AB267" s="56">
        <f>$AB$6</f>
        <v>44166</v>
      </c>
      <c r="AC267" s="56" t="str">
        <f>$AC$6</f>
        <v>-</v>
      </c>
      <c r="AD267" s="56" t="str">
        <f>$AD$6</f>
        <v>-</v>
      </c>
      <c r="AE267" s="56" t="str">
        <f>$AE$6</f>
        <v>-</v>
      </c>
      <c r="AF267" s="56" t="str">
        <f>$AF$6</f>
        <v>-</v>
      </c>
      <c r="AG267" s="56" t="str">
        <f>$AG$6</f>
        <v>-</v>
      </c>
      <c r="AU267" s="212"/>
      <c r="BB267" s="93" t="str">
        <f>$BB$6</f>
        <v>TRC (2020)</v>
      </c>
      <c r="BC267" s="93" t="str">
        <f>$BC$6</f>
        <v>Benefit Lookup</v>
      </c>
      <c r="BD267" s="279" t="str">
        <f>$BD$6</f>
        <v>Benefits (2019 $)</v>
      </c>
      <c r="BE267" s="279" t="str">
        <f>$BE$6</f>
        <v>Incremental Cost (2019 $)</v>
      </c>
    </row>
    <row r="268" spans="1:57" s="394" customFormat="1" x14ac:dyDescent="0.25">
      <c r="A268" s="2037"/>
      <c r="B268" s="2037"/>
      <c r="C268" s="531" t="s">
        <v>824</v>
      </c>
      <c r="D268" s="2134" t="s">
        <v>621</v>
      </c>
      <c r="E268" s="2035" t="s">
        <v>823</v>
      </c>
      <c r="F268" s="281">
        <f>ROUND(G287,2)</f>
        <v>204</v>
      </c>
      <c r="G268" s="435" t="s">
        <v>690</v>
      </c>
      <c r="H268" s="392">
        <f>VLOOKUP(G268,'CP FACTORS'!$A$3:$B$38, 2, FALSE)</f>
        <v>9.4741810000000004E-4</v>
      </c>
      <c r="I268" s="283">
        <f>ROUND(H268*F268,6)</f>
        <v>0.193273</v>
      </c>
      <c r="J268" s="141">
        <f>G288</f>
        <v>12</v>
      </c>
      <c r="K268" s="1286">
        <f>G289</f>
        <v>5</v>
      </c>
      <c r="L268" s="2044" t="s">
        <v>37</v>
      </c>
      <c r="M268" s="1649"/>
      <c r="N268" s="1650"/>
      <c r="O268" s="1651"/>
      <c r="P268" s="393"/>
      <c r="Q268" s="393"/>
      <c r="R268" s="393"/>
      <c r="S268" s="393"/>
      <c r="T268" s="393"/>
      <c r="U268" s="393"/>
      <c r="V268" s="395" t="s">
        <v>20</v>
      </c>
      <c r="W268" s="436">
        <v>204</v>
      </c>
      <c r="X268" s="436">
        <v>204</v>
      </c>
      <c r="Y268" s="437">
        <v>204</v>
      </c>
      <c r="Z268" s="437">
        <v>204</v>
      </c>
      <c r="AA268" s="437">
        <v>204</v>
      </c>
      <c r="AB268" s="437">
        <v>204</v>
      </c>
      <c r="AC268" s="395"/>
      <c r="AD268" s="395"/>
      <c r="AE268" s="395"/>
      <c r="AF268" s="395"/>
      <c r="AG268" s="395"/>
      <c r="AU268" s="212"/>
      <c r="BB268" s="213">
        <f>(BD268)/(BE268)</f>
        <v>53.365598107834487</v>
      </c>
      <c r="BC268" s="367" t="str">
        <f>CONCATENATE(G268," ",J268," Year EUL")</f>
        <v>Cooling RES 12 Year EUL</v>
      </c>
      <c r="BD268" s="214">
        <f>(INDEX('Avoided Cost Benefits'!$C$4:$C$857,MATCH(BC268,'Avoided Cost Benefits'!$A$4:$A$857,0)))*F268</f>
        <v>251.84331339232884</v>
      </c>
      <c r="BE268" s="109">
        <f>K268/(1.0595^(2020-2019))</f>
        <v>4.7192071731949028</v>
      </c>
    </row>
    <row r="269" spans="1:57" outlineLevel="1" x14ac:dyDescent="0.25">
      <c r="M269" s="1643"/>
      <c r="N269" s="1643"/>
      <c r="O269" s="1643"/>
      <c r="AU269" s="212"/>
    </row>
    <row r="270" spans="1:57" outlineLevel="1" x14ac:dyDescent="0.25">
      <c r="C270" s="438"/>
      <c r="D270" s="222" t="s">
        <v>571</v>
      </c>
      <c r="E270" s="439"/>
      <c r="F270" s="306"/>
      <c r="G270" s="306"/>
      <c r="M270" s="1643"/>
      <c r="N270" s="1643"/>
      <c r="O270" s="1643"/>
      <c r="AU270" s="212"/>
    </row>
    <row r="271" spans="1:57" outlineLevel="1" x14ac:dyDescent="0.25">
      <c r="C271" s="438"/>
      <c r="D271" s="439"/>
      <c r="E271" s="439"/>
      <c r="F271" s="306"/>
      <c r="G271" s="306"/>
      <c r="M271" s="1643"/>
      <c r="N271" s="1643"/>
      <c r="O271" s="1643"/>
      <c r="AU271" s="212"/>
    </row>
    <row r="272" spans="1:57" outlineLevel="1" x14ac:dyDescent="0.25">
      <c r="C272" s="438"/>
      <c r="D272" s="439"/>
      <c r="E272" s="439"/>
      <c r="F272" s="306"/>
      <c r="G272" s="306"/>
      <c r="M272" s="1643"/>
      <c r="N272" s="1643"/>
      <c r="O272" s="1643"/>
      <c r="AU272" s="212"/>
    </row>
    <row r="273" spans="1:47" outlineLevel="1" x14ac:dyDescent="0.25">
      <c r="M273" s="1643"/>
      <c r="N273" s="1643"/>
      <c r="O273" s="1643"/>
      <c r="AU273" s="212"/>
    </row>
    <row r="274" spans="1:47" ht="15.75" outlineLevel="1" thickBot="1" x14ac:dyDescent="0.3">
      <c r="D274" s="440" t="s">
        <v>572</v>
      </c>
      <c r="E274" s="441" t="s">
        <v>573</v>
      </c>
      <c r="F274" s="442" t="s">
        <v>623</v>
      </c>
      <c r="G274" s="442" t="s">
        <v>574</v>
      </c>
      <c r="H274" s="2034" t="s">
        <v>804</v>
      </c>
      <c r="M274" s="194"/>
      <c r="N274" s="194"/>
      <c r="O274" s="1643"/>
      <c r="V274" s="55" t="s">
        <v>27</v>
      </c>
      <c r="W274" s="56">
        <v>43252</v>
      </c>
      <c r="X274" s="56">
        <f>$X$6</f>
        <v>43465</v>
      </c>
      <c r="Y274" s="56">
        <f>$Y$6</f>
        <v>43800</v>
      </c>
      <c r="Z274" s="56">
        <f>$Z$6</f>
        <v>43862</v>
      </c>
      <c r="AA274" s="56">
        <f>$AA$6</f>
        <v>44013</v>
      </c>
      <c r="AB274" s="56">
        <f>$AB$6</f>
        <v>44166</v>
      </c>
      <c r="AC274" s="56" t="str">
        <f>$AC$6</f>
        <v>-</v>
      </c>
      <c r="AD274" s="56" t="str">
        <f>$AD$6</f>
        <v>-</v>
      </c>
      <c r="AE274" s="56" t="str">
        <f>$AE$6</f>
        <v>-</v>
      </c>
      <c r="AF274" s="56" t="str">
        <f>$AF$6</f>
        <v>-</v>
      </c>
      <c r="AG274" s="56" t="str">
        <f>$AG$6</f>
        <v>-</v>
      </c>
      <c r="AU274" s="212"/>
    </row>
    <row r="275" spans="1:47" ht="31.5" customHeight="1" outlineLevel="1" x14ac:dyDescent="0.25">
      <c r="D275" s="3458" t="s">
        <v>825</v>
      </c>
      <c r="E275" s="3461" t="s">
        <v>826</v>
      </c>
      <c r="F275" s="443" t="s">
        <v>827</v>
      </c>
      <c r="G275" s="443">
        <v>322</v>
      </c>
      <c r="H275" s="443" t="s">
        <v>828</v>
      </c>
      <c r="M275" s="1652"/>
      <c r="N275" s="1652"/>
      <c r="O275" s="1643"/>
      <c r="V275" s="3464" t="s">
        <v>829</v>
      </c>
      <c r="W275" s="2974">
        <v>322</v>
      </c>
      <c r="X275" s="2974">
        <v>322</v>
      </c>
      <c r="Y275" s="2974">
        <v>322</v>
      </c>
      <c r="Z275" s="2975">
        <v>322</v>
      </c>
      <c r="AA275" s="2975">
        <v>322</v>
      </c>
      <c r="AB275" s="2975">
        <v>322</v>
      </c>
      <c r="AC275" s="2974"/>
      <c r="AD275" s="2974"/>
      <c r="AE275" s="2974"/>
      <c r="AF275" s="2974"/>
      <c r="AG275" s="2974"/>
      <c r="AU275" s="212"/>
    </row>
    <row r="276" spans="1:47" outlineLevel="1" x14ac:dyDescent="0.25">
      <c r="D276" s="3459"/>
      <c r="E276" s="3462"/>
      <c r="F276" s="137" t="s">
        <v>830</v>
      </c>
      <c r="G276" s="137">
        <v>482</v>
      </c>
      <c r="H276" s="137" t="s">
        <v>828</v>
      </c>
      <c r="M276" s="1652"/>
      <c r="N276" s="1652"/>
      <c r="O276" s="1643"/>
      <c r="V276" s="3465"/>
      <c r="W276" s="568">
        <v>482</v>
      </c>
      <c r="X276" s="568">
        <v>482</v>
      </c>
      <c r="Y276" s="568">
        <v>482</v>
      </c>
      <c r="Z276" s="549">
        <v>482</v>
      </c>
      <c r="AA276" s="549">
        <v>482</v>
      </c>
      <c r="AB276" s="549">
        <v>482</v>
      </c>
      <c r="AC276" s="568"/>
      <c r="AD276" s="568"/>
      <c r="AE276" s="568"/>
      <c r="AF276" s="568"/>
      <c r="AG276" s="568"/>
      <c r="AU276" s="212"/>
    </row>
    <row r="277" spans="1:47" outlineLevel="1" x14ac:dyDescent="0.25">
      <c r="D277" s="3459"/>
      <c r="E277" s="3462"/>
      <c r="F277" s="137" t="s">
        <v>831</v>
      </c>
      <c r="G277" s="137">
        <v>643</v>
      </c>
      <c r="H277" s="137" t="s">
        <v>832</v>
      </c>
      <c r="M277" s="1652"/>
      <c r="N277" s="1652"/>
      <c r="O277" s="1643"/>
      <c r="V277" s="3465"/>
      <c r="W277" s="568">
        <v>643</v>
      </c>
      <c r="X277" s="568">
        <v>643</v>
      </c>
      <c r="Y277" s="568">
        <v>643</v>
      </c>
      <c r="Z277" s="549">
        <v>643</v>
      </c>
      <c r="AA277" s="549">
        <v>643</v>
      </c>
      <c r="AB277" s="549">
        <v>643</v>
      </c>
      <c r="AC277" s="568"/>
      <c r="AD277" s="568"/>
      <c r="AE277" s="568"/>
      <c r="AF277" s="568"/>
      <c r="AG277" s="568"/>
      <c r="AU277" s="212"/>
    </row>
    <row r="278" spans="1:47" outlineLevel="1" x14ac:dyDescent="0.25">
      <c r="D278" s="3459"/>
      <c r="E278" s="3462"/>
      <c r="F278" s="137" t="s">
        <v>833</v>
      </c>
      <c r="G278" s="137">
        <v>804</v>
      </c>
      <c r="H278" s="137" t="s">
        <v>834</v>
      </c>
      <c r="M278" s="1652"/>
      <c r="N278" s="1652"/>
      <c r="O278" s="1643"/>
      <c r="V278" s="3465"/>
      <c r="W278" s="568">
        <v>804</v>
      </c>
      <c r="X278" s="568">
        <v>804</v>
      </c>
      <c r="Y278" s="568">
        <v>804</v>
      </c>
      <c r="Z278" s="549">
        <v>804</v>
      </c>
      <c r="AA278" s="549">
        <v>804</v>
      </c>
      <c r="AB278" s="549">
        <v>804</v>
      </c>
      <c r="AC278" s="568"/>
      <c r="AD278" s="568"/>
      <c r="AE278" s="568"/>
      <c r="AF278" s="568"/>
      <c r="AG278" s="568"/>
      <c r="AU278" s="212"/>
    </row>
    <row r="279" spans="1:47" outlineLevel="1" x14ac:dyDescent="0.25">
      <c r="D279" s="3459"/>
      <c r="E279" s="3462"/>
      <c r="F279" s="137" t="s">
        <v>835</v>
      </c>
      <c r="G279" s="444">
        <v>1045</v>
      </c>
      <c r="H279" s="137" t="s">
        <v>836</v>
      </c>
      <c r="M279" s="1653"/>
      <c r="N279" s="1653"/>
      <c r="O279" s="1643"/>
      <c r="V279" s="3465"/>
      <c r="W279" s="577">
        <v>1045</v>
      </c>
      <c r="X279" s="577">
        <v>1045</v>
      </c>
      <c r="Y279" s="577">
        <v>1045</v>
      </c>
      <c r="Z279" s="599">
        <v>1045</v>
      </c>
      <c r="AA279" s="599">
        <v>1045</v>
      </c>
      <c r="AB279" s="599">
        <v>1045</v>
      </c>
      <c r="AC279" s="577"/>
      <c r="AD279" s="577"/>
      <c r="AE279" s="577"/>
      <c r="AF279" s="577"/>
      <c r="AG279" s="577"/>
      <c r="AU279" s="212"/>
    </row>
    <row r="280" spans="1:47" ht="15.75" outlineLevel="1" thickBot="1" x14ac:dyDescent="0.3">
      <c r="D280" s="3460"/>
      <c r="E280" s="3463"/>
      <c r="F280" s="445" t="s">
        <v>837</v>
      </c>
      <c r="G280" s="446">
        <v>1493</v>
      </c>
      <c r="H280" s="445" t="s">
        <v>838</v>
      </c>
      <c r="M280" s="1653"/>
      <c r="N280" s="1653"/>
      <c r="O280" s="1643"/>
      <c r="V280" s="3466"/>
      <c r="W280" s="2976">
        <v>1493</v>
      </c>
      <c r="X280" s="2976">
        <v>1493</v>
      </c>
      <c r="Y280" s="2976">
        <v>1493</v>
      </c>
      <c r="Z280" s="2977">
        <v>1493</v>
      </c>
      <c r="AA280" s="2977">
        <v>1493</v>
      </c>
      <c r="AB280" s="2977">
        <v>1493</v>
      </c>
      <c r="AC280" s="2976"/>
      <c r="AD280" s="2976"/>
      <c r="AE280" s="2976"/>
      <c r="AF280" s="2976"/>
      <c r="AG280" s="2976"/>
      <c r="AU280" s="212"/>
    </row>
    <row r="281" spans="1:47" ht="15" customHeight="1" outlineLevel="1" x14ac:dyDescent="0.25">
      <c r="D281" s="3458" t="s">
        <v>829</v>
      </c>
      <c r="E281" s="3461" t="s">
        <v>839</v>
      </c>
      <c r="F281" s="443" t="s">
        <v>827</v>
      </c>
      <c r="G281" s="443">
        <v>477</v>
      </c>
      <c r="H281" s="443" t="s">
        <v>840</v>
      </c>
      <c r="M281" s="1652"/>
      <c r="N281" s="1652"/>
      <c r="O281" s="1643"/>
      <c r="V281" s="3464" t="s">
        <v>825</v>
      </c>
      <c r="W281" s="2978">
        <v>477</v>
      </c>
      <c r="X281" s="2978">
        <v>477</v>
      </c>
      <c r="Y281" s="2978">
        <v>477</v>
      </c>
      <c r="Z281" s="2979">
        <v>477</v>
      </c>
      <c r="AA281" s="2979">
        <v>477</v>
      </c>
      <c r="AB281" s="2979">
        <v>477</v>
      </c>
      <c r="AC281" s="2978"/>
      <c r="AD281" s="2978"/>
      <c r="AE281" s="2978"/>
      <c r="AF281" s="2978"/>
      <c r="AG281" s="2978"/>
      <c r="AU281" s="212"/>
    </row>
    <row r="282" spans="1:47" outlineLevel="1" x14ac:dyDescent="0.25">
      <c r="D282" s="3459"/>
      <c r="E282" s="3462"/>
      <c r="F282" s="137" t="s">
        <v>830</v>
      </c>
      <c r="G282" s="137">
        <v>714</v>
      </c>
      <c r="H282" s="137" t="s">
        <v>840</v>
      </c>
      <c r="M282" s="1652"/>
      <c r="N282" s="1652"/>
      <c r="O282" s="1643"/>
      <c r="V282" s="3465"/>
      <c r="W282" s="2980">
        <v>714</v>
      </c>
      <c r="X282" s="2980">
        <v>714</v>
      </c>
      <c r="Y282" s="2980">
        <v>714</v>
      </c>
      <c r="Z282" s="2981">
        <v>714</v>
      </c>
      <c r="AA282" s="2981">
        <v>714</v>
      </c>
      <c r="AB282" s="2981">
        <v>714</v>
      </c>
      <c r="AC282" s="2980"/>
      <c r="AD282" s="2980"/>
      <c r="AE282" s="2980"/>
      <c r="AF282" s="2980"/>
      <c r="AG282" s="2980"/>
      <c r="AU282" s="212"/>
    </row>
    <row r="283" spans="1:47" outlineLevel="1" x14ac:dyDescent="0.25">
      <c r="D283" s="3459"/>
      <c r="E283" s="3462"/>
      <c r="F283" s="137" t="s">
        <v>831</v>
      </c>
      <c r="G283" s="137">
        <v>857</v>
      </c>
      <c r="H283" s="137" t="s">
        <v>840</v>
      </c>
      <c r="M283" s="1652"/>
      <c r="N283" s="1652"/>
      <c r="O283" s="1643"/>
      <c r="V283" s="3465"/>
      <c r="W283" s="2980">
        <v>857</v>
      </c>
      <c r="X283" s="2980">
        <v>857</v>
      </c>
      <c r="Y283" s="2980">
        <v>857</v>
      </c>
      <c r="Z283" s="2981">
        <v>857</v>
      </c>
      <c r="AA283" s="2981">
        <v>857</v>
      </c>
      <c r="AB283" s="2981">
        <v>857</v>
      </c>
      <c r="AC283" s="2980"/>
      <c r="AD283" s="2980"/>
      <c r="AE283" s="2980"/>
      <c r="AF283" s="2980"/>
      <c r="AG283" s="2980"/>
      <c r="AU283" s="212"/>
    </row>
    <row r="284" spans="1:47" outlineLevel="1" x14ac:dyDescent="0.25">
      <c r="D284" s="3459"/>
      <c r="E284" s="3462"/>
      <c r="F284" s="137" t="s">
        <v>833</v>
      </c>
      <c r="G284" s="137">
        <v>1005</v>
      </c>
      <c r="H284" s="137" t="s">
        <v>840</v>
      </c>
      <c r="M284" s="1652"/>
      <c r="N284" s="1652"/>
      <c r="O284" s="1643"/>
      <c r="V284" s="3465"/>
      <c r="W284" s="2980">
        <v>1005</v>
      </c>
      <c r="X284" s="2980">
        <v>1005</v>
      </c>
      <c r="Y284" s="2980">
        <v>1005</v>
      </c>
      <c r="Z284" s="2981">
        <v>1005</v>
      </c>
      <c r="AA284" s="2981">
        <v>1005</v>
      </c>
      <c r="AB284" s="2981">
        <v>1005</v>
      </c>
      <c r="AC284" s="2980"/>
      <c r="AD284" s="2980"/>
      <c r="AE284" s="2980"/>
      <c r="AF284" s="2980"/>
      <c r="AG284" s="2980"/>
      <c r="AU284" s="212"/>
    </row>
    <row r="285" spans="1:47" outlineLevel="1" x14ac:dyDescent="0.25">
      <c r="D285" s="3459"/>
      <c r="E285" s="3462"/>
      <c r="F285" s="137" t="s">
        <v>835</v>
      </c>
      <c r="G285" s="444">
        <v>1229</v>
      </c>
      <c r="H285" s="137" t="s">
        <v>840</v>
      </c>
      <c r="M285" s="1653"/>
      <c r="N285" s="1653"/>
      <c r="O285" s="1643"/>
      <c r="V285" s="3465"/>
      <c r="W285" s="2982">
        <v>1229</v>
      </c>
      <c r="X285" s="2982">
        <v>1229</v>
      </c>
      <c r="Y285" s="2982">
        <v>1229</v>
      </c>
      <c r="Z285" s="2983">
        <v>1229</v>
      </c>
      <c r="AA285" s="2983">
        <v>1229</v>
      </c>
      <c r="AB285" s="2983">
        <v>1229</v>
      </c>
      <c r="AC285" s="2982"/>
      <c r="AD285" s="2982"/>
      <c r="AE285" s="2982"/>
      <c r="AF285" s="2982"/>
      <c r="AG285" s="2982"/>
      <c r="AU285" s="212"/>
    </row>
    <row r="286" spans="1:47" ht="15.75" outlineLevel="1" thickBot="1" x14ac:dyDescent="0.3">
      <c r="D286" s="3460"/>
      <c r="E286" s="3467"/>
      <c r="F286" s="447" t="s">
        <v>837</v>
      </c>
      <c r="G286" s="448">
        <v>1672</v>
      </c>
      <c r="H286" s="447" t="s">
        <v>841</v>
      </c>
      <c r="M286" s="1653"/>
      <c r="N286" s="1653"/>
      <c r="O286" s="1643"/>
      <c r="V286" s="3466"/>
      <c r="W286" s="2984">
        <v>1672</v>
      </c>
      <c r="X286" s="2984">
        <v>1672</v>
      </c>
      <c r="Y286" s="2984">
        <v>1672</v>
      </c>
      <c r="Z286" s="2985">
        <v>1672</v>
      </c>
      <c r="AA286" s="2985">
        <v>1672</v>
      </c>
      <c r="AB286" s="2985">
        <v>1672</v>
      </c>
      <c r="AC286" s="2984"/>
      <c r="AD286" s="2984"/>
      <c r="AE286" s="2984"/>
      <c r="AF286" s="2984"/>
      <c r="AG286" s="2984"/>
      <c r="AU286" s="212"/>
    </row>
    <row r="287" spans="1:47" ht="45" outlineLevel="1" x14ac:dyDescent="0.25">
      <c r="D287" s="2043" t="s">
        <v>842</v>
      </c>
      <c r="E287" s="2040" t="s">
        <v>843</v>
      </c>
      <c r="F287" s="2041"/>
      <c r="G287" s="2041">
        <v>204</v>
      </c>
      <c r="H287" s="2041"/>
      <c r="M287" s="1652"/>
      <c r="N287" s="1652"/>
      <c r="O287" s="1643"/>
      <c r="V287" s="2923" t="s">
        <v>842</v>
      </c>
      <c r="W287" s="2986">
        <v>204</v>
      </c>
      <c r="X287" s="2986">
        <v>204</v>
      </c>
      <c r="Y287" s="2986">
        <v>204</v>
      </c>
      <c r="Z287" s="2987">
        <v>204</v>
      </c>
      <c r="AA287" s="2987">
        <v>204</v>
      </c>
      <c r="AB287" s="2987">
        <v>204</v>
      </c>
      <c r="AC287" s="2986"/>
      <c r="AD287" s="2986"/>
      <c r="AE287" s="2986"/>
      <c r="AF287" s="2986"/>
      <c r="AG287" s="2986"/>
      <c r="AU287" s="212"/>
    </row>
    <row r="288" spans="1:47" ht="15" customHeight="1" outlineLevel="1" x14ac:dyDescent="0.25">
      <c r="A288" s="406"/>
      <c r="B288" s="406"/>
      <c r="C288" s="196"/>
      <c r="D288" s="2043" t="str">
        <f>$D$50</f>
        <v>EUL</v>
      </c>
      <c r="E288" s="2043" t="str">
        <f>$E$50</f>
        <v>Effective Useful Life</v>
      </c>
      <c r="F288" s="450" t="s">
        <v>37</v>
      </c>
      <c r="G288" s="451">
        <v>12</v>
      </c>
      <c r="H288" s="450"/>
      <c r="I288" s="406"/>
      <c r="J288" s="406"/>
      <c r="K288" s="406"/>
      <c r="L288" s="406"/>
      <c r="V288" s="378" t="str">
        <f>D288</f>
        <v>EUL</v>
      </c>
      <c r="W288" s="2971">
        <v>12</v>
      </c>
      <c r="X288" s="2971">
        <v>12</v>
      </c>
      <c r="Y288" s="2971">
        <v>12</v>
      </c>
      <c r="Z288" s="2971">
        <v>12</v>
      </c>
      <c r="AA288" s="2971">
        <v>12</v>
      </c>
      <c r="AB288" s="2971">
        <v>12</v>
      </c>
      <c r="AC288" s="2971"/>
      <c r="AD288" s="2971"/>
      <c r="AE288" s="2971"/>
      <c r="AF288" s="2971"/>
      <c r="AG288" s="2971"/>
      <c r="AU288" s="212"/>
    </row>
    <row r="289" spans="1:57" ht="15" customHeight="1" outlineLevel="1" x14ac:dyDescent="0.25">
      <c r="A289" s="406"/>
      <c r="B289" s="406"/>
      <c r="C289" s="196"/>
      <c r="D289" s="2043" t="str">
        <f>$D$51</f>
        <v>Inc. Cost</v>
      </c>
      <c r="E289" s="2043" t="str">
        <f>$E$51</f>
        <v>Incremental Cost ($)</v>
      </c>
      <c r="F289" s="450" t="s">
        <v>37</v>
      </c>
      <c r="G289" s="430">
        <v>5</v>
      </c>
      <c r="H289" s="450"/>
      <c r="I289" s="406"/>
      <c r="J289" s="406"/>
      <c r="K289" s="406"/>
      <c r="L289" s="406"/>
      <c r="V289" s="378" t="str">
        <f>D289</f>
        <v>Inc. Cost</v>
      </c>
      <c r="W289" s="2972">
        <v>5</v>
      </c>
      <c r="X289" s="2972">
        <v>5</v>
      </c>
      <c r="Y289" s="2972">
        <v>5</v>
      </c>
      <c r="Z289" s="2973">
        <v>5</v>
      </c>
      <c r="AA289" s="2973">
        <v>5</v>
      </c>
      <c r="AB289" s="2973">
        <v>5</v>
      </c>
      <c r="AC289" s="2972"/>
      <c r="AD289" s="2972"/>
      <c r="AE289" s="2972"/>
      <c r="AF289" s="2972"/>
      <c r="AG289" s="2972"/>
      <c r="AU289" s="212"/>
    </row>
    <row r="290" spans="1:57" x14ac:dyDescent="0.25">
      <c r="D290" s="452"/>
      <c r="E290" s="452"/>
      <c r="F290" s="453"/>
      <c r="G290" s="453"/>
      <c r="H290" s="453"/>
      <c r="Y290" s="272" t="s">
        <v>802</v>
      </c>
      <c r="AU290" s="212"/>
    </row>
    <row r="291" spans="1:57" x14ac:dyDescent="0.25">
      <c r="AU291" s="212"/>
    </row>
    <row r="292" spans="1:57" x14ac:dyDescent="0.25">
      <c r="B292" s="3350" t="s">
        <v>844</v>
      </c>
      <c r="C292" s="3351"/>
      <c r="D292" s="3351"/>
      <c r="E292" s="3351"/>
      <c r="F292" s="3351"/>
      <c r="G292" s="3351"/>
      <c r="H292" s="3351"/>
      <c r="I292" s="3352"/>
      <c r="J292" s="3352"/>
      <c r="K292" s="3352"/>
      <c r="L292" s="3352"/>
      <c r="M292" s="3352"/>
      <c r="N292" s="3352"/>
      <c r="O292" s="3353"/>
      <c r="V292" s="3350" t="str">
        <f>B292</f>
        <v>Energy Star Room AC</v>
      </c>
      <c r="W292" s="3351"/>
      <c r="X292" s="3351"/>
      <c r="Y292" s="3351"/>
      <c r="Z292" s="3351"/>
      <c r="AA292" s="3351"/>
      <c r="AB292" s="3351"/>
      <c r="AC292" s="3354"/>
      <c r="AD292" s="3354"/>
      <c r="AE292" s="3354"/>
      <c r="AF292" s="3354"/>
      <c r="AG292" s="3354"/>
      <c r="AH292" s="3354"/>
      <c r="AI292" s="3355"/>
      <c r="AU292" s="212"/>
    </row>
    <row r="293" spans="1:57" x14ac:dyDescent="0.25">
      <c r="B293" s="157"/>
      <c r="C293" s="385"/>
      <c r="D293" s="386"/>
      <c r="E293" s="386"/>
      <c r="F293" s="157"/>
      <c r="G293" s="157"/>
      <c r="H293" s="157"/>
      <c r="I293" s="157"/>
      <c r="J293" s="157"/>
      <c r="K293" s="157"/>
      <c r="L293" s="157"/>
      <c r="M293" s="157"/>
      <c r="N293" s="157"/>
      <c r="O293" s="157"/>
      <c r="AU293" s="212"/>
    </row>
    <row r="294" spans="1:57" ht="30" x14ac:dyDescent="0.25">
      <c r="B294" s="1480"/>
      <c r="C294" s="2029" t="s">
        <v>17</v>
      </c>
      <c r="D294" s="2029" t="s">
        <v>616</v>
      </c>
      <c r="E294" s="2029" t="s">
        <v>19</v>
      </c>
      <c r="F294" s="2029" t="s">
        <v>20</v>
      </c>
      <c r="G294" s="2029" t="s">
        <v>21</v>
      </c>
      <c r="H294" s="2029" t="s">
        <v>22</v>
      </c>
      <c r="I294" s="2029" t="s">
        <v>23</v>
      </c>
      <c r="J294" s="2029" t="s">
        <v>24</v>
      </c>
      <c r="K294" s="2029" t="s">
        <v>25</v>
      </c>
      <c r="L294" s="2029" t="s">
        <v>26</v>
      </c>
      <c r="M294" s="277"/>
      <c r="N294" s="277"/>
      <c r="O294" s="1480"/>
      <c r="V294" s="55" t="s">
        <v>27</v>
      </c>
      <c r="W294" s="56">
        <v>43252</v>
      </c>
      <c r="X294" s="56">
        <f>$X$6</f>
        <v>43465</v>
      </c>
      <c r="Y294" s="56">
        <f>$Y$6</f>
        <v>43800</v>
      </c>
      <c r="Z294" s="56">
        <f>$Z$6</f>
        <v>43862</v>
      </c>
      <c r="AA294" s="56">
        <f>$AA$6</f>
        <v>44013</v>
      </c>
      <c r="AB294" s="56">
        <f>$AB$6</f>
        <v>44166</v>
      </c>
      <c r="AC294" s="56" t="str">
        <f>$AC$6</f>
        <v>-</v>
      </c>
      <c r="AD294" s="56" t="str">
        <f>$AD$6</f>
        <v>-</v>
      </c>
      <c r="AE294" s="56" t="str">
        <f>$AE$6</f>
        <v>-</v>
      </c>
      <c r="AF294" s="56" t="str">
        <f>$AF$6</f>
        <v>-</v>
      </c>
      <c r="AG294" s="56" t="str">
        <f>$AG$6</f>
        <v>-</v>
      </c>
      <c r="AU294" s="212"/>
      <c r="BB294" s="93" t="str">
        <f>$BB$6</f>
        <v>TRC (2020)</v>
      </c>
      <c r="BC294" s="93" t="str">
        <f>$BC$6</f>
        <v>Benefit Lookup</v>
      </c>
      <c r="BD294" s="279" t="str">
        <f>$BD$6</f>
        <v>Benefits (2019 $)</v>
      </c>
      <c r="BE294" s="279" t="str">
        <f>$BE$6</f>
        <v>Incremental Cost (2019 $)</v>
      </c>
    </row>
    <row r="295" spans="1:57" s="454" customFormat="1" x14ac:dyDescent="0.25">
      <c r="A295" s="272"/>
      <c r="B295" s="198"/>
      <c r="C295" s="398" t="s">
        <v>845</v>
      </c>
      <c r="D295" s="2134" t="s">
        <v>621</v>
      </c>
      <c r="E295" s="201" t="s">
        <v>3220</v>
      </c>
      <c r="F295" s="455">
        <f>ROUND((F310*F306*(1/F307-1/F308)/1000)*F313,2)</f>
        <v>49.46</v>
      </c>
      <c r="G295" s="2044" t="s">
        <v>690</v>
      </c>
      <c r="H295" s="202">
        <f>VLOOKUP(G295,'CP FACTORS'!$A$3:$B$38, 2, FALSE)</f>
        <v>9.4741810000000004E-4</v>
      </c>
      <c r="I295" s="283">
        <f>ROUND(H295*F295,6)</f>
        <v>4.6858999999999998E-2</v>
      </c>
      <c r="J295" s="382">
        <f>$F$314</f>
        <v>9</v>
      </c>
      <c r="K295" s="1286">
        <f>$F$315</f>
        <v>20</v>
      </c>
      <c r="L295" s="253" t="s">
        <v>37</v>
      </c>
      <c r="M295" s="272"/>
      <c r="N295" s="1626"/>
      <c r="O295" s="1249"/>
      <c r="P295" s="272"/>
      <c r="Q295" s="272"/>
      <c r="R295" s="1627"/>
      <c r="S295" s="272"/>
      <c r="T295" s="272"/>
      <c r="U295" s="272"/>
      <c r="V295" s="457" t="s">
        <v>20</v>
      </c>
      <c r="W295" s="458">
        <v>39.971901865754226</v>
      </c>
      <c r="X295" s="382">
        <v>48.514633185797841</v>
      </c>
      <c r="Y295" s="459">
        <v>49.46</v>
      </c>
      <c r="Z295" s="2578">
        <v>49.46</v>
      </c>
      <c r="AA295" s="2578">
        <v>49.46</v>
      </c>
      <c r="AB295" s="2578">
        <v>49.46</v>
      </c>
      <c r="AC295" s="457"/>
      <c r="AD295" s="457"/>
      <c r="AE295" s="457"/>
      <c r="AF295" s="457"/>
      <c r="AG295" s="457"/>
      <c r="AH295" s="211"/>
      <c r="AI295" s="128"/>
      <c r="AJ295" s="128"/>
      <c r="AK295" s="128"/>
      <c r="AL295" s="128"/>
      <c r="AM295" s="128"/>
      <c r="AN295" s="128"/>
      <c r="AO295" s="128"/>
      <c r="AP295" s="128"/>
      <c r="AQ295" s="128"/>
      <c r="AR295" s="128"/>
      <c r="AS295" s="128"/>
      <c r="AU295" s="212"/>
      <c r="BB295" s="288">
        <f>(BD295)/(BE295)</f>
        <v>2.3992673568852143</v>
      </c>
      <c r="BC295" s="280" t="str">
        <f>CONCATENATE(G295," ",J295," Year EUL")</f>
        <v>Cooling RES 9 Year EUL</v>
      </c>
      <c r="BD295" s="145">
        <f>(INDEX('Avoided Cost Benefits'!$C$4:$C$857,MATCH(BC295,'Avoided Cost Benefits'!$A$4:$A$857,0)))*F295</f>
        <v>45.290558884100314</v>
      </c>
      <c r="BE295" s="69">
        <f>K295/(1.0595^(2020-2019))</f>
        <v>18.876828692779611</v>
      </c>
    </row>
    <row r="296" spans="1:57" s="454" customFormat="1" x14ac:dyDescent="0.25">
      <c r="A296" s="272"/>
      <c r="B296" s="198"/>
      <c r="C296" s="398" t="s">
        <v>846</v>
      </c>
      <c r="D296" s="2134" t="s">
        <v>621</v>
      </c>
      <c r="E296" s="201" t="s">
        <v>3221</v>
      </c>
      <c r="F296" s="455">
        <f>ROUND((F310*F306*(1/F307-1/F308)/1000),2)</f>
        <v>50.74</v>
      </c>
      <c r="G296" s="2044" t="s">
        <v>690</v>
      </c>
      <c r="H296" s="202">
        <f>VLOOKUP(G296,'CP FACTORS'!$A$3:$B$38, 2, FALSE)</f>
        <v>9.4741810000000004E-4</v>
      </c>
      <c r="I296" s="283">
        <f>ROUND(H296*F296,6)</f>
        <v>4.8071999999999997E-2</v>
      </c>
      <c r="J296" s="382">
        <f>$F$314</f>
        <v>9</v>
      </c>
      <c r="K296" s="1286">
        <f>$F$315</f>
        <v>20</v>
      </c>
      <c r="L296" s="253" t="s">
        <v>37</v>
      </c>
      <c r="M296" s="272"/>
      <c r="N296" s="1626"/>
      <c r="O296" s="1249"/>
      <c r="P296" s="272"/>
      <c r="Q296" s="272"/>
      <c r="R296" s="1627"/>
      <c r="S296" s="272"/>
      <c r="T296" s="272"/>
      <c r="U296" s="272"/>
      <c r="V296" s="457" t="s">
        <v>20</v>
      </c>
      <c r="W296" s="458">
        <v>40.971199412398086</v>
      </c>
      <c r="X296" s="382">
        <v>49.727499015442788</v>
      </c>
      <c r="Y296" s="459">
        <v>50.74</v>
      </c>
      <c r="Z296" s="2578">
        <v>50.74</v>
      </c>
      <c r="AA296" s="2578">
        <v>50.74</v>
      </c>
      <c r="AB296" s="2578">
        <v>50.74</v>
      </c>
      <c r="AC296" s="457"/>
      <c r="AD296" s="457"/>
      <c r="AE296" s="457"/>
      <c r="AF296" s="457"/>
      <c r="AG296" s="457"/>
      <c r="AH296" s="211"/>
      <c r="AI296" s="128"/>
      <c r="AJ296" s="128"/>
      <c r="AK296" s="128"/>
      <c r="AL296" s="128"/>
      <c r="AM296" s="128"/>
      <c r="AN296" s="128"/>
      <c r="AO296" s="128"/>
      <c r="AP296" s="128"/>
      <c r="AQ296" s="128"/>
      <c r="AR296" s="128"/>
      <c r="AS296" s="128"/>
      <c r="AU296" s="212"/>
      <c r="BB296" s="366">
        <f>(BD296)/(BE296)</f>
        <v>2.4613591930520777</v>
      </c>
      <c r="BC296" s="367" t="str">
        <f>CONCATENATE(G296," ",J296," Year EUL")</f>
        <v>Cooling RES 9 Year EUL</v>
      </c>
      <c r="BD296" s="153">
        <f>(INDEX('Avoided Cost Benefits'!$C$4:$C$857,MATCH(BC296,'Avoided Cost Benefits'!$A$4:$A$857,0)))*F296</f>
        <v>46.462655838642334</v>
      </c>
      <c r="BE296" s="75">
        <f>K296/(1.0595^(2020-2019))</f>
        <v>18.876828692779611</v>
      </c>
    </row>
    <row r="297" spans="1:57" outlineLevel="1" x14ac:dyDescent="0.25">
      <c r="B297" s="463"/>
      <c r="C297" s="196"/>
      <c r="D297" s="228"/>
      <c r="E297" s="460"/>
      <c r="F297" s="461"/>
      <c r="G297" s="198"/>
      <c r="H297" s="198"/>
      <c r="I297" s="157"/>
      <c r="J297" s="157"/>
      <c r="K297" s="157"/>
      <c r="L297" s="1643"/>
      <c r="M297" s="1631"/>
      <c r="N297" s="1631"/>
      <c r="O297" s="463"/>
      <c r="AU297" s="212"/>
    </row>
    <row r="298" spans="1:57" outlineLevel="1" x14ac:dyDescent="0.25">
      <c r="B298" s="463"/>
      <c r="C298" s="196"/>
      <c r="D298" s="222" t="s">
        <v>571</v>
      </c>
      <c r="E298" s="462"/>
      <c r="F298" s="224"/>
      <c r="G298" s="198"/>
      <c r="H298" s="463"/>
      <c r="I298" s="157"/>
      <c r="J298" s="157"/>
      <c r="K298" s="157"/>
      <c r="L298" s="198"/>
      <c r="M298" s="1631"/>
      <c r="N298" s="1631"/>
      <c r="O298" s="463"/>
      <c r="AU298" s="212"/>
    </row>
    <row r="299" spans="1:57" outlineLevel="1" x14ac:dyDescent="0.25">
      <c r="B299" s="463"/>
      <c r="C299" s="196"/>
      <c r="D299" s="228"/>
      <c r="E299" s="464"/>
      <c r="F299" s="224"/>
      <c r="G299" s="198"/>
      <c r="H299" s="463"/>
      <c r="I299" s="157"/>
      <c r="J299" s="157"/>
      <c r="K299" s="157"/>
      <c r="L299" s="198"/>
      <c r="M299" s="1631"/>
      <c r="N299" s="1631"/>
      <c r="O299" s="463"/>
      <c r="AU299" s="212"/>
    </row>
    <row r="300" spans="1:57" outlineLevel="1" x14ac:dyDescent="0.25">
      <c r="B300" s="463"/>
      <c r="C300" s="196"/>
      <c r="D300" s="228"/>
      <c r="E300" s="228"/>
      <c r="F300" s="224"/>
      <c r="G300" s="198"/>
      <c r="H300" s="463"/>
      <c r="I300" s="157"/>
      <c r="J300" s="157"/>
      <c r="K300" s="157"/>
      <c r="L300" s="198"/>
      <c r="M300" s="1631"/>
      <c r="N300" s="1631"/>
      <c r="O300" s="463"/>
      <c r="AU300" s="212"/>
    </row>
    <row r="301" spans="1:57" outlineLevel="1" x14ac:dyDescent="0.25">
      <c r="B301" s="463"/>
      <c r="C301" s="196"/>
      <c r="D301" s="228"/>
      <c r="E301" s="228"/>
      <c r="F301" s="224"/>
      <c r="G301" s="198"/>
      <c r="H301" s="463"/>
      <c r="I301" s="157"/>
      <c r="J301" s="157"/>
      <c r="K301" s="157"/>
      <c r="L301" s="198"/>
      <c r="M301" s="1631"/>
      <c r="N301" s="1631"/>
      <c r="O301" s="463"/>
      <c r="AU301" s="212"/>
    </row>
    <row r="302" spans="1:57" outlineLevel="1" x14ac:dyDescent="0.25">
      <c r="B302" s="463"/>
      <c r="C302" s="196"/>
      <c r="D302" s="228"/>
      <c r="E302" s="228"/>
      <c r="F302" s="224"/>
      <c r="G302" s="198"/>
      <c r="H302" s="157"/>
      <c r="I302" s="157"/>
      <c r="J302" s="157"/>
      <c r="K302" s="157"/>
      <c r="L302" s="198"/>
      <c r="M302" s="1631"/>
      <c r="N302" s="1631"/>
      <c r="O302" s="463"/>
      <c r="AU302" s="212"/>
    </row>
    <row r="303" spans="1:57" outlineLevel="1" x14ac:dyDescent="0.25">
      <c r="B303" s="463"/>
      <c r="C303" s="196"/>
      <c r="D303" s="228"/>
      <c r="E303" s="228"/>
      <c r="F303" s="224"/>
      <c r="G303" s="198"/>
      <c r="H303" s="463"/>
      <c r="I303" s="198"/>
      <c r="J303" s="198"/>
      <c r="K303" s="198"/>
      <c r="L303" s="198"/>
      <c r="M303" s="1631"/>
      <c r="N303" s="1631"/>
      <c r="O303" s="463"/>
      <c r="AU303" s="212"/>
    </row>
    <row r="304" spans="1:57" outlineLevel="1" x14ac:dyDescent="0.25">
      <c r="B304" s="463"/>
      <c r="C304" s="196"/>
      <c r="D304" s="228"/>
      <c r="E304" s="228"/>
      <c r="F304" s="224"/>
      <c r="G304" s="198"/>
      <c r="H304" s="198"/>
      <c r="I304" s="198"/>
      <c r="J304" s="198"/>
      <c r="K304" s="198"/>
      <c r="L304" s="198"/>
      <c r="M304" s="1631"/>
      <c r="N304" s="1631"/>
      <c r="O304" s="463"/>
      <c r="V304" s="55" t="s">
        <v>27</v>
      </c>
      <c r="W304" s="56">
        <v>43252</v>
      </c>
      <c r="X304" s="56">
        <f>$X$6</f>
        <v>43465</v>
      </c>
      <c r="Y304" s="56">
        <f>$Y$6</f>
        <v>43800</v>
      </c>
      <c r="Z304" s="56">
        <f>$Z$6</f>
        <v>43862</v>
      </c>
      <c r="AA304" s="56">
        <f>$AA$6</f>
        <v>44013</v>
      </c>
      <c r="AB304" s="56">
        <f>$AB$6</f>
        <v>44166</v>
      </c>
      <c r="AC304" s="56" t="str">
        <f>$AC$6</f>
        <v>-</v>
      </c>
      <c r="AD304" s="56" t="str">
        <f>$AD$6</f>
        <v>-</v>
      </c>
      <c r="AE304" s="56" t="str">
        <f>$AE$6</f>
        <v>-</v>
      </c>
      <c r="AF304" s="56" t="str">
        <f>$AF$6</f>
        <v>-</v>
      </c>
      <c r="AG304" s="56" t="str">
        <f>$AG$6</f>
        <v>-</v>
      </c>
      <c r="AU304" s="212"/>
    </row>
    <row r="305" spans="1:47" ht="30" outlineLevel="1" x14ac:dyDescent="0.25">
      <c r="B305" s="463"/>
      <c r="C305" s="196"/>
      <c r="D305" s="2045" t="s">
        <v>573</v>
      </c>
      <c r="E305" s="2029" t="s">
        <v>847</v>
      </c>
      <c r="F305" s="2045" t="s">
        <v>848</v>
      </c>
      <c r="G305" s="3419" t="s">
        <v>804</v>
      </c>
      <c r="H305" s="3469"/>
      <c r="I305" s="3469"/>
      <c r="J305" s="198"/>
      <c r="K305" s="198"/>
      <c r="L305" s="198"/>
      <c r="M305" s="277"/>
      <c r="N305" s="277"/>
      <c r="O305" s="463"/>
      <c r="V305" s="78"/>
      <c r="W305" s="79" t="s">
        <v>849</v>
      </c>
      <c r="X305" s="79" t="s">
        <v>849</v>
      </c>
      <c r="Y305" s="79" t="s">
        <v>849</v>
      </c>
      <c r="Z305" s="79" t="s">
        <v>849</v>
      </c>
      <c r="AA305" s="79" t="s">
        <v>849</v>
      </c>
      <c r="AB305" s="79" t="s">
        <v>849</v>
      </c>
      <c r="AC305" s="79" t="s">
        <v>849</v>
      </c>
      <c r="AD305" s="79" t="s">
        <v>849</v>
      </c>
      <c r="AE305" s="79" t="s">
        <v>849</v>
      </c>
      <c r="AF305" s="79" t="s">
        <v>849</v>
      </c>
      <c r="AG305" s="79" t="s">
        <v>849</v>
      </c>
      <c r="AU305" s="212"/>
    </row>
    <row r="306" spans="1:47" outlineLevel="1" x14ac:dyDescent="0.25">
      <c r="B306" s="463"/>
      <c r="C306" s="196"/>
      <c r="D306" s="2030" t="s">
        <v>850</v>
      </c>
      <c r="E306" s="2030" t="s">
        <v>851</v>
      </c>
      <c r="F306" s="376">
        <v>10328.926572223787</v>
      </c>
      <c r="G306" s="3468"/>
      <c r="H306" s="3452"/>
      <c r="I306" s="3452"/>
      <c r="J306" s="198"/>
      <c r="K306" s="198"/>
      <c r="L306" s="198"/>
      <c r="O306" s="463"/>
      <c r="V306" s="381" t="s">
        <v>850</v>
      </c>
      <c r="W306" s="379">
        <v>9558.22711471611</v>
      </c>
      <c r="X306" s="466">
        <v>10322.173207292981</v>
      </c>
      <c r="Y306" s="466">
        <v>10328.926572223787</v>
      </c>
      <c r="Z306" s="376">
        <v>10328.926572223787</v>
      </c>
      <c r="AA306" s="376">
        <v>10328.926572223787</v>
      </c>
      <c r="AB306" s="376">
        <v>10328.926572223787</v>
      </c>
      <c r="AC306" s="332"/>
      <c r="AD306" s="332"/>
      <c r="AE306" s="332"/>
      <c r="AF306" s="332"/>
      <c r="AG306" s="332"/>
      <c r="AU306" s="212"/>
    </row>
    <row r="307" spans="1:47" ht="18" outlineLevel="1" x14ac:dyDescent="0.25">
      <c r="B307" s="463"/>
      <c r="C307" s="196"/>
      <c r="D307" s="2030" t="s">
        <v>852</v>
      </c>
      <c r="E307" s="2030" t="s">
        <v>853</v>
      </c>
      <c r="F307" s="376">
        <v>10.826666666666537</v>
      </c>
      <c r="G307" s="3468"/>
      <c r="H307" s="3452"/>
      <c r="I307" s="3452"/>
      <c r="J307" s="198"/>
      <c r="K307" s="198"/>
      <c r="L307" s="198"/>
      <c r="O307" s="463"/>
      <c r="V307" s="381" t="s">
        <v>854</v>
      </c>
      <c r="W307" s="379">
        <v>10.9</v>
      </c>
      <c r="X307" s="466">
        <v>10.833666904931999</v>
      </c>
      <c r="Y307" s="466">
        <v>10.826666666666537</v>
      </c>
      <c r="Z307" s="376">
        <v>10.826666666666537</v>
      </c>
      <c r="AA307" s="376">
        <v>10.826666666666537</v>
      </c>
      <c r="AB307" s="376">
        <v>10.826666666666537</v>
      </c>
      <c r="AC307" s="332"/>
      <c r="AD307" s="332"/>
      <c r="AE307" s="332"/>
      <c r="AF307" s="332"/>
      <c r="AG307" s="332"/>
      <c r="AU307" s="212"/>
    </row>
    <row r="308" spans="1:47" ht="46.5" customHeight="1" outlineLevel="1" x14ac:dyDescent="0.25">
      <c r="B308" s="463"/>
      <c r="C308" s="196"/>
      <c r="D308" s="2030" t="s">
        <v>855</v>
      </c>
      <c r="E308" s="2030" t="s">
        <v>856</v>
      </c>
      <c r="F308" s="467">
        <v>11.971947099252425</v>
      </c>
      <c r="G308" s="3468"/>
      <c r="H308" s="3452"/>
      <c r="I308" s="3452"/>
      <c r="J308" s="198"/>
      <c r="K308" s="198"/>
      <c r="L308" s="198"/>
      <c r="O308" s="463"/>
      <c r="V308" s="381" t="s">
        <v>857</v>
      </c>
      <c r="W308" s="379">
        <v>11.9</v>
      </c>
      <c r="X308" s="466">
        <v>11.955972333179155</v>
      </c>
      <c r="Y308" s="466">
        <v>11.971947099252425</v>
      </c>
      <c r="Z308" s="376">
        <v>11.971947099252425</v>
      </c>
      <c r="AA308" s="376">
        <v>11.971947099252425</v>
      </c>
      <c r="AB308" s="376">
        <v>11.971947099252425</v>
      </c>
      <c r="AC308" s="332"/>
      <c r="AD308" s="332"/>
      <c r="AE308" s="332"/>
      <c r="AF308" s="332"/>
      <c r="AG308" s="332"/>
      <c r="AU308" s="212"/>
    </row>
    <row r="309" spans="1:47" ht="46.5" customHeight="1" outlineLevel="1" x14ac:dyDescent="0.25">
      <c r="B309" s="463"/>
      <c r="C309" s="196"/>
      <c r="D309" s="2030" t="s">
        <v>858</v>
      </c>
      <c r="E309" s="2030"/>
      <c r="F309" s="467" t="s">
        <v>859</v>
      </c>
      <c r="G309" s="3468"/>
      <c r="H309" s="3452"/>
      <c r="I309" s="3452"/>
      <c r="J309" s="198"/>
      <c r="K309" s="198"/>
      <c r="L309" s="198"/>
      <c r="O309" s="463"/>
      <c r="V309" s="381" t="s">
        <v>860</v>
      </c>
      <c r="W309" s="379"/>
      <c r="X309" s="468"/>
      <c r="Y309" s="468"/>
      <c r="Z309" s="376"/>
      <c r="AA309" s="376"/>
      <c r="AB309" s="376"/>
      <c r="AC309" s="332"/>
      <c r="AD309" s="332"/>
      <c r="AE309" s="332"/>
      <c r="AF309" s="332"/>
      <c r="AG309" s="332"/>
      <c r="AU309" s="212"/>
    </row>
    <row r="310" spans="1:47" ht="45" customHeight="1" outlineLevel="1" x14ac:dyDescent="0.25">
      <c r="B310" s="1654"/>
      <c r="C310" s="469"/>
      <c r="D310" s="2030" t="s">
        <v>861</v>
      </c>
      <c r="E310" s="2030" t="s">
        <v>862</v>
      </c>
      <c r="F310" s="376">
        <v>556</v>
      </c>
      <c r="G310" s="3468"/>
      <c r="H310" s="3452"/>
      <c r="I310" s="3452"/>
      <c r="J310" s="198"/>
      <c r="K310" s="198"/>
      <c r="L310" s="198"/>
      <c r="O310" s="1654"/>
      <c r="V310" s="381" t="s">
        <v>863</v>
      </c>
      <c r="W310" s="470">
        <v>556</v>
      </c>
      <c r="X310" s="470">
        <v>556</v>
      </c>
      <c r="Y310" s="470">
        <v>556</v>
      </c>
      <c r="Z310" s="376">
        <v>556</v>
      </c>
      <c r="AA310" s="376">
        <v>556</v>
      </c>
      <c r="AB310" s="376">
        <v>556</v>
      </c>
      <c r="AC310" s="332"/>
      <c r="AD310" s="332"/>
      <c r="AE310" s="332"/>
      <c r="AF310" s="332"/>
      <c r="AG310" s="332"/>
      <c r="AU310" s="212"/>
    </row>
    <row r="311" spans="1:47" ht="30" customHeight="1" outlineLevel="1" x14ac:dyDescent="0.25">
      <c r="B311" s="1654"/>
      <c r="C311" s="469"/>
      <c r="D311" s="2030" t="s">
        <v>864</v>
      </c>
      <c r="E311" s="2030" t="s">
        <v>865</v>
      </c>
      <c r="F311" s="376">
        <v>860</v>
      </c>
      <c r="G311" s="3468"/>
      <c r="H311" s="3452"/>
      <c r="I311" s="3452"/>
      <c r="J311" s="198"/>
      <c r="K311" s="198"/>
      <c r="L311" s="198"/>
      <c r="O311" s="1654"/>
      <c r="V311" s="381" t="s">
        <v>866</v>
      </c>
      <c r="W311" s="470">
        <v>860</v>
      </c>
      <c r="X311" s="470">
        <v>860</v>
      </c>
      <c r="Y311" s="470">
        <v>860</v>
      </c>
      <c r="Z311" s="376">
        <v>860</v>
      </c>
      <c r="AA311" s="376">
        <v>860</v>
      </c>
      <c r="AB311" s="376">
        <v>860</v>
      </c>
      <c r="AC311" s="332"/>
      <c r="AD311" s="332"/>
      <c r="AE311" s="332"/>
      <c r="AF311" s="332"/>
      <c r="AG311" s="332"/>
      <c r="AU311" s="212"/>
    </row>
    <row r="312" spans="1:47" ht="30" customHeight="1" outlineLevel="1" x14ac:dyDescent="0.25">
      <c r="B312" s="1654"/>
      <c r="C312" s="469"/>
      <c r="D312" s="2030" t="s">
        <v>867</v>
      </c>
      <c r="E312" s="2030" t="s">
        <v>868</v>
      </c>
      <c r="F312" s="376">
        <v>1000</v>
      </c>
      <c r="G312" s="3468"/>
      <c r="H312" s="3452"/>
      <c r="I312" s="3452"/>
      <c r="J312" s="198"/>
      <c r="K312" s="198"/>
      <c r="L312" s="198"/>
      <c r="O312" s="1654"/>
      <c r="V312" s="381" t="s">
        <v>867</v>
      </c>
      <c r="W312" s="379">
        <v>1000</v>
      </c>
      <c r="X312" s="379">
        <v>1000</v>
      </c>
      <c r="Y312" s="379">
        <v>1000</v>
      </c>
      <c r="Z312" s="376">
        <v>1000</v>
      </c>
      <c r="AA312" s="376">
        <v>1000</v>
      </c>
      <c r="AB312" s="376">
        <v>1000</v>
      </c>
      <c r="AC312" s="332"/>
      <c r="AD312" s="332"/>
      <c r="AE312" s="332"/>
      <c r="AF312" s="332"/>
      <c r="AG312" s="332"/>
      <c r="AU312" s="212"/>
    </row>
    <row r="313" spans="1:47" ht="30" customHeight="1" outlineLevel="1" thickBot="1" x14ac:dyDescent="0.3">
      <c r="B313" s="1654"/>
      <c r="C313" s="469"/>
      <c r="D313" s="2030" t="s">
        <v>684</v>
      </c>
      <c r="E313" s="2030" t="s">
        <v>869</v>
      </c>
      <c r="F313" s="380">
        <v>0.97468354430379744</v>
      </c>
      <c r="G313" s="3468"/>
      <c r="H313" s="3452"/>
      <c r="I313" s="3452"/>
      <c r="J313" s="198"/>
      <c r="K313" s="198"/>
      <c r="L313" s="198"/>
      <c r="O313" s="1654"/>
      <c r="V313" s="471" t="s">
        <v>684</v>
      </c>
      <c r="W313" s="472">
        <v>0.97560975609756095</v>
      </c>
      <c r="X313" s="472">
        <v>0.97560975609756095</v>
      </c>
      <c r="Y313" s="473">
        <v>0.97468354430379744</v>
      </c>
      <c r="Z313" s="1301">
        <v>0.97468354430379744</v>
      </c>
      <c r="AA313" s="1301">
        <v>0.97468354430379744</v>
      </c>
      <c r="AB313" s="1301">
        <v>0.97468354430379744</v>
      </c>
      <c r="AC313" s="474"/>
      <c r="AD313" s="474"/>
      <c r="AE313" s="474"/>
      <c r="AF313" s="474"/>
      <c r="AG313" s="474"/>
      <c r="AU313" s="212"/>
    </row>
    <row r="314" spans="1:47" ht="15" customHeight="1" outlineLevel="1" x14ac:dyDescent="0.25">
      <c r="A314" s="406"/>
      <c r="B314" s="406"/>
      <c r="C314" s="196"/>
      <c r="D314" s="358" t="str">
        <f>$D$50</f>
        <v>EUL</v>
      </c>
      <c r="E314" s="358"/>
      <c r="F314" s="2038">
        <v>9</v>
      </c>
      <c r="G314" s="3468" t="s">
        <v>37</v>
      </c>
      <c r="H314" s="3452"/>
      <c r="I314" s="3452"/>
      <c r="J314" s="406"/>
      <c r="K314" s="406"/>
      <c r="L314" s="406"/>
      <c r="V314" s="475" t="str">
        <f>D314</f>
        <v>EUL</v>
      </c>
      <c r="W314" s="476">
        <v>9</v>
      </c>
      <c r="X314" s="476">
        <v>9</v>
      </c>
      <c r="Y314" s="476">
        <v>10</v>
      </c>
      <c r="Z314" s="1303">
        <v>10</v>
      </c>
      <c r="AA314" s="1303">
        <v>10</v>
      </c>
      <c r="AB314" s="1303">
        <v>10</v>
      </c>
      <c r="AC314" s="476"/>
      <c r="AD314" s="476"/>
      <c r="AE314" s="476"/>
      <c r="AF314" s="476"/>
      <c r="AG314" s="476"/>
      <c r="AU314" s="212"/>
    </row>
    <row r="315" spans="1:47" ht="15" customHeight="1" outlineLevel="1" x14ac:dyDescent="0.25">
      <c r="A315" s="406"/>
      <c r="B315" s="406"/>
      <c r="C315" s="196"/>
      <c r="D315" s="358" t="str">
        <f>$D$51</f>
        <v>Inc. Cost</v>
      </c>
      <c r="E315" s="358"/>
      <c r="F315" s="2039">
        <v>20</v>
      </c>
      <c r="G315" s="3468" t="s">
        <v>37</v>
      </c>
      <c r="H315" s="3452"/>
      <c r="I315" s="3452"/>
      <c r="J315" s="406"/>
      <c r="K315" s="406"/>
      <c r="L315" s="406"/>
      <c r="V315" s="381" t="str">
        <f>D315</f>
        <v>Inc. Cost</v>
      </c>
      <c r="W315" s="410">
        <v>20</v>
      </c>
      <c r="X315" s="410">
        <v>20</v>
      </c>
      <c r="Y315" s="410">
        <v>20</v>
      </c>
      <c r="Z315" s="430">
        <v>20</v>
      </c>
      <c r="AA315" s="430">
        <v>20</v>
      </c>
      <c r="AB315" s="430">
        <v>20</v>
      </c>
      <c r="AC315" s="2577"/>
      <c r="AD315" s="410"/>
      <c r="AE315" s="410"/>
      <c r="AF315" s="410"/>
      <c r="AG315" s="410"/>
      <c r="AU315" s="212"/>
    </row>
    <row r="316" spans="1:47" x14ac:dyDescent="0.25">
      <c r="B316" s="198"/>
      <c r="C316" s="196"/>
      <c r="D316" s="477"/>
      <c r="E316" s="477"/>
      <c r="F316" s="478"/>
      <c r="G316" s="479"/>
      <c r="H316" s="198"/>
      <c r="I316" s="198"/>
      <c r="J316" s="198"/>
      <c r="K316" s="198"/>
      <c r="L316" s="198"/>
      <c r="N316" s="198"/>
      <c r="O316" s="198"/>
      <c r="AU316" s="212"/>
    </row>
    <row r="317" spans="1:47" x14ac:dyDescent="0.25">
      <c r="B317" s="198"/>
      <c r="C317" s="196"/>
      <c r="D317" s="197"/>
      <c r="E317" s="197"/>
      <c r="F317" s="198"/>
      <c r="G317" s="198"/>
      <c r="H317" s="198"/>
      <c r="I317" s="198"/>
      <c r="J317" s="198"/>
      <c r="K317" s="198"/>
      <c r="L317" s="198"/>
      <c r="M317" s="198"/>
      <c r="N317" s="198"/>
      <c r="O317" s="198"/>
      <c r="AU317" s="212"/>
    </row>
    <row r="318" spans="1:47" x14ac:dyDescent="0.25">
      <c r="M318" s="198"/>
      <c r="N318" s="198"/>
      <c r="O318" s="198"/>
      <c r="AU318" s="212"/>
    </row>
    <row r="319" spans="1:47" x14ac:dyDescent="0.25">
      <c r="M319" s="157"/>
      <c r="N319" s="157"/>
      <c r="O319" s="157"/>
      <c r="AU319" s="212"/>
    </row>
    <row r="320" spans="1:47" x14ac:dyDescent="0.25">
      <c r="M320" s="198"/>
      <c r="N320" s="198"/>
      <c r="O320" s="198"/>
      <c r="AU320" s="212"/>
    </row>
    <row r="321" spans="13:15" x14ac:dyDescent="0.25">
      <c r="M321" s="198"/>
      <c r="N321" s="198"/>
      <c r="O321" s="198"/>
    </row>
    <row r="348" spans="1:12" x14ac:dyDescent="0.25">
      <c r="A348" s="157"/>
      <c r="B348" s="157"/>
      <c r="K348" s="1655"/>
      <c r="L348" s="157"/>
    </row>
  </sheetData>
  <mergeCells count="174">
    <mergeCell ref="G315:I315"/>
    <mergeCell ref="G309:I309"/>
    <mergeCell ref="G310:I310"/>
    <mergeCell ref="G311:I311"/>
    <mergeCell ref="G312:I312"/>
    <mergeCell ref="G313:I313"/>
    <mergeCell ref="G314:I314"/>
    <mergeCell ref="B292:O292"/>
    <mergeCell ref="V292:AI292"/>
    <mergeCell ref="G305:I305"/>
    <mergeCell ref="G306:I306"/>
    <mergeCell ref="G307:I307"/>
    <mergeCell ref="G308:I308"/>
    <mergeCell ref="V265:AI265"/>
    <mergeCell ref="D275:D280"/>
    <mergeCell ref="E275:E280"/>
    <mergeCell ref="V275:V280"/>
    <mergeCell ref="D281:D286"/>
    <mergeCell ref="E281:E286"/>
    <mergeCell ref="V281:V286"/>
    <mergeCell ref="G258:H258"/>
    <mergeCell ref="G259:H259"/>
    <mergeCell ref="G260:H260"/>
    <mergeCell ref="G261:H261"/>
    <mergeCell ref="G262:H262"/>
    <mergeCell ref="B265:O265"/>
    <mergeCell ref="G252:H252"/>
    <mergeCell ref="G253:H253"/>
    <mergeCell ref="G254:H254"/>
    <mergeCell ref="G255:H255"/>
    <mergeCell ref="G256:H256"/>
    <mergeCell ref="G257:H257"/>
    <mergeCell ref="H202:I202"/>
    <mergeCell ref="J202:K202"/>
    <mergeCell ref="B205:O205"/>
    <mergeCell ref="D225:D233"/>
    <mergeCell ref="E225:E233"/>
    <mergeCell ref="D234:D235"/>
    <mergeCell ref="E234:E235"/>
    <mergeCell ref="D237:D238"/>
    <mergeCell ref="E237:E238"/>
    <mergeCell ref="V205:AI205"/>
    <mergeCell ref="B241:O241"/>
    <mergeCell ref="V241:AI241"/>
    <mergeCell ref="H199:I199"/>
    <mergeCell ref="J199:K199"/>
    <mergeCell ref="H200:I200"/>
    <mergeCell ref="J200:K200"/>
    <mergeCell ref="H201:I201"/>
    <mergeCell ref="J201:K201"/>
    <mergeCell ref="V225:V233"/>
    <mergeCell ref="V234:V235"/>
    <mergeCell ref="V237:V238"/>
    <mergeCell ref="H196:I196"/>
    <mergeCell ref="J196:K196"/>
    <mergeCell ref="H197:I197"/>
    <mergeCell ref="J197:K197"/>
    <mergeCell ref="H198:I198"/>
    <mergeCell ref="J198:K198"/>
    <mergeCell ref="H193:I193"/>
    <mergeCell ref="J193:K193"/>
    <mergeCell ref="H194:I194"/>
    <mergeCell ref="J194:K194"/>
    <mergeCell ref="H195:I195"/>
    <mergeCell ref="J195:K195"/>
    <mergeCell ref="H190:I190"/>
    <mergeCell ref="J190:K190"/>
    <mergeCell ref="H191:I191"/>
    <mergeCell ref="J191:K191"/>
    <mergeCell ref="H192:I192"/>
    <mergeCell ref="J192:K192"/>
    <mergeCell ref="D156:D163"/>
    <mergeCell ref="V156:V163"/>
    <mergeCell ref="B169:O169"/>
    <mergeCell ref="V169:AI169"/>
    <mergeCell ref="H189:I189"/>
    <mergeCell ref="J189:K189"/>
    <mergeCell ref="G164:H164"/>
    <mergeCell ref="G165:H165"/>
    <mergeCell ref="G166:H166"/>
    <mergeCell ref="G162:H162"/>
    <mergeCell ref="G163:H163"/>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s>
  <conditionalFormatting sqref="AH7 AH57:AH78">
    <cfRule type="cellIs" dxfId="432" priority="57" operator="lessThan">
      <formula>-0.1</formula>
    </cfRule>
    <cfRule type="cellIs" dxfId="431" priority="58" operator="greaterThan">
      <formula>0.1</formula>
    </cfRule>
  </conditionalFormatting>
  <conditionalFormatting sqref="AH172:AH173">
    <cfRule type="cellIs" dxfId="430" priority="55" operator="lessThan">
      <formula>-0.1</formula>
    </cfRule>
    <cfRule type="cellIs" dxfId="429" priority="56" operator="greaterThan">
      <formula>0.1</formula>
    </cfRule>
  </conditionalFormatting>
  <conditionalFormatting sqref="AH244">
    <cfRule type="cellIs" dxfId="428" priority="53" operator="lessThan">
      <formula>-0.1</formula>
    </cfRule>
    <cfRule type="cellIs" dxfId="427" priority="54" operator="greaterThan">
      <formula>0.1</formula>
    </cfRule>
  </conditionalFormatting>
  <conditionalFormatting sqref="AH295:AH296">
    <cfRule type="cellIs" dxfId="426" priority="51" operator="lessThan">
      <formula>-0.1</formula>
    </cfRule>
    <cfRule type="cellIs" dxfId="425" priority="52" operator="greaterThan">
      <formula>0.1</formula>
    </cfRule>
  </conditionalFormatting>
  <conditionalFormatting sqref="A1:P45 A107:G107 A106:F106 A126:F126 A143:G143 A56:P70 A55:C55 F55:P55 A47:P48 A46:E46 I46:P46 A50:P54 A49:C49 F49 I49:P49 A77:E77 G77:P77 A72:P76 A71:E71 G71:P71 A131:D131 A128:C130 A127:D127 A133:G133 A132:C132 A153:E153 A166:E166 A167:P207 A217:B217 A218:P222 A239:P1048576 A223:C238 J223:P238 A208:E216 C82:C99 G127 A98:H98 J98:P166 I133:I165 I119:I130 I98:I106 G153 A154:G157 A158:F160 A151:G152 A150:F150 A149:G149 A148:F148 A147:G147 A144:F146 A134:F142 A161:G165 A99:G105 A108:F118 A119:G125 G208:P217 A78:P97">
    <cfRule type="cellIs" dxfId="424" priority="50" operator="equal">
      <formula>"x"</formula>
    </cfRule>
  </conditionalFormatting>
  <conditionalFormatting sqref="AH79:AH80">
    <cfRule type="cellIs" dxfId="423" priority="48" operator="lessThan">
      <formula>-0.1</formula>
    </cfRule>
    <cfRule type="cellIs" dxfId="422" priority="49" operator="greaterThan">
      <formula>0.1</formula>
    </cfRule>
  </conditionalFormatting>
  <conditionalFormatting sqref="V99:V127 V131 V133:V166">
    <cfRule type="cellIs" dxfId="421" priority="47" operator="equal">
      <formula>"x"</formula>
    </cfRule>
  </conditionalFormatting>
  <conditionalFormatting sqref="Y125:Y126">
    <cfRule type="cellIs" dxfId="420" priority="46" operator="equal">
      <formula>"x"</formula>
    </cfRule>
  </conditionalFormatting>
  <conditionalFormatting sqref="I107:I117">
    <cfRule type="cellIs" dxfId="419" priority="45" operator="equal">
      <formula>"x"</formula>
    </cfRule>
  </conditionalFormatting>
  <conditionalFormatting sqref="Z125:Z126">
    <cfRule type="cellIs" dxfId="418" priority="44" operator="equal">
      <formula>"x"</formula>
    </cfRule>
  </conditionalFormatting>
  <conditionalFormatting sqref="AA125:AA126">
    <cfRule type="cellIs" dxfId="417" priority="43" operator="equal">
      <formula>"x"</formula>
    </cfRule>
  </conditionalFormatting>
  <conditionalFormatting sqref="F46:H46">
    <cfRule type="cellIs" dxfId="416" priority="42" operator="equal">
      <formula>"x"</formula>
    </cfRule>
  </conditionalFormatting>
  <conditionalFormatting sqref="D49:E49">
    <cfRule type="cellIs" dxfId="415" priority="41" operator="equal">
      <formula>"x"</formula>
    </cfRule>
  </conditionalFormatting>
  <conditionalFormatting sqref="G49:H49">
    <cfRule type="cellIs" dxfId="414" priority="40" operator="equal">
      <formula>"x"</formula>
    </cfRule>
  </conditionalFormatting>
  <conditionalFormatting sqref="F71">
    <cfRule type="cellIs" dxfId="413" priority="38" operator="equal">
      <formula>"x"</formula>
    </cfRule>
  </conditionalFormatting>
  <conditionalFormatting sqref="F77">
    <cfRule type="cellIs" dxfId="412" priority="39" operator="equal">
      <formula>"x"</formula>
    </cfRule>
  </conditionalFormatting>
  <conditionalFormatting sqref="E127:F130">
    <cfRule type="cellIs" dxfId="411" priority="37" operator="equal">
      <formula>"x"</formula>
    </cfRule>
  </conditionalFormatting>
  <conditionalFormatting sqref="E131:G132 I131:I132">
    <cfRule type="cellIs" dxfId="410" priority="36" operator="equal">
      <formula>"x"</formula>
    </cfRule>
  </conditionalFormatting>
  <conditionalFormatting sqref="F153">
    <cfRule type="cellIs" dxfId="409" priority="35" operator="equal">
      <formula>"x"</formula>
    </cfRule>
  </conditionalFormatting>
  <conditionalFormatting sqref="F166:G166 I166">
    <cfRule type="cellIs" dxfId="408" priority="34" operator="equal">
      <formula>"x"</formula>
    </cfRule>
  </conditionalFormatting>
  <conditionalFormatting sqref="AB91:AB94">
    <cfRule type="cellIs" dxfId="407" priority="33" operator="equal">
      <formula>"x"</formula>
    </cfRule>
  </conditionalFormatting>
  <conditionalFormatting sqref="AB99:AB126 AB133:AB152 AB154:AB165">
    <cfRule type="cellIs" dxfId="406" priority="32" operator="equal">
      <formula>"x"</formula>
    </cfRule>
  </conditionalFormatting>
  <conditionalFormatting sqref="AB127:AB130">
    <cfRule type="cellIs" dxfId="405" priority="31" operator="equal">
      <formula>"x"</formula>
    </cfRule>
  </conditionalFormatting>
  <conditionalFormatting sqref="AB131:AB132">
    <cfRule type="cellIs" dxfId="404" priority="30" operator="equal">
      <formula>"x"</formula>
    </cfRule>
  </conditionalFormatting>
  <conditionalFormatting sqref="AB153">
    <cfRule type="cellIs" dxfId="403" priority="29" operator="equal">
      <formula>"x"</formula>
    </cfRule>
  </conditionalFormatting>
  <conditionalFormatting sqref="AB166">
    <cfRule type="cellIs" dxfId="402" priority="28" operator="equal">
      <formula>"x"</formula>
    </cfRule>
  </conditionalFormatting>
  <conditionalFormatting sqref="AN190:AN202">
    <cfRule type="cellIs" dxfId="401" priority="27" operator="equal">
      <formula>"x"</formula>
    </cfRule>
  </conditionalFormatting>
  <conditionalFormatting sqref="C217:E217">
    <cfRule type="cellIs" dxfId="400" priority="26" operator="equal">
      <formula>"x"</formula>
    </cfRule>
  </conditionalFormatting>
  <conditionalFormatting sqref="D225 F238:H238 D236:E237 G223:H224 D224:F224 F236 D234 G225:G237 H234:H237 E223 H224:H232">
    <cfRule type="cellIs" dxfId="399" priority="25" operator="equal">
      <formula>"x"</formula>
    </cfRule>
  </conditionalFormatting>
  <conditionalFormatting sqref="F223">
    <cfRule type="cellIs" dxfId="398" priority="24" operator="equal">
      <formula>"x"</formula>
    </cfRule>
  </conditionalFormatting>
  <conditionalFormatting sqref="I223:I238">
    <cfRule type="cellIs" dxfId="397" priority="23" operator="equal">
      <formula>"x"</formula>
    </cfRule>
  </conditionalFormatting>
  <conditionalFormatting sqref="F225:F235">
    <cfRule type="cellIs" dxfId="396" priority="22" operator="equal">
      <formula>"x"</formula>
    </cfRule>
  </conditionalFormatting>
  <conditionalFormatting sqref="H233">
    <cfRule type="cellIs" dxfId="395" priority="21" operator="equal">
      <formula>"x"</formula>
    </cfRule>
  </conditionalFormatting>
  <conditionalFormatting sqref="AB253:AB262">
    <cfRule type="cellIs" dxfId="394" priority="12" operator="equal">
      <formula>"x"</formula>
    </cfRule>
  </conditionalFormatting>
  <conditionalFormatting sqref="V224:V225 V236:V237 V234">
    <cfRule type="cellIs" dxfId="393" priority="20" operator="equal">
      <formula>"x"</formula>
    </cfRule>
  </conditionalFormatting>
  <conditionalFormatting sqref="W224:W238">
    <cfRule type="cellIs" dxfId="392" priority="19" operator="equal">
      <formula>"x"</formula>
    </cfRule>
  </conditionalFormatting>
  <conditionalFormatting sqref="X224:X238">
    <cfRule type="cellIs" dxfId="391" priority="18" operator="equal">
      <formula>"x"</formula>
    </cfRule>
  </conditionalFormatting>
  <conditionalFormatting sqref="Y224:Y238">
    <cfRule type="cellIs" dxfId="390" priority="17" operator="equal">
      <formula>"x"</formula>
    </cfRule>
  </conditionalFormatting>
  <conditionalFormatting sqref="Z224:Z238">
    <cfRule type="cellIs" dxfId="389" priority="16" operator="equal">
      <formula>"x"</formula>
    </cfRule>
  </conditionalFormatting>
  <conditionalFormatting sqref="AA224:AA238">
    <cfRule type="cellIs" dxfId="388" priority="15" operator="equal">
      <formula>"x"</formula>
    </cfRule>
  </conditionalFormatting>
  <conditionalFormatting sqref="AB224:AB238">
    <cfRule type="cellIs" dxfId="387" priority="14" operator="equal">
      <formula>"x"</formula>
    </cfRule>
  </conditionalFormatting>
  <conditionalFormatting sqref="F208:F217">
    <cfRule type="cellIs" dxfId="386" priority="13" operator="equal">
      <formula>"x"</formula>
    </cfRule>
  </conditionalFormatting>
  <conditionalFormatting sqref="G158">
    <cfRule type="cellIs" dxfId="385" priority="11" operator="equal">
      <formula>"x"</formula>
    </cfRule>
  </conditionalFormatting>
  <conditionalFormatting sqref="G159">
    <cfRule type="cellIs" dxfId="384" priority="10" operator="equal">
      <formula>"x"</formula>
    </cfRule>
  </conditionalFormatting>
  <conditionalFormatting sqref="G160">
    <cfRule type="cellIs" dxfId="383" priority="9" operator="equal">
      <formula>"x"</formula>
    </cfRule>
  </conditionalFormatting>
  <conditionalFormatting sqref="G150">
    <cfRule type="cellIs" dxfId="382" priority="8" operator="equal">
      <formula>"x"</formula>
    </cfRule>
  </conditionalFormatting>
  <conditionalFormatting sqref="G148">
    <cfRule type="cellIs" dxfId="381" priority="7" operator="equal">
      <formula>"x"</formula>
    </cfRule>
  </conditionalFormatting>
  <conditionalFormatting sqref="G146">
    <cfRule type="cellIs" dxfId="380" priority="6" operator="equal">
      <formula>"x"</formula>
    </cfRule>
  </conditionalFormatting>
  <conditionalFormatting sqref="G144">
    <cfRule type="cellIs" dxfId="379" priority="5" operator="equal">
      <formula>"x"</formula>
    </cfRule>
  </conditionalFormatting>
  <conditionalFormatting sqref="G145">
    <cfRule type="cellIs" dxfId="378" priority="4" operator="equal">
      <formula>"x"</formula>
    </cfRule>
  </conditionalFormatting>
  <conditionalFormatting sqref="G141">
    <cfRule type="cellIs" dxfId="377" priority="3" operator="equal">
      <formula>"x"</formula>
    </cfRule>
  </conditionalFormatting>
  <conditionalFormatting sqref="G142">
    <cfRule type="cellIs" dxfId="376" priority="2" operator="equal">
      <formula>"x"</formula>
    </cfRule>
  </conditionalFormatting>
  <conditionalFormatting sqref="D223:I223">
    <cfRule type="cellIs" dxfId="375" priority="1" operator="equal">
      <formula>"x"</formula>
    </cfRule>
  </conditionalFormatting>
  <hyperlinks>
    <hyperlink ref="C283" location="_ftn2" display="_ftn2"/>
    <hyperlink ref="C286" location="_ftnref1" display="_ftnref1"/>
    <hyperlink ref="I237"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63"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60"/>
  <sheetViews>
    <sheetView zoomScale="70" zoomScaleNormal="70" workbookViewId="0">
      <selection sqref="A1:O1"/>
    </sheetView>
  </sheetViews>
  <sheetFormatPr defaultColWidth="16.42578125" defaultRowHeight="15" outlineLevelRow="1" x14ac:dyDescent="0.25"/>
  <cols>
    <col min="1" max="1" width="5.5703125" style="157" customWidth="1"/>
    <col min="2" max="2" width="16.42578125" style="157"/>
    <col min="3" max="3" width="20.140625" style="386" bestFit="1" customWidth="1"/>
    <col min="4" max="4" width="22.140625" style="386" customWidth="1"/>
    <col min="5" max="5" width="55.7109375" style="413" customWidth="1"/>
    <col min="6" max="6" width="40.140625" style="157" customWidth="1"/>
    <col min="7" max="7" width="37.140625" style="157" customWidth="1"/>
    <col min="8" max="8" width="51" style="157" customWidth="1"/>
    <col min="9" max="9" width="47.85546875" style="157" customWidth="1"/>
    <col min="10" max="10" width="42.85546875" style="157" customWidth="1"/>
    <col min="11" max="12" width="16.42578125" style="157" customWidth="1"/>
    <col min="13" max="13" width="16.42578125" style="633" customWidth="1"/>
    <col min="14" max="21" width="16.42578125" style="157" customWidth="1"/>
    <col min="22" max="22" width="29.42578125" style="157" customWidth="1"/>
    <col min="23" max="23" width="16.42578125" style="135" customWidth="1"/>
    <col min="24" max="24" width="18" style="135" customWidth="1"/>
    <col min="25" max="25" width="17.140625" style="135" customWidth="1"/>
    <col min="26" max="27" width="16.42578125" style="135" customWidth="1"/>
    <col min="28" max="28" width="17.42578125" style="135"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3343" t="s">
        <v>870</v>
      </c>
      <c r="B1" s="3535"/>
      <c r="C1" s="3535"/>
      <c r="D1" s="3535"/>
      <c r="E1" s="3535"/>
      <c r="F1" s="3535"/>
      <c r="G1" s="3535"/>
      <c r="H1" s="3535"/>
      <c r="I1" s="3535"/>
      <c r="J1" s="3535"/>
      <c r="K1" s="3535"/>
      <c r="L1" s="3535"/>
      <c r="M1" s="3535"/>
      <c r="N1" s="3535"/>
      <c r="O1" s="3535"/>
      <c r="P1" s="1471"/>
      <c r="Q1" s="1471"/>
      <c r="R1" s="973"/>
      <c r="S1" s="1470"/>
      <c r="T1" s="1470"/>
      <c r="U1" s="1470"/>
      <c r="V1" s="3168"/>
      <c r="W1" s="2897"/>
      <c r="X1" s="2897"/>
      <c r="Y1" s="971"/>
      <c r="Z1" s="971"/>
      <c r="AA1" s="971"/>
      <c r="AB1" s="971"/>
      <c r="AC1" s="35"/>
      <c r="AD1" s="35"/>
      <c r="AE1" s="35"/>
      <c r="AF1" s="35"/>
      <c r="AG1" s="35"/>
      <c r="AH1" s="35"/>
      <c r="BD1" s="480"/>
      <c r="BE1" s="480"/>
    </row>
    <row r="2" spans="1:57" s="26" customFormat="1" ht="30" customHeight="1" outlineLevel="1" x14ac:dyDescent="0.35">
      <c r="A2" s="1470"/>
      <c r="B2" s="1472"/>
      <c r="C2" s="2899"/>
      <c r="D2" s="3347" t="s">
        <v>3212</v>
      </c>
      <c r="E2" s="3348"/>
      <c r="F2" s="3349"/>
      <c r="G2" s="3349"/>
      <c r="H2" s="3349"/>
      <c r="I2" s="3349"/>
      <c r="J2" s="3349"/>
      <c r="K2" s="972"/>
      <c r="L2" s="972"/>
      <c r="M2" s="1470"/>
      <c r="N2" s="1470"/>
      <c r="O2" s="1470"/>
      <c r="P2" s="1470"/>
      <c r="Q2" s="1470"/>
      <c r="R2" s="1470"/>
      <c r="S2" s="1470"/>
      <c r="T2" s="1470"/>
      <c r="U2" s="1470"/>
      <c r="V2" s="2312"/>
      <c r="W2" s="91"/>
      <c r="X2" s="91"/>
      <c r="Y2" s="91"/>
      <c r="Z2" s="91"/>
      <c r="AA2" s="91"/>
      <c r="AB2" s="91"/>
      <c r="BD2" s="480"/>
      <c r="BE2" s="480"/>
    </row>
    <row r="3" spans="1:57" s="29" customFormat="1" ht="33.75" customHeight="1" x14ac:dyDescent="0.25">
      <c r="A3" s="973"/>
      <c r="B3" s="973"/>
      <c r="C3" s="192"/>
      <c r="D3" s="192"/>
      <c r="E3" s="2900"/>
      <c r="F3" s="191"/>
      <c r="G3" s="191"/>
      <c r="H3" s="191"/>
      <c r="I3" s="191"/>
      <c r="J3" s="191"/>
      <c r="K3" s="973"/>
      <c r="L3" s="973"/>
      <c r="M3" s="1656"/>
      <c r="N3" s="973"/>
      <c r="O3" s="973"/>
      <c r="P3" s="973"/>
      <c r="Q3" s="973"/>
      <c r="R3" s="973"/>
      <c r="S3" s="973"/>
      <c r="T3" s="973"/>
      <c r="U3" s="973"/>
      <c r="V3" s="973"/>
      <c r="W3" s="974"/>
      <c r="X3" s="974"/>
      <c r="Y3" s="974"/>
      <c r="Z3" s="974"/>
      <c r="AA3" s="974"/>
      <c r="AB3" s="974"/>
      <c r="BD3" s="481"/>
      <c r="BE3" s="481"/>
    </row>
    <row r="4" spans="1:57" x14ac:dyDescent="0.25">
      <c r="B4" s="3350" t="s">
        <v>871</v>
      </c>
      <c r="C4" s="3351"/>
      <c r="D4" s="3351"/>
      <c r="E4" s="3351"/>
      <c r="F4" s="3351"/>
      <c r="G4" s="3351"/>
      <c r="H4" s="3351"/>
      <c r="I4" s="3352"/>
      <c r="J4" s="3352"/>
      <c r="K4" s="3352"/>
      <c r="L4" s="3352"/>
      <c r="M4" s="3352"/>
      <c r="N4" s="3353"/>
      <c r="O4" s="298"/>
      <c r="P4" s="298"/>
      <c r="Q4" s="298"/>
      <c r="R4" s="298"/>
      <c r="V4" s="3350" t="str">
        <f>B4</f>
        <v>Dirty Filter Alarm</v>
      </c>
      <c r="W4" s="3351"/>
      <c r="X4" s="3351"/>
      <c r="Y4" s="3351"/>
      <c r="Z4" s="3351"/>
      <c r="AA4" s="3351"/>
      <c r="AB4" s="3351"/>
      <c r="AC4" s="3354"/>
      <c r="AD4" s="3354"/>
      <c r="AE4" s="3354"/>
      <c r="AF4" s="3354"/>
      <c r="AG4" s="3354"/>
      <c r="AH4" s="3355"/>
    </row>
    <row r="5" spans="1:57" x14ac:dyDescent="0.25">
      <c r="B5" s="1657"/>
      <c r="C5" s="1900"/>
      <c r="D5" s="482"/>
      <c r="E5" s="2901"/>
      <c r="F5" s="275"/>
      <c r="G5" s="275"/>
      <c r="H5" s="275"/>
      <c r="I5" s="275"/>
      <c r="J5" s="275"/>
      <c r="K5" s="275"/>
      <c r="L5" s="1635"/>
      <c r="M5" s="1276"/>
      <c r="N5" s="298"/>
      <c r="O5" s="298"/>
      <c r="P5" s="298"/>
      <c r="Q5" s="298"/>
      <c r="R5" s="298"/>
    </row>
    <row r="6" spans="1:57" ht="30" x14ac:dyDescent="0.25">
      <c r="B6" s="1359"/>
      <c r="C6" s="2765" t="s">
        <v>17</v>
      </c>
      <c r="D6" s="2765" t="s">
        <v>616</v>
      </c>
      <c r="E6" s="2765" t="s">
        <v>19</v>
      </c>
      <c r="F6" s="1409" t="s">
        <v>20</v>
      </c>
      <c r="G6" s="1409" t="s">
        <v>21</v>
      </c>
      <c r="H6" s="1409" t="s">
        <v>22</v>
      </c>
      <c r="I6" s="1409" t="s">
        <v>872</v>
      </c>
      <c r="J6" s="1409" t="s">
        <v>873</v>
      </c>
      <c r="K6" s="1409" t="s">
        <v>23</v>
      </c>
      <c r="L6" s="1413" t="s">
        <v>24</v>
      </c>
      <c r="M6" s="1409" t="s">
        <v>25</v>
      </c>
      <c r="N6" s="1409" t="s">
        <v>26</v>
      </c>
      <c r="P6" s="277"/>
      <c r="Q6" s="277"/>
      <c r="R6" s="277"/>
      <c r="V6" s="623" t="s">
        <v>27</v>
      </c>
      <c r="W6" s="420">
        <v>43252</v>
      </c>
      <c r="X6" s="420">
        <v>43465</v>
      </c>
      <c r="Y6" s="420">
        <v>43800</v>
      </c>
      <c r="Z6" s="420">
        <v>43862</v>
      </c>
      <c r="AA6" s="420">
        <v>44013</v>
      </c>
      <c r="AB6" s="420">
        <v>44166</v>
      </c>
      <c r="AC6" s="56" t="s">
        <v>28</v>
      </c>
      <c r="AD6" s="56" t="s">
        <v>28</v>
      </c>
      <c r="AE6" s="56" t="s">
        <v>28</v>
      </c>
      <c r="AF6" s="56" t="s">
        <v>28</v>
      </c>
      <c r="AG6" s="56" t="s">
        <v>28</v>
      </c>
      <c r="BB6" s="93" t="s">
        <v>29</v>
      </c>
      <c r="BC6" s="58" t="s">
        <v>30</v>
      </c>
      <c r="BD6" s="59" t="s">
        <v>31</v>
      </c>
      <c r="BE6" s="59" t="s">
        <v>32</v>
      </c>
    </row>
    <row r="7" spans="1:57" x14ac:dyDescent="0.25">
      <c r="B7" s="1359"/>
      <c r="C7" s="483" t="s">
        <v>874</v>
      </c>
      <c r="D7" s="1658" t="s">
        <v>875</v>
      </c>
      <c r="E7" s="3093" t="s">
        <v>876</v>
      </c>
      <c r="F7" s="651">
        <f>ROUND(I7+J7,2)</f>
        <v>53.75</v>
      </c>
      <c r="G7" s="3048" t="s">
        <v>877</v>
      </c>
      <c r="H7" s="202">
        <f>VLOOKUP(G7,'CP FACTORS'!$A$3:$B$38, 2, FALSE)</f>
        <v>4.6608050000000002E-4</v>
      </c>
      <c r="I7" s="1659">
        <f>F$22*F$24*F$25*F$27*F28*F30</f>
        <v>33.999526956521741</v>
      </c>
      <c r="J7" s="1659">
        <f>F$34*F$24*F$36*F$27*F28*F30</f>
        <v>19.749725217391305</v>
      </c>
      <c r="K7" s="994">
        <f>ROUND(H7*F7,6)</f>
        <v>2.5052000000000001E-2</v>
      </c>
      <c r="L7" s="2759">
        <f>$F$38</f>
        <v>14</v>
      </c>
      <c r="M7" s="510">
        <f>F39</f>
        <v>5</v>
      </c>
      <c r="N7" s="1658" t="s">
        <v>37</v>
      </c>
      <c r="V7" s="2309" t="str">
        <f>$F$6</f>
        <v>kWh Annual Savings</v>
      </c>
      <c r="W7" s="486">
        <v>68.110226249999997</v>
      </c>
      <c r="X7" s="487">
        <v>64.253294436813192</v>
      </c>
      <c r="Y7" s="488">
        <v>61.06</v>
      </c>
      <c r="Z7" s="2582">
        <v>61.06</v>
      </c>
      <c r="AA7" s="2582">
        <v>61.06</v>
      </c>
      <c r="AB7" s="2322">
        <v>53.75</v>
      </c>
      <c r="AC7" s="208"/>
      <c r="AD7" s="208"/>
      <c r="AE7" s="208"/>
      <c r="AF7" s="208"/>
      <c r="AG7" s="208"/>
      <c r="AH7" s="211"/>
      <c r="BB7" s="144">
        <f>(BD7)/(BE7)</f>
        <v>10.113049054563286</v>
      </c>
      <c r="BC7" s="68" t="str">
        <f>CONCATENATE(G7," ",L7," Year EUL")</f>
        <v>HVAC RES 14 Year EUL</v>
      </c>
      <c r="BD7" s="2943">
        <f>(INDEX('Avoided Cost Benefits'!$C$4:$C$857,MATCH(BC7,'Avoided Cost Benefits'!$A$4:$A$857,0)))*F7</f>
        <v>47.725573641166989</v>
      </c>
      <c r="BE7" s="2944">
        <f>M7/(1.0595^(2020-2019))</f>
        <v>4.7192071731949028</v>
      </c>
    </row>
    <row r="8" spans="1:57" s="2277" customFormat="1" x14ac:dyDescent="0.25">
      <c r="A8" s="157"/>
      <c r="B8" s="1359"/>
      <c r="C8" s="483" t="s">
        <v>3518</v>
      </c>
      <c r="D8" s="1658" t="s">
        <v>3770</v>
      </c>
      <c r="E8" s="3081" t="s">
        <v>3519</v>
      </c>
      <c r="F8" s="651">
        <f t="shared" ref="F8:F11" si="0">ROUND(I8+J8,2)</f>
        <v>98.22</v>
      </c>
      <c r="G8" s="3048" t="s">
        <v>877</v>
      </c>
      <c r="H8" s="515">
        <f>VLOOKUP(G8,'CP FACTORS'!$A$3:$B$38, 2, FALSE)</f>
        <v>4.6608050000000002E-4</v>
      </c>
      <c r="I8" s="1659">
        <f>F$22*F$24*F$25*F$27*F29*F31</f>
        <v>62.128554782608688</v>
      </c>
      <c r="J8" s="1659">
        <v>36.089381086956521</v>
      </c>
      <c r="K8" s="994">
        <v>4.5777999999999999E-2</v>
      </c>
      <c r="L8" s="2759">
        <v>14</v>
      </c>
      <c r="M8" s="510">
        <v>5</v>
      </c>
      <c r="N8" s="1658" t="s">
        <v>37</v>
      </c>
      <c r="O8" s="157"/>
      <c r="P8" s="157"/>
      <c r="Q8" s="157"/>
      <c r="R8" s="157"/>
      <c r="S8" s="157"/>
      <c r="T8" s="157"/>
      <c r="U8" s="157"/>
      <c r="V8" s="2309" t="str">
        <f t="shared" ref="V8:V11" si="1">$F$6</f>
        <v>kWh Annual Savings</v>
      </c>
      <c r="W8" s="486"/>
      <c r="X8" s="487"/>
      <c r="Y8" s="488"/>
      <c r="Z8" s="2582"/>
      <c r="AA8" s="2582"/>
      <c r="AB8" s="2322">
        <v>98.22</v>
      </c>
      <c r="AC8" s="208"/>
      <c r="AD8" s="208"/>
      <c r="AE8" s="208"/>
      <c r="AF8" s="208"/>
      <c r="AG8" s="208"/>
      <c r="AH8" s="211"/>
      <c r="BB8" s="144">
        <f t="shared" ref="BB8:BB9" si="2">(BD8)/(BE8)</f>
        <v>18.480068430496853</v>
      </c>
      <c r="BC8" s="2922" t="str">
        <f t="shared" ref="BC8:BC9" si="3">CONCATENATE(G8," ",L8," Year EUL")</f>
        <v>HVAC RES 14 Year EUL</v>
      </c>
      <c r="BD8" s="2943">
        <f>(INDEX('Avoided Cost Benefits'!$C$4:$C$857,MATCH(BC8,'Avoided Cost Benefits'!$A$4:$A$857,0)))*F8</f>
        <v>87.211271498333417</v>
      </c>
      <c r="BE8" s="2944">
        <f t="shared" ref="BE8:BE9" si="4">M8/(1.0595^(2020-2019))</f>
        <v>4.7192071731949028</v>
      </c>
    </row>
    <row r="9" spans="1:57" s="2277" customFormat="1" x14ac:dyDescent="0.25">
      <c r="A9" s="157"/>
      <c r="B9" s="1359"/>
      <c r="C9" s="483" t="s">
        <v>3520</v>
      </c>
      <c r="D9" s="4144" t="s">
        <v>3853</v>
      </c>
      <c r="E9" s="3081" t="s">
        <v>3786</v>
      </c>
      <c r="F9" s="651">
        <f t="shared" si="0"/>
        <v>15.27</v>
      </c>
      <c r="G9" s="3048" t="s">
        <v>877</v>
      </c>
      <c r="H9" s="515">
        <f>VLOOKUP(G9,'CP FACTORS'!$A$3:$B$38, 2, FALSE)</f>
        <v>4.6608050000000002E-4</v>
      </c>
      <c r="I9" s="1659">
        <f>F$22*F$24*F$25*F$27*F29*F33</f>
        <v>9.65895652173913</v>
      </c>
      <c r="J9" s="1659">
        <v>5.6107173913043482</v>
      </c>
      <c r="K9" s="994">
        <v>7.1170000000000001E-3</v>
      </c>
      <c r="L9" s="2759">
        <v>14</v>
      </c>
      <c r="M9" s="510">
        <v>5</v>
      </c>
      <c r="N9" s="1658" t="s">
        <v>37</v>
      </c>
      <c r="O9" s="157"/>
      <c r="P9" s="157"/>
      <c r="Q9" s="157"/>
      <c r="R9" s="157"/>
      <c r="S9" s="157"/>
      <c r="T9" s="157"/>
      <c r="U9" s="157"/>
      <c r="V9" s="2309" t="str">
        <f t="shared" si="1"/>
        <v>kWh Annual Savings</v>
      </c>
      <c r="W9" s="486"/>
      <c r="X9" s="487"/>
      <c r="Y9" s="488"/>
      <c r="Z9" s="2582"/>
      <c r="AA9" s="2582"/>
      <c r="AB9" s="2322">
        <v>15.27</v>
      </c>
      <c r="AC9" s="208"/>
      <c r="AD9" s="208"/>
      <c r="AE9" s="208"/>
      <c r="AF9" s="208"/>
      <c r="AG9" s="208"/>
      <c r="AH9" s="211"/>
      <c r="BB9" s="144">
        <f t="shared" si="2"/>
        <v>2.8730466802452344</v>
      </c>
      <c r="BC9" s="2922" t="str">
        <f t="shared" si="3"/>
        <v>HVAC RES 14 Year EUL</v>
      </c>
      <c r="BD9" s="2943">
        <f>(INDEX('Avoided Cost Benefits'!$C$4:$C$857,MATCH(BC9,'Avoided Cost Benefits'!$A$4:$A$857,0)))*F9</f>
        <v>13.558502502337113</v>
      </c>
      <c r="BE9" s="2944">
        <f t="shared" si="4"/>
        <v>4.7192071731949028</v>
      </c>
    </row>
    <row r="10" spans="1:57" x14ac:dyDescent="0.25">
      <c r="B10" s="1359"/>
      <c r="C10" s="483" t="s">
        <v>878</v>
      </c>
      <c r="D10" s="1658" t="s">
        <v>875</v>
      </c>
      <c r="E10" s="3081" t="s">
        <v>879</v>
      </c>
      <c r="F10" s="651">
        <f t="shared" si="0"/>
        <v>177.38</v>
      </c>
      <c r="G10" s="3048" t="s">
        <v>877</v>
      </c>
      <c r="H10" s="202">
        <f>VLOOKUP(G10,'CP FACTORS'!$A$3:$B$38, 2, FALSE)</f>
        <v>4.6608050000000002E-4</v>
      </c>
      <c r="I10" s="1659">
        <f>F$23*F$24*F$25*F$27*F29*F32</f>
        <v>112.2</v>
      </c>
      <c r="J10" s="1659">
        <f>F$35*F$24*F$36*F$27*F29*F32</f>
        <v>65.174999999999997</v>
      </c>
      <c r="K10" s="994">
        <f>ROUND(H10*F10,6)</f>
        <v>8.2672999999999996E-2</v>
      </c>
      <c r="L10" s="2759">
        <f>$F$38</f>
        <v>14</v>
      </c>
      <c r="M10" s="510">
        <f>F40</f>
        <v>5</v>
      </c>
      <c r="N10" s="1658" t="s">
        <v>37</v>
      </c>
      <c r="V10" s="2309" t="str">
        <f t="shared" si="1"/>
        <v>kWh Annual Savings</v>
      </c>
      <c r="W10" s="486">
        <v>79.197937499999995</v>
      </c>
      <c r="X10" s="487">
        <v>171.76499999999999</v>
      </c>
      <c r="Y10" s="488">
        <v>177.38</v>
      </c>
      <c r="Z10" s="2582">
        <v>177.38</v>
      </c>
      <c r="AA10" s="2582">
        <v>177.38</v>
      </c>
      <c r="AB10" s="622">
        <v>177.38</v>
      </c>
      <c r="AC10" s="208"/>
      <c r="AD10" s="208"/>
      <c r="AE10" s="208"/>
      <c r="AF10" s="208"/>
      <c r="AG10" s="208"/>
      <c r="AH10" s="211"/>
      <c r="BB10" s="144">
        <f>(BD10)/(BE10)</f>
        <v>33.374002628808107</v>
      </c>
      <c r="BC10" s="72" t="str">
        <f>CONCATENATE(G10," ",L10," Year EUL")</f>
        <v>HVAC RES 14 Year EUL</v>
      </c>
      <c r="BD10" s="2943">
        <f>(INDEX('Avoided Cost Benefits'!$C$4:$C$857,MATCH(BC10,'Avoided Cost Benefits'!$A$4:$A$857,0)))*F10</f>
        <v>157.49883260409675</v>
      </c>
      <c r="BE10" s="2944">
        <f>M10/(1.0595^(2020-2019))</f>
        <v>4.7192071731949028</v>
      </c>
    </row>
    <row r="11" spans="1:57" x14ac:dyDescent="0.25">
      <c r="B11" s="1359"/>
      <c r="C11" s="483" t="s">
        <v>880</v>
      </c>
      <c r="D11" s="2169" t="s">
        <v>875</v>
      </c>
      <c r="E11" s="3017" t="str">
        <f>CONCATENATE(E10,"_CompE")</f>
        <v>Dirty Filter Alarm_MF_CompE</v>
      </c>
      <c r="F11" s="1660">
        <f t="shared" si="0"/>
        <v>85.65</v>
      </c>
      <c r="G11" s="3048" t="s">
        <v>877</v>
      </c>
      <c r="H11" s="202">
        <f>VLOOKUP(G11,'CP FACTORS'!$A$3:$B$38, 2, FALSE)</f>
        <v>4.6608050000000002E-4</v>
      </c>
      <c r="I11" s="1659">
        <f>F$23*F$24*F$26*F$27*F29*F32</f>
        <v>38.25</v>
      </c>
      <c r="J11" s="1659">
        <f>F$35*F$24*F$37*F$27*F29*F32</f>
        <v>47.4</v>
      </c>
      <c r="K11" s="994">
        <f>ROUND(H11*F11,6)</f>
        <v>3.9919999999999997E-2</v>
      </c>
      <c r="L11" s="2759">
        <f>$F$38</f>
        <v>14</v>
      </c>
      <c r="M11" s="510">
        <f>F40</f>
        <v>5</v>
      </c>
      <c r="N11" s="1658" t="s">
        <v>37</v>
      </c>
      <c r="V11" s="2309" t="str">
        <f t="shared" si="1"/>
        <v>kWh Annual Savings</v>
      </c>
      <c r="W11" s="486"/>
      <c r="X11" s="487"/>
      <c r="Y11" s="488">
        <v>85.65</v>
      </c>
      <c r="Z11" s="2582">
        <v>85.65</v>
      </c>
      <c r="AA11" s="2582">
        <v>85.65</v>
      </c>
      <c r="AB11" s="622">
        <v>85.65</v>
      </c>
      <c r="AC11" s="208"/>
      <c r="AD11" s="208"/>
      <c r="AE11" s="208"/>
      <c r="AF11" s="208"/>
      <c r="AG11" s="208"/>
      <c r="AH11" s="211"/>
      <c r="BB11" s="144">
        <f>(BD11)/(BE11)</f>
        <v>16.115026074852938</v>
      </c>
      <c r="BC11" s="72" t="str">
        <f>CONCATENATE(G11," ",L11," Year EUL")</f>
        <v>HVAC RES 14 Year EUL</v>
      </c>
      <c r="BD11" s="2943">
        <f>(INDEX('Avoided Cost Benefits'!$C$4:$C$857,MATCH(BC11,'Avoided Cost Benefits'!$A$4:$A$857,0)))*F11</f>
        <v>76.050146648668886</v>
      </c>
      <c r="BE11" s="2944">
        <f>M11/(1.0595^(2020-2019))</f>
        <v>4.7192071731949028</v>
      </c>
    </row>
    <row r="12" spans="1:57" outlineLevel="1" x14ac:dyDescent="0.25">
      <c r="B12" s="1359"/>
      <c r="C12" s="490"/>
      <c r="D12" s="490"/>
      <c r="E12" s="2902"/>
      <c r="F12" s="1661"/>
      <c r="G12" s="1662"/>
      <c r="H12" s="1663"/>
      <c r="I12" s="1664"/>
      <c r="J12" s="1665"/>
      <c r="K12" s="1666"/>
      <c r="L12" s="1667"/>
      <c r="M12" s="1668"/>
      <c r="N12" s="1020"/>
      <c r="W12" s="521"/>
      <c r="BE12" s="491"/>
    </row>
    <row r="13" spans="1:57" outlineLevel="1" x14ac:dyDescent="0.25">
      <c r="B13" s="1359"/>
      <c r="C13" s="1900"/>
      <c r="D13" s="222" t="s">
        <v>571</v>
      </c>
      <c r="E13" s="2903"/>
      <c r="F13" s="1669"/>
      <c r="G13" s="1012"/>
      <c r="H13" s="298"/>
      <c r="I13" s="298"/>
      <c r="J13" s="298"/>
      <c r="K13" s="298"/>
      <c r="L13" s="298"/>
      <c r="M13" s="1276"/>
      <c r="N13" s="298"/>
      <c r="O13" s="298"/>
      <c r="P13" s="298"/>
      <c r="Q13" s="298"/>
      <c r="R13" s="298"/>
      <c r="BE13" s="491"/>
    </row>
    <row r="14" spans="1:57" s="2277" customFormat="1" outlineLevel="1" x14ac:dyDescent="0.25">
      <c r="A14" s="157"/>
      <c r="B14" s="1359"/>
      <c r="C14" s="1900"/>
      <c r="D14" s="222"/>
      <c r="E14" s="2903"/>
      <c r="F14" s="1669"/>
      <c r="G14" s="1012"/>
      <c r="H14" s="298"/>
      <c r="I14" s="298"/>
      <c r="J14" s="298"/>
      <c r="K14" s="298"/>
      <c r="L14" s="298"/>
      <c r="M14" s="1276"/>
      <c r="N14" s="298"/>
      <c r="O14" s="298"/>
      <c r="P14" s="298"/>
      <c r="Q14" s="298"/>
      <c r="R14" s="298"/>
      <c r="S14" s="157"/>
      <c r="T14" s="157"/>
      <c r="U14" s="157"/>
      <c r="V14" s="157"/>
      <c r="W14" s="135"/>
      <c r="X14" s="135"/>
      <c r="Y14" s="135"/>
      <c r="Z14" s="135"/>
      <c r="AA14" s="135"/>
      <c r="AB14" s="135"/>
      <c r="BD14" s="1"/>
      <c r="BE14" s="491"/>
    </row>
    <row r="15" spans="1:57" s="2277" customFormat="1" outlineLevel="1" x14ac:dyDescent="0.25">
      <c r="A15" s="157"/>
      <c r="B15" s="1359"/>
      <c r="C15" s="1900"/>
      <c r="D15" s="222"/>
      <c r="E15" s="2903"/>
      <c r="F15" s="1669"/>
      <c r="G15" s="1012"/>
      <c r="H15" s="298"/>
      <c r="I15" s="298"/>
      <c r="J15" s="298"/>
      <c r="K15" s="298"/>
      <c r="L15" s="298"/>
      <c r="M15" s="1276"/>
      <c r="N15" s="298"/>
      <c r="O15" s="298"/>
      <c r="P15" s="298"/>
      <c r="Q15" s="298"/>
      <c r="R15" s="298"/>
      <c r="S15" s="157"/>
      <c r="T15" s="157"/>
      <c r="U15" s="157"/>
      <c r="V15" s="157"/>
      <c r="W15" s="135"/>
      <c r="X15" s="135"/>
      <c r="Y15" s="135"/>
      <c r="Z15" s="135"/>
      <c r="AA15" s="135"/>
      <c r="AB15" s="135"/>
      <c r="BD15" s="1"/>
      <c r="BE15" s="491"/>
    </row>
    <row r="16" spans="1:57" outlineLevel="1" x14ac:dyDescent="0.25">
      <c r="B16" s="1359"/>
      <c r="C16" s="1900"/>
      <c r="D16" s="493"/>
      <c r="E16" s="1030"/>
      <c r="F16" s="1030"/>
      <c r="G16" s="1030"/>
      <c r="H16" s="298"/>
      <c r="I16" s="298"/>
      <c r="J16" s="298"/>
      <c r="K16" s="298"/>
      <c r="L16" s="298"/>
      <c r="M16" s="1276"/>
      <c r="N16" s="298"/>
      <c r="O16" s="298"/>
      <c r="P16" s="298"/>
      <c r="Q16" s="298"/>
      <c r="R16" s="298"/>
      <c r="BE16" s="491"/>
    </row>
    <row r="17" spans="1:57" outlineLevel="1" x14ac:dyDescent="0.25">
      <c r="B17" s="1359"/>
      <c r="C17" s="1900"/>
      <c r="D17" s="493"/>
      <c r="E17" s="1030"/>
      <c r="F17" s="1030"/>
      <c r="G17" s="1030"/>
      <c r="H17" s="298"/>
      <c r="I17" s="298"/>
      <c r="J17" s="298"/>
      <c r="K17" s="298"/>
      <c r="L17" s="298"/>
      <c r="M17" s="1276"/>
      <c r="N17" s="298"/>
      <c r="O17" s="298"/>
      <c r="P17" s="298"/>
      <c r="Q17" s="298"/>
      <c r="R17" s="298"/>
      <c r="BE17" s="491"/>
    </row>
    <row r="18" spans="1:57" outlineLevel="1" x14ac:dyDescent="0.25">
      <c r="B18" s="1359"/>
      <c r="C18" s="1900"/>
      <c r="D18" s="493"/>
      <c r="E18" s="1030"/>
      <c r="F18" s="1030"/>
      <c r="G18" s="1030"/>
      <c r="H18" s="298"/>
      <c r="I18" s="298"/>
      <c r="J18" s="298"/>
      <c r="K18" s="298"/>
      <c r="L18" s="298"/>
      <c r="M18" s="298"/>
      <c r="N18" s="298"/>
      <c r="O18" s="298"/>
      <c r="P18" s="298"/>
      <c r="Q18" s="298"/>
      <c r="R18" s="298"/>
      <c r="BE18" s="491"/>
    </row>
    <row r="19" spans="1:57" outlineLevel="1" x14ac:dyDescent="0.25">
      <c r="B19" s="1359"/>
      <c r="C19" s="1900"/>
      <c r="D19" s="493"/>
      <c r="E19" s="1030"/>
      <c r="F19" s="1030"/>
      <c r="G19" s="1030"/>
      <c r="H19" s="298"/>
      <c r="I19" s="298"/>
      <c r="J19" s="298"/>
      <c r="K19" s="298"/>
      <c r="L19" s="298"/>
      <c r="M19" s="298"/>
      <c r="N19" s="298"/>
      <c r="O19" s="298"/>
      <c r="P19" s="298"/>
      <c r="Q19" s="298"/>
      <c r="R19" s="1627"/>
      <c r="BE19" s="491"/>
    </row>
    <row r="20" spans="1:57" outlineLevel="1" x14ac:dyDescent="0.25">
      <c r="B20" s="1359"/>
      <c r="C20" s="1900"/>
      <c r="D20" s="492"/>
      <c r="E20" s="2903"/>
      <c r="F20" s="1012"/>
      <c r="G20" s="1012"/>
      <c r="H20" s="298"/>
      <c r="I20" s="298"/>
      <c r="J20" s="298"/>
      <c r="K20" s="298"/>
      <c r="L20" s="298"/>
      <c r="M20" s="298"/>
      <c r="N20" s="298"/>
      <c r="O20" s="298"/>
      <c r="P20" s="298"/>
      <c r="Q20" s="298"/>
      <c r="R20" s="1627"/>
      <c r="BE20" s="491"/>
    </row>
    <row r="21" spans="1:57" outlineLevel="1" x14ac:dyDescent="0.25">
      <c r="B21" s="1359"/>
      <c r="C21" s="1900"/>
      <c r="D21" s="2774" t="s">
        <v>572</v>
      </c>
      <c r="E21" s="2772" t="s">
        <v>573</v>
      </c>
      <c r="F21" s="2765" t="s">
        <v>574</v>
      </c>
      <c r="G21" s="3483" t="s">
        <v>624</v>
      </c>
      <c r="H21" s="3484"/>
      <c r="I21" s="2765" t="s">
        <v>713</v>
      </c>
      <c r="J21" s="298"/>
      <c r="K21" s="298"/>
      <c r="L21" s="298"/>
      <c r="M21" s="298"/>
      <c r="N21" s="298"/>
      <c r="O21" s="298"/>
      <c r="P21" s="298"/>
      <c r="Q21" s="298"/>
      <c r="R21" s="1627"/>
      <c r="V21" s="623" t="s">
        <v>27</v>
      </c>
      <c r="W21" s="420">
        <f>$W$6</f>
        <v>43252</v>
      </c>
      <c r="X21" s="420">
        <f>$X$6</f>
        <v>43465</v>
      </c>
      <c r="Y21" s="420">
        <f>$Y$6</f>
        <v>43800</v>
      </c>
      <c r="Z21" s="420">
        <f>$Z$6</f>
        <v>43862</v>
      </c>
      <c r="AA21" s="420">
        <f>$AA$6</f>
        <v>44013</v>
      </c>
      <c r="AB21" s="420">
        <f>$AB$6</f>
        <v>44166</v>
      </c>
      <c r="AC21" s="56" t="str">
        <f>$AC$6</f>
        <v>-</v>
      </c>
      <c r="AD21" s="56" t="str">
        <f>$AD$6</f>
        <v>-</v>
      </c>
      <c r="AE21" s="56" t="str">
        <f>$AE$6</f>
        <v>-</v>
      </c>
      <c r="AF21" s="56" t="str">
        <f>$AF$6</f>
        <v>-</v>
      </c>
      <c r="AG21" s="56" t="str">
        <f>$AG$6</f>
        <v>-</v>
      </c>
      <c r="AH21" s="495"/>
      <c r="AI21" s="495"/>
      <c r="AJ21" s="495"/>
      <c r="BE21" s="491"/>
    </row>
    <row r="22" spans="1:57" outlineLevel="1" x14ac:dyDescent="0.25">
      <c r="B22" s="1359"/>
      <c r="C22" s="1900"/>
      <c r="D22" s="3545" t="s">
        <v>881</v>
      </c>
      <c r="E22" s="3092" t="s">
        <v>882</v>
      </c>
      <c r="F22" s="541">
        <v>0.95652173913043481</v>
      </c>
      <c r="G22" s="3502" t="s">
        <v>883</v>
      </c>
      <c r="H22" s="3503"/>
      <c r="I22" s="1091"/>
      <c r="J22" s="298"/>
      <c r="K22" s="298"/>
      <c r="L22" s="298"/>
      <c r="M22" s="298"/>
      <c r="N22" s="298"/>
      <c r="O22" s="298"/>
      <c r="P22" s="298"/>
      <c r="Q22" s="298"/>
      <c r="R22" s="1627"/>
      <c r="V22" s="3435" t="str">
        <f>D22</f>
        <v>%Heating</v>
      </c>
      <c r="W22" s="322">
        <v>0.95</v>
      </c>
      <c r="X22" s="350">
        <v>0.8571428571428571</v>
      </c>
      <c r="Y22" s="350">
        <v>0.95652173913043481</v>
      </c>
      <c r="Z22" s="2583">
        <v>0.95652173913043481</v>
      </c>
      <c r="AA22" s="2583">
        <v>0.95652173913043481</v>
      </c>
      <c r="AB22" s="496">
        <v>0.95652173913043481</v>
      </c>
      <c r="AC22" s="208"/>
      <c r="AD22" s="208"/>
      <c r="AE22" s="208"/>
      <c r="AF22" s="208"/>
      <c r="AG22" s="208"/>
      <c r="BE22" s="491"/>
    </row>
    <row r="23" spans="1:57" outlineLevel="1" x14ac:dyDescent="0.25">
      <c r="B23" s="1359"/>
      <c r="C23" s="1900"/>
      <c r="D23" s="3546"/>
      <c r="E23" s="3092" t="s">
        <v>884</v>
      </c>
      <c r="F23" s="673">
        <v>1</v>
      </c>
      <c r="G23" s="3502" t="s">
        <v>885</v>
      </c>
      <c r="H23" s="3503"/>
      <c r="I23" s="1091"/>
      <c r="J23" s="298"/>
      <c r="K23" s="298"/>
      <c r="L23" s="298"/>
      <c r="M23" s="298"/>
      <c r="N23" s="298"/>
      <c r="O23" s="298"/>
      <c r="P23" s="298"/>
      <c r="Q23" s="298"/>
      <c r="R23" s="1627"/>
      <c r="V23" s="3436"/>
      <c r="W23" s="341">
        <f>W22</f>
        <v>0.95</v>
      </c>
      <c r="X23" s="341">
        <v>0.95</v>
      </c>
      <c r="Y23" s="326">
        <v>1</v>
      </c>
      <c r="Z23" s="341">
        <v>1</v>
      </c>
      <c r="AA23" s="341">
        <v>1</v>
      </c>
      <c r="AB23" s="319">
        <v>1</v>
      </c>
      <c r="AC23" s="208"/>
      <c r="AD23" s="208"/>
      <c r="AE23" s="208"/>
      <c r="AF23" s="208"/>
      <c r="AG23" s="208"/>
      <c r="BE23" s="491"/>
    </row>
    <row r="24" spans="1:57" outlineLevel="1" x14ac:dyDescent="0.25">
      <c r="B24" s="1359"/>
      <c r="C24" s="1900"/>
      <c r="D24" s="3033" t="s">
        <v>23</v>
      </c>
      <c r="E24" s="3092" t="s">
        <v>591</v>
      </c>
      <c r="F24" s="1093">
        <v>0.5</v>
      </c>
      <c r="G24" s="3502" t="s">
        <v>714</v>
      </c>
      <c r="H24" s="3503"/>
      <c r="I24" s="1091"/>
      <c r="J24" s="298"/>
      <c r="K24" s="298"/>
      <c r="L24" s="298"/>
      <c r="M24" s="298"/>
      <c r="N24" s="298"/>
      <c r="O24" s="298"/>
      <c r="P24" s="298"/>
      <c r="Q24" s="298"/>
      <c r="R24" s="1627"/>
      <c r="V24" s="3034" t="str">
        <f>D24</f>
        <v>kW</v>
      </c>
      <c r="W24" s="500">
        <v>0.5</v>
      </c>
      <c r="X24" s="500">
        <v>0.5</v>
      </c>
      <c r="Y24" s="500">
        <v>0.5</v>
      </c>
      <c r="Z24" s="500">
        <v>0.5</v>
      </c>
      <c r="AA24" s="500">
        <v>0.5</v>
      </c>
      <c r="AB24" s="498">
        <v>0.5</v>
      </c>
      <c r="AC24" s="208"/>
      <c r="AD24" s="208"/>
      <c r="AE24" s="208"/>
      <c r="AF24" s="208"/>
      <c r="AG24" s="208"/>
      <c r="BE24" s="491"/>
    </row>
    <row r="25" spans="1:57" outlineLevel="1" x14ac:dyDescent="0.25">
      <c r="B25" s="1359"/>
      <c r="C25" s="1900"/>
      <c r="D25" s="3545" t="s">
        <v>1676</v>
      </c>
      <c r="E25" s="3092" t="s">
        <v>735</v>
      </c>
      <c r="F25" s="1092">
        <v>1496</v>
      </c>
      <c r="G25" s="3506" t="s">
        <v>887</v>
      </c>
      <c r="H25" s="3488"/>
      <c r="I25" s="1091"/>
      <c r="J25" s="298"/>
      <c r="K25" s="298"/>
      <c r="L25" s="298"/>
      <c r="M25" s="298"/>
      <c r="N25" s="298"/>
      <c r="O25" s="298"/>
      <c r="P25" s="298"/>
      <c r="Q25" s="298"/>
      <c r="R25" s="1627"/>
      <c r="V25" s="3435" t="str">
        <f>D25</f>
        <v>EFLHheat</v>
      </c>
      <c r="W25" s="359">
        <v>1496</v>
      </c>
      <c r="X25" s="359">
        <v>1496</v>
      </c>
      <c r="Y25" s="359">
        <v>1496</v>
      </c>
      <c r="Z25" s="359">
        <v>1496</v>
      </c>
      <c r="AA25" s="359">
        <v>1496</v>
      </c>
      <c r="AB25" s="501">
        <v>1496</v>
      </c>
      <c r="AC25" s="208"/>
      <c r="AD25" s="208"/>
      <c r="AE25" s="208"/>
      <c r="AF25" s="208"/>
      <c r="AG25" s="208"/>
      <c r="BE25" s="491"/>
    </row>
    <row r="26" spans="1:57" outlineLevel="1" x14ac:dyDescent="0.25">
      <c r="B26" s="1359"/>
      <c r="C26" s="1900"/>
      <c r="D26" s="3434"/>
      <c r="E26" s="3092" t="s">
        <v>888</v>
      </c>
      <c r="F26" s="2886">
        <v>510</v>
      </c>
      <c r="G26" s="3487" t="s">
        <v>889</v>
      </c>
      <c r="H26" s="3488"/>
      <c r="I26" s="2887"/>
      <c r="J26" s="298"/>
      <c r="K26" s="298"/>
      <c r="L26" s="298"/>
      <c r="M26" s="298"/>
      <c r="N26" s="298"/>
      <c r="O26" s="298"/>
      <c r="P26" s="298"/>
      <c r="Q26" s="298"/>
      <c r="R26" s="1627"/>
      <c r="V26" s="3434"/>
      <c r="W26" s="359"/>
      <c r="X26" s="359"/>
      <c r="Y26" s="357">
        <v>510</v>
      </c>
      <c r="Z26" s="359">
        <v>510</v>
      </c>
      <c r="AA26" s="359">
        <v>510</v>
      </c>
      <c r="AB26" s="505">
        <v>510</v>
      </c>
      <c r="AC26" s="208"/>
      <c r="AD26" s="208"/>
      <c r="AE26" s="208"/>
      <c r="AF26" s="208"/>
      <c r="AG26" s="208"/>
      <c r="BE26" s="491"/>
    </row>
    <row r="27" spans="1:57" ht="15.75" outlineLevel="1" thickBot="1" x14ac:dyDescent="0.3">
      <c r="B27" s="1359"/>
      <c r="C27" s="1900"/>
      <c r="D27" s="2888" t="s">
        <v>890</v>
      </c>
      <c r="E27" s="2904" t="s">
        <v>591</v>
      </c>
      <c r="F27" s="2889">
        <v>0.15</v>
      </c>
      <c r="G27" s="3504" t="s">
        <v>891</v>
      </c>
      <c r="H27" s="3505"/>
      <c r="I27" s="2890"/>
      <c r="J27" s="298"/>
      <c r="K27" s="298"/>
      <c r="L27" s="298"/>
      <c r="M27" s="298"/>
      <c r="N27" s="298"/>
      <c r="O27" s="298"/>
      <c r="P27" s="298"/>
      <c r="Q27" s="298"/>
      <c r="R27" s="1627"/>
      <c r="V27" s="2590" t="str">
        <f>D27</f>
        <v>EI</v>
      </c>
      <c r="W27" s="2599">
        <v>0.15</v>
      </c>
      <c r="X27" s="2599">
        <v>0.15</v>
      </c>
      <c r="Y27" s="2599">
        <v>0.15</v>
      </c>
      <c r="Z27" s="2599">
        <v>0.15</v>
      </c>
      <c r="AA27" s="2599">
        <v>0.15</v>
      </c>
      <c r="AB27" s="2591">
        <v>0.15</v>
      </c>
      <c r="AC27" s="2600"/>
      <c r="AD27" s="2600"/>
      <c r="AE27" s="2600"/>
      <c r="AF27" s="2600"/>
      <c r="AG27" s="2600"/>
      <c r="BE27" s="491"/>
    </row>
    <row r="28" spans="1:57" s="2277" customFormat="1" outlineLevel="1" x14ac:dyDescent="0.25">
      <c r="A28" s="157"/>
      <c r="B28" s="1359"/>
      <c r="C28" s="1900"/>
      <c r="D28" s="3547" t="s">
        <v>75</v>
      </c>
      <c r="E28" s="3130" t="s">
        <v>882</v>
      </c>
      <c r="F28" s="3131">
        <v>0.72</v>
      </c>
      <c r="G28" s="3491" t="s">
        <v>3515</v>
      </c>
      <c r="H28" s="3492"/>
      <c r="I28" s="2891"/>
      <c r="J28" s="298"/>
      <c r="K28" s="298"/>
      <c r="L28" s="298"/>
      <c r="M28" s="298"/>
      <c r="N28" s="298"/>
      <c r="O28" s="298"/>
      <c r="P28" s="298"/>
      <c r="Q28" s="298"/>
      <c r="R28" s="1627"/>
      <c r="S28" s="157"/>
      <c r="T28" s="157"/>
      <c r="U28" s="157"/>
      <c r="V28" s="3432" t="s">
        <v>75</v>
      </c>
      <c r="W28" s="319">
        <v>0.86</v>
      </c>
      <c r="X28" s="503">
        <v>0.89859999999999995</v>
      </c>
      <c r="Y28" s="503">
        <v>0.91869999999999996</v>
      </c>
      <c r="Z28" s="348">
        <v>0.91869999999999996</v>
      </c>
      <c r="AA28" s="348">
        <v>0.91869999999999996</v>
      </c>
      <c r="AB28" s="2593">
        <v>0.72</v>
      </c>
      <c r="AC28" s="208"/>
      <c r="AD28" s="208"/>
      <c r="AE28" s="208"/>
      <c r="AF28" s="208"/>
      <c r="AG28" s="208"/>
      <c r="BD28" s="1"/>
      <c r="BE28" s="491"/>
    </row>
    <row r="29" spans="1:57" outlineLevel="1" x14ac:dyDescent="0.25">
      <c r="B29" s="1359"/>
      <c r="C29" s="1900"/>
      <c r="D29" s="3548"/>
      <c r="E29" s="3092" t="s">
        <v>884</v>
      </c>
      <c r="F29" s="542">
        <v>1</v>
      </c>
      <c r="G29" s="3489" t="s">
        <v>893</v>
      </c>
      <c r="H29" s="3490"/>
      <c r="I29" s="2887"/>
      <c r="J29" s="298"/>
      <c r="K29" s="298"/>
      <c r="L29" s="298"/>
      <c r="M29" s="298"/>
      <c r="N29" s="298"/>
      <c r="O29" s="298"/>
      <c r="P29" s="298"/>
      <c r="Q29" s="298"/>
      <c r="V29" s="3433"/>
      <c r="W29" s="319">
        <v>1</v>
      </c>
      <c r="X29" s="319">
        <v>1</v>
      </c>
      <c r="Y29" s="319">
        <v>1</v>
      </c>
      <c r="Z29" s="319">
        <v>1</v>
      </c>
      <c r="AA29" s="319">
        <v>1</v>
      </c>
      <c r="AB29" s="502">
        <v>1</v>
      </c>
      <c r="AC29" s="208"/>
      <c r="AD29" s="208"/>
      <c r="AE29" s="208"/>
      <c r="AF29" s="208"/>
      <c r="AG29" s="208"/>
      <c r="BE29" s="491"/>
    </row>
    <row r="30" spans="1:57" s="2277" customFormat="1" outlineLevel="1" x14ac:dyDescent="0.25">
      <c r="A30" s="157"/>
      <c r="B30" s="1359"/>
      <c r="C30" s="1900"/>
      <c r="D30" s="3548"/>
      <c r="E30" s="3092" t="s">
        <v>882</v>
      </c>
      <c r="F30" s="542">
        <v>0.44</v>
      </c>
      <c r="G30" s="3489" t="s">
        <v>3522</v>
      </c>
      <c r="H30" s="3490"/>
      <c r="I30" s="2887"/>
      <c r="J30" s="298"/>
      <c r="K30" s="298"/>
      <c r="L30" s="298"/>
      <c r="M30" s="298"/>
      <c r="N30" s="298"/>
      <c r="O30" s="298"/>
      <c r="P30" s="298"/>
      <c r="Q30" s="298"/>
      <c r="R30" s="157"/>
      <c r="S30" s="157"/>
      <c r="T30" s="157"/>
      <c r="U30" s="157"/>
      <c r="V30" s="3433"/>
      <c r="W30" s="341">
        <v>0.47</v>
      </c>
      <c r="X30" s="350">
        <v>0.44871794871794873</v>
      </c>
      <c r="Y30" s="350">
        <v>0.39175257731958762</v>
      </c>
      <c r="Z30" s="2583">
        <v>0.39175257731958762</v>
      </c>
      <c r="AA30" s="2583">
        <v>0.39175257731958762</v>
      </c>
      <c r="AB30" s="2435">
        <v>0.44</v>
      </c>
      <c r="AC30" s="208"/>
      <c r="AD30" s="208"/>
      <c r="AE30" s="208"/>
      <c r="AF30" s="208"/>
      <c r="AG30" s="208"/>
      <c r="BD30" s="1"/>
      <c r="BE30" s="491"/>
    </row>
    <row r="31" spans="1:57" s="2277" customFormat="1" outlineLevel="1" x14ac:dyDescent="0.25">
      <c r="A31" s="157"/>
      <c r="B31" s="1359"/>
      <c r="C31" s="1900"/>
      <c r="D31" s="3548"/>
      <c r="E31" s="3092" t="s">
        <v>3516</v>
      </c>
      <c r="F31" s="542">
        <v>0.57889999999999997</v>
      </c>
      <c r="G31" s="3489" t="s">
        <v>1193</v>
      </c>
      <c r="H31" s="3490"/>
      <c r="I31" s="3084" t="s">
        <v>3521</v>
      </c>
      <c r="J31" s="298"/>
      <c r="K31" s="298"/>
      <c r="L31" s="298"/>
      <c r="M31" s="298"/>
      <c r="N31" s="298"/>
      <c r="O31" s="298"/>
      <c r="P31" s="298"/>
      <c r="Q31" s="298"/>
      <c r="R31" s="157"/>
      <c r="S31" s="157"/>
      <c r="T31" s="157"/>
      <c r="U31" s="157"/>
      <c r="V31" s="3433"/>
      <c r="W31" s="341"/>
      <c r="X31" s="350"/>
      <c r="Y31" s="350"/>
      <c r="Z31" s="2583"/>
      <c r="AA31" s="2583"/>
      <c r="AB31" s="2435">
        <v>0.57889999999999997</v>
      </c>
      <c r="AC31" s="208"/>
      <c r="AD31" s="208"/>
      <c r="AE31" s="208"/>
      <c r="AF31" s="208"/>
      <c r="AG31" s="208"/>
      <c r="BD31" s="1"/>
      <c r="BE31" s="491"/>
    </row>
    <row r="32" spans="1:57" outlineLevel="1" x14ac:dyDescent="0.25">
      <c r="B32" s="1359"/>
      <c r="C32" s="1900"/>
      <c r="D32" s="3548"/>
      <c r="E32" s="3092" t="s">
        <v>884</v>
      </c>
      <c r="F32" s="542">
        <v>1</v>
      </c>
      <c r="G32" s="3489" t="s">
        <v>893</v>
      </c>
      <c r="H32" s="3490"/>
      <c r="I32" s="2887"/>
      <c r="J32" s="298"/>
      <c r="K32" s="298"/>
      <c r="L32" s="298"/>
      <c r="M32" s="298"/>
      <c r="N32" s="298"/>
      <c r="O32" s="298"/>
      <c r="P32" s="298"/>
      <c r="Q32" s="298"/>
      <c r="V32" s="3433"/>
      <c r="W32" s="341">
        <v>0.47</v>
      </c>
      <c r="X32" s="504">
        <v>1</v>
      </c>
      <c r="Y32" s="504">
        <v>1</v>
      </c>
      <c r="Z32" s="2584">
        <v>1</v>
      </c>
      <c r="AA32" s="2584">
        <v>1</v>
      </c>
      <c r="AB32" s="502">
        <v>1</v>
      </c>
      <c r="AC32" s="208"/>
      <c r="AD32" s="208"/>
      <c r="AE32" s="208"/>
      <c r="AF32" s="208"/>
      <c r="AG32" s="208"/>
      <c r="BE32" s="491"/>
    </row>
    <row r="33" spans="1:57" s="2277" customFormat="1" ht="15.75" outlineLevel="1" thickBot="1" x14ac:dyDescent="0.3">
      <c r="A33" s="157"/>
      <c r="B33" s="1359"/>
      <c r="C33" s="1900"/>
      <c r="D33" s="3549"/>
      <c r="E33" s="2904" t="s">
        <v>3792</v>
      </c>
      <c r="F33" s="2889">
        <v>0.09</v>
      </c>
      <c r="G33" s="3507" t="s">
        <v>3517</v>
      </c>
      <c r="H33" s="3508"/>
      <c r="I33" s="2890"/>
      <c r="J33" s="298"/>
      <c r="K33" s="298"/>
      <c r="L33" s="298"/>
      <c r="M33" s="298"/>
      <c r="N33" s="298"/>
      <c r="O33" s="298"/>
      <c r="P33" s="298"/>
      <c r="Q33" s="298"/>
      <c r="R33" s="157"/>
      <c r="S33" s="157"/>
      <c r="T33" s="157"/>
      <c r="U33" s="157"/>
      <c r="V33" s="3550"/>
      <c r="W33" s="2599"/>
      <c r="X33" s="2601"/>
      <c r="Y33" s="2601"/>
      <c r="Z33" s="2602"/>
      <c r="AA33" s="2602"/>
      <c r="AB33" s="2594">
        <v>0.09</v>
      </c>
      <c r="AC33" s="2600"/>
      <c r="AD33" s="2600"/>
      <c r="AE33" s="2600"/>
      <c r="AF33" s="2600"/>
      <c r="AG33" s="2600"/>
      <c r="BD33" s="1"/>
      <c r="BE33" s="491"/>
    </row>
    <row r="34" spans="1:57" outlineLevel="1" x14ac:dyDescent="0.25">
      <c r="B34" s="1359"/>
      <c r="C34" s="1900"/>
      <c r="D34" s="3546" t="s">
        <v>734</v>
      </c>
      <c r="E34" s="2905" t="s">
        <v>882</v>
      </c>
      <c r="F34" s="2892">
        <v>0.95652173913043481</v>
      </c>
      <c r="G34" s="3491" t="s">
        <v>893</v>
      </c>
      <c r="H34" s="3492"/>
      <c r="I34" s="2893"/>
      <c r="J34" s="298"/>
      <c r="K34" s="298"/>
      <c r="L34" s="298"/>
      <c r="M34" s="298"/>
      <c r="N34" s="298"/>
      <c r="O34" s="298"/>
      <c r="P34" s="298"/>
      <c r="Q34" s="298"/>
      <c r="V34" s="3436" t="str">
        <f>D34</f>
        <v>%AC</v>
      </c>
      <c r="W34" s="2596">
        <v>0.95</v>
      </c>
      <c r="X34" s="2597">
        <v>0.96938775510204078</v>
      </c>
      <c r="Y34" s="2597">
        <v>0.95652173913043481</v>
      </c>
      <c r="Z34" s="2598">
        <v>0.95652173913043481</v>
      </c>
      <c r="AA34" s="2598">
        <v>0.95652173913043481</v>
      </c>
      <c r="AB34" s="2603">
        <v>0.95652173913043481</v>
      </c>
      <c r="AC34" s="2595"/>
      <c r="AD34" s="2595"/>
      <c r="AE34" s="2595"/>
      <c r="AF34" s="2595"/>
      <c r="AG34" s="2595"/>
      <c r="BE34" s="491"/>
    </row>
    <row r="35" spans="1:57" outlineLevel="1" x14ac:dyDescent="0.25">
      <c r="B35" s="1359"/>
      <c r="C35" s="1900"/>
      <c r="D35" s="3546"/>
      <c r="E35" s="3092" t="s">
        <v>884</v>
      </c>
      <c r="F35" s="542">
        <v>1</v>
      </c>
      <c r="G35" s="3489" t="s">
        <v>893</v>
      </c>
      <c r="H35" s="3490"/>
      <c r="I35" s="2887"/>
      <c r="J35" s="298"/>
      <c r="K35" s="298"/>
      <c r="L35" s="298"/>
      <c r="M35" s="298"/>
      <c r="N35" s="298"/>
      <c r="O35" s="298"/>
      <c r="P35" s="298"/>
      <c r="Q35" s="298"/>
      <c r="V35" s="3436"/>
      <c r="W35" s="341">
        <f>W34</f>
        <v>0.95</v>
      </c>
      <c r="X35" s="504">
        <v>1</v>
      </c>
      <c r="Y35" s="504">
        <v>1</v>
      </c>
      <c r="Z35" s="2584">
        <v>1</v>
      </c>
      <c r="AA35" s="2584">
        <v>1</v>
      </c>
      <c r="AB35" s="502">
        <v>1</v>
      </c>
      <c r="AC35" s="208"/>
      <c r="AD35" s="208"/>
      <c r="AE35" s="208"/>
      <c r="AF35" s="208"/>
      <c r="AG35" s="208"/>
      <c r="BE35" s="491"/>
    </row>
    <row r="36" spans="1:57" outlineLevel="1" x14ac:dyDescent="0.25">
      <c r="B36" s="1359"/>
      <c r="C36" s="1900"/>
      <c r="D36" s="3545" t="s">
        <v>1679</v>
      </c>
      <c r="E36" s="3092" t="s">
        <v>735</v>
      </c>
      <c r="F36" s="2886">
        <v>869</v>
      </c>
      <c r="G36" s="3487" t="s">
        <v>895</v>
      </c>
      <c r="H36" s="3488"/>
      <c r="I36" s="2887"/>
      <c r="J36" s="298"/>
      <c r="K36" s="298"/>
      <c r="L36" s="298"/>
      <c r="M36" s="1276"/>
      <c r="N36" s="298"/>
      <c r="O36" s="298"/>
      <c r="P36" s="298"/>
      <c r="Q36" s="298"/>
      <c r="V36" s="3435" t="str">
        <f>D36</f>
        <v>EFLHcool</v>
      </c>
      <c r="W36" s="329">
        <v>869</v>
      </c>
      <c r="X36" s="359">
        <v>869</v>
      </c>
      <c r="Y36" s="359">
        <v>869</v>
      </c>
      <c r="Z36" s="359">
        <v>869</v>
      </c>
      <c r="AA36" s="359">
        <v>869</v>
      </c>
      <c r="AB36" s="505">
        <v>869</v>
      </c>
      <c r="AC36" s="208"/>
      <c r="AD36" s="208"/>
      <c r="AE36" s="208"/>
      <c r="AF36" s="208"/>
      <c r="AG36" s="208"/>
      <c r="BE36" s="491"/>
    </row>
    <row r="37" spans="1:57" outlineLevel="1" x14ac:dyDescent="0.25">
      <c r="B37" s="1359"/>
      <c r="C37" s="1900"/>
      <c r="D37" s="3434"/>
      <c r="E37" s="3092" t="s">
        <v>888</v>
      </c>
      <c r="F37" s="2886">
        <v>632</v>
      </c>
      <c r="G37" s="3485"/>
      <c r="H37" s="3486"/>
      <c r="I37" s="2887"/>
      <c r="J37" s="298"/>
      <c r="K37" s="298"/>
      <c r="L37" s="298"/>
      <c r="M37" s="1276"/>
      <c r="N37" s="298"/>
      <c r="O37" s="298"/>
      <c r="P37" s="298"/>
      <c r="Q37" s="298"/>
      <c r="V37" s="3434"/>
      <c r="W37" s="329"/>
      <c r="X37" s="359"/>
      <c r="Y37" s="357">
        <v>632</v>
      </c>
      <c r="Z37" s="359">
        <v>632</v>
      </c>
      <c r="AA37" s="359">
        <v>632</v>
      </c>
      <c r="AB37" s="505">
        <v>632</v>
      </c>
      <c r="AC37" s="208"/>
      <c r="AD37" s="208"/>
      <c r="AE37" s="208"/>
      <c r="AF37" s="208"/>
      <c r="AG37" s="208"/>
      <c r="BE37" s="491"/>
    </row>
    <row r="38" spans="1:57" outlineLevel="1" x14ac:dyDescent="0.25">
      <c r="B38" s="1359"/>
      <c r="C38" s="1900"/>
      <c r="D38" s="1090" t="s">
        <v>896</v>
      </c>
      <c r="E38" s="3092" t="s">
        <v>611</v>
      </c>
      <c r="F38" s="2759">
        <v>14</v>
      </c>
      <c r="G38" s="3485"/>
      <c r="H38" s="3486"/>
      <c r="I38" s="1091"/>
      <c r="J38" s="298"/>
      <c r="K38" s="298"/>
      <c r="L38" s="298"/>
      <c r="M38" s="1276"/>
      <c r="N38" s="298"/>
      <c r="O38" s="298"/>
      <c r="P38" s="298"/>
      <c r="Q38" s="298"/>
      <c r="V38" s="2454" t="str">
        <f>D38</f>
        <v xml:space="preserve">EUL </v>
      </c>
      <c r="W38" s="506">
        <v>14</v>
      </c>
      <c r="X38" s="506">
        <v>14</v>
      </c>
      <c r="Y38" s="506">
        <v>14</v>
      </c>
      <c r="Z38" s="506">
        <v>14</v>
      </c>
      <c r="AA38" s="506">
        <v>14</v>
      </c>
      <c r="AB38" s="2759">
        <v>14</v>
      </c>
      <c r="AC38" s="506"/>
      <c r="AD38" s="506"/>
      <c r="AE38" s="506"/>
      <c r="AF38" s="506"/>
      <c r="AG38" s="506"/>
      <c r="BE38" s="491"/>
    </row>
    <row r="39" spans="1:57" outlineLevel="1" x14ac:dyDescent="0.25">
      <c r="B39" s="1359"/>
      <c r="C39" s="1900"/>
      <c r="D39" s="3556" t="s">
        <v>25</v>
      </c>
      <c r="E39" s="3092" t="s">
        <v>897</v>
      </c>
      <c r="F39" s="2758">
        <v>5</v>
      </c>
      <c r="G39" s="3485"/>
      <c r="H39" s="3486"/>
      <c r="I39" s="1091"/>
      <c r="J39" s="298"/>
      <c r="K39" s="298"/>
      <c r="L39" s="298"/>
      <c r="M39" s="1276"/>
      <c r="N39" s="298"/>
      <c r="O39" s="298"/>
      <c r="P39" s="298"/>
      <c r="Q39" s="298"/>
      <c r="V39" s="3557" t="str">
        <f>D39</f>
        <v>Inc. Cost</v>
      </c>
      <c r="W39" s="508">
        <v>5</v>
      </c>
      <c r="X39" s="508">
        <v>5</v>
      </c>
      <c r="Y39" s="508">
        <v>5</v>
      </c>
      <c r="Z39" s="508">
        <v>5</v>
      </c>
      <c r="AA39" s="508">
        <v>5</v>
      </c>
      <c r="AB39" s="2758">
        <v>5</v>
      </c>
      <c r="AC39" s="509"/>
      <c r="AD39" s="509"/>
      <c r="AE39" s="509"/>
      <c r="AF39" s="509"/>
      <c r="AG39" s="509"/>
      <c r="BE39" s="491"/>
    </row>
    <row r="40" spans="1:57" outlineLevel="1" x14ac:dyDescent="0.25">
      <c r="B40" s="1359"/>
      <c r="C40" s="1900"/>
      <c r="D40" s="3556" t="s">
        <v>25</v>
      </c>
      <c r="E40" s="3092" t="s">
        <v>897</v>
      </c>
      <c r="F40" s="2758">
        <v>5</v>
      </c>
      <c r="G40" s="3485"/>
      <c r="H40" s="3486"/>
      <c r="I40" s="1091"/>
      <c r="J40" s="298"/>
      <c r="K40" s="298"/>
      <c r="L40" s="298"/>
      <c r="M40" s="1276"/>
      <c r="N40" s="298"/>
      <c r="O40" s="298"/>
      <c r="P40" s="298"/>
      <c r="Q40" s="298"/>
      <c r="V40" s="3557"/>
      <c r="W40" s="267">
        <v>5</v>
      </c>
      <c r="X40" s="267">
        <v>5</v>
      </c>
      <c r="Y40" s="267">
        <v>5</v>
      </c>
      <c r="Z40" s="267">
        <v>5</v>
      </c>
      <c r="AA40" s="267">
        <v>5</v>
      </c>
      <c r="AB40" s="510">
        <v>5</v>
      </c>
      <c r="AC40" s="511"/>
      <c r="AD40" s="511"/>
      <c r="AE40" s="511"/>
      <c r="AF40" s="511"/>
      <c r="AG40" s="511"/>
      <c r="BE40" s="491"/>
    </row>
    <row r="41" spans="1:57" outlineLevel="1" x14ac:dyDescent="0.25">
      <c r="B41" s="1359"/>
      <c r="C41" s="1900"/>
      <c r="D41" s="3033" t="s">
        <v>898</v>
      </c>
      <c r="E41" s="3092" t="s">
        <v>899</v>
      </c>
      <c r="F41" s="2758" t="s">
        <v>900</v>
      </c>
      <c r="G41" s="3485"/>
      <c r="H41" s="3486"/>
      <c r="I41" s="1091"/>
      <c r="J41" s="298"/>
      <c r="K41" s="298"/>
      <c r="L41" s="298"/>
      <c r="M41" s="1276"/>
      <c r="N41" s="298"/>
      <c r="O41" s="298"/>
      <c r="P41" s="298"/>
      <c r="Q41" s="298"/>
      <c r="V41" s="3034" t="str">
        <f>D41</f>
        <v>P</v>
      </c>
      <c r="W41" s="506" t="s">
        <v>900</v>
      </c>
      <c r="X41" s="506" t="s">
        <v>900</v>
      </c>
      <c r="Y41" s="506" t="s">
        <v>900</v>
      </c>
      <c r="Z41" s="506" t="s">
        <v>900</v>
      </c>
      <c r="AA41" s="506" t="s">
        <v>900</v>
      </c>
      <c r="AB41" s="510" t="s">
        <v>900</v>
      </c>
      <c r="AC41" s="506"/>
      <c r="AD41" s="506"/>
      <c r="AE41" s="506"/>
      <c r="AF41" s="506"/>
      <c r="AG41" s="506"/>
      <c r="BE41" s="491"/>
    </row>
    <row r="42" spans="1:57" x14ac:dyDescent="0.25">
      <c r="B42" s="1359"/>
      <c r="C42" s="1900"/>
      <c r="D42" s="296"/>
      <c r="E42" s="1276"/>
      <c r="F42" s="298"/>
      <c r="G42" s="298"/>
      <c r="H42" s="298"/>
      <c r="I42" s="298"/>
      <c r="J42" s="298"/>
      <c r="K42" s="298"/>
      <c r="L42" s="298"/>
      <c r="M42" s="1276"/>
      <c r="N42" s="298"/>
      <c r="O42" s="298"/>
      <c r="P42" s="298"/>
      <c r="Q42" s="298"/>
    </row>
    <row r="43" spans="1:57" x14ac:dyDescent="0.25">
      <c r="A43" s="405"/>
      <c r="B43" s="3350" t="s">
        <v>901</v>
      </c>
      <c r="C43" s="3351"/>
      <c r="D43" s="3351"/>
      <c r="E43" s="3351"/>
      <c r="F43" s="3351"/>
      <c r="G43" s="3351"/>
      <c r="H43" s="3351"/>
      <c r="I43" s="3352"/>
      <c r="J43" s="3352"/>
      <c r="K43" s="3352"/>
      <c r="L43" s="3352"/>
      <c r="M43" s="3352"/>
      <c r="N43" s="3353"/>
      <c r="O43" s="298"/>
      <c r="P43" s="298"/>
      <c r="Q43" s="298"/>
      <c r="V43" s="3350" t="str">
        <f>B43</f>
        <v xml:space="preserve">LEDs (per bulb) </v>
      </c>
      <c r="W43" s="3351"/>
      <c r="X43" s="3351"/>
      <c r="Y43" s="3351"/>
      <c r="Z43" s="3351"/>
      <c r="AA43" s="3351"/>
      <c r="AB43" s="3351"/>
      <c r="AC43" s="3354"/>
      <c r="AD43" s="3354"/>
      <c r="AE43" s="3354"/>
      <c r="AF43" s="3354"/>
      <c r="AG43" s="3354"/>
      <c r="AH43" s="3355"/>
    </row>
    <row r="44" spans="1:57" x14ac:dyDescent="0.25">
      <c r="F44" s="413"/>
      <c r="G44" s="413"/>
      <c r="H44" s="413"/>
      <c r="I44" s="413"/>
      <c r="J44" s="413"/>
      <c r="K44" s="413"/>
      <c r="L44" s="413"/>
      <c r="M44" s="1276"/>
      <c r="N44" s="298"/>
      <c r="O44" s="298"/>
      <c r="P44" s="298"/>
      <c r="Q44" s="298"/>
    </row>
    <row r="45" spans="1:57" ht="30" x14ac:dyDescent="0.25">
      <c r="C45" s="2765" t="s">
        <v>17</v>
      </c>
      <c r="D45" s="2765" t="s">
        <v>616</v>
      </c>
      <c r="E45" s="407" t="s">
        <v>19</v>
      </c>
      <c r="F45" s="1409" t="s">
        <v>20</v>
      </c>
      <c r="G45" s="407" t="s">
        <v>21</v>
      </c>
      <c r="H45" s="407" t="s">
        <v>22</v>
      </c>
      <c r="I45" s="407" t="s">
        <v>23</v>
      </c>
      <c r="J45" s="407" t="s">
        <v>24</v>
      </c>
      <c r="K45" s="407" t="s">
        <v>25</v>
      </c>
      <c r="L45" s="1409" t="s">
        <v>26</v>
      </c>
      <c r="M45" s="1276"/>
      <c r="N45" s="298"/>
      <c r="O45" s="298"/>
      <c r="P45" s="298"/>
      <c r="Q45" s="298"/>
      <c r="V45" s="623" t="s">
        <v>27</v>
      </c>
      <c r="W45" s="420">
        <f>$W$6</f>
        <v>43252</v>
      </c>
      <c r="X45" s="420">
        <f>$X$6</f>
        <v>43465</v>
      </c>
      <c r="Y45" s="420">
        <f>$Y$6</f>
        <v>43800</v>
      </c>
      <c r="Z45" s="420">
        <f>$Z$6</f>
        <v>43862</v>
      </c>
      <c r="AA45" s="420">
        <f>$AA$6</f>
        <v>44013</v>
      </c>
      <c r="AB45" s="420">
        <f>$AB$6</f>
        <v>44166</v>
      </c>
      <c r="AC45" s="56" t="str">
        <f>$AC$6</f>
        <v>-</v>
      </c>
      <c r="AD45" s="56" t="str">
        <f>$AD$6</f>
        <v>-</v>
      </c>
      <c r="AE45" s="56" t="str">
        <f>$AE$6</f>
        <v>-</v>
      </c>
      <c r="AF45" s="56" t="str">
        <f>$AF$6</f>
        <v>-</v>
      </c>
      <c r="AG45" s="56" t="str">
        <f>$AG$6</f>
        <v>-</v>
      </c>
      <c r="BB45" s="93" t="str">
        <f>$BB$6</f>
        <v>TRC (2020)</v>
      </c>
      <c r="BC45" s="93" t="str">
        <f>$BC$6</f>
        <v>Benefit Lookup</v>
      </c>
      <c r="BD45" s="279" t="str">
        <f>$BD$6</f>
        <v>Benefits (2019 $)</v>
      </c>
      <c r="BE45" s="279" t="str">
        <f>$BE$6</f>
        <v>Incremental Cost (2019 $)</v>
      </c>
    </row>
    <row r="46" spans="1:57" x14ac:dyDescent="0.25">
      <c r="C46" s="3076" t="s">
        <v>902</v>
      </c>
      <c r="D46" s="531" t="s">
        <v>875</v>
      </c>
      <c r="E46" s="3075" t="str">
        <f>F69</f>
        <v>LED - 10W (CFL baseline) (750-1049 lumens)</v>
      </c>
      <c r="F46" s="514">
        <f>ROUND((($G$69-$G$75)*$G$90*(1-$G$86)*$G$81*$G$84)/$G$83,2)</f>
        <v>2.87</v>
      </c>
      <c r="G46" s="435" t="s">
        <v>532</v>
      </c>
      <c r="H46" s="515">
        <f>VLOOKUP(G46,'CP FACTORS'!$A$3:$B$38, 2, FALSE)</f>
        <v>1.4925290000000001E-4</v>
      </c>
      <c r="I46" s="516">
        <f t="shared" ref="I46:I53" si="5">ROUND(F46*H46,6)</f>
        <v>4.28E-4</v>
      </c>
      <c r="J46" s="3095">
        <f>$G$94</f>
        <v>19</v>
      </c>
      <c r="K46" s="510">
        <f>$G$95</f>
        <v>1.95</v>
      </c>
      <c r="L46" s="517" t="s">
        <v>37</v>
      </c>
      <c r="M46" s="518"/>
      <c r="N46" s="298"/>
      <c r="O46" s="298"/>
      <c r="P46" s="298"/>
      <c r="Q46" s="298"/>
      <c r="R46" s="1627"/>
      <c r="V46" s="2309" t="str">
        <f>$F$45</f>
        <v>kWh Annual Savings</v>
      </c>
      <c r="W46" s="519">
        <v>3.2707779028380117</v>
      </c>
      <c r="X46" s="187">
        <v>3.5883733629744001</v>
      </c>
      <c r="Y46" s="520">
        <v>3.57</v>
      </c>
      <c r="Z46" s="514">
        <v>3.57</v>
      </c>
      <c r="AA46" s="514">
        <v>3.57</v>
      </c>
      <c r="AB46" s="520">
        <v>2.87</v>
      </c>
      <c r="AC46" s="208"/>
      <c r="AD46" s="208"/>
      <c r="AE46" s="208"/>
      <c r="AF46" s="208"/>
      <c r="AG46" s="208"/>
      <c r="AH46" s="211"/>
      <c r="BB46" s="2945">
        <f t="shared" ref="BB46:BB53" si="6">(BD46)/(BE46)</f>
        <v>0.91346401321450899</v>
      </c>
      <c r="BC46" s="2922" t="str">
        <f t="shared" ref="BC46:BC53" si="7">CONCATENATE(G46," ",J46," Year EUL")</f>
        <v>Lighting RES 19 Year EUL</v>
      </c>
      <c r="BD46" s="2943">
        <f>(INDEX('Avoided Cost Benefits'!$C$4:$C$857,MATCH(BC46,'Avoided Cost Benefits'!$A$4:$A$857,0)))*F46</f>
        <v>1.6812221102107525</v>
      </c>
      <c r="BE46" s="2944">
        <f t="shared" ref="BE46:BE53" si="8">K46/(1.0595^(2020-2019))</f>
        <v>1.8404907975460121</v>
      </c>
    </row>
    <row r="47" spans="1:57" x14ac:dyDescent="0.25">
      <c r="C47" s="3076" t="s">
        <v>903</v>
      </c>
      <c r="D47" s="531" t="s">
        <v>742</v>
      </c>
      <c r="E47" s="3075" t="str">
        <f>F69</f>
        <v>LED - 10W (CFL baseline) (750-1049 lumens)</v>
      </c>
      <c r="F47" s="514">
        <f>ROUND((($G$69-$G$75)*$G$91*(1-$G$87)*$G$81*$G$84)/$G$83,2)</f>
        <v>4.34</v>
      </c>
      <c r="G47" s="435" t="s">
        <v>532</v>
      </c>
      <c r="H47" s="515">
        <f>VLOOKUP(G47,'CP FACTORS'!$A$3:$B$38, 2, FALSE)</f>
        <v>1.4925290000000001E-4</v>
      </c>
      <c r="I47" s="516">
        <f t="shared" si="5"/>
        <v>6.4800000000000003E-4</v>
      </c>
      <c r="J47" s="3095">
        <f>$G$94</f>
        <v>19</v>
      </c>
      <c r="K47" s="510">
        <f t="shared" ref="K47:K56" si="9">$G$95</f>
        <v>1.95</v>
      </c>
      <c r="L47" s="517" t="s">
        <v>37</v>
      </c>
      <c r="M47" s="518"/>
      <c r="N47" s="298"/>
      <c r="O47" s="298"/>
      <c r="P47" s="298"/>
      <c r="Q47" s="298"/>
      <c r="R47" s="1627"/>
      <c r="V47" s="2309" t="str">
        <f t="shared" ref="V47:V56" si="10">$F$45</f>
        <v>kWh Annual Savings</v>
      </c>
      <c r="W47" s="519">
        <v>3.3468425052295938</v>
      </c>
      <c r="X47" s="187">
        <v>3.5883733629744001</v>
      </c>
      <c r="Y47" s="520">
        <v>4.34</v>
      </c>
      <c r="Z47" s="514">
        <v>4.34</v>
      </c>
      <c r="AA47" s="514">
        <v>4.34</v>
      </c>
      <c r="AB47" s="514">
        <v>4.34</v>
      </c>
      <c r="AC47" s="208"/>
      <c r="AD47" s="208"/>
      <c r="AE47" s="208"/>
      <c r="AF47" s="208"/>
      <c r="AG47" s="208"/>
      <c r="AH47" s="211"/>
      <c r="BB47" s="2945">
        <f t="shared" si="6"/>
        <v>1.3813358248609648</v>
      </c>
      <c r="BC47" s="2922" t="str">
        <f t="shared" si="7"/>
        <v>Lighting RES 19 Year EUL</v>
      </c>
      <c r="BD47" s="2943">
        <f>(INDEX('Avoided Cost Benefits'!$C$4:$C$857,MATCH(BC47,'Avoided Cost Benefits'!$A$4:$A$857,0)))*F47</f>
        <v>2.5423358739772355</v>
      </c>
      <c r="BE47" s="2944">
        <f t="shared" si="8"/>
        <v>1.8404907975460121</v>
      </c>
    </row>
    <row r="48" spans="1:57" x14ac:dyDescent="0.25">
      <c r="C48" s="3076" t="s">
        <v>904</v>
      </c>
      <c r="D48" s="531" t="s">
        <v>875</v>
      </c>
      <c r="E48" s="3075" t="str">
        <f>F70</f>
        <v>LED - 10W (Halogen baseline) (750-1049 lumens)</v>
      </c>
      <c r="F48" s="514">
        <f>ROUND((($G$69-$G$75)*$G$90*(1-$G$86)*$G$81*$G$84)/$G$83,2)</f>
        <v>2.87</v>
      </c>
      <c r="G48" s="435" t="s">
        <v>532</v>
      </c>
      <c r="H48" s="515">
        <f>VLOOKUP(G48,'CP FACTORS'!$A$3:$B$38, 2, FALSE)</f>
        <v>1.4925290000000001E-4</v>
      </c>
      <c r="I48" s="516">
        <f t="shared" si="5"/>
        <v>4.28E-4</v>
      </c>
      <c r="J48" s="3095">
        <f>$G$94</f>
        <v>19</v>
      </c>
      <c r="K48" s="510">
        <f t="shared" si="9"/>
        <v>1.95</v>
      </c>
      <c r="L48" s="517" t="s">
        <v>37</v>
      </c>
      <c r="M48" s="518"/>
      <c r="N48" s="298"/>
      <c r="O48" s="298"/>
      <c r="P48" s="298"/>
      <c r="Q48" s="298"/>
      <c r="R48" s="1627"/>
      <c r="V48" s="2309" t="str">
        <f t="shared" si="10"/>
        <v>kWh Annual Savings</v>
      </c>
      <c r="W48" s="519">
        <v>24.41673736769771</v>
      </c>
      <c r="X48" s="187">
        <v>27.728339622984002</v>
      </c>
      <c r="Y48" s="520">
        <v>27.59</v>
      </c>
      <c r="Z48" s="514">
        <v>27.59</v>
      </c>
      <c r="AA48" s="514">
        <v>27.59</v>
      </c>
      <c r="AB48" s="520">
        <v>2.87</v>
      </c>
      <c r="AC48" s="208"/>
      <c r="AD48" s="208"/>
      <c r="AE48" s="208"/>
      <c r="AF48" s="208"/>
      <c r="AG48" s="208"/>
      <c r="AH48" s="211"/>
      <c r="BB48" s="2945">
        <f t="shared" si="6"/>
        <v>0.91346401321450899</v>
      </c>
      <c r="BC48" s="2922" t="str">
        <f t="shared" si="7"/>
        <v>Lighting RES 19 Year EUL</v>
      </c>
      <c r="BD48" s="2943">
        <f>(INDEX('Avoided Cost Benefits'!$C$4:$C$857,MATCH(BC48,'Avoided Cost Benefits'!$A$4:$A$857,0)))*F48</f>
        <v>1.6812221102107525</v>
      </c>
      <c r="BE48" s="2944">
        <f t="shared" si="8"/>
        <v>1.8404907975460121</v>
      </c>
    </row>
    <row r="49" spans="1:57" s="2277" customFormat="1" x14ac:dyDescent="0.25">
      <c r="A49" s="157"/>
      <c r="B49" s="157"/>
      <c r="C49" s="3076" t="s">
        <v>3536</v>
      </c>
      <c r="D49" s="531" t="s">
        <v>3770</v>
      </c>
      <c r="E49" s="3075" t="s">
        <v>3537</v>
      </c>
      <c r="F49" s="514">
        <f>ROUND((($G$70-$G$76)*$G$92*(1-$G$88)*$G$81*$G$84)/$G$83,2)</f>
        <v>30.15</v>
      </c>
      <c r="G49" s="435" t="s">
        <v>532</v>
      </c>
      <c r="H49" s="515">
        <f>VLOOKUP(G49,'CP FACTORS'!$A$3:$B$38, 2, FALSE)</f>
        <v>1.4925290000000001E-4</v>
      </c>
      <c r="I49" s="516">
        <v>4.5059999999999996E-3</v>
      </c>
      <c r="J49" s="3095">
        <v>19</v>
      </c>
      <c r="K49" s="510">
        <f t="shared" si="9"/>
        <v>1.95</v>
      </c>
      <c r="L49" s="517" t="s">
        <v>37</v>
      </c>
      <c r="M49" s="518"/>
      <c r="N49" s="298"/>
      <c r="O49" s="298"/>
      <c r="P49" s="298"/>
      <c r="Q49" s="298"/>
      <c r="R49" s="1627"/>
      <c r="S49" s="157"/>
      <c r="T49" s="157"/>
      <c r="U49" s="157"/>
      <c r="V49" s="2309" t="str">
        <f t="shared" si="10"/>
        <v>kWh Annual Savings</v>
      </c>
      <c r="W49" s="519"/>
      <c r="X49" s="187"/>
      <c r="Y49" s="520"/>
      <c r="Z49" s="514"/>
      <c r="AA49" s="514"/>
      <c r="AB49" s="520">
        <v>30.15</v>
      </c>
      <c r="AC49" s="208"/>
      <c r="AD49" s="208"/>
      <c r="AE49" s="208"/>
      <c r="AF49" s="208"/>
      <c r="AG49" s="208"/>
      <c r="AH49" s="211"/>
      <c r="BB49" s="2945">
        <f t="shared" ref="BB49:BB50" si="11">(BD49)/(BE49)</f>
        <v>9.5961463409120018</v>
      </c>
      <c r="BC49" s="2922" t="str">
        <f t="shared" ref="BC49:BC50" si="12">CONCATENATE(G49," ",J49," Year EUL")</f>
        <v>Lighting RES 19 Year EUL</v>
      </c>
      <c r="BD49" s="2943">
        <f>(INDEX('Avoided Cost Benefits'!$C$4:$C$857,MATCH(BC49,'Avoided Cost Benefits'!$A$4:$A$857,0)))*F49</f>
        <v>17.661619032353375</v>
      </c>
      <c r="BE49" s="2944">
        <f t="shared" ref="BE49:BE50" si="13">K49/(1.0595^(2020-2019))</f>
        <v>1.8404907975460121</v>
      </c>
    </row>
    <row r="50" spans="1:57" s="2277" customFormat="1" x14ac:dyDescent="0.25">
      <c r="A50" s="157"/>
      <c r="B50" s="157"/>
      <c r="C50" s="3076" t="s">
        <v>3538</v>
      </c>
      <c r="D50" s="4144" t="s">
        <v>3853</v>
      </c>
      <c r="E50" s="3075" t="s">
        <v>3787</v>
      </c>
      <c r="F50" s="514">
        <f>ROUND((($G$70-$G$76)*$G$93*(1-$G$89)*$G$81*$G$84)/$G$83,2)</f>
        <v>29.48</v>
      </c>
      <c r="G50" s="435" t="s">
        <v>532</v>
      </c>
      <c r="H50" s="515">
        <f>VLOOKUP(G50,'CP FACTORS'!$A$3:$B$38, 2, FALSE)</f>
        <v>1.4925290000000001E-4</v>
      </c>
      <c r="I50" s="516">
        <v>4.4060000000000002E-3</v>
      </c>
      <c r="J50" s="3095">
        <v>19</v>
      </c>
      <c r="K50" s="510">
        <f t="shared" si="9"/>
        <v>1.95</v>
      </c>
      <c r="L50" s="517" t="s">
        <v>37</v>
      </c>
      <c r="M50" s="518"/>
      <c r="N50" s="298"/>
      <c r="O50" s="298"/>
      <c r="P50" s="298"/>
      <c r="Q50" s="298"/>
      <c r="R50" s="1627"/>
      <c r="S50" s="157"/>
      <c r="T50" s="157"/>
      <c r="U50" s="157"/>
      <c r="V50" s="2309" t="str">
        <f t="shared" si="10"/>
        <v>kWh Annual Savings</v>
      </c>
      <c r="W50" s="519"/>
      <c r="X50" s="187"/>
      <c r="Y50" s="520"/>
      <c r="Z50" s="514"/>
      <c r="AA50" s="514"/>
      <c r="AB50" s="520">
        <v>29.48</v>
      </c>
      <c r="AC50" s="208"/>
      <c r="AD50" s="208"/>
      <c r="AE50" s="208"/>
      <c r="AF50" s="208"/>
      <c r="AG50" s="208"/>
      <c r="AH50" s="211"/>
      <c r="BB50" s="2945">
        <f t="shared" si="11"/>
        <v>9.3828986444472893</v>
      </c>
      <c r="BC50" s="2922" t="str">
        <f t="shared" si="12"/>
        <v>Lighting RES 19 Year EUL</v>
      </c>
      <c r="BD50" s="2943">
        <f>(INDEX('Avoided Cost Benefits'!$C$4:$C$857,MATCH(BC50,'Avoided Cost Benefits'!$A$4:$A$857,0)))*F50</f>
        <v>17.269138609412188</v>
      </c>
      <c r="BE50" s="2944">
        <f t="shared" si="13"/>
        <v>1.8404907975460121</v>
      </c>
    </row>
    <row r="51" spans="1:57" x14ac:dyDescent="0.25">
      <c r="C51" s="3076" t="s">
        <v>905</v>
      </c>
      <c r="D51" s="531" t="s">
        <v>742</v>
      </c>
      <c r="E51" s="3075" t="str">
        <f>F70</f>
        <v>LED - 10W (Halogen baseline) (750-1049 lumens)</v>
      </c>
      <c r="F51" s="514">
        <f>ROUND((($G$70-$G$76)*$G$91*(1-$G$87)*$G$81*$G$84)/$G$83,2)</f>
        <v>33.5</v>
      </c>
      <c r="G51" s="435" t="s">
        <v>532</v>
      </c>
      <c r="H51" s="515">
        <f>VLOOKUP(G51,'CP FACTORS'!$A$3:$B$38, 2, FALSE)</f>
        <v>1.4925290000000001E-4</v>
      </c>
      <c r="I51" s="516">
        <f t="shared" si="5"/>
        <v>5.0000000000000001E-3</v>
      </c>
      <c r="J51" s="3095">
        <f>$G$94</f>
        <v>19</v>
      </c>
      <c r="K51" s="510">
        <f t="shared" si="9"/>
        <v>1.95</v>
      </c>
      <c r="L51" s="517" t="s">
        <v>37</v>
      </c>
      <c r="M51" s="518"/>
      <c r="N51" s="298"/>
      <c r="O51" s="298"/>
      <c r="P51" s="298"/>
      <c r="Q51" s="298"/>
      <c r="R51" s="1627"/>
      <c r="V51" s="2309" t="str">
        <f t="shared" si="10"/>
        <v>kWh Annual Savings</v>
      </c>
      <c r="W51" s="519">
        <v>24.584079492959191</v>
      </c>
      <c r="X51" s="187">
        <v>27.728339622984002</v>
      </c>
      <c r="Y51" s="520">
        <v>33.54</v>
      </c>
      <c r="Z51" s="514">
        <v>33.54</v>
      </c>
      <c r="AA51" s="514">
        <v>33.54</v>
      </c>
      <c r="AB51" s="520">
        <v>33.5</v>
      </c>
      <c r="AC51" s="208"/>
      <c r="AD51" s="208"/>
      <c r="AE51" s="208"/>
      <c r="AF51" s="208"/>
      <c r="AG51" s="208"/>
      <c r="AH51" s="211"/>
      <c r="BB51" s="2945">
        <f t="shared" si="6"/>
        <v>10.662384823235557</v>
      </c>
      <c r="BC51" s="2922" t="str">
        <f t="shared" si="7"/>
        <v>Lighting RES 19 Year EUL</v>
      </c>
      <c r="BD51" s="2943">
        <f>(INDEX('Avoided Cost Benefits'!$C$4:$C$857,MATCH(BC51,'Avoided Cost Benefits'!$A$4:$A$857,0)))*F51</f>
        <v>19.624021147059306</v>
      </c>
      <c r="BE51" s="2944">
        <f t="shared" si="8"/>
        <v>1.8404907975460121</v>
      </c>
    </row>
    <row r="52" spans="1:57" x14ac:dyDescent="0.25">
      <c r="C52" s="3076" t="s">
        <v>906</v>
      </c>
      <c r="D52" s="531" t="s">
        <v>875</v>
      </c>
      <c r="E52" s="3075" t="s">
        <v>531</v>
      </c>
      <c r="F52" s="514">
        <f>ROUND((($G$71-$G$77)*$G$90*(1-$G$86)*$G$81*$G$84)/$G$83,2)</f>
        <v>22.19</v>
      </c>
      <c r="G52" s="435" t="s">
        <v>532</v>
      </c>
      <c r="H52" s="515">
        <f>VLOOKUP(G52,'CP FACTORS'!$A$3:$B$38, 2, FALSE)</f>
        <v>1.4925290000000001E-4</v>
      </c>
      <c r="I52" s="516">
        <f t="shared" si="5"/>
        <v>3.3119999999999998E-3</v>
      </c>
      <c r="J52" s="3095">
        <f>$G$94</f>
        <v>19</v>
      </c>
      <c r="K52" s="510">
        <f t="shared" si="9"/>
        <v>1.95</v>
      </c>
      <c r="L52" s="517" t="s">
        <v>37</v>
      </c>
      <c r="M52" s="518"/>
      <c r="N52" s="298"/>
      <c r="O52" s="298"/>
      <c r="P52" s="298"/>
      <c r="Q52" s="298"/>
      <c r="R52" s="1627"/>
      <c r="V52" s="2309" t="str">
        <f t="shared" si="10"/>
        <v>kWh Annual Savings</v>
      </c>
      <c r="W52" s="519">
        <v>25.861964813137764</v>
      </c>
      <c r="X52" s="187">
        <v>27.728339622984002</v>
      </c>
      <c r="Y52" s="520">
        <v>27.59</v>
      </c>
      <c r="Z52" s="514">
        <v>27.59</v>
      </c>
      <c r="AA52" s="514">
        <v>27.59</v>
      </c>
      <c r="AB52" s="520">
        <v>22.19</v>
      </c>
      <c r="AC52" s="208"/>
      <c r="AD52" s="208"/>
      <c r="AE52" s="208"/>
      <c r="AF52" s="208"/>
      <c r="AG52" s="208"/>
      <c r="AH52" s="211"/>
      <c r="BB52" s="2945">
        <f t="shared" si="6"/>
        <v>7.0626363948536426</v>
      </c>
      <c r="BC52" s="2922" t="str">
        <f t="shared" si="7"/>
        <v>Lighting RES 19 Year EUL</v>
      </c>
      <c r="BD52" s="2943">
        <f>(INDEX('Avoided Cost Benefits'!$C$4:$C$857,MATCH(BC52,'Avoided Cost Benefits'!$A$4:$A$857,0)))*F52</f>
        <v>12.998717291141672</v>
      </c>
      <c r="BE52" s="2944">
        <f t="shared" si="8"/>
        <v>1.8404907975460121</v>
      </c>
    </row>
    <row r="53" spans="1:57" x14ac:dyDescent="0.25">
      <c r="C53" s="1824" t="s">
        <v>3309</v>
      </c>
      <c r="D53" s="531" t="s">
        <v>742</v>
      </c>
      <c r="E53" s="3075" t="s">
        <v>531</v>
      </c>
      <c r="F53" s="514">
        <f>ROUND((($G$71-$G$77)*$G$91*(1-$G$87)*$G$81*$G$84)/$G$83,2)</f>
        <v>33.5</v>
      </c>
      <c r="G53" s="435" t="s">
        <v>532</v>
      </c>
      <c r="H53" s="515">
        <f>VLOOKUP(G53,'CP FACTORS'!$A$3:$B$38, 2, FALSE)</f>
        <v>1.4925290000000001E-4</v>
      </c>
      <c r="I53" s="516">
        <f t="shared" si="5"/>
        <v>5.0000000000000001E-3</v>
      </c>
      <c r="J53" s="3095">
        <f>$G$94</f>
        <v>19</v>
      </c>
      <c r="K53" s="510">
        <f t="shared" si="9"/>
        <v>1.95</v>
      </c>
      <c r="L53" s="517" t="s">
        <v>37</v>
      </c>
      <c r="M53" s="518"/>
      <c r="N53" s="298"/>
      <c r="O53" s="298"/>
      <c r="P53" s="298"/>
      <c r="Q53" s="298"/>
      <c r="R53" s="1627"/>
      <c r="V53" s="2309" t="str">
        <f t="shared" si="10"/>
        <v>kWh Annual Savings</v>
      </c>
      <c r="W53" s="519">
        <v>37.153826041105866</v>
      </c>
      <c r="X53" s="187">
        <v>33.540506999999998</v>
      </c>
      <c r="Y53" s="514">
        <v>33.54</v>
      </c>
      <c r="Z53" s="514">
        <v>33.54</v>
      </c>
      <c r="AA53" s="514">
        <v>33.54</v>
      </c>
      <c r="AB53" s="520">
        <v>33.5</v>
      </c>
      <c r="AC53" s="208"/>
      <c r="AD53" s="208"/>
      <c r="AE53" s="208"/>
      <c r="AF53" s="208"/>
      <c r="AG53" s="208"/>
      <c r="AH53" s="211"/>
      <c r="BB53" s="2945">
        <f t="shared" si="6"/>
        <v>10.662384823235557</v>
      </c>
      <c r="BC53" s="2922" t="str">
        <f t="shared" si="7"/>
        <v>Lighting RES 19 Year EUL</v>
      </c>
      <c r="BD53" s="2943">
        <f>(INDEX('Avoided Cost Benefits'!$C$4:$C$857,MATCH(BC53,'Avoided Cost Benefits'!$A$4:$A$857,0)))*F53</f>
        <v>19.624021147059306</v>
      </c>
      <c r="BE53" s="2944">
        <f t="shared" si="8"/>
        <v>1.8404907975460121</v>
      </c>
    </row>
    <row r="54" spans="1:57" s="2277" customFormat="1" x14ac:dyDescent="0.25">
      <c r="A54" s="157"/>
      <c r="B54" s="157"/>
      <c r="C54" s="1824" t="s">
        <v>3533</v>
      </c>
      <c r="D54" s="531" t="s">
        <v>3770</v>
      </c>
      <c r="E54" s="3075" t="s">
        <v>3523</v>
      </c>
      <c r="F54" s="514">
        <f>ROUND((($G$72-$G$78)*$G$92*(1-$G$88)*$G$81*$G$84)/$G$83,2)</f>
        <v>5.14</v>
      </c>
      <c r="G54" s="435" t="s">
        <v>532</v>
      </c>
      <c r="H54" s="515">
        <f>VLOOKUP(G54,'CP FACTORS'!$A$3:$B$38, 2, FALSE)</f>
        <v>1.4925290000000001E-4</v>
      </c>
      <c r="I54" s="516">
        <v>7.6900000000000004E-4</v>
      </c>
      <c r="J54" s="3095">
        <v>19</v>
      </c>
      <c r="K54" s="510">
        <f t="shared" si="9"/>
        <v>1.95</v>
      </c>
      <c r="L54" s="517" t="s">
        <v>37</v>
      </c>
      <c r="M54" s="518"/>
      <c r="N54" s="298"/>
      <c r="O54" s="298"/>
      <c r="P54" s="298"/>
      <c r="Q54" s="298"/>
      <c r="R54" s="1627"/>
      <c r="S54" s="157"/>
      <c r="T54" s="157"/>
      <c r="U54" s="157"/>
      <c r="V54" s="2309" t="str">
        <f t="shared" si="10"/>
        <v>kWh Annual Savings</v>
      </c>
      <c r="W54" s="519"/>
      <c r="X54" s="187"/>
      <c r="Y54" s="514"/>
      <c r="Z54" s="622"/>
      <c r="AA54" s="622"/>
      <c r="AB54" s="520">
        <v>5.14</v>
      </c>
      <c r="AC54" s="208"/>
      <c r="AD54" s="208"/>
      <c r="AE54" s="208"/>
      <c r="AF54" s="208"/>
      <c r="AG54" s="208"/>
      <c r="AH54" s="211"/>
      <c r="BB54" s="2945">
        <f t="shared" ref="BB54:BB56" si="14">(BD54)/(BE54)</f>
        <v>1.6359599400427092</v>
      </c>
      <c r="BC54" s="2922" t="str">
        <f t="shared" ref="BC54:BC56" si="15">CONCATENATE(G54," ",J54," Year EUL")</f>
        <v>Lighting RES 19 Year EUL</v>
      </c>
      <c r="BD54" s="2943">
        <f>(INDEX('Avoided Cost Benefits'!$C$4:$C$857,MATCH(BC54,'Avoided Cost Benefits'!$A$4:$A$857,0)))*F54</f>
        <v>3.010969214802532</v>
      </c>
      <c r="BE54" s="2944">
        <f t="shared" ref="BE54:BE56" si="16">K54/(1.0595^(2020-2019))</f>
        <v>1.8404907975460121</v>
      </c>
    </row>
    <row r="55" spans="1:57" s="2277" customFormat="1" x14ac:dyDescent="0.25">
      <c r="A55" s="157"/>
      <c r="B55" s="157"/>
      <c r="C55" s="1824" t="s">
        <v>3534</v>
      </c>
      <c r="D55" s="531" t="s">
        <v>3770</v>
      </c>
      <c r="E55" s="3075" t="s">
        <v>3526</v>
      </c>
      <c r="F55" s="514">
        <f>ROUND((($G$73-$G$79)*$G$92*(1-$G$88)*$G$81*$G$84)/$G$83,2)</f>
        <v>50.36</v>
      </c>
      <c r="G55" s="435" t="s">
        <v>532</v>
      </c>
      <c r="H55" s="515">
        <f>VLOOKUP(G55,'CP FACTORS'!$A$3:$B$38, 2, FALSE)</f>
        <v>1.4925290000000001E-4</v>
      </c>
      <c r="I55" s="516">
        <v>7.5269999999999998E-3</v>
      </c>
      <c r="J55" s="3095">
        <v>19</v>
      </c>
      <c r="K55" s="510">
        <f t="shared" si="9"/>
        <v>1.95</v>
      </c>
      <c r="L55" s="517" t="s">
        <v>37</v>
      </c>
      <c r="M55" s="518"/>
      <c r="N55" s="298"/>
      <c r="O55" s="298"/>
      <c r="P55" s="298"/>
      <c r="Q55" s="298"/>
      <c r="R55" s="1627"/>
      <c r="S55" s="157"/>
      <c r="T55" s="157"/>
      <c r="U55" s="157"/>
      <c r="V55" s="2309" t="str">
        <f t="shared" si="10"/>
        <v>kWh Annual Savings</v>
      </c>
      <c r="W55" s="519"/>
      <c r="X55" s="187"/>
      <c r="Y55" s="514"/>
      <c r="Z55" s="622"/>
      <c r="AA55" s="622"/>
      <c r="AB55" s="520">
        <v>50.36</v>
      </c>
      <c r="AC55" s="208"/>
      <c r="AD55" s="208"/>
      <c r="AE55" s="208"/>
      <c r="AF55" s="208"/>
      <c r="AG55" s="208"/>
      <c r="AH55" s="211"/>
      <c r="BB55" s="2945">
        <f t="shared" si="14"/>
        <v>16.028588050690825</v>
      </c>
      <c r="BC55" s="2922" t="str">
        <f t="shared" si="15"/>
        <v>Lighting RES 19 Year EUL</v>
      </c>
      <c r="BD55" s="2943">
        <f>(INDEX('Avoided Cost Benefits'!$C$4:$C$857,MATCH(BC55,'Avoided Cost Benefits'!$A$4:$A$857,0)))*F55</f>
        <v>29.500468804952437</v>
      </c>
      <c r="BE55" s="2944">
        <f t="shared" si="16"/>
        <v>1.8404907975460121</v>
      </c>
    </row>
    <row r="56" spans="1:57" s="2277" customFormat="1" x14ac:dyDescent="0.25">
      <c r="A56" s="157"/>
      <c r="B56" s="157"/>
      <c r="C56" s="1824" t="s">
        <v>3535</v>
      </c>
      <c r="D56" s="531" t="s">
        <v>3770</v>
      </c>
      <c r="E56" s="3075" t="s">
        <v>3527</v>
      </c>
      <c r="F56" s="514">
        <f>ROUND((($G$74-$G$80)*$G$92*(1-$G$88)*$G$81*$G$84)/$G$83,2)</f>
        <v>45.49</v>
      </c>
      <c r="G56" s="435" t="s">
        <v>532</v>
      </c>
      <c r="H56" s="515">
        <f>VLOOKUP(G56,'CP FACTORS'!$A$3:$B$38, 2, FALSE)</f>
        <v>1.4925290000000001E-4</v>
      </c>
      <c r="I56" s="516">
        <v>6.7980000000000002E-3</v>
      </c>
      <c r="J56" s="3095">
        <v>19</v>
      </c>
      <c r="K56" s="510">
        <f t="shared" si="9"/>
        <v>1.95</v>
      </c>
      <c r="L56" s="517" t="s">
        <v>37</v>
      </c>
      <c r="M56" s="518"/>
      <c r="N56" s="298"/>
      <c r="O56" s="298"/>
      <c r="P56" s="298"/>
      <c r="Q56" s="298"/>
      <c r="R56" s="1627"/>
      <c r="S56" s="157"/>
      <c r="T56" s="157"/>
      <c r="U56" s="157"/>
      <c r="V56" s="2309" t="str">
        <f t="shared" si="10"/>
        <v>kWh Annual Savings</v>
      </c>
      <c r="W56" s="519"/>
      <c r="X56" s="187"/>
      <c r="Y56" s="514"/>
      <c r="Z56" s="622"/>
      <c r="AA56" s="622"/>
      <c r="AB56" s="520">
        <v>45.49</v>
      </c>
      <c r="AC56" s="208"/>
      <c r="AD56" s="208"/>
      <c r="AE56" s="208"/>
      <c r="AF56" s="208"/>
      <c r="AG56" s="208"/>
      <c r="AH56" s="211"/>
      <c r="BB56" s="2945">
        <f t="shared" si="14"/>
        <v>14.478563749521957</v>
      </c>
      <c r="BC56" s="2922" t="str">
        <f t="shared" si="15"/>
        <v>Lighting RES 19 Year EUL</v>
      </c>
      <c r="BD56" s="2943">
        <f>(INDEX('Avoided Cost Benefits'!$C$4:$C$857,MATCH(BC56,'Avoided Cost Benefits'!$A$4:$A$857,0)))*F56</f>
        <v>26.647663342678445</v>
      </c>
      <c r="BE56" s="2944">
        <f t="shared" si="16"/>
        <v>1.8404907975460121</v>
      </c>
    </row>
    <row r="57" spans="1:57" outlineLevel="1" x14ac:dyDescent="0.25">
      <c r="F57" s="413"/>
      <c r="G57" s="1671"/>
      <c r="H57" s="413"/>
      <c r="K57" s="157" t="s">
        <v>907</v>
      </c>
      <c r="L57" s="413"/>
    </row>
    <row r="58" spans="1:57" outlineLevel="1" x14ac:dyDescent="0.25">
      <c r="D58" s="386" t="s">
        <v>571</v>
      </c>
      <c r="G58" s="413"/>
      <c r="H58" s="413"/>
      <c r="I58" s="413"/>
      <c r="J58" s="413"/>
      <c r="K58" s="413"/>
      <c r="L58" s="413"/>
    </row>
    <row r="59" spans="1:57" outlineLevel="1" x14ac:dyDescent="0.25">
      <c r="I59" s="413"/>
      <c r="J59" s="413"/>
      <c r="K59" s="413"/>
    </row>
    <row r="60" spans="1:57" outlineLevel="1" x14ac:dyDescent="0.25">
      <c r="I60" s="413"/>
      <c r="J60" s="413"/>
      <c r="K60" s="413"/>
    </row>
    <row r="61" spans="1:57" outlineLevel="1" x14ac:dyDescent="0.25">
      <c r="I61" s="413"/>
      <c r="J61" s="413"/>
      <c r="K61" s="413"/>
    </row>
    <row r="62" spans="1:57" outlineLevel="1" x14ac:dyDescent="0.25">
      <c r="E62" s="427"/>
      <c r="F62" s="272"/>
    </row>
    <row r="63" spans="1:57" outlineLevel="1" x14ac:dyDescent="0.25"/>
    <row r="64" spans="1:57" outlineLevel="1" x14ac:dyDescent="0.25"/>
    <row r="65" spans="1:57" outlineLevel="1" x14ac:dyDescent="0.25"/>
    <row r="66" spans="1:57" outlineLevel="1" x14ac:dyDescent="0.25"/>
    <row r="67" spans="1:57" outlineLevel="1" x14ac:dyDescent="0.25">
      <c r="M67" s="648"/>
      <c r="N67" s="648"/>
      <c r="O67" s="648"/>
      <c r="P67" s="648"/>
      <c r="Q67" s="648"/>
      <c r="R67" s="648"/>
      <c r="V67" s="623" t="s">
        <v>27</v>
      </c>
      <c r="W67" s="420">
        <f>$W$6</f>
        <v>43252</v>
      </c>
      <c r="X67" s="420">
        <f>$X$6</f>
        <v>43465</v>
      </c>
      <c r="Y67" s="420">
        <f>$Y$6</f>
        <v>43800</v>
      </c>
      <c r="Z67" s="420">
        <f>$Z$6</f>
        <v>43862</v>
      </c>
      <c r="AA67" s="420">
        <f>$AA$6</f>
        <v>44013</v>
      </c>
      <c r="AB67" s="420">
        <f>$AB$6</f>
        <v>44166</v>
      </c>
      <c r="AC67" s="56" t="str">
        <f>$AC$6</f>
        <v>-</v>
      </c>
      <c r="AD67" s="56" t="str">
        <f>$AD$6</f>
        <v>-</v>
      </c>
      <c r="AE67" s="56" t="str">
        <f>$AE$6</f>
        <v>-</v>
      </c>
      <c r="AF67" s="56" t="str">
        <f>$AF$6</f>
        <v>-</v>
      </c>
      <c r="AG67" s="56" t="str">
        <f>$AG$6</f>
        <v>-</v>
      </c>
      <c r="AI67" s="2277"/>
      <c r="AJ67" s="2277"/>
      <c r="AK67" s="2277"/>
      <c r="AL67" s="2277"/>
      <c r="AM67" s="2277"/>
      <c r="AN67" s="2277"/>
      <c r="AO67" s="2277"/>
      <c r="AP67" s="2277"/>
      <c r="AQ67" s="2277"/>
      <c r="AR67" s="2277"/>
      <c r="AS67" s="2277"/>
    </row>
    <row r="68" spans="1:57" outlineLevel="1" x14ac:dyDescent="0.25">
      <c r="D68" s="419" t="s">
        <v>572</v>
      </c>
      <c r="E68" s="2906" t="s">
        <v>573</v>
      </c>
      <c r="F68" s="419" t="s">
        <v>908</v>
      </c>
      <c r="G68" s="407" t="s">
        <v>574</v>
      </c>
      <c r="H68" s="407" t="s">
        <v>624</v>
      </c>
      <c r="I68" s="407" t="s">
        <v>575</v>
      </c>
      <c r="K68" s="523"/>
      <c r="L68" s="523"/>
      <c r="M68" s="648"/>
      <c r="N68" s="1672"/>
      <c r="O68" s="648"/>
      <c r="P68" s="648"/>
      <c r="Q68" s="648"/>
      <c r="R68" s="648"/>
      <c r="V68" s="3169"/>
      <c r="W68" s="2604"/>
      <c r="X68" s="2604"/>
      <c r="Y68" s="2604"/>
      <c r="Z68" s="2604"/>
      <c r="AA68" s="2604"/>
      <c r="AB68" s="2604"/>
      <c r="AC68" s="2604"/>
      <c r="AD68" s="2604"/>
      <c r="AE68" s="2604"/>
      <c r="AF68" s="2604"/>
      <c r="AG68" s="2604"/>
      <c r="AH68" s="157"/>
      <c r="AI68" s="2277"/>
      <c r="AJ68" s="2277"/>
      <c r="AK68" s="2277"/>
      <c r="AL68" s="2277"/>
      <c r="AM68" s="2277"/>
      <c r="AN68" s="2277"/>
      <c r="AO68" s="2277"/>
      <c r="AP68" s="2277"/>
      <c r="AQ68" s="2277"/>
      <c r="AR68" s="2277"/>
      <c r="AS68" s="2277"/>
    </row>
    <row r="69" spans="1:57" ht="15" customHeight="1" outlineLevel="1" x14ac:dyDescent="0.25">
      <c r="D69" s="3554" t="s">
        <v>911</v>
      </c>
      <c r="E69" s="3554" t="s">
        <v>912</v>
      </c>
      <c r="F69" s="3016" t="str">
        <f>'Lighting Deemed Table'!F44</f>
        <v>LED - 10W (CFL baseline) (750-1049 lumens)</v>
      </c>
      <c r="G69" s="524">
        <v>13.4</v>
      </c>
      <c r="H69" s="3016"/>
      <c r="I69" s="3016"/>
      <c r="K69" s="1673"/>
      <c r="L69" s="1673"/>
      <c r="M69" s="157"/>
      <c r="N69" s="633"/>
      <c r="V69" s="3558" t="s">
        <v>911</v>
      </c>
      <c r="W69" s="525">
        <v>13.4</v>
      </c>
      <c r="X69" s="524">
        <v>13.4</v>
      </c>
      <c r="Y69" s="524">
        <v>13.4</v>
      </c>
      <c r="Z69" s="524">
        <v>13.4</v>
      </c>
      <c r="AA69" s="524">
        <v>13.4</v>
      </c>
      <c r="AB69" s="524">
        <v>13.4</v>
      </c>
      <c r="AC69" s="525"/>
      <c r="AD69" s="525"/>
      <c r="AE69" s="525"/>
      <c r="AF69" s="525"/>
      <c r="AG69" s="525"/>
      <c r="AI69" s="2277"/>
      <c r="AJ69" s="2277"/>
      <c r="AK69" s="2277"/>
      <c r="AL69" s="2277"/>
      <c r="AM69" s="2277"/>
      <c r="AN69" s="2277"/>
      <c r="AO69" s="2277"/>
      <c r="AP69" s="2277"/>
      <c r="AQ69" s="2277"/>
      <c r="AR69" s="2277"/>
      <c r="AS69" s="2277"/>
    </row>
    <row r="70" spans="1:57" ht="30" outlineLevel="1" x14ac:dyDescent="0.25">
      <c r="D70" s="3552"/>
      <c r="E70" s="3552"/>
      <c r="F70" s="3016" t="str">
        <f>'Lighting Deemed Table'!F45</f>
        <v>LED - 10W (Halogen baseline) (750-1049 lumens)</v>
      </c>
      <c r="G70" s="524">
        <v>43</v>
      </c>
      <c r="H70" s="3008" t="s">
        <v>913</v>
      </c>
      <c r="I70" s="3008"/>
      <c r="K70" s="523"/>
      <c r="L70" s="523"/>
      <c r="M70" s="157"/>
      <c r="N70" s="633"/>
      <c r="V70" s="3362"/>
      <c r="W70" s="525">
        <v>39.5</v>
      </c>
      <c r="X70" s="526">
        <v>43</v>
      </c>
      <c r="Y70" s="524">
        <v>43</v>
      </c>
      <c r="Z70" s="524">
        <v>43</v>
      </c>
      <c r="AA70" s="524">
        <v>43</v>
      </c>
      <c r="AB70" s="524">
        <v>43</v>
      </c>
      <c r="AC70" s="525"/>
      <c r="AD70" s="525"/>
      <c r="AE70" s="525"/>
      <c r="AF70" s="525"/>
      <c r="AG70" s="525"/>
      <c r="AI70" s="2277"/>
      <c r="AJ70" s="2277"/>
      <c r="AK70" s="2277"/>
      <c r="AL70" s="2277"/>
      <c r="AM70" s="2277"/>
      <c r="AN70" s="2277"/>
      <c r="AO70" s="2277"/>
      <c r="AP70" s="2277"/>
      <c r="AQ70" s="2277"/>
      <c r="AR70" s="2277"/>
      <c r="AS70" s="2277"/>
    </row>
    <row r="71" spans="1:57" outlineLevel="1" x14ac:dyDescent="0.25">
      <c r="D71" s="3552"/>
      <c r="E71" s="3552"/>
      <c r="F71" s="3016" t="s">
        <v>531</v>
      </c>
      <c r="G71" s="524">
        <v>43</v>
      </c>
      <c r="H71" s="3008" t="s">
        <v>914</v>
      </c>
      <c r="I71" s="3008"/>
      <c r="K71" s="1673"/>
      <c r="L71" s="1673"/>
      <c r="M71" s="157"/>
      <c r="N71" s="633"/>
      <c r="V71" s="3362"/>
      <c r="W71" s="525">
        <v>43</v>
      </c>
      <c r="X71" s="525">
        <v>43</v>
      </c>
      <c r="Y71" s="525">
        <v>43</v>
      </c>
      <c r="Z71" s="525">
        <v>43</v>
      </c>
      <c r="AA71" s="525">
        <v>43</v>
      </c>
      <c r="AB71" s="524">
        <v>43</v>
      </c>
      <c r="AC71" s="525"/>
      <c r="AD71" s="525"/>
      <c r="AE71" s="525"/>
      <c r="AF71" s="525"/>
      <c r="AG71" s="525"/>
      <c r="AI71" s="2277"/>
      <c r="AJ71" s="2277"/>
      <c r="AK71" s="2277"/>
      <c r="AL71" s="2277"/>
      <c r="AM71" s="2277"/>
      <c r="AN71" s="2277"/>
      <c r="AO71" s="2277"/>
      <c r="AP71" s="2277"/>
      <c r="AQ71" s="2277"/>
      <c r="AR71" s="2277"/>
      <c r="AS71" s="2277"/>
    </row>
    <row r="72" spans="1:57" s="2277" customFormat="1" outlineLevel="1" x14ac:dyDescent="0.25">
      <c r="A72" s="157"/>
      <c r="B72" s="157"/>
      <c r="C72" s="386"/>
      <c r="D72" s="3552"/>
      <c r="E72" s="3552"/>
      <c r="F72" s="3016" t="s">
        <v>3523</v>
      </c>
      <c r="G72" s="524">
        <v>11</v>
      </c>
      <c r="H72" s="3008" t="s">
        <v>3524</v>
      </c>
      <c r="I72" s="3008" t="s">
        <v>3525</v>
      </c>
      <c r="J72" s="157"/>
      <c r="K72" s="1673"/>
      <c r="L72" s="1673"/>
      <c r="M72" s="157"/>
      <c r="N72" s="2370"/>
      <c r="O72" s="157"/>
      <c r="P72" s="157"/>
      <c r="Q72" s="157"/>
      <c r="R72" s="157"/>
      <c r="S72" s="157"/>
      <c r="T72" s="157"/>
      <c r="U72" s="157"/>
      <c r="V72" s="3362"/>
      <c r="W72" s="525"/>
      <c r="X72" s="525"/>
      <c r="Y72" s="525"/>
      <c r="Z72" s="525"/>
      <c r="AA72" s="525"/>
      <c r="AB72" s="526">
        <v>11</v>
      </c>
      <c r="AC72" s="525"/>
      <c r="AD72" s="525"/>
      <c r="AE72" s="525"/>
      <c r="AF72" s="525"/>
      <c r="AG72" s="525"/>
      <c r="BD72" s="1"/>
      <c r="BE72" s="1"/>
    </row>
    <row r="73" spans="1:57" s="2277" customFormat="1" outlineLevel="1" x14ac:dyDescent="0.25">
      <c r="A73" s="157"/>
      <c r="B73" s="157"/>
      <c r="C73" s="386"/>
      <c r="D73" s="3552"/>
      <c r="E73" s="3552"/>
      <c r="F73" s="3016" t="s">
        <v>3526</v>
      </c>
      <c r="G73" s="524">
        <v>72</v>
      </c>
      <c r="H73" s="3008" t="s">
        <v>3524</v>
      </c>
      <c r="I73" s="3008" t="s">
        <v>3525</v>
      </c>
      <c r="J73" s="157"/>
      <c r="K73" s="1673"/>
      <c r="L73" s="1673"/>
      <c r="M73" s="157"/>
      <c r="N73" s="2370"/>
      <c r="O73" s="157"/>
      <c r="P73" s="157"/>
      <c r="Q73" s="157"/>
      <c r="R73" s="157"/>
      <c r="S73" s="157"/>
      <c r="T73" s="157"/>
      <c r="U73" s="157"/>
      <c r="V73" s="3362"/>
      <c r="W73" s="525"/>
      <c r="X73" s="525"/>
      <c r="Y73" s="525"/>
      <c r="Z73" s="525"/>
      <c r="AA73" s="525"/>
      <c r="AB73" s="526">
        <v>72</v>
      </c>
      <c r="AC73" s="525"/>
      <c r="AD73" s="525"/>
      <c r="AE73" s="525"/>
      <c r="AF73" s="525"/>
      <c r="AG73" s="525"/>
      <c r="BD73" s="1"/>
      <c r="BE73" s="1"/>
    </row>
    <row r="74" spans="1:57" s="2277" customFormat="1" ht="15.75" outlineLevel="1" thickBot="1" x14ac:dyDescent="0.3">
      <c r="A74" s="157"/>
      <c r="B74" s="157"/>
      <c r="C74" s="386"/>
      <c r="D74" s="3553"/>
      <c r="E74" s="3553"/>
      <c r="F74" s="3132" t="s">
        <v>3527</v>
      </c>
      <c r="G74" s="3133">
        <v>61.3</v>
      </c>
      <c r="H74" s="3009" t="s">
        <v>3524</v>
      </c>
      <c r="I74" s="3009" t="s">
        <v>3525</v>
      </c>
      <c r="J74" s="157"/>
      <c r="K74" s="1673"/>
      <c r="L74" s="1673"/>
      <c r="M74" s="157"/>
      <c r="N74" s="2370"/>
      <c r="O74" s="157"/>
      <c r="P74" s="157"/>
      <c r="Q74" s="157"/>
      <c r="R74" s="157"/>
      <c r="S74" s="157"/>
      <c r="T74" s="157"/>
      <c r="U74" s="157"/>
      <c r="V74" s="3363"/>
      <c r="W74" s="2616"/>
      <c r="X74" s="2616"/>
      <c r="Y74" s="2616"/>
      <c r="Z74" s="2616"/>
      <c r="AA74" s="2616"/>
      <c r="AB74" s="2607">
        <v>61.3</v>
      </c>
      <c r="AC74" s="2616"/>
      <c r="AD74" s="2616"/>
      <c r="AE74" s="2616"/>
      <c r="AF74" s="2616"/>
      <c r="AG74" s="2616"/>
      <c r="BD74" s="1"/>
      <c r="BE74" s="1"/>
    </row>
    <row r="75" spans="1:57" ht="14.45" customHeight="1" outlineLevel="1" x14ac:dyDescent="0.25">
      <c r="D75" s="3555" t="s">
        <v>915</v>
      </c>
      <c r="E75" s="3555" t="s">
        <v>916</v>
      </c>
      <c r="F75" s="2605" t="s">
        <v>537</v>
      </c>
      <c r="G75" s="2606">
        <v>9</v>
      </c>
      <c r="H75" s="3007"/>
      <c r="I75" s="3007"/>
      <c r="K75" s="1673"/>
      <c r="L75" s="1673"/>
      <c r="M75" s="157"/>
      <c r="N75" s="633"/>
      <c r="V75" s="3361" t="s">
        <v>915</v>
      </c>
      <c r="W75" s="2618">
        <v>9</v>
      </c>
      <c r="X75" s="2606">
        <v>9</v>
      </c>
      <c r="Y75" s="2606">
        <v>9</v>
      </c>
      <c r="Z75" s="2606">
        <v>9</v>
      </c>
      <c r="AA75" s="2606">
        <v>9</v>
      </c>
      <c r="AB75" s="2606">
        <v>9</v>
      </c>
      <c r="AC75" s="2619"/>
      <c r="AD75" s="2619"/>
      <c r="AE75" s="2619"/>
      <c r="AF75" s="2619"/>
      <c r="AG75" s="2619"/>
      <c r="AI75" s="2277"/>
      <c r="AJ75" s="2277"/>
      <c r="AK75" s="2277"/>
      <c r="AL75" s="2277"/>
      <c r="AM75" s="2277"/>
      <c r="AN75" s="2277"/>
      <c r="AO75" s="2277"/>
      <c r="AP75" s="2277"/>
      <c r="AQ75" s="2277"/>
      <c r="AR75" s="2277"/>
      <c r="AS75" s="2277"/>
    </row>
    <row r="76" spans="1:57" outlineLevel="1" x14ac:dyDescent="0.25">
      <c r="D76" s="3552"/>
      <c r="E76" s="3552"/>
      <c r="F76" s="3016" t="s">
        <v>539</v>
      </c>
      <c r="G76" s="524">
        <v>9</v>
      </c>
      <c r="H76" s="3008"/>
      <c r="I76" s="3008"/>
      <c r="K76" s="1673"/>
      <c r="L76" s="1673"/>
      <c r="M76" s="157"/>
      <c r="N76" s="633"/>
      <c r="V76" s="3362"/>
      <c r="W76" s="528">
        <v>9</v>
      </c>
      <c r="X76" s="524">
        <v>9</v>
      </c>
      <c r="Y76" s="524">
        <v>9</v>
      </c>
      <c r="Z76" s="524">
        <v>9</v>
      </c>
      <c r="AA76" s="524">
        <v>9</v>
      </c>
      <c r="AB76" s="524">
        <v>9</v>
      </c>
      <c r="AC76" s="525"/>
      <c r="AD76" s="525"/>
      <c r="AE76" s="525"/>
      <c r="AF76" s="525"/>
      <c r="AG76" s="525"/>
      <c r="AI76" s="2277"/>
      <c r="AJ76" s="2277"/>
      <c r="AK76" s="2277"/>
      <c r="AL76" s="2277"/>
      <c r="AM76" s="2277"/>
      <c r="AN76" s="2277"/>
      <c r="AO76" s="2277"/>
      <c r="AP76" s="2277"/>
      <c r="AQ76" s="2277"/>
      <c r="AR76" s="2277"/>
      <c r="AS76" s="2277"/>
    </row>
    <row r="77" spans="1:57" outlineLevel="1" x14ac:dyDescent="0.25">
      <c r="D77" s="3552"/>
      <c r="E77" s="3552"/>
      <c r="F77" s="3016" t="s">
        <v>531</v>
      </c>
      <c r="G77" s="524">
        <v>9</v>
      </c>
      <c r="H77" s="3008" t="s">
        <v>917</v>
      </c>
      <c r="I77" s="3008"/>
      <c r="K77" s="1674"/>
      <c r="L77" s="1674"/>
      <c r="M77" s="157"/>
      <c r="N77" s="633"/>
      <c r="V77" s="3362"/>
      <c r="W77" s="525">
        <v>9</v>
      </c>
      <c r="X77" s="525">
        <v>9</v>
      </c>
      <c r="Y77" s="525">
        <v>9</v>
      </c>
      <c r="Z77" s="525">
        <v>9</v>
      </c>
      <c r="AA77" s="525">
        <v>9</v>
      </c>
      <c r="AB77" s="524">
        <v>9</v>
      </c>
      <c r="AC77" s="525"/>
      <c r="AD77" s="525"/>
      <c r="AE77" s="525"/>
      <c r="AF77" s="525"/>
      <c r="AG77" s="525"/>
      <c r="AI77" s="2277"/>
      <c r="AJ77" s="2277"/>
      <c r="AK77" s="2277"/>
      <c r="AL77" s="2277"/>
      <c r="AM77" s="2277"/>
      <c r="AN77" s="2277"/>
      <c r="AO77" s="2277"/>
      <c r="AP77" s="2277"/>
      <c r="AQ77" s="2277"/>
      <c r="AR77" s="2277"/>
      <c r="AS77" s="2277"/>
    </row>
    <row r="78" spans="1:57" s="2277" customFormat="1" outlineLevel="1" x14ac:dyDescent="0.25">
      <c r="A78" s="157"/>
      <c r="B78" s="157"/>
      <c r="C78" s="386"/>
      <c r="D78" s="3552"/>
      <c r="E78" s="3552"/>
      <c r="F78" s="3016" t="s">
        <v>3523</v>
      </c>
      <c r="G78" s="524">
        <v>5.2</v>
      </c>
      <c r="H78" s="3008" t="s">
        <v>3524</v>
      </c>
      <c r="I78" s="3008" t="s">
        <v>3525</v>
      </c>
      <c r="J78" s="157"/>
      <c r="K78" s="1674"/>
      <c r="L78" s="1674"/>
      <c r="M78" s="157"/>
      <c r="N78" s="2370"/>
      <c r="O78" s="157"/>
      <c r="P78" s="157"/>
      <c r="Q78" s="157"/>
      <c r="R78" s="157"/>
      <c r="S78" s="157"/>
      <c r="T78" s="157"/>
      <c r="U78" s="157"/>
      <c r="V78" s="3362"/>
      <c r="W78" s="525"/>
      <c r="X78" s="525"/>
      <c r="Y78" s="525"/>
      <c r="Z78" s="525"/>
      <c r="AA78" s="525"/>
      <c r="AB78" s="526">
        <v>5.2</v>
      </c>
      <c r="AC78" s="525"/>
      <c r="AD78" s="525"/>
      <c r="AE78" s="525"/>
      <c r="AF78" s="525"/>
      <c r="AG78" s="525"/>
      <c r="BD78" s="1"/>
      <c r="BE78" s="1"/>
    </row>
    <row r="79" spans="1:57" s="2277" customFormat="1" outlineLevel="1" x14ac:dyDescent="0.25">
      <c r="A79" s="157"/>
      <c r="B79" s="157"/>
      <c r="C79" s="386"/>
      <c r="D79" s="3552"/>
      <c r="E79" s="3552"/>
      <c r="F79" s="3016" t="s">
        <v>3526</v>
      </c>
      <c r="G79" s="524">
        <v>15.2</v>
      </c>
      <c r="H79" s="3008" t="s">
        <v>3524</v>
      </c>
      <c r="I79" s="3008" t="s">
        <v>3525</v>
      </c>
      <c r="J79" s="157"/>
      <c r="K79" s="1674"/>
      <c r="L79" s="1674"/>
      <c r="M79" s="157"/>
      <c r="N79" s="2370"/>
      <c r="O79" s="157"/>
      <c r="P79" s="157"/>
      <c r="Q79" s="157"/>
      <c r="R79" s="157"/>
      <c r="S79" s="157"/>
      <c r="T79" s="157"/>
      <c r="U79" s="157"/>
      <c r="V79" s="3362"/>
      <c r="W79" s="525"/>
      <c r="X79" s="525"/>
      <c r="Y79" s="525"/>
      <c r="Z79" s="525"/>
      <c r="AA79" s="525"/>
      <c r="AB79" s="526">
        <v>15.2</v>
      </c>
      <c r="AC79" s="525"/>
      <c r="AD79" s="525"/>
      <c r="AE79" s="525"/>
      <c r="AF79" s="525"/>
      <c r="AG79" s="525"/>
      <c r="BD79" s="1"/>
      <c r="BE79" s="1"/>
    </row>
    <row r="80" spans="1:57" s="2277" customFormat="1" ht="15.75" outlineLevel="1" thickBot="1" x14ac:dyDescent="0.3">
      <c r="A80" s="157"/>
      <c r="B80" s="157"/>
      <c r="C80" s="386"/>
      <c r="D80" s="3553"/>
      <c r="E80" s="3553"/>
      <c r="F80" s="3132" t="s">
        <v>3527</v>
      </c>
      <c r="G80" s="3133">
        <v>10</v>
      </c>
      <c r="H80" s="3009" t="s">
        <v>3524</v>
      </c>
      <c r="I80" s="3009" t="s">
        <v>3525</v>
      </c>
      <c r="J80" s="157"/>
      <c r="K80" s="1674"/>
      <c r="L80" s="1674"/>
      <c r="M80" s="157"/>
      <c r="N80" s="2370"/>
      <c r="O80" s="157"/>
      <c r="P80" s="157"/>
      <c r="Q80" s="157"/>
      <c r="R80" s="157"/>
      <c r="S80" s="157"/>
      <c r="T80" s="157"/>
      <c r="U80" s="157"/>
      <c r="V80" s="3363"/>
      <c r="W80" s="2616"/>
      <c r="X80" s="2616"/>
      <c r="Y80" s="2616"/>
      <c r="Z80" s="2616"/>
      <c r="AA80" s="2616"/>
      <c r="AB80" s="2607">
        <v>10</v>
      </c>
      <c r="AC80" s="2616"/>
      <c r="AD80" s="2616"/>
      <c r="AE80" s="2616"/>
      <c r="AF80" s="2616"/>
      <c r="AG80" s="2616"/>
      <c r="BD80" s="1"/>
      <c r="BE80" s="1"/>
    </row>
    <row r="81" spans="1:57" ht="18" outlineLevel="1" x14ac:dyDescent="0.25">
      <c r="D81" s="3029" t="s">
        <v>918</v>
      </c>
      <c r="E81" s="3031" t="s">
        <v>919</v>
      </c>
      <c r="F81" s="3029"/>
      <c r="G81" s="3134">
        <f>2.72652*365</f>
        <v>995.17979999999989</v>
      </c>
      <c r="H81" s="821" t="s">
        <v>3835</v>
      </c>
      <c r="I81" s="3025" t="s">
        <v>3836</v>
      </c>
      <c r="K81" s="1674"/>
      <c r="L81" s="1674"/>
      <c r="M81" s="157"/>
      <c r="N81" s="633"/>
      <c r="V81" s="3004" t="s">
        <v>918</v>
      </c>
      <c r="W81" s="2617">
        <v>2.73</v>
      </c>
      <c r="X81" s="2608">
        <v>2.73</v>
      </c>
      <c r="Y81" s="2608">
        <v>2.73</v>
      </c>
      <c r="Z81" s="2608">
        <v>2.73</v>
      </c>
      <c r="AA81" s="2608">
        <v>2.73</v>
      </c>
      <c r="AB81" s="2999">
        <f>2.73*365</f>
        <v>996.45</v>
      </c>
      <c r="AC81" s="2617"/>
      <c r="AD81" s="2617"/>
      <c r="AE81" s="2617"/>
      <c r="AF81" s="2617"/>
      <c r="AG81" s="2617"/>
      <c r="AI81" s="2277"/>
      <c r="AJ81" s="2277"/>
      <c r="AK81" s="2277"/>
      <c r="AL81" s="2277"/>
      <c r="AM81" s="2277"/>
      <c r="AN81" s="2277"/>
      <c r="AO81" s="2277"/>
      <c r="AP81" s="2277"/>
      <c r="AQ81" s="2277"/>
      <c r="AR81" s="2277"/>
      <c r="AS81" s="2277"/>
    </row>
    <row r="82" spans="1:57" outlineLevel="1" x14ac:dyDescent="0.25">
      <c r="D82" s="3135" t="s">
        <v>218</v>
      </c>
      <c r="E82" s="3136" t="s">
        <v>921</v>
      </c>
      <c r="F82" s="3135"/>
      <c r="G82" s="3137">
        <v>365</v>
      </c>
      <c r="H82" s="3138" t="s">
        <v>921</v>
      </c>
      <c r="I82" s="3138"/>
      <c r="K82" s="1674"/>
      <c r="L82" s="1674"/>
      <c r="M82" s="157"/>
      <c r="N82" s="633"/>
      <c r="V82" s="513" t="s">
        <v>218</v>
      </c>
      <c r="W82" s="434">
        <v>365</v>
      </c>
      <c r="X82" s="434">
        <v>365</v>
      </c>
      <c r="Y82" s="434">
        <v>365</v>
      </c>
      <c r="Z82" s="434">
        <v>365</v>
      </c>
      <c r="AA82" s="434">
        <v>365</v>
      </c>
      <c r="AB82" s="434">
        <v>365</v>
      </c>
      <c r="AC82" s="434"/>
      <c r="AD82" s="434"/>
      <c r="AE82" s="434"/>
      <c r="AF82" s="434"/>
      <c r="AG82" s="434"/>
      <c r="AH82" s="132"/>
      <c r="AI82" s="2277"/>
      <c r="AJ82" s="2277"/>
      <c r="AK82" s="2277"/>
      <c r="AL82" s="2277"/>
      <c r="AM82" s="2277"/>
      <c r="AN82" s="2277"/>
      <c r="AO82" s="2277"/>
      <c r="AP82" s="2277"/>
      <c r="AQ82" s="2277"/>
      <c r="AR82" s="2277"/>
      <c r="AS82" s="2277"/>
    </row>
    <row r="83" spans="1:57" outlineLevel="1" x14ac:dyDescent="0.25">
      <c r="D83" s="533">
        <v>1000</v>
      </c>
      <c r="E83" s="2907" t="s">
        <v>922</v>
      </c>
      <c r="F83" s="533"/>
      <c r="G83" s="534">
        <v>1000</v>
      </c>
      <c r="H83" s="3008" t="s">
        <v>922</v>
      </c>
      <c r="I83" s="3008"/>
      <c r="K83" s="1674"/>
      <c r="L83" s="1674"/>
      <c r="M83" s="157"/>
      <c r="N83" s="633"/>
      <c r="V83" s="1919">
        <v>1000</v>
      </c>
      <c r="W83" s="535">
        <v>1000</v>
      </c>
      <c r="X83" s="534">
        <v>1000</v>
      </c>
      <c r="Y83" s="534">
        <v>1000</v>
      </c>
      <c r="Z83" s="534">
        <v>1000</v>
      </c>
      <c r="AA83" s="534">
        <v>1000</v>
      </c>
      <c r="AB83" s="534">
        <v>1000</v>
      </c>
      <c r="AC83" s="535"/>
      <c r="AD83" s="535"/>
      <c r="AE83" s="535"/>
      <c r="AF83" s="535"/>
      <c r="AG83" s="535"/>
      <c r="AI83" s="2277"/>
      <c r="AJ83" s="2277"/>
      <c r="AK83" s="2277"/>
      <c r="AL83" s="2277"/>
      <c r="AM83" s="2277"/>
      <c r="AN83" s="2277"/>
      <c r="AO83" s="2277"/>
      <c r="AP83" s="2277"/>
      <c r="AQ83" s="2277"/>
      <c r="AR83" s="2277"/>
      <c r="AS83" s="2277"/>
    </row>
    <row r="84" spans="1:57" outlineLevel="1" x14ac:dyDescent="0.25">
      <c r="D84" s="3016" t="s">
        <v>923</v>
      </c>
      <c r="E84" s="2907" t="s">
        <v>924</v>
      </c>
      <c r="F84" s="3016"/>
      <c r="G84" s="435">
        <v>0.99</v>
      </c>
      <c r="H84" s="3008" t="s">
        <v>920</v>
      </c>
      <c r="I84" s="3008"/>
      <c r="K84" s="545"/>
      <c r="L84" s="1674"/>
      <c r="M84" s="157"/>
      <c r="N84" s="633"/>
      <c r="V84" s="3016" t="s">
        <v>923</v>
      </c>
      <c r="W84" s="536">
        <v>0.97</v>
      </c>
      <c r="X84" s="537">
        <v>0.99</v>
      </c>
      <c r="Y84" s="435">
        <v>0.99</v>
      </c>
      <c r="Z84" s="435">
        <v>0.99</v>
      </c>
      <c r="AA84" s="435">
        <v>0.99</v>
      </c>
      <c r="AB84" s="435">
        <v>0.99</v>
      </c>
      <c r="AC84" s="536"/>
      <c r="AD84" s="536"/>
      <c r="AE84" s="536"/>
      <c r="AF84" s="536"/>
      <c r="AG84" s="536"/>
      <c r="AI84" s="2277"/>
      <c r="AJ84" s="2277"/>
      <c r="AK84" s="2277"/>
      <c r="AL84" s="2277"/>
      <c r="AM84" s="2277"/>
      <c r="AN84" s="2277"/>
      <c r="AO84" s="2277"/>
      <c r="AP84" s="2277"/>
      <c r="AQ84" s="2277"/>
      <c r="AR84" s="2277"/>
      <c r="AS84" s="2277"/>
    </row>
    <row r="85" spans="1:57" ht="15.75" outlineLevel="1" thickBot="1" x14ac:dyDescent="0.3">
      <c r="D85" s="3030" t="s">
        <v>925</v>
      </c>
      <c r="E85" s="3032" t="s">
        <v>926</v>
      </c>
      <c r="F85" s="3030"/>
      <c r="G85" s="2614">
        <v>1</v>
      </c>
      <c r="H85" s="2615" t="s">
        <v>927</v>
      </c>
      <c r="I85" s="2615"/>
      <c r="K85" s="1674"/>
      <c r="L85" s="545"/>
      <c r="M85" s="157"/>
      <c r="N85" s="633"/>
      <c r="V85" s="3132" t="s">
        <v>925</v>
      </c>
      <c r="W85" s="2620">
        <v>1</v>
      </c>
      <c r="X85" s="2620">
        <v>1</v>
      </c>
      <c r="Y85" s="2611">
        <v>1</v>
      </c>
      <c r="Z85" s="2611">
        <v>1</v>
      </c>
      <c r="AA85" s="2611">
        <v>1</v>
      </c>
      <c r="AB85" s="2614">
        <v>1</v>
      </c>
      <c r="AC85" s="2620"/>
      <c r="AD85" s="2620"/>
      <c r="AE85" s="2620"/>
      <c r="AF85" s="2620"/>
      <c r="AG85" s="2620"/>
      <c r="AI85" s="2277"/>
      <c r="AJ85" s="2277"/>
      <c r="AK85" s="2277"/>
      <c r="AL85" s="2277"/>
      <c r="AM85" s="2277"/>
      <c r="AN85" s="2277"/>
      <c r="AO85" s="2277"/>
      <c r="AP85" s="2277"/>
      <c r="AQ85" s="2277"/>
      <c r="AR85" s="2277"/>
      <c r="AS85" s="2277"/>
    </row>
    <row r="86" spans="1:57" s="2277" customFormat="1" outlineLevel="1" x14ac:dyDescent="0.25">
      <c r="A86" s="157"/>
      <c r="B86" s="157"/>
      <c r="C86" s="386"/>
      <c r="D86" s="3564" t="s">
        <v>593</v>
      </c>
      <c r="E86" s="3555" t="s">
        <v>929</v>
      </c>
      <c r="F86" s="3016" t="s">
        <v>875</v>
      </c>
      <c r="G86" s="3139">
        <v>0.28000000000000003</v>
      </c>
      <c r="H86" s="3008" t="s">
        <v>3532</v>
      </c>
      <c r="I86" s="3499" t="s">
        <v>3828</v>
      </c>
      <c r="J86" s="1363"/>
      <c r="K86" s="1655"/>
      <c r="L86" s="1655"/>
      <c r="M86" s="157"/>
      <c r="N86" s="2370"/>
      <c r="O86" s="157"/>
      <c r="P86" s="157"/>
      <c r="Q86" s="157"/>
      <c r="R86" s="157"/>
      <c r="S86" s="157"/>
      <c r="T86" s="157"/>
      <c r="U86" s="157"/>
      <c r="V86" s="3566" t="s">
        <v>928</v>
      </c>
      <c r="W86" s="539">
        <v>0.86</v>
      </c>
      <c r="X86" s="540">
        <v>0.89859999999999995</v>
      </c>
      <c r="Y86" s="540">
        <v>0.91869999999999996</v>
      </c>
      <c r="Z86" s="540">
        <v>0.91869999999999996</v>
      </c>
      <c r="AA86" s="540">
        <v>0.91869999999999996</v>
      </c>
      <c r="AB86" s="540">
        <v>0.72</v>
      </c>
      <c r="AC86" s="539"/>
      <c r="AD86" s="539"/>
      <c r="AE86" s="539"/>
      <c r="AF86" s="539"/>
      <c r="AG86" s="539"/>
      <c r="BD86" s="1"/>
      <c r="BE86" s="1"/>
    </row>
    <row r="87" spans="1:57" s="2277" customFormat="1" outlineLevel="1" x14ac:dyDescent="0.25">
      <c r="A87" s="157"/>
      <c r="B87" s="157"/>
      <c r="C87" s="386"/>
      <c r="D87" s="3530"/>
      <c r="E87" s="3552"/>
      <c r="F87" s="3016" t="s">
        <v>3528</v>
      </c>
      <c r="G87" s="538">
        <v>0</v>
      </c>
      <c r="H87" s="3008" t="s">
        <v>930</v>
      </c>
      <c r="I87" s="3500"/>
      <c r="J87" s="1363"/>
      <c r="K87" s="1655"/>
      <c r="L87" s="1655"/>
      <c r="M87" s="157"/>
      <c r="N87" s="2370"/>
      <c r="O87" s="157"/>
      <c r="P87" s="157"/>
      <c r="Q87" s="157"/>
      <c r="R87" s="157"/>
      <c r="S87" s="157"/>
      <c r="T87" s="157"/>
      <c r="U87" s="157"/>
      <c r="V87" s="3538"/>
      <c r="W87" s="539"/>
      <c r="X87" s="540"/>
      <c r="Y87" s="540"/>
      <c r="Z87" s="540"/>
      <c r="AA87" s="540"/>
      <c r="AB87" s="538">
        <v>1</v>
      </c>
      <c r="AC87" s="539"/>
      <c r="AD87" s="539"/>
      <c r="AE87" s="539"/>
      <c r="AF87" s="539"/>
      <c r="AG87" s="539"/>
      <c r="BD87" s="1"/>
      <c r="BE87" s="1"/>
    </row>
    <row r="88" spans="1:57" s="2277" customFormat="1" outlineLevel="1" x14ac:dyDescent="0.25">
      <c r="A88" s="157"/>
      <c r="B88" s="157"/>
      <c r="C88" s="386"/>
      <c r="D88" s="3530"/>
      <c r="E88" s="3552"/>
      <c r="F88" s="3016" t="s">
        <v>3529</v>
      </c>
      <c r="G88" s="538">
        <v>0</v>
      </c>
      <c r="H88" s="3008" t="s">
        <v>930</v>
      </c>
      <c r="I88" s="3500"/>
      <c r="J88" s="1363"/>
      <c r="K88" s="1655"/>
      <c r="L88" s="1655"/>
      <c r="M88" s="157"/>
      <c r="N88" s="2370"/>
      <c r="O88" s="157"/>
      <c r="P88" s="157"/>
      <c r="Q88" s="157"/>
      <c r="R88" s="157"/>
      <c r="S88" s="157"/>
      <c r="T88" s="157"/>
      <c r="U88" s="157"/>
      <c r="V88" s="3538"/>
      <c r="W88" s="539"/>
      <c r="X88" s="540"/>
      <c r="Y88" s="540"/>
      <c r="Z88" s="540"/>
      <c r="AA88" s="540"/>
      <c r="AB88" s="2437">
        <v>1</v>
      </c>
      <c r="AC88" s="539"/>
      <c r="AD88" s="539"/>
      <c r="AE88" s="539"/>
      <c r="AF88" s="539"/>
      <c r="AG88" s="539"/>
      <c r="BD88" s="1"/>
      <c r="BE88" s="1"/>
    </row>
    <row r="89" spans="1:57" s="2277" customFormat="1" ht="30.75" outlineLevel="1" thickBot="1" x14ac:dyDescent="0.3">
      <c r="A89" s="157"/>
      <c r="B89" s="157"/>
      <c r="C89" s="386"/>
      <c r="D89" s="3565"/>
      <c r="E89" s="3553"/>
      <c r="F89" s="3132" t="s">
        <v>3792</v>
      </c>
      <c r="G89" s="3140">
        <v>0</v>
      </c>
      <c r="H89" s="3009" t="s">
        <v>3530</v>
      </c>
      <c r="I89" s="3501"/>
      <c r="J89" s="1363"/>
      <c r="K89" s="1655"/>
      <c r="L89" s="1655"/>
      <c r="M89" s="157"/>
      <c r="N89" s="2370"/>
      <c r="O89" s="157"/>
      <c r="P89" s="157"/>
      <c r="Q89" s="157"/>
      <c r="R89" s="157"/>
      <c r="S89" s="157"/>
      <c r="T89" s="157"/>
      <c r="U89" s="157"/>
      <c r="V89" s="3551"/>
      <c r="W89" s="2620"/>
      <c r="X89" s="2621"/>
      <c r="Y89" s="2621"/>
      <c r="Z89" s="2621"/>
      <c r="AA89" s="2621"/>
      <c r="AB89" s="2612">
        <v>1</v>
      </c>
      <c r="AC89" s="2620"/>
      <c r="AD89" s="2620"/>
      <c r="AE89" s="2620"/>
      <c r="AF89" s="2620"/>
      <c r="AG89" s="2620"/>
      <c r="BD89" s="1"/>
      <c r="BE89" s="1"/>
    </row>
    <row r="90" spans="1:57" s="2277" customFormat="1" outlineLevel="1" x14ac:dyDescent="0.25">
      <c r="A90" s="157"/>
      <c r="B90" s="157"/>
      <c r="C90" s="386"/>
      <c r="D90" s="3538" t="s">
        <v>75</v>
      </c>
      <c r="E90" s="3552" t="s">
        <v>684</v>
      </c>
      <c r="F90" s="3016" t="s">
        <v>875</v>
      </c>
      <c r="G90" s="541">
        <v>0.92</v>
      </c>
      <c r="H90" s="3008" t="s">
        <v>3532</v>
      </c>
      <c r="I90" s="3008"/>
      <c r="J90" s="1655"/>
      <c r="K90" s="1655"/>
      <c r="L90" s="1655"/>
      <c r="M90" s="157"/>
      <c r="N90" s="2370"/>
      <c r="O90" s="157"/>
      <c r="P90" s="157"/>
      <c r="Q90" s="157"/>
      <c r="R90" s="157"/>
      <c r="S90" s="157"/>
      <c r="T90" s="157"/>
      <c r="U90" s="157"/>
      <c r="V90" s="3538" t="s">
        <v>75</v>
      </c>
      <c r="W90" s="667">
        <v>0.91507544652831463</v>
      </c>
      <c r="X90" s="2622">
        <v>0.92</v>
      </c>
      <c r="Y90" s="2622">
        <v>0.89554140127388537</v>
      </c>
      <c r="Z90" s="2622">
        <v>0.89554140127388537</v>
      </c>
      <c r="AA90" s="2622">
        <v>0.89554140127388537</v>
      </c>
      <c r="AB90" s="543">
        <v>0.92</v>
      </c>
      <c r="AC90" s="125"/>
      <c r="AD90" s="125"/>
      <c r="AE90" s="125"/>
      <c r="AF90" s="125"/>
      <c r="AG90" s="125"/>
      <c r="BD90" s="1"/>
      <c r="BE90" s="1"/>
    </row>
    <row r="91" spans="1:57" s="2277" customFormat="1" outlineLevel="1" x14ac:dyDescent="0.25">
      <c r="A91" s="157"/>
      <c r="B91" s="157"/>
      <c r="C91" s="386"/>
      <c r="D91" s="3538"/>
      <c r="E91" s="3552"/>
      <c r="F91" s="3016" t="s">
        <v>3528</v>
      </c>
      <c r="G91" s="542">
        <v>1</v>
      </c>
      <c r="H91" s="1675" t="s">
        <v>931</v>
      </c>
      <c r="I91" s="1675"/>
      <c r="J91" s="1655"/>
      <c r="K91" s="1655"/>
      <c r="L91" s="1655"/>
      <c r="M91" s="157"/>
      <c r="N91" s="2370"/>
      <c r="O91" s="157"/>
      <c r="P91" s="157"/>
      <c r="Q91" s="157"/>
      <c r="R91" s="157"/>
      <c r="S91" s="157"/>
      <c r="T91" s="157"/>
      <c r="U91" s="157"/>
      <c r="V91" s="3538"/>
      <c r="W91" s="125"/>
      <c r="X91" s="543"/>
      <c r="Y91" s="543"/>
      <c r="Z91" s="543"/>
      <c r="AA91" s="543"/>
      <c r="AB91" s="542">
        <v>1</v>
      </c>
      <c r="AC91" s="125"/>
      <c r="AD91" s="125"/>
      <c r="AE91" s="125"/>
      <c r="AF91" s="125"/>
      <c r="AG91" s="125"/>
      <c r="BD91" s="1"/>
      <c r="BE91" s="1"/>
    </row>
    <row r="92" spans="1:57" s="2277" customFormat="1" outlineLevel="1" x14ac:dyDescent="0.25">
      <c r="A92" s="157"/>
      <c r="B92" s="157"/>
      <c r="C92" s="386"/>
      <c r="D92" s="3538"/>
      <c r="E92" s="3552"/>
      <c r="F92" s="3016" t="s">
        <v>3529</v>
      </c>
      <c r="G92" s="542">
        <v>0.9</v>
      </c>
      <c r="H92" s="3008" t="s">
        <v>930</v>
      </c>
      <c r="I92" s="3008"/>
      <c r="J92" s="1655"/>
      <c r="K92" s="1655"/>
      <c r="L92" s="1655"/>
      <c r="M92" s="157"/>
      <c r="N92" s="2370"/>
      <c r="O92" s="157"/>
      <c r="P92" s="157"/>
      <c r="Q92" s="157"/>
      <c r="R92" s="157"/>
      <c r="S92" s="157"/>
      <c r="T92" s="157"/>
      <c r="U92" s="157"/>
      <c r="V92" s="3538"/>
      <c r="W92" s="125"/>
      <c r="X92" s="543"/>
      <c r="Y92" s="543"/>
      <c r="Z92" s="543"/>
      <c r="AA92" s="543"/>
      <c r="AB92" s="2436">
        <v>0.9</v>
      </c>
      <c r="AC92" s="125"/>
      <c r="AD92" s="125"/>
      <c r="AE92" s="125"/>
      <c r="AF92" s="125"/>
      <c r="AG92" s="125"/>
      <c r="BD92" s="1"/>
      <c r="BE92" s="1"/>
    </row>
    <row r="93" spans="1:57" s="2277" customFormat="1" ht="30.75" outlineLevel="1" thickBot="1" x14ac:dyDescent="0.3">
      <c r="A93" s="157"/>
      <c r="B93" s="157"/>
      <c r="C93" s="386"/>
      <c r="D93" s="3551"/>
      <c r="E93" s="3553"/>
      <c r="F93" s="3132" t="s">
        <v>3792</v>
      </c>
      <c r="G93" s="3141">
        <v>0.88</v>
      </c>
      <c r="H93" s="3009" t="s">
        <v>3531</v>
      </c>
      <c r="I93" s="3009"/>
      <c r="J93" s="1655"/>
      <c r="K93" s="1655"/>
      <c r="L93" s="1655"/>
      <c r="M93" s="157"/>
      <c r="N93" s="2370"/>
      <c r="O93" s="157"/>
      <c r="P93" s="157"/>
      <c r="Q93" s="157"/>
      <c r="R93" s="157"/>
      <c r="S93" s="157"/>
      <c r="T93" s="157"/>
      <c r="U93" s="157"/>
      <c r="V93" s="3551"/>
      <c r="W93" s="693"/>
      <c r="X93" s="2613"/>
      <c r="Y93" s="2613"/>
      <c r="Z93" s="2613"/>
      <c r="AA93" s="2613"/>
      <c r="AB93" s="2613">
        <v>0.88</v>
      </c>
      <c r="AC93" s="693"/>
      <c r="AD93" s="693"/>
      <c r="AE93" s="693"/>
      <c r="AF93" s="693"/>
      <c r="AG93" s="693"/>
      <c r="BD93" s="1"/>
      <c r="BE93" s="1"/>
    </row>
    <row r="94" spans="1:57" outlineLevel="1" x14ac:dyDescent="0.25">
      <c r="B94" s="1359"/>
      <c r="C94" s="1900"/>
      <c r="D94" s="2592" t="s">
        <v>896</v>
      </c>
      <c r="E94" s="2908" t="s">
        <v>611</v>
      </c>
      <c r="F94" s="3028"/>
      <c r="G94" s="2609">
        <v>19</v>
      </c>
      <c r="H94" s="2610"/>
      <c r="I94" s="2610"/>
      <c r="J94" s="1655"/>
      <c r="K94" s="298"/>
      <c r="L94" s="298"/>
      <c r="M94" s="1276"/>
      <c r="N94" s="298"/>
      <c r="O94" s="298"/>
      <c r="P94" s="298"/>
      <c r="Q94" s="298"/>
      <c r="V94" s="2379" t="s">
        <v>896</v>
      </c>
      <c r="W94" s="2609">
        <v>19</v>
      </c>
      <c r="X94" s="2609">
        <v>19</v>
      </c>
      <c r="Y94" s="2609">
        <v>19</v>
      </c>
      <c r="Z94" s="2609">
        <v>19</v>
      </c>
      <c r="AA94" s="2609">
        <v>19</v>
      </c>
      <c r="AB94" s="2609">
        <v>19</v>
      </c>
      <c r="AC94" s="2609"/>
      <c r="AD94" s="2609"/>
      <c r="AE94" s="2609"/>
      <c r="AF94" s="2609"/>
      <c r="AG94" s="2609"/>
      <c r="AI94" s="2277"/>
      <c r="AJ94" s="2277"/>
      <c r="AK94" s="2277"/>
      <c r="AL94" s="2277"/>
      <c r="AM94" s="2277"/>
      <c r="AN94" s="2277"/>
      <c r="AO94" s="2277"/>
      <c r="AP94" s="2277"/>
      <c r="AQ94" s="2277"/>
      <c r="AR94" s="2277"/>
      <c r="AS94" s="2277"/>
    </row>
    <row r="95" spans="1:57" outlineLevel="1" x14ac:dyDescent="0.25">
      <c r="B95" s="1359"/>
      <c r="C95" s="1900"/>
      <c r="D95" s="3034" t="s">
        <v>25</v>
      </c>
      <c r="E95" s="2894" t="s">
        <v>613</v>
      </c>
      <c r="F95" s="3016"/>
      <c r="G95" s="508">
        <v>1.95</v>
      </c>
      <c r="H95" s="321"/>
      <c r="I95" s="321"/>
      <c r="J95" s="1655"/>
      <c r="K95" s="298"/>
      <c r="L95" s="298"/>
      <c r="M95" s="1276"/>
      <c r="N95" s="298"/>
      <c r="O95" s="298"/>
      <c r="P95" s="298"/>
      <c r="Q95" s="298"/>
      <c r="V95" s="3098" t="s">
        <v>25</v>
      </c>
      <c r="W95" s="508">
        <v>1.95</v>
      </c>
      <c r="X95" s="508">
        <v>1.95</v>
      </c>
      <c r="Y95" s="508">
        <v>1.95</v>
      </c>
      <c r="Z95" s="508">
        <v>1.95</v>
      </c>
      <c r="AA95" s="508">
        <v>1.95</v>
      </c>
      <c r="AB95" s="508">
        <v>1.95</v>
      </c>
      <c r="AC95" s="509"/>
      <c r="AD95" s="509"/>
      <c r="AE95" s="509"/>
      <c r="AF95" s="509"/>
      <c r="AG95" s="509"/>
      <c r="AI95" s="2277"/>
      <c r="AJ95" s="2277"/>
      <c r="AK95" s="2277"/>
      <c r="AL95" s="2277"/>
      <c r="AM95" s="2277"/>
      <c r="AN95" s="2277"/>
      <c r="AO95" s="2277"/>
      <c r="AP95" s="2277"/>
      <c r="AQ95" s="2277"/>
      <c r="AR95" s="2277"/>
      <c r="AS95" s="2277"/>
    </row>
    <row r="96" spans="1:57" x14ac:dyDescent="0.25">
      <c r="D96" s="545"/>
      <c r="E96" s="1793"/>
      <c r="F96" s="1676"/>
      <c r="G96" s="545"/>
      <c r="H96" s="1677"/>
      <c r="I96" s="1655"/>
      <c r="J96" s="1655"/>
      <c r="K96" s="1655"/>
      <c r="AI96" s="2277"/>
      <c r="AJ96" s="2277"/>
      <c r="AK96" s="2277"/>
      <c r="AL96" s="2277"/>
      <c r="AM96" s="2277"/>
      <c r="AN96" s="2277"/>
      <c r="AO96" s="2277"/>
      <c r="AP96" s="2277"/>
      <c r="AQ96" s="2277"/>
      <c r="AR96" s="2277"/>
      <c r="AS96" s="2277"/>
    </row>
    <row r="97" spans="1:57" s="194" customFormat="1" x14ac:dyDescent="0.25">
      <c r="B97" s="3350" t="s">
        <v>932</v>
      </c>
      <c r="C97" s="3351"/>
      <c r="D97" s="3351"/>
      <c r="E97" s="3351"/>
      <c r="F97" s="3351"/>
      <c r="G97" s="3351"/>
      <c r="H97" s="3351"/>
      <c r="I97" s="3352"/>
      <c r="J97" s="3352"/>
      <c r="K97" s="3352"/>
      <c r="L97" s="3352"/>
      <c r="M97" s="3352"/>
      <c r="N97" s="3353"/>
      <c r="V97" s="3350" t="str">
        <f>B97</f>
        <v>Kit Faucet Aerators (Kitchen)</v>
      </c>
      <c r="W97" s="3351"/>
      <c r="X97" s="3351"/>
      <c r="Y97" s="3351"/>
      <c r="Z97" s="3351"/>
      <c r="AA97" s="3351"/>
      <c r="AB97" s="3351"/>
      <c r="AC97" s="3354"/>
      <c r="AD97" s="3354"/>
      <c r="AE97" s="3354"/>
      <c r="AF97" s="3354"/>
      <c r="AG97" s="3354"/>
      <c r="AH97" s="3355"/>
      <c r="AI97" s="2277"/>
      <c r="AJ97" s="2277"/>
      <c r="AK97" s="2277"/>
      <c r="AL97" s="2277"/>
      <c r="AM97" s="2277"/>
      <c r="AN97" s="2277"/>
      <c r="AO97" s="2277"/>
      <c r="AP97" s="2277"/>
      <c r="AQ97" s="2277"/>
      <c r="AR97" s="2277"/>
      <c r="AS97" s="2277"/>
      <c r="BD97" s="546"/>
      <c r="BE97" s="546"/>
    </row>
    <row r="98" spans="1:57" x14ac:dyDescent="0.25">
      <c r="AI98" s="2277"/>
      <c r="AJ98" s="2277"/>
      <c r="AK98" s="2277"/>
      <c r="AL98" s="2277"/>
      <c r="AM98" s="2277"/>
      <c r="AN98" s="2277"/>
      <c r="AO98" s="2277"/>
      <c r="AP98" s="2277"/>
      <c r="AQ98" s="2277"/>
      <c r="AR98" s="2277"/>
      <c r="AS98" s="2277"/>
    </row>
    <row r="99" spans="1:57" ht="30" x14ac:dyDescent="0.25">
      <c r="C99" s="2765" t="s">
        <v>17</v>
      </c>
      <c r="D99" s="2765" t="s">
        <v>616</v>
      </c>
      <c r="E99" s="2765" t="s">
        <v>19</v>
      </c>
      <c r="F99" s="1409" t="s">
        <v>20</v>
      </c>
      <c r="G99" s="1409" t="s">
        <v>21</v>
      </c>
      <c r="H99" s="1409" t="s">
        <v>22</v>
      </c>
      <c r="I99" s="1409" t="s">
        <v>933</v>
      </c>
      <c r="J99" s="1409" t="s">
        <v>23</v>
      </c>
      <c r="K99" s="1409" t="s">
        <v>24</v>
      </c>
      <c r="L99" s="1409" t="s">
        <v>25</v>
      </c>
      <c r="M99" s="1409" t="s">
        <v>26</v>
      </c>
      <c r="Q99" s="648"/>
      <c r="R99" s="648"/>
      <c r="V99" s="623" t="s">
        <v>27</v>
      </c>
      <c r="W99" s="420">
        <f>$W$6</f>
        <v>43252</v>
      </c>
      <c r="X99" s="420">
        <f>$X$6</f>
        <v>43465</v>
      </c>
      <c r="Y99" s="420">
        <f>$Y$6</f>
        <v>43800</v>
      </c>
      <c r="Z99" s="420">
        <f>$Z$6</f>
        <v>43862</v>
      </c>
      <c r="AA99" s="420">
        <f>$AA$6</f>
        <v>44013</v>
      </c>
      <c r="AB99" s="420">
        <f>$AB$6</f>
        <v>44166</v>
      </c>
      <c r="AC99" s="56" t="str">
        <f>$AC$6</f>
        <v>-</v>
      </c>
      <c r="AD99" s="56" t="str">
        <f>$AD$6</f>
        <v>-</v>
      </c>
      <c r="AE99" s="56" t="str">
        <f>$AE$6</f>
        <v>-</v>
      </c>
      <c r="AF99" s="56" t="str">
        <f>$AF$6</f>
        <v>-</v>
      </c>
      <c r="AG99" s="56" t="str">
        <f>$AG$6</f>
        <v>-</v>
      </c>
      <c r="AI99" s="2277"/>
      <c r="AJ99" s="2277"/>
      <c r="AK99" s="2277"/>
      <c r="AL99" s="2277"/>
      <c r="AM99" s="2277"/>
      <c r="AN99" s="2277"/>
      <c r="AO99" s="2277"/>
      <c r="AP99" s="2277"/>
      <c r="AQ99" s="2277"/>
      <c r="AR99" s="2277"/>
      <c r="AS99" s="2277"/>
      <c r="BB99" s="93" t="str">
        <f>$BB$6</f>
        <v>TRC (2020)</v>
      </c>
      <c r="BC99" s="93" t="str">
        <f>$BC$6</f>
        <v>Benefit Lookup</v>
      </c>
      <c r="BD99" s="279" t="str">
        <f>$BD$6</f>
        <v>Benefits (2019 $)</v>
      </c>
      <c r="BE99" s="279" t="str">
        <f>$BE$6</f>
        <v>Incremental Cost (2019 $)</v>
      </c>
    </row>
    <row r="100" spans="1:57" x14ac:dyDescent="0.25">
      <c r="C100" s="3102" t="s">
        <v>934</v>
      </c>
      <c r="D100" s="137" t="s">
        <v>875</v>
      </c>
      <c r="E100" s="3035" t="s">
        <v>935</v>
      </c>
      <c r="F100" s="601">
        <f>ROUND(G113*(G116*G117-G120*G121)*G124*G128*G130/G131*I100*G142*G140,2)</f>
        <v>29.75</v>
      </c>
      <c r="G100" s="3080" t="s">
        <v>622</v>
      </c>
      <c r="H100" s="202">
        <f>VLOOKUP(G100,'CP FACTORS'!$A$3:$B$38, 2, FALSE)</f>
        <v>8.8731800000000003E-5</v>
      </c>
      <c r="I100" s="596">
        <f>G$134*G$135*(G$136-G$137)/(G$138*G$139)</f>
        <v>7.8971277842907403E-2</v>
      </c>
      <c r="J100" s="139">
        <f>ROUND(F100*H100,6)</f>
        <v>2.64E-3</v>
      </c>
      <c r="K100" s="141">
        <f>G146</f>
        <v>10</v>
      </c>
      <c r="L100" s="550">
        <f>$G$147</f>
        <v>3</v>
      </c>
      <c r="M100" s="1658" t="s">
        <v>37</v>
      </c>
      <c r="Q100" s="551"/>
      <c r="R100" s="1627"/>
      <c r="V100" s="2309" t="str">
        <f>F99</f>
        <v>kWh Annual Savings</v>
      </c>
      <c r="W100" s="2121">
        <v>45.9</v>
      </c>
      <c r="X100" s="2299">
        <v>40.741488532871308</v>
      </c>
      <c r="Y100" s="621">
        <v>52.47</v>
      </c>
      <c r="Z100" s="89">
        <v>52.47</v>
      </c>
      <c r="AA100" s="89">
        <v>52.47</v>
      </c>
      <c r="AB100" s="2322">
        <v>29.75</v>
      </c>
      <c r="AC100" s="208"/>
      <c r="AD100" s="208"/>
      <c r="AE100" s="208"/>
      <c r="AF100" s="208"/>
      <c r="AG100" s="208"/>
      <c r="AH100" s="211"/>
      <c r="AI100" s="2277"/>
      <c r="AJ100" s="2277"/>
      <c r="AK100" s="2277"/>
      <c r="AL100" s="2277"/>
      <c r="AM100" s="2277"/>
      <c r="AN100" s="2277"/>
      <c r="AO100" s="2277"/>
      <c r="AP100" s="2277"/>
      <c r="AQ100" s="2277"/>
      <c r="AR100" s="2277"/>
      <c r="AS100" s="2277"/>
      <c r="BB100" s="2945">
        <f>(BD100)/(BE100)</f>
        <v>3.5437176082643913</v>
      </c>
      <c r="BC100" s="2922" t="str">
        <f>CONCATENATE(G100," ",K100," Year EUL")</f>
        <v>Water Heating RES 10 Year EUL</v>
      </c>
      <c r="BD100" s="2943">
        <f>(INDEX('Avoided Cost Benefits'!$C$4:$C$857,MATCH(BC100,'Avoided Cost Benefits'!$A$4:$A$857,0)))*F100</f>
        <v>10.034122534019041</v>
      </c>
      <c r="BE100" s="2944">
        <f>L100/(1.0595^(2020-2019))</f>
        <v>2.8315243039169418</v>
      </c>
    </row>
    <row r="101" spans="1:57" s="2277" customFormat="1" x14ac:dyDescent="0.25">
      <c r="A101" s="157"/>
      <c r="B101" s="157"/>
      <c r="C101" s="3102" t="s">
        <v>3548</v>
      </c>
      <c r="D101" s="4144" t="s">
        <v>3853</v>
      </c>
      <c r="E101" s="3035" t="s">
        <v>3788</v>
      </c>
      <c r="F101" s="601">
        <f>ROUND(G115*(G116*G117-G120*G121)*G127*G128*G130/G131*I101*G145*G141,2)</f>
        <v>12.77</v>
      </c>
      <c r="G101" s="3080" t="s">
        <v>622</v>
      </c>
      <c r="H101" s="515">
        <f>VLOOKUP(G101,'CP FACTORS'!$A$3:$B$38, 2, FALSE)</f>
        <v>8.8731800000000003E-5</v>
      </c>
      <c r="I101" s="596">
        <f>G$134*G$135*(G$136-G$137)/(G$138*G$139)</f>
        <v>7.8971277842907403E-2</v>
      </c>
      <c r="J101" s="139">
        <v>8.1499999999999997E-4</v>
      </c>
      <c r="K101" s="141">
        <v>10</v>
      </c>
      <c r="L101" s="550">
        <f>$G$147</f>
        <v>3</v>
      </c>
      <c r="M101" s="1658" t="s">
        <v>37</v>
      </c>
      <c r="N101" s="157"/>
      <c r="O101" s="157"/>
      <c r="P101" s="157"/>
      <c r="Q101" s="648"/>
      <c r="R101" s="1627"/>
      <c r="S101" s="157"/>
      <c r="T101" s="157"/>
      <c r="U101" s="157"/>
      <c r="V101" s="2309" t="str">
        <f>V102</f>
        <v>kWh Annual Savings</v>
      </c>
      <c r="W101" s="2121"/>
      <c r="X101" s="2299"/>
      <c r="Y101" s="621"/>
      <c r="Z101" s="622"/>
      <c r="AA101" s="622"/>
      <c r="AB101" s="2322">
        <v>12.77</v>
      </c>
      <c r="AC101" s="208"/>
      <c r="AD101" s="208"/>
      <c r="AE101" s="208"/>
      <c r="AF101" s="208"/>
      <c r="AG101" s="208"/>
      <c r="AH101" s="211"/>
      <c r="BB101" s="2945">
        <f>(BD101)/(BE101)</f>
        <v>1.521118448992816</v>
      </c>
      <c r="BC101" s="2922" t="str">
        <f>CONCATENATE(G101," ",K101," Year EUL")</f>
        <v>Water Heating RES 10 Year EUL</v>
      </c>
      <c r="BD101" s="2943">
        <f>(INDEX('Avoided Cost Benefits'!$C$4:$C$857,MATCH(BC101,'Avoided Cost Benefits'!$A$4:$A$857,0)))*F101</f>
        <v>4.3070838574596015</v>
      </c>
      <c r="BE101" s="2944">
        <f>L101/(1.0595^(2020-2019))</f>
        <v>2.8315243039169418</v>
      </c>
    </row>
    <row r="102" spans="1:57" x14ac:dyDescent="0.25">
      <c r="C102" s="3102" t="s">
        <v>936</v>
      </c>
      <c r="D102" s="531" t="s">
        <v>742</v>
      </c>
      <c r="E102" s="3035" t="s">
        <v>935</v>
      </c>
      <c r="F102" s="601">
        <f>ROUND(G114*(G116*G118-G120*G122)*G125*G128*G130/G132*I102*G143*G141,2)</f>
        <v>99.55</v>
      </c>
      <c r="G102" s="3080" t="s">
        <v>622</v>
      </c>
      <c r="H102" s="202">
        <f>VLOOKUP(G102,'CP FACTORS'!$A$3:$B$38, 2, FALSE)</f>
        <v>8.8731800000000003E-5</v>
      </c>
      <c r="I102" s="596">
        <f>G$134*G$135*(G$136-G$137)/(G$138*G$139)</f>
        <v>7.8971277842907403E-2</v>
      </c>
      <c r="J102" s="139">
        <f>ROUND(F102*H102,6)</f>
        <v>8.8330000000000006E-3</v>
      </c>
      <c r="K102" s="141">
        <f>G146</f>
        <v>10</v>
      </c>
      <c r="L102" s="550">
        <f>$G$147</f>
        <v>3</v>
      </c>
      <c r="M102" s="1658" t="s">
        <v>37</v>
      </c>
      <c r="Q102" s="648"/>
      <c r="R102" s="1627"/>
      <c r="V102" s="2309" t="str">
        <f>V100</f>
        <v>kWh Annual Savings</v>
      </c>
      <c r="W102" s="2121">
        <v>115.9</v>
      </c>
      <c r="X102" s="2299">
        <v>113.15036771306985</v>
      </c>
      <c r="Y102" s="621">
        <v>99.45</v>
      </c>
      <c r="Z102" s="89">
        <v>99.45</v>
      </c>
      <c r="AA102" s="89">
        <v>99.45</v>
      </c>
      <c r="AB102" s="2322">
        <v>99.55</v>
      </c>
      <c r="AC102" s="208"/>
      <c r="AD102" s="208"/>
      <c r="AE102" s="208"/>
      <c r="AF102" s="208"/>
      <c r="AG102" s="208"/>
      <c r="AH102" s="211"/>
      <c r="AI102" s="2277"/>
      <c r="AJ102" s="2277"/>
      <c r="AK102" s="2277"/>
      <c r="AL102" s="2277"/>
      <c r="AM102" s="2277"/>
      <c r="AN102" s="2277"/>
      <c r="AO102" s="2277"/>
      <c r="AP102" s="2277"/>
      <c r="AQ102" s="2277"/>
      <c r="AR102" s="2277"/>
      <c r="AS102" s="2277"/>
      <c r="BB102" s="2945">
        <f>(BD102)/(BE102)</f>
        <v>11.858053374881349</v>
      </c>
      <c r="BC102" s="2922" t="str">
        <f>CONCATENATE(G102," ",K102," Year EUL")</f>
        <v>Water Heating RES 10 Year EUL</v>
      </c>
      <c r="BD102" s="2943">
        <f>(INDEX('Avoided Cost Benefits'!$C$4:$C$857,MATCH(BC102,'Avoided Cost Benefits'!$A$4:$A$857,0)))*F102</f>
        <v>33.576366328120855</v>
      </c>
      <c r="BE102" s="2944">
        <f>L102/(1.0595^(2020-2019))</f>
        <v>2.8315243039169418</v>
      </c>
    </row>
    <row r="103" spans="1:57" s="2277" customFormat="1" x14ac:dyDescent="0.25">
      <c r="A103" s="157"/>
      <c r="B103" s="157"/>
      <c r="C103" s="3102" t="s">
        <v>3549</v>
      </c>
      <c r="D103" s="531" t="s">
        <v>3770</v>
      </c>
      <c r="E103" s="3035" t="s">
        <v>3550</v>
      </c>
      <c r="F103" s="601">
        <f>ROUND(G115*(G116*G119-G120*G123)*G126*G129*G130/G133*I103*G144*G141,2)</f>
        <v>43.69</v>
      </c>
      <c r="G103" s="3080" t="s">
        <v>622</v>
      </c>
      <c r="H103" s="515">
        <f>VLOOKUP(G103,'CP FACTORS'!$A$3:$B$38, 2, FALSE)</f>
        <v>8.8731800000000003E-5</v>
      </c>
      <c r="I103" s="596">
        <f>G$134*G$135*(G$136-G$137)/(G$138*G$139)</f>
        <v>7.8971277842907403E-2</v>
      </c>
      <c r="J103" s="139">
        <v>3.8730000000000001E-3</v>
      </c>
      <c r="K103" s="141">
        <v>10</v>
      </c>
      <c r="L103" s="550">
        <f>$G$147</f>
        <v>3</v>
      </c>
      <c r="M103" s="1658" t="s">
        <v>37</v>
      </c>
      <c r="N103" s="157"/>
      <c r="O103" s="157"/>
      <c r="P103" s="157"/>
      <c r="Q103" s="648"/>
      <c r="R103" s="1627"/>
      <c r="S103" s="157"/>
      <c r="T103" s="157"/>
      <c r="U103" s="157"/>
      <c r="V103" s="2309" t="str">
        <f>V101</f>
        <v>kWh Annual Savings</v>
      </c>
      <c r="W103" s="2121"/>
      <c r="X103" s="2299"/>
      <c r="Y103" s="621"/>
      <c r="Z103" s="622"/>
      <c r="AA103" s="622"/>
      <c r="AB103" s="2322">
        <v>43.69</v>
      </c>
      <c r="AC103" s="208"/>
      <c r="AD103" s="208"/>
      <c r="AE103" s="208"/>
      <c r="AF103" s="208"/>
      <c r="AG103" s="208"/>
      <c r="AH103" s="211"/>
      <c r="BB103" s="2945">
        <f t="shared" ref="BB103" si="17">(BD103)/(BE103)</f>
        <v>5.2042024304225638</v>
      </c>
      <c r="BC103" s="2922" t="str">
        <f t="shared" ref="BC103" si="18">CONCATENATE(G103," ",K103," Year EUL")</f>
        <v>Water Heating RES 10 Year EUL</v>
      </c>
      <c r="BD103" s="2943">
        <f>(INDEX('Avoided Cost Benefits'!$C$4:$C$857,MATCH(BC103,'Avoided Cost Benefits'!$A$4:$A$857,0)))*F103</f>
        <v>14.735825664245105</v>
      </c>
      <c r="BE103" s="2944">
        <f t="shared" ref="BE103" si="19">L103/(1.0595^(2020-2019))</f>
        <v>2.8315243039169418</v>
      </c>
    </row>
    <row r="104" spans="1:57" outlineLevel="1" x14ac:dyDescent="0.25">
      <c r="D104" s="552"/>
      <c r="E104" s="2909"/>
      <c r="G104" s="1678"/>
      <c r="H104" s="1679"/>
      <c r="I104" s="1680"/>
      <c r="J104" s="1680"/>
      <c r="K104" s="1680"/>
      <c r="L104" s="1681"/>
      <c r="M104" s="3085"/>
      <c r="AI104" s="2277"/>
      <c r="AJ104" s="2277"/>
      <c r="AK104" s="2277"/>
      <c r="AL104" s="2277"/>
      <c r="AM104" s="2277"/>
      <c r="AN104" s="2277"/>
      <c r="AO104" s="2277"/>
      <c r="AP104" s="2277"/>
      <c r="AQ104" s="2277"/>
      <c r="AR104" s="2277"/>
      <c r="AS104" s="2277"/>
      <c r="BB104" s="194"/>
      <c r="BC104" s="194"/>
      <c r="BD104" s="546"/>
      <c r="BE104" s="546"/>
    </row>
    <row r="105" spans="1:57" outlineLevel="1" x14ac:dyDescent="0.25">
      <c r="D105" s="222" t="s">
        <v>571</v>
      </c>
      <c r="M105" s="3085"/>
      <c r="AI105" s="2277"/>
      <c r="AJ105" s="2277"/>
      <c r="AK105" s="2277"/>
      <c r="AL105" s="2277"/>
      <c r="AM105" s="2277"/>
      <c r="AN105" s="2277"/>
      <c r="AO105" s="2277"/>
      <c r="AP105" s="2277"/>
      <c r="AQ105" s="2277"/>
      <c r="AR105" s="2277"/>
      <c r="AS105" s="2277"/>
      <c r="BB105" s="194"/>
      <c r="BC105" s="194"/>
      <c r="BD105" s="546"/>
      <c r="BE105" s="546"/>
    </row>
    <row r="106" spans="1:57" outlineLevel="1" x14ac:dyDescent="0.25">
      <c r="M106" s="3085"/>
      <c r="AI106" s="2277"/>
      <c r="AJ106" s="2277"/>
      <c r="AK106" s="2277"/>
      <c r="AL106" s="2277"/>
      <c r="AM106" s="2277"/>
      <c r="AN106" s="2277"/>
      <c r="AO106" s="2277"/>
      <c r="AP106" s="2277"/>
      <c r="AQ106" s="2277"/>
      <c r="AR106" s="2277"/>
      <c r="AS106" s="2277"/>
      <c r="BB106" s="194"/>
      <c r="BC106" s="194"/>
      <c r="BD106" s="546"/>
      <c r="BE106" s="546"/>
    </row>
    <row r="107" spans="1:57" outlineLevel="1" x14ac:dyDescent="0.25">
      <c r="M107" s="3085"/>
      <c r="AI107" s="2277"/>
      <c r="AJ107" s="2277"/>
      <c r="AK107" s="2277"/>
      <c r="AL107" s="2277"/>
      <c r="AM107" s="2277"/>
      <c r="AN107" s="2277"/>
      <c r="AO107" s="2277"/>
      <c r="AP107" s="2277"/>
      <c r="AQ107" s="2277"/>
      <c r="AR107" s="2277"/>
      <c r="AS107" s="2277"/>
      <c r="BB107" s="194"/>
      <c r="BC107" s="194"/>
      <c r="BD107" s="546"/>
      <c r="BE107" s="546"/>
    </row>
    <row r="108" spans="1:57" outlineLevel="1" x14ac:dyDescent="0.25">
      <c r="M108" s="3085"/>
      <c r="AI108" s="2277"/>
      <c r="AJ108" s="2277"/>
      <c r="AK108" s="2277"/>
      <c r="AL108" s="2277"/>
      <c r="AM108" s="2277"/>
      <c r="AN108" s="2277"/>
      <c r="AO108" s="2277"/>
      <c r="AP108" s="2277"/>
      <c r="AQ108" s="2277"/>
      <c r="AR108" s="2277"/>
      <c r="AS108" s="2277"/>
      <c r="BB108" s="194"/>
      <c r="BC108" s="194"/>
      <c r="BD108" s="546"/>
      <c r="BE108" s="546"/>
    </row>
    <row r="109" spans="1:57" outlineLevel="1" x14ac:dyDescent="0.25">
      <c r="M109" s="3085"/>
      <c r="AI109" s="2277"/>
      <c r="AJ109" s="2277"/>
      <c r="AK109" s="2277"/>
      <c r="AL109" s="2277"/>
      <c r="AM109" s="2277"/>
      <c r="AN109" s="2277"/>
      <c r="AO109" s="2277"/>
      <c r="AP109" s="2277"/>
      <c r="AQ109" s="2277"/>
      <c r="AR109" s="2277"/>
      <c r="AS109" s="2277"/>
      <c r="BB109" s="194"/>
      <c r="BC109" s="194"/>
      <c r="BD109" s="546"/>
      <c r="BE109" s="546"/>
    </row>
    <row r="110" spans="1:57" outlineLevel="1" x14ac:dyDescent="0.25">
      <c r="M110" s="3085"/>
      <c r="AI110" s="2277"/>
      <c r="AJ110" s="2277"/>
      <c r="AK110" s="2277"/>
      <c r="AL110" s="2277"/>
      <c r="AM110" s="2277"/>
      <c r="AN110" s="2277"/>
      <c r="AO110" s="2277"/>
      <c r="AP110" s="2277"/>
      <c r="AQ110" s="2277"/>
      <c r="AR110" s="2277"/>
      <c r="AS110" s="2277"/>
      <c r="BB110" s="194"/>
      <c r="BC110" s="194"/>
      <c r="BD110" s="546"/>
      <c r="BE110" s="546"/>
    </row>
    <row r="111" spans="1:57" outlineLevel="1" x14ac:dyDescent="0.25">
      <c r="M111" s="587"/>
      <c r="N111" s="587"/>
      <c r="O111" s="587"/>
      <c r="P111" s="587"/>
      <c r="Q111" s="587"/>
      <c r="V111" s="623" t="s">
        <v>27</v>
      </c>
      <c r="W111" s="420">
        <f>$W$6</f>
        <v>43252</v>
      </c>
      <c r="X111" s="420">
        <f>$X$6</f>
        <v>43465</v>
      </c>
      <c r="Y111" s="420">
        <f>$Y$6</f>
        <v>43800</v>
      </c>
      <c r="Z111" s="420">
        <f>$Z$6</f>
        <v>43862</v>
      </c>
      <c r="AA111" s="420">
        <f>$AA$6</f>
        <v>44013</v>
      </c>
      <c r="AB111" s="420">
        <f>$AB$6</f>
        <v>44166</v>
      </c>
      <c r="AC111" s="56" t="str">
        <f>$AC$6</f>
        <v>-</v>
      </c>
      <c r="AD111" s="56" t="str">
        <f>$AD$6</f>
        <v>-</v>
      </c>
      <c r="AE111" s="56" t="str">
        <f>$AE$6</f>
        <v>-</v>
      </c>
      <c r="AF111" s="56" t="str">
        <f>$AF$6</f>
        <v>-</v>
      </c>
      <c r="AG111" s="56" t="str">
        <f>$AG$6</f>
        <v>-</v>
      </c>
      <c r="AH111" s="553"/>
      <c r="AI111" s="2277"/>
      <c r="AJ111" s="2277"/>
      <c r="AK111" s="2277"/>
      <c r="AL111" s="2277"/>
      <c r="AM111" s="2277"/>
      <c r="AN111" s="2277"/>
      <c r="AO111" s="2277"/>
      <c r="AP111" s="2277"/>
      <c r="AQ111" s="2277"/>
      <c r="AR111" s="2277"/>
      <c r="AS111" s="2277"/>
      <c r="BB111" s="194"/>
      <c r="BC111" s="194"/>
      <c r="BD111" s="546"/>
      <c r="BE111" s="546"/>
    </row>
    <row r="112" spans="1:57" ht="15" customHeight="1" outlineLevel="1" x14ac:dyDescent="0.25">
      <c r="D112" s="3101" t="s">
        <v>572</v>
      </c>
      <c r="E112" s="3091" t="s">
        <v>573</v>
      </c>
      <c r="F112" s="3002" t="s">
        <v>3539</v>
      </c>
      <c r="G112" s="3002" t="s">
        <v>574</v>
      </c>
      <c r="H112" s="3483" t="s">
        <v>624</v>
      </c>
      <c r="I112" s="3484"/>
      <c r="J112" s="3483" t="s">
        <v>575</v>
      </c>
      <c r="K112" s="3484"/>
      <c r="M112" s="554"/>
      <c r="N112" s="554"/>
      <c r="O112" s="554"/>
      <c r="P112" s="554"/>
      <c r="Q112" s="587"/>
      <c r="V112" s="3169"/>
      <c r="W112" s="2604"/>
      <c r="X112" s="2604"/>
      <c r="Y112" s="2604"/>
      <c r="Z112" s="2604"/>
      <c r="AA112" s="2604"/>
      <c r="AB112" s="2604"/>
      <c r="AC112" s="2604"/>
      <c r="AD112" s="2604"/>
      <c r="AE112" s="2604"/>
      <c r="AF112" s="2604"/>
      <c r="AG112" s="2604"/>
      <c r="AH112" s="157"/>
      <c r="AI112" s="2277"/>
      <c r="AJ112" s="2277"/>
      <c r="AK112" s="2277"/>
      <c r="AL112" s="2277"/>
      <c r="AM112" s="2277"/>
      <c r="AN112" s="2277"/>
      <c r="AO112" s="2277"/>
      <c r="AP112" s="2277"/>
      <c r="AQ112" s="2277"/>
      <c r="AR112" s="2277"/>
      <c r="AS112" s="2277"/>
      <c r="BB112" s="194"/>
      <c r="BC112" s="194"/>
      <c r="BD112" s="546"/>
      <c r="BE112" s="546"/>
    </row>
    <row r="113" spans="1:57" s="2277" customFormat="1" outlineLevel="1" x14ac:dyDescent="0.25">
      <c r="A113" s="157"/>
      <c r="B113" s="157"/>
      <c r="C113" s="3103"/>
      <c r="D113" s="3475" t="s">
        <v>937</v>
      </c>
      <c r="E113" s="3474" t="s">
        <v>938</v>
      </c>
      <c r="F113" s="513" t="s">
        <v>3540</v>
      </c>
      <c r="G113" s="555">
        <v>0.42</v>
      </c>
      <c r="H113" s="3539" t="s">
        <v>3544</v>
      </c>
      <c r="I113" s="3540"/>
      <c r="J113" s="2364"/>
      <c r="K113" s="2365"/>
      <c r="L113" s="157"/>
      <c r="M113" s="607"/>
      <c r="N113" s="607"/>
      <c r="O113" s="607"/>
      <c r="P113" s="607"/>
      <c r="Q113" s="587"/>
      <c r="R113" s="157"/>
      <c r="S113" s="157"/>
      <c r="T113" s="157"/>
      <c r="U113" s="157"/>
      <c r="V113" s="3475" t="s">
        <v>937</v>
      </c>
      <c r="W113" s="557">
        <v>0.4</v>
      </c>
      <c r="X113" s="558">
        <v>0.34429999999999999</v>
      </c>
      <c r="Y113" s="558">
        <v>0.46360000000000001</v>
      </c>
      <c r="Z113" s="555">
        <v>0.46360000000000001</v>
      </c>
      <c r="AA113" s="555">
        <v>0.46360000000000001</v>
      </c>
      <c r="AB113" s="558">
        <v>0.42</v>
      </c>
      <c r="AC113" s="557"/>
      <c r="AD113" s="557"/>
      <c r="AE113" s="557"/>
      <c r="AF113" s="557"/>
      <c r="AG113" s="557"/>
      <c r="BB113" s="194"/>
      <c r="BC113" s="194"/>
      <c r="BD113" s="546"/>
      <c r="BE113" s="546"/>
    </row>
    <row r="114" spans="1:57" s="2277" customFormat="1" outlineLevel="1" x14ac:dyDescent="0.25">
      <c r="A114" s="157"/>
      <c r="B114" s="157"/>
      <c r="C114" s="3103"/>
      <c r="D114" s="3530"/>
      <c r="E114" s="3444"/>
      <c r="F114" s="2439" t="s">
        <v>3528</v>
      </c>
      <c r="G114" s="555">
        <v>1</v>
      </c>
      <c r="H114" s="3493" t="s">
        <v>940</v>
      </c>
      <c r="I114" s="3494"/>
      <c r="J114" s="2364"/>
      <c r="K114" s="2365"/>
      <c r="L114" s="157"/>
      <c r="M114" s="607"/>
      <c r="N114" s="607"/>
      <c r="O114" s="607"/>
      <c r="P114" s="607"/>
      <c r="Q114" s="587"/>
      <c r="R114" s="157"/>
      <c r="S114" s="157"/>
      <c r="T114" s="157"/>
      <c r="U114" s="157"/>
      <c r="V114" s="3530"/>
      <c r="W114" s="557"/>
      <c r="X114" s="558"/>
      <c r="Y114" s="558"/>
      <c r="Z114" s="555"/>
      <c r="AA114" s="555"/>
      <c r="AB114" s="555">
        <v>1</v>
      </c>
      <c r="AC114" s="557"/>
      <c r="AD114" s="557"/>
      <c r="AE114" s="557"/>
      <c r="AF114" s="557"/>
      <c r="AG114" s="557"/>
      <c r="BB114" s="194"/>
      <c r="BC114" s="194"/>
      <c r="BD114" s="546"/>
      <c r="BE114" s="546"/>
    </row>
    <row r="115" spans="1:57" s="2277" customFormat="1" outlineLevel="1" x14ac:dyDescent="0.25">
      <c r="A115" s="157"/>
      <c r="B115" s="157"/>
      <c r="C115" s="3103"/>
      <c r="D115" s="3476"/>
      <c r="E115" s="3445"/>
      <c r="F115" s="2439" t="s">
        <v>3541</v>
      </c>
      <c r="G115" s="555">
        <v>0.42</v>
      </c>
      <c r="H115" s="3539" t="s">
        <v>3544</v>
      </c>
      <c r="I115" s="3540"/>
      <c r="J115" s="2364"/>
      <c r="K115" s="2365"/>
      <c r="L115" s="157"/>
      <c r="M115" s="607"/>
      <c r="N115" s="607"/>
      <c r="O115" s="607"/>
      <c r="P115" s="607"/>
      <c r="Q115" s="587"/>
      <c r="R115" s="157"/>
      <c r="S115" s="157"/>
      <c r="T115" s="157"/>
      <c r="U115" s="157"/>
      <c r="V115" s="3476"/>
      <c r="W115" s="557"/>
      <c r="X115" s="558"/>
      <c r="Y115" s="558"/>
      <c r="Z115" s="555"/>
      <c r="AA115" s="555"/>
      <c r="AB115" s="558">
        <v>0.42</v>
      </c>
      <c r="AC115" s="557"/>
      <c r="AD115" s="557"/>
      <c r="AE115" s="557"/>
      <c r="AF115" s="557"/>
      <c r="AG115" s="557"/>
      <c r="BB115" s="194"/>
      <c r="BC115" s="194"/>
      <c r="BD115" s="546"/>
      <c r="BE115" s="546"/>
    </row>
    <row r="116" spans="1:57" outlineLevel="1" x14ac:dyDescent="0.25">
      <c r="C116" s="3103"/>
      <c r="D116" s="3008" t="s">
        <v>941</v>
      </c>
      <c r="E116" s="3015" t="s">
        <v>942</v>
      </c>
      <c r="F116" s="513" t="s">
        <v>591</v>
      </c>
      <c r="G116" s="3079">
        <v>2.2000000000000002</v>
      </c>
      <c r="H116" s="3477" t="s">
        <v>943</v>
      </c>
      <c r="I116" s="3479"/>
      <c r="J116" s="3531"/>
      <c r="K116" s="3532"/>
      <c r="M116" s="554"/>
      <c r="N116" s="554"/>
      <c r="O116" s="554"/>
      <c r="P116" s="554"/>
      <c r="Q116" s="587"/>
      <c r="V116" s="3008" t="s">
        <v>941</v>
      </c>
      <c r="W116" s="549">
        <v>2.2000000000000002</v>
      </c>
      <c r="X116" s="559">
        <v>2.2000000000000002</v>
      </c>
      <c r="Y116" s="2769">
        <v>2.2000000000000002</v>
      </c>
      <c r="Z116" s="2769">
        <v>2.2000000000000002</v>
      </c>
      <c r="AA116" s="2769">
        <v>2.2000000000000002</v>
      </c>
      <c r="AB116" s="2769">
        <v>2.2000000000000002</v>
      </c>
      <c r="AC116" s="549"/>
      <c r="AD116" s="549"/>
      <c r="AE116" s="549"/>
      <c r="AF116" s="549"/>
      <c r="AG116" s="549"/>
      <c r="AI116" s="2277"/>
      <c r="AJ116" s="2277"/>
      <c r="AK116" s="2277"/>
      <c r="AL116" s="2277"/>
      <c r="AM116" s="2277"/>
      <c r="AN116" s="2277"/>
      <c r="AO116" s="2277"/>
      <c r="AP116" s="2277"/>
      <c r="AQ116" s="2277"/>
      <c r="AR116" s="2277"/>
      <c r="AS116" s="2277"/>
      <c r="BB116" s="194"/>
      <c r="BC116" s="194"/>
      <c r="BD116" s="546"/>
      <c r="BE116" s="546"/>
    </row>
    <row r="117" spans="1:57" outlineLevel="1" x14ac:dyDescent="0.25">
      <c r="C117" s="3103"/>
      <c r="D117" s="3475" t="s">
        <v>944</v>
      </c>
      <c r="E117" s="3474" t="s">
        <v>945</v>
      </c>
      <c r="F117" s="513" t="s">
        <v>3540</v>
      </c>
      <c r="G117" s="560">
        <v>4.5</v>
      </c>
      <c r="H117" s="3477" t="s">
        <v>946</v>
      </c>
      <c r="I117" s="3479"/>
      <c r="J117" s="3531"/>
      <c r="K117" s="3532"/>
      <c r="M117" s="523"/>
      <c r="N117" s="1683"/>
      <c r="O117" s="554"/>
      <c r="P117" s="554"/>
      <c r="Q117" s="587"/>
      <c r="V117" s="3475" t="s">
        <v>944</v>
      </c>
      <c r="W117" s="532">
        <v>4.5</v>
      </c>
      <c r="X117" s="561">
        <v>4.5</v>
      </c>
      <c r="Y117" s="560">
        <v>4.5</v>
      </c>
      <c r="Z117" s="560">
        <v>4.5</v>
      </c>
      <c r="AA117" s="560">
        <v>4.5</v>
      </c>
      <c r="AB117" s="560">
        <v>4.5</v>
      </c>
      <c r="AC117" s="532"/>
      <c r="AD117" s="532"/>
      <c r="AE117" s="532"/>
      <c r="AF117" s="532"/>
      <c r="AG117" s="532"/>
      <c r="AI117" s="2277"/>
      <c r="AJ117" s="2277"/>
      <c r="AK117" s="2277"/>
      <c r="AL117" s="2277"/>
      <c r="AM117" s="2277"/>
      <c r="AN117" s="2277"/>
      <c r="AO117" s="2277"/>
      <c r="AP117" s="2277"/>
      <c r="AQ117" s="2277"/>
      <c r="AR117" s="2277"/>
      <c r="AS117" s="2277"/>
      <c r="BB117" s="194"/>
      <c r="BC117" s="194"/>
      <c r="BD117" s="546"/>
      <c r="BE117" s="546"/>
    </row>
    <row r="118" spans="1:57" s="2277" customFormat="1" outlineLevel="1" x14ac:dyDescent="0.25">
      <c r="A118" s="157"/>
      <c r="B118" s="157"/>
      <c r="C118" s="3103"/>
      <c r="D118" s="3530"/>
      <c r="E118" s="3444"/>
      <c r="F118" s="3018" t="s">
        <v>3528</v>
      </c>
      <c r="G118" s="560">
        <v>3.7</v>
      </c>
      <c r="H118" s="3477" t="s">
        <v>947</v>
      </c>
      <c r="I118" s="3479"/>
      <c r="J118" s="3026"/>
      <c r="K118" s="3027"/>
      <c r="L118" s="157"/>
      <c r="M118" s="523"/>
      <c r="N118" s="1683"/>
      <c r="O118" s="554"/>
      <c r="P118" s="554"/>
      <c r="Q118" s="587"/>
      <c r="R118" s="157"/>
      <c r="S118" s="157"/>
      <c r="T118" s="157"/>
      <c r="U118" s="157"/>
      <c r="V118" s="3530"/>
      <c r="W118" s="532"/>
      <c r="X118" s="561"/>
      <c r="Y118" s="560"/>
      <c r="Z118" s="560"/>
      <c r="AA118" s="560"/>
      <c r="AB118" s="560">
        <v>3.7</v>
      </c>
      <c r="AC118" s="532"/>
      <c r="AD118" s="532"/>
      <c r="AE118" s="532"/>
      <c r="AF118" s="532"/>
      <c r="AG118" s="532"/>
      <c r="BB118" s="194"/>
      <c r="BC118" s="194"/>
      <c r="BD118" s="546"/>
      <c r="BE118" s="546"/>
    </row>
    <row r="119" spans="1:57" s="2277" customFormat="1" outlineLevel="1" x14ac:dyDescent="0.25">
      <c r="A119" s="157"/>
      <c r="B119" s="157"/>
      <c r="C119" s="3103"/>
      <c r="D119" s="3476"/>
      <c r="E119" s="3445"/>
      <c r="F119" s="3018" t="s">
        <v>3541</v>
      </c>
      <c r="G119" s="3080">
        <v>3.7</v>
      </c>
      <c r="H119" s="3543" t="s">
        <v>1832</v>
      </c>
      <c r="I119" s="3544"/>
      <c r="J119" s="3026"/>
      <c r="K119" s="3027"/>
      <c r="L119" s="157"/>
      <c r="M119" s="523"/>
      <c r="N119" s="1683"/>
      <c r="O119" s="554"/>
      <c r="P119" s="554"/>
      <c r="Q119" s="587"/>
      <c r="R119" s="157"/>
      <c r="S119" s="157"/>
      <c r="T119" s="157"/>
      <c r="U119" s="157"/>
      <c r="V119" s="3476"/>
      <c r="W119" s="532"/>
      <c r="X119" s="561"/>
      <c r="Y119" s="560"/>
      <c r="Z119" s="560"/>
      <c r="AA119" s="560"/>
      <c r="AB119" s="609">
        <v>3.7</v>
      </c>
      <c r="AC119" s="532"/>
      <c r="AD119" s="532"/>
      <c r="AE119" s="532"/>
      <c r="AF119" s="532"/>
      <c r="AG119" s="532"/>
      <c r="BB119" s="194"/>
      <c r="BC119" s="194"/>
      <c r="BD119" s="546"/>
      <c r="BE119" s="546"/>
    </row>
    <row r="120" spans="1:57" s="522" customFormat="1" outlineLevel="1" x14ac:dyDescent="0.25">
      <c r="A120" s="633"/>
      <c r="B120" s="633"/>
      <c r="C120" s="3103"/>
      <c r="D120" s="3008" t="s">
        <v>948</v>
      </c>
      <c r="E120" s="3015" t="s">
        <v>949</v>
      </c>
      <c r="F120" s="3022" t="s">
        <v>591</v>
      </c>
      <c r="G120" s="560">
        <v>1.5</v>
      </c>
      <c r="H120" s="3477" t="s">
        <v>471</v>
      </c>
      <c r="I120" s="3479"/>
      <c r="J120" s="3531"/>
      <c r="K120" s="3532"/>
      <c r="L120" s="157"/>
      <c r="M120" s="523"/>
      <c r="N120" s="523"/>
      <c r="O120" s="523"/>
      <c r="P120" s="523"/>
      <c r="Q120" s="606"/>
      <c r="R120" s="633"/>
      <c r="S120" s="633"/>
      <c r="T120" s="633"/>
      <c r="U120" s="633"/>
      <c r="V120" s="3008" t="s">
        <v>948</v>
      </c>
      <c r="W120" s="532">
        <v>1.5</v>
      </c>
      <c r="X120" s="561">
        <v>1.5</v>
      </c>
      <c r="Y120" s="531">
        <v>1.5</v>
      </c>
      <c r="Z120" s="531">
        <v>1.5</v>
      </c>
      <c r="AA120" s="531">
        <v>1.5</v>
      </c>
      <c r="AB120" s="560">
        <v>1.5</v>
      </c>
      <c r="AC120" s="532"/>
      <c r="AD120" s="532"/>
      <c r="AE120" s="532"/>
      <c r="AF120" s="532"/>
      <c r="AG120" s="532"/>
      <c r="AI120" s="2277"/>
      <c r="AJ120" s="2277"/>
      <c r="AK120" s="2277"/>
      <c r="AL120" s="2277"/>
      <c r="AM120" s="2277"/>
      <c r="AN120" s="2277"/>
      <c r="AO120" s="2277"/>
      <c r="AP120" s="2277"/>
      <c r="AQ120" s="2277"/>
      <c r="AR120" s="2277"/>
      <c r="AS120" s="2277"/>
      <c r="BB120" s="194"/>
      <c r="BC120" s="194"/>
      <c r="BD120" s="546"/>
      <c r="BE120" s="546"/>
    </row>
    <row r="121" spans="1:57" outlineLevel="1" x14ac:dyDescent="0.25">
      <c r="C121" s="3103"/>
      <c r="D121" s="3475" t="s">
        <v>950</v>
      </c>
      <c r="E121" s="3474" t="s">
        <v>951</v>
      </c>
      <c r="F121" s="513" t="s">
        <v>3540</v>
      </c>
      <c r="G121" s="560">
        <v>4.5</v>
      </c>
      <c r="H121" s="3477" t="s">
        <v>946</v>
      </c>
      <c r="I121" s="3479"/>
      <c r="J121" s="3531"/>
      <c r="K121" s="3532"/>
      <c r="M121" s="523"/>
      <c r="N121" s="554"/>
      <c r="O121" s="554"/>
      <c r="P121" s="554"/>
      <c r="Q121" s="587"/>
      <c r="V121" s="3475" t="s">
        <v>950</v>
      </c>
      <c r="W121" s="532">
        <v>4.5</v>
      </c>
      <c r="X121" s="561">
        <v>4.5</v>
      </c>
      <c r="Y121" s="531">
        <v>4.5</v>
      </c>
      <c r="Z121" s="531">
        <v>4.5</v>
      </c>
      <c r="AA121" s="531">
        <v>4.5</v>
      </c>
      <c r="AB121" s="560">
        <v>4.5</v>
      </c>
      <c r="AC121" s="532"/>
      <c r="AD121" s="532"/>
      <c r="AE121" s="532"/>
      <c r="AF121" s="532"/>
      <c r="AG121" s="532"/>
      <c r="AI121" s="2277"/>
      <c r="AJ121" s="2277"/>
      <c r="AK121" s="2277"/>
      <c r="AL121" s="2277"/>
      <c r="AM121" s="2277"/>
      <c r="AN121" s="2277"/>
      <c r="AO121" s="2277"/>
      <c r="AP121" s="2277"/>
      <c r="AQ121" s="2277"/>
      <c r="AR121" s="2277"/>
      <c r="AS121" s="2277"/>
      <c r="BB121" s="194"/>
      <c r="BC121" s="194"/>
      <c r="BD121" s="546"/>
      <c r="BE121" s="546"/>
    </row>
    <row r="122" spans="1:57" s="2277" customFormat="1" outlineLevel="1" x14ac:dyDescent="0.25">
      <c r="A122" s="157"/>
      <c r="B122" s="157"/>
      <c r="C122" s="3103"/>
      <c r="D122" s="3530"/>
      <c r="E122" s="3444"/>
      <c r="F122" s="3018" t="s">
        <v>3528</v>
      </c>
      <c r="G122" s="560">
        <v>3.7</v>
      </c>
      <c r="H122" s="3477" t="s">
        <v>947</v>
      </c>
      <c r="I122" s="3479"/>
      <c r="J122" s="3026"/>
      <c r="K122" s="3027"/>
      <c r="L122" s="157"/>
      <c r="M122" s="523"/>
      <c r="N122" s="554"/>
      <c r="O122" s="554"/>
      <c r="P122" s="554"/>
      <c r="Q122" s="587"/>
      <c r="R122" s="157"/>
      <c r="S122" s="157"/>
      <c r="T122" s="157"/>
      <c r="U122" s="157"/>
      <c r="V122" s="3530"/>
      <c r="W122" s="532"/>
      <c r="X122" s="561"/>
      <c r="Y122" s="531"/>
      <c r="Z122" s="531"/>
      <c r="AA122" s="531"/>
      <c r="AB122" s="560">
        <v>3.7</v>
      </c>
      <c r="AC122" s="532"/>
      <c r="AD122" s="532"/>
      <c r="AE122" s="532"/>
      <c r="AF122" s="532"/>
      <c r="AG122" s="532"/>
      <c r="BB122" s="194"/>
      <c r="BC122" s="194"/>
      <c r="BD122" s="546"/>
      <c r="BE122" s="546"/>
    </row>
    <row r="123" spans="1:57" s="2277" customFormat="1" outlineLevel="1" x14ac:dyDescent="0.25">
      <c r="A123" s="157"/>
      <c r="B123" s="157"/>
      <c r="C123" s="3103"/>
      <c r="D123" s="3476"/>
      <c r="E123" s="3445"/>
      <c r="F123" s="3018" t="s">
        <v>3541</v>
      </c>
      <c r="G123" s="3080">
        <v>3.7</v>
      </c>
      <c r="H123" s="3543" t="s">
        <v>1832</v>
      </c>
      <c r="I123" s="3544"/>
      <c r="J123" s="3026"/>
      <c r="K123" s="3027"/>
      <c r="L123" s="157"/>
      <c r="M123" s="523"/>
      <c r="N123" s="554"/>
      <c r="O123" s="554"/>
      <c r="P123" s="554"/>
      <c r="Q123" s="587"/>
      <c r="R123" s="157"/>
      <c r="S123" s="157"/>
      <c r="T123" s="157"/>
      <c r="U123" s="157"/>
      <c r="V123" s="3476"/>
      <c r="W123" s="532"/>
      <c r="X123" s="561"/>
      <c r="Y123" s="531"/>
      <c r="Z123" s="531"/>
      <c r="AA123" s="531"/>
      <c r="AB123" s="609">
        <v>3.7</v>
      </c>
      <c r="AC123" s="532"/>
      <c r="AD123" s="532"/>
      <c r="AE123" s="532"/>
      <c r="AF123" s="532"/>
      <c r="AG123" s="532"/>
      <c r="BB123" s="194"/>
      <c r="BC123" s="194"/>
      <c r="BD123" s="546"/>
      <c r="BE123" s="546"/>
    </row>
    <row r="124" spans="1:57" s="2277" customFormat="1" outlineLevel="1" x14ac:dyDescent="0.25">
      <c r="A124" s="157"/>
      <c r="B124" s="157"/>
      <c r="C124" s="3103"/>
      <c r="D124" s="3475" t="s">
        <v>637</v>
      </c>
      <c r="E124" s="3474" t="s">
        <v>952</v>
      </c>
      <c r="F124" s="513" t="s">
        <v>3540</v>
      </c>
      <c r="G124" s="563">
        <v>4.28571428571429</v>
      </c>
      <c r="H124" s="3477" t="s">
        <v>3544</v>
      </c>
      <c r="I124" s="3479"/>
      <c r="J124" s="3026"/>
      <c r="K124" s="3027"/>
      <c r="L124" s="157"/>
      <c r="M124" s="1684"/>
      <c r="N124" s="554"/>
      <c r="O124" s="554"/>
      <c r="P124" s="554"/>
      <c r="Q124" s="587"/>
      <c r="R124" s="157"/>
      <c r="S124" s="157"/>
      <c r="T124" s="157"/>
      <c r="U124" s="157"/>
      <c r="V124" s="3475" t="s">
        <v>637</v>
      </c>
      <c r="W124" s="564">
        <v>4.3185840707964598</v>
      </c>
      <c r="X124" s="565">
        <v>4.2926829268292686</v>
      </c>
      <c r="Y124" s="566">
        <v>4.2329545454545459</v>
      </c>
      <c r="Z124" s="2585">
        <v>4.2329545454545459</v>
      </c>
      <c r="AA124" s="2585">
        <v>4.2329545454545459</v>
      </c>
      <c r="AB124" s="565">
        <v>4.28571428571429</v>
      </c>
      <c r="AC124" s="564"/>
      <c r="AD124" s="564"/>
      <c r="AE124" s="564"/>
      <c r="AF124" s="564"/>
      <c r="AG124" s="564"/>
      <c r="BB124" s="194"/>
      <c r="BC124" s="194"/>
      <c r="BD124" s="546"/>
      <c r="BE124" s="546"/>
    </row>
    <row r="125" spans="1:57" s="2277" customFormat="1" outlineLevel="1" x14ac:dyDescent="0.25">
      <c r="A125" s="157"/>
      <c r="B125" s="157"/>
      <c r="C125" s="3103"/>
      <c r="D125" s="3530"/>
      <c r="E125" s="3444"/>
      <c r="F125" s="2440" t="s">
        <v>3528</v>
      </c>
      <c r="G125" s="563">
        <v>1.7767584097859328</v>
      </c>
      <c r="H125" s="3477" t="s">
        <v>953</v>
      </c>
      <c r="I125" s="3479"/>
      <c r="J125" s="3026"/>
      <c r="K125" s="3027"/>
      <c r="L125" s="157"/>
      <c r="M125" s="1684"/>
      <c r="N125" s="554"/>
      <c r="O125" s="554"/>
      <c r="P125" s="554"/>
      <c r="Q125" s="587"/>
      <c r="R125" s="157"/>
      <c r="S125" s="157"/>
      <c r="T125" s="157"/>
      <c r="U125" s="157"/>
      <c r="V125" s="3530"/>
      <c r="W125" s="564"/>
      <c r="X125" s="565"/>
      <c r="Y125" s="566"/>
      <c r="Z125" s="2585"/>
      <c r="AA125" s="2585"/>
      <c r="AB125" s="563">
        <v>1.7767584097859328</v>
      </c>
      <c r="AC125" s="564"/>
      <c r="AD125" s="564"/>
      <c r="AE125" s="564"/>
      <c r="AF125" s="564"/>
      <c r="AG125" s="564"/>
      <c r="BB125" s="194"/>
      <c r="BC125" s="194"/>
      <c r="BD125" s="546"/>
      <c r="BE125" s="546"/>
    </row>
    <row r="126" spans="1:57" s="2277" customFormat="1" outlineLevel="1" x14ac:dyDescent="0.25">
      <c r="A126" s="157"/>
      <c r="B126" s="157"/>
      <c r="C126" s="3103"/>
      <c r="D126" s="3530"/>
      <c r="E126" s="3444"/>
      <c r="F126" s="2440" t="s">
        <v>3541</v>
      </c>
      <c r="G126" s="596">
        <v>1.5644946808510638</v>
      </c>
      <c r="H126" s="3541" t="s">
        <v>1835</v>
      </c>
      <c r="I126" s="3542"/>
      <c r="J126" s="3026"/>
      <c r="K126" s="3027"/>
      <c r="L126" s="157"/>
      <c r="M126" s="1684"/>
      <c r="N126" s="554"/>
      <c r="O126" s="554"/>
      <c r="P126" s="554"/>
      <c r="Q126" s="587"/>
      <c r="R126" s="157"/>
      <c r="S126" s="157"/>
      <c r="T126" s="157"/>
      <c r="U126" s="157"/>
      <c r="V126" s="3530"/>
      <c r="W126" s="564"/>
      <c r="X126" s="565"/>
      <c r="Y126" s="566"/>
      <c r="Z126" s="2585"/>
      <c r="AA126" s="2585"/>
      <c r="AB126" s="567">
        <v>1.5644946808510638</v>
      </c>
      <c r="AC126" s="564"/>
      <c r="AD126" s="564"/>
      <c r="AE126" s="564"/>
      <c r="AF126" s="564"/>
      <c r="AG126" s="564"/>
      <c r="BB126" s="194"/>
      <c r="BC126" s="194"/>
      <c r="BD126" s="546"/>
      <c r="BE126" s="546"/>
    </row>
    <row r="127" spans="1:57" s="2277" customFormat="1" outlineLevel="1" x14ac:dyDescent="0.25">
      <c r="A127" s="157"/>
      <c r="B127" s="157"/>
      <c r="C127" s="3103"/>
      <c r="D127" s="3476"/>
      <c r="E127" s="3445"/>
      <c r="F127" s="2440" t="s">
        <v>3792</v>
      </c>
      <c r="G127" s="596">
        <v>2.65</v>
      </c>
      <c r="H127" s="3541" t="s">
        <v>3545</v>
      </c>
      <c r="I127" s="3542"/>
      <c r="J127" s="3026"/>
      <c r="K127" s="3027"/>
      <c r="L127" s="157"/>
      <c r="M127" s="1684"/>
      <c r="N127" s="554"/>
      <c r="O127" s="554"/>
      <c r="P127" s="554"/>
      <c r="Q127" s="587"/>
      <c r="R127" s="157"/>
      <c r="S127" s="157"/>
      <c r="T127" s="157"/>
      <c r="U127" s="157"/>
      <c r="V127" s="3476"/>
      <c r="W127" s="564"/>
      <c r="X127" s="565"/>
      <c r="Y127" s="566"/>
      <c r="Z127" s="2585"/>
      <c r="AA127" s="2585"/>
      <c r="AB127" s="567">
        <v>2.65</v>
      </c>
      <c r="AC127" s="564"/>
      <c r="AD127" s="564"/>
      <c r="AE127" s="564"/>
      <c r="AF127" s="564"/>
      <c r="AG127" s="564"/>
      <c r="BB127" s="194"/>
      <c r="BC127" s="194"/>
      <c r="BD127" s="546"/>
      <c r="BE127" s="546"/>
    </row>
    <row r="128" spans="1:57" outlineLevel="1" x14ac:dyDescent="0.25">
      <c r="C128" s="3103"/>
      <c r="D128" s="3536" t="s">
        <v>954</v>
      </c>
      <c r="E128" s="3474" t="s">
        <v>955</v>
      </c>
      <c r="F128" s="513" t="s">
        <v>3542</v>
      </c>
      <c r="G128" s="3079">
        <v>0.75</v>
      </c>
      <c r="H128" s="3477" t="s">
        <v>956</v>
      </c>
      <c r="I128" s="3479"/>
      <c r="J128" s="3531"/>
      <c r="K128" s="3532"/>
      <c r="M128" s="554"/>
      <c r="N128" s="554"/>
      <c r="O128" s="554"/>
      <c r="P128" s="554"/>
      <c r="Q128" s="587"/>
      <c r="V128" s="3558" t="s">
        <v>954</v>
      </c>
      <c r="W128" s="568">
        <v>0.75</v>
      </c>
      <c r="X128" s="559">
        <v>0.75</v>
      </c>
      <c r="Y128" s="2769">
        <v>0.75</v>
      </c>
      <c r="Z128" s="2769">
        <v>0.75</v>
      </c>
      <c r="AA128" s="2769">
        <v>0.75</v>
      </c>
      <c r="AB128" s="2769">
        <v>0.75</v>
      </c>
      <c r="AC128" s="568"/>
      <c r="AD128" s="568"/>
      <c r="AE128" s="568"/>
      <c r="AF128" s="568"/>
      <c r="AG128" s="568"/>
      <c r="AI128" s="2277"/>
      <c r="AJ128" s="2277"/>
      <c r="AK128" s="2277"/>
      <c r="AL128" s="2277"/>
      <c r="AM128" s="2277"/>
      <c r="AN128" s="2277"/>
      <c r="AO128" s="2277"/>
      <c r="AP128" s="2277"/>
      <c r="AQ128" s="2277"/>
      <c r="AR128" s="2277"/>
      <c r="AS128" s="2277"/>
      <c r="BB128" s="194"/>
      <c r="BC128" s="194"/>
      <c r="BD128" s="546"/>
      <c r="BE128" s="546"/>
    </row>
    <row r="129" spans="1:57" s="2277" customFormat="1" outlineLevel="1" x14ac:dyDescent="0.25">
      <c r="A129" s="157"/>
      <c r="B129" s="157"/>
      <c r="C129" s="3103"/>
      <c r="D129" s="3537"/>
      <c r="E129" s="3445"/>
      <c r="F129" s="513" t="s">
        <v>3541</v>
      </c>
      <c r="G129" s="138">
        <v>1</v>
      </c>
      <c r="H129" s="3477" t="s">
        <v>1193</v>
      </c>
      <c r="I129" s="3479"/>
      <c r="J129" s="3026"/>
      <c r="K129" s="3027"/>
      <c r="L129" s="157"/>
      <c r="M129" s="554"/>
      <c r="N129" s="554"/>
      <c r="O129" s="554"/>
      <c r="P129" s="554"/>
      <c r="Q129" s="587"/>
      <c r="R129" s="157"/>
      <c r="S129" s="157"/>
      <c r="T129" s="157"/>
      <c r="U129" s="157"/>
      <c r="V129" s="3434"/>
      <c r="W129" s="568"/>
      <c r="X129" s="559"/>
      <c r="Y129" s="2769"/>
      <c r="Z129" s="2769"/>
      <c r="AA129" s="2769"/>
      <c r="AB129" s="149">
        <v>1</v>
      </c>
      <c r="AC129" s="568"/>
      <c r="AD129" s="568"/>
      <c r="AE129" s="568"/>
      <c r="AF129" s="568"/>
      <c r="AG129" s="568"/>
      <c r="BB129" s="194"/>
      <c r="BC129" s="194"/>
      <c r="BD129" s="546"/>
      <c r="BE129" s="546"/>
    </row>
    <row r="130" spans="1:57" outlineLevel="1" x14ac:dyDescent="0.25">
      <c r="C130" s="3103"/>
      <c r="D130" s="3016">
        <v>365.25</v>
      </c>
      <c r="E130" s="3015" t="s">
        <v>218</v>
      </c>
      <c r="F130" s="513" t="s">
        <v>591</v>
      </c>
      <c r="G130" s="560">
        <v>365.25</v>
      </c>
      <c r="H130" s="3477" t="s">
        <v>921</v>
      </c>
      <c r="I130" s="3479"/>
      <c r="J130" s="3531"/>
      <c r="K130" s="3532"/>
      <c r="M130" s="523"/>
      <c r="N130" s="554"/>
      <c r="O130" s="554"/>
      <c r="P130" s="554"/>
      <c r="Q130" s="587"/>
      <c r="V130" s="513">
        <v>365.25</v>
      </c>
      <c r="W130" s="532">
        <v>365</v>
      </c>
      <c r="X130" s="561">
        <v>365</v>
      </c>
      <c r="Y130" s="560">
        <v>365</v>
      </c>
      <c r="Z130" s="560">
        <v>365</v>
      </c>
      <c r="AA130" s="560">
        <v>365</v>
      </c>
      <c r="AB130" s="434">
        <v>365.25</v>
      </c>
      <c r="AC130" s="532"/>
      <c r="AD130" s="532"/>
      <c r="AE130" s="532"/>
      <c r="AF130" s="532"/>
      <c r="AG130" s="532"/>
      <c r="AI130" s="2277"/>
      <c r="AJ130" s="2277"/>
      <c r="AK130" s="2277"/>
      <c r="AL130" s="2277"/>
      <c r="AM130" s="2277"/>
      <c r="AN130" s="2277"/>
      <c r="AO130" s="2277"/>
      <c r="AP130" s="2277"/>
      <c r="AQ130" s="2277"/>
      <c r="AR130" s="2277"/>
      <c r="AS130" s="2277"/>
      <c r="BB130" s="194"/>
      <c r="BC130" s="194"/>
      <c r="BD130" s="546"/>
      <c r="BE130" s="546"/>
    </row>
    <row r="131" spans="1:57" outlineLevel="1" x14ac:dyDescent="0.25">
      <c r="C131" s="3103"/>
      <c r="D131" s="3536" t="s">
        <v>957</v>
      </c>
      <c r="E131" s="3474" t="s">
        <v>958</v>
      </c>
      <c r="F131" s="513" t="s">
        <v>3540</v>
      </c>
      <c r="G131" s="569">
        <v>1.1875</v>
      </c>
      <c r="H131" s="3477" t="s">
        <v>939</v>
      </c>
      <c r="I131" s="3479"/>
      <c r="J131" s="3531"/>
      <c r="K131" s="3532"/>
      <c r="M131" s="1685"/>
      <c r="N131" s="1686"/>
      <c r="O131" s="1687"/>
      <c r="P131" s="1687"/>
      <c r="Q131" s="587"/>
      <c r="V131" s="3558" t="s">
        <v>957</v>
      </c>
      <c r="W131" s="571">
        <v>1.1754385964912279</v>
      </c>
      <c r="X131" s="572">
        <v>1.1754385964912279</v>
      </c>
      <c r="Y131" s="573">
        <v>1.1875</v>
      </c>
      <c r="Z131" s="570">
        <v>1.1875</v>
      </c>
      <c r="AA131" s="570">
        <v>1.1875</v>
      </c>
      <c r="AB131" s="569">
        <v>1.1875</v>
      </c>
      <c r="AC131" s="571"/>
      <c r="AD131" s="571"/>
      <c r="AE131" s="571"/>
      <c r="AF131" s="571"/>
      <c r="AG131" s="571"/>
      <c r="AI131" s="2277"/>
      <c r="AJ131" s="2277"/>
      <c r="AK131" s="2277"/>
      <c r="AL131" s="2277"/>
      <c r="AM131" s="2277"/>
      <c r="AN131" s="2277"/>
      <c r="AO131" s="2277"/>
      <c r="AP131" s="2277"/>
      <c r="AQ131" s="2277"/>
      <c r="AR131" s="2277"/>
      <c r="AS131" s="2277"/>
      <c r="BB131" s="194"/>
      <c r="BC131" s="194"/>
      <c r="BD131" s="546"/>
      <c r="BE131" s="546"/>
    </row>
    <row r="132" spans="1:57" s="2277" customFormat="1" outlineLevel="1" x14ac:dyDescent="0.25">
      <c r="A132" s="157"/>
      <c r="B132" s="157"/>
      <c r="C132" s="3103"/>
      <c r="D132" s="3538"/>
      <c r="E132" s="3444"/>
      <c r="F132" s="2441" t="s">
        <v>3528</v>
      </c>
      <c r="G132" s="570">
        <v>1</v>
      </c>
      <c r="H132" s="3493" t="s">
        <v>940</v>
      </c>
      <c r="I132" s="3494"/>
      <c r="J132" s="3026"/>
      <c r="K132" s="3027"/>
      <c r="L132" s="157"/>
      <c r="M132" s="1685"/>
      <c r="N132" s="1686"/>
      <c r="O132" s="1687"/>
      <c r="P132" s="1687"/>
      <c r="Q132" s="587"/>
      <c r="R132" s="157"/>
      <c r="S132" s="157"/>
      <c r="T132" s="157"/>
      <c r="U132" s="157"/>
      <c r="V132" s="3362"/>
      <c r="W132" s="571"/>
      <c r="X132" s="572"/>
      <c r="Y132" s="573"/>
      <c r="Z132" s="570"/>
      <c r="AA132" s="570"/>
      <c r="AB132" s="570">
        <v>1</v>
      </c>
      <c r="AC132" s="571"/>
      <c r="AD132" s="571"/>
      <c r="AE132" s="571"/>
      <c r="AF132" s="571"/>
      <c r="AG132" s="571"/>
      <c r="BB132" s="194"/>
      <c r="BC132" s="194"/>
      <c r="BD132" s="546"/>
      <c r="BE132" s="546"/>
    </row>
    <row r="133" spans="1:57" s="2277" customFormat="1" outlineLevel="1" x14ac:dyDescent="0.25">
      <c r="A133" s="157"/>
      <c r="B133" s="157"/>
      <c r="C133" s="3103"/>
      <c r="D133" s="3537"/>
      <c r="E133" s="3445"/>
      <c r="F133" s="2441" t="s">
        <v>3541</v>
      </c>
      <c r="G133" s="570">
        <v>1</v>
      </c>
      <c r="H133" s="3495" t="s">
        <v>2234</v>
      </c>
      <c r="I133" s="3496"/>
      <c r="J133" s="3531" t="s">
        <v>3546</v>
      </c>
      <c r="K133" s="3532"/>
      <c r="L133" s="157"/>
      <c r="M133" s="1685"/>
      <c r="N133" s="1686"/>
      <c r="O133" s="1687"/>
      <c r="P133" s="1687"/>
      <c r="Q133" s="587"/>
      <c r="R133" s="157"/>
      <c r="S133" s="157"/>
      <c r="T133" s="157"/>
      <c r="U133" s="157"/>
      <c r="V133" s="3434"/>
      <c r="W133" s="571"/>
      <c r="X133" s="572"/>
      <c r="Y133" s="573"/>
      <c r="Z133" s="570"/>
      <c r="AA133" s="570"/>
      <c r="AB133" s="573">
        <v>1</v>
      </c>
      <c r="AC133" s="571"/>
      <c r="AD133" s="571"/>
      <c r="AE133" s="571"/>
      <c r="AF133" s="571"/>
      <c r="AG133" s="571"/>
      <c r="BB133" s="194"/>
      <c r="BC133" s="194"/>
      <c r="BD133" s="546"/>
      <c r="BE133" s="546"/>
    </row>
    <row r="134" spans="1:57" outlineLevel="1" x14ac:dyDescent="0.25">
      <c r="C134" s="3103"/>
      <c r="D134" s="3016">
        <v>8.33</v>
      </c>
      <c r="E134" s="3036" t="s">
        <v>959</v>
      </c>
      <c r="F134" s="513" t="s">
        <v>591</v>
      </c>
      <c r="G134" s="3079">
        <v>8.33</v>
      </c>
      <c r="H134" s="3493" t="s">
        <v>960</v>
      </c>
      <c r="I134" s="3494"/>
      <c r="J134" s="3531"/>
      <c r="K134" s="3532"/>
      <c r="M134" s="554"/>
      <c r="N134" s="554"/>
      <c r="O134" s="554"/>
      <c r="P134" s="554"/>
      <c r="Q134" s="587"/>
      <c r="V134" s="513">
        <v>8.33</v>
      </c>
      <c r="W134" s="568">
        <v>8.33</v>
      </c>
      <c r="X134" s="559">
        <v>8.33</v>
      </c>
      <c r="Y134" s="130">
        <v>8.33</v>
      </c>
      <c r="Z134" s="2769">
        <v>8.33</v>
      </c>
      <c r="AA134" s="2769">
        <v>8.33</v>
      </c>
      <c r="AB134" s="2769">
        <v>8.33</v>
      </c>
      <c r="AC134" s="568"/>
      <c r="AD134" s="568"/>
      <c r="AE134" s="568"/>
      <c r="AF134" s="568"/>
      <c r="AG134" s="568"/>
      <c r="AI134" s="2277"/>
      <c r="AJ134" s="2277"/>
      <c r="AK134" s="2277"/>
      <c r="AL134" s="2277"/>
      <c r="AM134" s="2277"/>
      <c r="AN134" s="2277"/>
      <c r="AO134" s="2277"/>
      <c r="AP134" s="2277"/>
      <c r="AQ134" s="2277"/>
      <c r="AR134" s="2277"/>
      <c r="AS134" s="2277"/>
      <c r="BB134" s="194"/>
      <c r="BC134" s="194"/>
      <c r="BD134" s="546"/>
      <c r="BE134" s="546"/>
    </row>
    <row r="135" spans="1:57" outlineLevel="1" x14ac:dyDescent="0.25">
      <c r="C135" s="3103"/>
      <c r="D135" s="3016">
        <v>1</v>
      </c>
      <c r="E135" s="3015" t="s">
        <v>961</v>
      </c>
      <c r="F135" s="513" t="s">
        <v>591</v>
      </c>
      <c r="G135" s="3079">
        <v>1</v>
      </c>
      <c r="H135" s="3477" t="s">
        <v>962</v>
      </c>
      <c r="I135" s="3479"/>
      <c r="J135" s="3531"/>
      <c r="K135" s="3532"/>
      <c r="M135" s="554"/>
      <c r="N135" s="612"/>
      <c r="O135" s="612"/>
      <c r="P135" s="612"/>
      <c r="Q135" s="587"/>
      <c r="V135" s="513">
        <v>1</v>
      </c>
      <c r="W135" s="568">
        <v>1</v>
      </c>
      <c r="X135" s="559">
        <v>1</v>
      </c>
      <c r="Y135" s="2769">
        <v>1</v>
      </c>
      <c r="Z135" s="2769">
        <v>1</v>
      </c>
      <c r="AA135" s="2769">
        <v>1</v>
      </c>
      <c r="AB135" s="2769">
        <v>1</v>
      </c>
      <c r="AC135" s="568"/>
      <c r="AD135" s="568"/>
      <c r="AE135" s="568"/>
      <c r="AF135" s="568"/>
      <c r="AG135" s="568"/>
      <c r="AI135" s="2277"/>
      <c r="AJ135" s="2277"/>
      <c r="AK135" s="2277"/>
      <c r="AL135" s="2277"/>
      <c r="AM135" s="2277"/>
      <c r="AN135" s="2277"/>
      <c r="AO135" s="2277"/>
      <c r="AP135" s="2277"/>
      <c r="AQ135" s="2277"/>
      <c r="AR135" s="2277"/>
      <c r="AS135" s="2277"/>
      <c r="BB135" s="194"/>
      <c r="BC135" s="194"/>
      <c r="BD135" s="546"/>
      <c r="BE135" s="546"/>
    </row>
    <row r="136" spans="1:57" outlineLevel="1" x14ac:dyDescent="0.25">
      <c r="C136" s="3103"/>
      <c r="D136" s="3008" t="s">
        <v>963</v>
      </c>
      <c r="E136" s="3015" t="s">
        <v>964</v>
      </c>
      <c r="F136" s="513" t="s">
        <v>591</v>
      </c>
      <c r="G136" s="560">
        <v>93</v>
      </c>
      <c r="H136" s="3477" t="s">
        <v>965</v>
      </c>
      <c r="I136" s="3479"/>
      <c r="J136" s="3531"/>
      <c r="K136" s="3532"/>
      <c r="M136" s="523"/>
      <c r="N136" s="554"/>
      <c r="O136" s="554"/>
      <c r="P136" s="554"/>
      <c r="Q136" s="587"/>
      <c r="V136" s="3008" t="s">
        <v>963</v>
      </c>
      <c r="W136" s="532">
        <v>93</v>
      </c>
      <c r="X136" s="560">
        <v>93</v>
      </c>
      <c r="Y136" s="560">
        <v>93</v>
      </c>
      <c r="Z136" s="560">
        <v>93</v>
      </c>
      <c r="AA136" s="560">
        <v>93</v>
      </c>
      <c r="AB136" s="560">
        <v>93</v>
      </c>
      <c r="AC136" s="532"/>
      <c r="AD136" s="532"/>
      <c r="AE136" s="532"/>
      <c r="AF136" s="532"/>
      <c r="AG136" s="532"/>
      <c r="AI136" s="2277"/>
      <c r="AJ136" s="2277"/>
      <c r="AK136" s="2277"/>
      <c r="AL136" s="2277"/>
      <c r="AM136" s="2277"/>
      <c r="AN136" s="2277"/>
      <c r="AO136" s="2277"/>
      <c r="AP136" s="2277"/>
      <c r="AQ136" s="2277"/>
      <c r="AR136" s="2277"/>
      <c r="AS136" s="2277"/>
      <c r="BB136" s="194"/>
      <c r="BC136" s="194"/>
      <c r="BD136" s="546"/>
      <c r="BE136" s="546"/>
    </row>
    <row r="137" spans="1:57" s="522" customFormat="1" outlineLevel="1" x14ac:dyDescent="0.25">
      <c r="A137" s="633"/>
      <c r="B137" s="633"/>
      <c r="C137" s="3103"/>
      <c r="D137" s="3008" t="s">
        <v>966</v>
      </c>
      <c r="E137" s="3015" t="s">
        <v>967</v>
      </c>
      <c r="F137" s="3022" t="s">
        <v>591</v>
      </c>
      <c r="G137" s="560">
        <v>61.3</v>
      </c>
      <c r="H137" s="3477" t="s">
        <v>968</v>
      </c>
      <c r="I137" s="3479"/>
      <c r="J137" s="3531"/>
      <c r="K137" s="3532"/>
      <c r="L137" s="157"/>
      <c r="M137" s="523"/>
      <c r="N137" s="554"/>
      <c r="O137" s="554"/>
      <c r="P137" s="554"/>
      <c r="Q137" s="606"/>
      <c r="R137" s="633"/>
      <c r="S137" s="633"/>
      <c r="T137" s="633"/>
      <c r="U137" s="633"/>
      <c r="V137" s="3008" t="s">
        <v>966</v>
      </c>
      <c r="W137" s="532">
        <v>61.3</v>
      </c>
      <c r="X137" s="560">
        <v>61.3</v>
      </c>
      <c r="Y137" s="560">
        <v>61.3</v>
      </c>
      <c r="Z137" s="560">
        <v>61.3</v>
      </c>
      <c r="AA137" s="560">
        <v>61.3</v>
      </c>
      <c r="AB137" s="560">
        <v>61.3</v>
      </c>
      <c r="AC137" s="532"/>
      <c r="AD137" s="532"/>
      <c r="AE137" s="532"/>
      <c r="AF137" s="532"/>
      <c r="AG137" s="532"/>
      <c r="AI137" s="2277"/>
      <c r="AJ137" s="2277"/>
      <c r="AK137" s="2277"/>
      <c r="AL137" s="2277"/>
      <c r="AM137" s="2277"/>
      <c r="AN137" s="2277"/>
      <c r="AO137" s="2277"/>
      <c r="AP137" s="2277"/>
      <c r="AQ137" s="2277"/>
      <c r="AR137" s="2277"/>
      <c r="AS137" s="2277"/>
      <c r="BB137" s="194"/>
      <c r="BC137" s="194"/>
      <c r="BD137" s="546"/>
      <c r="BE137" s="546"/>
    </row>
    <row r="138" spans="1:57" s="522" customFormat="1" outlineLevel="1" x14ac:dyDescent="0.25">
      <c r="A138" s="633"/>
      <c r="B138" s="633"/>
      <c r="C138" s="3103"/>
      <c r="D138" s="3008" t="s">
        <v>969</v>
      </c>
      <c r="E138" s="3015" t="s">
        <v>970</v>
      </c>
      <c r="F138" s="3022" t="s">
        <v>591</v>
      </c>
      <c r="G138" s="3079">
        <v>0.98</v>
      </c>
      <c r="H138" s="3493" t="s">
        <v>971</v>
      </c>
      <c r="I138" s="3494"/>
      <c r="J138" s="3531"/>
      <c r="K138" s="3532"/>
      <c r="L138" s="157"/>
      <c r="M138" s="554"/>
      <c r="N138" s="554"/>
      <c r="O138" s="554"/>
      <c r="P138" s="554"/>
      <c r="Q138" s="606"/>
      <c r="R138" s="633"/>
      <c r="S138" s="633"/>
      <c r="T138" s="633"/>
      <c r="U138" s="633"/>
      <c r="V138" s="3008" t="s">
        <v>969</v>
      </c>
      <c r="W138" s="568">
        <v>0.98</v>
      </c>
      <c r="X138" s="559">
        <v>0.98</v>
      </c>
      <c r="Y138" s="130">
        <v>0.98</v>
      </c>
      <c r="Z138" s="2769">
        <v>0.98</v>
      </c>
      <c r="AA138" s="2769">
        <v>0.98</v>
      </c>
      <c r="AB138" s="2769">
        <v>0.98</v>
      </c>
      <c r="AC138" s="568"/>
      <c r="AD138" s="568"/>
      <c r="AE138" s="568"/>
      <c r="AF138" s="568"/>
      <c r="AG138" s="568"/>
      <c r="AI138" s="2277"/>
      <c r="AJ138" s="2277"/>
      <c r="AK138" s="2277"/>
      <c r="AL138" s="2277"/>
      <c r="AM138" s="2277"/>
      <c r="AN138" s="2277"/>
      <c r="AO138" s="2277"/>
      <c r="AP138" s="2277"/>
      <c r="AQ138" s="2277"/>
      <c r="AR138" s="2277"/>
      <c r="AS138" s="2277"/>
      <c r="BB138" s="194"/>
      <c r="BC138" s="194"/>
      <c r="BD138" s="546"/>
      <c r="BE138" s="546"/>
    </row>
    <row r="139" spans="1:57" s="522" customFormat="1" outlineLevel="1" x14ac:dyDescent="0.25">
      <c r="A139" s="633"/>
      <c r="B139" s="633"/>
      <c r="C139" s="3103"/>
      <c r="D139" s="3008">
        <v>3412</v>
      </c>
      <c r="E139" s="3036" t="s">
        <v>972</v>
      </c>
      <c r="F139" s="3022" t="s">
        <v>591</v>
      </c>
      <c r="G139" s="575">
        <v>3412</v>
      </c>
      <c r="H139" s="3493" t="s">
        <v>655</v>
      </c>
      <c r="I139" s="3494"/>
      <c r="J139" s="3531"/>
      <c r="K139" s="3532"/>
      <c r="L139" s="157"/>
      <c r="M139" s="614"/>
      <c r="N139" s="554"/>
      <c r="O139" s="614"/>
      <c r="P139" s="554"/>
      <c r="Q139" s="606"/>
      <c r="R139" s="633"/>
      <c r="S139" s="633"/>
      <c r="T139" s="633"/>
      <c r="U139" s="633"/>
      <c r="V139" s="3008">
        <v>3412</v>
      </c>
      <c r="W139" s="577">
        <v>3413</v>
      </c>
      <c r="X139" s="578">
        <v>3413</v>
      </c>
      <c r="Y139" s="575">
        <v>3413</v>
      </c>
      <c r="Z139" s="575">
        <v>3413</v>
      </c>
      <c r="AA139" s="575">
        <v>3413</v>
      </c>
      <c r="AB139" s="579">
        <v>3412</v>
      </c>
      <c r="AC139" s="577"/>
      <c r="AD139" s="577"/>
      <c r="AE139" s="577"/>
      <c r="AF139" s="577"/>
      <c r="AG139" s="577"/>
      <c r="AI139" s="2277"/>
      <c r="AJ139" s="2277"/>
      <c r="AK139" s="2277"/>
      <c r="AL139" s="2277"/>
      <c r="AM139" s="2277"/>
      <c r="AN139" s="2277"/>
      <c r="AO139" s="2277"/>
      <c r="AP139" s="2277"/>
      <c r="AQ139" s="2277"/>
      <c r="AR139" s="2277"/>
      <c r="AS139" s="2277"/>
      <c r="BB139" s="194"/>
      <c r="BC139" s="194"/>
      <c r="BD139" s="546"/>
      <c r="BE139" s="546"/>
    </row>
    <row r="140" spans="1:57" s="522" customFormat="1" outlineLevel="1" x14ac:dyDescent="0.25">
      <c r="A140" s="2370"/>
      <c r="B140" s="2370"/>
      <c r="C140" s="3103"/>
      <c r="D140" s="3475" t="s">
        <v>892</v>
      </c>
      <c r="E140" s="3474" t="s">
        <v>929</v>
      </c>
      <c r="F140" s="3022" t="s">
        <v>3540</v>
      </c>
      <c r="G140" s="580">
        <v>0.72</v>
      </c>
      <c r="H140" s="3477" t="s">
        <v>3544</v>
      </c>
      <c r="I140" s="3479"/>
      <c r="J140" s="3026"/>
      <c r="K140" s="3027"/>
      <c r="L140" s="157"/>
      <c r="M140" s="607"/>
      <c r="N140" s="1688"/>
      <c r="O140" s="1688"/>
      <c r="P140" s="607"/>
      <c r="Q140" s="2367"/>
      <c r="R140" s="2370"/>
      <c r="S140" s="2370"/>
      <c r="T140" s="2370"/>
      <c r="U140" s="2370"/>
      <c r="V140" s="3475" t="s">
        <v>892</v>
      </c>
      <c r="W140" s="582">
        <v>0.86</v>
      </c>
      <c r="X140" s="583">
        <v>0.89859999999999995</v>
      </c>
      <c r="Y140" s="584">
        <v>0.91869999999999996</v>
      </c>
      <c r="Z140" s="2586">
        <v>0.91869999999999996</v>
      </c>
      <c r="AA140" s="2586">
        <v>0.91869999999999996</v>
      </c>
      <c r="AB140" s="592">
        <v>0.72</v>
      </c>
      <c r="AC140" s="582"/>
      <c r="AD140" s="582"/>
      <c r="AE140" s="582"/>
      <c r="AF140" s="582"/>
      <c r="AG140" s="582"/>
      <c r="AI140" s="2277"/>
      <c r="AJ140" s="2277"/>
      <c r="AK140" s="2277"/>
      <c r="AL140" s="2277"/>
      <c r="AM140" s="2277"/>
      <c r="AN140" s="2277"/>
      <c r="AO140" s="2277"/>
      <c r="AP140" s="2277"/>
      <c r="AQ140" s="2277"/>
      <c r="AR140" s="2277"/>
      <c r="AS140" s="2277"/>
      <c r="BB140" s="194"/>
      <c r="BC140" s="194"/>
      <c r="BD140" s="546"/>
      <c r="BE140" s="546"/>
    </row>
    <row r="141" spans="1:57" s="522" customFormat="1" outlineLevel="1" x14ac:dyDescent="0.25">
      <c r="A141" s="2370"/>
      <c r="B141" s="2370"/>
      <c r="C141" s="3103"/>
      <c r="D141" s="3476"/>
      <c r="E141" s="3445"/>
      <c r="F141" s="2442" t="s">
        <v>3543</v>
      </c>
      <c r="G141" s="581">
        <v>1</v>
      </c>
      <c r="H141" s="3493" t="s">
        <v>940</v>
      </c>
      <c r="I141" s="3494"/>
      <c r="J141" s="3026"/>
      <c r="K141" s="3027"/>
      <c r="L141" s="157"/>
      <c r="M141" s="607"/>
      <c r="N141" s="1688"/>
      <c r="O141" s="1688"/>
      <c r="P141" s="607"/>
      <c r="Q141" s="2367"/>
      <c r="R141" s="2370"/>
      <c r="S141" s="2370"/>
      <c r="T141" s="2370"/>
      <c r="U141" s="2370"/>
      <c r="V141" s="3476"/>
      <c r="W141" s="582"/>
      <c r="X141" s="583"/>
      <c r="Y141" s="584"/>
      <c r="Z141" s="2586"/>
      <c r="AA141" s="2586"/>
      <c r="AB141" s="2586">
        <v>1</v>
      </c>
      <c r="AC141" s="582"/>
      <c r="AD141" s="582"/>
      <c r="AE141" s="582"/>
      <c r="AF141" s="582"/>
      <c r="AG141" s="582"/>
      <c r="AI141" s="2277"/>
      <c r="AJ141" s="2277"/>
      <c r="AK141" s="2277"/>
      <c r="AL141" s="2277"/>
      <c r="AM141" s="2277"/>
      <c r="AN141" s="2277"/>
      <c r="AO141" s="2277"/>
      <c r="AP141" s="2277"/>
      <c r="AQ141" s="2277"/>
      <c r="AR141" s="2277"/>
      <c r="AS141" s="2277"/>
      <c r="BB141" s="194"/>
      <c r="BC141" s="194"/>
      <c r="BD141" s="546"/>
      <c r="BE141" s="546"/>
    </row>
    <row r="142" spans="1:57" s="522" customFormat="1" outlineLevel="1" x14ac:dyDescent="0.25">
      <c r="A142" s="2370"/>
      <c r="B142" s="2370"/>
      <c r="C142" s="3103"/>
      <c r="D142" s="3475" t="s">
        <v>75</v>
      </c>
      <c r="E142" s="3474" t="s">
        <v>684</v>
      </c>
      <c r="F142" s="3022" t="s">
        <v>3540</v>
      </c>
      <c r="G142" s="580">
        <v>0.4</v>
      </c>
      <c r="H142" s="3477" t="s">
        <v>3522</v>
      </c>
      <c r="I142" s="3479"/>
      <c r="J142" s="3026"/>
      <c r="K142" s="3027"/>
      <c r="L142" s="157"/>
      <c r="M142" s="1689"/>
      <c r="N142" s="1688"/>
      <c r="O142" s="1688"/>
      <c r="P142" s="607"/>
      <c r="Q142" s="2367"/>
      <c r="R142" s="2370"/>
      <c r="S142" s="2370"/>
      <c r="T142" s="2370"/>
      <c r="U142" s="2370"/>
      <c r="V142" s="3475" t="s">
        <v>75</v>
      </c>
      <c r="W142" s="582">
        <v>0.53354522213777378</v>
      </c>
      <c r="X142" s="583">
        <v>0.52966101694915257</v>
      </c>
      <c r="Y142" s="584">
        <v>0.50769230769230766</v>
      </c>
      <c r="Z142" s="2586">
        <v>0.50769230769230766</v>
      </c>
      <c r="AA142" s="2586">
        <v>0.50769230769230766</v>
      </c>
      <c r="AB142" s="592">
        <v>0.4</v>
      </c>
      <c r="AC142" s="582"/>
      <c r="AD142" s="582"/>
      <c r="AE142" s="582"/>
      <c r="AF142" s="582"/>
      <c r="AG142" s="582"/>
      <c r="AI142" s="2277"/>
      <c r="AJ142" s="2277"/>
      <c r="AK142" s="2277"/>
      <c r="AL142" s="2277"/>
      <c r="AM142" s="2277"/>
      <c r="AN142" s="2277"/>
      <c r="AO142" s="2277"/>
      <c r="AP142" s="2277"/>
      <c r="AQ142" s="2277"/>
      <c r="AR142" s="2277"/>
      <c r="AS142" s="2277"/>
      <c r="BB142" s="194"/>
      <c r="BC142" s="194"/>
      <c r="BD142" s="546"/>
      <c r="BE142" s="546"/>
    </row>
    <row r="143" spans="1:57" s="522" customFormat="1" outlineLevel="1" x14ac:dyDescent="0.25">
      <c r="A143" s="2370"/>
      <c r="B143" s="2370"/>
      <c r="C143" s="3103"/>
      <c r="D143" s="3530"/>
      <c r="E143" s="3444"/>
      <c r="F143" s="2442" t="s">
        <v>3528</v>
      </c>
      <c r="G143" s="581">
        <v>1</v>
      </c>
      <c r="H143" s="3493" t="s">
        <v>940</v>
      </c>
      <c r="I143" s="3494"/>
      <c r="J143" s="3026"/>
      <c r="K143" s="3027"/>
      <c r="L143" s="157"/>
      <c r="M143" s="1689"/>
      <c r="N143" s="1688"/>
      <c r="O143" s="1688"/>
      <c r="P143" s="607"/>
      <c r="Q143" s="2367"/>
      <c r="R143" s="2370"/>
      <c r="S143" s="2370"/>
      <c r="T143" s="2370"/>
      <c r="U143" s="2370"/>
      <c r="V143" s="3530"/>
      <c r="W143" s="582"/>
      <c r="X143" s="583"/>
      <c r="Y143" s="584"/>
      <c r="Z143" s="2586"/>
      <c r="AA143" s="2586"/>
      <c r="AB143" s="2586">
        <v>1</v>
      </c>
      <c r="AC143" s="582"/>
      <c r="AD143" s="582"/>
      <c r="AE143" s="582"/>
      <c r="AF143" s="582"/>
      <c r="AG143" s="582"/>
      <c r="AI143" s="2277"/>
      <c r="AJ143" s="2277"/>
      <c r="AK143" s="2277"/>
      <c r="AL143" s="2277"/>
      <c r="AM143" s="2277"/>
      <c r="AN143" s="2277"/>
      <c r="AO143" s="2277"/>
      <c r="AP143" s="2277"/>
      <c r="AQ143" s="2277"/>
      <c r="AR143" s="2277"/>
      <c r="AS143" s="2277"/>
      <c r="BB143" s="194"/>
      <c r="BC143" s="194"/>
      <c r="BD143" s="546"/>
      <c r="BE143" s="546"/>
    </row>
    <row r="144" spans="1:57" s="522" customFormat="1" outlineLevel="1" x14ac:dyDescent="0.25">
      <c r="A144" s="2370"/>
      <c r="B144" s="2370"/>
      <c r="C144" s="3103"/>
      <c r="D144" s="3530"/>
      <c r="E144" s="3444"/>
      <c r="F144" s="2442" t="s">
        <v>3541</v>
      </c>
      <c r="G144" s="380">
        <v>0.89</v>
      </c>
      <c r="H144" s="3497" t="s">
        <v>3547</v>
      </c>
      <c r="I144" s="3498"/>
      <c r="J144" s="3026"/>
      <c r="K144" s="3027"/>
      <c r="L144" s="157"/>
      <c r="M144" s="1689"/>
      <c r="N144" s="1688"/>
      <c r="O144" s="1688"/>
      <c r="P144" s="607"/>
      <c r="Q144" s="2367"/>
      <c r="R144" s="2370"/>
      <c r="S144" s="2370"/>
      <c r="T144" s="2370"/>
      <c r="U144" s="2370"/>
      <c r="V144" s="3530"/>
      <c r="W144" s="582"/>
      <c r="X144" s="583"/>
      <c r="Y144" s="584"/>
      <c r="Z144" s="2586"/>
      <c r="AA144" s="2586"/>
      <c r="AB144" s="2623">
        <v>0.89</v>
      </c>
      <c r="AC144" s="582"/>
      <c r="AD144" s="582"/>
      <c r="AE144" s="582"/>
      <c r="AF144" s="582"/>
      <c r="AG144" s="582"/>
      <c r="AI144" s="2277"/>
      <c r="AJ144" s="2277"/>
      <c r="AK144" s="2277"/>
      <c r="AL144" s="2277"/>
      <c r="AM144" s="2277"/>
      <c r="AN144" s="2277"/>
      <c r="AO144" s="2277"/>
      <c r="AP144" s="2277"/>
      <c r="AQ144" s="2277"/>
      <c r="AR144" s="2277"/>
      <c r="AS144" s="2277"/>
      <c r="BB144" s="194"/>
      <c r="BC144" s="194"/>
      <c r="BD144" s="546"/>
      <c r="BE144" s="546"/>
    </row>
    <row r="145" spans="1:57" s="522" customFormat="1" outlineLevel="1" x14ac:dyDescent="0.25">
      <c r="A145" s="2370"/>
      <c r="B145" s="2370"/>
      <c r="C145" s="3103"/>
      <c r="D145" s="3476"/>
      <c r="E145" s="3445"/>
      <c r="F145" s="2442" t="s">
        <v>3792</v>
      </c>
      <c r="G145" s="380">
        <v>0.2</v>
      </c>
      <c r="H145" s="3497" t="s">
        <v>3517</v>
      </c>
      <c r="I145" s="3498"/>
      <c r="J145" s="3026"/>
      <c r="K145" s="3027"/>
      <c r="L145" s="157"/>
      <c r="M145" s="1689"/>
      <c r="N145" s="1688"/>
      <c r="O145" s="1688"/>
      <c r="P145" s="607"/>
      <c r="Q145" s="2367"/>
      <c r="R145" s="2370"/>
      <c r="S145" s="2370"/>
      <c r="T145" s="2370"/>
      <c r="U145" s="2370"/>
      <c r="V145" s="3476"/>
      <c r="W145" s="582"/>
      <c r="X145" s="583"/>
      <c r="Y145" s="584"/>
      <c r="Z145" s="2586"/>
      <c r="AA145" s="2586"/>
      <c r="AB145" s="2623">
        <v>0.2</v>
      </c>
      <c r="AC145" s="582"/>
      <c r="AD145" s="582"/>
      <c r="AE145" s="582"/>
      <c r="AF145" s="582"/>
      <c r="AG145" s="582"/>
      <c r="AI145" s="2277"/>
      <c r="AJ145" s="2277"/>
      <c r="AK145" s="2277"/>
      <c r="AL145" s="2277"/>
      <c r="AM145" s="2277"/>
      <c r="AN145" s="2277"/>
      <c r="AO145" s="2277"/>
      <c r="AP145" s="2277"/>
      <c r="AQ145" s="2277"/>
      <c r="AR145" s="2277"/>
      <c r="AS145" s="2277"/>
      <c r="BB145" s="194"/>
      <c r="BC145" s="194"/>
      <c r="BD145" s="546"/>
      <c r="BE145" s="546"/>
    </row>
    <row r="146" spans="1:57" outlineLevel="1" x14ac:dyDescent="0.25">
      <c r="B146" s="1359"/>
      <c r="C146" s="1900"/>
      <c r="D146" s="2454" t="s">
        <v>896</v>
      </c>
      <c r="E146" s="2894" t="s">
        <v>611</v>
      </c>
      <c r="F146" s="2443" t="s">
        <v>591</v>
      </c>
      <c r="G146" s="2759">
        <v>10</v>
      </c>
      <c r="H146" s="3497"/>
      <c r="I146" s="3498"/>
      <c r="J146" s="3531"/>
      <c r="K146" s="3532"/>
      <c r="L146" s="298"/>
      <c r="M146" s="1276"/>
      <c r="N146" s="298"/>
      <c r="O146" s="298"/>
      <c r="P146" s="298"/>
      <c r="Q146" s="298"/>
      <c r="V146" s="3097" t="s">
        <v>896</v>
      </c>
      <c r="W146" s="506">
        <v>10</v>
      </c>
      <c r="X146" s="506">
        <v>10</v>
      </c>
      <c r="Y146" s="506">
        <v>10</v>
      </c>
      <c r="Z146" s="506">
        <v>10</v>
      </c>
      <c r="AA146" s="506">
        <v>10</v>
      </c>
      <c r="AB146" s="506">
        <v>10</v>
      </c>
      <c r="AC146" s="506"/>
      <c r="AD146" s="506"/>
      <c r="AE146" s="506"/>
      <c r="AF146" s="506"/>
      <c r="AG146" s="506"/>
      <c r="AI146" s="2277"/>
      <c r="AJ146" s="2277"/>
      <c r="AK146" s="2277"/>
      <c r="AL146" s="2277"/>
      <c r="AM146" s="2277"/>
      <c r="AN146" s="2277"/>
      <c r="AO146" s="2277"/>
      <c r="AP146" s="2277"/>
      <c r="AQ146" s="2277"/>
      <c r="AR146" s="2277"/>
      <c r="AS146" s="2277"/>
      <c r="BB146" s="194"/>
      <c r="BC146" s="194"/>
      <c r="BD146" s="546"/>
      <c r="BE146" s="546"/>
    </row>
    <row r="147" spans="1:57" outlineLevel="1" x14ac:dyDescent="0.25">
      <c r="B147" s="1359"/>
      <c r="C147" s="1900"/>
      <c r="D147" s="3034" t="s">
        <v>25</v>
      </c>
      <c r="E147" s="2894" t="s">
        <v>613</v>
      </c>
      <c r="F147" s="2443" t="s">
        <v>591</v>
      </c>
      <c r="G147" s="2758">
        <v>3</v>
      </c>
      <c r="H147" s="3497"/>
      <c r="I147" s="3498"/>
      <c r="J147" s="3531"/>
      <c r="K147" s="3532"/>
      <c r="L147" s="298"/>
      <c r="M147" s="1276"/>
      <c r="N147" s="298"/>
      <c r="O147" s="298"/>
      <c r="P147" s="298"/>
      <c r="Q147" s="298"/>
      <c r="V147" s="3098" t="s">
        <v>25</v>
      </c>
      <c r="W147" s="508">
        <v>3</v>
      </c>
      <c r="X147" s="508">
        <v>3</v>
      </c>
      <c r="Y147" s="508">
        <v>3</v>
      </c>
      <c r="Z147" s="508">
        <v>3</v>
      </c>
      <c r="AA147" s="508">
        <v>3</v>
      </c>
      <c r="AB147" s="508">
        <v>3</v>
      </c>
      <c r="AC147" s="508"/>
      <c r="AD147" s="508"/>
      <c r="AE147" s="508"/>
      <c r="AF147" s="508"/>
      <c r="AG147" s="508"/>
      <c r="AI147" s="2277"/>
      <c r="AJ147" s="2277"/>
      <c r="AK147" s="2277"/>
      <c r="AL147" s="2277"/>
      <c r="AM147" s="2277"/>
      <c r="AN147" s="2277"/>
      <c r="AO147" s="2277"/>
      <c r="AP147" s="2277"/>
      <c r="AQ147" s="2277"/>
      <c r="AR147" s="2277"/>
      <c r="AS147" s="2277"/>
      <c r="BB147" s="194"/>
      <c r="BC147" s="194"/>
      <c r="BD147" s="546"/>
      <c r="BE147" s="546"/>
    </row>
    <row r="148" spans="1:57" x14ac:dyDescent="0.25">
      <c r="D148" s="586"/>
      <c r="E148" s="1471"/>
      <c r="F148" s="277"/>
      <c r="G148" s="277"/>
      <c r="H148" s="277"/>
      <c r="I148" s="277"/>
      <c r="J148" s="277"/>
      <c r="K148" s="277"/>
      <c r="AI148" s="2277"/>
      <c r="AJ148" s="2277"/>
      <c r="AK148" s="2277"/>
      <c r="AL148" s="2277"/>
      <c r="AM148" s="2277"/>
      <c r="AN148" s="2277"/>
      <c r="AO148" s="2277"/>
      <c r="AP148" s="2277"/>
      <c r="AQ148" s="2277"/>
      <c r="AR148" s="2277"/>
      <c r="AS148" s="2277"/>
      <c r="BB148" s="194"/>
      <c r="BC148" s="194"/>
      <c r="BD148" s="546"/>
      <c r="BE148" s="546"/>
    </row>
    <row r="149" spans="1:57" s="194" customFormat="1" x14ac:dyDescent="0.25">
      <c r="B149" s="3350" t="s">
        <v>973</v>
      </c>
      <c r="C149" s="3351"/>
      <c r="D149" s="3351"/>
      <c r="E149" s="3351"/>
      <c r="F149" s="3351"/>
      <c r="G149" s="3351"/>
      <c r="H149" s="3351"/>
      <c r="I149" s="3352"/>
      <c r="J149" s="3352"/>
      <c r="K149" s="3352"/>
      <c r="L149" s="3352"/>
      <c r="M149" s="3352"/>
      <c r="N149" s="3353"/>
      <c r="V149" s="3350" t="str">
        <f>B149</f>
        <v>Kit Faucet Aerators (Bathroom)</v>
      </c>
      <c r="W149" s="3351"/>
      <c r="X149" s="3351"/>
      <c r="Y149" s="3351"/>
      <c r="Z149" s="3351"/>
      <c r="AA149" s="3351"/>
      <c r="AB149" s="3351"/>
      <c r="AC149" s="3354"/>
      <c r="AD149" s="3354"/>
      <c r="AE149" s="3354"/>
      <c r="AF149" s="3354"/>
      <c r="AG149" s="3354"/>
      <c r="AH149" s="3355"/>
      <c r="AI149" s="2277"/>
      <c r="AJ149" s="2277"/>
      <c r="AK149" s="2277"/>
      <c r="AL149" s="2277"/>
      <c r="AM149" s="2277"/>
      <c r="AN149" s="2277"/>
      <c r="AO149" s="2277"/>
      <c r="AP149" s="2277"/>
      <c r="AQ149" s="2277"/>
      <c r="AR149" s="2277"/>
      <c r="AS149" s="2277"/>
      <c r="BD149" s="546"/>
      <c r="BE149" s="546"/>
    </row>
    <row r="150" spans="1:57" ht="18" customHeight="1" x14ac:dyDescent="0.25">
      <c r="AI150" s="2277"/>
      <c r="AJ150" s="2277"/>
      <c r="AK150" s="2277"/>
      <c r="AL150" s="2277"/>
      <c r="AM150" s="2277"/>
      <c r="AN150" s="2277"/>
      <c r="AO150" s="2277"/>
      <c r="AP150" s="2277"/>
      <c r="AQ150" s="2277"/>
      <c r="AR150" s="2277"/>
      <c r="AS150" s="2277"/>
    </row>
    <row r="151" spans="1:57" ht="30" x14ac:dyDescent="0.25">
      <c r="C151" s="2765" t="s">
        <v>17</v>
      </c>
      <c r="D151" s="2765" t="s">
        <v>616</v>
      </c>
      <c r="E151" s="2765" t="s">
        <v>19</v>
      </c>
      <c r="F151" s="1409" t="s">
        <v>20</v>
      </c>
      <c r="G151" s="1409" t="s">
        <v>21</v>
      </c>
      <c r="H151" s="1409" t="s">
        <v>22</v>
      </c>
      <c r="I151" s="1409" t="s">
        <v>933</v>
      </c>
      <c r="J151" s="1409" t="s">
        <v>23</v>
      </c>
      <c r="K151" s="1409" t="s">
        <v>24</v>
      </c>
      <c r="L151" s="1409" t="s">
        <v>25</v>
      </c>
      <c r="M151" s="1409" t="s">
        <v>26</v>
      </c>
      <c r="P151" s="587"/>
      <c r="Q151" s="587"/>
      <c r="V151" s="623" t="s">
        <v>27</v>
      </c>
      <c r="W151" s="420">
        <f>$W$6</f>
        <v>43252</v>
      </c>
      <c r="X151" s="420">
        <f>$X$6</f>
        <v>43465</v>
      </c>
      <c r="Y151" s="420">
        <f>$Y$6</f>
        <v>43800</v>
      </c>
      <c r="Z151" s="420">
        <f>$Z$6</f>
        <v>43862</v>
      </c>
      <c r="AA151" s="420">
        <f>$AA$6</f>
        <v>44013</v>
      </c>
      <c r="AB151" s="420">
        <f>$AB$6</f>
        <v>44166</v>
      </c>
      <c r="AC151" s="56" t="str">
        <f>$AC$6</f>
        <v>-</v>
      </c>
      <c r="AD151" s="56" t="str">
        <f>$AD$6</f>
        <v>-</v>
      </c>
      <c r="AE151" s="56" t="str">
        <f>$AE$6</f>
        <v>-</v>
      </c>
      <c r="AF151" s="56" t="str">
        <f>$AF$6</f>
        <v>-</v>
      </c>
      <c r="AG151" s="56" t="str">
        <f>$AG$6</f>
        <v>-</v>
      </c>
      <c r="AI151" s="2277"/>
      <c r="AJ151" s="2277"/>
      <c r="AK151" s="2277"/>
      <c r="AL151" s="2277"/>
      <c r="AM151" s="2277"/>
      <c r="AN151" s="2277"/>
      <c r="AO151" s="2277"/>
      <c r="AP151" s="2277"/>
      <c r="AQ151" s="2277"/>
      <c r="AR151" s="2277"/>
      <c r="AS151" s="2277"/>
      <c r="BB151" s="93" t="str">
        <f>$BB$6</f>
        <v>TRC (2020)</v>
      </c>
      <c r="BC151" s="93" t="str">
        <f>$BC$6</f>
        <v>Benefit Lookup</v>
      </c>
      <c r="BD151" s="279" t="str">
        <f>$BD$6</f>
        <v>Benefits (2019 $)</v>
      </c>
      <c r="BE151" s="279" t="str">
        <f>$BE$6</f>
        <v>Incremental Cost (2019 $)</v>
      </c>
    </row>
    <row r="152" spans="1:57" x14ac:dyDescent="0.25">
      <c r="C152" s="3102" t="s">
        <v>974</v>
      </c>
      <c r="D152" s="137" t="s">
        <v>875</v>
      </c>
      <c r="E152" s="3035" t="s">
        <v>975</v>
      </c>
      <c r="F152" s="601">
        <f>ROUND(G165*(G168*G169-G171*G172)*G174*G178*G180/G181*I152*G193*G191,2)</f>
        <v>6.17</v>
      </c>
      <c r="G152" s="3080" t="s">
        <v>622</v>
      </c>
      <c r="H152" s="202">
        <f>VLOOKUP(G152,'CP FACTORS'!$A$3:$B$38, 2, FALSE)</f>
        <v>8.8731800000000003E-5</v>
      </c>
      <c r="I152" s="1690">
        <f>G$184*G$185*(G$186-G$188)/(G$189*G$190)</f>
        <v>6.1532825322391571E-2</v>
      </c>
      <c r="J152" s="139">
        <f>ROUND(F152*H152,6)</f>
        <v>5.4699999999999996E-4</v>
      </c>
      <c r="K152" s="3095">
        <f>$G$197</f>
        <v>10</v>
      </c>
      <c r="L152" s="589">
        <f>$G$198</f>
        <v>3</v>
      </c>
      <c r="M152" s="1658" t="s">
        <v>37</v>
      </c>
      <c r="P152" s="587"/>
      <c r="Q152" s="590"/>
      <c r="R152" s="1627"/>
      <c r="V152" s="2309" t="str">
        <f>F151</f>
        <v>kWh Annual Savings</v>
      </c>
      <c r="W152" s="2121">
        <v>7.963038337806803</v>
      </c>
      <c r="X152" s="2299">
        <v>6.9503628343201109</v>
      </c>
      <c r="Y152" s="621">
        <v>10.220000000000001</v>
      </c>
      <c r="Z152" s="89">
        <v>10.220000000000001</v>
      </c>
      <c r="AA152" s="89">
        <v>10.220000000000001</v>
      </c>
      <c r="AB152" s="2298">
        <v>6.17</v>
      </c>
      <c r="AC152" s="208"/>
      <c r="AD152" s="208"/>
      <c r="AE152" s="208"/>
      <c r="AF152" s="208"/>
      <c r="AG152" s="208"/>
      <c r="AH152" s="211"/>
      <c r="AI152" s="2277"/>
      <c r="AJ152" s="2277"/>
      <c r="AK152" s="2277"/>
      <c r="AL152" s="2277"/>
      <c r="AM152" s="2277"/>
      <c r="AN152" s="2277"/>
      <c r="AO152" s="2277"/>
      <c r="AP152" s="2277"/>
      <c r="AQ152" s="2277"/>
      <c r="AR152" s="2277"/>
      <c r="AS152" s="2277"/>
      <c r="BB152" s="2945">
        <f>(BD152)/(BE152)</f>
        <v>0.73494916447029568</v>
      </c>
      <c r="BC152" s="2922" t="str">
        <f>CONCATENATE(G152," ",K152," Year EUL")</f>
        <v>Water Heating RES 10 Year EUL</v>
      </c>
      <c r="BD152" s="2943">
        <f>(INDEX('Avoided Cost Benefits'!$C$4:$C$857,MATCH(BC152,'Avoided Cost Benefits'!$A$4:$A$857,0)))*F152</f>
        <v>2.0810264213410918</v>
      </c>
      <c r="BE152" s="2944">
        <f>L152/(1.0595^(2020-2019))</f>
        <v>2.8315243039169418</v>
      </c>
    </row>
    <row r="153" spans="1:57" s="2277" customFormat="1" x14ac:dyDescent="0.25">
      <c r="A153" s="157"/>
      <c r="B153" s="157"/>
      <c r="C153" s="3102" t="s">
        <v>3599</v>
      </c>
      <c r="D153" s="4144" t="s">
        <v>3853</v>
      </c>
      <c r="E153" s="3035" t="s">
        <v>3789</v>
      </c>
      <c r="F153" s="1691">
        <f>ROUND(G165*(G168*G169-G171*G172)*G177*G178*G180/G181*I153*G196*G192,2)</f>
        <v>2.65</v>
      </c>
      <c r="G153" s="3080" t="s">
        <v>622</v>
      </c>
      <c r="H153" s="202">
        <f>VLOOKUP(G153,'CP FACTORS'!$A$3:$B$38, 2, FALSE)</f>
        <v>8.8731800000000003E-5</v>
      </c>
      <c r="I153" s="1690">
        <f t="shared" ref="I153:I154" si="20">G$184*G$185*(G$186-G$188)/(G$189*G$190)</f>
        <v>6.1532825322391571E-2</v>
      </c>
      <c r="J153" s="139">
        <f>ROUND(F153*H153,6)</f>
        <v>2.3499999999999999E-4</v>
      </c>
      <c r="K153" s="3095">
        <f>$G$197</f>
        <v>10</v>
      </c>
      <c r="L153" s="589">
        <f>$G$198</f>
        <v>3</v>
      </c>
      <c r="M153" s="1658" t="s">
        <v>37</v>
      </c>
      <c r="N153" s="157"/>
      <c r="O153" s="157"/>
      <c r="P153" s="587"/>
      <c r="Q153" s="587"/>
      <c r="R153" s="1627"/>
      <c r="S153" s="157"/>
      <c r="T153" s="157"/>
      <c r="U153" s="157"/>
      <c r="V153" s="2309" t="str">
        <f>V154</f>
        <v>kWh Annual Savings</v>
      </c>
      <c r="W153" s="2121"/>
      <c r="X153" s="2299"/>
      <c r="Y153" s="621"/>
      <c r="Z153" s="622"/>
      <c r="AA153" s="622"/>
      <c r="AB153" s="2298">
        <v>3.62</v>
      </c>
      <c r="AC153" s="208"/>
      <c r="AD153" s="208"/>
      <c r="AE153" s="208"/>
      <c r="AF153" s="208"/>
      <c r="AG153" s="208"/>
      <c r="AH153" s="211"/>
      <c r="BB153" s="2945">
        <f>(BD153)/(BE153)</f>
        <v>0.31565887939161807</v>
      </c>
      <c r="BC153" s="2922" t="str">
        <f>CONCATENATE(G153," ",K153," Year EUL")</f>
        <v>Water Heating RES 10 Year EUL</v>
      </c>
      <c r="BD153" s="2943">
        <f>(INDEX('Avoided Cost Benefits'!$C$4:$C$857,MATCH(BC153,'Avoided Cost Benefits'!$A$4:$A$857,0)))*F153</f>
        <v>0.89379578874455323</v>
      </c>
      <c r="BE153" s="2944">
        <f>L153/(1.0595^(2020-2019))</f>
        <v>2.8315243039169418</v>
      </c>
    </row>
    <row r="154" spans="1:57" x14ac:dyDescent="0.25">
      <c r="C154" s="3102" t="s">
        <v>976</v>
      </c>
      <c r="D154" s="531" t="s">
        <v>742</v>
      </c>
      <c r="E154" s="3035" t="str">
        <f>E152</f>
        <v>Kit Faucet Aerator (Bathroom)</v>
      </c>
      <c r="F154" s="601">
        <f>ROUND(G166*(G168*G169-G171*G172)*G175*G178*G180/G182*I154*G194*G192,2)</f>
        <v>30.1</v>
      </c>
      <c r="G154" s="3080" t="s">
        <v>622</v>
      </c>
      <c r="H154" s="202">
        <f>VLOOKUP(G154,'CP FACTORS'!$A$3:$B$38, 2, FALSE)</f>
        <v>8.8731800000000003E-5</v>
      </c>
      <c r="I154" s="1690">
        <f t="shared" si="20"/>
        <v>6.1532825322391571E-2</v>
      </c>
      <c r="J154" s="139">
        <f>ROUND(F154*H154,6)</f>
        <v>2.6710000000000002E-3</v>
      </c>
      <c r="K154" s="3095">
        <f>$G$197</f>
        <v>10</v>
      </c>
      <c r="L154" s="589">
        <f>$G$198</f>
        <v>3</v>
      </c>
      <c r="M154" s="1658" t="s">
        <v>37</v>
      </c>
      <c r="P154" s="587"/>
      <c r="Q154" s="587"/>
      <c r="R154" s="1627"/>
      <c r="V154" s="2309" t="str">
        <f>V152</f>
        <v>kWh Annual Savings</v>
      </c>
      <c r="W154" s="2121">
        <v>33.463803164371527</v>
      </c>
      <c r="X154" s="2299">
        <v>37.583340890617215</v>
      </c>
      <c r="Y154" s="621">
        <v>30.07</v>
      </c>
      <c r="Z154" s="89">
        <v>30.07</v>
      </c>
      <c r="AA154" s="89">
        <v>30.07</v>
      </c>
      <c r="AB154" s="2298">
        <v>30.1</v>
      </c>
      <c r="AC154" s="208"/>
      <c r="AD154" s="208"/>
      <c r="AE154" s="208"/>
      <c r="AF154" s="208"/>
      <c r="AG154" s="208"/>
      <c r="AH154" s="211"/>
      <c r="AI154" s="2277"/>
      <c r="AJ154" s="2277"/>
      <c r="AK154" s="2277"/>
      <c r="AL154" s="2277"/>
      <c r="AM154" s="2277"/>
      <c r="AN154" s="2277"/>
      <c r="AO154" s="2277"/>
      <c r="AP154" s="2277"/>
      <c r="AQ154" s="2277"/>
      <c r="AR154" s="2277"/>
      <c r="AS154" s="2277"/>
      <c r="BB154" s="2945">
        <f>(BD154)/(BE154)</f>
        <v>3.5854084036557374</v>
      </c>
      <c r="BC154" s="2922" t="str">
        <f>CONCATENATE(G154," ",K154," Year EUL")</f>
        <v>Water Heating RES 10 Year EUL</v>
      </c>
      <c r="BD154" s="2943">
        <f>(INDEX('Avoided Cost Benefits'!$C$4:$C$857,MATCH(BC154,'Avoided Cost Benefits'!$A$4:$A$857,0)))*F154</f>
        <v>10.152171034419265</v>
      </c>
      <c r="BE154" s="2944">
        <f>L154/(1.0595^(2020-2019))</f>
        <v>2.8315243039169418</v>
      </c>
    </row>
    <row r="155" spans="1:57" s="2277" customFormat="1" x14ac:dyDescent="0.25">
      <c r="A155" s="157"/>
      <c r="B155" s="157"/>
      <c r="C155" s="3102" t="s">
        <v>3600</v>
      </c>
      <c r="D155" s="531" t="s">
        <v>3770</v>
      </c>
      <c r="E155" s="3035" t="s">
        <v>3598</v>
      </c>
      <c r="F155" s="1691">
        <f>ROUND(G167*(G168*G170-G171*G173)*G176*G179*G180/G183*I155*G195*G192,2)</f>
        <v>13.84</v>
      </c>
      <c r="G155" s="3080" t="s">
        <v>622</v>
      </c>
      <c r="H155" s="202">
        <f>VLOOKUP(G155,'CP FACTORS'!$A$3:$B$38, 2, FALSE)</f>
        <v>8.8731800000000003E-5</v>
      </c>
      <c r="I155" s="1690">
        <f>G$184*G$185*(G$187-G$188)/(G$189*G$190)</f>
        <v>4.658558030480657E-2</v>
      </c>
      <c r="J155" s="139">
        <f t="shared" ref="J155" si="21">ROUND(F155*H155,6)</f>
        <v>1.2279999999999999E-3</v>
      </c>
      <c r="K155" s="3095">
        <f>$G$197</f>
        <v>10</v>
      </c>
      <c r="L155" s="589">
        <f>$G$198</f>
        <v>3</v>
      </c>
      <c r="M155" s="1658" t="s">
        <v>37</v>
      </c>
      <c r="N155" s="157"/>
      <c r="O155" s="157"/>
      <c r="P155" s="587"/>
      <c r="Q155" s="587"/>
      <c r="R155" s="1627"/>
      <c r="S155" s="157"/>
      <c r="T155" s="157"/>
      <c r="U155" s="157"/>
      <c r="V155" s="2309" t="str">
        <f>V153</f>
        <v>kWh Annual Savings</v>
      </c>
      <c r="W155" s="2121"/>
      <c r="X155" s="2299"/>
      <c r="Y155" s="621"/>
      <c r="Z155" s="622"/>
      <c r="AA155" s="622"/>
      <c r="AB155" s="2298">
        <v>13.84</v>
      </c>
      <c r="AC155" s="208"/>
      <c r="AD155" s="208"/>
      <c r="AE155" s="208"/>
      <c r="AF155" s="208"/>
      <c r="AG155" s="208"/>
      <c r="AH155" s="211"/>
      <c r="BB155" s="2945">
        <f>(BD155)/(BE155)</f>
        <v>1.6485731663320733</v>
      </c>
      <c r="BC155" s="2922" t="str">
        <f>CONCATENATE(G155," ",K155," Year EUL")</f>
        <v>Water Heating RES 10 Year EUL</v>
      </c>
      <c r="BD155" s="2943">
        <f>(INDEX('Avoided Cost Benefits'!$C$4:$C$857,MATCH(BC155,'Avoided Cost Benefits'!$A$4:$A$857,0)))*F155</f>
        <v>4.6679749872545724</v>
      </c>
      <c r="BE155" s="2944">
        <f>L155/(1.0595^(2020-2019))</f>
        <v>2.8315243039169418</v>
      </c>
    </row>
    <row r="156" spans="1:57" outlineLevel="1" x14ac:dyDescent="0.25">
      <c r="G156" s="1692"/>
      <c r="P156" s="587"/>
      <c r="Q156" s="587"/>
      <c r="AI156" s="2277"/>
      <c r="AJ156" s="2277"/>
      <c r="AK156" s="2277"/>
      <c r="AL156" s="2277"/>
      <c r="AM156" s="2277"/>
      <c r="AN156" s="2277"/>
      <c r="AO156" s="2277"/>
      <c r="AP156" s="2277"/>
      <c r="AQ156" s="2277"/>
      <c r="AR156" s="2277"/>
      <c r="AS156" s="2277"/>
    </row>
    <row r="157" spans="1:57" outlineLevel="1" x14ac:dyDescent="0.25">
      <c r="D157" s="222" t="s">
        <v>571</v>
      </c>
      <c r="AI157" s="2277"/>
      <c r="AJ157" s="2277"/>
      <c r="AK157" s="2277"/>
      <c r="AL157" s="2277"/>
      <c r="AM157" s="2277"/>
      <c r="AN157" s="2277"/>
      <c r="AO157" s="2277"/>
      <c r="AP157" s="2277"/>
      <c r="AQ157" s="2277"/>
      <c r="AR157" s="2277"/>
      <c r="AS157" s="2277"/>
    </row>
    <row r="158" spans="1:57" outlineLevel="1" x14ac:dyDescent="0.25">
      <c r="AI158" s="2277"/>
      <c r="AJ158" s="2277"/>
      <c r="AK158" s="2277"/>
      <c r="AL158" s="2277"/>
      <c r="AM158" s="2277"/>
      <c r="AN158" s="2277"/>
      <c r="AO158" s="2277"/>
      <c r="AP158" s="2277"/>
      <c r="AQ158" s="2277"/>
      <c r="AR158" s="2277"/>
      <c r="AS158" s="2277"/>
    </row>
    <row r="159" spans="1:57" outlineLevel="1" x14ac:dyDescent="0.25">
      <c r="AI159" s="2277"/>
      <c r="AJ159" s="2277"/>
      <c r="AK159" s="2277"/>
      <c r="AL159" s="2277"/>
      <c r="AM159" s="2277"/>
      <c r="AN159" s="2277"/>
      <c r="AO159" s="2277"/>
      <c r="AP159" s="2277"/>
      <c r="AQ159" s="2277"/>
      <c r="AR159" s="2277"/>
      <c r="AS159" s="2277"/>
    </row>
    <row r="160" spans="1:57" outlineLevel="1" x14ac:dyDescent="0.25">
      <c r="AI160" s="2277"/>
      <c r="AJ160" s="2277"/>
      <c r="AK160" s="2277"/>
      <c r="AL160" s="2277"/>
      <c r="AM160" s="2277"/>
      <c r="AN160" s="2277"/>
      <c r="AO160" s="2277"/>
      <c r="AP160" s="2277"/>
      <c r="AQ160" s="2277"/>
      <c r="AR160" s="2277"/>
      <c r="AS160" s="2277"/>
    </row>
    <row r="161" spans="1:57" outlineLevel="1" x14ac:dyDescent="0.25">
      <c r="AI161" s="2277"/>
      <c r="AJ161" s="2277"/>
      <c r="AK161" s="2277"/>
      <c r="AL161" s="2277"/>
      <c r="AM161" s="2277"/>
      <c r="AN161" s="2277"/>
      <c r="AO161" s="2277"/>
      <c r="AP161" s="2277"/>
      <c r="AQ161" s="2277"/>
      <c r="AR161" s="2277"/>
      <c r="AS161" s="2277"/>
    </row>
    <row r="162" spans="1:57" outlineLevel="1" x14ac:dyDescent="0.25">
      <c r="AI162" s="2277"/>
      <c r="AJ162" s="2277"/>
      <c r="AK162" s="2277"/>
      <c r="AL162" s="2277"/>
      <c r="AM162" s="2277"/>
      <c r="AN162" s="2277"/>
      <c r="AO162" s="2277"/>
      <c r="AP162" s="2277"/>
      <c r="AQ162" s="2277"/>
      <c r="AR162" s="2277"/>
      <c r="AS162" s="2277"/>
    </row>
    <row r="163" spans="1:57" outlineLevel="1" x14ac:dyDescent="0.25">
      <c r="J163" s="633"/>
      <c r="K163" s="633"/>
      <c r="L163" s="633"/>
      <c r="V163" s="623" t="s">
        <v>27</v>
      </c>
      <c r="W163" s="420">
        <f>$W$6</f>
        <v>43252</v>
      </c>
      <c r="X163" s="420">
        <f>$X$6</f>
        <v>43465</v>
      </c>
      <c r="Y163" s="420">
        <f>$Y$6</f>
        <v>43800</v>
      </c>
      <c r="Z163" s="420">
        <f>$Z$6</f>
        <v>43862</v>
      </c>
      <c r="AA163" s="420">
        <f>$AA$6</f>
        <v>44013</v>
      </c>
      <c r="AB163" s="420">
        <f>$AB$6</f>
        <v>44166</v>
      </c>
      <c r="AC163" s="56" t="str">
        <f>$AC$6</f>
        <v>-</v>
      </c>
      <c r="AD163" s="56" t="str">
        <f>$AD$6</f>
        <v>-</v>
      </c>
      <c r="AE163" s="56" t="str">
        <f>$AE$6</f>
        <v>-</v>
      </c>
      <c r="AF163" s="56" t="str">
        <f>$AF$6</f>
        <v>-</v>
      </c>
      <c r="AG163" s="56" t="str">
        <f>$AG$6</f>
        <v>-</v>
      </c>
      <c r="AH163" s="553"/>
      <c r="AI163" s="2277"/>
      <c r="AJ163" s="2277"/>
      <c r="AK163" s="2277"/>
      <c r="AL163" s="2277"/>
      <c r="AM163" s="2277"/>
      <c r="AN163" s="2277"/>
      <c r="AO163" s="2277"/>
      <c r="AP163" s="2277"/>
      <c r="AQ163" s="2277"/>
      <c r="AR163" s="2277"/>
      <c r="AS163" s="2277"/>
    </row>
    <row r="164" spans="1:57" ht="15" customHeight="1" outlineLevel="1" x14ac:dyDescent="0.25">
      <c r="D164" s="1456" t="s">
        <v>572</v>
      </c>
      <c r="E164" s="2772" t="s">
        <v>573</v>
      </c>
      <c r="F164" s="1409" t="s">
        <v>3539</v>
      </c>
      <c r="G164" s="1409" t="s">
        <v>574</v>
      </c>
      <c r="H164" s="3483" t="s">
        <v>624</v>
      </c>
      <c r="I164" s="3484"/>
      <c r="J164" s="3483" t="s">
        <v>575</v>
      </c>
      <c r="K164" s="3533"/>
      <c r="V164" s="3169"/>
      <c r="W164" s="2604"/>
      <c r="X164" s="2604"/>
      <c r="Y164" s="2604"/>
      <c r="Z164" s="2604"/>
      <c r="AA164" s="2604"/>
      <c r="AB164" s="2604"/>
      <c r="AC164" s="2604"/>
      <c r="AD164" s="2604"/>
      <c r="AE164" s="2604"/>
      <c r="AF164" s="2604"/>
      <c r="AG164" s="2604"/>
      <c r="AH164" s="157"/>
      <c r="AI164" s="2277"/>
      <c r="AJ164" s="2277"/>
      <c r="AK164" s="2277"/>
      <c r="AL164" s="2277"/>
      <c r="AM164" s="2277"/>
      <c r="AN164" s="2277"/>
      <c r="AO164" s="2277"/>
      <c r="AP164" s="2277"/>
      <c r="AQ164" s="2277"/>
      <c r="AR164" s="2277"/>
      <c r="AS164" s="2277"/>
    </row>
    <row r="165" spans="1:57" s="2277" customFormat="1" outlineLevel="1" x14ac:dyDescent="0.25">
      <c r="A165" s="157"/>
      <c r="B165" s="157"/>
      <c r="C165" s="386"/>
      <c r="D165" s="3475" t="s">
        <v>937</v>
      </c>
      <c r="E165" s="3474" t="s">
        <v>938</v>
      </c>
      <c r="F165" s="3102" t="s">
        <v>3540</v>
      </c>
      <c r="G165" s="263">
        <v>0.42</v>
      </c>
      <c r="H165" s="3459" t="s">
        <v>3544</v>
      </c>
      <c r="I165" s="3459"/>
      <c r="J165" s="3470"/>
      <c r="K165" s="3471"/>
      <c r="L165" s="2370"/>
      <c r="M165" s="2370"/>
      <c r="N165" s="157"/>
      <c r="O165" s="157"/>
      <c r="P165" s="157"/>
      <c r="Q165" s="157"/>
      <c r="R165" s="157"/>
      <c r="S165" s="157"/>
      <c r="T165" s="157"/>
      <c r="U165" s="157"/>
      <c r="V165" s="3475" t="s">
        <v>937</v>
      </c>
      <c r="W165" s="582">
        <v>0.4</v>
      </c>
      <c r="X165" s="592">
        <v>0.34429999999999999</v>
      </c>
      <c r="Y165" s="593">
        <v>0.46360000000000001</v>
      </c>
      <c r="Z165" s="2587">
        <v>0.46360000000000001</v>
      </c>
      <c r="AA165" s="2587">
        <v>0.46360000000000001</v>
      </c>
      <c r="AB165" s="2445">
        <v>0.42</v>
      </c>
      <c r="AC165" s="557"/>
      <c r="AD165" s="557"/>
      <c r="AE165" s="557"/>
      <c r="AF165" s="557"/>
      <c r="AG165" s="557"/>
      <c r="BD165" s="1"/>
      <c r="BE165" s="1"/>
    </row>
    <row r="166" spans="1:57" s="2277" customFormat="1" outlineLevel="1" x14ac:dyDescent="0.25">
      <c r="A166" s="157"/>
      <c r="B166" s="157"/>
      <c r="C166" s="386"/>
      <c r="D166" s="3530"/>
      <c r="E166" s="3444"/>
      <c r="F166" s="2444" t="s">
        <v>3528</v>
      </c>
      <c r="G166" s="263">
        <v>1</v>
      </c>
      <c r="H166" s="3459" t="s">
        <v>940</v>
      </c>
      <c r="I166" s="3459"/>
      <c r="J166" s="3470"/>
      <c r="K166" s="3471"/>
      <c r="L166" s="2370"/>
      <c r="M166" s="2370"/>
      <c r="N166" s="157"/>
      <c r="O166" s="157"/>
      <c r="P166" s="157"/>
      <c r="Q166" s="157"/>
      <c r="R166" s="157"/>
      <c r="S166" s="157"/>
      <c r="T166" s="157"/>
      <c r="U166" s="157"/>
      <c r="V166" s="3530"/>
      <c r="W166" s="582"/>
      <c r="X166" s="592"/>
      <c r="Y166" s="593"/>
      <c r="Z166" s="2587"/>
      <c r="AA166" s="2587"/>
      <c r="AB166" s="263">
        <v>1</v>
      </c>
      <c r="AC166" s="557"/>
      <c r="AD166" s="557"/>
      <c r="AE166" s="557"/>
      <c r="AF166" s="557"/>
      <c r="AG166" s="557"/>
      <c r="BD166" s="1"/>
      <c r="BE166" s="1"/>
    </row>
    <row r="167" spans="1:57" s="2277" customFormat="1" outlineLevel="1" x14ac:dyDescent="0.25">
      <c r="A167" s="157"/>
      <c r="B167" s="157"/>
      <c r="C167" s="386"/>
      <c r="D167" s="3476"/>
      <c r="E167" s="3445"/>
      <c r="F167" s="2444" t="s">
        <v>3541</v>
      </c>
      <c r="G167" s="380">
        <v>0.42</v>
      </c>
      <c r="H167" s="3534" t="s">
        <v>3544</v>
      </c>
      <c r="I167" s="3534"/>
      <c r="J167" s="3424" t="s">
        <v>3551</v>
      </c>
      <c r="K167" s="3424"/>
      <c r="L167" s="2370"/>
      <c r="M167" s="2370"/>
      <c r="N167" s="157"/>
      <c r="O167" s="157"/>
      <c r="P167" s="157"/>
      <c r="Q167" s="157"/>
      <c r="R167" s="157"/>
      <c r="S167" s="157"/>
      <c r="T167" s="157"/>
      <c r="U167" s="157"/>
      <c r="V167" s="3476"/>
      <c r="W167" s="582"/>
      <c r="X167" s="592"/>
      <c r="Y167" s="593"/>
      <c r="Z167" s="2587"/>
      <c r="AA167" s="2587"/>
      <c r="AB167" s="831">
        <v>0.42</v>
      </c>
      <c r="AC167" s="557"/>
      <c r="AD167" s="557"/>
      <c r="AE167" s="557"/>
      <c r="AF167" s="557"/>
      <c r="AG167" s="557"/>
      <c r="BD167" s="1"/>
      <c r="BE167" s="1"/>
    </row>
    <row r="168" spans="1:57" outlineLevel="1" x14ac:dyDescent="0.25">
      <c r="D168" s="3008" t="s">
        <v>941</v>
      </c>
      <c r="E168" s="3015" t="s">
        <v>942</v>
      </c>
      <c r="F168" s="2444" t="s">
        <v>591</v>
      </c>
      <c r="G168" s="3079">
        <v>2.2000000000000002</v>
      </c>
      <c r="H168" s="3459" t="s">
        <v>943</v>
      </c>
      <c r="I168" s="3459"/>
      <c r="J168" s="3470"/>
      <c r="K168" s="3471"/>
      <c r="L168" s="633"/>
      <c r="V168" s="3008" t="s">
        <v>941</v>
      </c>
      <c r="W168" s="549">
        <v>2.2000000000000002</v>
      </c>
      <c r="X168" s="559">
        <v>2.2000000000000002</v>
      </c>
      <c r="Y168" s="559">
        <v>2.2000000000000002</v>
      </c>
      <c r="Z168" s="2769">
        <v>2.2000000000000002</v>
      </c>
      <c r="AA168" s="2769">
        <v>2.2000000000000002</v>
      </c>
      <c r="AB168" s="2769">
        <v>2.2000000000000002</v>
      </c>
      <c r="AC168" s="549"/>
      <c r="AD168" s="549"/>
      <c r="AE168" s="549"/>
      <c r="AF168" s="549"/>
      <c r="AG168" s="549"/>
      <c r="AI168" s="2277"/>
      <c r="AJ168" s="2277"/>
      <c r="AK168" s="2277"/>
      <c r="AL168" s="2277"/>
      <c r="AM168" s="2277"/>
      <c r="AN168" s="2277"/>
      <c r="AO168" s="2277"/>
      <c r="AP168" s="2277"/>
      <c r="AQ168" s="2277"/>
      <c r="AR168" s="2277"/>
      <c r="AS168" s="2277"/>
    </row>
    <row r="169" spans="1:57" outlineLevel="1" x14ac:dyDescent="0.25">
      <c r="D169" s="3459" t="s">
        <v>944</v>
      </c>
      <c r="E169" s="3514" t="s">
        <v>945</v>
      </c>
      <c r="F169" s="2444" t="s">
        <v>3552</v>
      </c>
      <c r="G169" s="560">
        <v>1.6</v>
      </c>
      <c r="H169" s="3459" t="s">
        <v>977</v>
      </c>
      <c r="I169" s="3459"/>
      <c r="J169" s="3470"/>
      <c r="K169" s="3471"/>
      <c r="L169" s="633"/>
      <c r="V169" s="3475" t="s">
        <v>944</v>
      </c>
      <c r="W169" s="532">
        <v>1.6</v>
      </c>
      <c r="X169" s="561">
        <v>1.6</v>
      </c>
      <c r="Y169" s="532">
        <v>1.6</v>
      </c>
      <c r="Z169" s="531">
        <v>1.6</v>
      </c>
      <c r="AA169" s="531">
        <v>1.6</v>
      </c>
      <c r="AB169" s="560">
        <v>1.6</v>
      </c>
      <c r="AC169" s="532"/>
      <c r="AD169" s="532"/>
      <c r="AE169" s="532"/>
      <c r="AF169" s="532"/>
      <c r="AG169" s="532"/>
      <c r="AI169" s="2277"/>
      <c r="AJ169" s="2277"/>
      <c r="AK169" s="2277"/>
      <c r="AL169" s="2277"/>
      <c r="AM169" s="2277"/>
      <c r="AN169" s="2277"/>
      <c r="AO169" s="2277"/>
      <c r="AP169" s="2277"/>
      <c r="AQ169" s="2277"/>
      <c r="AR169" s="2277"/>
      <c r="AS169" s="2277"/>
    </row>
    <row r="170" spans="1:57" s="2277" customFormat="1" outlineLevel="1" x14ac:dyDescent="0.25">
      <c r="A170" s="157"/>
      <c r="B170" s="157"/>
      <c r="C170" s="386"/>
      <c r="D170" s="3459"/>
      <c r="E170" s="3514"/>
      <c r="F170" s="2444" t="s">
        <v>3541</v>
      </c>
      <c r="G170" s="560">
        <v>3.7</v>
      </c>
      <c r="H170" s="3459" t="s">
        <v>1832</v>
      </c>
      <c r="I170" s="3459"/>
      <c r="J170" s="3424" t="s">
        <v>1830</v>
      </c>
      <c r="K170" s="3424"/>
      <c r="L170" s="2370"/>
      <c r="M170" s="2370"/>
      <c r="N170" s="157"/>
      <c r="O170" s="157"/>
      <c r="P170" s="157"/>
      <c r="Q170" s="157"/>
      <c r="R170" s="157"/>
      <c r="S170" s="157"/>
      <c r="T170" s="157"/>
      <c r="U170" s="157"/>
      <c r="V170" s="3476"/>
      <c r="W170" s="532"/>
      <c r="X170" s="561"/>
      <c r="Y170" s="532"/>
      <c r="Z170" s="531"/>
      <c r="AA170" s="531"/>
      <c r="AB170" s="409">
        <v>3.7</v>
      </c>
      <c r="AC170" s="532"/>
      <c r="AD170" s="532"/>
      <c r="AE170" s="532"/>
      <c r="AF170" s="532"/>
      <c r="AG170" s="532"/>
      <c r="BD170" s="1"/>
      <c r="BE170" s="1"/>
    </row>
    <row r="171" spans="1:57" outlineLevel="1" x14ac:dyDescent="0.25">
      <c r="D171" s="3008" t="s">
        <v>948</v>
      </c>
      <c r="E171" s="3015" t="s">
        <v>949</v>
      </c>
      <c r="F171" s="2444" t="s">
        <v>591</v>
      </c>
      <c r="G171" s="560">
        <v>1.5</v>
      </c>
      <c r="H171" s="3459" t="s">
        <v>471</v>
      </c>
      <c r="I171" s="3459"/>
      <c r="J171" s="3470"/>
      <c r="K171" s="3471"/>
      <c r="L171" s="633"/>
      <c r="V171" s="3008" t="s">
        <v>948</v>
      </c>
      <c r="W171" s="532">
        <v>1.5</v>
      </c>
      <c r="X171" s="561">
        <v>1.5</v>
      </c>
      <c r="Y171" s="561">
        <v>1.5</v>
      </c>
      <c r="Z171" s="560">
        <v>1.5</v>
      </c>
      <c r="AA171" s="560">
        <v>1.5</v>
      </c>
      <c r="AB171" s="560">
        <v>1.5</v>
      </c>
      <c r="AC171" s="532"/>
      <c r="AD171" s="532"/>
      <c r="AE171" s="532"/>
      <c r="AF171" s="532"/>
      <c r="AG171" s="532"/>
      <c r="AH171" s="522"/>
      <c r="AI171" s="2277"/>
      <c r="AJ171" s="2277"/>
      <c r="AK171" s="2277"/>
      <c r="AL171" s="2277"/>
      <c r="AM171" s="2277"/>
      <c r="AN171" s="2277"/>
      <c r="AO171" s="2277"/>
      <c r="AP171" s="2277"/>
      <c r="AQ171" s="2277"/>
      <c r="AR171" s="2277"/>
      <c r="AS171" s="2277"/>
    </row>
    <row r="172" spans="1:57" outlineLevel="1" x14ac:dyDescent="0.25">
      <c r="D172" s="3459" t="s">
        <v>950</v>
      </c>
      <c r="E172" s="3514" t="s">
        <v>951</v>
      </c>
      <c r="F172" s="2444" t="s">
        <v>3552</v>
      </c>
      <c r="G172" s="560">
        <v>1.6</v>
      </c>
      <c r="H172" s="3459" t="s">
        <v>977</v>
      </c>
      <c r="I172" s="3459"/>
      <c r="J172" s="3470"/>
      <c r="K172" s="3471"/>
      <c r="L172" s="633"/>
      <c r="V172" s="3475" t="s">
        <v>950</v>
      </c>
      <c r="W172" s="532">
        <v>1.6</v>
      </c>
      <c r="X172" s="561">
        <v>1.6</v>
      </c>
      <c r="Y172" s="561">
        <v>1.6</v>
      </c>
      <c r="Z172" s="560">
        <v>1.6</v>
      </c>
      <c r="AA172" s="560">
        <v>1.6</v>
      </c>
      <c r="AB172" s="560">
        <v>1.6</v>
      </c>
      <c r="AC172" s="532"/>
      <c r="AD172" s="532"/>
      <c r="AE172" s="532"/>
      <c r="AF172" s="532"/>
      <c r="AG172" s="532"/>
      <c r="AI172" s="2277"/>
      <c r="AJ172" s="2277"/>
      <c r="AK172" s="2277"/>
      <c r="AL172" s="2277"/>
      <c r="AM172" s="2277"/>
      <c r="AN172" s="2277"/>
      <c r="AO172" s="2277"/>
      <c r="AP172" s="2277"/>
      <c r="AQ172" s="2277"/>
      <c r="AR172" s="2277"/>
      <c r="AS172" s="2277"/>
    </row>
    <row r="173" spans="1:57" s="2277" customFormat="1" outlineLevel="1" x14ac:dyDescent="0.25">
      <c r="A173" s="157"/>
      <c r="B173" s="157"/>
      <c r="C173" s="386"/>
      <c r="D173" s="3459"/>
      <c r="E173" s="3514"/>
      <c r="F173" s="2444" t="s">
        <v>3541</v>
      </c>
      <c r="G173" s="560">
        <v>3.7</v>
      </c>
      <c r="H173" s="3459" t="s">
        <v>1832</v>
      </c>
      <c r="I173" s="3459"/>
      <c r="J173" s="3424" t="s">
        <v>1830</v>
      </c>
      <c r="K173" s="3424"/>
      <c r="L173" s="2370"/>
      <c r="M173" s="2370"/>
      <c r="N173" s="157"/>
      <c r="O173" s="157"/>
      <c r="P173" s="157"/>
      <c r="Q173" s="157"/>
      <c r="R173" s="157"/>
      <c r="S173" s="157"/>
      <c r="T173" s="157"/>
      <c r="U173" s="157"/>
      <c r="V173" s="3476"/>
      <c r="W173" s="532"/>
      <c r="X173" s="561"/>
      <c r="Y173" s="561"/>
      <c r="Z173" s="560"/>
      <c r="AA173" s="560"/>
      <c r="AB173" s="409">
        <v>3.7</v>
      </c>
      <c r="AC173" s="532"/>
      <c r="AD173" s="532"/>
      <c r="AE173" s="532"/>
      <c r="AF173" s="532"/>
      <c r="AG173" s="532"/>
      <c r="BD173" s="1"/>
      <c r="BE173" s="1"/>
    </row>
    <row r="174" spans="1:57" s="2277" customFormat="1" ht="28.9" customHeight="1" outlineLevel="1" x14ac:dyDescent="0.25">
      <c r="A174" s="157"/>
      <c r="B174" s="157"/>
      <c r="C174" s="386"/>
      <c r="D174" s="3475" t="s">
        <v>637</v>
      </c>
      <c r="E174" s="3561" t="s">
        <v>952</v>
      </c>
      <c r="F174" s="2444" t="s">
        <v>3540</v>
      </c>
      <c r="G174" s="563">
        <v>4.28571428571429</v>
      </c>
      <c r="H174" s="3459" t="s">
        <v>3544</v>
      </c>
      <c r="I174" s="3459"/>
      <c r="J174" s="3470"/>
      <c r="K174" s="3471"/>
      <c r="L174" s="2370"/>
      <c r="M174" s="2370"/>
      <c r="N174" s="157"/>
      <c r="O174" s="157"/>
      <c r="P174" s="157"/>
      <c r="Q174" s="157"/>
      <c r="R174" s="157"/>
      <c r="S174" s="157"/>
      <c r="T174" s="157"/>
      <c r="U174" s="157"/>
      <c r="V174" s="3475" t="s">
        <v>637</v>
      </c>
      <c r="W174" s="594">
        <v>4.3185840707964598</v>
      </c>
      <c r="X174" s="520">
        <v>4.2926829268292686</v>
      </c>
      <c r="Y174" s="595">
        <v>4.2329545454545459</v>
      </c>
      <c r="Z174" s="2588">
        <v>4.2329545454545459</v>
      </c>
      <c r="AA174" s="2588">
        <v>4.2329545454545459</v>
      </c>
      <c r="AB174" s="565">
        <v>4.28571428571429</v>
      </c>
      <c r="AC174" s="564"/>
      <c r="AD174" s="564"/>
      <c r="AE174" s="564"/>
      <c r="AF174" s="564"/>
      <c r="AG174" s="564"/>
      <c r="BD174" s="1"/>
      <c r="BE174" s="1"/>
    </row>
    <row r="175" spans="1:57" s="2277" customFormat="1" outlineLevel="1" x14ac:dyDescent="0.25">
      <c r="A175" s="157"/>
      <c r="B175" s="157"/>
      <c r="C175" s="386"/>
      <c r="D175" s="3530"/>
      <c r="E175" s="3562"/>
      <c r="F175" s="2444" t="s">
        <v>3528</v>
      </c>
      <c r="G175" s="563">
        <v>1.7767584097859328</v>
      </c>
      <c r="H175" s="3459" t="s">
        <v>978</v>
      </c>
      <c r="I175" s="3459"/>
      <c r="J175" s="3470"/>
      <c r="K175" s="3471"/>
      <c r="L175" s="2370"/>
      <c r="M175" s="2370"/>
      <c r="N175" s="157"/>
      <c r="O175" s="157"/>
      <c r="P175" s="157"/>
      <c r="Q175" s="157"/>
      <c r="R175" s="157"/>
      <c r="S175" s="157"/>
      <c r="T175" s="157"/>
      <c r="U175" s="157"/>
      <c r="V175" s="3530"/>
      <c r="W175" s="594"/>
      <c r="X175" s="520"/>
      <c r="Y175" s="595"/>
      <c r="Z175" s="2588"/>
      <c r="AA175" s="2588"/>
      <c r="AB175" s="563">
        <v>1.7767584097859328</v>
      </c>
      <c r="AC175" s="564"/>
      <c r="AD175" s="564"/>
      <c r="AE175" s="564"/>
      <c r="AF175" s="564"/>
      <c r="AG175" s="564"/>
      <c r="BD175" s="1"/>
      <c r="BE175" s="1"/>
    </row>
    <row r="176" spans="1:57" s="2277" customFormat="1" outlineLevel="1" x14ac:dyDescent="0.25">
      <c r="A176" s="157"/>
      <c r="B176" s="157"/>
      <c r="C176" s="386"/>
      <c r="D176" s="3530"/>
      <c r="E176" s="3562"/>
      <c r="F176" s="2444" t="s">
        <v>3541</v>
      </c>
      <c r="G176" s="596">
        <v>1.5644946808510638</v>
      </c>
      <c r="H176" s="3529" t="s">
        <v>1835</v>
      </c>
      <c r="I176" s="3529"/>
      <c r="J176" s="3424" t="s">
        <v>1830</v>
      </c>
      <c r="K176" s="3424"/>
      <c r="L176" s="2370"/>
      <c r="M176" s="2370"/>
      <c r="N176" s="157"/>
      <c r="O176" s="157"/>
      <c r="P176" s="157"/>
      <c r="Q176" s="157"/>
      <c r="R176" s="157"/>
      <c r="S176" s="157"/>
      <c r="T176" s="157"/>
      <c r="U176" s="157"/>
      <c r="V176" s="3530"/>
      <c r="W176" s="594"/>
      <c r="X176" s="520"/>
      <c r="Y176" s="595"/>
      <c r="Z176" s="2588"/>
      <c r="AA176" s="2588"/>
      <c r="AB176" s="567">
        <v>1.5644946808510638</v>
      </c>
      <c r="AC176" s="564"/>
      <c r="AD176" s="564"/>
      <c r="AE176" s="564"/>
      <c r="AF176" s="564"/>
      <c r="AG176" s="564"/>
      <c r="BD176" s="1"/>
      <c r="BE176" s="1"/>
    </row>
    <row r="177" spans="1:57" s="2277" customFormat="1" outlineLevel="1" x14ac:dyDescent="0.25">
      <c r="A177" s="157"/>
      <c r="B177" s="157"/>
      <c r="C177" s="386"/>
      <c r="D177" s="3476"/>
      <c r="E177" s="3563"/>
      <c r="F177" s="2444" t="s">
        <v>3792</v>
      </c>
      <c r="G177" s="596">
        <v>2.65</v>
      </c>
      <c r="H177" s="3529" t="s">
        <v>3545</v>
      </c>
      <c r="I177" s="3529"/>
      <c r="J177" s="3470"/>
      <c r="K177" s="3471"/>
      <c r="L177" s="2370"/>
      <c r="M177" s="2370"/>
      <c r="N177" s="157"/>
      <c r="O177" s="157"/>
      <c r="P177" s="157"/>
      <c r="Q177" s="157"/>
      <c r="R177" s="157"/>
      <c r="S177" s="157"/>
      <c r="T177" s="157"/>
      <c r="U177" s="157"/>
      <c r="V177" s="3476"/>
      <c r="W177" s="594"/>
      <c r="X177" s="520"/>
      <c r="Y177" s="595"/>
      <c r="Z177" s="2588"/>
      <c r="AA177" s="2588"/>
      <c r="AB177" s="567">
        <v>2.65</v>
      </c>
      <c r="AC177" s="564"/>
      <c r="AD177" s="564"/>
      <c r="AE177" s="564"/>
      <c r="AF177" s="564"/>
      <c r="AG177" s="564"/>
      <c r="BD177" s="1"/>
      <c r="BE177" s="1"/>
    </row>
    <row r="178" spans="1:57" outlineLevel="1" x14ac:dyDescent="0.25">
      <c r="D178" s="3519" t="s">
        <v>954</v>
      </c>
      <c r="E178" s="3559" t="s">
        <v>955</v>
      </c>
      <c r="F178" s="2444" t="s">
        <v>3542</v>
      </c>
      <c r="G178" s="3079">
        <v>0.9</v>
      </c>
      <c r="H178" s="3459" t="s">
        <v>956</v>
      </c>
      <c r="I178" s="3459"/>
      <c r="J178" s="3470"/>
      <c r="K178" s="3471"/>
      <c r="L178" s="633"/>
      <c r="V178" s="3558" t="s">
        <v>954</v>
      </c>
      <c r="W178" s="568">
        <v>0.9</v>
      </c>
      <c r="X178" s="559">
        <v>0.9</v>
      </c>
      <c r="Y178" s="559">
        <v>0.9</v>
      </c>
      <c r="Z178" s="2769">
        <v>0.9</v>
      </c>
      <c r="AA178" s="2769">
        <v>0.9</v>
      </c>
      <c r="AB178" s="2769">
        <v>0.9</v>
      </c>
      <c r="AC178" s="568"/>
      <c r="AD178" s="568"/>
      <c r="AE178" s="568"/>
      <c r="AF178" s="568"/>
      <c r="AG178" s="568"/>
      <c r="AI178" s="2277"/>
      <c r="AJ178" s="2277"/>
      <c r="AK178" s="2277"/>
      <c r="AL178" s="2277"/>
      <c r="AM178" s="2277"/>
      <c r="AN178" s="2277"/>
      <c r="AO178" s="2277"/>
      <c r="AP178" s="2277"/>
      <c r="AQ178" s="2277"/>
      <c r="AR178" s="2277"/>
      <c r="AS178" s="2277"/>
    </row>
    <row r="179" spans="1:57" s="2277" customFormat="1" outlineLevel="1" x14ac:dyDescent="0.25">
      <c r="A179" s="157"/>
      <c r="B179" s="157"/>
      <c r="C179" s="386"/>
      <c r="D179" s="3519"/>
      <c r="E179" s="3559"/>
      <c r="F179" s="2444" t="s">
        <v>3541</v>
      </c>
      <c r="G179" s="187">
        <v>1</v>
      </c>
      <c r="H179" s="3459" t="s">
        <v>1193</v>
      </c>
      <c r="I179" s="3459"/>
      <c r="J179" s="3424" t="s">
        <v>1836</v>
      </c>
      <c r="K179" s="3424"/>
      <c r="L179" s="2370"/>
      <c r="M179" s="2370"/>
      <c r="N179" s="157"/>
      <c r="O179" s="157"/>
      <c r="P179" s="157"/>
      <c r="Q179" s="157"/>
      <c r="R179" s="157"/>
      <c r="S179" s="157"/>
      <c r="T179" s="157"/>
      <c r="U179" s="157"/>
      <c r="V179" s="3434"/>
      <c r="W179" s="568"/>
      <c r="X179" s="559"/>
      <c r="Y179" s="559"/>
      <c r="Z179" s="2769"/>
      <c r="AA179" s="2769"/>
      <c r="AB179" s="604">
        <v>1</v>
      </c>
      <c r="AC179" s="568"/>
      <c r="AD179" s="568"/>
      <c r="AE179" s="568"/>
      <c r="AF179" s="568"/>
      <c r="AG179" s="568"/>
      <c r="BD179" s="1"/>
      <c r="BE179" s="1"/>
    </row>
    <row r="180" spans="1:57" outlineLevel="1" x14ac:dyDescent="0.25">
      <c r="D180" s="3016">
        <v>365.25</v>
      </c>
      <c r="E180" s="3015" t="s">
        <v>218</v>
      </c>
      <c r="F180" s="2444" t="s">
        <v>591</v>
      </c>
      <c r="G180" s="560">
        <v>365.25</v>
      </c>
      <c r="H180" s="3459" t="s">
        <v>921</v>
      </c>
      <c r="I180" s="3459"/>
      <c r="J180" s="3470"/>
      <c r="K180" s="3471"/>
      <c r="L180" s="633"/>
      <c r="V180" s="513">
        <v>365.25</v>
      </c>
      <c r="W180" s="532">
        <v>365</v>
      </c>
      <c r="X180" s="561">
        <v>365</v>
      </c>
      <c r="Y180" s="561">
        <v>365</v>
      </c>
      <c r="Z180" s="560">
        <v>365</v>
      </c>
      <c r="AA180" s="560">
        <v>365</v>
      </c>
      <c r="AB180" s="409">
        <v>365.25</v>
      </c>
      <c r="AC180" s="532"/>
      <c r="AD180" s="532"/>
      <c r="AE180" s="532"/>
      <c r="AF180" s="532"/>
      <c r="AG180" s="532"/>
      <c r="AI180" s="2277"/>
      <c r="AJ180" s="2277"/>
      <c r="AK180" s="2277"/>
      <c r="AL180" s="2277"/>
      <c r="AM180" s="2277"/>
      <c r="AN180" s="2277"/>
      <c r="AO180" s="2277"/>
      <c r="AP180" s="2277"/>
      <c r="AQ180" s="2277"/>
      <c r="AR180" s="2277"/>
      <c r="AS180" s="2277"/>
    </row>
    <row r="181" spans="1:57" outlineLevel="1" x14ac:dyDescent="0.25">
      <c r="D181" s="3519" t="s">
        <v>957</v>
      </c>
      <c r="E181" s="3517" t="s">
        <v>958</v>
      </c>
      <c r="F181" s="2444" t="s">
        <v>3540</v>
      </c>
      <c r="G181" s="2446">
        <v>2.2839</v>
      </c>
      <c r="H181" s="3509" t="s">
        <v>939</v>
      </c>
      <c r="I181" s="3509"/>
      <c r="J181" s="3470"/>
      <c r="K181" s="3471"/>
      <c r="L181" s="633"/>
      <c r="V181" s="3558" t="s">
        <v>957</v>
      </c>
      <c r="W181" s="594">
        <v>2.4005847953216377</v>
      </c>
      <c r="X181" s="598">
        <v>2.4005847953216377</v>
      </c>
      <c r="Y181" s="520">
        <v>2.2839</v>
      </c>
      <c r="Z181" s="514">
        <v>2.2839</v>
      </c>
      <c r="AA181" s="514">
        <v>2.2839</v>
      </c>
      <c r="AB181" s="2446">
        <v>2.2839</v>
      </c>
      <c r="AC181" s="571"/>
      <c r="AD181" s="571"/>
      <c r="AE181" s="571"/>
      <c r="AF181" s="571"/>
      <c r="AG181" s="571"/>
      <c r="AI181" s="2277"/>
      <c r="AJ181" s="2277"/>
      <c r="AK181" s="2277"/>
      <c r="AL181" s="2277"/>
      <c r="AM181" s="2277"/>
      <c r="AN181" s="2277"/>
      <c r="AO181" s="2277"/>
      <c r="AP181" s="2277"/>
      <c r="AQ181" s="2277"/>
      <c r="AR181" s="2277"/>
      <c r="AS181" s="2277"/>
    </row>
    <row r="182" spans="1:57" s="2277" customFormat="1" outlineLevel="1" x14ac:dyDescent="0.25">
      <c r="A182" s="157"/>
      <c r="B182" s="157"/>
      <c r="C182" s="386"/>
      <c r="D182" s="3519"/>
      <c r="E182" s="3517"/>
      <c r="F182" s="2444" t="s">
        <v>3528</v>
      </c>
      <c r="G182" s="2446">
        <v>1.3371757925072045</v>
      </c>
      <c r="H182" s="3459" t="s">
        <v>979</v>
      </c>
      <c r="I182" s="3459"/>
      <c r="J182" s="3470"/>
      <c r="K182" s="3471"/>
      <c r="L182" s="2370"/>
      <c r="M182" s="2370"/>
      <c r="N182" s="157"/>
      <c r="O182" s="157"/>
      <c r="P182" s="157"/>
      <c r="Q182" s="157"/>
      <c r="R182" s="157"/>
      <c r="S182" s="157"/>
      <c r="T182" s="157"/>
      <c r="U182" s="157"/>
      <c r="V182" s="3362"/>
      <c r="W182" s="594"/>
      <c r="X182" s="598"/>
      <c r="Y182" s="520"/>
      <c r="Z182" s="514"/>
      <c r="AA182" s="514"/>
      <c r="AB182" s="2446">
        <v>1.3371757925072045</v>
      </c>
      <c r="AC182" s="571"/>
      <c r="AD182" s="571"/>
      <c r="AE182" s="571"/>
      <c r="AF182" s="571"/>
      <c r="AG182" s="571"/>
      <c r="BD182" s="1"/>
      <c r="BE182" s="1"/>
    </row>
    <row r="183" spans="1:57" s="2277" customFormat="1" outlineLevel="1" x14ac:dyDescent="0.25">
      <c r="A183" s="157"/>
      <c r="B183" s="157"/>
      <c r="C183" s="386"/>
      <c r="D183" s="3519"/>
      <c r="E183" s="3517"/>
      <c r="F183" s="2444" t="s">
        <v>3541</v>
      </c>
      <c r="G183" s="3142">
        <v>1.8624708624708626</v>
      </c>
      <c r="H183" s="3560" t="s">
        <v>3553</v>
      </c>
      <c r="I183" s="3560"/>
      <c r="J183" s="3470"/>
      <c r="K183" s="3471"/>
      <c r="L183" s="2370"/>
      <c r="M183" s="2370"/>
      <c r="N183" s="157"/>
      <c r="O183" s="157"/>
      <c r="P183" s="157"/>
      <c r="Q183" s="157"/>
      <c r="R183" s="157"/>
      <c r="S183" s="157"/>
      <c r="T183" s="157"/>
      <c r="U183" s="157"/>
      <c r="V183" s="3434"/>
      <c r="W183" s="594"/>
      <c r="X183" s="598"/>
      <c r="Y183" s="520"/>
      <c r="Z183" s="514"/>
      <c r="AA183" s="514"/>
      <c r="AB183" s="2447">
        <v>1.8624708624708626</v>
      </c>
      <c r="AC183" s="571"/>
      <c r="AD183" s="571"/>
      <c r="AE183" s="571"/>
      <c r="AF183" s="571"/>
      <c r="AG183" s="571"/>
      <c r="BD183" s="1"/>
      <c r="BE183" s="1"/>
    </row>
    <row r="184" spans="1:57" outlineLevel="1" x14ac:dyDescent="0.25">
      <c r="D184" s="3016">
        <v>8.33</v>
      </c>
      <c r="E184" s="3036" t="s">
        <v>959</v>
      </c>
      <c r="F184" s="2444" t="s">
        <v>591</v>
      </c>
      <c r="G184" s="3079">
        <v>8.33</v>
      </c>
      <c r="H184" s="3509" t="s">
        <v>960</v>
      </c>
      <c r="I184" s="3509"/>
      <c r="J184" s="3470"/>
      <c r="K184" s="3471"/>
      <c r="L184" s="633"/>
      <c r="V184" s="513">
        <v>8.33</v>
      </c>
      <c r="W184" s="568">
        <v>8.33</v>
      </c>
      <c r="X184" s="559">
        <v>8.33</v>
      </c>
      <c r="Y184" s="559">
        <v>8.33</v>
      </c>
      <c r="Z184" s="2769">
        <v>8.33</v>
      </c>
      <c r="AA184" s="2769">
        <v>8.33</v>
      </c>
      <c r="AB184" s="2769">
        <v>8.33</v>
      </c>
      <c r="AC184" s="568"/>
      <c r="AD184" s="568"/>
      <c r="AE184" s="568"/>
      <c r="AF184" s="568"/>
      <c r="AG184" s="568"/>
      <c r="AI184" s="2277"/>
      <c r="AJ184" s="2277"/>
      <c r="AK184" s="2277"/>
      <c r="AL184" s="2277"/>
      <c r="AM184" s="2277"/>
      <c r="AN184" s="2277"/>
      <c r="AO184" s="2277"/>
      <c r="AP184" s="2277"/>
      <c r="AQ184" s="2277"/>
      <c r="AR184" s="2277"/>
      <c r="AS184" s="2277"/>
    </row>
    <row r="185" spans="1:57" outlineLevel="1" x14ac:dyDescent="0.25">
      <c r="D185" s="3016">
        <v>1</v>
      </c>
      <c r="E185" s="3015" t="s">
        <v>961</v>
      </c>
      <c r="F185" s="2444" t="s">
        <v>591</v>
      </c>
      <c r="G185" s="3079">
        <v>1</v>
      </c>
      <c r="H185" s="3459" t="s">
        <v>962</v>
      </c>
      <c r="I185" s="3459"/>
      <c r="J185" s="3470"/>
      <c r="K185" s="3471"/>
      <c r="L185" s="633"/>
      <c r="V185" s="513">
        <v>1</v>
      </c>
      <c r="W185" s="568">
        <v>1</v>
      </c>
      <c r="X185" s="559">
        <v>1</v>
      </c>
      <c r="Y185" s="559">
        <v>1</v>
      </c>
      <c r="Z185" s="2769">
        <v>1</v>
      </c>
      <c r="AA185" s="2769">
        <v>1</v>
      </c>
      <c r="AB185" s="2769">
        <v>1</v>
      </c>
      <c r="AC185" s="568"/>
      <c r="AD185" s="568"/>
      <c r="AE185" s="568"/>
      <c r="AF185" s="568"/>
      <c r="AG185" s="568"/>
      <c r="AI185" s="2277"/>
      <c r="AJ185" s="2277"/>
      <c r="AK185" s="2277"/>
      <c r="AL185" s="2277"/>
      <c r="AM185" s="2277"/>
      <c r="AN185" s="2277"/>
      <c r="AO185" s="2277"/>
      <c r="AP185" s="2277"/>
      <c r="AQ185" s="2277"/>
      <c r="AR185" s="2277"/>
      <c r="AS185" s="2277"/>
    </row>
    <row r="186" spans="1:57" outlineLevel="1" x14ac:dyDescent="0.25">
      <c r="D186" s="3459" t="s">
        <v>963</v>
      </c>
      <c r="E186" s="3517" t="s">
        <v>964</v>
      </c>
      <c r="F186" s="2444" t="s">
        <v>3552</v>
      </c>
      <c r="G186" s="560">
        <v>86</v>
      </c>
      <c r="H186" s="3459" t="s">
        <v>965</v>
      </c>
      <c r="I186" s="3459"/>
      <c r="J186" s="3470"/>
      <c r="K186" s="3471"/>
      <c r="L186" s="633"/>
      <c r="V186" s="3475" t="s">
        <v>963</v>
      </c>
      <c r="W186" s="532">
        <v>86</v>
      </c>
      <c r="X186" s="561">
        <v>86</v>
      </c>
      <c r="Y186" s="561">
        <v>86</v>
      </c>
      <c r="Z186" s="560">
        <v>86</v>
      </c>
      <c r="AA186" s="560">
        <v>86</v>
      </c>
      <c r="AB186" s="560">
        <v>86</v>
      </c>
      <c r="AC186" s="532"/>
      <c r="AD186" s="532"/>
      <c r="AE186" s="532"/>
      <c r="AF186" s="532"/>
      <c r="AG186" s="532"/>
      <c r="AI186" s="2277"/>
      <c r="AJ186" s="2277"/>
      <c r="AK186" s="2277"/>
      <c r="AL186" s="2277"/>
      <c r="AM186" s="2277"/>
      <c r="AN186" s="2277"/>
      <c r="AO186" s="2277"/>
      <c r="AP186" s="2277"/>
      <c r="AQ186" s="2277"/>
      <c r="AR186" s="2277"/>
      <c r="AS186" s="2277"/>
    </row>
    <row r="187" spans="1:57" s="2277" customFormat="1" outlineLevel="1" x14ac:dyDescent="0.25">
      <c r="A187" s="157"/>
      <c r="B187" s="157"/>
      <c r="C187" s="386"/>
      <c r="D187" s="3459"/>
      <c r="E187" s="3517"/>
      <c r="F187" s="2444" t="s">
        <v>3541</v>
      </c>
      <c r="G187" s="560">
        <v>80</v>
      </c>
      <c r="H187" s="3459" t="s">
        <v>1842</v>
      </c>
      <c r="I187" s="3459"/>
      <c r="J187" s="3424" t="s">
        <v>1830</v>
      </c>
      <c r="K187" s="3424"/>
      <c r="L187" s="2370"/>
      <c r="M187" s="2370"/>
      <c r="N187" s="157"/>
      <c r="O187" s="157"/>
      <c r="P187" s="157"/>
      <c r="Q187" s="157"/>
      <c r="R187" s="157"/>
      <c r="S187" s="157"/>
      <c r="T187" s="157"/>
      <c r="U187" s="157"/>
      <c r="V187" s="3476"/>
      <c r="W187" s="532"/>
      <c r="X187" s="561"/>
      <c r="Y187" s="561"/>
      <c r="Z187" s="560"/>
      <c r="AA187" s="560"/>
      <c r="AB187" s="409">
        <v>80</v>
      </c>
      <c r="AC187" s="532"/>
      <c r="AD187" s="532"/>
      <c r="AE187" s="532"/>
      <c r="AF187" s="532"/>
      <c r="AG187" s="532"/>
      <c r="BD187" s="1"/>
      <c r="BE187" s="1"/>
    </row>
    <row r="188" spans="1:57" s="522" customFormat="1" outlineLevel="1" x14ac:dyDescent="0.25">
      <c r="A188" s="633"/>
      <c r="B188" s="633"/>
      <c r="C188" s="386"/>
      <c r="D188" s="3008" t="s">
        <v>966</v>
      </c>
      <c r="E188" s="3015" t="s">
        <v>967</v>
      </c>
      <c r="F188" s="2444" t="s">
        <v>591</v>
      </c>
      <c r="G188" s="560">
        <v>61.3</v>
      </c>
      <c r="H188" s="3509" t="s">
        <v>968</v>
      </c>
      <c r="I188" s="3509"/>
      <c r="J188" s="3470"/>
      <c r="K188" s="3471"/>
      <c r="L188" s="633"/>
      <c r="M188" s="633"/>
      <c r="N188" s="633"/>
      <c r="O188" s="633"/>
      <c r="P188" s="633"/>
      <c r="Q188" s="633"/>
      <c r="R188" s="633"/>
      <c r="S188" s="633"/>
      <c r="T188" s="633"/>
      <c r="U188" s="633"/>
      <c r="V188" s="3008" t="s">
        <v>966</v>
      </c>
      <c r="W188" s="532">
        <v>61.3</v>
      </c>
      <c r="X188" s="561">
        <v>61.3</v>
      </c>
      <c r="Y188" s="561">
        <v>61.3</v>
      </c>
      <c r="Z188" s="560">
        <v>61.3</v>
      </c>
      <c r="AA188" s="560">
        <v>61.3</v>
      </c>
      <c r="AB188" s="560">
        <v>61.3</v>
      </c>
      <c r="AC188" s="532"/>
      <c r="AD188" s="532"/>
      <c r="AE188" s="532"/>
      <c r="AF188" s="532"/>
      <c r="AG188" s="532"/>
      <c r="AI188" s="2277"/>
      <c r="AJ188" s="2277"/>
      <c r="AK188" s="2277"/>
      <c r="AL188" s="2277"/>
      <c r="AM188" s="2277"/>
      <c r="AN188" s="2277"/>
      <c r="AO188" s="2277"/>
      <c r="AP188" s="2277"/>
      <c r="AQ188" s="2277"/>
      <c r="AR188" s="2277"/>
      <c r="AS188" s="2277"/>
      <c r="BD188" s="1"/>
      <c r="BE188" s="1"/>
    </row>
    <row r="189" spans="1:57" s="522" customFormat="1" outlineLevel="1" x14ac:dyDescent="0.25">
      <c r="A189" s="633"/>
      <c r="B189" s="633"/>
      <c r="C189" s="386"/>
      <c r="D189" s="3008" t="s">
        <v>969</v>
      </c>
      <c r="E189" s="3015" t="s">
        <v>970</v>
      </c>
      <c r="F189" s="2444" t="s">
        <v>591</v>
      </c>
      <c r="G189" s="3079">
        <v>0.98</v>
      </c>
      <c r="H189" s="3509" t="s">
        <v>971</v>
      </c>
      <c r="I189" s="3509"/>
      <c r="J189" s="3470"/>
      <c r="K189" s="3471"/>
      <c r="L189" s="633"/>
      <c r="M189" s="633"/>
      <c r="N189" s="633"/>
      <c r="O189" s="633"/>
      <c r="P189" s="633"/>
      <c r="Q189" s="633"/>
      <c r="R189" s="633"/>
      <c r="S189" s="633"/>
      <c r="T189" s="633"/>
      <c r="U189" s="633"/>
      <c r="V189" s="3008" t="s">
        <v>969</v>
      </c>
      <c r="W189" s="568">
        <v>0.98</v>
      </c>
      <c r="X189" s="559">
        <v>0.98</v>
      </c>
      <c r="Y189" s="559">
        <v>0.98</v>
      </c>
      <c r="Z189" s="2769">
        <v>0.98</v>
      </c>
      <c r="AA189" s="2769">
        <v>0.98</v>
      </c>
      <c r="AB189" s="2769">
        <v>0.98</v>
      </c>
      <c r="AC189" s="568"/>
      <c r="AD189" s="568"/>
      <c r="AE189" s="568"/>
      <c r="AF189" s="568"/>
      <c r="AG189" s="568"/>
      <c r="AI189" s="2277"/>
      <c r="AJ189" s="2277"/>
      <c r="AK189" s="2277"/>
      <c r="AL189" s="2277"/>
      <c r="AM189" s="2277"/>
      <c r="AN189" s="2277"/>
      <c r="AO189" s="2277"/>
      <c r="AP189" s="2277"/>
      <c r="AQ189" s="2277"/>
      <c r="AR189" s="2277"/>
      <c r="AS189" s="2277"/>
      <c r="BD189" s="1"/>
      <c r="BE189" s="1"/>
    </row>
    <row r="190" spans="1:57" s="522" customFormat="1" outlineLevel="1" x14ac:dyDescent="0.25">
      <c r="A190" s="633"/>
      <c r="B190" s="633"/>
      <c r="C190" s="386"/>
      <c r="D190" s="3008">
        <v>3412</v>
      </c>
      <c r="E190" s="3036" t="s">
        <v>972</v>
      </c>
      <c r="F190" s="2444" t="s">
        <v>591</v>
      </c>
      <c r="G190" s="575">
        <v>3412</v>
      </c>
      <c r="H190" s="3509" t="s">
        <v>655</v>
      </c>
      <c r="I190" s="3509"/>
      <c r="J190" s="3470"/>
      <c r="K190" s="3471"/>
      <c r="L190" s="633"/>
      <c r="M190" s="633"/>
      <c r="N190" s="633"/>
      <c r="O190" s="633"/>
      <c r="P190" s="633"/>
      <c r="Q190" s="633"/>
      <c r="R190" s="633"/>
      <c r="S190" s="633"/>
      <c r="T190" s="633"/>
      <c r="U190" s="633"/>
      <c r="V190" s="3008">
        <v>3412</v>
      </c>
      <c r="W190" s="577">
        <v>3412</v>
      </c>
      <c r="X190" s="578">
        <v>3413</v>
      </c>
      <c r="Y190" s="578">
        <v>3413</v>
      </c>
      <c r="Z190" s="575">
        <v>3413</v>
      </c>
      <c r="AA190" s="575">
        <v>3413</v>
      </c>
      <c r="AB190" s="579">
        <v>3412</v>
      </c>
      <c r="AC190" s="577"/>
      <c r="AD190" s="577"/>
      <c r="AE190" s="577"/>
      <c r="AF190" s="577"/>
      <c r="AG190" s="577"/>
      <c r="AI190" s="2277"/>
      <c r="AJ190" s="2277"/>
      <c r="AK190" s="2277"/>
      <c r="AL190" s="2277"/>
      <c r="AM190" s="2277"/>
      <c r="AN190" s="2277"/>
      <c r="AO190" s="2277"/>
      <c r="AP190" s="2277"/>
      <c r="AQ190" s="2277"/>
      <c r="AR190" s="2277"/>
      <c r="AS190" s="2277"/>
      <c r="BD190" s="1"/>
      <c r="BE190" s="1"/>
    </row>
    <row r="191" spans="1:57" s="522" customFormat="1" outlineLevel="1" x14ac:dyDescent="0.25">
      <c r="A191" s="2370"/>
      <c r="B191" s="2370"/>
      <c r="C191" s="386"/>
      <c r="D191" s="3475" t="s">
        <v>892</v>
      </c>
      <c r="E191" s="3474" t="s">
        <v>929</v>
      </c>
      <c r="F191" s="2444" t="s">
        <v>3540</v>
      </c>
      <c r="G191" s="263">
        <v>0.72</v>
      </c>
      <c r="H191" s="3459" t="s">
        <v>3544</v>
      </c>
      <c r="I191" s="3459"/>
      <c r="J191" s="3470"/>
      <c r="K191" s="3471"/>
      <c r="L191" s="2370"/>
      <c r="M191" s="2370"/>
      <c r="N191" s="2370"/>
      <c r="O191" s="2370"/>
      <c r="P191" s="2370"/>
      <c r="Q191" s="2370"/>
      <c r="R191" s="2370"/>
      <c r="S191" s="2370"/>
      <c r="T191" s="2370"/>
      <c r="U191" s="2370"/>
      <c r="V191" s="3475" t="s">
        <v>892</v>
      </c>
      <c r="W191" s="582">
        <v>0.86</v>
      </c>
      <c r="X191" s="583">
        <v>0.89859999999999995</v>
      </c>
      <c r="Y191" s="584">
        <v>0.91869999999999996</v>
      </c>
      <c r="Z191" s="2586">
        <v>0.91869999999999996</v>
      </c>
      <c r="AA191" s="2586">
        <v>0.91869999999999996</v>
      </c>
      <c r="AB191" s="2445">
        <v>0.72</v>
      </c>
      <c r="AC191" s="582"/>
      <c r="AD191" s="582"/>
      <c r="AE191" s="582"/>
      <c r="AF191" s="582"/>
      <c r="AG191" s="582"/>
      <c r="AI191" s="2277"/>
      <c r="AJ191" s="2277"/>
      <c r="AK191" s="2277"/>
      <c r="AL191" s="2277"/>
      <c r="AM191" s="2277"/>
      <c r="AN191" s="2277"/>
      <c r="AO191" s="2277"/>
      <c r="AP191" s="2277"/>
      <c r="AQ191" s="2277"/>
      <c r="AR191" s="2277"/>
      <c r="AS191" s="2277"/>
      <c r="BD191" s="1"/>
      <c r="BE191" s="1"/>
    </row>
    <row r="192" spans="1:57" s="522" customFormat="1" outlineLevel="1" x14ac:dyDescent="0.25">
      <c r="A192" s="2370"/>
      <c r="B192" s="2370"/>
      <c r="C192" s="386"/>
      <c r="D192" s="3476"/>
      <c r="E192" s="3445"/>
      <c r="F192" s="2444" t="s">
        <v>3543</v>
      </c>
      <c r="G192" s="380">
        <v>1</v>
      </c>
      <c r="H192" s="3509" t="s">
        <v>3547</v>
      </c>
      <c r="I192" s="3509"/>
      <c r="J192" s="3470"/>
      <c r="K192" s="3471"/>
      <c r="L192" s="2370"/>
      <c r="M192" s="2370"/>
      <c r="N192" s="2370"/>
      <c r="O192" s="2370"/>
      <c r="P192" s="2370"/>
      <c r="Q192" s="2370"/>
      <c r="R192" s="2370"/>
      <c r="S192" s="2370"/>
      <c r="T192" s="2370"/>
      <c r="U192" s="2370"/>
      <c r="V192" s="3476"/>
      <c r="W192" s="582"/>
      <c r="X192" s="583"/>
      <c r="Y192" s="584"/>
      <c r="Z192" s="2586"/>
      <c r="AA192" s="2586"/>
      <c r="AB192" s="380">
        <v>1</v>
      </c>
      <c r="AC192" s="582"/>
      <c r="AD192" s="582"/>
      <c r="AE192" s="582"/>
      <c r="AF192" s="582"/>
      <c r="AG192" s="582"/>
      <c r="AI192" s="2277"/>
      <c r="AJ192" s="2277"/>
      <c r="AK192" s="2277"/>
      <c r="AL192" s="2277"/>
      <c r="AM192" s="2277"/>
      <c r="AN192" s="2277"/>
      <c r="AO192" s="2277"/>
      <c r="AP192" s="2277"/>
      <c r="AQ192" s="2277"/>
      <c r="AR192" s="2277"/>
      <c r="AS192" s="2277"/>
      <c r="BD192" s="1"/>
      <c r="BE192" s="1"/>
    </row>
    <row r="193" spans="1:57" s="522" customFormat="1" outlineLevel="1" x14ac:dyDescent="0.25">
      <c r="A193" s="2370"/>
      <c r="B193" s="2370"/>
      <c r="C193" s="386"/>
      <c r="D193" s="3475" t="s">
        <v>75</v>
      </c>
      <c r="E193" s="3474" t="s">
        <v>684</v>
      </c>
      <c r="F193" s="2444" t="s">
        <v>3540</v>
      </c>
      <c r="G193" s="263">
        <v>0.48</v>
      </c>
      <c r="H193" s="3459" t="s">
        <v>3522</v>
      </c>
      <c r="I193" s="3459"/>
      <c r="J193" s="3470"/>
      <c r="K193" s="3471"/>
      <c r="L193" s="2370"/>
      <c r="M193" s="2370"/>
      <c r="N193" s="2370"/>
      <c r="O193" s="2370"/>
      <c r="P193" s="2370"/>
      <c r="Q193" s="2370"/>
      <c r="R193" s="2370"/>
      <c r="S193" s="2370"/>
      <c r="T193" s="2370"/>
      <c r="U193" s="2370"/>
      <c r="V193" s="3475" t="s">
        <v>75</v>
      </c>
      <c r="W193" s="582">
        <v>0.56837606837606836</v>
      </c>
      <c r="X193" s="583">
        <v>0.55508474576271183</v>
      </c>
      <c r="Y193" s="584">
        <v>0.57216494845360821</v>
      </c>
      <c r="Z193" s="2586">
        <v>0.57216494845360821</v>
      </c>
      <c r="AA193" s="2586">
        <v>0.57216494845360821</v>
      </c>
      <c r="AB193" s="2445">
        <v>0.48</v>
      </c>
      <c r="AC193" s="582"/>
      <c r="AD193" s="582"/>
      <c r="AE193" s="582"/>
      <c r="AF193" s="582"/>
      <c r="AG193" s="582"/>
      <c r="AI193" s="2277"/>
      <c r="AJ193" s="2277"/>
      <c r="AK193" s="2277"/>
      <c r="AL193" s="2277"/>
      <c r="AM193" s="2277"/>
      <c r="AN193" s="2277"/>
      <c r="AO193" s="2277"/>
      <c r="AP193" s="2277"/>
      <c r="AQ193" s="2277"/>
      <c r="AR193" s="2277"/>
      <c r="AS193" s="2277"/>
      <c r="BD193" s="1"/>
      <c r="BE193" s="1"/>
    </row>
    <row r="194" spans="1:57" s="522" customFormat="1" outlineLevel="1" x14ac:dyDescent="0.25">
      <c r="A194" s="2370"/>
      <c r="B194" s="2370"/>
      <c r="C194" s="386"/>
      <c r="D194" s="3530"/>
      <c r="E194" s="3444"/>
      <c r="F194" s="2444" t="s">
        <v>3528</v>
      </c>
      <c r="G194" s="380">
        <v>1</v>
      </c>
      <c r="H194" s="3509" t="s">
        <v>940</v>
      </c>
      <c r="I194" s="3509"/>
      <c r="J194" s="3470"/>
      <c r="K194" s="3471"/>
      <c r="L194" s="2370"/>
      <c r="M194" s="2370"/>
      <c r="N194" s="2370"/>
      <c r="O194" s="2370"/>
      <c r="P194" s="2370"/>
      <c r="Q194" s="2370"/>
      <c r="R194" s="2370"/>
      <c r="S194" s="2370"/>
      <c r="T194" s="2370"/>
      <c r="U194" s="2370"/>
      <c r="V194" s="3530"/>
      <c r="W194" s="582"/>
      <c r="X194" s="583"/>
      <c r="Y194" s="584"/>
      <c r="Z194" s="2586"/>
      <c r="AA194" s="2586"/>
      <c r="AB194" s="380">
        <v>1</v>
      </c>
      <c r="AC194" s="582"/>
      <c r="AD194" s="582"/>
      <c r="AE194" s="582"/>
      <c r="AF194" s="582"/>
      <c r="AG194" s="582"/>
      <c r="AI194" s="2277"/>
      <c r="AJ194" s="2277"/>
      <c r="AK194" s="2277"/>
      <c r="AL194" s="2277"/>
      <c r="AM194" s="2277"/>
      <c r="AN194" s="2277"/>
      <c r="AO194" s="2277"/>
      <c r="AP194" s="2277"/>
      <c r="AQ194" s="2277"/>
      <c r="AR194" s="2277"/>
      <c r="AS194" s="2277"/>
      <c r="BD194" s="1"/>
      <c r="BE194" s="1"/>
    </row>
    <row r="195" spans="1:57" s="522" customFormat="1" outlineLevel="1" x14ac:dyDescent="0.25">
      <c r="A195" s="2370"/>
      <c r="B195" s="2370"/>
      <c r="C195" s="386"/>
      <c r="D195" s="3530"/>
      <c r="E195" s="3444"/>
      <c r="F195" s="2444" t="s">
        <v>3541</v>
      </c>
      <c r="G195" s="380">
        <v>0.89</v>
      </c>
      <c r="H195" s="3526" t="s">
        <v>3547</v>
      </c>
      <c r="I195" s="3526"/>
      <c r="J195" s="3424" t="s">
        <v>3554</v>
      </c>
      <c r="K195" s="3424"/>
      <c r="L195" s="2370"/>
      <c r="M195" s="2370"/>
      <c r="N195" s="2370"/>
      <c r="O195" s="2370"/>
      <c r="P195" s="2370"/>
      <c r="Q195" s="2370"/>
      <c r="R195" s="2370"/>
      <c r="S195" s="2370"/>
      <c r="T195" s="2370"/>
      <c r="U195" s="2370"/>
      <c r="V195" s="3530"/>
      <c r="W195" s="582"/>
      <c r="X195" s="583"/>
      <c r="Y195" s="584"/>
      <c r="Z195" s="2586"/>
      <c r="AA195" s="2586"/>
      <c r="AB195" s="831">
        <v>0.89</v>
      </c>
      <c r="AC195" s="582"/>
      <c r="AD195" s="582"/>
      <c r="AE195" s="582"/>
      <c r="AF195" s="582"/>
      <c r="AG195" s="582"/>
      <c r="AI195" s="2277"/>
      <c r="AJ195" s="2277"/>
      <c r="AK195" s="2277"/>
      <c r="AL195" s="2277"/>
      <c r="AM195" s="2277"/>
      <c r="AN195" s="2277"/>
      <c r="AO195" s="2277"/>
      <c r="AP195" s="2277"/>
      <c r="AQ195" s="2277"/>
      <c r="AR195" s="2277"/>
      <c r="AS195" s="2277"/>
      <c r="BD195" s="1"/>
      <c r="BE195" s="1"/>
    </row>
    <row r="196" spans="1:57" s="522" customFormat="1" outlineLevel="1" x14ac:dyDescent="0.25">
      <c r="A196" s="2370"/>
      <c r="B196" s="2370"/>
      <c r="C196" s="386"/>
      <c r="D196" s="3476"/>
      <c r="E196" s="3445"/>
      <c r="F196" s="2444" t="s">
        <v>3792</v>
      </c>
      <c r="G196" s="380">
        <v>0.24</v>
      </c>
      <c r="H196" s="3526" t="s">
        <v>3517</v>
      </c>
      <c r="I196" s="3526"/>
      <c r="J196" s="3470"/>
      <c r="K196" s="3471"/>
      <c r="L196" s="2370"/>
      <c r="M196" s="2370"/>
      <c r="N196" s="2370"/>
      <c r="O196" s="2370"/>
      <c r="P196" s="2370"/>
      <c r="Q196" s="2370"/>
      <c r="R196" s="2370"/>
      <c r="S196" s="2370"/>
      <c r="T196" s="2370"/>
      <c r="U196" s="2370"/>
      <c r="V196" s="3476"/>
      <c r="W196" s="582"/>
      <c r="X196" s="583"/>
      <c r="Y196" s="584"/>
      <c r="Z196" s="2586"/>
      <c r="AA196" s="2586"/>
      <c r="AB196" s="831">
        <v>0.24</v>
      </c>
      <c r="AC196" s="582"/>
      <c r="AD196" s="582"/>
      <c r="AE196" s="582"/>
      <c r="AF196" s="582"/>
      <c r="AG196" s="582"/>
      <c r="AI196" s="2277"/>
      <c r="AJ196" s="2277"/>
      <c r="AK196" s="2277"/>
      <c r="AL196" s="2277"/>
      <c r="AM196" s="2277"/>
      <c r="AN196" s="2277"/>
      <c r="AO196" s="2277"/>
      <c r="AP196" s="2277"/>
      <c r="AQ196" s="2277"/>
      <c r="AR196" s="2277"/>
      <c r="AS196" s="2277"/>
      <c r="BD196" s="1"/>
      <c r="BE196" s="1"/>
    </row>
    <row r="197" spans="1:57" outlineLevel="1" x14ac:dyDescent="0.25">
      <c r="B197" s="1359"/>
      <c r="C197" s="1900"/>
      <c r="D197" s="2454" t="s">
        <v>896</v>
      </c>
      <c r="E197" s="2894" t="s">
        <v>611</v>
      </c>
      <c r="F197" s="2444" t="s">
        <v>591</v>
      </c>
      <c r="G197" s="2759">
        <v>10</v>
      </c>
      <c r="H197" s="3525"/>
      <c r="I197" s="3525"/>
      <c r="J197" s="3470"/>
      <c r="K197" s="3471"/>
      <c r="L197" s="298"/>
      <c r="M197" s="1276"/>
      <c r="N197" s="298"/>
      <c r="O197" s="298"/>
      <c r="P197" s="298"/>
      <c r="Q197" s="298"/>
      <c r="V197" s="3097" t="s">
        <v>896</v>
      </c>
      <c r="W197" s="506">
        <v>10</v>
      </c>
      <c r="X197" s="506">
        <v>10</v>
      </c>
      <c r="Y197" s="506">
        <v>10</v>
      </c>
      <c r="Z197" s="506">
        <v>10</v>
      </c>
      <c r="AA197" s="506">
        <v>10</v>
      </c>
      <c r="AB197" s="2759">
        <v>10</v>
      </c>
      <c r="AC197" s="506"/>
      <c r="AD197" s="506"/>
      <c r="AE197" s="506"/>
      <c r="AF197" s="506"/>
      <c r="AG197" s="506"/>
      <c r="AI197" s="2277"/>
      <c r="AJ197" s="2277"/>
      <c r="AK197" s="2277"/>
      <c r="AL197" s="2277"/>
      <c r="AM197" s="2277"/>
      <c r="AN197" s="2277"/>
      <c r="AO197" s="2277"/>
      <c r="AP197" s="2277"/>
      <c r="AQ197" s="2277"/>
      <c r="AR197" s="2277"/>
      <c r="AS197" s="2277"/>
    </row>
    <row r="198" spans="1:57" outlineLevel="1" x14ac:dyDescent="0.25">
      <c r="B198" s="1359"/>
      <c r="C198" s="1900"/>
      <c r="D198" s="3034" t="s">
        <v>25</v>
      </c>
      <c r="E198" s="2894" t="s">
        <v>613</v>
      </c>
      <c r="F198" s="2444" t="s">
        <v>591</v>
      </c>
      <c r="G198" s="2758">
        <v>3</v>
      </c>
      <c r="H198" s="3524"/>
      <c r="I198" s="3524"/>
      <c r="J198" s="3470"/>
      <c r="K198" s="3471"/>
      <c r="L198" s="298"/>
      <c r="M198" s="1276"/>
      <c r="N198" s="298"/>
      <c r="O198" s="298"/>
      <c r="P198" s="298"/>
      <c r="Q198" s="298"/>
      <c r="V198" s="3098" t="s">
        <v>25</v>
      </c>
      <c r="W198" s="508">
        <v>3</v>
      </c>
      <c r="X198" s="508">
        <v>3</v>
      </c>
      <c r="Y198" s="508">
        <v>3</v>
      </c>
      <c r="Z198" s="508">
        <v>3</v>
      </c>
      <c r="AA198" s="508">
        <v>3</v>
      </c>
      <c r="AB198" s="2758">
        <v>3</v>
      </c>
      <c r="AC198" s="508"/>
      <c r="AD198" s="508"/>
      <c r="AE198" s="508"/>
      <c r="AF198" s="508"/>
      <c r="AG198" s="508"/>
      <c r="AI198" s="2277"/>
      <c r="AJ198" s="2277"/>
      <c r="AK198" s="2277"/>
      <c r="AL198" s="2277"/>
      <c r="AM198" s="2277"/>
      <c r="AN198" s="2277"/>
      <c r="AO198" s="2277"/>
      <c r="AP198" s="2277"/>
      <c r="AQ198" s="2277"/>
      <c r="AR198" s="2277"/>
      <c r="AS198" s="2277"/>
    </row>
    <row r="199" spans="1:57" x14ac:dyDescent="0.25">
      <c r="AI199" s="2277"/>
      <c r="AJ199" s="2277"/>
      <c r="AK199" s="2277"/>
      <c r="AL199" s="2277"/>
      <c r="AM199" s="2277"/>
      <c r="AN199" s="2277"/>
      <c r="AO199" s="2277"/>
      <c r="AP199" s="2277"/>
      <c r="AQ199" s="2277"/>
      <c r="AR199" s="2277"/>
      <c r="AS199" s="2277"/>
    </row>
    <row r="201" spans="1:57" s="194" customFormat="1" x14ac:dyDescent="0.25">
      <c r="B201" s="3350" t="s">
        <v>980</v>
      </c>
      <c r="C201" s="3351"/>
      <c r="D201" s="3351"/>
      <c r="E201" s="3351"/>
      <c r="F201" s="3351"/>
      <c r="G201" s="3351"/>
      <c r="H201" s="3351"/>
      <c r="I201" s="3352"/>
      <c r="J201" s="3352"/>
      <c r="K201" s="3352"/>
      <c r="L201" s="3352"/>
      <c r="M201" s="3352"/>
      <c r="N201" s="3353"/>
      <c r="V201" s="3350" t="str">
        <f>B201</f>
        <v xml:space="preserve">Low Flow Showerheads </v>
      </c>
      <c r="W201" s="3351"/>
      <c r="X201" s="3351"/>
      <c r="Y201" s="3351"/>
      <c r="Z201" s="3351"/>
      <c r="AA201" s="3351"/>
      <c r="AB201" s="3351"/>
      <c r="AC201" s="3354"/>
      <c r="AD201" s="3354"/>
      <c r="AE201" s="3354"/>
      <c r="AF201" s="3354"/>
      <c r="AG201" s="3354"/>
      <c r="AH201" s="3355"/>
      <c r="BD201" s="546"/>
      <c r="BE201" s="546"/>
    </row>
    <row r="202" spans="1:57" ht="15.75" customHeight="1" x14ac:dyDescent="0.25">
      <c r="D202" s="600"/>
      <c r="P202" s="587"/>
      <c r="Q202" s="587"/>
      <c r="R202" s="587"/>
    </row>
    <row r="203" spans="1:57" ht="48.75" customHeight="1" x14ac:dyDescent="0.25">
      <c r="C203" s="2765" t="s">
        <v>17</v>
      </c>
      <c r="D203" s="2765" t="s">
        <v>616</v>
      </c>
      <c r="E203" s="2765" t="s">
        <v>19</v>
      </c>
      <c r="F203" s="1409" t="s">
        <v>20</v>
      </c>
      <c r="G203" s="1409" t="s">
        <v>21</v>
      </c>
      <c r="H203" s="1409" t="s">
        <v>22</v>
      </c>
      <c r="I203" s="1409" t="s">
        <v>933</v>
      </c>
      <c r="J203" s="1409" t="s">
        <v>23</v>
      </c>
      <c r="K203" s="1409" t="s">
        <v>24</v>
      </c>
      <c r="L203" s="1409" t="s">
        <v>25</v>
      </c>
      <c r="M203" s="1409" t="s">
        <v>26</v>
      </c>
      <c r="P203" s="587"/>
      <c r="Q203" s="587"/>
      <c r="R203" s="587"/>
      <c r="V203" s="623" t="s">
        <v>27</v>
      </c>
      <c r="W203" s="420">
        <f>$W$6</f>
        <v>43252</v>
      </c>
      <c r="X203" s="420">
        <f>$X$6</f>
        <v>43465</v>
      </c>
      <c r="Y203" s="420">
        <f>$Y$6</f>
        <v>43800</v>
      </c>
      <c r="Z203" s="420">
        <f>$Z$6</f>
        <v>43862</v>
      </c>
      <c r="AA203" s="420">
        <f>$AA$6</f>
        <v>44013</v>
      </c>
      <c r="AB203" s="420">
        <f>$AB$6</f>
        <v>44166</v>
      </c>
      <c r="AC203" s="56" t="str">
        <f>$AC$6</f>
        <v>-</v>
      </c>
      <c r="AD203" s="56" t="str">
        <f>$AD$6</f>
        <v>-</v>
      </c>
      <c r="AE203" s="56" t="str">
        <f>$AE$6</f>
        <v>-</v>
      </c>
      <c r="AF203" s="56" t="str">
        <f>$AF$6</f>
        <v>-</v>
      </c>
      <c r="AG203" s="56" t="str">
        <f>$AG$6</f>
        <v>-</v>
      </c>
      <c r="BB203" s="93" t="str">
        <f>$BB$6</f>
        <v>TRC (2020)</v>
      </c>
      <c r="BC203" s="93" t="str">
        <f>$BC$6</f>
        <v>Benefit Lookup</v>
      </c>
      <c r="BD203" s="279" t="str">
        <f>$BD$6</f>
        <v>Benefits (2019 $)</v>
      </c>
      <c r="BE203" s="279" t="str">
        <f>$BE$6</f>
        <v>Incremental Cost (2019 $)</v>
      </c>
    </row>
    <row r="204" spans="1:57" x14ac:dyDescent="0.25">
      <c r="C204" s="3076" t="s">
        <v>981</v>
      </c>
      <c r="D204" s="3080" t="s">
        <v>875</v>
      </c>
      <c r="E204" s="3015" t="s">
        <v>982</v>
      </c>
      <c r="F204" s="601">
        <f>ROUND($G$217*($G$220*$G$222-$G$224*$G$225)*$G$227*$G$231*$G$233/$G$234*$I$204*$G$245*$G$243,2)</f>
        <v>71.66</v>
      </c>
      <c r="G204" s="3080" t="s">
        <v>622</v>
      </c>
      <c r="H204" s="515">
        <f>VLOOKUP(G204,'CP FACTORS'!$A$3:$B$38, 2, FALSE)</f>
        <v>8.8731800000000003E-5</v>
      </c>
      <c r="I204" s="596">
        <f>$G$237*$G$238*($G$239-$G$240)/($G$241*$G$242)</f>
        <v>0.10886576787807739</v>
      </c>
      <c r="J204" s="139">
        <f>ROUND(F204*H204,6)</f>
        <v>6.3590000000000001E-3</v>
      </c>
      <c r="K204" s="187">
        <f>$G$249</f>
        <v>10</v>
      </c>
      <c r="L204" s="602">
        <f>$G$250</f>
        <v>7</v>
      </c>
      <c r="M204" s="517" t="s">
        <v>37</v>
      </c>
      <c r="P204" s="587"/>
      <c r="Q204" s="603"/>
      <c r="R204" s="1627"/>
      <c r="V204" s="2309" t="str">
        <f>F203</f>
        <v>kWh Annual Savings</v>
      </c>
      <c r="W204" s="2121">
        <v>73.604221215365854</v>
      </c>
      <c r="X204" s="604">
        <v>59.397111130550108</v>
      </c>
      <c r="Y204" s="621">
        <v>85.23</v>
      </c>
      <c r="Z204" s="89">
        <v>85.23</v>
      </c>
      <c r="AA204" s="89">
        <v>85.23</v>
      </c>
      <c r="AB204" s="2322">
        <v>71.66</v>
      </c>
      <c r="AC204" s="208"/>
      <c r="AD204" s="208"/>
      <c r="AE204" s="208"/>
      <c r="AF204" s="208"/>
      <c r="AG204" s="208"/>
      <c r="AH204" s="211"/>
      <c r="BB204" s="2945">
        <f>(BD204)/(BE204)</f>
        <v>3.6582396707067413</v>
      </c>
      <c r="BC204" s="2922" t="str">
        <f>CONCATENATE(G204," ",K204," Year EUL")</f>
        <v>Water Heating RES 10 Year EUL</v>
      </c>
      <c r="BD204" s="2943">
        <f>(INDEX('Avoided Cost Benefits'!$C$4:$C$857,MATCH(BC204,'Avoided Cost Benefits'!$A$4:$A$857,0)))*F204</f>
        <v>24.169587253371578</v>
      </c>
      <c r="BE204" s="2944">
        <f>L204/(1.0595^(2020-2019))</f>
        <v>6.6068900424728643</v>
      </c>
    </row>
    <row r="205" spans="1:57" s="2277" customFormat="1" x14ac:dyDescent="0.25">
      <c r="A205" s="157"/>
      <c r="B205" s="157"/>
      <c r="C205" s="3076" t="s">
        <v>3601</v>
      </c>
      <c r="D205" s="4144" t="s">
        <v>3853</v>
      </c>
      <c r="E205" s="3015" t="s">
        <v>3790</v>
      </c>
      <c r="F205" s="601">
        <f>ROUND($G$217*($G$220*$G$222-$G$224*$G$225)*$G$230*$G$231*$G$233/$G$234*$I$204*$G$248*$G$244,2)</f>
        <v>27.35</v>
      </c>
      <c r="G205" s="3080" t="s">
        <v>622</v>
      </c>
      <c r="H205" s="515">
        <f>VLOOKUP(G205,'CP FACTORS'!$A$3:$B$38, 2, FALSE)</f>
        <v>8.8731800000000003E-5</v>
      </c>
      <c r="I205" s="596">
        <f>$G$237*$G$238*($G$239-$G$240)/($G$241*$G$242)</f>
        <v>0.10886576787807739</v>
      </c>
      <c r="J205" s="139">
        <f>ROUND(F205*H205,6)</f>
        <v>2.4269999999999999E-3</v>
      </c>
      <c r="K205" s="187">
        <f>$G$249</f>
        <v>10</v>
      </c>
      <c r="L205" s="602">
        <f>$G$250</f>
        <v>7</v>
      </c>
      <c r="M205" s="517" t="s">
        <v>37</v>
      </c>
      <c r="N205" s="157"/>
      <c r="O205" s="157"/>
      <c r="P205" s="587"/>
      <c r="Q205" s="603"/>
      <c r="R205" s="1627"/>
      <c r="S205" s="157"/>
      <c r="T205" s="157"/>
      <c r="U205" s="157"/>
      <c r="V205" s="2309" t="str">
        <f>V206</f>
        <v>kWh Annual Savings</v>
      </c>
      <c r="W205" s="2299"/>
      <c r="X205" s="151"/>
      <c r="Y205" s="621"/>
      <c r="Z205" s="2322"/>
      <c r="AA205" s="2322"/>
      <c r="AB205" s="2322">
        <v>27.35</v>
      </c>
      <c r="AC205" s="2305"/>
      <c r="AD205" s="2305"/>
      <c r="AE205" s="2305"/>
      <c r="AF205" s="2305"/>
      <c r="AG205" s="2305"/>
      <c r="AH205" s="211"/>
      <c r="BB205" s="2945">
        <f>(BD205)/(BE205)</f>
        <v>1.3962162293305802</v>
      </c>
      <c r="BC205" s="2922" t="str">
        <f>CONCATENATE(G205," ",K205," Year EUL")</f>
        <v>Water Heating RES 10 Year EUL</v>
      </c>
      <c r="BD205" s="2943">
        <f>(INDEX('Avoided Cost Benefits'!$C$4:$C$857,MATCH(BC205,'Avoided Cost Benefits'!$A$4:$A$857,0)))*F205</f>
        <v>9.2246471027032193</v>
      </c>
      <c r="BE205" s="2944">
        <f>L205/(1.0595^(2020-2019))</f>
        <v>6.6068900424728643</v>
      </c>
    </row>
    <row r="206" spans="1:57" x14ac:dyDescent="0.25">
      <c r="C206" s="3076" t="s">
        <v>983</v>
      </c>
      <c r="D206" s="3080" t="s">
        <v>742</v>
      </c>
      <c r="E206" s="3015" t="s">
        <v>982</v>
      </c>
      <c r="F206" s="601">
        <f>ROUND($G$218*($G$220*$G$222-$G$224*$G$225)*$G$228*$G$231*$G$233/$G$235*$I$204*$G$246*$G$244,2)</f>
        <v>291.45</v>
      </c>
      <c r="G206" s="3080" t="s">
        <v>622</v>
      </c>
      <c r="H206" s="515">
        <f>VLOOKUP(G206,'CP FACTORS'!$A$3:$B$38, 2, FALSE)</f>
        <v>8.8731800000000003E-5</v>
      </c>
      <c r="I206" s="596">
        <f>$G$237*$G$238*($G$239-$G$240)/($G$241*$G$242)</f>
        <v>0.10886576787807739</v>
      </c>
      <c r="J206" s="139">
        <f t="shared" ref="J206:J207" si="22">ROUND(F206*H206,6)</f>
        <v>2.5860999999999999E-2</v>
      </c>
      <c r="K206" s="187">
        <f>$G$249</f>
        <v>10</v>
      </c>
      <c r="L206" s="602">
        <f>$G$250</f>
        <v>7</v>
      </c>
      <c r="M206" s="517" t="s">
        <v>37</v>
      </c>
      <c r="P206" s="587"/>
      <c r="Q206" s="603"/>
      <c r="R206" s="1627"/>
      <c r="V206" s="2309" t="str">
        <f>V204</f>
        <v>kWh Annual Savings</v>
      </c>
      <c r="W206" s="2299"/>
      <c r="X206" s="151">
        <v>259.13086719005258</v>
      </c>
      <c r="Y206" s="621">
        <v>209.97</v>
      </c>
      <c r="Z206" s="89">
        <v>209.97</v>
      </c>
      <c r="AA206" s="89">
        <v>209.97</v>
      </c>
      <c r="AB206" s="2322">
        <v>291.45</v>
      </c>
      <c r="AC206" s="131"/>
      <c r="AD206" s="131"/>
      <c r="AE206" s="131"/>
      <c r="AF206" s="131"/>
      <c r="AG206" s="131"/>
      <c r="AH206" s="211"/>
      <c r="BB206" s="2945">
        <f>(BD206)/(BE206)</f>
        <v>14.878508959356402</v>
      </c>
      <c r="BC206" s="2922" t="str">
        <f>CONCATENATE(G206," ",K206," Year EUL")</f>
        <v>Water Heating RES 10 Year EUL</v>
      </c>
      <c r="BD206" s="2943">
        <f>(INDEX('Avoided Cost Benefits'!$C$4:$C$857,MATCH(BC206,'Avoided Cost Benefits'!$A$4:$A$857,0)))*F206</f>
        <v>98.300672690415112</v>
      </c>
      <c r="BE206" s="2944">
        <f>L206/(1.0595^(2020-2019))</f>
        <v>6.6068900424728643</v>
      </c>
    </row>
    <row r="207" spans="1:57" s="2277" customFormat="1" x14ac:dyDescent="0.25">
      <c r="A207" s="157"/>
      <c r="B207" s="157"/>
      <c r="C207" s="3076" t="s">
        <v>3602</v>
      </c>
      <c r="D207" s="531" t="s">
        <v>3770</v>
      </c>
      <c r="E207" s="3015" t="s">
        <v>3597</v>
      </c>
      <c r="F207" s="601">
        <f>ROUND($G$217*($G$221*$G$223-$G$224*$G$226)*$G$229*$G$232*$G$233/$G$236*$I$204*$G$247*$G$244,2)</f>
        <v>79.489999999999995</v>
      </c>
      <c r="G207" s="3080" t="s">
        <v>622</v>
      </c>
      <c r="H207" s="515">
        <f>VLOOKUP(G207,'CP FACTORS'!$A$3:$B$38, 2, FALSE)</f>
        <v>8.8731800000000003E-5</v>
      </c>
      <c r="I207" s="596">
        <f>$G$237*$G$238*($G$239-$G$240)/($G$241*$G$242)</f>
        <v>0.10886576787807739</v>
      </c>
      <c r="J207" s="139">
        <f t="shared" si="22"/>
        <v>7.0530000000000002E-3</v>
      </c>
      <c r="K207" s="187">
        <f>$G$249</f>
        <v>10</v>
      </c>
      <c r="L207" s="602">
        <f>$G$250</f>
        <v>7</v>
      </c>
      <c r="M207" s="517" t="s">
        <v>37</v>
      </c>
      <c r="N207" s="157"/>
      <c r="O207" s="157"/>
      <c r="P207" s="587"/>
      <c r="Q207" s="603"/>
      <c r="R207" s="1627"/>
      <c r="S207" s="157"/>
      <c r="T207" s="157"/>
      <c r="U207" s="157"/>
      <c r="V207" s="2309" t="str">
        <f>V205</f>
        <v>kWh Annual Savings</v>
      </c>
      <c r="W207" s="2299"/>
      <c r="X207" s="151"/>
      <c r="Y207" s="621"/>
      <c r="Z207" s="2322"/>
      <c r="AA207" s="2322"/>
      <c r="AB207" s="2322">
        <v>81.8</v>
      </c>
      <c r="AC207" s="2305"/>
      <c r="AD207" s="2305"/>
      <c r="AE207" s="2305"/>
      <c r="AF207" s="2305"/>
      <c r="AG207" s="2305"/>
      <c r="AH207" s="211"/>
      <c r="BB207" s="2945">
        <f>(BD207)/(BE207)</f>
        <v>4.0579608069282562</v>
      </c>
      <c r="BC207" s="2922" t="str">
        <f>CONCATENATE(G207," ",K207," Year EUL")</f>
        <v>Water Heating RES 10 Year EUL</v>
      </c>
      <c r="BD207" s="2943">
        <f>(INDEX('Avoided Cost Benefits'!$C$4:$C$857,MATCH(BC207,'Avoided Cost Benefits'!$A$4:$A$857,0)))*F207</f>
        <v>26.810500848039446</v>
      </c>
      <c r="BE207" s="2944">
        <f>L207/(1.0595^(2020-2019))</f>
        <v>6.6068900424728643</v>
      </c>
    </row>
    <row r="208" spans="1:57" outlineLevel="1" x14ac:dyDescent="0.25">
      <c r="D208" s="586"/>
      <c r="E208" s="2910"/>
      <c r="F208" s="1693"/>
      <c r="G208" s="277"/>
      <c r="H208" s="277"/>
      <c r="J208" s="277"/>
      <c r="K208" s="277"/>
      <c r="L208" s="277"/>
      <c r="P208" s="587"/>
      <c r="Q208" s="587"/>
      <c r="R208" s="1627"/>
    </row>
    <row r="209" spans="1:57" outlineLevel="1" x14ac:dyDescent="0.25">
      <c r="D209" s="222" t="s">
        <v>571</v>
      </c>
      <c r="E209" s="1471"/>
      <c r="F209" s="277"/>
      <c r="G209" s="277"/>
      <c r="H209" s="277"/>
      <c r="I209" s="277"/>
      <c r="J209" s="277"/>
      <c r="K209" s="277"/>
      <c r="P209" s="587"/>
      <c r="Q209" s="587"/>
      <c r="R209" s="587"/>
    </row>
    <row r="210" spans="1:57" outlineLevel="1" x14ac:dyDescent="0.25">
      <c r="D210" s="586"/>
      <c r="E210" s="1471"/>
      <c r="F210" s="277"/>
      <c r="G210" s="277"/>
      <c r="I210" s="277"/>
      <c r="J210" s="277"/>
      <c r="K210" s="277"/>
    </row>
    <row r="211" spans="1:57" outlineLevel="1" x14ac:dyDescent="0.25">
      <c r="D211" s="586"/>
      <c r="E211" s="1471"/>
      <c r="F211" s="277"/>
      <c r="G211" s="277"/>
      <c r="I211" s="277"/>
      <c r="J211" s="277"/>
      <c r="K211" s="277"/>
    </row>
    <row r="212" spans="1:57" ht="24" customHeight="1" outlineLevel="1" x14ac:dyDescent="0.25">
      <c r="D212" s="586"/>
      <c r="E212" s="1471"/>
      <c r="F212" s="277"/>
      <c r="G212" s="277"/>
      <c r="I212" s="277"/>
      <c r="J212" s="277"/>
      <c r="K212" s="277"/>
    </row>
    <row r="213" spans="1:57" outlineLevel="1" x14ac:dyDescent="0.25">
      <c r="D213" s="586"/>
      <c r="F213" s="277"/>
      <c r="G213" s="277"/>
      <c r="H213" s="277"/>
      <c r="I213" s="277"/>
      <c r="J213" s="277"/>
      <c r="K213" s="277"/>
      <c r="AI213" s="2277"/>
      <c r="AJ213" s="2277"/>
      <c r="AK213" s="2277"/>
      <c r="AL213" s="2277"/>
      <c r="AM213" s="2277"/>
      <c r="AN213" s="2277"/>
      <c r="AO213" s="2277"/>
      <c r="AP213" s="2277"/>
      <c r="AQ213" s="2277"/>
      <c r="AR213" s="2277"/>
      <c r="AS213" s="2277"/>
    </row>
    <row r="214" spans="1:57" outlineLevel="1" x14ac:dyDescent="0.25">
      <c r="D214" s="586"/>
      <c r="F214" s="277"/>
      <c r="G214" s="277"/>
      <c r="H214" s="277"/>
      <c r="I214" s="277"/>
      <c r="J214" s="277"/>
      <c r="K214" s="277"/>
      <c r="AI214" s="2277"/>
      <c r="AJ214" s="2277"/>
      <c r="AK214" s="2277"/>
      <c r="AL214" s="2277"/>
      <c r="AM214" s="2277"/>
      <c r="AN214" s="2277"/>
      <c r="AO214" s="2277"/>
      <c r="AP214" s="2277"/>
      <c r="AQ214" s="2277"/>
      <c r="AR214" s="2277"/>
      <c r="AS214" s="2277"/>
    </row>
    <row r="215" spans="1:57" outlineLevel="1" x14ac:dyDescent="0.25">
      <c r="D215" s="586"/>
      <c r="E215" s="1471"/>
      <c r="F215" s="277"/>
      <c r="G215" s="277"/>
      <c r="H215" s="277"/>
      <c r="I215" s="277"/>
      <c r="J215" s="277"/>
      <c r="K215" s="277"/>
      <c r="M215" s="587"/>
      <c r="N215" s="587"/>
      <c r="V215" s="623" t="s">
        <v>27</v>
      </c>
      <c r="W215" s="420">
        <f>$W$6</f>
        <v>43252</v>
      </c>
      <c r="X215" s="420">
        <f>$X$6</f>
        <v>43465</v>
      </c>
      <c r="Y215" s="420">
        <f>$Y$6</f>
        <v>43800</v>
      </c>
      <c r="Z215" s="420">
        <f>$Z$6</f>
        <v>43862</v>
      </c>
      <c r="AA215" s="420">
        <f>$AA$6</f>
        <v>44013</v>
      </c>
      <c r="AB215" s="420">
        <f>$AB$6</f>
        <v>44166</v>
      </c>
      <c r="AC215" s="56" t="str">
        <f>$AC$6</f>
        <v>-</v>
      </c>
      <c r="AD215" s="56" t="str">
        <f>$AD$6</f>
        <v>-</v>
      </c>
      <c r="AE215" s="56" t="str">
        <f>$AE$6</f>
        <v>-</v>
      </c>
      <c r="AF215" s="56" t="str">
        <f>$AF$6</f>
        <v>-</v>
      </c>
      <c r="AG215" s="56" t="str">
        <f>$AG$6</f>
        <v>-</v>
      </c>
      <c r="AI215" s="2277"/>
      <c r="AJ215" s="2277"/>
      <c r="AK215" s="2277"/>
      <c r="AL215" s="2277"/>
      <c r="AM215" s="2277"/>
      <c r="AN215" s="2277"/>
      <c r="AO215" s="2277"/>
      <c r="AP215" s="2277"/>
      <c r="AQ215" s="2277"/>
      <c r="AR215" s="2277"/>
      <c r="AS215" s="2277"/>
    </row>
    <row r="216" spans="1:57" outlineLevel="1" x14ac:dyDescent="0.25">
      <c r="D216" s="1456" t="s">
        <v>572</v>
      </c>
      <c r="E216" s="2772" t="s">
        <v>573</v>
      </c>
      <c r="F216" s="1409" t="s">
        <v>3539</v>
      </c>
      <c r="G216" s="1409" t="s">
        <v>574</v>
      </c>
      <c r="H216" s="3483" t="s">
        <v>624</v>
      </c>
      <c r="I216" s="3484"/>
      <c r="J216" s="1409" t="s">
        <v>575</v>
      </c>
      <c r="M216" s="554"/>
      <c r="N216" s="606"/>
      <c r="V216" s="3170"/>
      <c r="W216" s="2604"/>
      <c r="X216" s="2604"/>
      <c r="Y216" s="2604"/>
      <c r="Z216" s="2604"/>
      <c r="AA216" s="2604"/>
      <c r="AB216" s="2604"/>
      <c r="AC216" s="2604"/>
      <c r="AD216" s="2604"/>
      <c r="AE216" s="2604"/>
      <c r="AF216" s="2604"/>
      <c r="AG216" s="2604"/>
      <c r="AI216" s="2277"/>
      <c r="AJ216" s="2277"/>
      <c r="AK216" s="2277"/>
      <c r="AL216" s="2277"/>
      <c r="AM216" s="2277"/>
      <c r="AN216" s="2277"/>
      <c r="AO216" s="2277"/>
      <c r="AP216" s="2277"/>
      <c r="AQ216" s="2277"/>
      <c r="AR216" s="2277"/>
      <c r="AS216" s="2277"/>
    </row>
    <row r="217" spans="1:57" s="522" customFormat="1" outlineLevel="1" x14ac:dyDescent="0.25">
      <c r="A217" s="2370"/>
      <c r="B217" s="2370"/>
      <c r="C217" s="2775"/>
      <c r="D217" s="3475" t="s">
        <v>937</v>
      </c>
      <c r="E217" s="3474" t="s">
        <v>938</v>
      </c>
      <c r="F217" s="3099" t="s">
        <v>3540</v>
      </c>
      <c r="G217" s="263">
        <v>0.42</v>
      </c>
      <c r="H217" s="3527" t="s">
        <v>3558</v>
      </c>
      <c r="I217" s="3527"/>
      <c r="J217" s="3003"/>
      <c r="K217" s="2370"/>
      <c r="L217" s="157"/>
      <c r="M217" s="607"/>
      <c r="N217" s="607"/>
      <c r="O217" s="2370"/>
      <c r="P217" s="2370"/>
      <c r="Q217" s="2370"/>
      <c r="R217" s="2370"/>
      <c r="S217" s="2370"/>
      <c r="T217" s="2370"/>
      <c r="U217" s="2370"/>
      <c r="V217" s="3475" t="s">
        <v>937</v>
      </c>
      <c r="W217" s="582">
        <v>0.4</v>
      </c>
      <c r="X217" s="592">
        <v>0.34429999999999999</v>
      </c>
      <c r="Y217" s="592">
        <v>0.46360000000000001</v>
      </c>
      <c r="Z217" s="591">
        <v>0.46360000000000001</v>
      </c>
      <c r="AA217" s="591">
        <v>0.46360000000000001</v>
      </c>
      <c r="AB217" s="2624">
        <v>0.42</v>
      </c>
      <c r="AC217" s="555"/>
      <c r="AD217" s="555"/>
      <c r="AE217" s="555"/>
      <c r="AF217" s="555"/>
      <c r="AG217" s="555"/>
      <c r="AI217" s="2277"/>
      <c r="AJ217" s="2277"/>
      <c r="AK217" s="2277"/>
      <c r="AL217" s="2277"/>
      <c r="AM217" s="2277"/>
      <c r="AN217" s="2277"/>
      <c r="AO217" s="2277"/>
      <c r="AP217" s="2277"/>
      <c r="AQ217" s="2277"/>
      <c r="AR217" s="2277"/>
      <c r="AS217" s="2277"/>
      <c r="BD217" s="1"/>
      <c r="BE217" s="1"/>
    </row>
    <row r="218" spans="1:57" s="522" customFormat="1" outlineLevel="1" x14ac:dyDescent="0.25">
      <c r="A218" s="2370"/>
      <c r="B218" s="2370"/>
      <c r="C218" s="2775"/>
      <c r="D218" s="3530"/>
      <c r="E218" s="3444"/>
      <c r="F218" s="2444" t="s">
        <v>3528</v>
      </c>
      <c r="G218" s="263">
        <v>1</v>
      </c>
      <c r="H218" s="3527" t="s">
        <v>984</v>
      </c>
      <c r="I218" s="3527"/>
      <c r="J218" s="3003"/>
      <c r="K218" s="2370"/>
      <c r="L218" s="157"/>
      <c r="M218" s="607"/>
      <c r="N218" s="607"/>
      <c r="O218" s="2370"/>
      <c r="P218" s="2370"/>
      <c r="Q218" s="2370"/>
      <c r="R218" s="2370"/>
      <c r="S218" s="2370"/>
      <c r="T218" s="2370"/>
      <c r="U218" s="2370"/>
      <c r="V218" s="3530"/>
      <c r="W218" s="582"/>
      <c r="X218" s="592"/>
      <c r="Y218" s="592"/>
      <c r="Z218" s="591"/>
      <c r="AA218" s="591"/>
      <c r="AB218" s="2625">
        <v>1</v>
      </c>
      <c r="AC218" s="555"/>
      <c r="AD218" s="555"/>
      <c r="AE218" s="555"/>
      <c r="AF218" s="555"/>
      <c r="AG218" s="555"/>
      <c r="AI218" s="2277"/>
      <c r="AJ218" s="2277"/>
      <c r="AK218" s="2277"/>
      <c r="AL218" s="2277"/>
      <c r="AM218" s="2277"/>
      <c r="AN218" s="2277"/>
      <c r="AO218" s="2277"/>
      <c r="AP218" s="2277"/>
      <c r="AQ218" s="2277"/>
      <c r="AR218" s="2277"/>
      <c r="AS218" s="2277"/>
      <c r="BD218" s="1"/>
      <c r="BE218" s="1"/>
    </row>
    <row r="219" spans="1:57" s="522" customFormat="1" outlineLevel="1" x14ac:dyDescent="0.25">
      <c r="A219" s="2370"/>
      <c r="B219" s="2370"/>
      <c r="C219" s="2775"/>
      <c r="D219" s="3476"/>
      <c r="E219" s="3445"/>
      <c r="F219" s="2444" t="s">
        <v>3541</v>
      </c>
      <c r="G219" s="3143">
        <v>0.42</v>
      </c>
      <c r="H219" s="3534" t="s">
        <v>3558</v>
      </c>
      <c r="I219" s="3534"/>
      <c r="J219" s="3003"/>
      <c r="K219" s="2370"/>
      <c r="L219" s="157"/>
      <c r="M219" s="607"/>
      <c r="N219" s="607"/>
      <c r="O219" s="2370"/>
      <c r="P219" s="2370"/>
      <c r="Q219" s="2370"/>
      <c r="R219" s="2370"/>
      <c r="S219" s="2370"/>
      <c r="T219" s="2370"/>
      <c r="U219" s="2370"/>
      <c r="V219" s="3476"/>
      <c r="W219" s="582"/>
      <c r="X219" s="592"/>
      <c r="Y219" s="592"/>
      <c r="Z219" s="591"/>
      <c r="AA219" s="591"/>
      <c r="AB219" s="2626">
        <v>0.42</v>
      </c>
      <c r="AC219" s="555"/>
      <c r="AD219" s="555"/>
      <c r="AE219" s="555"/>
      <c r="AF219" s="555"/>
      <c r="AG219" s="555"/>
      <c r="AI219" s="2277"/>
      <c r="AJ219" s="2277"/>
      <c r="AK219" s="2277"/>
      <c r="AL219" s="2277"/>
      <c r="AM219" s="2277"/>
      <c r="AN219" s="2277"/>
      <c r="AO219" s="2277"/>
      <c r="AP219" s="2277"/>
      <c r="AQ219" s="2277"/>
      <c r="AR219" s="2277"/>
      <c r="AS219" s="2277"/>
      <c r="BD219" s="1"/>
      <c r="BE219" s="1"/>
    </row>
    <row r="220" spans="1:57" s="522" customFormat="1" outlineLevel="1" x14ac:dyDescent="0.25">
      <c r="A220" s="633"/>
      <c r="B220" s="633"/>
      <c r="C220" s="2775"/>
      <c r="D220" s="3459" t="s">
        <v>941</v>
      </c>
      <c r="E220" s="3517" t="s">
        <v>985</v>
      </c>
      <c r="F220" s="3099" t="s">
        <v>3555</v>
      </c>
      <c r="G220" s="3079">
        <v>2.35</v>
      </c>
      <c r="H220" s="3459" t="s">
        <v>986</v>
      </c>
      <c r="I220" s="3459"/>
      <c r="J220" s="3003"/>
      <c r="K220" s="633"/>
      <c r="L220" s="157"/>
      <c r="M220" s="554"/>
      <c r="N220" s="554"/>
      <c r="O220" s="633"/>
      <c r="P220" s="633"/>
      <c r="Q220" s="633"/>
      <c r="R220" s="633"/>
      <c r="S220" s="633"/>
      <c r="T220" s="633"/>
      <c r="U220" s="633"/>
      <c r="V220" s="3475" t="s">
        <v>941</v>
      </c>
      <c r="W220" s="549">
        <v>2.35</v>
      </c>
      <c r="X220" s="559">
        <v>2.35</v>
      </c>
      <c r="Y220" s="549">
        <v>2.35</v>
      </c>
      <c r="Z220" s="2770">
        <v>2.35</v>
      </c>
      <c r="AA220" s="2770">
        <v>2.35</v>
      </c>
      <c r="AB220" s="2769">
        <v>2.35</v>
      </c>
      <c r="AC220" s="60"/>
      <c r="AD220" s="60"/>
      <c r="AE220" s="60"/>
      <c r="AF220" s="60"/>
      <c r="AG220" s="60"/>
      <c r="AI220" s="2277"/>
      <c r="AJ220" s="2277"/>
      <c r="AK220" s="2277"/>
      <c r="AL220" s="2277"/>
      <c r="AM220" s="2277"/>
      <c r="AN220" s="2277"/>
      <c r="AO220" s="2277"/>
      <c r="AP220" s="2277"/>
      <c r="AQ220" s="2277"/>
      <c r="AR220" s="2277"/>
      <c r="AS220" s="2277"/>
      <c r="BD220" s="1"/>
      <c r="BE220" s="1"/>
    </row>
    <row r="221" spans="1:57" s="522" customFormat="1" outlineLevel="1" x14ac:dyDescent="0.25">
      <c r="A221" s="2370"/>
      <c r="B221" s="2370"/>
      <c r="C221" s="2775"/>
      <c r="D221" s="3459"/>
      <c r="E221" s="3517"/>
      <c r="F221" s="3014" t="s">
        <v>3541</v>
      </c>
      <c r="G221" s="3079">
        <v>2.2000000000000002</v>
      </c>
      <c r="H221" s="3459" t="s">
        <v>1860</v>
      </c>
      <c r="I221" s="3459"/>
      <c r="J221" s="3003"/>
      <c r="K221" s="2370"/>
      <c r="L221" s="157"/>
      <c r="M221" s="554"/>
      <c r="N221" s="554"/>
      <c r="O221" s="2370"/>
      <c r="P221" s="2370"/>
      <c r="Q221" s="2370"/>
      <c r="R221" s="2370"/>
      <c r="S221" s="2370"/>
      <c r="T221" s="2370"/>
      <c r="U221" s="2370"/>
      <c r="V221" s="3476"/>
      <c r="W221" s="549"/>
      <c r="X221" s="559"/>
      <c r="Y221" s="549"/>
      <c r="Z221" s="2770"/>
      <c r="AA221" s="2770"/>
      <c r="AB221" s="130">
        <v>2.2000000000000002</v>
      </c>
      <c r="AC221" s="2369"/>
      <c r="AD221" s="2369"/>
      <c r="AE221" s="2369"/>
      <c r="AF221" s="2369"/>
      <c r="AG221" s="2369"/>
      <c r="AI221" s="2277"/>
      <c r="AJ221" s="2277"/>
      <c r="AK221" s="2277"/>
      <c r="AL221" s="2277"/>
      <c r="AM221" s="2277"/>
      <c r="AN221" s="2277"/>
      <c r="AO221" s="2277"/>
      <c r="AP221" s="2277"/>
      <c r="AQ221" s="2277"/>
      <c r="AR221" s="2277"/>
      <c r="AS221" s="2277"/>
      <c r="BD221" s="1"/>
      <c r="BE221" s="1"/>
    </row>
    <row r="222" spans="1:57" s="522" customFormat="1" outlineLevel="1" x14ac:dyDescent="0.25">
      <c r="A222" s="633"/>
      <c r="B222" s="633"/>
      <c r="C222" s="2775"/>
      <c r="D222" s="3459" t="s">
        <v>944</v>
      </c>
      <c r="E222" s="3517" t="s">
        <v>987</v>
      </c>
      <c r="F222" s="3099" t="s">
        <v>3555</v>
      </c>
      <c r="G222" s="610">
        <v>7.8</v>
      </c>
      <c r="H222" s="3459" t="s">
        <v>988</v>
      </c>
      <c r="I222" s="3459"/>
      <c r="J222" s="3003"/>
      <c r="K222" s="633"/>
      <c r="L222" s="157"/>
      <c r="M222" s="554"/>
      <c r="N222" s="554"/>
      <c r="O222" s="633"/>
      <c r="P222" s="633"/>
      <c r="Q222" s="633"/>
      <c r="R222" s="633"/>
      <c r="S222" s="633"/>
      <c r="T222" s="633"/>
      <c r="U222" s="633"/>
      <c r="V222" s="3475" t="s">
        <v>944</v>
      </c>
      <c r="W222" s="549">
        <v>7.8</v>
      </c>
      <c r="X222" s="549">
        <v>7.8</v>
      </c>
      <c r="Y222" s="549">
        <v>7.8</v>
      </c>
      <c r="Z222" s="2770">
        <v>7.8</v>
      </c>
      <c r="AA222" s="2770">
        <v>7.8</v>
      </c>
      <c r="AB222" s="610">
        <v>7.8</v>
      </c>
      <c r="AC222" s="611"/>
      <c r="AD222" s="611"/>
      <c r="AE222" s="611"/>
      <c r="AF222" s="611"/>
      <c r="AG222" s="611"/>
      <c r="AI222" s="2277"/>
      <c r="AJ222" s="2277"/>
      <c r="AK222" s="2277"/>
      <c r="AL222" s="2277"/>
      <c r="AM222" s="2277"/>
      <c r="AN222" s="2277"/>
      <c r="AO222" s="2277"/>
      <c r="AP222" s="2277"/>
      <c r="AQ222" s="2277"/>
      <c r="AR222" s="2277"/>
      <c r="AS222" s="2277"/>
      <c r="BD222" s="1"/>
      <c r="BE222" s="1"/>
    </row>
    <row r="223" spans="1:57" s="522" customFormat="1" outlineLevel="1" x14ac:dyDescent="0.25">
      <c r="A223" s="2370"/>
      <c r="B223" s="2370"/>
      <c r="C223" s="2775"/>
      <c r="D223" s="3459"/>
      <c r="E223" s="3517"/>
      <c r="F223" s="3099" t="s">
        <v>3541</v>
      </c>
      <c r="G223" s="610">
        <v>8.66</v>
      </c>
      <c r="H223" s="3459" t="s">
        <v>1862</v>
      </c>
      <c r="I223" s="3459"/>
      <c r="J223" s="3003"/>
      <c r="K223" s="2370"/>
      <c r="L223" s="157"/>
      <c r="M223" s="554"/>
      <c r="N223" s="554"/>
      <c r="O223" s="2370"/>
      <c r="P223" s="2370"/>
      <c r="Q223" s="2370"/>
      <c r="R223" s="2370"/>
      <c r="S223" s="2370"/>
      <c r="T223" s="2370"/>
      <c r="U223" s="2370"/>
      <c r="V223" s="3476"/>
      <c r="W223" s="549"/>
      <c r="X223" s="549"/>
      <c r="Y223" s="549"/>
      <c r="Z223" s="2770"/>
      <c r="AA223" s="2770"/>
      <c r="AB223" s="2450">
        <v>8.66</v>
      </c>
      <c r="AC223" s="2363"/>
      <c r="AD223" s="2363"/>
      <c r="AE223" s="2363"/>
      <c r="AF223" s="2363"/>
      <c r="AG223" s="2363"/>
      <c r="AI223" s="2277"/>
      <c r="AJ223" s="2277"/>
      <c r="AK223" s="2277"/>
      <c r="AL223" s="2277"/>
      <c r="AM223" s="2277"/>
      <c r="AN223" s="2277"/>
      <c r="AO223" s="2277"/>
      <c r="AP223" s="2277"/>
      <c r="AQ223" s="2277"/>
      <c r="AR223" s="2277"/>
      <c r="AS223" s="2277"/>
      <c r="BD223" s="1"/>
      <c r="BE223" s="1"/>
    </row>
    <row r="224" spans="1:57" s="522" customFormat="1" outlineLevel="1" x14ac:dyDescent="0.25">
      <c r="A224" s="633"/>
      <c r="B224" s="633"/>
      <c r="C224" s="2775"/>
      <c r="D224" s="3008" t="s">
        <v>948</v>
      </c>
      <c r="E224" s="3015" t="s">
        <v>989</v>
      </c>
      <c r="F224" s="3099" t="s">
        <v>591</v>
      </c>
      <c r="G224" s="610">
        <v>1.5</v>
      </c>
      <c r="H224" s="3459" t="s">
        <v>471</v>
      </c>
      <c r="I224" s="3459"/>
      <c r="J224" s="3003"/>
      <c r="K224" s="633"/>
      <c r="L224" s="157"/>
      <c r="M224" s="554"/>
      <c r="N224" s="554"/>
      <c r="O224" s="633"/>
      <c r="P224" s="633"/>
      <c r="Q224" s="633"/>
      <c r="R224" s="633"/>
      <c r="S224" s="633"/>
      <c r="T224" s="633"/>
      <c r="U224" s="633"/>
      <c r="V224" s="3008" t="s">
        <v>948</v>
      </c>
      <c r="W224" s="549">
        <v>1.5</v>
      </c>
      <c r="X224" s="549">
        <v>1.5</v>
      </c>
      <c r="Y224" s="549">
        <v>1.5</v>
      </c>
      <c r="Z224" s="2770">
        <v>1.5</v>
      </c>
      <c r="AA224" s="2770">
        <v>1.5</v>
      </c>
      <c r="AB224" s="610">
        <v>1.5</v>
      </c>
      <c r="AC224" s="611"/>
      <c r="AD224" s="611"/>
      <c r="AE224" s="611"/>
      <c r="AF224" s="611"/>
      <c r="AG224" s="611"/>
      <c r="AI224" s="2277"/>
      <c r="AJ224" s="2277"/>
      <c r="AK224" s="2277"/>
      <c r="AL224" s="2277"/>
      <c r="AM224" s="2277"/>
      <c r="AN224" s="2277"/>
      <c r="AO224" s="2277"/>
      <c r="AP224" s="2277"/>
      <c r="AQ224" s="2277"/>
      <c r="AR224" s="2277"/>
      <c r="AS224" s="2277"/>
      <c r="BD224" s="1"/>
      <c r="BE224" s="1"/>
    </row>
    <row r="225" spans="1:57" s="522" customFormat="1" outlineLevel="1" x14ac:dyDescent="0.25">
      <c r="A225" s="633"/>
      <c r="B225" s="633"/>
      <c r="C225" s="2775"/>
      <c r="D225" s="3459" t="s">
        <v>950</v>
      </c>
      <c r="E225" s="3517" t="s">
        <v>990</v>
      </c>
      <c r="F225" s="3099" t="s">
        <v>3555</v>
      </c>
      <c r="G225" s="610">
        <v>7.8</v>
      </c>
      <c r="H225" s="3459" t="s">
        <v>946</v>
      </c>
      <c r="I225" s="3459"/>
      <c r="J225" s="3003"/>
      <c r="K225" s="633"/>
      <c r="L225" s="157"/>
      <c r="M225" s="554"/>
      <c r="N225" s="554"/>
      <c r="O225" s="633"/>
      <c r="P225" s="633"/>
      <c r="Q225" s="633"/>
      <c r="R225" s="633"/>
      <c r="S225" s="633"/>
      <c r="T225" s="633"/>
      <c r="U225" s="633"/>
      <c r="V225" s="3475" t="s">
        <v>950</v>
      </c>
      <c r="W225" s="549">
        <v>7.8</v>
      </c>
      <c r="X225" s="549">
        <v>7.8</v>
      </c>
      <c r="Y225" s="549">
        <v>7.8</v>
      </c>
      <c r="Z225" s="2770">
        <v>7.8</v>
      </c>
      <c r="AA225" s="2770">
        <v>7.8</v>
      </c>
      <c r="AB225" s="610">
        <v>7.8</v>
      </c>
      <c r="AC225" s="611"/>
      <c r="AD225" s="611"/>
      <c r="AE225" s="611"/>
      <c r="AF225" s="611"/>
      <c r="AG225" s="611"/>
      <c r="AI225" s="2277"/>
      <c r="AJ225" s="2277"/>
      <c r="AK225" s="2277"/>
      <c r="AL225" s="2277"/>
      <c r="AM225" s="2277"/>
      <c r="AN225" s="2277"/>
      <c r="AO225" s="2277"/>
      <c r="AP225" s="2277"/>
      <c r="AQ225" s="2277"/>
      <c r="AR225" s="2277"/>
      <c r="AS225" s="2277"/>
      <c r="BD225" s="1"/>
      <c r="BE225" s="1"/>
    </row>
    <row r="226" spans="1:57" s="522" customFormat="1" outlineLevel="1" x14ac:dyDescent="0.25">
      <c r="A226" s="2370"/>
      <c r="B226" s="2370"/>
      <c r="C226" s="2775"/>
      <c r="D226" s="3459"/>
      <c r="E226" s="3517"/>
      <c r="F226" s="3099" t="s">
        <v>3541</v>
      </c>
      <c r="G226" s="560">
        <v>8.66</v>
      </c>
      <c r="H226" s="3459" t="s">
        <v>1862</v>
      </c>
      <c r="I226" s="3459"/>
      <c r="J226" s="3003"/>
      <c r="K226" s="2370"/>
      <c r="L226" s="157"/>
      <c r="M226" s="554"/>
      <c r="N226" s="554"/>
      <c r="O226" s="2370"/>
      <c r="P226" s="2370"/>
      <c r="Q226" s="2370"/>
      <c r="R226" s="2370"/>
      <c r="S226" s="2370"/>
      <c r="T226" s="2370"/>
      <c r="U226" s="2370"/>
      <c r="V226" s="3476"/>
      <c r="W226" s="549"/>
      <c r="X226" s="549"/>
      <c r="Y226" s="549"/>
      <c r="Z226" s="2770"/>
      <c r="AA226" s="2770"/>
      <c r="AB226" s="409">
        <v>8.66</v>
      </c>
      <c r="AC226" s="2363"/>
      <c r="AD226" s="2363"/>
      <c r="AE226" s="2363"/>
      <c r="AF226" s="2363"/>
      <c r="AG226" s="2363"/>
      <c r="AI226" s="2277"/>
      <c r="AJ226" s="2277"/>
      <c r="AK226" s="2277"/>
      <c r="AL226" s="2277"/>
      <c r="AM226" s="2277"/>
      <c r="AN226" s="2277"/>
      <c r="AO226" s="2277"/>
      <c r="AP226" s="2277"/>
      <c r="AQ226" s="2277"/>
      <c r="AR226" s="2277"/>
      <c r="AS226" s="2277"/>
      <c r="BD226" s="1"/>
      <c r="BE226" s="1"/>
    </row>
    <row r="227" spans="1:57" s="522" customFormat="1" outlineLevel="1" x14ac:dyDescent="0.25">
      <c r="A227" s="2370"/>
      <c r="B227" s="2370"/>
      <c r="C227" s="2775"/>
      <c r="D227" s="3475" t="s">
        <v>637</v>
      </c>
      <c r="E227" s="3474" t="s">
        <v>991</v>
      </c>
      <c r="F227" s="3099" t="s">
        <v>3540</v>
      </c>
      <c r="G227" s="3144">
        <v>4.28571428571429</v>
      </c>
      <c r="H227" s="3527" t="s">
        <v>3558</v>
      </c>
      <c r="I227" s="3527"/>
      <c r="J227" s="3003"/>
      <c r="K227" s="2370"/>
      <c r="L227" s="2370"/>
      <c r="M227" s="612"/>
      <c r="N227" s="612"/>
      <c r="O227" s="2370"/>
      <c r="P227" s="2370"/>
      <c r="Q227" s="2370"/>
      <c r="R227" s="2370"/>
      <c r="S227" s="2370"/>
      <c r="T227" s="2370"/>
      <c r="U227" s="2370"/>
      <c r="V227" s="3475" t="s">
        <v>637</v>
      </c>
      <c r="W227" s="548">
        <v>4.3185840707964598</v>
      </c>
      <c r="X227" s="520">
        <v>4.2926829268292686</v>
      </c>
      <c r="Y227" s="520">
        <v>4.2329545454545459</v>
      </c>
      <c r="Z227" s="514">
        <v>4.2329545454545459</v>
      </c>
      <c r="AA227" s="514">
        <v>4.2329545454545459</v>
      </c>
      <c r="AB227" s="2451">
        <v>4.28571428571429</v>
      </c>
      <c r="AC227" s="2363"/>
      <c r="AD227" s="2363"/>
      <c r="AE227" s="2363"/>
      <c r="AF227" s="2363"/>
      <c r="AG227" s="2363"/>
      <c r="AI227" s="2277"/>
      <c r="AJ227" s="2277"/>
      <c r="AK227" s="2277"/>
      <c r="AL227" s="2277"/>
      <c r="AM227" s="2277"/>
      <c r="AN227" s="2277"/>
      <c r="AO227" s="2277"/>
      <c r="AP227" s="2277"/>
      <c r="AQ227" s="2277"/>
      <c r="AR227" s="2277"/>
      <c r="AS227" s="2277"/>
      <c r="BD227" s="1"/>
      <c r="BE227" s="1"/>
    </row>
    <row r="228" spans="1:57" s="522" customFormat="1" outlineLevel="1" x14ac:dyDescent="0.25">
      <c r="A228" s="2370"/>
      <c r="B228" s="2370"/>
      <c r="C228" s="2775"/>
      <c r="D228" s="3530"/>
      <c r="E228" s="3444"/>
      <c r="F228" s="2448" t="s">
        <v>3528</v>
      </c>
      <c r="G228" s="563">
        <v>1.7767584097859328</v>
      </c>
      <c r="H228" s="3459" t="s">
        <v>984</v>
      </c>
      <c r="I228" s="3459"/>
      <c r="J228" s="3003"/>
      <c r="K228" s="2370"/>
      <c r="L228" s="2370"/>
      <c r="M228" s="612"/>
      <c r="N228" s="612"/>
      <c r="O228" s="2370"/>
      <c r="P228" s="2370"/>
      <c r="Q228" s="2370"/>
      <c r="R228" s="2370"/>
      <c r="S228" s="2370"/>
      <c r="T228" s="2370"/>
      <c r="U228" s="2370"/>
      <c r="V228" s="3530"/>
      <c r="W228" s="548"/>
      <c r="X228" s="520"/>
      <c r="Y228" s="520"/>
      <c r="Z228" s="514"/>
      <c r="AA228" s="514"/>
      <c r="AB228" s="563">
        <v>1.7767584097859328</v>
      </c>
      <c r="AC228" s="2363"/>
      <c r="AD228" s="2363"/>
      <c r="AE228" s="2363"/>
      <c r="AF228" s="2363"/>
      <c r="AG228" s="2363"/>
      <c r="AI228" s="2277"/>
      <c r="AJ228" s="2277"/>
      <c r="AK228" s="2277"/>
      <c r="AL228" s="2277"/>
      <c r="AM228" s="2277"/>
      <c r="AN228" s="2277"/>
      <c r="AO228" s="2277"/>
      <c r="AP228" s="2277"/>
      <c r="AQ228" s="2277"/>
      <c r="AR228" s="2277"/>
      <c r="AS228" s="2277"/>
      <c r="BD228" s="1"/>
      <c r="BE228" s="1"/>
    </row>
    <row r="229" spans="1:57" s="522" customFormat="1" ht="16.149999999999999" customHeight="1" outlineLevel="1" x14ac:dyDescent="0.25">
      <c r="A229" s="2370"/>
      <c r="B229" s="2370"/>
      <c r="C229" s="2775"/>
      <c r="D229" s="3530"/>
      <c r="E229" s="3444"/>
      <c r="F229" s="3145" t="s">
        <v>3541</v>
      </c>
      <c r="G229" s="137">
        <v>2.67</v>
      </c>
      <c r="H229" s="3529" t="s">
        <v>1864</v>
      </c>
      <c r="I229" s="3529"/>
      <c r="J229" s="3003" t="s">
        <v>3556</v>
      </c>
      <c r="K229" s="547"/>
      <c r="L229" s="2370"/>
      <c r="M229" s="612"/>
      <c r="N229" s="612"/>
      <c r="O229" s="2370"/>
      <c r="P229" s="2370"/>
      <c r="Q229" s="2370"/>
      <c r="R229" s="2370"/>
      <c r="S229" s="2370"/>
      <c r="T229" s="2370"/>
      <c r="U229" s="2370"/>
      <c r="V229" s="3530"/>
      <c r="W229" s="548"/>
      <c r="X229" s="520"/>
      <c r="Y229" s="520"/>
      <c r="Z229" s="514"/>
      <c r="AA229" s="514"/>
      <c r="AB229" s="387">
        <v>2.67</v>
      </c>
      <c r="AC229" s="2363"/>
      <c r="AD229" s="2363"/>
      <c r="AE229" s="2363"/>
      <c r="AF229" s="2363"/>
      <c r="AG229" s="2363"/>
      <c r="AI229" s="2277"/>
      <c r="AJ229" s="2277"/>
      <c r="AK229" s="2277"/>
      <c r="AL229" s="2277"/>
      <c r="AM229" s="2277"/>
      <c r="AN229" s="2277"/>
      <c r="AO229" s="2277"/>
      <c r="AP229" s="2277"/>
      <c r="AQ229" s="2277"/>
      <c r="AR229" s="2277"/>
      <c r="AS229" s="2277"/>
      <c r="BD229" s="1"/>
      <c r="BE229" s="1"/>
    </row>
    <row r="230" spans="1:57" s="522" customFormat="1" outlineLevel="1" x14ac:dyDescent="0.25">
      <c r="A230" s="2370"/>
      <c r="B230" s="2370"/>
      <c r="C230" s="2775"/>
      <c r="D230" s="3476"/>
      <c r="E230" s="3445"/>
      <c r="F230" s="2449" t="s">
        <v>3792</v>
      </c>
      <c r="G230" s="137">
        <v>2.65</v>
      </c>
      <c r="H230" s="3529" t="s">
        <v>3557</v>
      </c>
      <c r="I230" s="3529"/>
      <c r="J230" s="3003"/>
      <c r="K230" s="547"/>
      <c r="L230" s="2370"/>
      <c r="M230" s="612"/>
      <c r="N230" s="612"/>
      <c r="O230" s="2370"/>
      <c r="P230" s="2370"/>
      <c r="Q230" s="2370"/>
      <c r="R230" s="2370"/>
      <c r="S230" s="2370"/>
      <c r="T230" s="2370"/>
      <c r="U230" s="2370"/>
      <c r="V230" s="3476"/>
      <c r="W230" s="548"/>
      <c r="X230" s="520"/>
      <c r="Y230" s="520"/>
      <c r="Z230" s="514"/>
      <c r="AA230" s="514"/>
      <c r="AB230" s="387">
        <v>2.65</v>
      </c>
      <c r="AC230" s="2363"/>
      <c r="AD230" s="2363"/>
      <c r="AE230" s="2363"/>
      <c r="AF230" s="2363"/>
      <c r="AG230" s="2363"/>
      <c r="AI230" s="2277"/>
      <c r="AJ230" s="2277"/>
      <c r="AK230" s="2277"/>
      <c r="AL230" s="2277"/>
      <c r="AM230" s="2277"/>
      <c r="AN230" s="2277"/>
      <c r="AO230" s="2277"/>
      <c r="AP230" s="2277"/>
      <c r="AQ230" s="2277"/>
      <c r="AR230" s="2277"/>
      <c r="AS230" s="2277"/>
      <c r="BD230" s="1"/>
      <c r="BE230" s="1"/>
    </row>
    <row r="231" spans="1:57" s="522" customFormat="1" outlineLevel="1" x14ac:dyDescent="0.25">
      <c r="A231" s="2370"/>
      <c r="B231" s="2370"/>
      <c r="C231" s="2775"/>
      <c r="D231" s="3475" t="s">
        <v>992</v>
      </c>
      <c r="E231" s="3474" t="s">
        <v>993</v>
      </c>
      <c r="F231" s="3099" t="s">
        <v>3555</v>
      </c>
      <c r="G231" s="3080">
        <v>0.83199999999999996</v>
      </c>
      <c r="H231" s="3459" t="s">
        <v>3558</v>
      </c>
      <c r="I231" s="3459"/>
      <c r="J231" s="3003"/>
      <c r="K231" s="2370"/>
      <c r="L231" s="2370"/>
      <c r="M231" s="554"/>
      <c r="N231" s="554"/>
      <c r="O231" s="2370"/>
      <c r="P231" s="2370"/>
      <c r="Q231" s="2370"/>
      <c r="R231" s="2370"/>
      <c r="S231" s="2370"/>
      <c r="T231" s="2370"/>
      <c r="U231" s="2370"/>
      <c r="V231" s="3475" t="s">
        <v>992</v>
      </c>
      <c r="W231" s="549">
        <v>0.6</v>
      </c>
      <c r="X231" s="549">
        <v>0.6</v>
      </c>
      <c r="Y231" s="549">
        <v>0.6</v>
      </c>
      <c r="Z231" s="2770">
        <v>0.6</v>
      </c>
      <c r="AA231" s="2770">
        <v>0.6</v>
      </c>
      <c r="AB231" s="609">
        <v>0.83199999999999996</v>
      </c>
      <c r="AC231" s="2363"/>
      <c r="AD231" s="2363"/>
      <c r="AE231" s="2363"/>
      <c r="AF231" s="2363"/>
      <c r="AG231" s="2363"/>
      <c r="AI231" s="2277"/>
      <c r="AJ231" s="2277"/>
      <c r="AK231" s="2277"/>
      <c r="AL231" s="2277"/>
      <c r="AM231" s="2277"/>
      <c r="AN231" s="2277"/>
      <c r="AO231" s="2277"/>
      <c r="AP231" s="2277"/>
      <c r="AQ231" s="2277"/>
      <c r="AR231" s="2277"/>
      <c r="AS231" s="2277"/>
      <c r="BD231" s="1"/>
      <c r="BE231" s="1"/>
    </row>
    <row r="232" spans="1:57" s="522" customFormat="1" outlineLevel="1" x14ac:dyDescent="0.25">
      <c r="A232" s="2370"/>
      <c r="B232" s="2370"/>
      <c r="C232" s="2775"/>
      <c r="D232" s="3476"/>
      <c r="E232" s="3445"/>
      <c r="F232" s="3008" t="s">
        <v>3541</v>
      </c>
      <c r="G232" s="3079">
        <v>0.66</v>
      </c>
      <c r="H232" s="3459" t="s">
        <v>1862</v>
      </c>
      <c r="I232" s="3459"/>
      <c r="J232" s="3003"/>
      <c r="K232" s="2370"/>
      <c r="L232" s="2370"/>
      <c r="M232" s="554"/>
      <c r="N232" s="554"/>
      <c r="O232" s="2370"/>
      <c r="P232" s="2370"/>
      <c r="Q232" s="2370"/>
      <c r="R232" s="2370"/>
      <c r="S232" s="2370"/>
      <c r="T232" s="2370"/>
      <c r="U232" s="2370"/>
      <c r="V232" s="3476"/>
      <c r="W232" s="549"/>
      <c r="X232" s="549"/>
      <c r="Y232" s="549"/>
      <c r="Z232" s="2770"/>
      <c r="AA232" s="2770"/>
      <c r="AB232" s="130">
        <v>0.66</v>
      </c>
      <c r="AC232" s="2363"/>
      <c r="AD232" s="2363"/>
      <c r="AE232" s="2363"/>
      <c r="AF232" s="2363"/>
      <c r="AG232" s="2363"/>
      <c r="AI232" s="2277"/>
      <c r="AJ232" s="2277"/>
      <c r="AK232" s="2277"/>
      <c r="AL232" s="2277"/>
      <c r="AM232" s="2277"/>
      <c r="AN232" s="2277"/>
      <c r="AO232" s="2277"/>
      <c r="AP232" s="2277"/>
      <c r="AQ232" s="2277"/>
      <c r="AR232" s="2277"/>
      <c r="AS232" s="2277"/>
      <c r="BD232" s="1"/>
      <c r="BE232" s="1"/>
    </row>
    <row r="233" spans="1:57" s="522" customFormat="1" outlineLevel="1" x14ac:dyDescent="0.25">
      <c r="A233" s="633"/>
      <c r="B233" s="633"/>
      <c r="C233" s="2775"/>
      <c r="D233" s="3008">
        <v>365.25</v>
      </c>
      <c r="E233" s="3015" t="s">
        <v>994</v>
      </c>
      <c r="F233" s="3099" t="s">
        <v>591</v>
      </c>
      <c r="G233" s="610">
        <v>365.25</v>
      </c>
      <c r="H233" s="3459" t="s">
        <v>921</v>
      </c>
      <c r="I233" s="3459"/>
      <c r="J233" s="3003"/>
      <c r="K233" s="633"/>
      <c r="L233" s="633"/>
      <c r="M233" s="554"/>
      <c r="N233" s="554"/>
      <c r="O233" s="633"/>
      <c r="P233" s="633"/>
      <c r="Q233" s="633"/>
      <c r="R233" s="633"/>
      <c r="S233" s="633"/>
      <c r="T233" s="633"/>
      <c r="U233" s="633"/>
      <c r="V233" s="3008">
        <v>365.25</v>
      </c>
      <c r="W233" s="549">
        <v>365</v>
      </c>
      <c r="X233" s="549">
        <v>365</v>
      </c>
      <c r="Y233" s="549">
        <v>365</v>
      </c>
      <c r="Z233" s="2770">
        <v>365</v>
      </c>
      <c r="AA233" s="2770">
        <v>365</v>
      </c>
      <c r="AB233" s="2450">
        <v>365.25</v>
      </c>
      <c r="AC233" s="611"/>
      <c r="AD233" s="611"/>
      <c r="AE233" s="611"/>
      <c r="AF233" s="611"/>
      <c r="AG233" s="611"/>
      <c r="AI233" s="2277"/>
      <c r="AJ233" s="2277"/>
      <c r="AK233" s="2277"/>
      <c r="AL233" s="2277"/>
      <c r="AM233" s="2277"/>
      <c r="AN233" s="2277"/>
      <c r="AO233" s="2277"/>
      <c r="AP233" s="2277"/>
      <c r="AQ233" s="2277"/>
      <c r="AR233" s="2277"/>
      <c r="AS233" s="2277"/>
      <c r="BD233" s="1"/>
      <c r="BE233" s="1"/>
    </row>
    <row r="234" spans="1:57" s="522" customFormat="1" outlineLevel="1" x14ac:dyDescent="0.25">
      <c r="A234" s="2370"/>
      <c r="B234" s="2370"/>
      <c r="C234" s="2775"/>
      <c r="D234" s="3475" t="s">
        <v>995</v>
      </c>
      <c r="E234" s="3474" t="s">
        <v>996</v>
      </c>
      <c r="F234" s="3099" t="s">
        <v>3540</v>
      </c>
      <c r="G234" s="3144">
        <v>2.1419999999999999</v>
      </c>
      <c r="H234" s="3516" t="s">
        <v>3558</v>
      </c>
      <c r="I234" s="3516"/>
      <c r="J234" s="3003"/>
      <c r="K234" s="2370"/>
      <c r="L234" s="2370"/>
      <c r="M234" s="612"/>
      <c r="N234" s="612"/>
      <c r="O234" s="2370"/>
      <c r="P234" s="2370"/>
      <c r="Q234" s="2370"/>
      <c r="R234" s="2370"/>
      <c r="S234" s="2370"/>
      <c r="T234" s="2370"/>
      <c r="U234" s="2370"/>
      <c r="V234" s="3475" t="s">
        <v>995</v>
      </c>
      <c r="W234" s="548">
        <v>2.0647058823529409</v>
      </c>
      <c r="X234" s="520">
        <v>2.0048076923076925</v>
      </c>
      <c r="Y234" s="520">
        <v>1.9570000000000001</v>
      </c>
      <c r="Z234" s="514">
        <v>1.9570000000000001</v>
      </c>
      <c r="AA234" s="514">
        <v>1.9570000000000001</v>
      </c>
      <c r="AB234" s="2451">
        <v>2.1419999999999999</v>
      </c>
      <c r="AC234" s="2363"/>
      <c r="AD234" s="2363"/>
      <c r="AE234" s="2363"/>
      <c r="AF234" s="2363"/>
      <c r="AG234" s="2363"/>
      <c r="AI234" s="2277"/>
      <c r="AJ234" s="2277"/>
      <c r="AK234" s="2277"/>
      <c r="AL234" s="2277"/>
      <c r="AM234" s="2277"/>
      <c r="AN234" s="2277"/>
      <c r="AO234" s="2277"/>
      <c r="AP234" s="2277"/>
      <c r="AQ234" s="2277"/>
      <c r="AR234" s="2277"/>
      <c r="AS234" s="2277"/>
      <c r="BD234" s="1"/>
      <c r="BE234" s="1"/>
    </row>
    <row r="235" spans="1:57" s="522" customFormat="1" outlineLevel="1" x14ac:dyDescent="0.25">
      <c r="A235" s="2370"/>
      <c r="B235" s="2370"/>
      <c r="C235" s="2775"/>
      <c r="D235" s="3530"/>
      <c r="E235" s="3444"/>
      <c r="F235" s="2448" t="s">
        <v>3528</v>
      </c>
      <c r="G235" s="514">
        <v>1.3371757925072045</v>
      </c>
      <c r="H235" s="3459" t="s">
        <v>984</v>
      </c>
      <c r="I235" s="3459"/>
      <c r="J235" s="3003"/>
      <c r="K235" s="2370"/>
      <c r="L235" s="2370"/>
      <c r="M235" s="612"/>
      <c r="N235" s="612"/>
      <c r="O235" s="2370"/>
      <c r="P235" s="2370"/>
      <c r="Q235" s="2370"/>
      <c r="R235" s="2370"/>
      <c r="S235" s="2370"/>
      <c r="T235" s="2370"/>
      <c r="U235" s="2370"/>
      <c r="V235" s="3530"/>
      <c r="W235" s="548"/>
      <c r="X235" s="520"/>
      <c r="Y235" s="520"/>
      <c r="Z235" s="514"/>
      <c r="AA235" s="514"/>
      <c r="AB235" s="514">
        <v>1.3371757925072045</v>
      </c>
      <c r="AC235" s="2363"/>
      <c r="AD235" s="2363"/>
      <c r="AE235" s="2363"/>
      <c r="AF235" s="2363"/>
      <c r="AG235" s="2363"/>
      <c r="AI235" s="2277"/>
      <c r="AJ235" s="2277"/>
      <c r="AK235" s="2277"/>
      <c r="AL235" s="2277"/>
      <c r="AM235" s="2277"/>
      <c r="AN235" s="2277"/>
      <c r="AO235" s="2277"/>
      <c r="AP235" s="2277"/>
      <c r="AQ235" s="2277"/>
      <c r="AR235" s="2277"/>
      <c r="AS235" s="2277"/>
      <c r="BD235" s="1"/>
      <c r="BE235" s="1"/>
    </row>
    <row r="236" spans="1:57" s="522" customFormat="1" ht="30" outlineLevel="1" x14ac:dyDescent="0.25">
      <c r="A236" s="2370"/>
      <c r="B236" s="2370"/>
      <c r="C236" s="2775"/>
      <c r="D236" s="3476"/>
      <c r="E236" s="3445"/>
      <c r="F236" s="2448" t="s">
        <v>3541</v>
      </c>
      <c r="G236" s="137">
        <v>2.0499999999999998</v>
      </c>
      <c r="H236" s="3516" t="s">
        <v>1864</v>
      </c>
      <c r="I236" s="3516"/>
      <c r="J236" s="3003" t="s">
        <v>3556</v>
      </c>
      <c r="K236" s="547"/>
      <c r="L236" s="2370"/>
      <c r="M236" s="612"/>
      <c r="N236" s="612"/>
      <c r="O236" s="2370"/>
      <c r="P236" s="2370"/>
      <c r="Q236" s="2370"/>
      <c r="R236" s="2370"/>
      <c r="S236" s="2370"/>
      <c r="T236" s="2370"/>
      <c r="U236" s="2370"/>
      <c r="V236" s="3476"/>
      <c r="W236" s="548"/>
      <c r="X236" s="520"/>
      <c r="Y236" s="520"/>
      <c r="Z236" s="514"/>
      <c r="AA236" s="514"/>
      <c r="AB236" s="387">
        <v>2.0499999999999998</v>
      </c>
      <c r="AC236" s="2363"/>
      <c r="AD236" s="2363"/>
      <c r="AE236" s="2363"/>
      <c r="AF236" s="2363"/>
      <c r="AG236" s="2363"/>
      <c r="AI236" s="2277"/>
      <c r="AJ236" s="2277"/>
      <c r="AK236" s="2277"/>
      <c r="AL236" s="2277"/>
      <c r="AM236" s="2277"/>
      <c r="AN236" s="2277"/>
      <c r="AO236" s="2277"/>
      <c r="AP236" s="2277"/>
      <c r="AQ236" s="2277"/>
      <c r="AR236" s="2277"/>
      <c r="AS236" s="2277"/>
      <c r="BD236" s="1"/>
      <c r="BE236" s="1"/>
    </row>
    <row r="237" spans="1:57" s="522" customFormat="1" outlineLevel="1" x14ac:dyDescent="0.25">
      <c r="A237" s="633"/>
      <c r="B237" s="633"/>
      <c r="C237" s="2775"/>
      <c r="D237" s="3008">
        <v>8.33</v>
      </c>
      <c r="E237" s="3036" t="s">
        <v>959</v>
      </c>
      <c r="F237" s="3099" t="s">
        <v>591</v>
      </c>
      <c r="G237" s="610">
        <v>8.33</v>
      </c>
      <c r="H237" s="3509" t="s">
        <v>960</v>
      </c>
      <c r="I237" s="3509"/>
      <c r="J237" s="3003"/>
      <c r="K237" s="633"/>
      <c r="L237" s="633"/>
      <c r="M237" s="554"/>
      <c r="N237" s="554"/>
      <c r="O237" s="633"/>
      <c r="P237" s="633"/>
      <c r="Q237" s="633"/>
      <c r="R237" s="633"/>
      <c r="S237" s="633"/>
      <c r="T237" s="633"/>
      <c r="U237" s="633"/>
      <c r="V237" s="3008">
        <v>8.33</v>
      </c>
      <c r="W237" s="549">
        <v>8.33</v>
      </c>
      <c r="X237" s="613">
        <v>8.33</v>
      </c>
      <c r="Y237" s="613">
        <v>8.33</v>
      </c>
      <c r="Z237" s="610">
        <v>8.33</v>
      </c>
      <c r="AA237" s="610">
        <v>8.33</v>
      </c>
      <c r="AB237" s="610">
        <v>8.33</v>
      </c>
      <c r="AC237" s="611"/>
      <c r="AD237" s="611"/>
      <c r="AE237" s="611"/>
      <c r="AF237" s="611"/>
      <c r="AG237" s="611"/>
      <c r="AI237" s="2277"/>
      <c r="AJ237" s="2277"/>
      <c r="AK237" s="2277"/>
      <c r="AL237" s="2277"/>
      <c r="AM237" s="2277"/>
      <c r="AN237" s="2277"/>
      <c r="AO237" s="2277"/>
      <c r="AP237" s="2277"/>
      <c r="AQ237" s="2277"/>
      <c r="AR237" s="2277"/>
      <c r="AS237" s="2277"/>
      <c r="BD237" s="1"/>
      <c r="BE237" s="1"/>
    </row>
    <row r="238" spans="1:57" s="522" customFormat="1" outlineLevel="1" x14ac:dyDescent="0.25">
      <c r="A238" s="633"/>
      <c r="B238" s="633"/>
      <c r="C238" s="2775"/>
      <c r="D238" s="3008">
        <v>1</v>
      </c>
      <c r="E238" s="3015" t="s">
        <v>961</v>
      </c>
      <c r="F238" s="3099" t="s">
        <v>591</v>
      </c>
      <c r="G238" s="610">
        <v>1</v>
      </c>
      <c r="H238" s="3459" t="s">
        <v>962</v>
      </c>
      <c r="I238" s="3459"/>
      <c r="J238" s="3003"/>
      <c r="K238" s="633"/>
      <c r="L238" s="633"/>
      <c r="M238" s="554"/>
      <c r="N238" s="554"/>
      <c r="O238" s="633"/>
      <c r="P238" s="633"/>
      <c r="Q238" s="633"/>
      <c r="R238" s="633"/>
      <c r="S238" s="633"/>
      <c r="T238" s="633"/>
      <c r="U238" s="633"/>
      <c r="V238" s="3008">
        <v>1</v>
      </c>
      <c r="W238" s="549">
        <v>1</v>
      </c>
      <c r="X238" s="613">
        <v>1</v>
      </c>
      <c r="Y238" s="613">
        <v>1</v>
      </c>
      <c r="Z238" s="610">
        <v>1</v>
      </c>
      <c r="AA238" s="610">
        <v>1</v>
      </c>
      <c r="AB238" s="610">
        <v>1</v>
      </c>
      <c r="AC238" s="611"/>
      <c r="AD238" s="611"/>
      <c r="AE238" s="611"/>
      <c r="AF238" s="611"/>
      <c r="AG238" s="611"/>
      <c r="AI238" s="2277"/>
      <c r="AJ238" s="2277"/>
      <c r="AK238" s="2277"/>
      <c r="AL238" s="2277"/>
      <c r="AM238" s="2277"/>
      <c r="AN238" s="2277"/>
      <c r="AO238" s="2277"/>
      <c r="AP238" s="2277"/>
      <c r="AQ238" s="2277"/>
      <c r="AR238" s="2277"/>
      <c r="AS238" s="2277"/>
      <c r="BD238" s="1"/>
      <c r="BE238" s="1"/>
    </row>
    <row r="239" spans="1:57" s="522" customFormat="1" outlineLevel="1" x14ac:dyDescent="0.25">
      <c r="A239" s="633"/>
      <c r="B239" s="633"/>
      <c r="C239" s="2775"/>
      <c r="D239" s="3008" t="s">
        <v>997</v>
      </c>
      <c r="E239" s="3015" t="s">
        <v>998</v>
      </c>
      <c r="F239" s="3099" t="s">
        <v>591</v>
      </c>
      <c r="G239" s="3080">
        <v>105</v>
      </c>
      <c r="H239" s="3459" t="s">
        <v>999</v>
      </c>
      <c r="I239" s="3459"/>
      <c r="J239" s="3003"/>
      <c r="K239" s="633"/>
      <c r="L239" s="633"/>
      <c r="M239" s="554"/>
      <c r="N239" s="554"/>
      <c r="O239" s="633"/>
      <c r="P239" s="633"/>
      <c r="Q239" s="633"/>
      <c r="R239" s="633"/>
      <c r="S239" s="633"/>
      <c r="T239" s="633"/>
      <c r="U239" s="633"/>
      <c r="V239" s="3008" t="s">
        <v>997</v>
      </c>
      <c r="W239" s="549">
        <v>105</v>
      </c>
      <c r="X239" s="549">
        <v>105</v>
      </c>
      <c r="Y239" s="549">
        <v>105</v>
      </c>
      <c r="Z239" s="2770">
        <v>105</v>
      </c>
      <c r="AA239" s="2770">
        <v>105</v>
      </c>
      <c r="AB239" s="2770">
        <v>105</v>
      </c>
      <c r="AC239" s="611"/>
      <c r="AD239" s="611"/>
      <c r="AE239" s="611"/>
      <c r="AF239" s="611"/>
      <c r="AG239" s="611"/>
      <c r="AI239" s="2277"/>
      <c r="AJ239" s="2277"/>
      <c r="AK239" s="2277"/>
      <c r="AL239" s="2277"/>
      <c r="AM239" s="2277"/>
      <c r="AN239" s="2277"/>
      <c r="AO239" s="2277"/>
      <c r="AP239" s="2277"/>
      <c r="AQ239" s="2277"/>
      <c r="AR239" s="2277"/>
      <c r="AS239" s="2277"/>
      <c r="BD239" s="1"/>
      <c r="BE239" s="1"/>
    </row>
    <row r="240" spans="1:57" s="522" customFormat="1" outlineLevel="1" x14ac:dyDescent="0.25">
      <c r="A240" s="633"/>
      <c r="B240" s="633"/>
      <c r="C240" s="2775"/>
      <c r="D240" s="3008" t="s">
        <v>966</v>
      </c>
      <c r="E240" s="3015" t="s">
        <v>967</v>
      </c>
      <c r="F240" s="3099" t="s">
        <v>591</v>
      </c>
      <c r="G240" s="3080">
        <v>61.3</v>
      </c>
      <c r="H240" s="3459" t="s">
        <v>968</v>
      </c>
      <c r="I240" s="3459"/>
      <c r="J240" s="3003"/>
      <c r="K240" s="633"/>
      <c r="L240" s="633"/>
      <c r="M240" s="554"/>
      <c r="N240" s="554"/>
      <c r="O240" s="633"/>
      <c r="P240" s="633"/>
      <c r="Q240" s="633"/>
      <c r="R240" s="633"/>
      <c r="S240" s="633"/>
      <c r="T240" s="633"/>
      <c r="U240" s="633"/>
      <c r="V240" s="3008" t="s">
        <v>966</v>
      </c>
      <c r="W240" s="549">
        <v>61.3</v>
      </c>
      <c r="X240" s="549">
        <v>61.3</v>
      </c>
      <c r="Y240" s="549">
        <v>61.3</v>
      </c>
      <c r="Z240" s="2770">
        <v>61.3</v>
      </c>
      <c r="AA240" s="2770">
        <v>61.3</v>
      </c>
      <c r="AB240" s="2770">
        <v>61.3</v>
      </c>
      <c r="AC240" s="611"/>
      <c r="AD240" s="611"/>
      <c r="AE240" s="611"/>
      <c r="AF240" s="611"/>
      <c r="AG240" s="611"/>
      <c r="AI240" s="2277"/>
      <c r="AJ240" s="2277"/>
      <c r="AK240" s="2277"/>
      <c r="AL240" s="2277"/>
      <c r="AM240" s="2277"/>
      <c r="AN240" s="2277"/>
      <c r="AO240" s="2277"/>
      <c r="AP240" s="2277"/>
      <c r="AQ240" s="2277"/>
      <c r="AR240" s="2277"/>
      <c r="AS240" s="2277"/>
      <c r="BD240" s="1"/>
      <c r="BE240" s="1"/>
    </row>
    <row r="241" spans="1:57" s="522" customFormat="1" outlineLevel="1" x14ac:dyDescent="0.25">
      <c r="A241" s="633"/>
      <c r="B241" s="633"/>
      <c r="C241" s="2775"/>
      <c r="D241" s="3008" t="s">
        <v>969</v>
      </c>
      <c r="E241" s="3015" t="s">
        <v>970</v>
      </c>
      <c r="F241" s="3099" t="s">
        <v>591</v>
      </c>
      <c r="G241" s="3080">
        <v>0.98</v>
      </c>
      <c r="H241" s="3509" t="s">
        <v>971</v>
      </c>
      <c r="I241" s="3509"/>
      <c r="J241" s="3003"/>
      <c r="K241" s="633"/>
      <c r="L241" s="633"/>
      <c r="M241" s="554"/>
      <c r="N241" s="554"/>
      <c r="O241" s="633"/>
      <c r="P241" s="633"/>
      <c r="Q241" s="633"/>
      <c r="R241" s="633"/>
      <c r="S241" s="633"/>
      <c r="T241" s="633"/>
      <c r="U241" s="633"/>
      <c r="V241" s="3008" t="s">
        <v>969</v>
      </c>
      <c r="W241" s="549">
        <v>0.98</v>
      </c>
      <c r="X241" s="549">
        <v>0.98</v>
      </c>
      <c r="Y241" s="549">
        <v>0.98</v>
      </c>
      <c r="Z241" s="2770">
        <v>0.98</v>
      </c>
      <c r="AA241" s="2770">
        <v>0.98</v>
      </c>
      <c r="AB241" s="2770">
        <v>0.98</v>
      </c>
      <c r="AC241" s="611"/>
      <c r="AD241" s="611"/>
      <c r="AE241" s="611"/>
      <c r="AF241" s="611"/>
      <c r="AG241" s="611"/>
      <c r="AI241" s="2277"/>
      <c r="AJ241" s="2277"/>
      <c r="AK241" s="2277"/>
      <c r="AL241" s="2277"/>
      <c r="AM241" s="2277"/>
      <c r="AN241" s="2277"/>
      <c r="AO241" s="2277"/>
      <c r="AP241" s="2277"/>
      <c r="AQ241" s="2277"/>
      <c r="AR241" s="2277"/>
      <c r="AS241" s="2277"/>
      <c r="BD241" s="1"/>
      <c r="BE241" s="1"/>
    </row>
    <row r="242" spans="1:57" s="522" customFormat="1" outlineLevel="1" x14ac:dyDescent="0.25">
      <c r="A242" s="633"/>
      <c r="B242" s="633"/>
      <c r="C242" s="2775"/>
      <c r="D242" s="3008">
        <v>3412</v>
      </c>
      <c r="E242" s="3036" t="s">
        <v>972</v>
      </c>
      <c r="F242" s="3099" t="s">
        <v>591</v>
      </c>
      <c r="G242" s="576">
        <v>3412</v>
      </c>
      <c r="H242" s="3509" t="s">
        <v>655</v>
      </c>
      <c r="I242" s="3509"/>
      <c r="J242" s="3003"/>
      <c r="K242" s="633"/>
      <c r="L242" s="633"/>
      <c r="M242" s="614"/>
      <c r="N242" s="614"/>
      <c r="O242" s="633"/>
      <c r="P242" s="633"/>
      <c r="Q242" s="633"/>
      <c r="R242" s="633"/>
      <c r="S242" s="633"/>
      <c r="T242" s="633"/>
      <c r="U242" s="633"/>
      <c r="V242" s="3008">
        <v>3412</v>
      </c>
      <c r="W242" s="599">
        <v>3412</v>
      </c>
      <c r="X242" s="599">
        <v>3412</v>
      </c>
      <c r="Y242" s="615">
        <v>3413</v>
      </c>
      <c r="Z242" s="576">
        <v>3413</v>
      </c>
      <c r="AA242" s="576">
        <v>3413</v>
      </c>
      <c r="AB242" s="615">
        <v>3412</v>
      </c>
      <c r="AC242" s="611"/>
      <c r="AD242" s="611"/>
      <c r="AE242" s="611"/>
      <c r="AF242" s="611"/>
      <c r="AG242" s="611"/>
      <c r="AI242" s="2277"/>
      <c r="AJ242" s="2277"/>
      <c r="AK242" s="2277"/>
      <c r="AL242" s="2277"/>
      <c r="AM242" s="2277"/>
      <c r="AN242" s="2277"/>
      <c r="AO242" s="2277"/>
      <c r="AP242" s="2277"/>
      <c r="AQ242" s="2277"/>
      <c r="AR242" s="2277"/>
      <c r="AS242" s="2277"/>
      <c r="BD242" s="1"/>
      <c r="BE242" s="1"/>
    </row>
    <row r="243" spans="1:57" s="522" customFormat="1" outlineLevel="1" x14ac:dyDescent="0.25">
      <c r="A243" s="2370"/>
      <c r="B243" s="2370"/>
      <c r="C243" s="2775"/>
      <c r="D243" s="3475" t="s">
        <v>892</v>
      </c>
      <c r="E243" s="3474" t="s">
        <v>929</v>
      </c>
      <c r="F243" s="3099" t="s">
        <v>3540</v>
      </c>
      <c r="G243" s="3146">
        <v>0.72</v>
      </c>
      <c r="H243" s="3527" t="s">
        <v>939</v>
      </c>
      <c r="I243" s="3527"/>
      <c r="J243" s="3003"/>
      <c r="K243" s="2370"/>
      <c r="L243" s="2370"/>
      <c r="M243" s="607"/>
      <c r="N243" s="607"/>
      <c r="O243" s="2370"/>
      <c r="P243" s="2370"/>
      <c r="Q243" s="2370"/>
      <c r="R243" s="2370"/>
      <c r="S243" s="2370"/>
      <c r="T243" s="2370"/>
      <c r="U243" s="2370"/>
      <c r="V243" s="3475" t="s">
        <v>892</v>
      </c>
      <c r="W243" s="585">
        <v>0.86</v>
      </c>
      <c r="X243" s="616">
        <v>0.89859999999999995</v>
      </c>
      <c r="Y243" s="616">
        <v>0.91869999999999996</v>
      </c>
      <c r="Z243" s="2589">
        <v>0.91869999999999996</v>
      </c>
      <c r="AA243" s="2589">
        <v>0.91869999999999996</v>
      </c>
      <c r="AB243" s="2628">
        <v>0.72</v>
      </c>
      <c r="AC243" s="2363"/>
      <c r="AD243" s="2363"/>
      <c r="AE243" s="2363"/>
      <c r="AF243" s="2363"/>
      <c r="AG243" s="2363"/>
      <c r="AI243" s="2277"/>
      <c r="AJ243" s="2277"/>
      <c r="AK243" s="2277"/>
      <c r="AL243" s="2277"/>
      <c r="AM243" s="2277"/>
      <c r="AN243" s="2277"/>
      <c r="AO243" s="2277"/>
      <c r="AP243" s="2277"/>
      <c r="AQ243" s="2277"/>
      <c r="AR243" s="2277"/>
      <c r="AS243" s="2277"/>
      <c r="BD243" s="1"/>
      <c r="BE243" s="1"/>
    </row>
    <row r="244" spans="1:57" s="522" customFormat="1" outlineLevel="1" x14ac:dyDescent="0.25">
      <c r="A244" s="2370"/>
      <c r="B244" s="2370"/>
      <c r="C244" s="2775"/>
      <c r="D244" s="3476"/>
      <c r="E244" s="3445"/>
      <c r="F244" s="3147" t="s">
        <v>3543</v>
      </c>
      <c r="G244" s="1150">
        <v>1</v>
      </c>
      <c r="H244" s="3509" t="s">
        <v>984</v>
      </c>
      <c r="I244" s="3509"/>
      <c r="J244" s="3003"/>
      <c r="K244" s="2370"/>
      <c r="L244" s="2370"/>
      <c r="M244" s="607"/>
      <c r="N244" s="607"/>
      <c r="O244" s="2370"/>
      <c r="P244" s="2370"/>
      <c r="Q244" s="2370"/>
      <c r="R244" s="2370"/>
      <c r="S244" s="2370"/>
      <c r="T244" s="2370"/>
      <c r="U244" s="2370"/>
      <c r="V244" s="3476"/>
      <c r="W244" s="585"/>
      <c r="X244" s="616"/>
      <c r="Y244" s="616"/>
      <c r="Z244" s="2589"/>
      <c r="AA244" s="2589"/>
      <c r="AB244" s="608">
        <v>1</v>
      </c>
      <c r="AC244" s="2363"/>
      <c r="AD244" s="2363"/>
      <c r="AE244" s="2363"/>
      <c r="AF244" s="2363"/>
      <c r="AG244" s="2363"/>
      <c r="AI244" s="2277"/>
      <c r="AJ244" s="2277"/>
      <c r="AK244" s="2277"/>
      <c r="AL244" s="2277"/>
      <c r="AM244" s="2277"/>
      <c r="AN244" s="2277"/>
      <c r="AO244" s="2277"/>
      <c r="AP244" s="2277"/>
      <c r="AQ244" s="2277"/>
      <c r="AR244" s="2277"/>
      <c r="AS244" s="2277"/>
      <c r="BD244" s="1"/>
      <c r="BE244" s="1"/>
    </row>
    <row r="245" spans="1:57" s="522" customFormat="1" outlineLevel="1" x14ac:dyDescent="0.25">
      <c r="A245" s="2370"/>
      <c r="B245" s="2370"/>
      <c r="C245" s="2775"/>
      <c r="D245" s="3475" t="s">
        <v>75</v>
      </c>
      <c r="E245" s="3474" t="s">
        <v>684</v>
      </c>
      <c r="F245" s="3099" t="s">
        <v>3540</v>
      </c>
      <c r="G245" s="1902">
        <v>0.54</v>
      </c>
      <c r="H245" s="3527" t="s">
        <v>3793</v>
      </c>
      <c r="I245" s="3527"/>
      <c r="J245" s="3003"/>
      <c r="K245" s="2370"/>
      <c r="L245" s="2370"/>
      <c r="M245" s="607"/>
      <c r="N245" s="607"/>
      <c r="O245" s="2370"/>
      <c r="P245" s="2370"/>
      <c r="Q245" s="2370"/>
      <c r="R245" s="2370"/>
      <c r="S245" s="2370"/>
      <c r="T245" s="2370"/>
      <c r="U245" s="2370"/>
      <c r="V245" s="3475" t="s">
        <v>75</v>
      </c>
      <c r="W245" s="585">
        <v>0.64716066481994461</v>
      </c>
      <c r="X245" s="616">
        <v>0.5672268907563025</v>
      </c>
      <c r="Y245" s="616">
        <v>0.58549222797927458</v>
      </c>
      <c r="Z245" s="2589">
        <v>0.58549222797927458</v>
      </c>
      <c r="AA245" s="2589">
        <v>0.58549222797927458</v>
      </c>
      <c r="AB245" s="2452">
        <v>0.54</v>
      </c>
      <c r="AC245" s="2369"/>
      <c r="AD245" s="2369"/>
      <c r="AE245" s="2369"/>
      <c r="AF245" s="2369"/>
      <c r="AG245" s="2369"/>
      <c r="AI245" s="2277"/>
      <c r="AJ245" s="2277"/>
      <c r="AK245" s="2277"/>
      <c r="AL245" s="2277"/>
      <c r="AM245" s="2277"/>
      <c r="AN245" s="2277"/>
      <c r="AO245" s="2277"/>
      <c r="AP245" s="2277"/>
      <c r="AQ245" s="2277"/>
      <c r="AR245" s="2277"/>
      <c r="AS245" s="2277"/>
      <c r="BD245" s="1"/>
      <c r="BE245" s="1"/>
    </row>
    <row r="246" spans="1:57" s="522" customFormat="1" outlineLevel="1" x14ac:dyDescent="0.25">
      <c r="A246" s="2370"/>
      <c r="B246" s="2370"/>
      <c r="C246" s="2775"/>
      <c r="D246" s="3530"/>
      <c r="E246" s="3444"/>
      <c r="F246" s="2449" t="s">
        <v>3528</v>
      </c>
      <c r="G246" s="380">
        <v>1</v>
      </c>
      <c r="H246" s="3509" t="s">
        <v>984</v>
      </c>
      <c r="I246" s="3509"/>
      <c r="J246" s="3003"/>
      <c r="K246" s="2370"/>
      <c r="L246" s="2370"/>
      <c r="M246" s="607"/>
      <c r="N246" s="607"/>
      <c r="O246" s="2370"/>
      <c r="P246" s="2370"/>
      <c r="Q246" s="2370"/>
      <c r="R246" s="2370"/>
      <c r="S246" s="2370"/>
      <c r="T246" s="2370"/>
      <c r="U246" s="2370"/>
      <c r="V246" s="3530"/>
      <c r="W246" s="585"/>
      <c r="X246" s="616"/>
      <c r="Y246" s="616"/>
      <c r="Z246" s="2589"/>
      <c r="AA246" s="2589"/>
      <c r="AB246" s="380">
        <v>1</v>
      </c>
      <c r="AC246" s="2369"/>
      <c r="AD246" s="2369"/>
      <c r="AE246" s="2369"/>
      <c r="AF246" s="2369"/>
      <c r="AG246" s="2369"/>
      <c r="AI246" s="2277"/>
      <c r="AJ246" s="2277"/>
      <c r="AK246" s="2277"/>
      <c r="AL246" s="2277"/>
      <c r="AM246" s="2277"/>
      <c r="AN246" s="2277"/>
      <c r="AO246" s="2277"/>
      <c r="AP246" s="2277"/>
      <c r="AQ246" s="2277"/>
      <c r="AR246" s="2277"/>
      <c r="AS246" s="2277"/>
      <c r="BD246" s="1"/>
      <c r="BE246" s="1"/>
    </row>
    <row r="247" spans="1:57" s="522" customFormat="1" outlineLevel="1" x14ac:dyDescent="0.25">
      <c r="A247" s="2370"/>
      <c r="B247" s="2370"/>
      <c r="C247" s="2775"/>
      <c r="D247" s="3530"/>
      <c r="E247" s="3444"/>
      <c r="F247" s="2449" t="s">
        <v>3541</v>
      </c>
      <c r="G247" s="3143">
        <f>'Income Eligible Deemed Table'!G839</f>
        <v>0.91346153846153844</v>
      </c>
      <c r="H247" s="3526" t="s">
        <v>3796</v>
      </c>
      <c r="I247" s="3526"/>
      <c r="J247" s="3003"/>
      <c r="K247" s="2370"/>
      <c r="L247" s="2370"/>
      <c r="M247" s="607"/>
      <c r="N247" s="607"/>
      <c r="O247" s="2370"/>
      <c r="P247" s="2370"/>
      <c r="Q247" s="2370"/>
      <c r="R247" s="2370"/>
      <c r="S247" s="2370"/>
      <c r="T247" s="2370"/>
      <c r="U247" s="2370"/>
      <c r="V247" s="3530"/>
      <c r="W247" s="585"/>
      <c r="X247" s="616"/>
      <c r="Y247" s="616"/>
      <c r="Z247" s="2589"/>
      <c r="AA247" s="2589"/>
      <c r="AB247" s="2453">
        <v>0.94</v>
      </c>
      <c r="AC247" s="2369"/>
      <c r="AD247" s="2369"/>
      <c r="AE247" s="2369"/>
      <c r="AF247" s="2369"/>
      <c r="AG247" s="2369"/>
      <c r="AI247" s="2277"/>
      <c r="AJ247" s="2277"/>
      <c r="AK247" s="2277"/>
      <c r="AL247" s="2277"/>
      <c r="AM247" s="2277"/>
      <c r="AN247" s="2277"/>
      <c r="AO247" s="2277"/>
      <c r="AP247" s="2277"/>
      <c r="AQ247" s="2277"/>
      <c r="AR247" s="2277"/>
      <c r="AS247" s="2277"/>
      <c r="BD247" s="1"/>
      <c r="BE247" s="1"/>
    </row>
    <row r="248" spans="1:57" s="522" customFormat="1" outlineLevel="1" x14ac:dyDescent="0.25">
      <c r="A248" s="2370"/>
      <c r="B248" s="2370"/>
      <c r="C248" s="2775"/>
      <c r="D248" s="3476"/>
      <c r="E248" s="3445"/>
      <c r="F248" s="2449" t="s">
        <v>3792</v>
      </c>
      <c r="G248" s="3143">
        <v>0.24</v>
      </c>
      <c r="H248" s="3526" t="s">
        <v>3794</v>
      </c>
      <c r="I248" s="3526"/>
      <c r="J248" s="3003"/>
      <c r="K248" s="2370"/>
      <c r="L248" s="2370"/>
      <c r="M248" s="607"/>
      <c r="N248" s="607"/>
      <c r="O248" s="2370"/>
      <c r="P248" s="2370"/>
      <c r="Q248" s="2370"/>
      <c r="R248" s="2370"/>
      <c r="S248" s="2370"/>
      <c r="T248" s="2370"/>
      <c r="U248" s="2370"/>
      <c r="V248" s="3476"/>
      <c r="W248" s="585"/>
      <c r="X248" s="616"/>
      <c r="Y248" s="616"/>
      <c r="Z248" s="2589"/>
      <c r="AA248" s="2589"/>
      <c r="AB248" s="2453">
        <v>0.24</v>
      </c>
      <c r="AC248" s="2369"/>
      <c r="AD248" s="2369"/>
      <c r="AE248" s="2369"/>
      <c r="AF248" s="2369"/>
      <c r="AG248" s="2369"/>
      <c r="AI248" s="2277"/>
      <c r="AJ248" s="2277"/>
      <c r="AK248" s="2277"/>
      <c r="AL248" s="2277"/>
      <c r="AM248" s="2277"/>
      <c r="AN248" s="2277"/>
      <c r="AO248" s="2277"/>
      <c r="AP248" s="2277"/>
      <c r="AQ248" s="2277"/>
      <c r="AR248" s="2277"/>
      <c r="AS248" s="2277"/>
      <c r="BD248" s="1"/>
      <c r="BE248" s="1"/>
    </row>
    <row r="249" spans="1:57" outlineLevel="1" x14ac:dyDescent="0.25">
      <c r="B249" s="1359"/>
      <c r="C249" s="1900"/>
      <c r="D249" s="2454" t="s">
        <v>896</v>
      </c>
      <c r="E249" s="2894" t="s">
        <v>611</v>
      </c>
      <c r="F249" s="3021" t="s">
        <v>591</v>
      </c>
      <c r="G249" s="2759">
        <v>10</v>
      </c>
      <c r="H249" s="3525"/>
      <c r="I249" s="3525"/>
      <c r="J249" s="3003"/>
      <c r="K249" s="633"/>
      <c r="L249" s="298"/>
      <c r="M249" s="1276"/>
      <c r="N249" s="298"/>
      <c r="O249" s="298"/>
      <c r="P249" s="298"/>
      <c r="Q249" s="298"/>
      <c r="V249" s="3097" t="s">
        <v>896</v>
      </c>
      <c r="W249" s="506">
        <v>10</v>
      </c>
      <c r="X249" s="506">
        <v>10</v>
      </c>
      <c r="Y249" s="506">
        <v>10</v>
      </c>
      <c r="Z249" s="506">
        <v>10</v>
      </c>
      <c r="AA249" s="506">
        <v>10</v>
      </c>
      <c r="AB249" s="2759">
        <v>10</v>
      </c>
      <c r="AC249" s="506"/>
      <c r="AD249" s="506"/>
      <c r="AE249" s="506"/>
      <c r="AF249" s="506"/>
      <c r="AG249" s="506"/>
      <c r="AI249" s="2277"/>
      <c r="AJ249" s="2277"/>
      <c r="AK249" s="2277"/>
      <c r="AL249" s="2277"/>
      <c r="AM249" s="2277"/>
      <c r="AN249" s="2277"/>
      <c r="AO249" s="2277"/>
      <c r="AP249" s="2277"/>
      <c r="AQ249" s="2277"/>
      <c r="AR249" s="2277"/>
      <c r="AS249" s="2277"/>
    </row>
    <row r="250" spans="1:57" outlineLevel="1" x14ac:dyDescent="0.25">
      <c r="B250" s="1359"/>
      <c r="C250" s="1900"/>
      <c r="D250" s="3034" t="s">
        <v>25</v>
      </c>
      <c r="E250" s="2894" t="s">
        <v>613</v>
      </c>
      <c r="F250" s="3020" t="s">
        <v>591</v>
      </c>
      <c r="G250" s="2758">
        <v>7</v>
      </c>
      <c r="H250" s="3524"/>
      <c r="I250" s="3524"/>
      <c r="J250" s="3003"/>
      <c r="K250" s="633"/>
      <c r="L250" s="298"/>
      <c r="M250" s="1276"/>
      <c r="N250" s="298"/>
      <c r="O250" s="298"/>
      <c r="P250" s="298"/>
      <c r="Q250" s="298"/>
      <c r="V250" s="3098" t="s">
        <v>25</v>
      </c>
      <c r="W250" s="508">
        <v>7</v>
      </c>
      <c r="X250" s="508">
        <v>7</v>
      </c>
      <c r="Y250" s="508">
        <v>7</v>
      </c>
      <c r="Z250" s="508">
        <v>7</v>
      </c>
      <c r="AA250" s="508">
        <v>7</v>
      </c>
      <c r="AB250" s="2758">
        <v>7</v>
      </c>
      <c r="AC250" s="509"/>
      <c r="AD250" s="509"/>
      <c r="AE250" s="509"/>
      <c r="AF250" s="509"/>
      <c r="AG250" s="509"/>
      <c r="AI250" s="2277"/>
      <c r="AJ250" s="2277"/>
      <c r="AK250" s="2277"/>
      <c r="AL250" s="2277"/>
      <c r="AM250" s="2277"/>
      <c r="AN250" s="2277"/>
      <c r="AO250" s="2277"/>
      <c r="AP250" s="2277"/>
      <c r="AQ250" s="2277"/>
      <c r="AR250" s="2277"/>
      <c r="AS250" s="2277"/>
    </row>
    <row r="251" spans="1:57" x14ac:dyDescent="0.25">
      <c r="AI251" s="2277"/>
      <c r="AJ251" s="2277"/>
      <c r="AK251" s="2277"/>
      <c r="AL251" s="2277"/>
      <c r="AM251" s="2277"/>
      <c r="AN251" s="2277"/>
      <c r="AO251" s="2277"/>
      <c r="AP251" s="2277"/>
      <c r="AQ251" s="2277"/>
      <c r="AR251" s="2277"/>
      <c r="AS251" s="2277"/>
    </row>
    <row r="252" spans="1:57" s="194" customFormat="1" x14ac:dyDescent="0.25">
      <c r="B252" s="3350" t="s">
        <v>1000</v>
      </c>
      <c r="C252" s="3351"/>
      <c r="D252" s="3351"/>
      <c r="E252" s="3351"/>
      <c r="F252" s="3351"/>
      <c r="G252" s="3351"/>
      <c r="H252" s="3351"/>
      <c r="I252" s="3352"/>
      <c r="J252" s="3352"/>
      <c r="K252" s="3352"/>
      <c r="L252" s="3352"/>
      <c r="M252" s="3352"/>
      <c r="N252" s="3353"/>
      <c r="V252" s="3350" t="str">
        <f>B252</f>
        <v>Pipe Insulation</v>
      </c>
      <c r="W252" s="3351"/>
      <c r="X252" s="3351"/>
      <c r="Y252" s="3351"/>
      <c r="Z252" s="3351"/>
      <c r="AA252" s="3351"/>
      <c r="AB252" s="3351"/>
      <c r="AC252" s="3354"/>
      <c r="AD252" s="3354"/>
      <c r="AE252" s="3354"/>
      <c r="AF252" s="3354"/>
      <c r="AG252" s="3354"/>
      <c r="AH252" s="3355"/>
      <c r="AI252" s="2277"/>
      <c r="AJ252" s="2277"/>
      <c r="AK252" s="2277"/>
      <c r="AL252" s="2277"/>
      <c r="AM252" s="2277"/>
      <c r="AN252" s="2277"/>
      <c r="AO252" s="2277"/>
      <c r="AP252" s="2277"/>
      <c r="AQ252" s="2277"/>
      <c r="AR252" s="2277"/>
      <c r="AS252" s="2277"/>
      <c r="BD252" s="546"/>
      <c r="BE252" s="546"/>
    </row>
    <row r="253" spans="1:57" ht="18" customHeight="1" x14ac:dyDescent="0.25"/>
    <row r="254" spans="1:57" ht="30" x14ac:dyDescent="0.25">
      <c r="C254" s="2765" t="s">
        <v>17</v>
      </c>
      <c r="D254" s="2765" t="s">
        <v>616</v>
      </c>
      <c r="E254" s="2765" t="s">
        <v>19</v>
      </c>
      <c r="F254" s="1409" t="s">
        <v>20</v>
      </c>
      <c r="G254" s="1409" t="s">
        <v>21</v>
      </c>
      <c r="H254" s="1409" t="s">
        <v>22</v>
      </c>
      <c r="I254" s="1409" t="s">
        <v>23</v>
      </c>
      <c r="J254" s="1409" t="s">
        <v>24</v>
      </c>
      <c r="K254" s="1409" t="s">
        <v>25</v>
      </c>
      <c r="L254" s="1409" t="s">
        <v>26</v>
      </c>
      <c r="P254" s="768"/>
      <c r="Q254" s="768"/>
      <c r="V254" s="623" t="s">
        <v>27</v>
      </c>
      <c r="W254" s="420">
        <f>$W$6</f>
        <v>43252</v>
      </c>
      <c r="X254" s="420">
        <f>$X$6</f>
        <v>43465</v>
      </c>
      <c r="Y254" s="420">
        <f>$Y$6</f>
        <v>43800</v>
      </c>
      <c r="Z254" s="420">
        <f>$Z$6</f>
        <v>43862</v>
      </c>
      <c r="AA254" s="420">
        <f>$AA$6</f>
        <v>44013</v>
      </c>
      <c r="AB254" s="420">
        <f>$AB$6</f>
        <v>44166</v>
      </c>
      <c r="AC254" s="56" t="str">
        <f>$AC$6</f>
        <v>-</v>
      </c>
      <c r="AD254" s="56" t="str">
        <f>$AD$6</f>
        <v>-</v>
      </c>
      <c r="AE254" s="56" t="str">
        <f>$AE$6</f>
        <v>-</v>
      </c>
      <c r="AF254" s="56" t="str">
        <f>$AF$6</f>
        <v>-</v>
      </c>
      <c r="AG254" s="56" t="str">
        <f>$AG$6</f>
        <v>-</v>
      </c>
      <c r="AH254" s="553"/>
      <c r="AI254" s="553"/>
      <c r="AJ254" s="553"/>
      <c r="AK254" s="553"/>
      <c r="AL254" s="553"/>
      <c r="AM254" s="553"/>
      <c r="AN254" s="553"/>
      <c r="AO254" s="553"/>
      <c r="AP254" s="553"/>
      <c r="AQ254" s="553"/>
      <c r="AR254" s="553"/>
      <c r="AS254" s="553"/>
      <c r="BB254" s="93" t="str">
        <f>$BB$6</f>
        <v>TRC (2020)</v>
      </c>
      <c r="BC254" s="93" t="str">
        <f>$BC$6</f>
        <v>Benefit Lookup</v>
      </c>
      <c r="BD254" s="279" t="str">
        <f>$BD$6</f>
        <v>Benefits (2019 $)</v>
      </c>
      <c r="BE254" s="279" t="str">
        <f>$BE$6</f>
        <v>Incremental Cost (2019 $)</v>
      </c>
    </row>
    <row r="255" spans="1:57" x14ac:dyDescent="0.25">
      <c r="C255" s="3076" t="s">
        <v>1001</v>
      </c>
      <c r="D255" s="3080" t="s">
        <v>875</v>
      </c>
      <c r="E255" s="3015" t="s">
        <v>1000</v>
      </c>
      <c r="F255" s="601">
        <f>ROUND(((((G265/G267)-(G268/G270))*G272*G273*G275)/(G276*G277))*G278*G281*G283,2)</f>
        <v>3.24</v>
      </c>
      <c r="G255" s="3080" t="s">
        <v>622</v>
      </c>
      <c r="H255" s="515">
        <f>VLOOKUP(G255,'CP FACTORS'!$A$3:$B$38, 2, FALSE)</f>
        <v>8.8731800000000003E-5</v>
      </c>
      <c r="I255" s="516">
        <f>ROUND(F255*H255,6)</f>
        <v>2.8699999999999998E-4</v>
      </c>
      <c r="J255" s="187">
        <f>$G$290</f>
        <v>12</v>
      </c>
      <c r="K255" s="619">
        <f>$G$291</f>
        <v>2.87</v>
      </c>
      <c r="L255" s="1694" t="s">
        <v>1002</v>
      </c>
      <c r="M255" s="413"/>
      <c r="P255" s="194"/>
      <c r="Q255" s="603"/>
      <c r="R255" s="1627"/>
      <c r="S255" s="648"/>
      <c r="T255" s="1678"/>
      <c r="U255" s="768"/>
      <c r="V255" s="2309" t="str">
        <f>F254</f>
        <v>kWh Annual Savings</v>
      </c>
      <c r="W255" s="92">
        <v>10.441734565420308</v>
      </c>
      <c r="X255" s="620">
        <v>3.3686994747178916</v>
      </c>
      <c r="Y255" s="621">
        <v>4.09</v>
      </c>
      <c r="Z255" s="89">
        <v>4.09</v>
      </c>
      <c r="AA255" s="89">
        <v>4.09</v>
      </c>
      <c r="AB255" s="2322">
        <v>3.24</v>
      </c>
      <c r="AC255" s="622"/>
      <c r="AD255" s="622"/>
      <c r="AE255" s="622"/>
      <c r="AF255" s="622"/>
      <c r="AG255" s="622"/>
      <c r="AH255" s="211"/>
      <c r="BB255" s="2945">
        <f>(BD255)/(BE255)</f>
        <v>0.4824560577854296</v>
      </c>
      <c r="BC255" s="2922" t="str">
        <f>CONCATENATE(G255," ",J255," Year EUL")</f>
        <v>Water Heating RES 12 Year EUL</v>
      </c>
      <c r="BD255" s="2943">
        <f>(INDEX('Avoided Cost Benefits'!$C$4:$C$857,MATCH(BC255,'Avoided Cost Benefits'!$A$4:$A$857,0)))*F255</f>
        <v>1.3068889908864396</v>
      </c>
      <c r="BE255" s="2944">
        <f>K255/(1.0595^(2020-2019))</f>
        <v>2.7088249174138741</v>
      </c>
    </row>
    <row r="256" spans="1:57" s="2277" customFormat="1" x14ac:dyDescent="0.25">
      <c r="A256" s="157"/>
      <c r="B256" s="157"/>
      <c r="C256" s="3076" t="s">
        <v>3603</v>
      </c>
      <c r="D256" s="4144" t="s">
        <v>3853</v>
      </c>
      <c r="E256" s="3015" t="s">
        <v>3791</v>
      </c>
      <c r="F256" s="601">
        <f>ROUND(((((G265/G267)-(G268/G270))*G272*G273*G275)/(G276*G277))*G278*G282*G286,2)</f>
        <v>2.59</v>
      </c>
      <c r="G256" s="3080" t="s">
        <v>622</v>
      </c>
      <c r="H256" s="515">
        <f>VLOOKUP(G256,'CP FACTORS'!$A$3:$B$38, 2, FALSE)</f>
        <v>8.8731800000000003E-5</v>
      </c>
      <c r="I256" s="516">
        <v>2.1000000000000001E-4</v>
      </c>
      <c r="J256" s="187">
        <f t="shared" ref="J256:J258" si="23">$G$290</f>
        <v>12</v>
      </c>
      <c r="K256" s="619">
        <f t="shared" ref="K256:K258" si="24">$G$291</f>
        <v>2.87</v>
      </c>
      <c r="L256" s="1694" t="s">
        <v>1002</v>
      </c>
      <c r="M256" s="413"/>
      <c r="N256" s="157"/>
      <c r="O256" s="277"/>
      <c r="P256" s="194"/>
      <c r="Q256" s="194"/>
      <c r="R256" s="1627"/>
      <c r="S256" s="648"/>
      <c r="T256" s="768"/>
      <c r="U256" s="768"/>
      <c r="V256" s="2309" t="str">
        <f>V257</f>
        <v>kWh Annual Savings</v>
      </c>
      <c r="W256" s="92"/>
      <c r="X256" s="90"/>
      <c r="Y256" s="621"/>
      <c r="Z256" s="622"/>
      <c r="AA256" s="622"/>
      <c r="AB256" s="2322">
        <v>2.59</v>
      </c>
      <c r="AC256" s="622"/>
      <c r="AD256" s="622"/>
      <c r="AE256" s="622"/>
      <c r="AF256" s="622"/>
      <c r="AG256" s="622"/>
      <c r="AH256" s="211"/>
      <c r="BB256" s="2945">
        <f>(BD256)/(BE256)</f>
        <v>0.38566703384699463</v>
      </c>
      <c r="BC256" s="2922" t="str">
        <f>CONCATENATE(G256," ",J256," Year EUL")</f>
        <v>Water Heating RES 12 Year EUL</v>
      </c>
      <c r="BD256" s="2943">
        <f>(INDEX('Avoided Cost Benefits'!$C$4:$C$857,MATCH(BC256,'Avoided Cost Benefits'!$A$4:$A$857,0)))*F256</f>
        <v>1.044704471109839</v>
      </c>
      <c r="BE256" s="2944">
        <f>K256/(1.0595^(2020-2019))</f>
        <v>2.7088249174138741</v>
      </c>
    </row>
    <row r="257" spans="1:57" x14ac:dyDescent="0.25">
      <c r="C257" s="3076" t="s">
        <v>1003</v>
      </c>
      <c r="D257" s="531" t="s">
        <v>742</v>
      </c>
      <c r="E257" s="3015" t="s">
        <v>1000</v>
      </c>
      <c r="F257" s="601">
        <f>ROUND(((((G265/G267)-(G268/G270))*G272*G273*G275)/(G276*G277))*G279*G282*G284,2)</f>
        <v>15.01</v>
      </c>
      <c r="G257" s="3080" t="s">
        <v>622</v>
      </c>
      <c r="H257" s="515">
        <f>VLOOKUP(G257,'CP FACTORS'!$A$3:$B$38, 2, FALSE)</f>
        <v>8.8731800000000003E-5</v>
      </c>
      <c r="I257" s="516">
        <f>ROUND(F257*H257,6)</f>
        <v>1.3320000000000001E-3</v>
      </c>
      <c r="J257" s="187">
        <f t="shared" si="23"/>
        <v>12</v>
      </c>
      <c r="K257" s="619">
        <f t="shared" si="24"/>
        <v>2.87</v>
      </c>
      <c r="L257" s="1694" t="s">
        <v>1002</v>
      </c>
      <c r="M257" s="413"/>
      <c r="O257" s="277"/>
      <c r="P257" s="194"/>
      <c r="Q257" s="194"/>
      <c r="R257" s="1627"/>
      <c r="S257" s="648"/>
      <c r="T257" s="768"/>
      <c r="U257" s="768"/>
      <c r="V257" s="2309" t="str">
        <f>V255</f>
        <v>kWh Annual Savings</v>
      </c>
      <c r="W257" s="92">
        <v>16.471996316343358</v>
      </c>
      <c r="X257" s="90">
        <v>16.471996316343358</v>
      </c>
      <c r="Y257" s="621">
        <v>15.01</v>
      </c>
      <c r="Z257" s="89">
        <v>15.01</v>
      </c>
      <c r="AA257" s="89">
        <v>15.01</v>
      </c>
      <c r="AB257" s="622">
        <v>15.01</v>
      </c>
      <c r="AC257" s="622"/>
      <c r="AD257" s="622"/>
      <c r="AE257" s="622"/>
      <c r="AF257" s="622"/>
      <c r="AG257" s="622"/>
      <c r="AH257" s="211"/>
      <c r="BB257" s="2945">
        <f>(BD257)/(BE257)</f>
        <v>2.2350819220244746</v>
      </c>
      <c r="BC257" s="2922" t="str">
        <f>CONCATENATE(G257," ",J257," Year EUL")</f>
        <v>Water Heating RES 12 Year EUL</v>
      </c>
      <c r="BD257" s="2943">
        <f>(INDEX('Avoided Cost Benefits'!$C$4:$C$857,MATCH(BC257,'Avoided Cost Benefits'!$A$4:$A$857,0)))*F257</f>
        <v>6.0544456028411906</v>
      </c>
      <c r="BE257" s="2944">
        <f>K257/(1.0595^(2020-2019))</f>
        <v>2.7088249174138741</v>
      </c>
    </row>
    <row r="258" spans="1:57" s="2277" customFormat="1" x14ac:dyDescent="0.25">
      <c r="A258" s="157"/>
      <c r="B258" s="157"/>
      <c r="C258" s="3076" t="s">
        <v>3604</v>
      </c>
      <c r="D258" s="531" t="s">
        <v>3770</v>
      </c>
      <c r="E258" s="3015" t="s">
        <v>3596</v>
      </c>
      <c r="F258" s="601">
        <f>ROUND(((((G266/G267)-(G269/G271))*G272*G274*G275)/(G276*G277))*G280*G282*G285,2)</f>
        <v>3.4</v>
      </c>
      <c r="G258" s="3080" t="s">
        <v>622</v>
      </c>
      <c r="H258" s="515">
        <f>VLOOKUP(G258,'CP FACTORS'!$A$3:$B$38, 2, FALSE)</f>
        <v>8.8731800000000003E-5</v>
      </c>
      <c r="I258" s="516">
        <v>3.0200000000000002E-4</v>
      </c>
      <c r="J258" s="187">
        <f t="shared" si="23"/>
        <v>12</v>
      </c>
      <c r="K258" s="619">
        <f t="shared" si="24"/>
        <v>2.87</v>
      </c>
      <c r="L258" s="1694" t="s">
        <v>1002</v>
      </c>
      <c r="M258" s="413"/>
      <c r="N258" s="157"/>
      <c r="O258" s="277"/>
      <c r="P258" s="194"/>
      <c r="Q258" s="194"/>
      <c r="R258" s="1627"/>
      <c r="S258" s="648"/>
      <c r="T258" s="768"/>
      <c r="U258" s="768"/>
      <c r="V258" s="2309" t="str">
        <f>V256</f>
        <v>kWh Annual Savings</v>
      </c>
      <c r="W258" s="92"/>
      <c r="X258" s="90"/>
      <c r="Y258" s="621"/>
      <c r="Z258" s="622"/>
      <c r="AA258" s="622"/>
      <c r="AB258" s="2322">
        <v>3.4</v>
      </c>
      <c r="AC258" s="622"/>
      <c r="AD258" s="622"/>
      <c r="AE258" s="622"/>
      <c r="AF258" s="622"/>
      <c r="AG258" s="622"/>
      <c r="AH258" s="211"/>
      <c r="BB258" s="2945">
        <f>(BD258)/(BE258)</f>
        <v>0.50628104829335197</v>
      </c>
      <c r="BC258" s="2922" t="str">
        <f>CONCATENATE(G258," ",J258," Year EUL")</f>
        <v>Water Heating RES 12 Year EUL</v>
      </c>
      <c r="BD258" s="2943">
        <f>(INDEX('Avoided Cost Benefits'!$C$4:$C$857,MATCH(BC258,'Avoided Cost Benefits'!$A$4:$A$857,0)))*F258</f>
        <v>1.3714267188314488</v>
      </c>
      <c r="BE258" s="2944">
        <f>K258/(1.0595^(2020-2019))</f>
        <v>2.7088249174138741</v>
      </c>
    </row>
    <row r="259" spans="1:57" outlineLevel="1" x14ac:dyDescent="0.25">
      <c r="O259" s="277"/>
      <c r="P259" s="194"/>
      <c r="Q259" s="194"/>
    </row>
    <row r="260" spans="1:57" outlineLevel="1" x14ac:dyDescent="0.25">
      <c r="D260" s="222" t="s">
        <v>571</v>
      </c>
      <c r="O260" s="1695"/>
      <c r="P260" s="1695"/>
      <c r="Q260" s="1695"/>
    </row>
    <row r="261" spans="1:57" outlineLevel="1" x14ac:dyDescent="0.25">
      <c r="O261" s="1695"/>
      <c r="P261" s="1695"/>
      <c r="Q261" s="1695"/>
    </row>
    <row r="262" spans="1:57" outlineLevel="1" x14ac:dyDescent="0.25">
      <c r="M262" s="629"/>
      <c r="N262" s="277"/>
      <c r="O262" s="277"/>
      <c r="P262" s="277"/>
      <c r="Q262" s="277"/>
      <c r="AI262" s="2277"/>
      <c r="AJ262" s="2277"/>
      <c r="AK262" s="2277"/>
      <c r="AL262" s="2277"/>
      <c r="AM262" s="2277"/>
      <c r="AN262" s="2277"/>
      <c r="AO262" s="2277"/>
      <c r="AP262" s="2277"/>
      <c r="AQ262" s="2277"/>
      <c r="AR262" s="2277"/>
      <c r="AS262" s="2277"/>
    </row>
    <row r="263" spans="1:57" outlineLevel="1" x14ac:dyDescent="0.25">
      <c r="M263" s="629"/>
      <c r="N263" s="277"/>
      <c r="O263" s="277"/>
      <c r="P263" s="277"/>
      <c r="V263" s="623" t="s">
        <v>27</v>
      </c>
      <c r="W263" s="2898"/>
      <c r="X263" s="2898"/>
      <c r="Y263" s="2898"/>
      <c r="Z263" s="2898"/>
      <c r="AA263" s="2898"/>
      <c r="AB263" s="2898"/>
      <c r="AC263" s="624"/>
      <c r="AD263" s="624"/>
      <c r="AE263" s="624"/>
      <c r="AF263" s="624"/>
      <c r="AG263" s="624"/>
      <c r="AH263" s="553"/>
      <c r="AI263" s="2277"/>
      <c r="AJ263" s="2277"/>
      <c r="AK263" s="2277"/>
      <c r="AL263" s="2277"/>
      <c r="AM263" s="2277"/>
      <c r="AN263" s="2277"/>
      <c r="AO263" s="2277"/>
      <c r="AP263" s="2277"/>
      <c r="AQ263" s="2277"/>
      <c r="AR263" s="2277"/>
      <c r="AS263" s="2277"/>
    </row>
    <row r="264" spans="1:57" outlineLevel="1" x14ac:dyDescent="0.25">
      <c r="D264" s="2371" t="s">
        <v>572</v>
      </c>
      <c r="E264" s="2772" t="s">
        <v>573</v>
      </c>
      <c r="F264" s="2362" t="s">
        <v>3539</v>
      </c>
      <c r="G264" s="2362" t="s">
        <v>574</v>
      </c>
      <c r="H264" s="3483" t="s">
        <v>624</v>
      </c>
      <c r="I264" s="3484"/>
      <c r="J264" s="3419" t="s">
        <v>575</v>
      </c>
      <c r="K264" s="3419"/>
      <c r="L264" s="3419"/>
      <c r="M264" s="1696"/>
      <c r="N264" s="375"/>
      <c r="O264" s="277"/>
      <c r="P264" s="277"/>
      <c r="V264" s="3170"/>
      <c r="W264" s="2604"/>
      <c r="X264" s="2604"/>
      <c r="Y264" s="2604"/>
      <c r="Z264" s="2604"/>
      <c r="AA264" s="2604"/>
      <c r="AB264" s="2604"/>
      <c r="AC264" s="2604"/>
      <c r="AD264" s="2604"/>
      <c r="AE264" s="2604"/>
      <c r="AF264" s="2604"/>
      <c r="AG264" s="2604"/>
      <c r="AI264" s="2277"/>
      <c r="AJ264" s="2277"/>
      <c r="AK264" s="2277"/>
      <c r="AL264" s="2277"/>
      <c r="AM264" s="2277"/>
      <c r="AN264" s="2277"/>
      <c r="AO264" s="2277"/>
      <c r="AP264" s="2277"/>
      <c r="AQ264" s="2277"/>
      <c r="AR264" s="2277"/>
      <c r="AS264" s="2277"/>
    </row>
    <row r="265" spans="1:57" ht="15.6" customHeight="1" outlineLevel="1" x14ac:dyDescent="0.25">
      <c r="D265" s="3520" t="s">
        <v>1004</v>
      </c>
      <c r="E265" s="3515" t="s">
        <v>1005</v>
      </c>
      <c r="F265" s="513" t="s">
        <v>3555</v>
      </c>
      <c r="G265" s="625">
        <f>(PI()*G287)/12</f>
        <v>0.19634954084936207</v>
      </c>
      <c r="H265" s="3518" t="s">
        <v>3593</v>
      </c>
      <c r="I265" s="3518"/>
      <c r="J265" s="3513" t="s">
        <v>1006</v>
      </c>
      <c r="K265" s="3513"/>
      <c r="L265" s="3513"/>
      <c r="M265" s="629"/>
      <c r="N265" s="277"/>
      <c r="O265" s="277"/>
      <c r="P265" s="277"/>
      <c r="V265" s="3569" t="s">
        <v>1004</v>
      </c>
      <c r="W265" s="626">
        <f>(PI()*W287)/12</f>
        <v>0.19634954084936207</v>
      </c>
      <c r="X265" s="626">
        <f>(PI()*X287)/12</f>
        <v>0.19634954084936207</v>
      </c>
      <c r="Y265" s="626">
        <f>(PI()*Y287)/12</f>
        <v>0.19634954084936207</v>
      </c>
      <c r="Z265" s="626">
        <f t="shared" ref="Z265:AG291" si="25">IF(Z$6="-","",Y265)</f>
        <v>0.19634954084936207</v>
      </c>
      <c r="AA265" s="626">
        <f t="shared" si="25"/>
        <v>0.19634954084936207</v>
      </c>
      <c r="AB265" s="626">
        <v>0.19634954084936207</v>
      </c>
      <c r="AC265" s="626" t="str">
        <f t="shared" si="25"/>
        <v/>
      </c>
      <c r="AD265" s="626" t="str">
        <f t="shared" si="25"/>
        <v/>
      </c>
      <c r="AE265" s="626" t="str">
        <f t="shared" si="25"/>
        <v/>
      </c>
      <c r="AF265" s="626" t="str">
        <f t="shared" si="25"/>
        <v/>
      </c>
      <c r="AG265" s="626" t="str">
        <f t="shared" si="25"/>
        <v/>
      </c>
      <c r="AI265" s="2277"/>
      <c r="AJ265" s="2277"/>
      <c r="AK265" s="2277"/>
      <c r="AL265" s="2277"/>
      <c r="AM265" s="2277"/>
      <c r="AN265" s="2277"/>
      <c r="AO265" s="2277"/>
      <c r="AP265" s="2277"/>
      <c r="AQ265" s="2277"/>
      <c r="AR265" s="2277"/>
      <c r="AS265" s="2277"/>
    </row>
    <row r="266" spans="1:57" s="2277" customFormat="1" outlineLevel="1" x14ac:dyDescent="0.25">
      <c r="A266" s="157"/>
      <c r="B266" s="157"/>
      <c r="C266" s="386"/>
      <c r="D266" s="3520"/>
      <c r="E266" s="3515"/>
      <c r="F266" s="513" t="s">
        <v>3541</v>
      </c>
      <c r="G266" s="625">
        <v>0.14398966328953219</v>
      </c>
      <c r="H266" s="3518" t="s">
        <v>3593</v>
      </c>
      <c r="I266" s="3518"/>
      <c r="J266" s="3510"/>
      <c r="K266" s="3511"/>
      <c r="L266" s="3512"/>
      <c r="M266" s="629"/>
      <c r="N266" s="277"/>
      <c r="O266" s="277"/>
      <c r="P266" s="277"/>
      <c r="Q266" s="157"/>
      <c r="R266" s="157"/>
      <c r="S266" s="157"/>
      <c r="T266" s="157"/>
      <c r="U266" s="157"/>
      <c r="V266" s="3570"/>
      <c r="W266" s="626"/>
      <c r="X266" s="626"/>
      <c r="Y266" s="626"/>
      <c r="Z266" s="626"/>
      <c r="AA266" s="626"/>
      <c r="AB266" s="1170">
        <v>0.14398966328953219</v>
      </c>
      <c r="AC266" s="626"/>
      <c r="AD266" s="626"/>
      <c r="AE266" s="626"/>
      <c r="AF266" s="626"/>
      <c r="AG266" s="626"/>
      <c r="BD266" s="1"/>
      <c r="BE266" s="1"/>
    </row>
    <row r="267" spans="1:57" ht="32.25" outlineLevel="1" x14ac:dyDescent="0.25">
      <c r="D267" s="3018" t="s">
        <v>1007</v>
      </c>
      <c r="E267" s="3017" t="s">
        <v>1008</v>
      </c>
      <c r="F267" s="513" t="s">
        <v>591</v>
      </c>
      <c r="G267" s="187">
        <v>1</v>
      </c>
      <c r="H267" s="3521" t="s">
        <v>1009</v>
      </c>
      <c r="I267" s="3521"/>
      <c r="J267" s="3510" t="s">
        <v>632</v>
      </c>
      <c r="K267" s="3511"/>
      <c r="L267" s="3512"/>
      <c r="M267" s="629"/>
      <c r="N267" s="277"/>
      <c r="O267" s="277"/>
      <c r="P267" s="277"/>
      <c r="V267" s="3018" t="s">
        <v>1007</v>
      </c>
      <c r="W267" s="187">
        <v>1</v>
      </c>
      <c r="X267" s="187">
        <v>1</v>
      </c>
      <c r="Y267" s="187">
        <v>1</v>
      </c>
      <c r="Z267" s="187">
        <f t="shared" si="25"/>
        <v>1</v>
      </c>
      <c r="AA267" s="187">
        <f t="shared" si="25"/>
        <v>1</v>
      </c>
      <c r="AB267" s="187">
        <v>1</v>
      </c>
      <c r="AC267" s="187" t="str">
        <f t="shared" si="25"/>
        <v/>
      </c>
      <c r="AD267" s="187" t="str">
        <f t="shared" si="25"/>
        <v/>
      </c>
      <c r="AE267" s="187" t="str">
        <f t="shared" si="25"/>
        <v/>
      </c>
      <c r="AF267" s="187" t="str">
        <f t="shared" si="25"/>
        <v/>
      </c>
      <c r="AG267" s="187" t="str">
        <f t="shared" si="25"/>
        <v/>
      </c>
      <c r="AI267" s="2277"/>
      <c r="AJ267" s="2277"/>
      <c r="AK267" s="2277"/>
      <c r="AL267" s="2277"/>
      <c r="AM267" s="2277"/>
      <c r="AN267" s="2277"/>
      <c r="AO267" s="2277"/>
      <c r="AP267" s="2277"/>
      <c r="AQ267" s="2277"/>
      <c r="AR267" s="2277"/>
      <c r="AS267" s="2277"/>
    </row>
    <row r="268" spans="1:57" outlineLevel="1" x14ac:dyDescent="0.25">
      <c r="D268" s="3519" t="s">
        <v>1010</v>
      </c>
      <c r="E268" s="3517" t="s">
        <v>1011</v>
      </c>
      <c r="F268" s="513" t="s">
        <v>3555</v>
      </c>
      <c r="G268" s="625">
        <f>(PI()*(G287+(G289*2))/12)</f>
        <v>0.45814892864851148</v>
      </c>
      <c r="H268" s="3459" t="s">
        <v>3594</v>
      </c>
      <c r="I268" s="3459"/>
      <c r="J268" s="3477" t="s">
        <v>1013</v>
      </c>
      <c r="K268" s="3478"/>
      <c r="L268" s="3479"/>
      <c r="M268" s="629"/>
      <c r="N268" s="277"/>
      <c r="O268" s="277"/>
      <c r="P268" s="277"/>
      <c r="V268" s="3569" t="s">
        <v>1010</v>
      </c>
      <c r="W268" s="627">
        <f>(PI()*(W287+(W289*2))/12)</f>
        <v>0.45814892864851148</v>
      </c>
      <c r="X268" s="627">
        <f>(PI()*(X287+(X289*2))/12)</f>
        <v>0.45814892864851148</v>
      </c>
      <c r="Y268" s="627">
        <f>(PI()*(Y287+(Y289*2))/12)</f>
        <v>0.45814892864851148</v>
      </c>
      <c r="Z268" s="627">
        <f t="shared" si="25"/>
        <v>0.45814892864851148</v>
      </c>
      <c r="AA268" s="627">
        <f t="shared" si="25"/>
        <v>0.45814892864851148</v>
      </c>
      <c r="AB268" s="627">
        <v>0.45814892864851148</v>
      </c>
      <c r="AC268" s="627" t="str">
        <f t="shared" si="25"/>
        <v/>
      </c>
      <c r="AD268" s="627" t="str">
        <f t="shared" si="25"/>
        <v/>
      </c>
      <c r="AE268" s="627" t="str">
        <f t="shared" si="25"/>
        <v/>
      </c>
      <c r="AF268" s="627" t="str">
        <f t="shared" si="25"/>
        <v/>
      </c>
      <c r="AG268" s="627" t="str">
        <f t="shared" si="25"/>
        <v/>
      </c>
      <c r="AI268" s="2277"/>
      <c r="AJ268" s="2277"/>
      <c r="AK268" s="2277"/>
      <c r="AL268" s="2277"/>
      <c r="AM268" s="2277"/>
      <c r="AN268" s="2277"/>
      <c r="AO268" s="2277"/>
      <c r="AP268" s="2277"/>
      <c r="AQ268" s="2277"/>
      <c r="AR268" s="2277"/>
      <c r="AS268" s="2277"/>
    </row>
    <row r="269" spans="1:57" s="2277" customFormat="1" outlineLevel="1" x14ac:dyDescent="0.25">
      <c r="A269" s="157"/>
      <c r="B269" s="157"/>
      <c r="C269" s="386"/>
      <c r="D269" s="3519"/>
      <c r="E269" s="3517"/>
      <c r="F269" s="513" t="s">
        <v>3541</v>
      </c>
      <c r="G269" s="625">
        <v>0.40578905108868163</v>
      </c>
      <c r="H269" s="3459" t="s">
        <v>3594</v>
      </c>
      <c r="I269" s="3459"/>
      <c r="J269" s="3477"/>
      <c r="K269" s="3478"/>
      <c r="L269" s="3479"/>
      <c r="M269" s="629"/>
      <c r="N269" s="277"/>
      <c r="O269" s="277"/>
      <c r="P269" s="277"/>
      <c r="Q269" s="157"/>
      <c r="R269" s="157"/>
      <c r="S269" s="157"/>
      <c r="T269" s="157"/>
      <c r="U269" s="157"/>
      <c r="V269" s="3570"/>
      <c r="W269" s="627"/>
      <c r="X269" s="627"/>
      <c r="Y269" s="627"/>
      <c r="Z269" s="627"/>
      <c r="AA269" s="627"/>
      <c r="AB269" s="621">
        <v>0.40578905108868163</v>
      </c>
      <c r="AC269" s="627"/>
      <c r="AD269" s="627"/>
      <c r="AE269" s="627"/>
      <c r="AF269" s="627"/>
      <c r="AG269" s="627"/>
      <c r="BD269" s="1"/>
      <c r="BE269" s="1"/>
    </row>
    <row r="270" spans="1:57" ht="15.6" customHeight="1" outlineLevel="1" x14ac:dyDescent="0.25">
      <c r="D270" s="3519" t="s">
        <v>1014</v>
      </c>
      <c r="E270" s="3517" t="s">
        <v>1015</v>
      </c>
      <c r="F270" s="513" t="s">
        <v>3555</v>
      </c>
      <c r="G270" s="138">
        <f>1+3.54</f>
        <v>4.54</v>
      </c>
      <c r="H270" s="3459" t="s">
        <v>1012</v>
      </c>
      <c r="I270" s="3459"/>
      <c r="J270" s="3477" t="s">
        <v>1016</v>
      </c>
      <c r="K270" s="3478"/>
      <c r="L270" s="3479"/>
      <c r="M270" s="629"/>
      <c r="N270" s="277"/>
      <c r="O270" s="277"/>
      <c r="P270" s="277"/>
      <c r="V270" s="3569" t="s">
        <v>1014</v>
      </c>
      <c r="W270" s="138">
        <f>4+1</f>
        <v>5</v>
      </c>
      <c r="X270" s="138">
        <f>4+1</f>
        <v>5</v>
      </c>
      <c r="Y270" s="149">
        <f>1+3.54</f>
        <v>4.54</v>
      </c>
      <c r="Z270" s="138">
        <f t="shared" si="25"/>
        <v>4.54</v>
      </c>
      <c r="AA270" s="138">
        <f t="shared" si="25"/>
        <v>4.54</v>
      </c>
      <c r="AB270" s="138">
        <v>4.54</v>
      </c>
      <c r="AC270" s="138" t="str">
        <f t="shared" si="25"/>
        <v/>
      </c>
      <c r="AD270" s="138" t="str">
        <f t="shared" si="25"/>
        <v/>
      </c>
      <c r="AE270" s="138" t="str">
        <f t="shared" si="25"/>
        <v/>
      </c>
      <c r="AF270" s="138" t="str">
        <f t="shared" si="25"/>
        <v/>
      </c>
      <c r="AG270" s="138" t="str">
        <f t="shared" si="25"/>
        <v/>
      </c>
      <c r="AI270" s="2277"/>
      <c r="AJ270" s="2277"/>
      <c r="AK270" s="2277"/>
      <c r="AL270" s="2277"/>
      <c r="AM270" s="2277"/>
      <c r="AN270" s="2277"/>
      <c r="AO270" s="2277"/>
      <c r="AP270" s="2277"/>
      <c r="AQ270" s="2277"/>
      <c r="AR270" s="2277"/>
      <c r="AS270" s="2277"/>
    </row>
    <row r="271" spans="1:57" s="2277" customFormat="1" outlineLevel="1" x14ac:dyDescent="0.25">
      <c r="A271" s="157"/>
      <c r="B271" s="157"/>
      <c r="C271" s="386"/>
      <c r="D271" s="3519"/>
      <c r="E271" s="3517"/>
      <c r="F271" s="513" t="s">
        <v>3541</v>
      </c>
      <c r="G271" s="138">
        <f>1+3.54</f>
        <v>4.54</v>
      </c>
      <c r="H271" s="3459" t="s">
        <v>1012</v>
      </c>
      <c r="I271" s="3459"/>
      <c r="J271" s="3477"/>
      <c r="K271" s="3478"/>
      <c r="L271" s="3479"/>
      <c r="M271" s="629"/>
      <c r="N271" s="277"/>
      <c r="O271" s="277"/>
      <c r="P271" s="277"/>
      <c r="Q271" s="157"/>
      <c r="R271" s="157"/>
      <c r="S271" s="157"/>
      <c r="T271" s="157"/>
      <c r="U271" s="157"/>
      <c r="V271" s="3570"/>
      <c r="W271" s="138"/>
      <c r="X271" s="138"/>
      <c r="Y271" s="149"/>
      <c r="Z271" s="138"/>
      <c r="AA271" s="138"/>
      <c r="AB271" s="149">
        <v>4.54</v>
      </c>
      <c r="AC271" s="138"/>
      <c r="AD271" s="138"/>
      <c r="AE271" s="138"/>
      <c r="AF271" s="138"/>
      <c r="AG271" s="138"/>
      <c r="BD271" s="1"/>
      <c r="BE271" s="1"/>
    </row>
    <row r="272" spans="1:57" ht="30" outlineLevel="1" x14ac:dyDescent="0.25">
      <c r="D272" s="533" t="s">
        <v>1017</v>
      </c>
      <c r="E272" s="3015" t="s">
        <v>1018</v>
      </c>
      <c r="F272" s="513" t="s">
        <v>591</v>
      </c>
      <c r="G272" s="628">
        <v>1</v>
      </c>
      <c r="H272" s="3459" t="s">
        <v>1019</v>
      </c>
      <c r="I272" s="3459"/>
      <c r="J272" s="3477" t="s">
        <v>632</v>
      </c>
      <c r="K272" s="3478"/>
      <c r="L272" s="3479"/>
      <c r="M272" s="629"/>
      <c r="N272" s="277"/>
      <c r="O272" s="277"/>
      <c r="P272" s="277"/>
      <c r="V272" s="3171" t="s">
        <v>1017</v>
      </c>
      <c r="W272" s="628">
        <v>1</v>
      </c>
      <c r="X272" s="628">
        <v>1</v>
      </c>
      <c r="Y272" s="628">
        <v>1</v>
      </c>
      <c r="Z272" s="628">
        <f t="shared" si="25"/>
        <v>1</v>
      </c>
      <c r="AA272" s="628">
        <f t="shared" si="25"/>
        <v>1</v>
      </c>
      <c r="AB272" s="628">
        <v>1</v>
      </c>
      <c r="AC272" s="628" t="str">
        <f t="shared" si="25"/>
        <v/>
      </c>
      <c r="AD272" s="628" t="str">
        <f t="shared" si="25"/>
        <v/>
      </c>
      <c r="AE272" s="628" t="str">
        <f t="shared" si="25"/>
        <v/>
      </c>
      <c r="AF272" s="628" t="str">
        <f t="shared" si="25"/>
        <v/>
      </c>
      <c r="AG272" s="628" t="str">
        <f t="shared" si="25"/>
        <v/>
      </c>
      <c r="AI272" s="2277"/>
      <c r="AJ272" s="2277"/>
      <c r="AK272" s="2277"/>
      <c r="AL272" s="2277"/>
      <c r="AM272" s="2277"/>
      <c r="AN272" s="2277"/>
      <c r="AO272" s="2277"/>
      <c r="AP272" s="2277"/>
      <c r="AQ272" s="2277"/>
      <c r="AR272" s="2277"/>
      <c r="AS272" s="2277"/>
    </row>
    <row r="273" spans="1:57" outlineLevel="1" x14ac:dyDescent="0.25">
      <c r="D273" s="3519" t="s">
        <v>1020</v>
      </c>
      <c r="E273" s="3517" t="s">
        <v>1021</v>
      </c>
      <c r="F273" s="513" t="s">
        <v>3555</v>
      </c>
      <c r="G273" s="628">
        <v>60</v>
      </c>
      <c r="H273" s="3459" t="s">
        <v>1009</v>
      </c>
      <c r="I273" s="3459"/>
      <c r="J273" s="3459" t="s">
        <v>1022</v>
      </c>
      <c r="K273" s="3459"/>
      <c r="L273" s="3459"/>
      <c r="M273" s="629"/>
      <c r="N273" s="277"/>
      <c r="O273" s="277"/>
      <c r="P273" s="277"/>
      <c r="V273" s="3569" t="s">
        <v>1020</v>
      </c>
      <c r="W273" s="628">
        <v>60</v>
      </c>
      <c r="X273" s="628">
        <v>60</v>
      </c>
      <c r="Y273" s="628">
        <v>60</v>
      </c>
      <c r="Z273" s="628">
        <f t="shared" si="25"/>
        <v>60</v>
      </c>
      <c r="AA273" s="628">
        <f t="shared" si="25"/>
        <v>60</v>
      </c>
      <c r="AB273" s="628">
        <v>60</v>
      </c>
      <c r="AC273" s="628" t="str">
        <f t="shared" si="25"/>
        <v/>
      </c>
      <c r="AD273" s="628" t="str">
        <f t="shared" si="25"/>
        <v/>
      </c>
      <c r="AE273" s="628" t="str">
        <f t="shared" si="25"/>
        <v/>
      </c>
      <c r="AF273" s="628" t="str">
        <f t="shared" si="25"/>
        <v/>
      </c>
      <c r="AG273" s="628" t="str">
        <f t="shared" si="25"/>
        <v/>
      </c>
      <c r="AI273" s="2277"/>
      <c r="AJ273" s="2277"/>
      <c r="AK273" s="2277"/>
      <c r="AL273" s="2277"/>
      <c r="AM273" s="2277"/>
      <c r="AN273" s="2277"/>
      <c r="AO273" s="2277"/>
      <c r="AP273" s="2277"/>
      <c r="AQ273" s="2277"/>
      <c r="AR273" s="2277"/>
      <c r="AS273" s="2277"/>
    </row>
    <row r="274" spans="1:57" s="2277" customFormat="1" outlineLevel="1" x14ac:dyDescent="0.25">
      <c r="A274" s="157"/>
      <c r="B274" s="157"/>
      <c r="C274" s="386"/>
      <c r="D274" s="3519"/>
      <c r="E274" s="3517"/>
      <c r="F274" s="513" t="s">
        <v>3541</v>
      </c>
      <c r="G274" s="628">
        <v>58.9</v>
      </c>
      <c r="H274" s="3459" t="s">
        <v>1193</v>
      </c>
      <c r="I274" s="3459"/>
      <c r="J274" s="3477"/>
      <c r="K274" s="3478"/>
      <c r="L274" s="3479"/>
      <c r="M274" s="629"/>
      <c r="N274" s="277"/>
      <c r="O274" s="277"/>
      <c r="P274" s="277"/>
      <c r="Q274" s="157"/>
      <c r="R274" s="157"/>
      <c r="S274" s="157"/>
      <c r="T274" s="157"/>
      <c r="U274" s="157"/>
      <c r="V274" s="3570"/>
      <c r="W274" s="628"/>
      <c r="X274" s="628"/>
      <c r="Y274" s="628"/>
      <c r="Z274" s="628"/>
      <c r="AA274" s="628"/>
      <c r="AB274" s="1178">
        <v>58.9</v>
      </c>
      <c r="AC274" s="628"/>
      <c r="AD274" s="628"/>
      <c r="AE274" s="628"/>
      <c r="AF274" s="628"/>
      <c r="AG274" s="628"/>
      <c r="BD274" s="1"/>
      <c r="BE274" s="1"/>
    </row>
    <row r="275" spans="1:57" outlineLevel="1" x14ac:dyDescent="0.25">
      <c r="D275" s="3016" t="s">
        <v>77</v>
      </c>
      <c r="E275" s="3015" t="s">
        <v>1023</v>
      </c>
      <c r="F275" s="513" t="s">
        <v>591</v>
      </c>
      <c r="G275" s="3079">
        <v>8766</v>
      </c>
      <c r="H275" s="3459" t="s">
        <v>1009</v>
      </c>
      <c r="I275" s="3459"/>
      <c r="J275" s="3459" t="s">
        <v>1022</v>
      </c>
      <c r="K275" s="3459"/>
      <c r="L275" s="3459"/>
      <c r="M275" s="629"/>
      <c r="N275" s="277"/>
      <c r="O275" s="277"/>
      <c r="P275" s="277"/>
      <c r="V275" s="3018" t="s">
        <v>77</v>
      </c>
      <c r="W275" s="2769">
        <v>8766</v>
      </c>
      <c r="X275" s="2769">
        <v>8766</v>
      </c>
      <c r="Y275" s="2769">
        <v>8766</v>
      </c>
      <c r="Z275" s="2769">
        <f t="shared" si="25"/>
        <v>8766</v>
      </c>
      <c r="AA275" s="2769">
        <f t="shared" si="25"/>
        <v>8766</v>
      </c>
      <c r="AB275" s="2769">
        <v>8766</v>
      </c>
      <c r="AC275" s="60" t="str">
        <f t="shared" si="25"/>
        <v/>
      </c>
      <c r="AD275" s="60" t="str">
        <f t="shared" si="25"/>
        <v/>
      </c>
      <c r="AE275" s="60" t="str">
        <f t="shared" si="25"/>
        <v/>
      </c>
      <c r="AF275" s="60" t="str">
        <f t="shared" si="25"/>
        <v/>
      </c>
      <c r="AG275" s="60" t="str">
        <f t="shared" si="25"/>
        <v/>
      </c>
      <c r="AI275" s="2277"/>
      <c r="AJ275" s="2277"/>
      <c r="AK275" s="2277"/>
      <c r="AL275" s="2277"/>
      <c r="AM275" s="2277"/>
      <c r="AN275" s="2277"/>
      <c r="AO275" s="2277"/>
      <c r="AP275" s="2277"/>
      <c r="AQ275" s="2277"/>
      <c r="AR275" s="2277"/>
      <c r="AS275" s="2277"/>
    </row>
    <row r="276" spans="1:57" ht="18" outlineLevel="1" x14ac:dyDescent="0.25">
      <c r="D276" s="3016" t="s">
        <v>1024</v>
      </c>
      <c r="E276" s="3015" t="s">
        <v>1025</v>
      </c>
      <c r="F276" s="513" t="s">
        <v>591</v>
      </c>
      <c r="G276" s="630">
        <v>0.98</v>
      </c>
      <c r="H276" s="3459" t="s">
        <v>1009</v>
      </c>
      <c r="I276" s="3459"/>
      <c r="J276" s="3459" t="s">
        <v>632</v>
      </c>
      <c r="K276" s="3459" t="s">
        <v>632</v>
      </c>
      <c r="L276" s="3459" t="s">
        <v>632</v>
      </c>
      <c r="M276" s="629"/>
      <c r="N276" s="277"/>
      <c r="O276" s="277"/>
      <c r="P276" s="277"/>
      <c r="V276" s="3018" t="s">
        <v>1024</v>
      </c>
      <c r="W276" s="630">
        <v>0.98</v>
      </c>
      <c r="X276" s="630">
        <v>0.98</v>
      </c>
      <c r="Y276" s="630">
        <v>0.98</v>
      </c>
      <c r="Z276" s="630">
        <f t="shared" si="25"/>
        <v>0.98</v>
      </c>
      <c r="AA276" s="630">
        <f t="shared" si="25"/>
        <v>0.98</v>
      </c>
      <c r="AB276" s="630">
        <v>0.98</v>
      </c>
      <c r="AC276" s="630" t="str">
        <f t="shared" si="25"/>
        <v/>
      </c>
      <c r="AD276" s="630" t="str">
        <f t="shared" si="25"/>
        <v/>
      </c>
      <c r="AE276" s="630" t="str">
        <f t="shared" si="25"/>
        <v/>
      </c>
      <c r="AF276" s="630" t="str">
        <f t="shared" si="25"/>
        <v/>
      </c>
      <c r="AG276" s="630" t="str">
        <f t="shared" si="25"/>
        <v/>
      </c>
      <c r="AI276" s="2277"/>
      <c r="AJ276" s="2277"/>
      <c r="AK276" s="2277"/>
      <c r="AL276" s="2277"/>
      <c r="AM276" s="2277"/>
      <c r="AN276" s="2277"/>
      <c r="AO276" s="2277"/>
      <c r="AP276" s="2277"/>
      <c r="AQ276" s="2277"/>
      <c r="AR276" s="2277"/>
      <c r="AS276" s="2277"/>
    </row>
    <row r="277" spans="1:57" outlineLevel="1" x14ac:dyDescent="0.25">
      <c r="D277" s="3016">
        <v>3412</v>
      </c>
      <c r="E277" s="3015" t="s">
        <v>1026</v>
      </c>
      <c r="F277" s="513" t="s">
        <v>591</v>
      </c>
      <c r="G277" s="575">
        <v>3412</v>
      </c>
      <c r="H277" s="3459" t="s">
        <v>1009</v>
      </c>
      <c r="I277" s="3459"/>
      <c r="J277" s="3459" t="s">
        <v>1022</v>
      </c>
      <c r="K277" s="3459"/>
      <c r="L277" s="3459"/>
      <c r="O277" s="277"/>
      <c r="P277" s="277"/>
      <c r="V277" s="3018">
        <v>3412</v>
      </c>
      <c r="W277" s="575">
        <v>3412</v>
      </c>
      <c r="X277" s="575">
        <v>3412</v>
      </c>
      <c r="Y277" s="575">
        <v>3412</v>
      </c>
      <c r="Z277" s="575">
        <f t="shared" si="25"/>
        <v>3412</v>
      </c>
      <c r="AA277" s="575">
        <f t="shared" si="25"/>
        <v>3412</v>
      </c>
      <c r="AB277" s="575">
        <v>3412</v>
      </c>
      <c r="AC277" s="575" t="str">
        <f t="shared" si="25"/>
        <v/>
      </c>
      <c r="AD277" s="575" t="str">
        <f t="shared" si="25"/>
        <v/>
      </c>
      <c r="AE277" s="575" t="str">
        <f t="shared" si="25"/>
        <v/>
      </c>
      <c r="AF277" s="575" t="str">
        <f t="shared" si="25"/>
        <v/>
      </c>
      <c r="AG277" s="575" t="str">
        <f t="shared" si="25"/>
        <v/>
      </c>
      <c r="AI277" s="2277"/>
      <c r="AJ277" s="2277"/>
      <c r="AK277" s="2277"/>
      <c r="AL277" s="2277"/>
      <c r="AM277" s="2277"/>
      <c r="AN277" s="2277"/>
      <c r="AO277" s="2277"/>
      <c r="AP277" s="2277"/>
      <c r="AQ277" s="2277"/>
      <c r="AR277" s="2277"/>
      <c r="AS277" s="2277"/>
    </row>
    <row r="278" spans="1:57" s="522" customFormat="1" outlineLevel="1" x14ac:dyDescent="0.25">
      <c r="A278" s="2370"/>
      <c r="B278" s="2370"/>
      <c r="C278" s="2775"/>
      <c r="D278" s="3475" t="s">
        <v>1027</v>
      </c>
      <c r="E278" s="3474" t="s">
        <v>938</v>
      </c>
      <c r="F278" s="3022" t="s">
        <v>3540</v>
      </c>
      <c r="G278" s="555">
        <v>0.42</v>
      </c>
      <c r="H278" s="3459" t="s">
        <v>3595</v>
      </c>
      <c r="I278" s="3459"/>
      <c r="J278" s="3477"/>
      <c r="K278" s="3478"/>
      <c r="L278" s="3479"/>
      <c r="M278" s="629"/>
      <c r="N278" s="629"/>
      <c r="O278" s="629"/>
      <c r="P278" s="629"/>
      <c r="Q278" s="2370"/>
      <c r="R278" s="2370"/>
      <c r="S278" s="2370"/>
      <c r="T278" s="2370"/>
      <c r="U278" s="2370"/>
      <c r="V278" s="3472" t="s">
        <v>1027</v>
      </c>
      <c r="W278" s="580">
        <v>1</v>
      </c>
      <c r="X278" s="583">
        <v>0.34429999999999999</v>
      </c>
      <c r="Y278" s="583">
        <v>0.46360000000000001</v>
      </c>
      <c r="Z278" s="580">
        <f t="shared" ref="Z278" si="26">IF(Z$6="-","",Y278)</f>
        <v>0.46360000000000001</v>
      </c>
      <c r="AA278" s="580">
        <f t="shared" ref="AA278" si="27">IF(AA$6="-","",Z278)</f>
        <v>0.46360000000000001</v>
      </c>
      <c r="AB278" s="558">
        <v>0.42</v>
      </c>
      <c r="AC278" s="580"/>
      <c r="AD278" s="580"/>
      <c r="AE278" s="580"/>
      <c r="AF278" s="580"/>
      <c r="AG278" s="580"/>
      <c r="AI278" s="2277"/>
      <c r="AJ278" s="2277"/>
      <c r="AK278" s="2277"/>
      <c r="AL278" s="2277"/>
      <c r="AM278" s="2277"/>
      <c r="AN278" s="2277"/>
      <c r="AO278" s="2277"/>
      <c r="AP278" s="2277"/>
      <c r="AQ278" s="2277"/>
      <c r="AR278" s="2277"/>
      <c r="AS278" s="2277"/>
      <c r="BD278" s="1"/>
      <c r="BE278" s="1"/>
    </row>
    <row r="279" spans="1:57" s="522" customFormat="1" outlineLevel="1" x14ac:dyDescent="0.25">
      <c r="A279" s="2370"/>
      <c r="B279" s="2370"/>
      <c r="C279" s="2775"/>
      <c r="D279" s="3530"/>
      <c r="E279" s="3444"/>
      <c r="F279" s="2444" t="s">
        <v>3528</v>
      </c>
      <c r="G279" s="555">
        <v>1</v>
      </c>
      <c r="H279" s="3509" t="s">
        <v>1029</v>
      </c>
      <c r="I279" s="3509"/>
      <c r="J279" s="3477"/>
      <c r="K279" s="3478"/>
      <c r="L279" s="3479"/>
      <c r="M279" s="629"/>
      <c r="N279" s="629"/>
      <c r="O279" s="629"/>
      <c r="P279" s="629"/>
      <c r="Q279" s="2370"/>
      <c r="R279" s="2370"/>
      <c r="S279" s="2370"/>
      <c r="T279" s="2370"/>
      <c r="U279" s="2370"/>
      <c r="V279" s="3568"/>
      <c r="W279" s="580"/>
      <c r="X279" s="583"/>
      <c r="Y279" s="583"/>
      <c r="Z279" s="580"/>
      <c r="AA279" s="580"/>
      <c r="AB279" s="555">
        <v>1</v>
      </c>
      <c r="AC279" s="580"/>
      <c r="AD279" s="580"/>
      <c r="AE279" s="580"/>
      <c r="AF279" s="580"/>
      <c r="AG279" s="580"/>
      <c r="AI279" s="2277"/>
      <c r="AJ279" s="2277"/>
      <c r="AK279" s="2277"/>
      <c r="AL279" s="2277"/>
      <c r="AM279" s="2277"/>
      <c r="AN279" s="2277"/>
      <c r="AO279" s="2277"/>
      <c r="AP279" s="2277"/>
      <c r="AQ279" s="2277"/>
      <c r="AR279" s="2277"/>
      <c r="AS279" s="2277"/>
      <c r="BD279" s="1"/>
      <c r="BE279" s="1"/>
    </row>
    <row r="280" spans="1:57" s="522" customFormat="1" outlineLevel="1" x14ac:dyDescent="0.25">
      <c r="A280" s="2370"/>
      <c r="B280" s="2370"/>
      <c r="C280" s="2775"/>
      <c r="D280" s="3476"/>
      <c r="E280" s="3445"/>
      <c r="F280" s="2444" t="s">
        <v>3541</v>
      </c>
      <c r="G280" s="555">
        <v>0.42</v>
      </c>
      <c r="H280" s="3509" t="s">
        <v>3595</v>
      </c>
      <c r="I280" s="3509"/>
      <c r="J280" s="3477"/>
      <c r="K280" s="3478"/>
      <c r="L280" s="3479"/>
      <c r="M280" s="629"/>
      <c r="N280" s="629"/>
      <c r="O280" s="629"/>
      <c r="P280" s="629"/>
      <c r="Q280" s="2370"/>
      <c r="R280" s="2370"/>
      <c r="S280" s="2370"/>
      <c r="T280" s="2370"/>
      <c r="U280" s="2370"/>
      <c r="V280" s="3473"/>
      <c r="W280" s="580"/>
      <c r="X280" s="583"/>
      <c r="Y280" s="583"/>
      <c r="Z280" s="580"/>
      <c r="AA280" s="580"/>
      <c r="AB280" s="558">
        <v>0.42</v>
      </c>
      <c r="AC280" s="580"/>
      <c r="AD280" s="580"/>
      <c r="AE280" s="580"/>
      <c r="AF280" s="580"/>
      <c r="AG280" s="580"/>
      <c r="AI280" s="2277"/>
      <c r="AJ280" s="2277"/>
      <c r="AK280" s="2277"/>
      <c r="AL280" s="2277"/>
      <c r="AM280" s="2277"/>
      <c r="AN280" s="2277"/>
      <c r="AO280" s="2277"/>
      <c r="AP280" s="2277"/>
      <c r="AQ280" s="2277"/>
      <c r="AR280" s="2277"/>
      <c r="AS280" s="2277"/>
      <c r="BD280" s="1"/>
      <c r="BE280" s="1"/>
    </row>
    <row r="281" spans="1:57" s="522" customFormat="1" outlineLevel="1" x14ac:dyDescent="0.25">
      <c r="A281" s="633"/>
      <c r="B281" s="633"/>
      <c r="C281" s="2775"/>
      <c r="D281" s="3459" t="s">
        <v>892</v>
      </c>
      <c r="E281" s="3517" t="s">
        <v>929</v>
      </c>
      <c r="F281" s="3099" t="s">
        <v>3540</v>
      </c>
      <c r="G281" s="591">
        <v>0.91869999999999996</v>
      </c>
      <c r="H281" s="3459" t="s">
        <v>1028</v>
      </c>
      <c r="I281" s="3459"/>
      <c r="J281" s="3459" t="s">
        <v>1030</v>
      </c>
      <c r="K281" s="3459" t="s">
        <v>632</v>
      </c>
      <c r="L281" s="3459" t="s">
        <v>632</v>
      </c>
      <c r="M281" s="629"/>
      <c r="N281" s="629"/>
      <c r="O281" s="629"/>
      <c r="P281" s="629"/>
      <c r="Q281" s="633"/>
      <c r="R281" s="633"/>
      <c r="S281" s="633"/>
      <c r="T281" s="633"/>
      <c r="U281" s="633"/>
      <c r="V281" s="3472" t="s">
        <v>892</v>
      </c>
      <c r="W281" s="591">
        <v>0.86</v>
      </c>
      <c r="X281" s="592">
        <v>0.89859999999999995</v>
      </c>
      <c r="Y281" s="592">
        <v>0.91869999999999996</v>
      </c>
      <c r="Z281" s="591">
        <f t="shared" si="25"/>
        <v>0.91869999999999996</v>
      </c>
      <c r="AA281" s="591">
        <f t="shared" si="25"/>
        <v>0.91869999999999996</v>
      </c>
      <c r="AB281" s="591">
        <v>0.91869999999999996</v>
      </c>
      <c r="AC281" s="591" t="str">
        <f t="shared" si="25"/>
        <v/>
      </c>
      <c r="AD281" s="591" t="str">
        <f t="shared" si="25"/>
        <v/>
      </c>
      <c r="AE281" s="591" t="str">
        <f t="shared" si="25"/>
        <v/>
      </c>
      <c r="AF281" s="591" t="str">
        <f t="shared" si="25"/>
        <v/>
      </c>
      <c r="AG281" s="591" t="str">
        <f t="shared" si="25"/>
        <v/>
      </c>
      <c r="AI281" s="2277"/>
      <c r="AJ281" s="2277"/>
      <c r="AK281" s="2277"/>
      <c r="AL281" s="2277"/>
      <c r="AM281" s="2277"/>
      <c r="AN281" s="2277"/>
      <c r="AO281" s="2277"/>
      <c r="AP281" s="2277"/>
      <c r="AQ281" s="2277"/>
      <c r="AR281" s="2277"/>
      <c r="AS281" s="2277"/>
      <c r="BD281" s="1"/>
      <c r="BE281" s="1"/>
    </row>
    <row r="282" spans="1:57" s="522" customFormat="1" outlineLevel="1" x14ac:dyDescent="0.25">
      <c r="A282" s="2370"/>
      <c r="B282" s="2370"/>
      <c r="C282" s="2775"/>
      <c r="D282" s="3459"/>
      <c r="E282" s="3517"/>
      <c r="F282" s="2444" t="s">
        <v>3543</v>
      </c>
      <c r="G282" s="555">
        <v>1</v>
      </c>
      <c r="H282" s="3509" t="s">
        <v>1029</v>
      </c>
      <c r="I282" s="3509"/>
      <c r="J282" s="3477"/>
      <c r="K282" s="3478"/>
      <c r="L282" s="3479"/>
      <c r="M282" s="629"/>
      <c r="N282" s="629"/>
      <c r="O282" s="629"/>
      <c r="P282" s="629"/>
      <c r="Q282" s="2370"/>
      <c r="R282" s="2370"/>
      <c r="S282" s="2370"/>
      <c r="T282" s="2370"/>
      <c r="U282" s="2370"/>
      <c r="V282" s="3473"/>
      <c r="W282" s="591"/>
      <c r="X282" s="592"/>
      <c r="Y282" s="592"/>
      <c r="Z282" s="591"/>
      <c r="AA282" s="591"/>
      <c r="AB282" s="555">
        <v>1</v>
      </c>
      <c r="AC282" s="591"/>
      <c r="AD282" s="591"/>
      <c r="AE282" s="591"/>
      <c r="AF282" s="591"/>
      <c r="AG282" s="591"/>
      <c r="AI282" s="2277"/>
      <c r="AJ282" s="2277"/>
      <c r="AK282" s="2277"/>
      <c r="AL282" s="2277"/>
      <c r="AM282" s="2277"/>
      <c r="AN282" s="2277"/>
      <c r="AO282" s="2277"/>
      <c r="AP282" s="2277"/>
      <c r="AQ282" s="2277"/>
      <c r="AR282" s="2277"/>
      <c r="AS282" s="2277"/>
      <c r="BD282" s="1"/>
      <c r="BE282" s="1"/>
    </row>
    <row r="283" spans="1:57" s="522" customFormat="1" outlineLevel="1" x14ac:dyDescent="0.25">
      <c r="A283" s="2370"/>
      <c r="B283" s="2370"/>
      <c r="C283" s="2775"/>
      <c r="D283" s="3475" t="s">
        <v>75</v>
      </c>
      <c r="E283" s="3474" t="s">
        <v>684</v>
      </c>
      <c r="F283" s="3099" t="s">
        <v>3540</v>
      </c>
      <c r="G283" s="591">
        <v>0.56000000000000005</v>
      </c>
      <c r="H283" s="3477" t="s">
        <v>3522</v>
      </c>
      <c r="I283" s="3479"/>
      <c r="J283" s="3477"/>
      <c r="K283" s="3478"/>
      <c r="L283" s="3479"/>
      <c r="M283" s="629"/>
      <c r="N283" s="629"/>
      <c r="O283" s="629"/>
      <c r="P283" s="629"/>
      <c r="Q283" s="2370"/>
      <c r="R283" s="2370"/>
      <c r="S283" s="2370"/>
      <c r="T283" s="2370"/>
      <c r="U283" s="2370"/>
      <c r="V283" s="3472" t="s">
        <v>75</v>
      </c>
      <c r="W283" s="591">
        <v>0.73710263085776917</v>
      </c>
      <c r="X283" s="592">
        <v>0.66101694915254239</v>
      </c>
      <c r="Y283" s="592">
        <v>0.63917525773195871</v>
      </c>
      <c r="Z283" s="591">
        <f t="shared" ref="Z283" si="28">IF(Z$6="-","",Y283)</f>
        <v>0.63917525773195871</v>
      </c>
      <c r="AA283" s="591">
        <f t="shared" ref="AA283" si="29">IF(AA$6="-","",Z283)</f>
        <v>0.63917525773195871</v>
      </c>
      <c r="AB283" s="592">
        <v>0.56000000000000005</v>
      </c>
      <c r="AC283" s="591"/>
      <c r="AD283" s="591"/>
      <c r="AE283" s="591"/>
      <c r="AF283" s="591"/>
      <c r="AG283" s="591"/>
      <c r="AI283" s="2277"/>
      <c r="AJ283" s="2277"/>
      <c r="AK283" s="2277"/>
      <c r="AL283" s="2277"/>
      <c r="AM283" s="2277"/>
      <c r="AN283" s="2277"/>
      <c r="AO283" s="2277"/>
      <c r="AP283" s="2277"/>
      <c r="AQ283" s="2277"/>
      <c r="AR283" s="2277"/>
      <c r="AS283" s="2277"/>
      <c r="BD283" s="1"/>
      <c r="BE283" s="1"/>
    </row>
    <row r="284" spans="1:57" s="522" customFormat="1" outlineLevel="1" x14ac:dyDescent="0.25">
      <c r="A284" s="2370"/>
      <c r="B284" s="2370"/>
      <c r="C284" s="2775"/>
      <c r="D284" s="3530"/>
      <c r="E284" s="3444"/>
      <c r="F284" s="2444" t="s">
        <v>3528</v>
      </c>
      <c r="G284" s="555">
        <v>1</v>
      </c>
      <c r="H284" s="3509" t="s">
        <v>1029</v>
      </c>
      <c r="I284" s="3509"/>
      <c r="J284" s="3477"/>
      <c r="K284" s="3478"/>
      <c r="L284" s="3479"/>
      <c r="M284" s="629"/>
      <c r="N284" s="629"/>
      <c r="O284" s="629"/>
      <c r="P284" s="629"/>
      <c r="Q284" s="2370"/>
      <c r="R284" s="2370"/>
      <c r="S284" s="2370"/>
      <c r="T284" s="2370"/>
      <c r="U284" s="2370"/>
      <c r="V284" s="3568"/>
      <c r="W284" s="591"/>
      <c r="X284" s="592"/>
      <c r="Y284" s="592"/>
      <c r="Z284" s="591"/>
      <c r="AA284" s="591"/>
      <c r="AB284" s="555">
        <v>1</v>
      </c>
      <c r="AC284" s="591"/>
      <c r="AD284" s="591"/>
      <c r="AE284" s="591"/>
      <c r="AF284" s="591"/>
      <c r="AG284" s="591"/>
      <c r="AI284" s="2277"/>
      <c r="AJ284" s="2277"/>
      <c r="AK284" s="2277"/>
      <c r="AL284" s="2277"/>
      <c r="AM284" s="2277"/>
      <c r="AN284" s="2277"/>
      <c r="AO284" s="2277"/>
      <c r="AP284" s="2277"/>
      <c r="AQ284" s="2277"/>
      <c r="AR284" s="2277"/>
      <c r="AS284" s="2277"/>
      <c r="BD284" s="1"/>
      <c r="BE284" s="1"/>
    </row>
    <row r="285" spans="1:57" s="522" customFormat="1" outlineLevel="1" x14ac:dyDescent="0.25">
      <c r="A285" s="2370"/>
      <c r="B285" s="2370"/>
      <c r="C285" s="2775"/>
      <c r="D285" s="3530"/>
      <c r="E285" s="3444"/>
      <c r="F285" s="3099" t="s">
        <v>3541</v>
      </c>
      <c r="G285" s="591">
        <v>0.96</v>
      </c>
      <c r="H285" s="3459" t="s">
        <v>1886</v>
      </c>
      <c r="I285" s="3459"/>
      <c r="J285" s="3477"/>
      <c r="K285" s="3478"/>
      <c r="L285" s="3479"/>
      <c r="M285" s="629"/>
      <c r="N285" s="629"/>
      <c r="O285" s="629"/>
      <c r="P285" s="629"/>
      <c r="Q285" s="2370"/>
      <c r="R285" s="2370"/>
      <c r="S285" s="2370"/>
      <c r="T285" s="2370"/>
      <c r="U285" s="2370"/>
      <c r="V285" s="3568"/>
      <c r="W285" s="591"/>
      <c r="X285" s="592"/>
      <c r="Y285" s="592"/>
      <c r="Z285" s="591"/>
      <c r="AA285" s="591"/>
      <c r="AB285" s="592">
        <v>0.96</v>
      </c>
      <c r="AC285" s="591"/>
      <c r="AD285" s="591"/>
      <c r="AE285" s="591"/>
      <c r="AF285" s="591"/>
      <c r="AG285" s="591"/>
      <c r="AI285" s="2277"/>
      <c r="AJ285" s="2277"/>
      <c r="AK285" s="2277"/>
      <c r="AL285" s="2277"/>
      <c r="AM285" s="2277"/>
      <c r="AN285" s="2277"/>
      <c r="AO285" s="2277"/>
      <c r="AP285" s="2277"/>
      <c r="AQ285" s="2277"/>
      <c r="AR285" s="2277"/>
      <c r="AS285" s="2277"/>
      <c r="BD285" s="1"/>
      <c r="BE285" s="1"/>
    </row>
    <row r="286" spans="1:57" s="522" customFormat="1" outlineLevel="1" x14ac:dyDescent="0.25">
      <c r="A286" s="2370"/>
      <c r="B286" s="2370"/>
      <c r="C286" s="2775"/>
      <c r="D286" s="3476"/>
      <c r="E286" s="3445"/>
      <c r="F286" s="3099" t="s">
        <v>3792</v>
      </c>
      <c r="G286" s="3148">
        <v>0.41</v>
      </c>
      <c r="H286" s="3567" t="s">
        <v>3517</v>
      </c>
      <c r="I286" s="3567"/>
      <c r="J286" s="3477"/>
      <c r="K286" s="3478"/>
      <c r="L286" s="3479"/>
      <c r="M286" s="629"/>
      <c r="N286" s="629"/>
      <c r="O286" s="629"/>
      <c r="P286" s="629"/>
      <c r="Q286" s="2370"/>
      <c r="R286" s="2370"/>
      <c r="S286" s="2370"/>
      <c r="T286" s="2370"/>
      <c r="U286" s="2370"/>
      <c r="V286" s="3473"/>
      <c r="W286" s="591"/>
      <c r="X286" s="592"/>
      <c r="Y286" s="592"/>
      <c r="Z286" s="591"/>
      <c r="AA286" s="591"/>
      <c r="AB286" s="2627">
        <v>0.41</v>
      </c>
      <c r="AC286" s="591"/>
      <c r="AD286" s="591"/>
      <c r="AE286" s="591"/>
      <c r="AF286" s="591"/>
      <c r="AG286" s="591"/>
      <c r="AI286" s="2277"/>
      <c r="AJ286" s="2277"/>
      <c r="AK286" s="2277"/>
      <c r="AL286" s="2277"/>
      <c r="AM286" s="2277"/>
      <c r="AN286" s="2277"/>
      <c r="AO286" s="2277"/>
      <c r="AP286" s="2277"/>
      <c r="AQ286" s="2277"/>
      <c r="AR286" s="2277"/>
      <c r="AS286" s="2277"/>
      <c r="BD286" s="1"/>
      <c r="BE286" s="1"/>
    </row>
    <row r="287" spans="1:57" s="522" customFormat="1" outlineLevel="1" x14ac:dyDescent="0.25">
      <c r="A287" s="633"/>
      <c r="B287" s="633"/>
      <c r="C287" s="2775"/>
      <c r="D287" s="3459" t="s">
        <v>1031</v>
      </c>
      <c r="E287" s="3517" t="s">
        <v>1032</v>
      </c>
      <c r="F287" s="3099" t="s">
        <v>3555</v>
      </c>
      <c r="G287" s="631">
        <v>0.75</v>
      </c>
      <c r="H287" s="3528" t="s">
        <v>1029</v>
      </c>
      <c r="I287" s="3528"/>
      <c r="J287" s="3459"/>
      <c r="K287" s="3459"/>
      <c r="L287" s="3459"/>
      <c r="M287" s="629"/>
      <c r="N287" s="1697" t="s">
        <v>1033</v>
      </c>
      <c r="O287" s="629"/>
      <c r="P287" s="629"/>
      <c r="Q287" s="633"/>
      <c r="R287" s="633"/>
      <c r="S287" s="633"/>
      <c r="T287" s="633"/>
      <c r="U287" s="633"/>
      <c r="V287" s="3472" t="s">
        <v>1031</v>
      </c>
      <c r="W287" s="631">
        <v>0.75</v>
      </c>
      <c r="X287" s="631">
        <v>0.75</v>
      </c>
      <c r="Y287" s="631">
        <v>0.75</v>
      </c>
      <c r="Z287" s="631"/>
      <c r="AA287" s="631"/>
      <c r="AB287" s="631">
        <v>0.75</v>
      </c>
      <c r="AC287" s="631"/>
      <c r="AD287" s="631"/>
      <c r="AE287" s="631"/>
      <c r="AF287" s="631"/>
      <c r="AG287" s="631"/>
      <c r="AH287" s="633"/>
      <c r="AI287" s="2277"/>
      <c r="AJ287" s="2277"/>
      <c r="AK287" s="2277"/>
      <c r="AL287" s="2277"/>
      <c r="AM287" s="2277"/>
      <c r="AN287" s="2277"/>
      <c r="AO287" s="2277"/>
      <c r="AP287" s="2277"/>
      <c r="AQ287" s="2277"/>
      <c r="AR287" s="2277"/>
      <c r="AS287" s="2277"/>
      <c r="BD287" s="1"/>
      <c r="BE287" s="1"/>
    </row>
    <row r="288" spans="1:57" s="522" customFormat="1" outlineLevel="1" x14ac:dyDescent="0.25">
      <c r="A288" s="2370"/>
      <c r="B288" s="2370"/>
      <c r="C288" s="2775"/>
      <c r="D288" s="3459"/>
      <c r="E288" s="3517"/>
      <c r="F288" s="3099" t="s">
        <v>3541</v>
      </c>
      <c r="G288" s="631">
        <v>0.55000000000000004</v>
      </c>
      <c r="H288" s="3528" t="s">
        <v>1032</v>
      </c>
      <c r="I288" s="3528"/>
      <c r="J288" s="3480"/>
      <c r="K288" s="3481"/>
      <c r="L288" s="3482"/>
      <c r="M288" s="629"/>
      <c r="N288" s="1697"/>
      <c r="O288" s="629"/>
      <c r="P288" s="629"/>
      <c r="Q288" s="2370"/>
      <c r="R288" s="2370"/>
      <c r="S288" s="2370"/>
      <c r="T288" s="2370"/>
      <c r="U288" s="2370"/>
      <c r="V288" s="3473"/>
      <c r="W288" s="631"/>
      <c r="X288" s="631"/>
      <c r="Y288" s="631"/>
      <c r="Z288" s="631"/>
      <c r="AA288" s="631"/>
      <c r="AB288" s="634">
        <v>0.55000000000000004</v>
      </c>
      <c r="AC288" s="631"/>
      <c r="AD288" s="631"/>
      <c r="AE288" s="631"/>
      <c r="AF288" s="631"/>
      <c r="AG288" s="631"/>
      <c r="AH288" s="2370"/>
      <c r="AI288" s="2277"/>
      <c r="AJ288" s="2277"/>
      <c r="AK288" s="2277"/>
      <c r="AL288" s="2277"/>
      <c r="AM288" s="2277"/>
      <c r="AN288" s="2277"/>
      <c r="AO288" s="2277"/>
      <c r="AP288" s="2277"/>
      <c r="AQ288" s="2277"/>
      <c r="AR288" s="2277"/>
      <c r="AS288" s="2277"/>
      <c r="BD288" s="1"/>
      <c r="BE288" s="1"/>
    </row>
    <row r="289" spans="1:57" s="522" customFormat="1" outlineLevel="1" x14ac:dyDescent="0.25">
      <c r="A289" s="633"/>
      <c r="B289" s="633"/>
      <c r="C289" s="2775"/>
      <c r="D289" s="3008" t="s">
        <v>1034</v>
      </c>
      <c r="E289" s="3015" t="s">
        <v>1035</v>
      </c>
      <c r="F289" s="3102" t="s">
        <v>591</v>
      </c>
      <c r="G289" s="631">
        <v>0.5</v>
      </c>
      <c r="H289" s="3528" t="s">
        <v>1029</v>
      </c>
      <c r="I289" s="3528"/>
      <c r="J289" s="3459"/>
      <c r="K289" s="3459"/>
      <c r="L289" s="3459"/>
      <c r="M289" s="629"/>
      <c r="N289" s="629"/>
      <c r="O289" s="629"/>
      <c r="P289" s="629"/>
      <c r="Q289" s="633"/>
      <c r="R289" s="633"/>
      <c r="S289" s="633"/>
      <c r="T289" s="633"/>
      <c r="U289" s="633"/>
      <c r="V289" s="3008" t="s">
        <v>1035</v>
      </c>
      <c r="W289" s="631">
        <v>0.5</v>
      </c>
      <c r="X289" s="634">
        <v>0.5</v>
      </c>
      <c r="Y289" s="634">
        <v>0.5</v>
      </c>
      <c r="Z289" s="634"/>
      <c r="AA289" s="634"/>
      <c r="AB289" s="631">
        <v>0.5</v>
      </c>
      <c r="AC289" s="634"/>
      <c r="AD289" s="634"/>
      <c r="AE289" s="634"/>
      <c r="AF289" s="634"/>
      <c r="AG289" s="634"/>
      <c r="AH289" s="547"/>
      <c r="AI289" s="2277"/>
      <c r="AJ289" s="2277"/>
      <c r="AK289" s="2277"/>
      <c r="AL289" s="2277"/>
      <c r="AM289" s="2277"/>
      <c r="AN289" s="2277"/>
      <c r="AO289" s="2277"/>
      <c r="AP289" s="2277"/>
      <c r="AQ289" s="2277"/>
      <c r="AR289" s="2277"/>
      <c r="AS289" s="2277"/>
      <c r="BD289" s="1"/>
      <c r="BE289" s="1"/>
    </row>
    <row r="290" spans="1:57" outlineLevel="1" x14ac:dyDescent="0.25">
      <c r="B290" s="1359"/>
      <c r="C290" s="1900"/>
      <c r="D290" s="2454" t="s">
        <v>896</v>
      </c>
      <c r="E290" s="2894" t="s">
        <v>611</v>
      </c>
      <c r="F290" s="3102" t="s">
        <v>591</v>
      </c>
      <c r="G290" s="3095">
        <v>12</v>
      </c>
      <c r="H290" s="3525"/>
      <c r="I290" s="3525"/>
      <c r="J290" s="3459"/>
      <c r="K290" s="3459"/>
      <c r="L290" s="3459"/>
      <c r="M290" s="1276"/>
      <c r="N290" s="298"/>
      <c r="O290" s="298"/>
      <c r="P290" s="298"/>
      <c r="Q290" s="298"/>
      <c r="V290" s="3097" t="s">
        <v>896</v>
      </c>
      <c r="W290" s="2773">
        <v>12</v>
      </c>
      <c r="X290" s="2773">
        <v>12</v>
      </c>
      <c r="Y290" s="2773">
        <v>12</v>
      </c>
      <c r="Z290" s="2773">
        <f t="shared" si="25"/>
        <v>12</v>
      </c>
      <c r="AA290" s="2773">
        <f t="shared" si="25"/>
        <v>12</v>
      </c>
      <c r="AB290" s="2773">
        <v>12</v>
      </c>
      <c r="AC290" s="142" t="str">
        <f t="shared" si="25"/>
        <v/>
      </c>
      <c r="AD290" s="142" t="str">
        <f t="shared" si="25"/>
        <v/>
      </c>
      <c r="AE290" s="142" t="str">
        <f t="shared" si="25"/>
        <v/>
      </c>
      <c r="AF290" s="142" t="str">
        <f t="shared" si="25"/>
        <v/>
      </c>
      <c r="AG290" s="142" t="str">
        <f t="shared" si="25"/>
        <v/>
      </c>
      <c r="AI290" s="2277"/>
      <c r="AJ290" s="2277"/>
      <c r="AK290" s="2277"/>
      <c r="AL290" s="2277"/>
      <c r="AM290" s="2277"/>
      <c r="AN290" s="2277"/>
      <c r="AO290" s="2277"/>
      <c r="AP290" s="2277"/>
      <c r="AQ290" s="2277"/>
      <c r="AR290" s="2277"/>
      <c r="AS290" s="2277"/>
    </row>
    <row r="291" spans="1:57" outlineLevel="1" x14ac:dyDescent="0.25">
      <c r="B291" s="1359"/>
      <c r="C291" s="1900"/>
      <c r="D291" s="3034" t="s">
        <v>25</v>
      </c>
      <c r="E291" s="2894" t="s">
        <v>613</v>
      </c>
      <c r="F291" s="3102" t="s">
        <v>591</v>
      </c>
      <c r="G291" s="619">
        <v>2.87</v>
      </c>
      <c r="H291" s="3524"/>
      <c r="I291" s="3524"/>
      <c r="J291" s="3459"/>
      <c r="K291" s="3459"/>
      <c r="L291" s="3459"/>
      <c r="M291" s="1276"/>
      <c r="N291" s="298"/>
      <c r="O291" s="298"/>
      <c r="P291" s="298"/>
      <c r="Q291" s="298"/>
      <c r="V291" s="3098" t="s">
        <v>25</v>
      </c>
      <c r="W291" s="619">
        <v>2.87</v>
      </c>
      <c r="X291" s="619">
        <v>2.87</v>
      </c>
      <c r="Y291" s="619">
        <v>2.87</v>
      </c>
      <c r="Z291" s="619">
        <f t="shared" si="25"/>
        <v>2.87</v>
      </c>
      <c r="AA291" s="619">
        <f t="shared" si="25"/>
        <v>2.87</v>
      </c>
      <c r="AB291" s="619">
        <v>2.87</v>
      </c>
      <c r="AC291" s="619" t="str">
        <f t="shared" si="25"/>
        <v/>
      </c>
      <c r="AD291" s="619" t="str">
        <f t="shared" si="25"/>
        <v/>
      </c>
      <c r="AE291" s="619" t="str">
        <f t="shared" si="25"/>
        <v/>
      </c>
      <c r="AF291" s="619" t="str">
        <f t="shared" si="25"/>
        <v/>
      </c>
      <c r="AG291" s="619" t="str">
        <f t="shared" si="25"/>
        <v/>
      </c>
      <c r="AI291" s="2277"/>
      <c r="AJ291" s="2277"/>
      <c r="AK291" s="2277"/>
      <c r="AL291" s="2277"/>
      <c r="AM291" s="2277"/>
      <c r="AN291" s="2277"/>
      <c r="AO291" s="2277"/>
      <c r="AP291" s="2277"/>
      <c r="AQ291" s="2277"/>
      <c r="AR291" s="2277"/>
      <c r="AS291" s="2277"/>
    </row>
    <row r="292" spans="1:57" x14ac:dyDescent="0.25">
      <c r="M292" s="629"/>
      <c r="N292" s="277"/>
      <c r="O292" s="277"/>
      <c r="P292" s="277"/>
      <c r="AI292" s="2277"/>
      <c r="AJ292" s="2277"/>
      <c r="AK292" s="2277"/>
      <c r="AL292" s="2277"/>
      <c r="AM292" s="2277"/>
      <c r="AN292" s="2277"/>
      <c r="AO292" s="2277"/>
      <c r="AP292" s="2277"/>
      <c r="AQ292" s="2277"/>
      <c r="AR292" s="2277"/>
      <c r="AS292" s="2277"/>
    </row>
    <row r="293" spans="1:57" x14ac:dyDescent="0.25">
      <c r="B293" s="3350" t="s">
        <v>1036</v>
      </c>
      <c r="C293" s="3351"/>
      <c r="D293" s="3351"/>
      <c r="E293" s="3351"/>
      <c r="F293" s="3351"/>
      <c r="G293" s="3351"/>
      <c r="H293" s="3351"/>
      <c r="I293" s="3352"/>
      <c r="J293" s="3352"/>
      <c r="K293" s="3352"/>
      <c r="L293" s="3352"/>
      <c r="M293" s="3352"/>
      <c r="N293" s="3353"/>
      <c r="V293" s="3350" t="str">
        <f>B293</f>
        <v>Advanced Power Strips Tier 1  / Load Sensing</v>
      </c>
      <c r="W293" s="3351"/>
      <c r="X293" s="3351"/>
      <c r="Y293" s="3351"/>
      <c r="Z293" s="3351"/>
      <c r="AA293" s="3351"/>
      <c r="AB293" s="3351"/>
      <c r="AC293" s="3354"/>
      <c r="AD293" s="3354"/>
      <c r="AE293" s="3354"/>
      <c r="AF293" s="3354"/>
      <c r="AG293" s="3354"/>
      <c r="AH293" s="3355"/>
    </row>
    <row r="295" spans="1:57" ht="30" x14ac:dyDescent="0.25">
      <c r="C295" s="2765" t="s">
        <v>17</v>
      </c>
      <c r="D295" s="2765" t="s">
        <v>616</v>
      </c>
      <c r="E295" s="2765" t="s">
        <v>19</v>
      </c>
      <c r="F295" s="1409" t="s">
        <v>20</v>
      </c>
      <c r="G295" s="1409" t="s">
        <v>21</v>
      </c>
      <c r="H295" s="1409" t="s">
        <v>22</v>
      </c>
      <c r="I295" s="1409" t="s">
        <v>23</v>
      </c>
      <c r="J295" s="1409" t="s">
        <v>24</v>
      </c>
      <c r="K295" s="1409" t="s">
        <v>25</v>
      </c>
      <c r="L295" s="1409" t="s">
        <v>26</v>
      </c>
      <c r="V295" s="623" t="s">
        <v>27</v>
      </c>
      <c r="W295" s="420">
        <f>$W$6</f>
        <v>43252</v>
      </c>
      <c r="X295" s="420">
        <f>$X$6</f>
        <v>43465</v>
      </c>
      <c r="Y295" s="420">
        <f>$Y$6</f>
        <v>43800</v>
      </c>
      <c r="Z295" s="420">
        <f>$Z$6</f>
        <v>43862</v>
      </c>
      <c r="AA295" s="420">
        <f>$AA$6</f>
        <v>44013</v>
      </c>
      <c r="AB295" s="420">
        <f>$AB$6</f>
        <v>44166</v>
      </c>
      <c r="AC295" s="56" t="str">
        <f>$AC$6</f>
        <v>-</v>
      </c>
      <c r="AD295" s="56" t="str">
        <f>$AD$6</f>
        <v>-</v>
      </c>
      <c r="AE295" s="56" t="str">
        <f>$AE$6</f>
        <v>-</v>
      </c>
      <c r="AF295" s="56" t="str">
        <f>$AF$6</f>
        <v>-</v>
      </c>
      <c r="AG295" s="56" t="str">
        <f>$AG$6</f>
        <v>-</v>
      </c>
      <c r="BB295" s="93" t="str">
        <f>$BB$6</f>
        <v>TRC (2020)</v>
      </c>
      <c r="BC295" s="93" t="str">
        <f>$BC$6</f>
        <v>Benefit Lookup</v>
      </c>
      <c r="BD295" s="279" t="str">
        <f>$BD$6</f>
        <v>Benefits (2019 $)</v>
      </c>
      <c r="BE295" s="279" t="str">
        <f>$BE$6</f>
        <v>Incremental Cost (2019 $)</v>
      </c>
    </row>
    <row r="296" spans="1:57" s="64" customFormat="1" x14ac:dyDescent="0.25">
      <c r="A296" s="157"/>
      <c r="B296" s="157"/>
      <c r="C296" s="3076" t="s">
        <v>1037</v>
      </c>
      <c r="D296" s="3080" t="s">
        <v>1038</v>
      </c>
      <c r="E296" s="3015" t="s">
        <v>3589</v>
      </c>
      <c r="F296" s="601">
        <f>ROUND((G312*G318+G313*G319)*G322,2)</f>
        <v>29.45</v>
      </c>
      <c r="G296" s="635" t="s">
        <v>784</v>
      </c>
      <c r="H296" s="515">
        <f>VLOOKUP(G296,'CP FACTORS'!$A$3:$B$38, 2, FALSE)</f>
        <v>1.148238E-4</v>
      </c>
      <c r="I296" s="516">
        <f t="shared" ref="I296:I304" si="30">ROUND(F296*H296,6)</f>
        <v>3.382E-3</v>
      </c>
      <c r="J296" s="3095">
        <f>$G$356</f>
        <v>10</v>
      </c>
      <c r="K296" s="589">
        <f>$G$325</f>
        <v>20</v>
      </c>
      <c r="L296" s="517" t="s">
        <v>37</v>
      </c>
      <c r="M296" s="629"/>
      <c r="N296" s="277"/>
      <c r="O296" s="157"/>
      <c r="P296" s="157"/>
      <c r="Q296" s="157"/>
      <c r="R296" s="1627"/>
      <c r="S296" s="157"/>
      <c r="T296" s="157"/>
      <c r="U296" s="157"/>
      <c r="V296" s="2309" t="str">
        <f>F295</f>
        <v>kWh Annual Savings</v>
      </c>
      <c r="W296" s="636">
        <v>31</v>
      </c>
      <c r="X296" s="636">
        <v>31</v>
      </c>
      <c r="Y296" s="637">
        <v>31</v>
      </c>
      <c r="Z296" s="637">
        <v>31</v>
      </c>
      <c r="AA296" s="637">
        <v>31</v>
      </c>
      <c r="AB296" s="2322">
        <v>29.45</v>
      </c>
      <c r="AC296" s="208"/>
      <c r="AD296" s="208"/>
      <c r="AE296" s="208"/>
      <c r="AF296" s="208"/>
      <c r="AG296" s="208"/>
      <c r="AH296" s="211"/>
      <c r="BB296" s="2945">
        <f t="shared" ref="BB296" si="31">(BD296)/(BE296)</f>
        <v>0.53798242483706482</v>
      </c>
      <c r="BC296" s="2922" t="str">
        <f t="shared" ref="BC296" si="32">CONCATENATE(G296," ",J296," Year EUL")</f>
        <v>Miscellaneous RES 10 Year EUL</v>
      </c>
      <c r="BD296" s="2943">
        <f>(INDEX('Avoided Cost Benefits'!$C$4:$C$857,MATCH(BC296,'Avoided Cost Benefits'!$A$4:$A$857,0)))*F296</f>
        <v>10.155402073375456</v>
      </c>
      <c r="BE296" s="2944">
        <f t="shared" ref="BE296" si="33">K296/(1.0595^(2020-2019))</f>
        <v>18.876828692779611</v>
      </c>
    </row>
    <row r="297" spans="1:57" s="2289" customFormat="1" x14ac:dyDescent="0.25">
      <c r="A297" s="157"/>
      <c r="B297" s="157"/>
      <c r="C297" s="3076" t="s">
        <v>3771</v>
      </c>
      <c r="D297" s="3080" t="s">
        <v>1038</v>
      </c>
      <c r="E297" s="3015" t="s">
        <v>3579</v>
      </c>
      <c r="F297" s="601">
        <f>ROUND((G$312*G$318+G$313*G$319)*G$322,2)</f>
        <v>29.45</v>
      </c>
      <c r="G297" s="635" t="s">
        <v>784</v>
      </c>
      <c r="H297" s="515">
        <f>VLOOKUP(G297,'CP FACTORS'!$A$3:$B$38, 2, FALSE)</f>
        <v>1.148238E-4</v>
      </c>
      <c r="I297" s="516">
        <v>3.382E-3</v>
      </c>
      <c r="J297" s="3095">
        <v>10</v>
      </c>
      <c r="K297" s="589">
        <f>$G$326</f>
        <v>30</v>
      </c>
      <c r="L297" s="517" t="s">
        <v>37</v>
      </c>
      <c r="M297" s="629"/>
      <c r="N297" s="277"/>
      <c r="O297" s="157"/>
      <c r="P297" s="157"/>
      <c r="Q297" s="157"/>
      <c r="R297" s="1627"/>
      <c r="S297" s="157"/>
      <c r="T297" s="157"/>
      <c r="U297" s="157"/>
      <c r="V297" s="2309" t="str">
        <f>V296</f>
        <v>kWh Annual Savings</v>
      </c>
      <c r="W297" s="636"/>
      <c r="X297" s="636"/>
      <c r="Y297" s="637"/>
      <c r="Z297" s="637"/>
      <c r="AA297" s="637"/>
      <c r="AB297" s="2322">
        <v>29.45</v>
      </c>
      <c r="AC297" s="208"/>
      <c r="AD297" s="208"/>
      <c r="AE297" s="208"/>
      <c r="AF297" s="208"/>
      <c r="AG297" s="208"/>
      <c r="AH297" s="211"/>
      <c r="BB297" s="2945">
        <f t="shared" ref="BB297:BB300" si="34">(BD297)/(BE297)</f>
        <v>0.35865494989137653</v>
      </c>
      <c r="BC297" s="2922" t="str">
        <f t="shared" ref="BC297:BC300" si="35">CONCATENATE(G297," ",J297," Year EUL")</f>
        <v>Miscellaneous RES 10 Year EUL</v>
      </c>
      <c r="BD297" s="2943">
        <f>(INDEX('Avoided Cost Benefits'!$C$4:$C$857,MATCH(BC297,'Avoided Cost Benefits'!$A$4:$A$857,0)))*F297</f>
        <v>10.155402073375456</v>
      </c>
      <c r="BE297" s="2944">
        <f t="shared" ref="BE297:BE300" si="36">K297/(1.0595^(2020-2019))</f>
        <v>28.315243039169417</v>
      </c>
    </row>
    <row r="298" spans="1:57" s="64" customFormat="1" x14ac:dyDescent="0.25">
      <c r="A298" s="157"/>
      <c r="B298" s="157"/>
      <c r="C298" s="3076" t="s">
        <v>1039</v>
      </c>
      <c r="D298" s="3080" t="s">
        <v>1038</v>
      </c>
      <c r="E298" s="3015" t="s">
        <v>1040</v>
      </c>
      <c r="F298" s="601">
        <f>ROUND((G$312*G$318+G$313*G$319)*G$323,2)</f>
        <v>29.08</v>
      </c>
      <c r="G298" s="635" t="s">
        <v>784</v>
      </c>
      <c r="H298" s="515">
        <f>VLOOKUP(G298,'CP FACTORS'!$A$3:$B$38, 2, FALSE)</f>
        <v>1.148238E-4</v>
      </c>
      <c r="I298" s="516">
        <f t="shared" si="30"/>
        <v>3.339E-3</v>
      </c>
      <c r="J298" s="3095">
        <f>$G$356</f>
        <v>10</v>
      </c>
      <c r="K298" s="589">
        <f>$G$325</f>
        <v>20</v>
      </c>
      <c r="L298" s="517" t="s">
        <v>37</v>
      </c>
      <c r="M298" s="629"/>
      <c r="N298" s="277"/>
      <c r="O298" s="157"/>
      <c r="P298" s="157"/>
      <c r="Q298" s="157"/>
      <c r="R298" s="1627"/>
      <c r="S298" s="157"/>
      <c r="T298" s="157"/>
      <c r="U298" s="157"/>
      <c r="V298" s="2309" t="str">
        <f t="shared" ref="V298:V304" si="37">V297</f>
        <v>kWh Annual Savings</v>
      </c>
      <c r="W298" s="636">
        <v>24.18</v>
      </c>
      <c r="X298" s="636">
        <v>24.18</v>
      </c>
      <c r="Y298" s="637">
        <v>24.18</v>
      </c>
      <c r="Z298" s="637">
        <v>24.18</v>
      </c>
      <c r="AA298" s="637">
        <v>24.18</v>
      </c>
      <c r="AB298" s="2322">
        <v>29.08</v>
      </c>
      <c r="AC298" s="208"/>
      <c r="AD298" s="208"/>
      <c r="AE298" s="208"/>
      <c r="AF298" s="208"/>
      <c r="AG298" s="208"/>
      <c r="AH298" s="211"/>
      <c r="BB298" s="2945">
        <f t="shared" si="34"/>
        <v>0.53122339267442598</v>
      </c>
      <c r="BC298" s="2922" t="str">
        <f t="shared" si="35"/>
        <v>Miscellaneous RES 10 Year EUL</v>
      </c>
      <c r="BD298" s="2943">
        <f>(INDEX('Avoided Cost Benefits'!$C$4:$C$857,MATCH(BC298,'Avoided Cost Benefits'!$A$4:$A$857,0)))*F298</f>
        <v>10.027812981112334</v>
      </c>
      <c r="BE298" s="2944">
        <f t="shared" si="36"/>
        <v>18.876828692779611</v>
      </c>
    </row>
    <row r="299" spans="1:57" s="64" customFormat="1" ht="30" x14ac:dyDescent="0.25">
      <c r="A299" s="157"/>
      <c r="B299" s="157"/>
      <c r="C299" s="3076" t="s">
        <v>1041</v>
      </c>
      <c r="D299" s="3080" t="s">
        <v>1038</v>
      </c>
      <c r="E299" s="3015" t="s">
        <v>3590</v>
      </c>
      <c r="F299" s="601">
        <f>ROUND((G$312*G$314+G$313*G$315)*G$322,2)</f>
        <v>71.349999999999994</v>
      </c>
      <c r="G299" s="635" t="s">
        <v>784</v>
      </c>
      <c r="H299" s="515">
        <f>VLOOKUP(G299,'CP FACTORS'!$A$3:$B$38, 2, FALSE)</f>
        <v>1.148238E-4</v>
      </c>
      <c r="I299" s="516">
        <f t="shared" si="30"/>
        <v>8.1930000000000006E-3</v>
      </c>
      <c r="J299" s="3095">
        <f>$G$356</f>
        <v>10</v>
      </c>
      <c r="K299" s="589">
        <f>$G$325</f>
        <v>20</v>
      </c>
      <c r="L299" s="517" t="s">
        <v>37</v>
      </c>
      <c r="M299" s="629"/>
      <c r="N299" s="277"/>
      <c r="O299" s="157"/>
      <c r="P299" s="157"/>
      <c r="Q299" s="157"/>
      <c r="R299" s="1627"/>
      <c r="S299" s="157"/>
      <c r="T299" s="157"/>
      <c r="U299" s="157"/>
      <c r="V299" s="2309" t="str">
        <f t="shared" si="37"/>
        <v>kWh Annual Savings</v>
      </c>
      <c r="W299" s="636">
        <v>75.099999999999994</v>
      </c>
      <c r="X299" s="636">
        <v>75.099999999999994</v>
      </c>
      <c r="Y299" s="637">
        <v>75.099999999999994</v>
      </c>
      <c r="Z299" s="637">
        <v>75.099999999999994</v>
      </c>
      <c r="AA299" s="637">
        <v>75.099999999999994</v>
      </c>
      <c r="AB299" s="2322">
        <v>71.349999999999994</v>
      </c>
      <c r="AC299" s="208"/>
      <c r="AD299" s="208"/>
      <c r="AE299" s="208"/>
      <c r="AF299" s="208"/>
      <c r="AG299" s="208"/>
      <c r="AH299" s="211"/>
      <c r="BB299" s="2945">
        <f t="shared" si="34"/>
        <v>1.3033971481196798</v>
      </c>
      <c r="BC299" s="2922" t="str">
        <f t="shared" si="35"/>
        <v>Miscellaneous RES 10 Year EUL</v>
      </c>
      <c r="BD299" s="2943">
        <f>(INDEX('Avoided Cost Benefits'!$C$4:$C$857,MATCH(BC299,'Avoided Cost Benefits'!$A$4:$A$857,0)))*F299</f>
        <v>24.604004683712688</v>
      </c>
      <c r="BE299" s="2944">
        <f t="shared" si="36"/>
        <v>18.876828692779611</v>
      </c>
    </row>
    <row r="300" spans="1:57" s="2289" customFormat="1" x14ac:dyDescent="0.25">
      <c r="A300" s="157"/>
      <c r="B300" s="157"/>
      <c r="C300" s="3076" t="s">
        <v>3772</v>
      </c>
      <c r="D300" s="3080" t="s">
        <v>1038</v>
      </c>
      <c r="E300" s="3015" t="s">
        <v>3580</v>
      </c>
      <c r="F300" s="601">
        <f>ROUND((G$312*G$314+G$313*G$315)*G$322,2)</f>
        <v>71.349999999999994</v>
      </c>
      <c r="G300" s="635" t="s">
        <v>784</v>
      </c>
      <c r="H300" s="515">
        <f>VLOOKUP(G300,'CP FACTORS'!$A$3:$B$38, 2, FALSE)</f>
        <v>1.148238E-4</v>
      </c>
      <c r="I300" s="516">
        <v>8.1930000000000006E-3</v>
      </c>
      <c r="J300" s="3095">
        <v>10</v>
      </c>
      <c r="K300" s="589">
        <f>$G$326</f>
        <v>30</v>
      </c>
      <c r="L300" s="517" t="s">
        <v>37</v>
      </c>
      <c r="M300" s="629"/>
      <c r="N300" s="277"/>
      <c r="O300" s="157"/>
      <c r="P300" s="157"/>
      <c r="Q300" s="157"/>
      <c r="R300" s="1627"/>
      <c r="S300" s="157"/>
      <c r="T300" s="157"/>
      <c r="U300" s="157"/>
      <c r="V300" s="2309" t="str">
        <f t="shared" si="37"/>
        <v>kWh Annual Savings</v>
      </c>
      <c r="W300" s="636"/>
      <c r="X300" s="636"/>
      <c r="Y300" s="637"/>
      <c r="Z300" s="637"/>
      <c r="AA300" s="637"/>
      <c r="AB300" s="2322">
        <v>71.349999999999994</v>
      </c>
      <c r="AC300" s="208"/>
      <c r="AD300" s="208"/>
      <c r="AE300" s="208"/>
      <c r="AF300" s="208"/>
      <c r="AG300" s="208"/>
      <c r="AH300" s="211"/>
      <c r="BB300" s="2945">
        <f t="shared" si="34"/>
        <v>0.86893143207978651</v>
      </c>
      <c r="BC300" s="2922" t="str">
        <f t="shared" si="35"/>
        <v>Miscellaneous RES 10 Year EUL</v>
      </c>
      <c r="BD300" s="2943">
        <f>(INDEX('Avoided Cost Benefits'!$C$4:$C$857,MATCH(BC300,'Avoided Cost Benefits'!$A$4:$A$857,0)))*F300</f>
        <v>24.604004683712688</v>
      </c>
      <c r="BE300" s="2944">
        <f t="shared" si="36"/>
        <v>28.315243039169417</v>
      </c>
    </row>
    <row r="301" spans="1:57" s="64" customFormat="1" x14ac:dyDescent="0.25">
      <c r="A301" s="157"/>
      <c r="B301" s="157"/>
      <c r="C301" s="3076" t="s">
        <v>1042</v>
      </c>
      <c r="D301" s="3080" t="s">
        <v>1038</v>
      </c>
      <c r="E301" s="3015" t="s">
        <v>1043</v>
      </c>
      <c r="F301" s="601">
        <f>ROUND((G$312*G$314+G$313*G$315)*G$323,2)</f>
        <v>70.44</v>
      </c>
      <c r="G301" s="635" t="s">
        <v>784</v>
      </c>
      <c r="H301" s="515">
        <f>VLOOKUP(G301,'CP FACTORS'!$A$3:$B$38, 2, FALSE)</f>
        <v>1.148238E-4</v>
      </c>
      <c r="I301" s="516">
        <f t="shared" si="30"/>
        <v>8.0879999999999997E-3</v>
      </c>
      <c r="J301" s="3095">
        <f>$G$356</f>
        <v>10</v>
      </c>
      <c r="K301" s="589">
        <f>$G$325</f>
        <v>20</v>
      </c>
      <c r="L301" s="517" t="s">
        <v>37</v>
      </c>
      <c r="M301" s="629"/>
      <c r="N301" s="277"/>
      <c r="O301" s="157"/>
      <c r="P301" s="157"/>
      <c r="Q301" s="157"/>
      <c r="R301" s="1627"/>
      <c r="S301" s="157"/>
      <c r="T301" s="157"/>
      <c r="U301" s="157"/>
      <c r="V301" s="2309" t="str">
        <f t="shared" si="37"/>
        <v>kWh Annual Savings</v>
      </c>
      <c r="W301" s="636">
        <v>58.577999999999996</v>
      </c>
      <c r="X301" s="636">
        <v>58.577999999999996</v>
      </c>
      <c r="Y301" s="637">
        <v>58.58</v>
      </c>
      <c r="Z301" s="637">
        <v>58.58</v>
      </c>
      <c r="AA301" s="637">
        <v>58.58</v>
      </c>
      <c r="AB301" s="2322">
        <v>70.44</v>
      </c>
      <c r="AC301" s="208"/>
      <c r="AD301" s="208"/>
      <c r="AE301" s="208"/>
      <c r="AF301" s="208"/>
      <c r="AG301" s="208"/>
      <c r="AH301" s="211"/>
      <c r="BB301" s="2945">
        <f t="shared" ref="BB301:BB304" si="38">(BD301)/(BE301)</f>
        <v>1.2867735825304871</v>
      </c>
      <c r="BC301" s="2922" t="str">
        <f t="shared" ref="BC301:BC304" si="39">CONCATENATE(G301," ",J301," Year EUL")</f>
        <v>Miscellaneous RES 10 Year EUL</v>
      </c>
      <c r="BD301" s="2943">
        <f>(INDEX('Avoided Cost Benefits'!$C$4:$C$857,MATCH(BC301,'Avoided Cost Benefits'!$A$4:$A$857,0)))*F301</f>
        <v>24.290204483822311</v>
      </c>
      <c r="BE301" s="2944">
        <f t="shared" ref="BE301:BE304" si="40">K301/(1.0595^(2020-2019))</f>
        <v>18.876828692779611</v>
      </c>
    </row>
    <row r="302" spans="1:57" s="64" customFormat="1" x14ac:dyDescent="0.25">
      <c r="A302" s="157"/>
      <c r="B302" s="157"/>
      <c r="C302" s="3076" t="s">
        <v>1044</v>
      </c>
      <c r="D302" s="3080" t="s">
        <v>1038</v>
      </c>
      <c r="E302" s="3015" t="s">
        <v>3591</v>
      </c>
      <c r="F302" s="601">
        <f>ROUND((G$312*G$320+G$313*G$316)*G$322,2)</f>
        <v>56.26</v>
      </c>
      <c r="G302" s="635" t="s">
        <v>784</v>
      </c>
      <c r="H302" s="515">
        <f>VLOOKUP(G302,'CP FACTORS'!$A$3:$B$38, 2, FALSE)</f>
        <v>1.148238E-4</v>
      </c>
      <c r="I302" s="516">
        <f t="shared" si="30"/>
        <v>6.4599999999999996E-3</v>
      </c>
      <c r="J302" s="3095">
        <f>$G$356</f>
        <v>10</v>
      </c>
      <c r="K302" s="589">
        <f>$G$325</f>
        <v>20</v>
      </c>
      <c r="L302" s="517" t="s">
        <v>37</v>
      </c>
      <c r="M302" s="629"/>
      <c r="N302" s="277"/>
      <c r="O302" s="157"/>
      <c r="P302" s="157"/>
      <c r="Q302" s="157"/>
      <c r="R302" s="1627"/>
      <c r="S302" s="157"/>
      <c r="T302" s="157"/>
      <c r="U302" s="157"/>
      <c r="V302" s="2309" t="str">
        <f t="shared" si="37"/>
        <v>kWh Annual Savings</v>
      </c>
      <c r="W302" s="636">
        <v>59.224000000000004</v>
      </c>
      <c r="X302" s="636">
        <v>59.224000000000004</v>
      </c>
      <c r="Y302" s="637">
        <v>59.22</v>
      </c>
      <c r="Z302" s="637">
        <v>59.22</v>
      </c>
      <c r="AA302" s="637">
        <v>59.22</v>
      </c>
      <c r="AB302" s="2322">
        <v>56.26</v>
      </c>
      <c r="AC302" s="208"/>
      <c r="AD302" s="208"/>
      <c r="AE302" s="208"/>
      <c r="AF302" s="208"/>
      <c r="AG302" s="208"/>
      <c r="AH302" s="211"/>
      <c r="BB302" s="2945">
        <f t="shared" si="38"/>
        <v>1.0277382418109766</v>
      </c>
      <c r="BC302" s="2922" t="str">
        <f t="shared" si="39"/>
        <v>Miscellaneous RES 10 Year EUL</v>
      </c>
      <c r="BD302" s="2943">
        <f>(INDEX('Avoided Cost Benefits'!$C$4:$C$857,MATCH(BC302,'Avoided Cost Benefits'!$A$4:$A$857,0)))*F302</f>
        <v>19.400438731684314</v>
      </c>
      <c r="BE302" s="2944">
        <f t="shared" si="40"/>
        <v>18.876828692779611</v>
      </c>
    </row>
    <row r="303" spans="1:57" s="2289" customFormat="1" x14ac:dyDescent="0.25">
      <c r="A303" s="157"/>
      <c r="B303" s="157"/>
      <c r="C303" s="3076" t="s">
        <v>3773</v>
      </c>
      <c r="D303" s="3080" t="s">
        <v>1038</v>
      </c>
      <c r="E303" s="3015" t="s">
        <v>3581</v>
      </c>
      <c r="F303" s="601">
        <f>ROUND((G$312*G$320+G$313*G$316)*G$322,2)</f>
        <v>56.26</v>
      </c>
      <c r="G303" s="635" t="s">
        <v>784</v>
      </c>
      <c r="H303" s="515">
        <f>VLOOKUP(G303,'CP FACTORS'!$A$3:$B$38, 2, FALSE)</f>
        <v>1.148238E-4</v>
      </c>
      <c r="I303" s="516">
        <v>6.4599999999999996E-3</v>
      </c>
      <c r="J303" s="3095">
        <v>10</v>
      </c>
      <c r="K303" s="589">
        <f>$G$326</f>
        <v>30</v>
      </c>
      <c r="L303" s="517" t="s">
        <v>37</v>
      </c>
      <c r="M303" s="629"/>
      <c r="N303" s="277"/>
      <c r="O303" s="157"/>
      <c r="P303" s="157"/>
      <c r="Q303" s="157"/>
      <c r="R303" s="1627"/>
      <c r="S303" s="157"/>
      <c r="T303" s="157"/>
      <c r="U303" s="157"/>
      <c r="V303" s="2309" t="str">
        <f t="shared" si="37"/>
        <v>kWh Annual Savings</v>
      </c>
      <c r="W303" s="636"/>
      <c r="X303" s="636"/>
      <c r="Y303" s="637"/>
      <c r="Z303" s="637"/>
      <c r="AA303" s="637"/>
      <c r="AB303" s="2322">
        <v>56.26</v>
      </c>
      <c r="AC303" s="208"/>
      <c r="AD303" s="208"/>
      <c r="AE303" s="208"/>
      <c r="AF303" s="208"/>
      <c r="AG303" s="208"/>
      <c r="AH303" s="211"/>
      <c r="BB303" s="2945">
        <f t="shared" si="38"/>
        <v>0.68515882787398441</v>
      </c>
      <c r="BC303" s="2922" t="str">
        <f t="shared" si="39"/>
        <v>Miscellaneous RES 10 Year EUL</v>
      </c>
      <c r="BD303" s="2943">
        <f>(INDEX('Avoided Cost Benefits'!$C$4:$C$857,MATCH(BC303,'Avoided Cost Benefits'!$A$4:$A$857,0)))*F303</f>
        <v>19.400438731684314</v>
      </c>
      <c r="BE303" s="2944">
        <f t="shared" si="40"/>
        <v>28.315243039169417</v>
      </c>
    </row>
    <row r="304" spans="1:57" s="64" customFormat="1" x14ac:dyDescent="0.25">
      <c r="A304" s="157"/>
      <c r="B304" s="157"/>
      <c r="C304" s="3076" t="s">
        <v>1045</v>
      </c>
      <c r="D304" s="3080" t="s">
        <v>1038</v>
      </c>
      <c r="E304" s="3015" t="s">
        <v>1046</v>
      </c>
      <c r="F304" s="601">
        <f>ROUND((G$312*G$321+G$313*G$317)*G$323,2)</f>
        <v>50.59</v>
      </c>
      <c r="G304" s="635" t="s">
        <v>784</v>
      </c>
      <c r="H304" s="515">
        <f>VLOOKUP(G304,'CP FACTORS'!$A$3:$B$38, 2, FALSE)</f>
        <v>1.148238E-4</v>
      </c>
      <c r="I304" s="516">
        <f t="shared" si="30"/>
        <v>5.8089999999999999E-3</v>
      </c>
      <c r="J304" s="3095">
        <f>$G$356</f>
        <v>10</v>
      </c>
      <c r="K304" s="589">
        <f>$G$325</f>
        <v>20</v>
      </c>
      <c r="L304" s="517" t="s">
        <v>37</v>
      </c>
      <c r="M304" s="629"/>
      <c r="N304" s="277"/>
      <c r="O304" s="157"/>
      <c r="P304" s="157"/>
      <c r="Q304" s="157"/>
      <c r="R304" s="1627"/>
      <c r="S304" s="157"/>
      <c r="T304" s="157"/>
      <c r="U304" s="157"/>
      <c r="V304" s="2309" t="str">
        <f t="shared" si="37"/>
        <v>kWh Annual Savings</v>
      </c>
      <c r="W304" s="636">
        <v>42.066960000000002</v>
      </c>
      <c r="X304" s="636">
        <v>42.066960000000002</v>
      </c>
      <c r="Y304" s="637">
        <v>42.07</v>
      </c>
      <c r="Z304" s="637">
        <v>42.07</v>
      </c>
      <c r="AA304" s="637">
        <v>42.07</v>
      </c>
      <c r="AB304" s="2322">
        <v>50.59</v>
      </c>
      <c r="AC304" s="208"/>
      <c r="AD304" s="208"/>
      <c r="AE304" s="208"/>
      <c r="AF304" s="208"/>
      <c r="AG304" s="208"/>
      <c r="AH304" s="211"/>
      <c r="BB304" s="2945">
        <f t="shared" si="38"/>
        <v>0.92416064083215987</v>
      </c>
      <c r="BC304" s="2922" t="str">
        <f t="shared" si="39"/>
        <v>Miscellaneous RES 10 Year EUL</v>
      </c>
      <c r="BD304" s="2943">
        <f>(INDEX('Avoided Cost Benefits'!$C$4:$C$857,MATCH(BC304,'Avoided Cost Benefits'!$A$4:$A$857,0)))*F304</f>
        <v>17.445222101598109</v>
      </c>
      <c r="BE304" s="2944">
        <f t="shared" si="40"/>
        <v>18.876828692779611</v>
      </c>
    </row>
    <row r="305" spans="1:69" outlineLevel="1" x14ac:dyDescent="0.25">
      <c r="X305" s="229" t="s">
        <v>801</v>
      </c>
      <c r="Y305" s="229" t="s">
        <v>802</v>
      </c>
    </row>
    <row r="306" spans="1:69" outlineLevel="1" x14ac:dyDescent="0.25">
      <c r="D306" s="222" t="s">
        <v>571</v>
      </c>
    </row>
    <row r="307" spans="1:69" outlineLevel="1" x14ac:dyDescent="0.25"/>
    <row r="308" spans="1:69" outlineLevel="1" x14ac:dyDescent="0.25"/>
    <row r="309" spans="1:69" outlineLevel="1" x14ac:dyDescent="0.25"/>
    <row r="310" spans="1:69" outlineLevel="1" x14ac:dyDescent="0.25">
      <c r="AI310" s="2277"/>
      <c r="AJ310" s="2277"/>
      <c r="AK310" s="2277"/>
      <c r="AL310" s="2277"/>
      <c r="AM310" s="2277"/>
      <c r="AN310" s="2277"/>
      <c r="AO310" s="2277"/>
      <c r="AP310" s="2277"/>
      <c r="AQ310" s="2277"/>
      <c r="AR310" s="2277"/>
      <c r="AS310" s="2277"/>
      <c r="AT310" s="2277"/>
      <c r="AU310" s="2277"/>
      <c r="AV310" s="2277"/>
      <c r="AW310" s="2277"/>
      <c r="AX310" s="2277"/>
      <c r="AY310" s="2277"/>
      <c r="AZ310" s="2277"/>
      <c r="BA310" s="2277"/>
      <c r="BB310" s="2277"/>
      <c r="BC310" s="2277"/>
    </row>
    <row r="311" spans="1:69" outlineLevel="1" x14ac:dyDescent="0.25">
      <c r="D311" s="2371" t="s">
        <v>572</v>
      </c>
      <c r="E311" s="2772" t="s">
        <v>573</v>
      </c>
      <c r="F311" s="2362" t="s">
        <v>1047</v>
      </c>
      <c r="G311" s="2362" t="s">
        <v>1048</v>
      </c>
      <c r="H311" s="3419" t="s">
        <v>713</v>
      </c>
      <c r="I311" s="3419"/>
      <c r="K311" s="633"/>
      <c r="M311" s="157"/>
      <c r="V311" s="623" t="s">
        <v>27</v>
      </c>
      <c r="W311" s="420">
        <f>$W$6</f>
        <v>43252</v>
      </c>
      <c r="X311" s="420">
        <f>$X$6</f>
        <v>43465</v>
      </c>
      <c r="Y311" s="420">
        <f>$Y$6</f>
        <v>43800</v>
      </c>
      <c r="Z311" s="420">
        <f>$Z$6</f>
        <v>43862</v>
      </c>
      <c r="AA311" s="420">
        <f>$AA$6</f>
        <v>44013</v>
      </c>
      <c r="AB311" s="420">
        <f>$AB$6</f>
        <v>44166</v>
      </c>
      <c r="AC311" s="56" t="str">
        <f>$AC$6</f>
        <v>-</v>
      </c>
      <c r="AD311" s="56" t="str">
        <f>$AD$6</f>
        <v>-</v>
      </c>
      <c r="AE311" s="56" t="str">
        <f>$AE$6</f>
        <v>-</v>
      </c>
      <c r="AF311" s="56" t="str">
        <f>$AF$6</f>
        <v>-</v>
      </c>
      <c r="AG311" s="56" t="str">
        <f>$AG$6</f>
        <v>-</v>
      </c>
      <c r="AH311" s="553"/>
      <c r="AI311" s="2277"/>
      <c r="AJ311" s="2277"/>
      <c r="AK311" s="2277"/>
      <c r="AL311" s="2277"/>
      <c r="AM311" s="2277"/>
      <c r="AN311" s="2277"/>
      <c r="AO311" s="2277"/>
      <c r="AP311" s="2277"/>
      <c r="AQ311" s="2277"/>
      <c r="AR311" s="2277"/>
      <c r="AS311" s="2277"/>
      <c r="AT311" s="2277"/>
      <c r="AU311" s="2277"/>
      <c r="AV311" s="2277"/>
      <c r="AW311" s="2277"/>
      <c r="AX311" s="2277"/>
      <c r="AY311" s="2277"/>
      <c r="AZ311" s="2277"/>
      <c r="BA311" s="2277"/>
      <c r="BB311" s="2277"/>
      <c r="BC311" s="2277"/>
      <c r="BF311" s="2630"/>
      <c r="BG311" s="2630"/>
      <c r="BH311" s="2630"/>
      <c r="BI311" s="2630"/>
      <c r="BJ311" s="2630"/>
      <c r="BK311" s="2630"/>
      <c r="BL311" s="2630"/>
      <c r="BM311" s="2630"/>
      <c r="BN311" s="2630"/>
      <c r="BO311" s="2630"/>
      <c r="BP311" s="2630"/>
      <c r="BQ311" s="2630"/>
    </row>
    <row r="312" spans="1:69" outlineLevel="1" x14ac:dyDescent="0.25">
      <c r="D312" s="3513" t="s">
        <v>1049</v>
      </c>
      <c r="E312" s="3515" t="s">
        <v>1050</v>
      </c>
      <c r="F312" s="3102" t="s">
        <v>3582</v>
      </c>
      <c r="G312" s="3079">
        <v>31</v>
      </c>
      <c r="H312" s="3522"/>
      <c r="I312" s="3523"/>
      <c r="K312" s="633"/>
      <c r="M312" s="157"/>
      <c r="V312" s="3472" t="s">
        <v>1050</v>
      </c>
      <c r="W312" s="638">
        <v>31</v>
      </c>
      <c r="X312" s="638">
        <v>31</v>
      </c>
      <c r="Y312" s="638">
        <v>31</v>
      </c>
      <c r="Z312" s="638">
        <v>31</v>
      </c>
      <c r="AA312" s="638">
        <v>31</v>
      </c>
      <c r="AB312" s="2769">
        <v>31</v>
      </c>
      <c r="AC312" s="638"/>
      <c r="AD312" s="638"/>
      <c r="AE312" s="638"/>
      <c r="AF312" s="638"/>
      <c r="AG312" s="638"/>
      <c r="AI312" s="2277"/>
      <c r="AJ312" s="2277"/>
      <c r="AK312" s="2277"/>
      <c r="AL312" s="2277"/>
      <c r="AM312" s="2277"/>
      <c r="AN312" s="2277"/>
      <c r="AO312" s="2277"/>
      <c r="AP312" s="2277"/>
      <c r="AQ312" s="2277"/>
      <c r="AR312" s="2277"/>
      <c r="AS312" s="2277"/>
      <c r="AT312" s="2277"/>
      <c r="AU312" s="2277"/>
      <c r="AV312" s="2277"/>
      <c r="AW312" s="2277"/>
      <c r="AX312" s="2277"/>
      <c r="AY312" s="2277"/>
      <c r="AZ312" s="2277"/>
      <c r="BA312" s="2277"/>
      <c r="BB312" s="2277"/>
      <c r="BC312" s="2277"/>
      <c r="BF312" s="2455"/>
      <c r="BG312" s="2455"/>
      <c r="BH312" s="2455"/>
      <c r="BI312" s="2455"/>
      <c r="BJ312" s="2455"/>
      <c r="BK312" s="2455"/>
      <c r="BL312" s="2455"/>
      <c r="BM312" s="2455"/>
      <c r="BN312" s="2455"/>
      <c r="BO312" s="2455"/>
      <c r="BP312" s="2455"/>
      <c r="BQ312" s="2455"/>
    </row>
    <row r="313" spans="1:69" s="2277" customFormat="1" outlineLevel="1" x14ac:dyDescent="0.25">
      <c r="A313" s="157"/>
      <c r="B313" s="157"/>
      <c r="C313" s="386"/>
      <c r="D313" s="3513"/>
      <c r="E313" s="3515"/>
      <c r="F313" s="3102" t="s">
        <v>3583</v>
      </c>
      <c r="G313" s="3079">
        <v>75.099999999999994</v>
      </c>
      <c r="H313" s="3522"/>
      <c r="I313" s="3523"/>
      <c r="J313" s="157"/>
      <c r="K313" s="2370"/>
      <c r="L313" s="157"/>
      <c r="M313" s="157"/>
      <c r="N313" s="157"/>
      <c r="O313" s="157"/>
      <c r="P313" s="157"/>
      <c r="Q313" s="157"/>
      <c r="R313" s="157"/>
      <c r="S313" s="157"/>
      <c r="T313" s="157"/>
      <c r="U313" s="157"/>
      <c r="V313" s="3473"/>
      <c r="W313" s="638"/>
      <c r="X313" s="638"/>
      <c r="Y313" s="638"/>
      <c r="Z313" s="638"/>
      <c r="AA313" s="638"/>
      <c r="AB313" s="2769">
        <v>75.099999999999994</v>
      </c>
      <c r="AC313" s="638"/>
      <c r="AD313" s="638"/>
      <c r="AE313" s="638"/>
      <c r="AF313" s="638"/>
      <c r="AG313" s="638"/>
      <c r="BD313" s="1"/>
      <c r="BE313" s="1"/>
      <c r="BF313" s="2455"/>
      <c r="BG313" s="2455"/>
      <c r="BH313" s="2455"/>
      <c r="BI313" s="2455"/>
      <c r="BJ313" s="2455"/>
      <c r="BK313" s="2455"/>
      <c r="BL313" s="2455"/>
      <c r="BM313" s="2455"/>
      <c r="BN313" s="2455"/>
      <c r="BO313" s="2455"/>
      <c r="BP313" s="2455"/>
      <c r="BQ313" s="2455"/>
    </row>
    <row r="314" spans="1:69" outlineLevel="1" x14ac:dyDescent="0.25">
      <c r="D314" s="3513" t="s">
        <v>1051</v>
      </c>
      <c r="E314" s="3514" t="s">
        <v>1052</v>
      </c>
      <c r="F314" s="3102" t="s">
        <v>3582</v>
      </c>
      <c r="G314" s="263">
        <v>0</v>
      </c>
      <c r="H314" s="3522"/>
      <c r="I314" s="3523"/>
      <c r="K314" s="633"/>
      <c r="M314" s="157"/>
      <c r="V314" s="3571" t="s">
        <v>1052</v>
      </c>
      <c r="W314" s="639">
        <v>0</v>
      </c>
      <c r="X314" s="639">
        <v>0</v>
      </c>
      <c r="Y314" s="639">
        <v>0</v>
      </c>
      <c r="Z314" s="639">
        <v>0</v>
      </c>
      <c r="AA314" s="639">
        <v>0</v>
      </c>
      <c r="AB314" s="263">
        <v>0</v>
      </c>
      <c r="AC314" s="639"/>
      <c r="AD314" s="639"/>
      <c r="AE314" s="639"/>
      <c r="AF314" s="639"/>
      <c r="AG314" s="639"/>
      <c r="AI314" s="2277"/>
      <c r="AJ314" s="2277"/>
      <c r="AK314" s="2277"/>
      <c r="AL314" s="2277"/>
      <c r="AM314" s="2277"/>
      <c r="AN314" s="2277"/>
      <c r="AO314" s="2277"/>
      <c r="AP314" s="2277"/>
      <c r="AQ314" s="2277"/>
      <c r="AR314" s="2277"/>
      <c r="AS314" s="2277"/>
      <c r="AT314" s="2277"/>
      <c r="AU314" s="2277"/>
      <c r="AV314" s="2277"/>
      <c r="AW314" s="2277"/>
      <c r="AX314" s="2277"/>
      <c r="AY314" s="2277"/>
      <c r="AZ314" s="2277"/>
      <c r="BA314" s="2277"/>
      <c r="BB314" s="2277"/>
      <c r="BC314" s="2277"/>
      <c r="BF314" s="2455"/>
      <c r="BG314" s="2455"/>
      <c r="BH314" s="2455"/>
      <c r="BI314" s="2455"/>
      <c r="BJ314" s="2455"/>
      <c r="BK314" s="2455"/>
      <c r="BL314" s="2455"/>
      <c r="BM314" s="2455"/>
      <c r="BN314" s="2455"/>
      <c r="BO314" s="2455"/>
      <c r="BP314" s="2455"/>
      <c r="BQ314" s="2455"/>
    </row>
    <row r="315" spans="1:69" s="2277" customFormat="1" outlineLevel="1" x14ac:dyDescent="0.25">
      <c r="A315" s="157"/>
      <c r="B315" s="157"/>
      <c r="C315" s="386"/>
      <c r="D315" s="3513"/>
      <c r="E315" s="3514"/>
      <c r="F315" s="3102" t="s">
        <v>3583</v>
      </c>
      <c r="G315" s="263">
        <v>1</v>
      </c>
      <c r="H315" s="3522"/>
      <c r="I315" s="3523"/>
      <c r="J315" s="157"/>
      <c r="K315" s="2370"/>
      <c r="L315" s="157"/>
      <c r="M315" s="157"/>
      <c r="N315" s="157"/>
      <c r="O315" s="157"/>
      <c r="P315" s="157"/>
      <c r="Q315" s="157"/>
      <c r="R315" s="157"/>
      <c r="S315" s="157"/>
      <c r="T315" s="157"/>
      <c r="U315" s="157"/>
      <c r="V315" s="3572"/>
      <c r="W315" s="639"/>
      <c r="X315" s="639"/>
      <c r="Y315" s="639"/>
      <c r="Z315" s="639"/>
      <c r="AA315" s="639"/>
      <c r="AB315" s="263">
        <v>1</v>
      </c>
      <c r="AC315" s="639"/>
      <c r="AD315" s="639"/>
      <c r="AE315" s="639"/>
      <c r="AF315" s="639"/>
      <c r="AG315" s="639"/>
      <c r="BD315" s="1"/>
      <c r="BE315" s="1"/>
      <c r="BF315" s="2455"/>
      <c r="BG315" s="2455"/>
      <c r="BH315" s="2455"/>
      <c r="BI315" s="2455"/>
      <c r="BJ315" s="2455"/>
      <c r="BK315" s="2455"/>
      <c r="BL315" s="2455"/>
      <c r="BM315" s="2455"/>
      <c r="BN315" s="2455"/>
      <c r="BO315" s="2455"/>
      <c r="BP315" s="2455"/>
      <c r="BQ315" s="2455"/>
    </row>
    <row r="316" spans="1:69" s="2277" customFormat="1" outlineLevel="1" x14ac:dyDescent="0.25">
      <c r="A316" s="157"/>
      <c r="B316" s="157"/>
      <c r="C316" s="386"/>
      <c r="D316" s="3513"/>
      <c r="E316" s="3514"/>
      <c r="F316" s="3022" t="s">
        <v>3584</v>
      </c>
      <c r="G316" s="263">
        <v>0.64</v>
      </c>
      <c r="H316" s="3522"/>
      <c r="I316" s="3523"/>
      <c r="J316" s="157"/>
      <c r="K316" s="2370"/>
      <c r="L316" s="157"/>
      <c r="M316" s="157"/>
      <c r="N316" s="157"/>
      <c r="O316" s="157"/>
      <c r="P316" s="157"/>
      <c r="Q316" s="157"/>
      <c r="R316" s="157"/>
      <c r="S316" s="157"/>
      <c r="T316" s="157"/>
      <c r="U316" s="157"/>
      <c r="V316" s="3572"/>
      <c r="W316" s="639"/>
      <c r="X316" s="639"/>
      <c r="Y316" s="639"/>
      <c r="Z316" s="639"/>
      <c r="AA316" s="639"/>
      <c r="AB316" s="263">
        <v>0.64</v>
      </c>
      <c r="AC316" s="639"/>
      <c r="AD316" s="639"/>
      <c r="AE316" s="639"/>
      <c r="AF316" s="639"/>
      <c r="AG316" s="639"/>
      <c r="BD316" s="1"/>
      <c r="BE316" s="1"/>
      <c r="BF316" s="2455"/>
      <c r="BG316" s="2455"/>
      <c r="BH316" s="2455"/>
      <c r="BI316" s="2455"/>
      <c r="BJ316" s="2455"/>
      <c r="BK316" s="2455"/>
      <c r="BL316" s="2455"/>
      <c r="BM316" s="2455"/>
      <c r="BN316" s="2455"/>
      <c r="BO316" s="2455"/>
      <c r="BP316" s="2455"/>
      <c r="BQ316" s="2455"/>
    </row>
    <row r="317" spans="1:69" s="2277" customFormat="1" outlineLevel="1" x14ac:dyDescent="0.25">
      <c r="A317" s="157"/>
      <c r="B317" s="157"/>
      <c r="C317" s="386"/>
      <c r="D317" s="3513"/>
      <c r="E317" s="3514"/>
      <c r="F317" s="3022" t="s">
        <v>3585</v>
      </c>
      <c r="G317" s="263">
        <v>0.52</v>
      </c>
      <c r="H317" s="3522"/>
      <c r="I317" s="3523"/>
      <c r="J317" s="157"/>
      <c r="K317" s="2370"/>
      <c r="L317" s="157"/>
      <c r="M317" s="157"/>
      <c r="N317" s="157"/>
      <c r="O317" s="157"/>
      <c r="P317" s="157"/>
      <c r="Q317" s="157"/>
      <c r="R317" s="157"/>
      <c r="S317" s="157"/>
      <c r="T317" s="157"/>
      <c r="U317" s="157"/>
      <c r="V317" s="3573"/>
      <c r="W317" s="639"/>
      <c r="X317" s="639"/>
      <c r="Y317" s="639"/>
      <c r="Z317" s="639"/>
      <c r="AA317" s="639"/>
      <c r="AB317" s="263">
        <v>0.52</v>
      </c>
      <c r="AC317" s="639"/>
      <c r="AD317" s="639"/>
      <c r="AE317" s="639"/>
      <c r="AF317" s="639"/>
      <c r="AG317" s="639"/>
      <c r="BD317" s="1"/>
      <c r="BE317" s="1"/>
      <c r="BF317" s="2455"/>
      <c r="BG317" s="2455"/>
      <c r="BH317" s="2455"/>
      <c r="BI317" s="2455"/>
      <c r="BJ317" s="2455"/>
      <c r="BK317" s="2455"/>
      <c r="BL317" s="2455"/>
      <c r="BM317" s="2455"/>
      <c r="BN317" s="2455"/>
      <c r="BO317" s="2455"/>
      <c r="BP317" s="2455"/>
      <c r="BQ317" s="2455"/>
    </row>
    <row r="318" spans="1:69" outlineLevel="1" x14ac:dyDescent="0.25">
      <c r="D318" s="3513" t="s">
        <v>1053</v>
      </c>
      <c r="E318" s="3514" t="s">
        <v>1054</v>
      </c>
      <c r="F318" s="3102" t="s">
        <v>3582</v>
      </c>
      <c r="G318" s="263">
        <f>1-G314</f>
        <v>1</v>
      </c>
      <c r="H318" s="3522"/>
      <c r="I318" s="3523"/>
      <c r="K318" s="633"/>
      <c r="M318" s="157"/>
      <c r="V318" s="3571" t="s">
        <v>1054</v>
      </c>
      <c r="W318" s="640">
        <v>1</v>
      </c>
      <c r="X318" s="640">
        <v>1</v>
      </c>
      <c r="Y318" s="640">
        <v>1</v>
      </c>
      <c r="Z318" s="640">
        <v>1</v>
      </c>
      <c r="AA318" s="640">
        <v>1</v>
      </c>
      <c r="AB318" s="263">
        <v>1</v>
      </c>
      <c r="AC318" s="640"/>
      <c r="AD318" s="640"/>
      <c r="AE318" s="640"/>
      <c r="AF318" s="640"/>
      <c r="AG318" s="640"/>
      <c r="AI318" s="2277"/>
      <c r="AJ318" s="2277"/>
      <c r="AK318" s="2277"/>
      <c r="AL318" s="2277"/>
      <c r="AM318" s="2277"/>
      <c r="AN318" s="2277"/>
      <c r="AO318" s="2277"/>
      <c r="AP318" s="2277"/>
      <c r="AQ318" s="2277"/>
      <c r="AR318" s="2277"/>
      <c r="AS318" s="2277"/>
      <c r="AT318" s="2277"/>
      <c r="AU318" s="2277"/>
      <c r="AV318" s="2277"/>
      <c r="AW318" s="2277"/>
      <c r="AX318" s="2277"/>
      <c r="AY318" s="2277"/>
      <c r="AZ318" s="2277"/>
      <c r="BA318" s="2277"/>
      <c r="BB318" s="2277"/>
      <c r="BC318" s="2277"/>
      <c r="BF318" s="2455"/>
      <c r="BG318" s="2455"/>
      <c r="BH318" s="2455"/>
      <c r="BI318" s="2455"/>
      <c r="BJ318" s="2455"/>
      <c r="BK318" s="2455"/>
      <c r="BL318" s="2455"/>
      <c r="BM318" s="2455"/>
      <c r="BN318" s="2455"/>
      <c r="BO318" s="2455"/>
      <c r="BP318" s="2455"/>
      <c r="BQ318" s="2455"/>
    </row>
    <row r="319" spans="1:69" s="2277" customFormat="1" outlineLevel="1" x14ac:dyDescent="0.25">
      <c r="A319" s="157"/>
      <c r="B319" s="157"/>
      <c r="C319" s="386"/>
      <c r="D319" s="3513"/>
      <c r="E319" s="3514"/>
      <c r="F319" s="3102" t="s">
        <v>3583</v>
      </c>
      <c r="G319" s="263">
        <f t="shared" ref="G319:G321" si="41">1-G315</f>
        <v>0</v>
      </c>
      <c r="H319" s="3522"/>
      <c r="I319" s="3523"/>
      <c r="J319" s="157"/>
      <c r="K319" s="2370"/>
      <c r="L319" s="157"/>
      <c r="M319" s="157"/>
      <c r="N319" s="157"/>
      <c r="O319" s="157"/>
      <c r="P319" s="157"/>
      <c r="Q319" s="157"/>
      <c r="R319" s="157"/>
      <c r="S319" s="157"/>
      <c r="T319" s="157"/>
      <c r="U319" s="157"/>
      <c r="V319" s="3572"/>
      <c r="W319" s="640"/>
      <c r="X319" s="640"/>
      <c r="Y319" s="640"/>
      <c r="Z319" s="640"/>
      <c r="AA319" s="640"/>
      <c r="AB319" s="263">
        <v>0</v>
      </c>
      <c r="AC319" s="640"/>
      <c r="AD319" s="640"/>
      <c r="AE319" s="640"/>
      <c r="AF319" s="640"/>
      <c r="AG319" s="640"/>
      <c r="BD319" s="1"/>
      <c r="BE319" s="1"/>
      <c r="BF319" s="2455"/>
      <c r="BG319" s="2455"/>
      <c r="BH319" s="2455"/>
      <c r="BI319" s="2455"/>
      <c r="BJ319" s="2455"/>
      <c r="BK319" s="2455"/>
      <c r="BL319" s="2455"/>
      <c r="BM319" s="2455"/>
      <c r="BN319" s="2455"/>
      <c r="BO319" s="2455"/>
      <c r="BP319" s="2455"/>
      <c r="BQ319" s="2455"/>
    </row>
    <row r="320" spans="1:69" s="2277" customFormat="1" outlineLevel="1" x14ac:dyDescent="0.25">
      <c r="A320" s="157"/>
      <c r="B320" s="157"/>
      <c r="C320" s="386"/>
      <c r="D320" s="3513"/>
      <c r="E320" s="3514"/>
      <c r="F320" s="3022" t="s">
        <v>3584</v>
      </c>
      <c r="G320" s="263">
        <f t="shared" si="41"/>
        <v>0.36</v>
      </c>
      <c r="H320" s="3576"/>
      <c r="I320" s="3577"/>
      <c r="J320" s="157"/>
      <c r="K320" s="2370"/>
      <c r="L320" s="157"/>
      <c r="M320" s="157"/>
      <c r="N320" s="157"/>
      <c r="O320" s="157"/>
      <c r="P320" s="157"/>
      <c r="Q320" s="157"/>
      <c r="R320" s="157"/>
      <c r="S320" s="157"/>
      <c r="T320" s="157"/>
      <c r="U320" s="157"/>
      <c r="V320" s="3572"/>
      <c r="W320" s="640"/>
      <c r="X320" s="640"/>
      <c r="Y320" s="640"/>
      <c r="Z320" s="640"/>
      <c r="AA320" s="640"/>
      <c r="AB320" s="263">
        <v>0.36</v>
      </c>
      <c r="AC320" s="640"/>
      <c r="AD320" s="640"/>
      <c r="AE320" s="640"/>
      <c r="AF320" s="640"/>
      <c r="AG320" s="640"/>
      <c r="BD320" s="1"/>
      <c r="BE320" s="1"/>
      <c r="BF320" s="2455"/>
      <c r="BG320" s="2455"/>
      <c r="BH320" s="2455"/>
      <c r="BI320" s="2455"/>
      <c r="BJ320" s="2455"/>
      <c r="BK320" s="2455"/>
      <c r="BL320" s="2455"/>
      <c r="BM320" s="2455"/>
      <c r="BN320" s="2455"/>
      <c r="BO320" s="2455"/>
      <c r="BP320" s="2455"/>
      <c r="BQ320" s="2455"/>
    </row>
    <row r="321" spans="1:69" s="2277" customFormat="1" outlineLevel="1" x14ac:dyDescent="0.25">
      <c r="A321" s="157"/>
      <c r="B321" s="157"/>
      <c r="C321" s="386"/>
      <c r="D321" s="3513"/>
      <c r="E321" s="3514"/>
      <c r="F321" s="3022" t="s">
        <v>3585</v>
      </c>
      <c r="G321" s="263">
        <f t="shared" si="41"/>
        <v>0.48</v>
      </c>
      <c r="H321" s="3576"/>
      <c r="I321" s="3577"/>
      <c r="J321" s="157"/>
      <c r="K321" s="2370"/>
      <c r="L321" s="157"/>
      <c r="M321" s="157"/>
      <c r="N321" s="157"/>
      <c r="O321" s="157"/>
      <c r="P321" s="157"/>
      <c r="Q321" s="157"/>
      <c r="R321" s="157"/>
      <c r="S321" s="157"/>
      <c r="T321" s="157"/>
      <c r="U321" s="157"/>
      <c r="V321" s="3573"/>
      <c r="W321" s="640"/>
      <c r="X321" s="640"/>
      <c r="Y321" s="640"/>
      <c r="Z321" s="640"/>
      <c r="AA321" s="640"/>
      <c r="AB321" s="263">
        <v>0.48</v>
      </c>
      <c r="AC321" s="640"/>
      <c r="AD321" s="640"/>
      <c r="AE321" s="640"/>
      <c r="AF321" s="640"/>
      <c r="AG321" s="640"/>
      <c r="BD321" s="1"/>
      <c r="BE321" s="1"/>
      <c r="BF321" s="2455"/>
      <c r="BG321" s="2455"/>
      <c r="BH321" s="2455"/>
      <c r="BI321" s="2455"/>
      <c r="BJ321" s="2455"/>
      <c r="BK321" s="2455"/>
      <c r="BL321" s="2455"/>
      <c r="BM321" s="2455"/>
      <c r="BN321" s="2455"/>
      <c r="BO321" s="2455"/>
      <c r="BP321" s="2455"/>
      <c r="BQ321" s="2455"/>
    </row>
    <row r="322" spans="1:69" s="2277" customFormat="1" outlineLevel="1" x14ac:dyDescent="0.25">
      <c r="A322" s="157"/>
      <c r="B322" s="157"/>
      <c r="C322" s="386"/>
      <c r="D322" s="3472" t="s">
        <v>75</v>
      </c>
      <c r="E322" s="3474" t="s">
        <v>3573</v>
      </c>
      <c r="F322" s="3022" t="s">
        <v>3574</v>
      </c>
      <c r="G322" s="263">
        <v>0.95</v>
      </c>
      <c r="H322" s="3040" t="s">
        <v>3587</v>
      </c>
      <c r="I322" s="3041"/>
      <c r="J322" s="157"/>
      <c r="K322" s="2771"/>
      <c r="L322" s="157"/>
      <c r="M322" s="157"/>
      <c r="N322" s="157"/>
      <c r="O322" s="157"/>
      <c r="P322" s="157"/>
      <c r="Q322" s="157"/>
      <c r="R322" s="157"/>
      <c r="S322" s="157"/>
      <c r="T322" s="157"/>
      <c r="U322" s="157"/>
      <c r="V322" s="3475" t="s">
        <v>75</v>
      </c>
      <c r="W322" s="264">
        <v>1</v>
      </c>
      <c r="X322" s="264">
        <v>1</v>
      </c>
      <c r="Y322" s="264">
        <v>1</v>
      </c>
      <c r="Z322" s="264">
        <v>1</v>
      </c>
      <c r="AA322" s="264">
        <v>1</v>
      </c>
      <c r="AB322" s="2445">
        <v>0.95</v>
      </c>
      <c r="AC322" s="641"/>
      <c r="AD322" s="641"/>
      <c r="AE322" s="641"/>
      <c r="AF322" s="641"/>
      <c r="AG322" s="641"/>
      <c r="BD322" s="1"/>
      <c r="BE322" s="1"/>
      <c r="BF322" s="2455"/>
      <c r="BG322" s="2455"/>
      <c r="BH322" s="2455"/>
      <c r="BI322" s="2455"/>
      <c r="BJ322" s="2455"/>
      <c r="BK322" s="2455"/>
      <c r="BL322" s="2455"/>
      <c r="BM322" s="2455"/>
      <c r="BN322" s="2455"/>
      <c r="BO322" s="2455"/>
      <c r="BP322" s="2455"/>
      <c r="BQ322" s="2455"/>
    </row>
    <row r="323" spans="1:69" s="2277" customFormat="1" outlineLevel="1" x14ac:dyDescent="0.25">
      <c r="A323" s="157"/>
      <c r="B323" s="157"/>
      <c r="C323" s="386"/>
      <c r="D323" s="3473"/>
      <c r="E323" s="3445"/>
      <c r="F323" s="3022" t="s">
        <v>3575</v>
      </c>
      <c r="G323" s="3149">
        <v>0.93799999999999994</v>
      </c>
      <c r="H323" s="3040" t="s">
        <v>3588</v>
      </c>
      <c r="I323" s="3041"/>
      <c r="J323" s="157"/>
      <c r="K323" s="2771"/>
      <c r="L323" s="157"/>
      <c r="M323" s="157"/>
      <c r="N323" s="157"/>
      <c r="O323" s="157"/>
      <c r="P323" s="157"/>
      <c r="Q323" s="157"/>
      <c r="R323" s="157"/>
      <c r="S323" s="157"/>
      <c r="T323" s="157"/>
      <c r="U323" s="157"/>
      <c r="V323" s="3476"/>
      <c r="W323" s="264">
        <v>0.78</v>
      </c>
      <c r="X323" s="264">
        <v>0.78</v>
      </c>
      <c r="Y323" s="264">
        <v>0.78</v>
      </c>
      <c r="Z323" s="264">
        <v>0.78</v>
      </c>
      <c r="AA323" s="264">
        <v>0.78</v>
      </c>
      <c r="AB323" s="2445">
        <v>0.93799999999999994</v>
      </c>
      <c r="AC323" s="641"/>
      <c r="AD323" s="641"/>
      <c r="AE323" s="641"/>
      <c r="AF323" s="641"/>
      <c r="AG323" s="641"/>
      <c r="BD323" s="1"/>
      <c r="BE323" s="1"/>
      <c r="BF323" s="2455"/>
      <c r="BG323" s="2455"/>
      <c r="BH323" s="2455"/>
      <c r="BI323" s="2455"/>
      <c r="BJ323" s="2455"/>
      <c r="BK323" s="2455"/>
      <c r="BL323" s="2455"/>
      <c r="BM323" s="2455"/>
      <c r="BN323" s="2455"/>
      <c r="BO323" s="2455"/>
      <c r="BP323" s="2455"/>
      <c r="BQ323" s="2455"/>
    </row>
    <row r="324" spans="1:69" s="2277" customFormat="1" outlineLevel="1" x14ac:dyDescent="0.25">
      <c r="A324" s="157"/>
      <c r="B324" s="157"/>
      <c r="C324" s="386"/>
      <c r="D324" s="2454" t="s">
        <v>896</v>
      </c>
      <c r="E324" s="2894" t="s">
        <v>611</v>
      </c>
      <c r="F324" s="3021" t="s">
        <v>591</v>
      </c>
      <c r="G324" s="2759">
        <v>10</v>
      </c>
      <c r="H324" s="3040"/>
      <c r="I324" s="3041"/>
      <c r="J324" s="157"/>
      <c r="K324" s="2370"/>
      <c r="L324" s="157"/>
      <c r="M324" s="157"/>
      <c r="N324" s="157"/>
      <c r="O324" s="157"/>
      <c r="P324" s="157"/>
      <c r="Q324" s="157"/>
      <c r="R324" s="157"/>
      <c r="S324" s="157"/>
      <c r="T324" s="157"/>
      <c r="U324" s="157"/>
      <c r="V324" s="3097" t="s">
        <v>896</v>
      </c>
      <c r="W324" s="506">
        <v>10</v>
      </c>
      <c r="X324" s="506">
        <v>10</v>
      </c>
      <c r="Y324" s="506">
        <v>10</v>
      </c>
      <c r="Z324" s="506">
        <v>10</v>
      </c>
      <c r="AA324" s="506">
        <v>10</v>
      </c>
      <c r="AB324" s="2759">
        <v>10</v>
      </c>
      <c r="AC324" s="506"/>
      <c r="AD324" s="506"/>
      <c r="AE324" s="506"/>
      <c r="AF324" s="506"/>
      <c r="AG324" s="506"/>
      <c r="AH324"/>
      <c r="AI324"/>
      <c r="AJ324"/>
      <c r="AK324"/>
      <c r="AL324"/>
      <c r="AM324"/>
      <c r="AN324"/>
      <c r="AO324"/>
      <c r="AP324"/>
      <c r="AQ324"/>
      <c r="AR324"/>
      <c r="AS324"/>
      <c r="AT324"/>
      <c r="AU324"/>
      <c r="AV324"/>
      <c r="AW324"/>
      <c r="AX324"/>
      <c r="AY324"/>
      <c r="AZ324"/>
      <c r="BA324"/>
      <c r="BB324"/>
      <c r="BC324"/>
      <c r="BD324" s="1"/>
      <c r="BE324" s="1"/>
      <c r="BF324"/>
      <c r="BG324"/>
      <c r="BH324"/>
      <c r="BI324"/>
      <c r="BJ324"/>
      <c r="BK324"/>
      <c r="BL324"/>
      <c r="BM324"/>
      <c r="BN324"/>
      <c r="BO324"/>
      <c r="BP324"/>
      <c r="BQ324"/>
    </row>
    <row r="325" spans="1:69" s="2277" customFormat="1" outlineLevel="1" x14ac:dyDescent="0.25">
      <c r="A325" s="157"/>
      <c r="B325" s="157"/>
      <c r="C325" s="386"/>
      <c r="D325" s="3557" t="s">
        <v>25</v>
      </c>
      <c r="E325" s="3580" t="s">
        <v>613</v>
      </c>
      <c r="F325" s="3020" t="s">
        <v>1846</v>
      </c>
      <c r="G325" s="2758">
        <v>20</v>
      </c>
      <c r="H325" s="3040"/>
      <c r="I325" s="3041"/>
      <c r="J325" s="157"/>
      <c r="K325" s="2370"/>
      <c r="L325" s="157"/>
      <c r="M325" s="157"/>
      <c r="N325" s="157"/>
      <c r="O325" s="157"/>
      <c r="P325" s="157"/>
      <c r="Q325" s="157"/>
      <c r="R325" s="157"/>
      <c r="S325" s="157"/>
      <c r="T325" s="157"/>
      <c r="U325" s="157"/>
      <c r="V325" s="3574" t="s">
        <v>25</v>
      </c>
      <c r="W325" s="508">
        <v>20</v>
      </c>
      <c r="X325" s="508">
        <v>20</v>
      </c>
      <c r="Y325" s="508">
        <v>20</v>
      </c>
      <c r="Z325" s="508">
        <v>20</v>
      </c>
      <c r="AA325" s="508">
        <v>20</v>
      </c>
      <c r="AB325" s="2758">
        <v>20</v>
      </c>
      <c r="AC325" s="508"/>
      <c r="AD325" s="508"/>
      <c r="AE325" s="508"/>
      <c r="AF325" s="508"/>
      <c r="AG325" s="508"/>
      <c r="AH325"/>
      <c r="AI325"/>
      <c r="AJ325"/>
      <c r="AK325"/>
      <c r="AL325"/>
      <c r="AM325"/>
      <c r="AN325"/>
      <c r="AO325"/>
      <c r="AP325"/>
      <c r="AQ325"/>
      <c r="AR325"/>
      <c r="AS325"/>
      <c r="AT325"/>
      <c r="AU325"/>
      <c r="AV325"/>
      <c r="AW325"/>
      <c r="AX325"/>
      <c r="AY325"/>
      <c r="AZ325"/>
      <c r="BA325"/>
      <c r="BB325"/>
      <c r="BC325"/>
      <c r="BD325" s="1"/>
      <c r="BE325" s="1"/>
      <c r="BF325"/>
      <c r="BG325"/>
      <c r="BH325"/>
      <c r="BI325"/>
      <c r="BJ325"/>
      <c r="BK325"/>
      <c r="BL325"/>
      <c r="BM325"/>
      <c r="BN325"/>
      <c r="BO325"/>
      <c r="BP325"/>
      <c r="BQ325"/>
    </row>
    <row r="326" spans="1:69" outlineLevel="1" x14ac:dyDescent="0.25">
      <c r="B326" s="1359"/>
      <c r="C326" s="1900"/>
      <c r="D326" s="3557"/>
      <c r="E326" s="3580"/>
      <c r="F326" s="3020" t="s">
        <v>3586</v>
      </c>
      <c r="G326" s="2758">
        <v>30</v>
      </c>
      <c r="H326" s="3576"/>
      <c r="I326" s="3577"/>
      <c r="K326" s="633"/>
      <c r="L326" s="298"/>
      <c r="M326" s="1276"/>
      <c r="N326" s="298"/>
      <c r="O326" s="298"/>
      <c r="P326" s="298"/>
      <c r="Q326" s="298"/>
      <c r="V326" s="3575"/>
      <c r="W326" s="622"/>
      <c r="X326" s="622"/>
      <c r="Y326" s="622"/>
      <c r="Z326" s="622"/>
      <c r="AA326" s="622"/>
      <c r="AB326" s="618">
        <v>30</v>
      </c>
      <c r="AC326" s="208"/>
      <c r="AD326" s="208"/>
      <c r="AE326" s="208"/>
      <c r="AF326" s="208"/>
      <c r="AG326" s="208"/>
    </row>
    <row r="327" spans="1:69" outlineLevel="1" x14ac:dyDescent="0.25">
      <c r="B327" s="1359"/>
      <c r="C327" s="1900"/>
      <c r="K327" s="633"/>
      <c r="L327" s="298"/>
      <c r="M327" s="1276"/>
      <c r="N327" s="298"/>
      <c r="O327" s="298"/>
      <c r="P327" s="298"/>
      <c r="Q327" s="298"/>
    </row>
    <row r="329" spans="1:69" s="2277" customFormat="1" x14ac:dyDescent="0.25">
      <c r="A329" s="157"/>
      <c r="B329" s="3350" t="s">
        <v>781</v>
      </c>
      <c r="C329" s="3351"/>
      <c r="D329" s="3351"/>
      <c r="E329" s="3351"/>
      <c r="F329" s="3351"/>
      <c r="G329" s="3351"/>
      <c r="H329" s="3351"/>
      <c r="I329" s="3581"/>
      <c r="J329" s="3581"/>
      <c r="K329" s="3581"/>
      <c r="L329" s="3581"/>
      <c r="M329" s="3581"/>
      <c r="N329" s="3581"/>
      <c r="O329" s="3582"/>
      <c r="P329" s="157"/>
      <c r="Q329" s="157"/>
      <c r="R329" s="157"/>
      <c r="S329" s="157"/>
      <c r="T329" s="157"/>
      <c r="U329" s="157"/>
      <c r="V329" s="3350" t="str">
        <f>B329</f>
        <v>Advanced Power Strips Tier 2  /  Advanced Control Stategies</v>
      </c>
      <c r="W329" s="3351"/>
      <c r="X329" s="3351"/>
      <c r="Y329" s="3351"/>
      <c r="Z329" s="3351"/>
      <c r="AA329" s="3351"/>
      <c r="AB329" s="3351"/>
      <c r="AC329" s="3352"/>
      <c r="AD329" s="3352"/>
      <c r="AE329" s="3352"/>
      <c r="AF329" s="3352"/>
      <c r="AG329" s="3352"/>
      <c r="AH329" s="3353"/>
      <c r="BD329" s="1"/>
      <c r="BE329" s="1"/>
    </row>
    <row r="330" spans="1:69" s="2277" customFormat="1" x14ac:dyDescent="0.25">
      <c r="A330" s="157"/>
      <c r="B330" s="157"/>
      <c r="C330" s="386"/>
      <c r="D330" s="386"/>
      <c r="E330" s="413"/>
      <c r="F330" s="157"/>
      <c r="G330" s="157"/>
      <c r="H330" s="157"/>
      <c r="I330" s="157"/>
      <c r="J330" s="157"/>
      <c r="K330" s="157"/>
      <c r="L330" s="157"/>
      <c r="M330" s="3085"/>
      <c r="N330" s="157"/>
      <c r="O330" s="157"/>
      <c r="P330" s="157"/>
      <c r="Q330" s="157"/>
      <c r="R330" s="157"/>
      <c r="S330" s="157"/>
      <c r="T330" s="157"/>
      <c r="U330" s="157"/>
      <c r="V330" s="157"/>
      <c r="W330" s="2374"/>
      <c r="X330" s="2374"/>
      <c r="Y330" s="2374"/>
      <c r="Z330" s="2374"/>
      <c r="AA330" s="2374"/>
      <c r="AB330" s="2374"/>
      <c r="AC330" s="132"/>
      <c r="AD330" s="132"/>
      <c r="AE330" s="132"/>
      <c r="AF330" s="132"/>
      <c r="AG330" s="132"/>
      <c r="AH330" s="132"/>
      <c r="BD330" s="1"/>
      <c r="BE330" s="1"/>
    </row>
    <row r="331" spans="1:69" s="2277" customFormat="1" ht="30" x14ac:dyDescent="0.25">
      <c r="A331" s="157"/>
      <c r="B331" s="157"/>
      <c r="C331" s="3002" t="s">
        <v>17</v>
      </c>
      <c r="D331" s="3002" t="s">
        <v>616</v>
      </c>
      <c r="E331" s="3002" t="s">
        <v>19</v>
      </c>
      <c r="F331" s="3002" t="s">
        <v>20</v>
      </c>
      <c r="G331" s="3002" t="s">
        <v>21</v>
      </c>
      <c r="H331" s="3002" t="s">
        <v>22</v>
      </c>
      <c r="I331" s="3002" t="s">
        <v>23</v>
      </c>
      <c r="J331" s="3002" t="s">
        <v>24</v>
      </c>
      <c r="K331" s="3002" t="s">
        <v>25</v>
      </c>
      <c r="L331" s="3002" t="s">
        <v>26</v>
      </c>
      <c r="M331" s="3085"/>
      <c r="N331" s="157"/>
      <c r="O331" s="157"/>
      <c r="P331" s="157"/>
      <c r="Q331" s="157"/>
      <c r="R331" s="157"/>
      <c r="S331" s="157"/>
      <c r="T331" s="157"/>
      <c r="U331" s="157"/>
      <c r="V331" s="623" t="s">
        <v>27</v>
      </c>
      <c r="W331" s="2898">
        <f>$W$6</f>
        <v>43252</v>
      </c>
      <c r="X331" s="2898">
        <f>$X$6</f>
        <v>43465</v>
      </c>
      <c r="Y331" s="2898">
        <f>$Y$6</f>
        <v>43800</v>
      </c>
      <c r="Z331" s="2898">
        <f>$Z$6</f>
        <v>43862</v>
      </c>
      <c r="AA331" s="2898">
        <f>$AA$6</f>
        <v>44013</v>
      </c>
      <c r="AB331" s="2898">
        <f>$AB$6</f>
        <v>44166</v>
      </c>
      <c r="AC331" s="624" t="str">
        <f>$AC$6</f>
        <v>-</v>
      </c>
      <c r="AD331" s="2489" t="str">
        <f>$AD$6</f>
        <v>-</v>
      </c>
      <c r="AE331" s="2489" t="str">
        <f>$AE$6</f>
        <v>-</v>
      </c>
      <c r="AF331" s="2489" t="str">
        <f>$AF$6</f>
        <v>-</v>
      </c>
      <c r="AG331" s="2489" t="str">
        <f>$AG$6</f>
        <v>-</v>
      </c>
      <c r="AH331" s="132"/>
      <c r="BB331" s="2300" t="str">
        <f>$BB$6</f>
        <v>TRC (2020)</v>
      </c>
      <c r="BC331" s="2300" t="str">
        <f>$BC$6</f>
        <v>Benefit Lookup</v>
      </c>
      <c r="BD331" s="279" t="str">
        <f>$BD$6</f>
        <v>Benefits (2019 $)</v>
      </c>
      <c r="BE331" s="279" t="str">
        <f>$BE$6</f>
        <v>Incremental Cost (2019 $)</v>
      </c>
    </row>
    <row r="332" spans="1:69" s="2277" customFormat="1" ht="30" x14ac:dyDescent="0.25">
      <c r="A332" s="157"/>
      <c r="B332" s="157"/>
      <c r="C332" s="3018" t="s">
        <v>3839</v>
      </c>
      <c r="D332" s="3079" t="s">
        <v>1038</v>
      </c>
      <c r="E332" s="3017" t="s">
        <v>3830</v>
      </c>
      <c r="F332" s="3150">
        <f>ROUND(G343*G352*G353, 2)</f>
        <v>153.9</v>
      </c>
      <c r="G332" s="3151" t="s">
        <v>784</v>
      </c>
      <c r="H332" s="515">
        <f>VLOOKUP(G332,'CP FACTORS'!$A$3:$B$38, 2, FALSE)</f>
        <v>1.148238E-4</v>
      </c>
      <c r="I332" s="3152">
        <f t="shared" ref="I332" si="42">ROUND(H332*F332,6)</f>
        <v>1.7670999999999999E-2</v>
      </c>
      <c r="J332" s="187">
        <f>G356</f>
        <v>10</v>
      </c>
      <c r="K332" s="1286">
        <f>G356</f>
        <v>10</v>
      </c>
      <c r="L332" s="3079" t="s">
        <v>37</v>
      </c>
      <c r="M332" s="3085"/>
      <c r="N332" s="157"/>
      <c r="O332" s="157"/>
      <c r="P332" s="157"/>
      <c r="Q332" s="157"/>
      <c r="R332" s="157"/>
      <c r="S332" s="157"/>
      <c r="T332" s="157"/>
      <c r="U332" s="157"/>
      <c r="V332" s="2309">
        <f>F330</f>
        <v>0</v>
      </c>
      <c r="W332" s="2631"/>
      <c r="X332" s="2631"/>
      <c r="Y332" s="2298"/>
      <c r="Z332" s="2298"/>
      <c r="AA332" s="2298"/>
      <c r="AB332" s="2322">
        <v>126.36</v>
      </c>
      <c r="AC332" s="2305"/>
      <c r="AD332" s="2305"/>
      <c r="AE332" s="2305"/>
      <c r="AF332" s="2305"/>
      <c r="AG332" s="2305"/>
      <c r="AH332" s="2632"/>
      <c r="BB332" s="2945">
        <f t="shared" ref="BB332" si="43">(BD332)/(BE332)</f>
        <v>5.6227840531357742</v>
      </c>
      <c r="BC332" s="2991" t="str">
        <f t="shared" ref="BC332" si="44">CONCATENATE(G332," ",J332," Year EUL")</f>
        <v>Miscellaneous RES 10 Year EUL</v>
      </c>
      <c r="BD332" s="2943">
        <f>(INDEX('Avoided Cost Benefits'!$C$4:$C$857,MATCH(BC332,'Avoided Cost Benefits'!$A$4:$A$857,0)))*F332</f>
        <v>53.070165673768507</v>
      </c>
      <c r="BE332" s="2944">
        <f t="shared" ref="BE332" si="45">K332/(1.0595^(2020-2019))</f>
        <v>9.4384143463898056</v>
      </c>
    </row>
    <row r="333" spans="1:69" s="2277" customFormat="1" x14ac:dyDescent="0.25">
      <c r="A333" s="157"/>
      <c r="B333" s="157"/>
      <c r="C333" s="3018" t="s">
        <v>3774</v>
      </c>
      <c r="D333" s="3079" t="s">
        <v>3770</v>
      </c>
      <c r="E333" s="3017" t="s">
        <v>3592</v>
      </c>
      <c r="F333" s="3150">
        <f>ROUND(G343*G352*G355, 2)</f>
        <v>151.96</v>
      </c>
      <c r="G333" s="3151" t="s">
        <v>784</v>
      </c>
      <c r="H333" s="515">
        <f>VLOOKUP(G333,'CP FACTORS'!$A$3:$B$38, 2, FALSE)</f>
        <v>1.148238E-4</v>
      </c>
      <c r="I333" s="3152">
        <f t="shared" ref="I333" si="46">ROUND(H333*F333,6)</f>
        <v>1.7448999999999999E-2</v>
      </c>
      <c r="J333" s="187">
        <f>G356</f>
        <v>10</v>
      </c>
      <c r="K333" s="1286">
        <f>G357</f>
        <v>30</v>
      </c>
      <c r="L333" s="3079" t="s">
        <v>37</v>
      </c>
      <c r="M333" s="3085"/>
      <c r="N333" s="157"/>
      <c r="O333" s="157"/>
      <c r="P333" s="157"/>
      <c r="Q333" s="157"/>
      <c r="R333" s="157"/>
      <c r="S333" s="157"/>
      <c r="T333" s="157"/>
      <c r="U333" s="157"/>
      <c r="V333" s="2309" t="str">
        <f>F331</f>
        <v>kWh Annual Savings</v>
      </c>
      <c r="W333" s="2631"/>
      <c r="X333" s="2631"/>
      <c r="Y333" s="2298"/>
      <c r="Z333" s="2298"/>
      <c r="AA333" s="2298"/>
      <c r="AB333" s="2322">
        <v>126.36</v>
      </c>
      <c r="AC333" s="2305"/>
      <c r="AD333" s="2305"/>
      <c r="AE333" s="2305"/>
      <c r="AF333" s="2305"/>
      <c r="AG333" s="2305"/>
      <c r="AH333" s="2632"/>
      <c r="BB333" s="2945">
        <f t="shared" ref="BB333" si="47">(BD333)/(BE333)</f>
        <v>1.8506351845668449</v>
      </c>
      <c r="BC333" s="2922" t="str">
        <f t="shared" ref="BC333" si="48">CONCATENATE(G333," ",J333," Year EUL")</f>
        <v>Miscellaneous RES 10 Year EUL</v>
      </c>
      <c r="BD333" s="2943">
        <f>(INDEX('Avoided Cost Benefits'!$C$4:$C$857,MATCH(BC333,'Avoided Cost Benefits'!$A$4:$A$857,0)))*F333</f>
        <v>52.401185027848364</v>
      </c>
      <c r="BE333" s="2944">
        <f t="shared" ref="BE333" si="49">K333/(1.0595^(2020-2019))</f>
        <v>28.315243039169417</v>
      </c>
    </row>
    <row r="334" spans="1:69" s="2277" customFormat="1" x14ac:dyDescent="0.25">
      <c r="A334" s="157"/>
      <c r="B334" s="157"/>
      <c r="C334" s="386"/>
      <c r="D334" s="386"/>
      <c r="E334" s="413"/>
      <c r="F334" s="157"/>
      <c r="G334" s="157"/>
      <c r="H334" s="157" t="s">
        <v>800</v>
      </c>
      <c r="I334" s="198"/>
      <c r="J334" s="157"/>
      <c r="K334" s="157"/>
      <c r="L334" s="648"/>
      <c r="M334" s="3085"/>
      <c r="N334" s="157"/>
      <c r="O334" s="157"/>
      <c r="P334" s="157"/>
      <c r="Q334" s="157"/>
      <c r="R334" s="157"/>
      <c r="S334" s="157"/>
      <c r="T334" s="157"/>
      <c r="U334" s="157"/>
      <c r="V334" s="157"/>
      <c r="W334" s="135"/>
      <c r="X334" s="135"/>
      <c r="Y334" s="135"/>
      <c r="Z334" s="135"/>
      <c r="AA334" s="135"/>
      <c r="AB334" s="135"/>
      <c r="AH334" s="211"/>
      <c r="BD334" s="1"/>
      <c r="BE334" s="1"/>
    </row>
    <row r="335" spans="1:69" s="2277" customFormat="1" outlineLevel="1" x14ac:dyDescent="0.25">
      <c r="A335" s="157"/>
      <c r="B335" s="157"/>
      <c r="C335" s="386"/>
      <c r="D335" s="222" t="s">
        <v>571</v>
      </c>
      <c r="E335" s="413"/>
      <c r="F335" s="157"/>
      <c r="G335" s="157"/>
      <c r="H335" s="157"/>
      <c r="I335" s="157"/>
      <c r="J335" s="157"/>
      <c r="K335" s="157"/>
      <c r="L335" s="157"/>
      <c r="M335" s="3085"/>
      <c r="N335" s="157"/>
      <c r="O335" s="157"/>
      <c r="P335" s="157"/>
      <c r="Q335" s="157"/>
      <c r="R335" s="157"/>
      <c r="S335" s="157"/>
      <c r="T335" s="157"/>
      <c r="U335" s="157"/>
      <c r="V335" s="157"/>
      <c r="W335" s="135"/>
      <c r="X335" s="135"/>
      <c r="Y335" s="135"/>
      <c r="Z335" s="135"/>
      <c r="AA335" s="135"/>
      <c r="AB335" s="135"/>
      <c r="AH335" s="211"/>
      <c r="BD335" s="1"/>
      <c r="BE335" s="1"/>
    </row>
    <row r="336" spans="1:69" s="2277" customFormat="1" outlineLevel="1" x14ac:dyDescent="0.25">
      <c r="A336" s="157"/>
      <c r="B336" s="157"/>
      <c r="C336" s="386"/>
      <c r="D336" s="386"/>
      <c r="E336" s="413"/>
      <c r="F336" s="157"/>
      <c r="G336" s="157"/>
      <c r="H336" s="157"/>
      <c r="I336" s="157"/>
      <c r="J336" s="157"/>
      <c r="K336" s="157"/>
      <c r="L336" s="157"/>
      <c r="M336" s="3085"/>
      <c r="N336" s="157"/>
      <c r="O336" s="157"/>
      <c r="P336" s="157"/>
      <c r="Q336" s="157"/>
      <c r="R336" s="157"/>
      <c r="S336" s="157"/>
      <c r="T336" s="157"/>
      <c r="U336" s="157"/>
      <c r="V336" s="157"/>
      <c r="W336" s="135"/>
      <c r="X336" s="135"/>
      <c r="Y336" s="135"/>
      <c r="Z336" s="135"/>
      <c r="AA336" s="135"/>
      <c r="AB336" s="135"/>
      <c r="AH336" s="211"/>
      <c r="BD336" s="1"/>
      <c r="BE336" s="1"/>
    </row>
    <row r="337" spans="1:57" s="2277" customFormat="1" outlineLevel="1" x14ac:dyDescent="0.25">
      <c r="A337" s="157"/>
      <c r="B337" s="157"/>
      <c r="C337" s="386"/>
      <c r="D337" s="386"/>
      <c r="E337" s="413"/>
      <c r="F337" s="157"/>
      <c r="G337" s="157"/>
      <c r="H337" s="157"/>
      <c r="I337" s="157"/>
      <c r="J337" s="157"/>
      <c r="K337" s="157"/>
      <c r="L337" s="157"/>
      <c r="M337" s="3085"/>
      <c r="N337" s="157"/>
      <c r="O337" s="157"/>
      <c r="P337" s="157"/>
      <c r="Q337" s="157"/>
      <c r="R337" s="157"/>
      <c r="S337" s="157"/>
      <c r="T337" s="157"/>
      <c r="U337" s="157"/>
      <c r="V337" s="157"/>
      <c r="W337" s="135"/>
      <c r="X337" s="135"/>
      <c r="Y337" s="135"/>
      <c r="Z337" s="135"/>
      <c r="AA337" s="135"/>
      <c r="AB337" s="135"/>
      <c r="AH337" s="211"/>
      <c r="BD337" s="1"/>
      <c r="BE337" s="1"/>
    </row>
    <row r="338" spans="1:57" s="2277" customFormat="1" outlineLevel="1" x14ac:dyDescent="0.25">
      <c r="A338" s="157"/>
      <c r="B338" s="157"/>
      <c r="C338" s="386"/>
      <c r="D338" s="386"/>
      <c r="E338" s="413"/>
      <c r="F338" s="157"/>
      <c r="G338" s="157"/>
      <c r="H338" s="157"/>
      <c r="I338" s="157"/>
      <c r="J338" s="157"/>
      <c r="K338" s="157"/>
      <c r="L338" s="157"/>
      <c r="M338" s="3085"/>
      <c r="N338" s="157"/>
      <c r="O338" s="157"/>
      <c r="P338" s="157"/>
      <c r="Q338" s="157"/>
      <c r="R338" s="157"/>
      <c r="S338" s="157"/>
      <c r="T338" s="157"/>
      <c r="U338" s="157"/>
      <c r="V338" s="157"/>
      <c r="W338" s="135"/>
      <c r="X338" s="135"/>
      <c r="Y338" s="135"/>
      <c r="Z338" s="135"/>
      <c r="AA338" s="135"/>
      <c r="AB338" s="135"/>
      <c r="AH338" s="211"/>
      <c r="BD338" s="1"/>
      <c r="BE338" s="1"/>
    </row>
    <row r="339" spans="1:57" s="2277" customFormat="1" outlineLevel="1" x14ac:dyDescent="0.25">
      <c r="A339" s="157"/>
      <c r="B339" s="157"/>
      <c r="C339" s="386"/>
      <c r="D339" s="386"/>
      <c r="E339" s="413"/>
      <c r="F339" s="157"/>
      <c r="G339" s="157"/>
      <c r="H339" s="157"/>
      <c r="I339" s="157"/>
      <c r="J339" s="157"/>
      <c r="K339" s="157"/>
      <c r="L339" s="157"/>
      <c r="M339" s="3085"/>
      <c r="N339" s="157"/>
      <c r="O339" s="157"/>
      <c r="P339" s="157"/>
      <c r="Q339" s="157"/>
      <c r="R339" s="157"/>
      <c r="S339" s="157"/>
      <c r="T339" s="157"/>
      <c r="U339" s="157"/>
      <c r="V339" s="157"/>
      <c r="W339" s="135"/>
      <c r="X339" s="135"/>
      <c r="Y339" s="135"/>
      <c r="Z339" s="135"/>
      <c r="AA339" s="135"/>
      <c r="AB339" s="135"/>
      <c r="AH339" s="211"/>
      <c r="BD339" s="1"/>
      <c r="BE339" s="1"/>
    </row>
    <row r="340" spans="1:57" s="2277" customFormat="1" outlineLevel="1" x14ac:dyDescent="0.25">
      <c r="A340" s="157"/>
      <c r="B340" s="157"/>
      <c r="C340" s="386"/>
      <c r="D340" s="386"/>
      <c r="E340" s="413"/>
      <c r="F340" s="157"/>
      <c r="G340" s="157"/>
      <c r="H340" s="157"/>
      <c r="I340" s="157"/>
      <c r="J340" s="157"/>
      <c r="K340" s="157"/>
      <c r="L340" s="157"/>
      <c r="M340" s="3085"/>
      <c r="N340" s="157"/>
      <c r="O340" s="157"/>
      <c r="P340" s="157"/>
      <c r="Q340" s="157"/>
      <c r="R340" s="157"/>
      <c r="S340" s="157"/>
      <c r="T340" s="157"/>
      <c r="U340" s="157"/>
      <c r="V340" s="157"/>
      <c r="W340" s="135"/>
      <c r="X340" s="135"/>
      <c r="Y340" s="135"/>
      <c r="Z340" s="135"/>
      <c r="AA340" s="135"/>
      <c r="AB340" s="135"/>
      <c r="AH340" s="211"/>
      <c r="BD340" s="1"/>
      <c r="BE340" s="1"/>
    </row>
    <row r="341" spans="1:57" s="2277" customFormat="1" outlineLevel="1" x14ac:dyDescent="0.25">
      <c r="A341" s="157"/>
      <c r="B341" s="157"/>
      <c r="C341" s="386"/>
      <c r="D341" s="386"/>
      <c r="E341" s="413"/>
      <c r="F341" s="157"/>
      <c r="G341" s="157"/>
      <c r="H341" s="157"/>
      <c r="I341" s="157"/>
      <c r="J341" s="157"/>
      <c r="K341" s="157"/>
      <c r="L341" s="157"/>
      <c r="M341" s="3085"/>
      <c r="N341" s="157"/>
      <c r="O341" s="157"/>
      <c r="P341" s="157"/>
      <c r="Q341" s="157"/>
      <c r="R341" s="157"/>
      <c r="S341" s="157"/>
      <c r="T341" s="157"/>
      <c r="U341" s="157"/>
      <c r="V341" s="157"/>
      <c r="W341" s="135"/>
      <c r="X341" s="135"/>
      <c r="Y341" s="135"/>
      <c r="Z341" s="135"/>
      <c r="AA341" s="135"/>
      <c r="AB341" s="135"/>
      <c r="AH341" s="211"/>
      <c r="BD341" s="1"/>
      <c r="BE341" s="1"/>
    </row>
    <row r="342" spans="1:57" outlineLevel="1" x14ac:dyDescent="0.25">
      <c r="D342" s="3101" t="s">
        <v>572</v>
      </c>
      <c r="E342" s="3091" t="s">
        <v>573</v>
      </c>
      <c r="F342" s="3101" t="s">
        <v>623</v>
      </c>
      <c r="G342" s="3002" t="s">
        <v>574</v>
      </c>
      <c r="H342" s="3002" t="s">
        <v>624</v>
      </c>
      <c r="I342" s="3002" t="s">
        <v>804</v>
      </c>
      <c r="M342" s="3085"/>
      <c r="V342" s="3164" t="s">
        <v>27</v>
      </c>
      <c r="W342" s="3166">
        <f>$W$6</f>
        <v>43252</v>
      </c>
      <c r="X342" s="3166">
        <f>$X$6</f>
        <v>43465</v>
      </c>
      <c r="Y342" s="3166">
        <f>$Y$6</f>
        <v>43800</v>
      </c>
      <c r="Z342" s="3166">
        <f>$Z$6</f>
        <v>43862</v>
      </c>
      <c r="AA342" s="3166">
        <f>$AA$6</f>
        <v>44013</v>
      </c>
      <c r="AB342" s="3166">
        <f>$AB$6</f>
        <v>44166</v>
      </c>
      <c r="AC342" s="3167" t="str">
        <f>$AC$6</f>
        <v>-</v>
      </c>
      <c r="AD342" s="3167" t="str">
        <f>$AD$6</f>
        <v>-</v>
      </c>
      <c r="AE342" s="3167" t="str">
        <f>$AE$6</f>
        <v>-</v>
      </c>
      <c r="AF342" s="3167" t="str">
        <f>$AF$6</f>
        <v>-</v>
      </c>
      <c r="AG342" s="3167" t="str">
        <f>$AG$6</f>
        <v>-</v>
      </c>
    </row>
    <row r="343" spans="1:57" outlineLevel="1" x14ac:dyDescent="0.25">
      <c r="D343" s="3017" t="s">
        <v>3559</v>
      </c>
      <c r="E343" s="3037" t="s">
        <v>3560</v>
      </c>
      <c r="F343" s="3014" t="s">
        <v>591</v>
      </c>
      <c r="G343" s="1959">
        <v>432</v>
      </c>
      <c r="H343" s="3079"/>
      <c r="I343" s="3079"/>
      <c r="M343" s="3085"/>
      <c r="V343" s="3017" t="s">
        <v>3559</v>
      </c>
      <c r="W343" s="149"/>
      <c r="X343" s="149"/>
      <c r="Y343" s="149"/>
      <c r="Z343" s="149"/>
      <c r="AA343" s="149"/>
      <c r="AB343" s="1296">
        <v>432</v>
      </c>
      <c r="AC343" s="149"/>
      <c r="AD343" s="149"/>
      <c r="AE343" s="149"/>
      <c r="AF343" s="149"/>
      <c r="AG343" s="149"/>
    </row>
    <row r="344" spans="1:57" outlineLevel="1" x14ac:dyDescent="0.25">
      <c r="D344" s="3583" t="s">
        <v>803</v>
      </c>
      <c r="E344" s="3583" t="s">
        <v>3561</v>
      </c>
      <c r="F344" s="3153" t="s">
        <v>3562</v>
      </c>
      <c r="G344" s="3154">
        <v>0.55000000000000004</v>
      </c>
      <c r="H344" s="3153" t="s">
        <v>3563</v>
      </c>
      <c r="I344" s="3153"/>
      <c r="M344" s="3085"/>
      <c r="V344" s="3583" t="s">
        <v>803</v>
      </c>
      <c r="W344" s="149"/>
      <c r="X344" s="149"/>
      <c r="Y344" s="149"/>
      <c r="Z344" s="149"/>
      <c r="AA344" s="149"/>
      <c r="AB344" s="672">
        <v>0.55000000000000004</v>
      </c>
      <c r="AC344" s="149"/>
      <c r="AD344" s="149"/>
      <c r="AE344" s="149"/>
      <c r="AF344" s="149"/>
      <c r="AG344" s="149"/>
    </row>
    <row r="345" spans="1:57" outlineLevel="1" x14ac:dyDescent="0.25">
      <c r="D345" s="3583"/>
      <c r="E345" s="3583"/>
      <c r="F345" s="3153" t="s">
        <v>3564</v>
      </c>
      <c r="G345" s="3154">
        <v>0.5</v>
      </c>
      <c r="H345" s="3153" t="s">
        <v>3563</v>
      </c>
      <c r="I345" s="3153" t="s">
        <v>3565</v>
      </c>
      <c r="M345" s="3085"/>
      <c r="V345" s="3583"/>
      <c r="W345" s="1050"/>
      <c r="X345" s="1050"/>
      <c r="Y345" s="1050"/>
      <c r="Z345" s="1050"/>
      <c r="AA345" s="1050"/>
      <c r="AB345" s="672">
        <v>0.5</v>
      </c>
      <c r="AC345" s="1050"/>
      <c r="AD345" s="1050"/>
      <c r="AE345" s="1050"/>
      <c r="AF345" s="1050"/>
      <c r="AG345" s="1050"/>
    </row>
    <row r="346" spans="1:57" outlineLevel="1" x14ac:dyDescent="0.25">
      <c r="D346" s="3583"/>
      <c r="E346" s="3583"/>
      <c r="F346" s="3153" t="s">
        <v>3566</v>
      </c>
      <c r="G346" s="3154">
        <v>0.45</v>
      </c>
      <c r="H346" s="3153" t="s">
        <v>3563</v>
      </c>
      <c r="I346" s="3153"/>
      <c r="M346" s="3085"/>
      <c r="V346" s="3583"/>
      <c r="W346" s="1050"/>
      <c r="X346" s="1050"/>
      <c r="Y346" s="1050"/>
      <c r="Z346" s="1050"/>
      <c r="AA346" s="1050"/>
      <c r="AB346" s="672">
        <v>0.45</v>
      </c>
      <c r="AC346" s="1050"/>
      <c r="AD346" s="1050"/>
      <c r="AE346" s="1050"/>
      <c r="AF346" s="1050"/>
      <c r="AG346" s="1050"/>
    </row>
    <row r="347" spans="1:57" outlineLevel="1" x14ac:dyDescent="0.25">
      <c r="D347" s="3583"/>
      <c r="E347" s="3583"/>
      <c r="F347" s="3153" t="s">
        <v>3567</v>
      </c>
      <c r="G347" s="3154">
        <v>0.4</v>
      </c>
      <c r="H347" s="3153" t="s">
        <v>3563</v>
      </c>
      <c r="I347" s="3153"/>
      <c r="M347" s="3085"/>
      <c r="V347" s="3583"/>
      <c r="W347" s="1050"/>
      <c r="X347" s="1050"/>
      <c r="Y347" s="1050"/>
      <c r="Z347" s="1050"/>
      <c r="AA347" s="1050"/>
      <c r="AB347" s="672">
        <v>0.4</v>
      </c>
      <c r="AC347" s="1050"/>
      <c r="AD347" s="1050"/>
      <c r="AE347" s="1050"/>
      <c r="AF347" s="1050"/>
      <c r="AG347" s="1050"/>
    </row>
    <row r="348" spans="1:57" outlineLevel="1" x14ac:dyDescent="0.25">
      <c r="D348" s="3583"/>
      <c r="E348" s="3583"/>
      <c r="F348" s="3153" t="s">
        <v>3568</v>
      </c>
      <c r="G348" s="3154">
        <v>0.35</v>
      </c>
      <c r="H348" s="3153" t="s">
        <v>3563</v>
      </c>
      <c r="I348" s="3153"/>
      <c r="M348" s="3085"/>
      <c r="V348" s="3583"/>
      <c r="W348" s="1050"/>
      <c r="X348" s="1050"/>
      <c r="Y348" s="1050"/>
      <c r="Z348" s="1050"/>
      <c r="AA348" s="1050"/>
      <c r="AB348" s="672">
        <v>0.35</v>
      </c>
      <c r="AC348" s="1050"/>
      <c r="AD348" s="1050"/>
      <c r="AE348" s="1050"/>
      <c r="AF348" s="1050"/>
      <c r="AG348" s="1050"/>
    </row>
    <row r="349" spans="1:57" outlineLevel="1" x14ac:dyDescent="0.25">
      <c r="D349" s="3583"/>
      <c r="E349" s="3583"/>
      <c r="F349" s="3153" t="s">
        <v>3569</v>
      </c>
      <c r="G349" s="3154">
        <v>0.3</v>
      </c>
      <c r="H349" s="3153" t="s">
        <v>3563</v>
      </c>
      <c r="I349" s="3153"/>
      <c r="M349" s="3085"/>
      <c r="V349" s="3583"/>
      <c r="W349" s="2624"/>
      <c r="X349" s="2624"/>
      <c r="Y349" s="2624"/>
      <c r="Z349" s="2624"/>
      <c r="AA349" s="2624"/>
      <c r="AB349" s="672">
        <v>0.3</v>
      </c>
      <c r="AC349" s="2624"/>
      <c r="AD349" s="2624"/>
      <c r="AE349" s="2624"/>
      <c r="AF349" s="2624"/>
      <c r="AG349" s="2624"/>
    </row>
    <row r="350" spans="1:57" outlineLevel="1" x14ac:dyDescent="0.25">
      <c r="D350" s="3583"/>
      <c r="E350" s="3583"/>
      <c r="F350" s="3153" t="s">
        <v>3570</v>
      </c>
      <c r="G350" s="3154">
        <v>0.25</v>
      </c>
      <c r="H350" s="3153" t="s">
        <v>3563</v>
      </c>
      <c r="I350" s="3153" t="s">
        <v>3565</v>
      </c>
      <c r="M350" s="3085"/>
      <c r="V350" s="3583"/>
      <c r="W350" s="2624"/>
      <c r="X350" s="2624"/>
      <c r="Y350" s="2624"/>
      <c r="Z350" s="2624"/>
      <c r="AA350" s="2624"/>
      <c r="AB350" s="672">
        <v>0.25</v>
      </c>
      <c r="AC350" s="2624"/>
      <c r="AD350" s="2624"/>
      <c r="AE350" s="2624"/>
      <c r="AF350" s="2624"/>
      <c r="AG350" s="2624"/>
    </row>
    <row r="351" spans="1:57" outlineLevel="1" x14ac:dyDescent="0.25">
      <c r="D351" s="3583"/>
      <c r="E351" s="3583"/>
      <c r="F351" s="3153" t="s">
        <v>3571</v>
      </c>
      <c r="G351" s="3154">
        <v>0.2</v>
      </c>
      <c r="H351" s="3153" t="s">
        <v>3563</v>
      </c>
      <c r="I351" s="3153"/>
      <c r="M351" s="3085"/>
      <c r="V351" s="3583"/>
      <c r="W351" s="2624"/>
      <c r="X351" s="2624"/>
      <c r="Y351" s="2624"/>
      <c r="Z351" s="2624"/>
      <c r="AA351" s="2624"/>
      <c r="AB351" s="672">
        <v>0.2</v>
      </c>
      <c r="AC351" s="2624"/>
      <c r="AD351" s="2624"/>
      <c r="AE351" s="2624"/>
      <c r="AF351" s="2624"/>
      <c r="AG351" s="2624"/>
    </row>
    <row r="352" spans="1:57" outlineLevel="1" x14ac:dyDescent="0.25">
      <c r="D352" s="3583"/>
      <c r="E352" s="3583"/>
      <c r="F352" s="3153" t="s">
        <v>1180</v>
      </c>
      <c r="G352" s="3155">
        <f>AVERAGE(G345,G350)</f>
        <v>0.375</v>
      </c>
      <c r="H352" s="3156" t="s">
        <v>3572</v>
      </c>
      <c r="I352" s="3156"/>
      <c r="M352" s="3085"/>
      <c r="V352" s="3583"/>
      <c r="W352" s="2624"/>
      <c r="X352" s="2624"/>
      <c r="Y352" s="2624"/>
      <c r="Z352" s="2624"/>
      <c r="AA352" s="2624"/>
      <c r="AB352" s="2633">
        <v>0.375</v>
      </c>
      <c r="AC352" s="2624"/>
      <c r="AD352" s="2624"/>
      <c r="AE352" s="2624"/>
      <c r="AF352" s="2624"/>
      <c r="AG352" s="2624"/>
    </row>
    <row r="353" spans="4:33" outlineLevel="1" x14ac:dyDescent="0.25">
      <c r="D353" s="3585" t="s">
        <v>75</v>
      </c>
      <c r="E353" s="3585" t="s">
        <v>3573</v>
      </c>
      <c r="F353" s="3014" t="s">
        <v>3574</v>
      </c>
      <c r="G353" s="263">
        <f>G322</f>
        <v>0.95</v>
      </c>
      <c r="H353" s="3156" t="s">
        <v>3797</v>
      </c>
      <c r="I353" s="3156"/>
      <c r="M353" s="3085"/>
      <c r="V353" s="3583" t="s">
        <v>75</v>
      </c>
      <c r="W353" s="2445"/>
      <c r="X353" s="2445"/>
      <c r="Y353" s="2445"/>
      <c r="Z353" s="2445"/>
      <c r="AA353" s="2445"/>
      <c r="AB353" s="2445">
        <v>1</v>
      </c>
      <c r="AC353" s="2629"/>
      <c r="AD353" s="2629"/>
      <c r="AE353" s="2629"/>
      <c r="AF353" s="2629"/>
      <c r="AG353" s="2629"/>
    </row>
    <row r="354" spans="4:33" outlineLevel="1" x14ac:dyDescent="0.25">
      <c r="D354" s="3586"/>
      <c r="E354" s="3586"/>
      <c r="F354" s="3014" t="s">
        <v>3575</v>
      </c>
      <c r="G354" s="3149">
        <f>G323</f>
        <v>0.93799999999999994</v>
      </c>
      <c r="H354" s="3156" t="s">
        <v>3797</v>
      </c>
      <c r="I354" s="3156"/>
      <c r="M354" s="3085"/>
      <c r="V354" s="3583"/>
      <c r="W354" s="2445"/>
      <c r="X354" s="2445"/>
      <c r="Y354" s="2445"/>
      <c r="Z354" s="2445"/>
      <c r="AA354" s="2445"/>
      <c r="AB354" s="2445">
        <v>0.78</v>
      </c>
      <c r="AC354" s="2629"/>
      <c r="AD354" s="2629"/>
      <c r="AE354" s="2629"/>
      <c r="AF354" s="2629"/>
      <c r="AG354" s="2629"/>
    </row>
    <row r="355" spans="4:33" outlineLevel="1" x14ac:dyDescent="0.25">
      <c r="D355" s="3587"/>
      <c r="E355" s="3587"/>
      <c r="F355" s="3038" t="s">
        <v>3541</v>
      </c>
      <c r="G355" s="3149">
        <f>G354</f>
        <v>0.93799999999999994</v>
      </c>
      <c r="H355" s="3156" t="s">
        <v>3797</v>
      </c>
      <c r="I355" s="3156"/>
      <c r="M355" s="3085"/>
      <c r="V355" s="3583"/>
      <c r="W355" s="617"/>
      <c r="X355" s="617"/>
      <c r="Y355" s="617"/>
      <c r="Z355" s="617"/>
      <c r="AA355" s="617"/>
      <c r="AB355" s="2445">
        <v>0.78</v>
      </c>
      <c r="AC355" s="617"/>
      <c r="AD355" s="617"/>
      <c r="AE355" s="617"/>
      <c r="AF355" s="617"/>
      <c r="AG355" s="617"/>
    </row>
    <row r="356" spans="4:33" outlineLevel="1" x14ac:dyDescent="0.25">
      <c r="D356" s="3157" t="s">
        <v>24</v>
      </c>
      <c r="E356" s="3157" t="s">
        <v>611</v>
      </c>
      <c r="F356" s="3158" t="s">
        <v>591</v>
      </c>
      <c r="G356" s="3159">
        <v>10</v>
      </c>
      <c r="H356" s="3156"/>
      <c r="I356" s="3156"/>
      <c r="M356" s="3085"/>
      <c r="V356" s="3165" t="s">
        <v>24</v>
      </c>
      <c r="W356" s="763"/>
      <c r="X356" s="763"/>
      <c r="Y356" s="763"/>
      <c r="Z356" s="763"/>
      <c r="AA356" s="763"/>
      <c r="AB356" s="2634">
        <v>10</v>
      </c>
      <c r="AC356" s="763"/>
      <c r="AD356" s="763"/>
      <c r="AE356" s="763"/>
      <c r="AF356" s="763"/>
      <c r="AG356" s="763"/>
    </row>
    <row r="357" spans="4:33" outlineLevel="1" x14ac:dyDescent="0.25">
      <c r="D357" s="3578" t="s">
        <v>25</v>
      </c>
      <c r="E357" s="3579" t="s">
        <v>613</v>
      </c>
      <c r="F357" s="3160" t="s">
        <v>1846</v>
      </c>
      <c r="G357" s="3161">
        <v>30</v>
      </c>
      <c r="H357" s="3160" t="s">
        <v>3576</v>
      </c>
      <c r="I357" s="3162" t="s">
        <v>3577</v>
      </c>
      <c r="M357" s="3085"/>
      <c r="V357" s="3584" t="s">
        <v>25</v>
      </c>
      <c r="W357" s="2322"/>
      <c r="X357" s="2322"/>
      <c r="Y357" s="2322"/>
      <c r="Z357" s="2322"/>
      <c r="AA357" s="2322"/>
      <c r="AB357" s="2635">
        <v>30</v>
      </c>
      <c r="AC357" s="2305"/>
      <c r="AD357" s="2305"/>
      <c r="AE357" s="2305"/>
      <c r="AF357" s="2305"/>
      <c r="AG357" s="2305"/>
    </row>
    <row r="358" spans="4:33" outlineLevel="1" x14ac:dyDescent="0.25">
      <c r="D358" s="3578"/>
      <c r="E358" s="3579"/>
      <c r="F358" s="3163" t="s">
        <v>1848</v>
      </c>
      <c r="G358" s="3161">
        <v>60</v>
      </c>
      <c r="H358" s="3160" t="s">
        <v>3578</v>
      </c>
      <c r="I358" s="3160" t="s">
        <v>3578</v>
      </c>
      <c r="M358" s="3085"/>
      <c r="V358" s="3584"/>
      <c r="W358" s="622"/>
      <c r="X358" s="622"/>
      <c r="Y358" s="622"/>
      <c r="Z358" s="622"/>
      <c r="AA358" s="622"/>
      <c r="AB358" s="2635">
        <v>60</v>
      </c>
      <c r="AC358" s="208"/>
      <c r="AD358" s="208"/>
      <c r="AE358" s="208"/>
      <c r="AF358" s="208"/>
      <c r="AG358" s="208"/>
    </row>
    <row r="359" spans="4:33" outlineLevel="1" x14ac:dyDescent="0.25">
      <c r="M359" s="3085"/>
    </row>
    <row r="360" spans="4:33" x14ac:dyDescent="0.25">
      <c r="M360" s="3085"/>
    </row>
  </sheetData>
  <mergeCells count="416">
    <mergeCell ref="D357:D358"/>
    <mergeCell ref="E357:E358"/>
    <mergeCell ref="D325:D326"/>
    <mergeCell ref="E325:E326"/>
    <mergeCell ref="B329:O329"/>
    <mergeCell ref="H321:I321"/>
    <mergeCell ref="H326:I326"/>
    <mergeCell ref="V344:V352"/>
    <mergeCell ref="V353:V355"/>
    <mergeCell ref="V357:V358"/>
    <mergeCell ref="D344:D352"/>
    <mergeCell ref="E344:E352"/>
    <mergeCell ref="D353:D355"/>
    <mergeCell ref="E353:E355"/>
    <mergeCell ref="V312:V313"/>
    <mergeCell ref="V314:V317"/>
    <mergeCell ref="V318:V321"/>
    <mergeCell ref="V325:V326"/>
    <mergeCell ref="V329:AH329"/>
    <mergeCell ref="H317:I317"/>
    <mergeCell ref="H318:I318"/>
    <mergeCell ref="H319:I319"/>
    <mergeCell ref="H320:I320"/>
    <mergeCell ref="H316:I316"/>
    <mergeCell ref="D243:D244"/>
    <mergeCell ref="E245:E248"/>
    <mergeCell ref="D245:D248"/>
    <mergeCell ref="V245:V248"/>
    <mergeCell ref="V243:V244"/>
    <mergeCell ref="V273:V274"/>
    <mergeCell ref="V270:V271"/>
    <mergeCell ref="V268:V269"/>
    <mergeCell ref="V265:V266"/>
    <mergeCell ref="E273:E274"/>
    <mergeCell ref="D273:D274"/>
    <mergeCell ref="H271:I271"/>
    <mergeCell ref="H270:I270"/>
    <mergeCell ref="E231:E232"/>
    <mergeCell ref="V234:V236"/>
    <mergeCell ref="V231:V232"/>
    <mergeCell ref="E220:E221"/>
    <mergeCell ref="D220:D221"/>
    <mergeCell ref="H227:I227"/>
    <mergeCell ref="H226:I226"/>
    <mergeCell ref="H225:I225"/>
    <mergeCell ref="H224:I224"/>
    <mergeCell ref="H223:I223"/>
    <mergeCell ref="H222:I222"/>
    <mergeCell ref="H221:I221"/>
    <mergeCell ref="H220:I220"/>
    <mergeCell ref="J178:K178"/>
    <mergeCell ref="J186:K186"/>
    <mergeCell ref="V217:V219"/>
    <mergeCell ref="V220:V221"/>
    <mergeCell ref="V225:V226"/>
    <mergeCell ref="V222:V223"/>
    <mergeCell ref="E227:E230"/>
    <mergeCell ref="D227:D230"/>
    <mergeCell ref="V227:V230"/>
    <mergeCell ref="H219:I219"/>
    <mergeCell ref="E217:E219"/>
    <mergeCell ref="D217:D219"/>
    <mergeCell ref="J195:K195"/>
    <mergeCell ref="H198:I198"/>
    <mergeCell ref="H197:I197"/>
    <mergeCell ref="H196:I196"/>
    <mergeCell ref="H195:I195"/>
    <mergeCell ref="H194:I194"/>
    <mergeCell ref="H193:I193"/>
    <mergeCell ref="H192:I192"/>
    <mergeCell ref="H191:I191"/>
    <mergeCell ref="H190:I190"/>
    <mergeCell ref="H189:I189"/>
    <mergeCell ref="H188:I188"/>
    <mergeCell ref="E86:E89"/>
    <mergeCell ref="D86:D89"/>
    <mergeCell ref="V86:V89"/>
    <mergeCell ref="E113:E115"/>
    <mergeCell ref="D113:D115"/>
    <mergeCell ref="V113:V115"/>
    <mergeCell ref="J277:L277"/>
    <mergeCell ref="V293:AH293"/>
    <mergeCell ref="H286:I286"/>
    <mergeCell ref="E278:E280"/>
    <mergeCell ref="D278:D280"/>
    <mergeCell ref="V281:V282"/>
    <mergeCell ref="V278:V280"/>
    <mergeCell ref="E283:E286"/>
    <mergeCell ref="D283:D286"/>
    <mergeCell ref="V287:V288"/>
    <mergeCell ref="V283:V286"/>
    <mergeCell ref="J187:K187"/>
    <mergeCell ref="J179:K179"/>
    <mergeCell ref="B201:N201"/>
    <mergeCell ref="V201:AH201"/>
    <mergeCell ref="B252:N252"/>
    <mergeCell ref="V252:AH252"/>
    <mergeCell ref="V165:V167"/>
    <mergeCell ref="J287:L287"/>
    <mergeCell ref="J289:L289"/>
    <mergeCell ref="J290:L290"/>
    <mergeCell ref="J291:L291"/>
    <mergeCell ref="B293:N293"/>
    <mergeCell ref="E287:E288"/>
    <mergeCell ref="D287:D288"/>
    <mergeCell ref="H288:I288"/>
    <mergeCell ref="H291:I291"/>
    <mergeCell ref="H290:I290"/>
    <mergeCell ref="V149:AH149"/>
    <mergeCell ref="E172:E173"/>
    <mergeCell ref="D172:D173"/>
    <mergeCell ref="E169:E170"/>
    <mergeCell ref="D169:D170"/>
    <mergeCell ref="E186:E187"/>
    <mergeCell ref="D186:D187"/>
    <mergeCell ref="E181:E183"/>
    <mergeCell ref="D181:D183"/>
    <mergeCell ref="E178:E179"/>
    <mergeCell ref="D178:D179"/>
    <mergeCell ref="H183:I183"/>
    <mergeCell ref="H182:I182"/>
    <mergeCell ref="H176:I176"/>
    <mergeCell ref="H179:I179"/>
    <mergeCell ref="H178:I178"/>
    <mergeCell ref="V169:V170"/>
    <mergeCell ref="V172:V173"/>
    <mergeCell ref="E174:E177"/>
    <mergeCell ref="D174:D177"/>
    <mergeCell ref="V178:V179"/>
    <mergeCell ref="V174:V177"/>
    <mergeCell ref="H181:I181"/>
    <mergeCell ref="H180:I180"/>
    <mergeCell ref="E142:E145"/>
    <mergeCell ref="D142:D145"/>
    <mergeCell ref="E140:E141"/>
    <mergeCell ref="D140:D141"/>
    <mergeCell ref="E193:E196"/>
    <mergeCell ref="D193:D196"/>
    <mergeCell ref="E191:E192"/>
    <mergeCell ref="D191:D192"/>
    <mergeCell ref="V191:V192"/>
    <mergeCell ref="V193:V196"/>
    <mergeCell ref="V181:V183"/>
    <mergeCell ref="V186:V187"/>
    <mergeCell ref="H177:I177"/>
    <mergeCell ref="H175:I175"/>
    <mergeCell ref="H170:I170"/>
    <mergeCell ref="H169:I169"/>
    <mergeCell ref="H168:I168"/>
    <mergeCell ref="H174:I174"/>
    <mergeCell ref="H173:I173"/>
    <mergeCell ref="H172:I172"/>
    <mergeCell ref="H171:I171"/>
    <mergeCell ref="J173:K173"/>
    <mergeCell ref="J176:K176"/>
    <mergeCell ref="J170:K170"/>
    <mergeCell ref="V142:V145"/>
    <mergeCell ref="V140:V141"/>
    <mergeCell ref="J131:K131"/>
    <mergeCell ref="B97:N97"/>
    <mergeCell ref="V97:AH97"/>
    <mergeCell ref="J112:K112"/>
    <mergeCell ref="J116:K116"/>
    <mergeCell ref="J117:K117"/>
    <mergeCell ref="J120:K120"/>
    <mergeCell ref="J121:K121"/>
    <mergeCell ref="J128:K128"/>
    <mergeCell ref="J130:K130"/>
    <mergeCell ref="D117:D119"/>
    <mergeCell ref="D121:D123"/>
    <mergeCell ref="E124:E127"/>
    <mergeCell ref="D124:D127"/>
    <mergeCell ref="V117:V119"/>
    <mergeCell ref="V124:V127"/>
    <mergeCell ref="V121:V123"/>
    <mergeCell ref="V128:V129"/>
    <mergeCell ref="V131:V133"/>
    <mergeCell ref="H139:I139"/>
    <mergeCell ref="H138:I138"/>
    <mergeCell ref="H118:I118"/>
    <mergeCell ref="V75:V80"/>
    <mergeCell ref="V4:AH4"/>
    <mergeCell ref="D22:D23"/>
    <mergeCell ref="V22:V23"/>
    <mergeCell ref="D25:D26"/>
    <mergeCell ref="V25:V26"/>
    <mergeCell ref="D28:D33"/>
    <mergeCell ref="V28:V33"/>
    <mergeCell ref="D90:D93"/>
    <mergeCell ref="E90:E93"/>
    <mergeCell ref="D69:D74"/>
    <mergeCell ref="E69:E74"/>
    <mergeCell ref="D75:D80"/>
    <mergeCell ref="E75:E80"/>
    <mergeCell ref="D34:D35"/>
    <mergeCell ref="V34:V35"/>
    <mergeCell ref="D36:D37"/>
    <mergeCell ref="V36:V37"/>
    <mergeCell ref="D39:D40"/>
    <mergeCell ref="V39:V40"/>
    <mergeCell ref="B43:N43"/>
    <mergeCell ref="V43:AH43"/>
    <mergeCell ref="V69:V74"/>
    <mergeCell ref="V90:V93"/>
    <mergeCell ref="A1:O1"/>
    <mergeCell ref="D2:J2"/>
    <mergeCell ref="B4:N4"/>
    <mergeCell ref="D128:D129"/>
    <mergeCell ref="D131:D133"/>
    <mergeCell ref="H112:I112"/>
    <mergeCell ref="H116:I116"/>
    <mergeCell ref="H115:I115"/>
    <mergeCell ref="H114:I114"/>
    <mergeCell ref="H128:I128"/>
    <mergeCell ref="H127:I127"/>
    <mergeCell ref="H126:I126"/>
    <mergeCell ref="H125:I125"/>
    <mergeCell ref="H123:I123"/>
    <mergeCell ref="H122:I122"/>
    <mergeCell ref="H121:I121"/>
    <mergeCell ref="H113:I113"/>
    <mergeCell ref="E117:E119"/>
    <mergeCell ref="E121:E123"/>
    <mergeCell ref="E131:E133"/>
    <mergeCell ref="E128:E129"/>
    <mergeCell ref="H124:I124"/>
    <mergeCell ref="H120:I120"/>
    <mergeCell ref="H119:I119"/>
    <mergeCell ref="J133:K133"/>
    <mergeCell ref="H142:I142"/>
    <mergeCell ref="H140:I140"/>
    <mergeCell ref="H144:I144"/>
    <mergeCell ref="H145:I145"/>
    <mergeCell ref="H146:I146"/>
    <mergeCell ref="J164:K164"/>
    <mergeCell ref="E165:E167"/>
    <mergeCell ref="D165:D167"/>
    <mergeCell ref="H165:I165"/>
    <mergeCell ref="H167:I167"/>
    <mergeCell ref="H166:I166"/>
    <mergeCell ref="J167:K167"/>
    <mergeCell ref="J134:K134"/>
    <mergeCell ref="J135:K135"/>
    <mergeCell ref="J136:K136"/>
    <mergeCell ref="J137:K137"/>
    <mergeCell ref="J138:K138"/>
    <mergeCell ref="J139:K139"/>
    <mergeCell ref="J146:K146"/>
    <mergeCell ref="J147:K147"/>
    <mergeCell ref="B149:N149"/>
    <mergeCell ref="H143:I143"/>
    <mergeCell ref="H141:I141"/>
    <mergeCell ref="H187:I187"/>
    <mergeCell ref="H186:I186"/>
    <mergeCell ref="H185:I185"/>
    <mergeCell ref="H184:I184"/>
    <mergeCell ref="J180:K180"/>
    <mergeCell ref="J181:K181"/>
    <mergeCell ref="J182:K182"/>
    <mergeCell ref="J183:K183"/>
    <mergeCell ref="J184:K184"/>
    <mergeCell ref="J185:K185"/>
    <mergeCell ref="H218:I218"/>
    <mergeCell ref="H217:I217"/>
    <mergeCell ref="E222:E223"/>
    <mergeCell ref="D222:D223"/>
    <mergeCell ref="E225:E226"/>
    <mergeCell ref="D225:D226"/>
    <mergeCell ref="H244:I244"/>
    <mergeCell ref="H246:I246"/>
    <mergeCell ref="H243:I243"/>
    <mergeCell ref="H242:I242"/>
    <mergeCell ref="H241:I241"/>
    <mergeCell ref="H238:I238"/>
    <mergeCell ref="H237:I237"/>
    <mergeCell ref="H236:I236"/>
    <mergeCell ref="H235:I235"/>
    <mergeCell ref="H233:I233"/>
    <mergeCell ref="H232:I232"/>
    <mergeCell ref="H231:I231"/>
    <mergeCell ref="H230:I230"/>
    <mergeCell ref="H229:I229"/>
    <mergeCell ref="H228:I228"/>
    <mergeCell ref="D231:D232"/>
    <mergeCell ref="E234:E236"/>
    <mergeCell ref="D234:D236"/>
    <mergeCell ref="H311:I311"/>
    <mergeCell ref="E243:E244"/>
    <mergeCell ref="H312:I312"/>
    <mergeCell ref="H313:I313"/>
    <mergeCell ref="H314:I314"/>
    <mergeCell ref="H315:I315"/>
    <mergeCell ref="H240:I240"/>
    <mergeCell ref="H239:I239"/>
    <mergeCell ref="H250:I250"/>
    <mergeCell ref="H249:I249"/>
    <mergeCell ref="H248:I248"/>
    <mergeCell ref="H247:I247"/>
    <mergeCell ref="H245:I245"/>
    <mergeCell ref="H283:I283"/>
    <mergeCell ref="H285:I285"/>
    <mergeCell ref="H287:I287"/>
    <mergeCell ref="H289:I289"/>
    <mergeCell ref="H280:I280"/>
    <mergeCell ref="H281:I281"/>
    <mergeCell ref="H282:I282"/>
    <mergeCell ref="H284:I284"/>
    <mergeCell ref="H278:I278"/>
    <mergeCell ref="H269:I269"/>
    <mergeCell ref="H272:I272"/>
    <mergeCell ref="D314:D317"/>
    <mergeCell ref="E314:E317"/>
    <mergeCell ref="E318:E321"/>
    <mergeCell ref="D318:D321"/>
    <mergeCell ref="E312:E313"/>
    <mergeCell ref="D312:D313"/>
    <mergeCell ref="H216:I216"/>
    <mergeCell ref="H234:I234"/>
    <mergeCell ref="E281:E282"/>
    <mergeCell ref="D281:D282"/>
    <mergeCell ref="H265:I265"/>
    <mergeCell ref="E270:E271"/>
    <mergeCell ref="D270:D271"/>
    <mergeCell ref="E268:E269"/>
    <mergeCell ref="D268:D269"/>
    <mergeCell ref="E265:E266"/>
    <mergeCell ref="D265:D266"/>
    <mergeCell ref="H276:I276"/>
    <mergeCell ref="H275:I275"/>
    <mergeCell ref="H274:I274"/>
    <mergeCell ref="H273:I273"/>
    <mergeCell ref="H266:I266"/>
    <mergeCell ref="H267:I267"/>
    <mergeCell ref="H268:I268"/>
    <mergeCell ref="H279:I279"/>
    <mergeCell ref="H277:I277"/>
    <mergeCell ref="J271:L271"/>
    <mergeCell ref="J269:L269"/>
    <mergeCell ref="J266:L266"/>
    <mergeCell ref="J281:L281"/>
    <mergeCell ref="J264:L264"/>
    <mergeCell ref="J265:L265"/>
    <mergeCell ref="J267:L267"/>
    <mergeCell ref="J268:L268"/>
    <mergeCell ref="J270:L270"/>
    <mergeCell ref="J272:L272"/>
    <mergeCell ref="J273:L273"/>
    <mergeCell ref="J275:L275"/>
    <mergeCell ref="J276:L276"/>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G35:H35"/>
    <mergeCell ref="G34:H34"/>
    <mergeCell ref="G38:H38"/>
    <mergeCell ref="G39:H39"/>
    <mergeCell ref="G40:H40"/>
    <mergeCell ref="G41:H41"/>
    <mergeCell ref="H164:I164"/>
    <mergeCell ref="H117:I117"/>
    <mergeCell ref="H137:I137"/>
    <mergeCell ref="H136:I136"/>
    <mergeCell ref="H135:I135"/>
    <mergeCell ref="H134:I134"/>
    <mergeCell ref="H133:I133"/>
    <mergeCell ref="H132:I132"/>
    <mergeCell ref="H131:I131"/>
    <mergeCell ref="H130:I130"/>
    <mergeCell ref="H129:I129"/>
    <mergeCell ref="H147:I147"/>
    <mergeCell ref="I86:I89"/>
    <mergeCell ref="J165:K165"/>
    <mergeCell ref="J166:K166"/>
    <mergeCell ref="J168:K168"/>
    <mergeCell ref="J169:K169"/>
    <mergeCell ref="J171:K171"/>
    <mergeCell ref="J172:K172"/>
    <mergeCell ref="J174:K174"/>
    <mergeCell ref="J175:K175"/>
    <mergeCell ref="J177:K177"/>
    <mergeCell ref="J198:K198"/>
    <mergeCell ref="D322:D323"/>
    <mergeCell ref="E322:E323"/>
    <mergeCell ref="V322:V323"/>
    <mergeCell ref="J188:K188"/>
    <mergeCell ref="J189:K189"/>
    <mergeCell ref="J190:K190"/>
    <mergeCell ref="J191:K191"/>
    <mergeCell ref="J192:K192"/>
    <mergeCell ref="J193:K193"/>
    <mergeCell ref="J194:K194"/>
    <mergeCell ref="J196:K196"/>
    <mergeCell ref="J197:K197"/>
    <mergeCell ref="J284:L284"/>
    <mergeCell ref="J285:L285"/>
    <mergeCell ref="J286:L286"/>
    <mergeCell ref="J288:L288"/>
    <mergeCell ref="H264:I264"/>
    <mergeCell ref="J283:L283"/>
    <mergeCell ref="J282:L282"/>
    <mergeCell ref="J280:L280"/>
    <mergeCell ref="J279:L279"/>
    <mergeCell ref="J278:L278"/>
    <mergeCell ref="J274:L274"/>
  </mergeCells>
  <conditionalFormatting sqref="AH7:AH10 AH100:AH103 AH152:AH155 AH204:AH207 AH255:AH258">
    <cfRule type="cellIs" dxfId="374" priority="36" operator="lessThan">
      <formula>-0.1</formula>
    </cfRule>
    <cfRule type="cellIs" dxfId="373" priority="37" operator="greaterThan">
      <formula>0.1</formula>
    </cfRule>
  </conditionalFormatting>
  <conditionalFormatting sqref="AH46:AH56">
    <cfRule type="cellIs" dxfId="372" priority="34" operator="lessThan">
      <formula>-0.1</formula>
    </cfRule>
    <cfRule type="cellIs" dxfId="371" priority="35" operator="greaterThan">
      <formula>0.1</formula>
    </cfRule>
  </conditionalFormatting>
  <conditionalFormatting sqref="AH296:AH304">
    <cfRule type="cellIs" dxfId="370" priority="24" operator="lessThan">
      <formula>-0.1</formula>
    </cfRule>
    <cfRule type="cellIs" dxfId="369" priority="25" operator="greaterThan">
      <formula>0.1</formula>
    </cfRule>
  </conditionalFormatting>
  <conditionalFormatting sqref="AH11">
    <cfRule type="cellIs" dxfId="368" priority="22" operator="lessThan">
      <formula>-0.1</formula>
    </cfRule>
    <cfRule type="cellIs" dxfId="367" priority="23" operator="greaterThan">
      <formula>0.1</formula>
    </cfRule>
  </conditionalFormatting>
  <conditionalFormatting sqref="B330:B331 B1:B321 B324:B328 B333:B1048576">
    <cfRule type="cellIs" dxfId="366" priority="21" operator="equal">
      <formula>"x"</formula>
    </cfRule>
  </conditionalFormatting>
  <conditionalFormatting sqref="E11">
    <cfRule type="cellIs" dxfId="365" priority="20" operator="equal">
      <formula>"x"</formula>
    </cfRule>
  </conditionalFormatting>
  <conditionalFormatting sqref="H352">
    <cfRule type="cellIs" dxfId="364" priority="15" operator="equal">
      <formula>"x"</formula>
    </cfRule>
  </conditionalFormatting>
  <conditionalFormatting sqref="D342:E343 D344 F358 G342:H343 F343 D353 H344:H351 D356:H356 G344:G352 H357:H358">
    <cfRule type="cellIs" dxfId="363" priority="19" operator="equal">
      <formula>"x"</formula>
    </cfRule>
  </conditionalFormatting>
  <conditionalFormatting sqref="F342">
    <cfRule type="cellIs" dxfId="362" priority="18" operator="equal">
      <formula>"x"</formula>
    </cfRule>
  </conditionalFormatting>
  <conditionalFormatting sqref="I342:I358">
    <cfRule type="cellIs" dxfId="361" priority="17" operator="equal">
      <formula>"x"</formula>
    </cfRule>
  </conditionalFormatting>
  <conditionalFormatting sqref="F344:F352">
    <cfRule type="cellIs" dxfId="360" priority="16" operator="equal">
      <formula>"x"</formula>
    </cfRule>
  </conditionalFormatting>
  <conditionalFormatting sqref="B329:O329">
    <cfRule type="cellIs" dxfId="359" priority="14" operator="equal">
      <formula>"x"</formula>
    </cfRule>
  </conditionalFormatting>
  <conditionalFormatting sqref="C331:L331 D333 F334:L334 F333:G333 I333:L333">
    <cfRule type="cellIs" dxfId="358" priority="13" operator="equal">
      <formula>"x"</formula>
    </cfRule>
  </conditionalFormatting>
  <conditionalFormatting sqref="C334:E336">
    <cfRule type="cellIs" dxfId="357" priority="12" operator="equal">
      <formula>"x"</formula>
    </cfRule>
  </conditionalFormatting>
  <conditionalFormatting sqref="C337:E338">
    <cfRule type="cellIs" dxfId="356" priority="11" operator="equal">
      <formula>"x"</formula>
    </cfRule>
  </conditionalFormatting>
  <conditionalFormatting sqref="AH333:AH341">
    <cfRule type="cellIs" dxfId="355" priority="9" operator="lessThan">
      <formula>-0.1</formula>
    </cfRule>
    <cfRule type="cellIs" dxfId="354" priority="10" operator="greaterThan">
      <formula>0.1</formula>
    </cfRule>
  </conditionalFormatting>
  <conditionalFormatting sqref="V343:V344 V353 V356">
    <cfRule type="cellIs" dxfId="353" priority="8" operator="equal">
      <formula>"x"</formula>
    </cfRule>
  </conditionalFormatting>
  <conditionalFormatting sqref="AB356 AB343:AB352">
    <cfRule type="cellIs" dxfId="352" priority="7" operator="equal">
      <formula>"x"</formula>
    </cfRule>
  </conditionalFormatting>
  <conditionalFormatting sqref="B322:B323">
    <cfRule type="cellIs" dxfId="351" priority="6" operator="equal">
      <formula>"x"</formula>
    </cfRule>
  </conditionalFormatting>
  <conditionalFormatting sqref="H353:H355">
    <cfRule type="cellIs" dxfId="350" priority="5" operator="equal">
      <formula>"x"</formula>
    </cfRule>
  </conditionalFormatting>
  <conditionalFormatting sqref="B332">
    <cfRule type="cellIs" dxfId="349" priority="4" operator="equal">
      <formula>"x"</formula>
    </cfRule>
  </conditionalFormatting>
  <conditionalFormatting sqref="D332 F332:G332 I332:L332">
    <cfRule type="cellIs" dxfId="348" priority="3" operator="equal">
      <formula>"x"</formula>
    </cfRule>
  </conditionalFormatting>
  <conditionalFormatting sqref="AH332">
    <cfRule type="cellIs" dxfId="347" priority="1" operator="lessThan">
      <formula>-0.1</formula>
    </cfRule>
    <cfRule type="cellIs" dxfId="346" priority="2" operator="greaterThan">
      <formula>0.1</formula>
    </cfRule>
  </conditionalFormatting>
  <hyperlinks>
    <hyperlink ref="H136" r:id="rId1" display="http://ilsagfiles.org/SAG_files/Technical_Reference_Manual/Version_5/Final/IL-TRM_Version_5.0_dated_February-11-2016_Final_Compiled_Volumes_1-4.pdf"/>
    <hyperlink ref="H138" r:id="rId2" display="http://www.nrel.gov/docs/fy10osti/47246.pdf"/>
    <hyperlink ref="H128" r:id="rId3" display="http://ilsagfiles.org/SAG_files/Technical_Reference_Manual/Version_5/Final/IL-TRM_Version_5.0_dated_February-11-2016_Final_Compiled_Volumes_1-4.pdf"/>
    <hyperlink ref="H186" r:id="rId4" display="http://ilsagfiles.org/SAG_files/Technical_Reference_Manual/Version_5/Final/IL-TRM_Version_5.0_dated_February-11-2016_Final_Compiled_Volumes_1-4.pdf"/>
    <hyperlink ref="H189" r:id="rId5" display="http://www.nrel.gov/docs/fy10osti/47246.pdf"/>
    <hyperlink ref="H188" r:id="rId6" display="https://www.efis.psc.mo.gov/mpsc/commoncomponents/viewdocument.asp?DocId=935658483"/>
    <hyperlink ref="H178" r:id="rId7" display="http://ilsagfiles.org/SAG_files/Technical_Reference_Manual/Version_5/Final/IL-TRM_Version_5.0_dated_February-11-2016_Final_Compiled_Volumes_1-4.pdf"/>
    <hyperlink ref="H240" r:id="rId8" display="https://www.efis.psc.mo.gov/mpsc/commoncomponents/viewdocument.asp?DocId=935658483"/>
    <hyperlink ref="H241" r:id="rId9" display="http://www.nrel.gov/docs/fy10osti/47246.pdf"/>
  </hyperlinks>
  <pageMargins left="0.7" right="0.7" top="0.75" bottom="0.75" header="0.3" footer="0.3"/>
  <pageSetup scale="10" fitToHeight="0" orientation="landscape" r:id="rId10"/>
  <rowBreaks count="1" manualBreakCount="1">
    <brk id="292"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75"/>
  <sheetViews>
    <sheetView zoomScale="70" zoomScaleNormal="70" workbookViewId="0">
      <selection activeCell="C19" sqref="C19"/>
    </sheetView>
  </sheetViews>
  <sheetFormatPr defaultRowHeight="15" outlineLevelRow="1" x14ac:dyDescent="0.25"/>
  <cols>
    <col min="1" max="1" width="6" style="1393" customWidth="1"/>
    <col min="2" max="2" width="9.140625" style="157" customWidth="1"/>
    <col min="3" max="3" width="19.140625" style="385" customWidth="1"/>
    <col min="4" max="4" width="18.140625" style="386" customWidth="1"/>
    <col min="5" max="5" width="90.28515625" style="386" customWidth="1"/>
    <col min="6" max="6" width="36.42578125" style="157" customWidth="1"/>
    <col min="7" max="7" width="20.42578125" style="386" customWidth="1"/>
    <col min="8" max="8" width="17.85546875" style="157" customWidth="1"/>
    <col min="9" max="9" width="21.5703125" style="157" customWidth="1"/>
    <col min="10" max="10" width="20.5703125" style="157" customWidth="1"/>
    <col min="11" max="11" width="29.85546875" style="157" customWidth="1"/>
    <col min="12" max="12" width="45.140625" style="157" customWidth="1"/>
    <col min="13" max="13" width="48.5703125" style="157" customWidth="1"/>
    <col min="14" max="14" width="24.28515625" style="157" customWidth="1"/>
    <col min="15" max="15" width="14.140625" style="157" customWidth="1"/>
    <col min="16" max="16" width="15.85546875" style="157" customWidth="1"/>
    <col min="17" max="17" width="16.85546875" style="157" customWidth="1"/>
    <col min="18" max="18" width="21.85546875" style="157" customWidth="1"/>
    <col min="19" max="19" width="14.42578125" style="157" customWidth="1"/>
    <col min="20" max="20" width="83.42578125" style="157" customWidth="1"/>
    <col min="21" max="21" width="11.85546875" style="157" customWidth="1"/>
    <col min="22" max="22" width="20.5703125" style="157" customWidth="1"/>
    <col min="23" max="23" width="15.42578125" customWidth="1"/>
    <col min="24" max="24" width="18" customWidth="1"/>
    <col min="25" max="25" width="16.7109375" customWidth="1"/>
    <col min="26" max="26" width="16.7109375" bestFit="1" customWidth="1"/>
    <col min="27" max="28" width="17.42578125" bestFit="1" customWidth="1"/>
    <col min="29" max="33" width="15.42578125" customWidth="1"/>
    <col min="34" max="51" width="9.140625" customWidth="1"/>
    <col min="52" max="52" width="12.140625" customWidth="1"/>
    <col min="53" max="53" width="9.140625" customWidth="1"/>
    <col min="54" max="54" width="13.140625" style="647" bestFit="1" customWidth="1"/>
    <col min="55" max="55" width="26.42578125" style="648" customWidth="1"/>
    <col min="56" max="56" width="13.140625" style="649" customWidth="1"/>
    <col min="57" max="57" width="19" customWidth="1"/>
    <col min="60" max="60" width="10" customWidth="1"/>
  </cols>
  <sheetData>
    <row r="1" spans="1:57" s="26" customFormat="1" ht="18.75" x14ac:dyDescent="0.3">
      <c r="A1" s="3343" t="s">
        <v>1055</v>
      </c>
      <c r="B1" s="3535"/>
      <c r="C1" s="3535"/>
      <c r="D1" s="3535"/>
      <c r="E1" s="3535"/>
      <c r="F1" s="3535"/>
      <c r="G1" s="3535"/>
      <c r="H1" s="3535"/>
      <c r="I1" s="3535"/>
      <c r="J1" s="3535"/>
      <c r="K1" s="3535"/>
      <c r="L1" s="3535"/>
      <c r="M1" s="3535"/>
      <c r="N1" s="3535"/>
      <c r="O1" s="3535"/>
      <c r="P1" s="3345"/>
      <c r="Q1" s="3592"/>
      <c r="R1" s="3592"/>
      <c r="S1" s="1470"/>
      <c r="T1" s="1470"/>
      <c r="U1" s="1470"/>
      <c r="V1" s="3168"/>
      <c r="W1" s="34"/>
      <c r="X1" s="34"/>
      <c r="Y1" s="35"/>
      <c r="Z1" s="35"/>
      <c r="AA1" s="35"/>
      <c r="AB1" s="35"/>
      <c r="AC1" s="35"/>
      <c r="AD1" s="35"/>
      <c r="AE1" s="35"/>
      <c r="AF1" s="35"/>
      <c r="AG1" s="35"/>
      <c r="AH1" s="35"/>
      <c r="BB1" s="642"/>
      <c r="BC1" s="643"/>
      <c r="BD1" s="644"/>
    </row>
    <row r="2" spans="1:57" s="26" customFormat="1" ht="30" customHeight="1" outlineLevel="1" x14ac:dyDescent="0.35">
      <c r="A2" s="2459"/>
      <c r="B2" s="1472"/>
      <c r="C2" s="190"/>
      <c r="D2" s="3347" t="s">
        <v>3212</v>
      </c>
      <c r="E2" s="3348"/>
      <c r="F2" s="3349"/>
      <c r="G2" s="3349"/>
      <c r="H2" s="3349"/>
      <c r="I2" s="3349"/>
      <c r="J2" s="3349"/>
      <c r="K2" s="972"/>
      <c r="L2" s="972"/>
      <c r="M2" s="1470"/>
      <c r="N2" s="1470"/>
      <c r="O2" s="1470"/>
      <c r="P2" s="1470"/>
      <c r="Q2" s="1470"/>
      <c r="R2" s="1470"/>
      <c r="S2" s="1470"/>
      <c r="T2" s="1470"/>
      <c r="U2" s="1470"/>
      <c r="V2" s="2312"/>
      <c r="BB2" s="642"/>
      <c r="BC2" s="643"/>
      <c r="BD2" s="644"/>
    </row>
    <row r="3" spans="1:57" s="29" customFormat="1" ht="33.75" customHeight="1" x14ac:dyDescent="0.25">
      <c r="A3" s="2460"/>
      <c r="B3" s="973"/>
      <c r="C3" s="191"/>
      <c r="D3" s="192"/>
      <c r="E3" s="192"/>
      <c r="F3" s="191"/>
      <c r="G3" s="192"/>
      <c r="H3" s="191"/>
      <c r="I3" s="191"/>
      <c r="J3" s="191"/>
      <c r="K3" s="973"/>
      <c r="L3" s="973"/>
      <c r="M3" s="1656"/>
      <c r="N3" s="973"/>
      <c r="O3" s="973"/>
      <c r="P3" s="973"/>
      <c r="Q3" s="973"/>
      <c r="R3" s="973"/>
      <c r="S3" s="973"/>
      <c r="T3" s="973"/>
      <c r="U3" s="973"/>
      <c r="V3" s="973"/>
      <c r="BB3" s="645"/>
      <c r="BC3" s="643"/>
      <c r="BD3" s="646"/>
    </row>
    <row r="4" spans="1:57" x14ac:dyDescent="0.25">
      <c r="B4" s="3350" t="s">
        <v>1056</v>
      </c>
      <c r="C4" s="3351"/>
      <c r="D4" s="3351"/>
      <c r="E4" s="3351"/>
      <c r="F4" s="3351"/>
      <c r="G4" s="3351"/>
      <c r="H4" s="3351"/>
      <c r="I4" s="3351"/>
      <c r="J4" s="3351"/>
      <c r="K4" s="3351"/>
      <c r="L4" s="3351"/>
      <c r="M4" s="3351"/>
      <c r="N4" s="3351"/>
      <c r="O4" s="3351"/>
      <c r="P4" s="3351"/>
      <c r="Q4" s="3593"/>
      <c r="R4" s="298"/>
      <c r="V4" s="3350" t="str">
        <f>B4</f>
        <v>ECM/ Blower Motor</v>
      </c>
      <c r="W4" s="3351"/>
      <c r="X4" s="3351"/>
      <c r="Y4" s="3351"/>
      <c r="Z4" s="3351"/>
      <c r="AA4" s="3351"/>
      <c r="AB4" s="3351"/>
      <c r="AC4" s="3354"/>
      <c r="AD4" s="3354"/>
      <c r="AE4" s="3354"/>
      <c r="AF4" s="3354"/>
      <c r="AG4" s="3354"/>
      <c r="AH4" s="3355"/>
    </row>
    <row r="5" spans="1:57" x14ac:dyDescent="0.25">
      <c r="B5" s="1359"/>
      <c r="C5" s="274"/>
      <c r="D5" s="482"/>
      <c r="E5" s="482"/>
      <c r="F5" s="275"/>
      <c r="G5" s="482"/>
      <c r="H5" s="275"/>
      <c r="I5" s="275"/>
      <c r="J5" s="275"/>
      <c r="K5" s="275"/>
      <c r="L5" s="1635"/>
      <c r="M5" s="298"/>
      <c r="N5" s="298"/>
      <c r="O5" s="298"/>
      <c r="P5" s="298"/>
      <c r="Q5" s="298"/>
      <c r="R5" s="298"/>
    </row>
    <row r="6" spans="1:57" ht="30" x14ac:dyDescent="0.25">
      <c r="B6" s="1359"/>
      <c r="C6" s="2362" t="s">
        <v>17</v>
      </c>
      <c r="D6" s="2362" t="s">
        <v>616</v>
      </c>
      <c r="E6" s="2362" t="s">
        <v>19</v>
      </c>
      <c r="F6" s="2362" t="s">
        <v>20</v>
      </c>
      <c r="G6" s="1409" t="s">
        <v>21</v>
      </c>
      <c r="H6" s="1409" t="s">
        <v>22</v>
      </c>
      <c r="I6" s="1409" t="s">
        <v>872</v>
      </c>
      <c r="J6" s="1409" t="s">
        <v>873</v>
      </c>
      <c r="K6" s="1409" t="s">
        <v>1057</v>
      </c>
      <c r="L6" s="1409" t="s">
        <v>1058</v>
      </c>
      <c r="M6" s="1409" t="s">
        <v>23</v>
      </c>
      <c r="N6" s="1413" t="s">
        <v>24</v>
      </c>
      <c r="O6" s="1409" t="s">
        <v>25</v>
      </c>
      <c r="P6" s="1409" t="s">
        <v>26</v>
      </c>
      <c r="Q6" s="298"/>
      <c r="V6" s="623"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650" t="s">
        <v>31</v>
      </c>
      <c r="BE6" s="59" t="s">
        <v>32</v>
      </c>
    </row>
    <row r="7" spans="1:57" x14ac:dyDescent="0.25">
      <c r="A7" s="1393" t="str">
        <f t="shared" ref="A7:A18" si="0">C7&amp;G7</f>
        <v>350050_2019_12_HVAC RES</v>
      </c>
      <c r="B7" s="1359"/>
      <c r="C7" s="1658" t="s">
        <v>1059</v>
      </c>
      <c r="D7" s="1658" t="s">
        <v>740</v>
      </c>
      <c r="E7" s="3045" t="s">
        <v>1060</v>
      </c>
      <c r="F7" s="651">
        <f>ROUND(I7+J7+K7+L7,2)</f>
        <v>582</v>
      </c>
      <c r="G7" s="483" t="s">
        <v>877</v>
      </c>
      <c r="H7" s="202">
        <f>VLOOKUP(G7,'CP FACTORS'!$A$3:$B$38, 2, FALSE)</f>
        <v>4.6608050000000002E-4</v>
      </c>
      <c r="I7" s="1088">
        <f>(1-I40)*I$52*I$53/I$54*I75*$I$87</f>
        <v>264.14545423487061</v>
      </c>
      <c r="J7" s="1659">
        <f>(1-I55)*I$67*I$68/I$69*I75*I$87</f>
        <v>31.133309957924254</v>
      </c>
      <c r="K7" s="3172">
        <f t="shared" ref="K7:K12" si="1">($I$70*I$68/I$69+$I$71*$I$72-$I$74)*I75*$I$87</f>
        <v>286.72123580720518</v>
      </c>
      <c r="L7" s="3173">
        <v>0</v>
      </c>
      <c r="M7" s="652">
        <f>ROUND(H7*F7,6)</f>
        <v>0.27125899999999997</v>
      </c>
      <c r="N7" s="1414">
        <f>I88</f>
        <v>20</v>
      </c>
      <c r="O7" s="1415">
        <f>I100</f>
        <v>0</v>
      </c>
      <c r="P7" s="1658" t="s">
        <v>37</v>
      </c>
      <c r="Q7" s="298"/>
      <c r="V7" s="2309" t="s">
        <v>20</v>
      </c>
      <c r="W7" s="208">
        <v>591.90332067911811</v>
      </c>
      <c r="X7" s="653">
        <v>619.79873095030314</v>
      </c>
      <c r="Y7" s="146">
        <v>582</v>
      </c>
      <c r="Z7" s="143">
        <v>582</v>
      </c>
      <c r="AA7" s="143">
        <v>582</v>
      </c>
      <c r="AB7" s="2458">
        <v>582</v>
      </c>
      <c r="AC7" s="208"/>
      <c r="AD7" s="208"/>
      <c r="AE7" s="208"/>
      <c r="AF7" s="208"/>
      <c r="AG7" s="208"/>
      <c r="AH7" s="211"/>
      <c r="BB7" s="288" t="str">
        <f>IFERROR((BD7)/(BE7),"")</f>
        <v/>
      </c>
      <c r="BC7" s="68" t="str">
        <f>CONCATENATE(G7," ",N7," Year EUL")</f>
        <v>HVAC RES 20 Year EUL</v>
      </c>
      <c r="BD7" s="654">
        <f>(INDEX('Avoided Cost Benefits'!$C$4:$C$857,MATCH(BC7,'Avoided Cost Benefits'!$A$4:$A$857,0)))*F7</f>
        <v>692.80298510345756</v>
      </c>
      <c r="BE7" s="69">
        <f t="shared" ref="BE7:BE18" si="2">O7/(1.0595^(2020-2019))</f>
        <v>0</v>
      </c>
    </row>
    <row r="8" spans="1:57" x14ac:dyDescent="0.25">
      <c r="A8" s="1393" t="str">
        <f t="shared" si="0"/>
        <v>350100_2019_12_HVAC RES</v>
      </c>
      <c r="B8" s="1698"/>
      <c r="C8" s="1658" t="s">
        <v>1061</v>
      </c>
      <c r="D8" s="1658" t="s">
        <v>742</v>
      </c>
      <c r="E8" s="3045" t="s">
        <v>1062</v>
      </c>
      <c r="F8" s="651">
        <f t="shared" ref="F8:F18" si="3">ROUND(I8+J8+K8+L8,2)</f>
        <v>582</v>
      </c>
      <c r="G8" s="483" t="s">
        <v>877</v>
      </c>
      <c r="H8" s="202">
        <f>VLOOKUP(G8,'CP FACTORS'!$A$3:$B$38, 2, FALSE)</f>
        <v>4.6608050000000002E-4</v>
      </c>
      <c r="I8" s="1088">
        <f t="shared" ref="I8:I18" si="4">(1-I41)*I$52*I$53/I$54*I76*$I$87</f>
        <v>264.14545423487061</v>
      </c>
      <c r="J8" s="1659">
        <f t="shared" ref="J8:J18" si="5">(1-I56)*I$67*I$68/I$69*I76*I$87</f>
        <v>31.133309957924254</v>
      </c>
      <c r="K8" s="3172">
        <f t="shared" si="1"/>
        <v>286.72123580720518</v>
      </c>
      <c r="L8" s="3173">
        <v>0</v>
      </c>
      <c r="M8" s="652">
        <f>ROUND(H8*F8,6)</f>
        <v>0.27125899999999997</v>
      </c>
      <c r="N8" s="1414">
        <f t="shared" ref="N8:N18" si="6">I89</f>
        <v>20</v>
      </c>
      <c r="O8" s="1415">
        <f t="shared" ref="O8:O18" si="7">I101</f>
        <v>0</v>
      </c>
      <c r="P8" s="1658" t="s">
        <v>37</v>
      </c>
      <c r="Q8" s="298"/>
      <c r="V8" s="2309" t="s">
        <v>20</v>
      </c>
      <c r="W8" s="208">
        <v>591.90332067911811</v>
      </c>
      <c r="X8" s="653">
        <v>619.79873095030314</v>
      </c>
      <c r="Y8" s="146">
        <v>582</v>
      </c>
      <c r="Z8" s="143">
        <v>582</v>
      </c>
      <c r="AA8" s="143">
        <v>582</v>
      </c>
      <c r="AB8" s="2458">
        <v>582</v>
      </c>
      <c r="AC8" s="208"/>
      <c r="AD8" s="208"/>
      <c r="AE8" s="208"/>
      <c r="AF8" s="208"/>
      <c r="AG8" s="208"/>
      <c r="AH8" s="211"/>
      <c r="BB8" s="293" t="str">
        <f>IFERROR((BD8)/(BE8),"")</f>
        <v/>
      </c>
      <c r="BC8" s="68" t="str">
        <f t="shared" ref="BC8:BC17" si="8">CONCATENATE(G8," ",N8," Year EUL")</f>
        <v>HVAC RES 20 Year EUL</v>
      </c>
      <c r="BD8" s="655">
        <f>(INDEX('Avoided Cost Benefits'!$C$4:$C$857,MATCH(BC8,'Avoided Cost Benefits'!$A$4:$A$857,0)))*F8</f>
        <v>692.80298510345756</v>
      </c>
      <c r="BE8" s="73">
        <f t="shared" si="2"/>
        <v>0</v>
      </c>
    </row>
    <row r="9" spans="1:57" x14ac:dyDescent="0.25">
      <c r="A9" s="1393" t="str">
        <f t="shared" si="0"/>
        <v>350150_2019_12_HVAC RES</v>
      </c>
      <c r="B9" s="1698"/>
      <c r="C9" s="1658" t="s">
        <v>1063</v>
      </c>
      <c r="D9" s="1658" t="s">
        <v>740</v>
      </c>
      <c r="E9" s="3045" t="s">
        <v>1064</v>
      </c>
      <c r="F9" s="651">
        <f t="shared" si="3"/>
        <v>582</v>
      </c>
      <c r="G9" s="483" t="s">
        <v>877</v>
      </c>
      <c r="H9" s="202">
        <f>VLOOKUP(G9,'CP FACTORS'!$A$3:$B$38, 2, FALSE)</f>
        <v>4.6608050000000002E-4</v>
      </c>
      <c r="I9" s="1088">
        <f t="shared" si="4"/>
        <v>264.14545423487061</v>
      </c>
      <c r="J9" s="1659">
        <f t="shared" si="5"/>
        <v>31.133309957924254</v>
      </c>
      <c r="K9" s="3172">
        <f t="shared" si="1"/>
        <v>286.72123580720518</v>
      </c>
      <c r="L9" s="3173">
        <v>0</v>
      </c>
      <c r="M9" s="652">
        <f t="shared" ref="M9:M18" si="9">ROUND(H9*F9,6)</f>
        <v>0.27125899999999997</v>
      </c>
      <c r="N9" s="1414">
        <f t="shared" si="6"/>
        <v>6</v>
      </c>
      <c r="O9" s="1415">
        <f t="shared" si="7"/>
        <v>74.327224020150311</v>
      </c>
      <c r="P9" s="1658" t="s">
        <v>37</v>
      </c>
      <c r="Q9" s="298"/>
      <c r="V9" s="2309" t="s">
        <v>20</v>
      </c>
      <c r="W9" s="208">
        <v>591.90332067911811</v>
      </c>
      <c r="X9" s="653">
        <v>619.79873095030314</v>
      </c>
      <c r="Y9" s="146">
        <v>582</v>
      </c>
      <c r="Z9" s="143">
        <v>582</v>
      </c>
      <c r="AA9" s="143">
        <v>582</v>
      </c>
      <c r="AB9" s="2458">
        <v>582</v>
      </c>
      <c r="AC9" s="208"/>
      <c r="AD9" s="208"/>
      <c r="AE9" s="208"/>
      <c r="AF9" s="208"/>
      <c r="AG9" s="208"/>
      <c r="AH9" s="211"/>
      <c r="BB9" s="293">
        <f>(BD9+BD10)/(BE9+BE10)</f>
        <v>9.106187302806509</v>
      </c>
      <c r="BC9" s="656" t="str">
        <f t="shared" si="8"/>
        <v>HVAC RES 6 Year EUL</v>
      </c>
      <c r="BD9" s="655">
        <f>(INDEX('Avoided Cost Benefits'!$C$4:$C$857,MATCH(BC9,'Avoided Cost Benefits'!$A$4:$A$857,0)))*F9</f>
        <v>214.66614365077814</v>
      </c>
      <c r="BE9" s="73">
        <f t="shared" si="2"/>
        <v>70.153113751911562</v>
      </c>
    </row>
    <row r="10" spans="1:57" x14ac:dyDescent="0.25">
      <c r="A10" s="1393" t="str">
        <f t="shared" si="0"/>
        <v>350150_2019_12_HVAC RES ER2</v>
      </c>
      <c r="B10" s="1698"/>
      <c r="C10" s="1658" t="s">
        <v>1063</v>
      </c>
      <c r="D10" s="1658" t="s">
        <v>740</v>
      </c>
      <c r="E10" s="3045" t="s">
        <v>1065</v>
      </c>
      <c r="F10" s="651">
        <f t="shared" si="3"/>
        <v>582</v>
      </c>
      <c r="G10" s="3045" t="str">
        <f>'CP FACTORS'!$A$17</f>
        <v>HVAC RES ER2</v>
      </c>
      <c r="H10" s="202">
        <f>VLOOKUP(G10,'CP FACTORS'!$A$3:$B$38, 2, FALSE)</f>
        <v>4.6608050000000002E-4</v>
      </c>
      <c r="I10" s="1088">
        <f t="shared" si="4"/>
        <v>264.14545423487061</v>
      </c>
      <c r="J10" s="1659">
        <f t="shared" si="5"/>
        <v>31.133309957924254</v>
      </c>
      <c r="K10" s="3172">
        <f t="shared" si="1"/>
        <v>286.72123580720518</v>
      </c>
      <c r="L10" s="3173">
        <v>0</v>
      </c>
      <c r="M10" s="652">
        <f t="shared" si="9"/>
        <v>0.27125899999999997</v>
      </c>
      <c r="N10" s="1414">
        <f t="shared" si="6"/>
        <v>12</v>
      </c>
      <c r="O10" s="1415">
        <f t="shared" si="7"/>
        <v>0</v>
      </c>
      <c r="P10" s="1658" t="s">
        <v>37</v>
      </c>
      <c r="Q10" s="298"/>
      <c r="V10" s="2309" t="s">
        <v>20</v>
      </c>
      <c r="W10" s="208">
        <v>591.90332067911811</v>
      </c>
      <c r="X10" s="653">
        <v>619.79873095030314</v>
      </c>
      <c r="Y10" s="146">
        <v>582</v>
      </c>
      <c r="Z10" s="143">
        <v>582</v>
      </c>
      <c r="AA10" s="143">
        <v>582</v>
      </c>
      <c r="AB10" s="2458">
        <v>582</v>
      </c>
      <c r="AC10" s="208"/>
      <c r="AD10" s="208"/>
      <c r="AE10" s="208"/>
      <c r="AF10" s="208"/>
      <c r="AG10" s="208"/>
      <c r="AH10" s="211"/>
      <c r="BB10" s="291"/>
      <c r="BC10" s="72" t="str">
        <f t="shared" si="8"/>
        <v>HVAC RES ER2 12 Year EUL</v>
      </c>
      <c r="BD10" s="655">
        <f>(INDEX('Avoided Cost Benefits'!$C$4:$C$857,MATCH(BC10,'Avoided Cost Benefits'!$A$4:$A$857,0)))*F10</f>
        <v>424.16125004921963</v>
      </c>
      <c r="BE10" s="73">
        <f t="shared" si="2"/>
        <v>0</v>
      </c>
    </row>
    <row r="11" spans="1:57" x14ac:dyDescent="0.25">
      <c r="A11" s="1393" t="str">
        <f t="shared" si="0"/>
        <v>350175_2019_12_HVAC RES</v>
      </c>
      <c r="B11" s="1698"/>
      <c r="C11" s="3048" t="s">
        <v>1066</v>
      </c>
      <c r="D11" s="1658" t="s">
        <v>742</v>
      </c>
      <c r="E11" s="3045" t="s">
        <v>1067</v>
      </c>
      <c r="F11" s="651">
        <f t="shared" si="3"/>
        <v>582</v>
      </c>
      <c r="G11" s="3045" t="s">
        <v>877</v>
      </c>
      <c r="H11" s="202">
        <f>VLOOKUP(G11,'CP FACTORS'!$A$3:$B$38, 2, FALSE)</f>
        <v>4.6608050000000002E-4</v>
      </c>
      <c r="I11" s="1088">
        <f t="shared" si="4"/>
        <v>264.14545423487061</v>
      </c>
      <c r="J11" s="1659">
        <f t="shared" si="5"/>
        <v>31.133309957924254</v>
      </c>
      <c r="K11" s="3172">
        <f t="shared" si="1"/>
        <v>286.72123580720518</v>
      </c>
      <c r="L11" s="3173">
        <v>0</v>
      </c>
      <c r="M11" s="652">
        <f t="shared" si="9"/>
        <v>0.27125899999999997</v>
      </c>
      <c r="N11" s="1414">
        <f t="shared" si="6"/>
        <v>6</v>
      </c>
      <c r="O11" s="1415">
        <f t="shared" si="7"/>
        <v>74.327224020150311</v>
      </c>
      <c r="P11" s="1658" t="s">
        <v>37</v>
      </c>
      <c r="Q11" s="298"/>
      <c r="V11" s="2309" t="s">
        <v>20</v>
      </c>
      <c r="W11" s="208">
        <v>591.90332067911811</v>
      </c>
      <c r="X11" s="653">
        <v>619.79873095030314</v>
      </c>
      <c r="Y11" s="146">
        <v>582</v>
      </c>
      <c r="Z11" s="143">
        <v>582</v>
      </c>
      <c r="AA11" s="143">
        <v>582</v>
      </c>
      <c r="AB11" s="2458">
        <v>582</v>
      </c>
      <c r="AC11" s="208"/>
      <c r="AD11" s="208"/>
      <c r="AE11" s="208"/>
      <c r="AF11" s="208"/>
      <c r="AG11" s="208"/>
      <c r="AH11" s="211"/>
      <c r="BB11" s="293">
        <f>(BD11+BD12)/(BE11+BE12)</f>
        <v>9.106187302806509</v>
      </c>
      <c r="BC11" s="656" t="str">
        <f t="shared" si="8"/>
        <v>HVAC RES 6 Year EUL</v>
      </c>
      <c r="BD11" s="655">
        <f>(INDEX('Avoided Cost Benefits'!$C$4:$C$857,MATCH(BC11,'Avoided Cost Benefits'!$A$4:$A$857,0)))*F11</f>
        <v>214.66614365077814</v>
      </c>
      <c r="BE11" s="73">
        <f t="shared" si="2"/>
        <v>70.153113751911562</v>
      </c>
    </row>
    <row r="12" spans="1:57" x14ac:dyDescent="0.25">
      <c r="A12" s="1393" t="str">
        <f t="shared" si="0"/>
        <v>350175_2019_12_HVAC RES ER2</v>
      </c>
      <c r="B12" s="1698"/>
      <c r="C12" s="3048" t="s">
        <v>1066</v>
      </c>
      <c r="D12" s="1658" t="s">
        <v>742</v>
      </c>
      <c r="E12" s="3045" t="s">
        <v>1068</v>
      </c>
      <c r="F12" s="651">
        <f t="shared" si="3"/>
        <v>582</v>
      </c>
      <c r="G12" s="3045" t="str">
        <f>'CP FACTORS'!$A$17</f>
        <v>HVAC RES ER2</v>
      </c>
      <c r="H12" s="202">
        <f>VLOOKUP(G12,'CP FACTORS'!$A$3:$B$38, 2, FALSE)</f>
        <v>4.6608050000000002E-4</v>
      </c>
      <c r="I12" s="1088">
        <f t="shared" si="4"/>
        <v>264.14545423487061</v>
      </c>
      <c r="J12" s="1659">
        <f t="shared" si="5"/>
        <v>31.133309957924254</v>
      </c>
      <c r="K12" s="3172">
        <f t="shared" si="1"/>
        <v>286.72123580720518</v>
      </c>
      <c r="L12" s="3173">
        <v>0</v>
      </c>
      <c r="M12" s="652">
        <f t="shared" si="9"/>
        <v>0.27125899999999997</v>
      </c>
      <c r="N12" s="1414">
        <f t="shared" si="6"/>
        <v>12</v>
      </c>
      <c r="O12" s="1415">
        <f t="shared" si="7"/>
        <v>0</v>
      </c>
      <c r="P12" s="1658" t="s">
        <v>37</v>
      </c>
      <c r="Q12" s="298"/>
      <c r="R12" s="1699"/>
      <c r="V12" s="2309" t="s">
        <v>20</v>
      </c>
      <c r="W12" s="208">
        <v>591.90332067911811</v>
      </c>
      <c r="X12" s="653">
        <v>619.79873095030314</v>
      </c>
      <c r="Y12" s="146">
        <v>582</v>
      </c>
      <c r="Z12" s="143">
        <v>582</v>
      </c>
      <c r="AA12" s="143">
        <v>582</v>
      </c>
      <c r="AB12" s="2458">
        <v>582</v>
      </c>
      <c r="AC12" s="208"/>
      <c r="AD12" s="208"/>
      <c r="AE12" s="208"/>
      <c r="AF12" s="208"/>
      <c r="AG12" s="208"/>
      <c r="AH12" s="211"/>
      <c r="BB12" s="291"/>
      <c r="BC12" s="72" t="str">
        <f t="shared" si="8"/>
        <v>HVAC RES ER2 12 Year EUL</v>
      </c>
      <c r="BD12" s="655">
        <f>(INDEX('Avoided Cost Benefits'!$C$4:$C$857,MATCH(BC12,'Avoided Cost Benefits'!$A$4:$A$857,0)))*F12</f>
        <v>424.16125004921963</v>
      </c>
      <c r="BE12" s="73">
        <f t="shared" si="2"/>
        <v>0</v>
      </c>
    </row>
    <row r="13" spans="1:57" x14ac:dyDescent="0.25">
      <c r="A13" s="1393" t="str">
        <f t="shared" si="0"/>
        <v>350200_2019_12_HVAC RES</v>
      </c>
      <c r="B13" s="1698"/>
      <c r="C13" s="1658" t="s">
        <v>1069</v>
      </c>
      <c r="D13" s="1658" t="s">
        <v>740</v>
      </c>
      <c r="E13" s="3045" t="s">
        <v>1070</v>
      </c>
      <c r="F13" s="651">
        <f t="shared" si="3"/>
        <v>582</v>
      </c>
      <c r="G13" s="3045" t="s">
        <v>877</v>
      </c>
      <c r="H13" s="202">
        <f>VLOOKUP(G13,'CP FACTORS'!$A$3:$B$38, 2, FALSE)</f>
        <v>4.6608050000000002E-4</v>
      </c>
      <c r="I13" s="1088">
        <f t="shared" si="4"/>
        <v>264.14545423487061</v>
      </c>
      <c r="J13" s="1659">
        <f t="shared" si="5"/>
        <v>31.133309957924254</v>
      </c>
      <c r="K13" s="3172">
        <v>0</v>
      </c>
      <c r="L13" s="3172">
        <f t="shared" ref="L13:L18" si="10">($I$70*I$68/I$69+$I$71*$I$73-$I$74)*I75*$I$87</f>
        <v>286.72123580720518</v>
      </c>
      <c r="M13" s="652">
        <f t="shared" si="9"/>
        <v>0.27125899999999997</v>
      </c>
      <c r="N13" s="1414">
        <f t="shared" si="6"/>
        <v>20</v>
      </c>
      <c r="O13" s="1415">
        <f t="shared" si="7"/>
        <v>0</v>
      </c>
      <c r="P13" s="1658" t="s">
        <v>37</v>
      </c>
      <c r="Q13" s="298"/>
      <c r="V13" s="2309" t="s">
        <v>20</v>
      </c>
      <c r="W13" s="208">
        <v>3255.9033206791182</v>
      </c>
      <c r="X13" s="653">
        <v>3283.7987309503033</v>
      </c>
      <c r="Y13" s="146">
        <v>582</v>
      </c>
      <c r="Z13" s="143">
        <v>582</v>
      </c>
      <c r="AA13" s="143">
        <v>582</v>
      </c>
      <c r="AB13" s="2458">
        <v>582</v>
      </c>
      <c r="AC13" s="208"/>
      <c r="AD13" s="208"/>
      <c r="AE13" s="208"/>
      <c r="AF13" s="208"/>
      <c r="AG13" s="208"/>
      <c r="AH13" s="211"/>
      <c r="BB13" s="293" t="str">
        <f>IFERROR((BD13)/(BE13),"")</f>
        <v/>
      </c>
      <c r="BC13" s="68" t="str">
        <f t="shared" si="8"/>
        <v>HVAC RES 20 Year EUL</v>
      </c>
      <c r="BD13" s="655">
        <f>(INDEX('Avoided Cost Benefits'!$C$4:$C$857,MATCH(BC13,'Avoided Cost Benefits'!$A$4:$A$857,0)))*F13</f>
        <v>692.80298510345756</v>
      </c>
      <c r="BE13" s="73">
        <f t="shared" si="2"/>
        <v>0</v>
      </c>
    </row>
    <row r="14" spans="1:57" x14ac:dyDescent="0.25">
      <c r="A14" s="1393" t="str">
        <f t="shared" si="0"/>
        <v>350250_2019_12_HVAC RES</v>
      </c>
      <c r="B14" s="1698"/>
      <c r="C14" s="1658" t="s">
        <v>1071</v>
      </c>
      <c r="D14" s="1658" t="s">
        <v>742</v>
      </c>
      <c r="E14" s="3045" t="s">
        <v>1072</v>
      </c>
      <c r="F14" s="651">
        <f t="shared" si="3"/>
        <v>582</v>
      </c>
      <c r="G14" s="3045" t="s">
        <v>877</v>
      </c>
      <c r="H14" s="202">
        <f>VLOOKUP(G14,'CP FACTORS'!$A$3:$B$38, 2, FALSE)</f>
        <v>4.6608050000000002E-4</v>
      </c>
      <c r="I14" s="1088">
        <f t="shared" si="4"/>
        <v>264.14545423487061</v>
      </c>
      <c r="J14" s="1659">
        <f t="shared" si="5"/>
        <v>31.133309957924254</v>
      </c>
      <c r="K14" s="3172">
        <v>0</v>
      </c>
      <c r="L14" s="3172">
        <f t="shared" si="10"/>
        <v>286.72123580720518</v>
      </c>
      <c r="M14" s="652">
        <f t="shared" si="9"/>
        <v>0.27125899999999997</v>
      </c>
      <c r="N14" s="1414">
        <f t="shared" si="6"/>
        <v>20</v>
      </c>
      <c r="O14" s="1415">
        <f t="shared" si="7"/>
        <v>0</v>
      </c>
      <c r="P14" s="1658" t="s">
        <v>37</v>
      </c>
      <c r="Q14" s="298"/>
      <c r="V14" s="2309" t="s">
        <v>20</v>
      </c>
      <c r="W14" s="208">
        <v>3255.9033206791182</v>
      </c>
      <c r="X14" s="653">
        <v>3283.7987309503033</v>
      </c>
      <c r="Y14" s="146">
        <v>582</v>
      </c>
      <c r="Z14" s="143">
        <v>582</v>
      </c>
      <c r="AA14" s="143">
        <v>582</v>
      </c>
      <c r="AB14" s="2458">
        <v>582</v>
      </c>
      <c r="AC14" s="208"/>
      <c r="AD14" s="208"/>
      <c r="AE14" s="208"/>
      <c r="AF14" s="208"/>
      <c r="AG14" s="208"/>
      <c r="AH14" s="211"/>
      <c r="BB14" s="293" t="str">
        <f>IFERROR((BD14)/(BE14),"")</f>
        <v/>
      </c>
      <c r="BC14" s="68" t="str">
        <f t="shared" si="8"/>
        <v>HVAC RES 20 Year EUL</v>
      </c>
      <c r="BD14" s="655">
        <f>(INDEX('Avoided Cost Benefits'!$C$4:$C$857,MATCH(BC14,'Avoided Cost Benefits'!$A$4:$A$857,0)))*F14</f>
        <v>692.80298510345756</v>
      </c>
      <c r="BE14" s="73">
        <f t="shared" si="2"/>
        <v>0</v>
      </c>
    </row>
    <row r="15" spans="1:57" x14ac:dyDescent="0.25">
      <c r="A15" s="1393" t="str">
        <f t="shared" si="0"/>
        <v>350300_2019_12_HVAC RES</v>
      </c>
      <c r="B15" s="1698"/>
      <c r="C15" s="1658" t="s">
        <v>1073</v>
      </c>
      <c r="D15" s="1658" t="s">
        <v>740</v>
      </c>
      <c r="E15" s="3045" t="s">
        <v>1074</v>
      </c>
      <c r="F15" s="651">
        <f t="shared" si="3"/>
        <v>582</v>
      </c>
      <c r="G15" s="3045" t="s">
        <v>877</v>
      </c>
      <c r="H15" s="202">
        <f>VLOOKUP(G15,'CP FACTORS'!$A$3:$B$38, 2, FALSE)</f>
        <v>4.6608050000000002E-4</v>
      </c>
      <c r="I15" s="1088">
        <f t="shared" si="4"/>
        <v>264.14545423487061</v>
      </c>
      <c r="J15" s="1659">
        <f t="shared" si="5"/>
        <v>31.133309957924254</v>
      </c>
      <c r="K15" s="3172">
        <v>0</v>
      </c>
      <c r="L15" s="3172">
        <f t="shared" si="10"/>
        <v>286.72123580720518</v>
      </c>
      <c r="M15" s="652">
        <f t="shared" si="9"/>
        <v>0.27125899999999997</v>
      </c>
      <c r="N15" s="1414">
        <f t="shared" si="6"/>
        <v>6</v>
      </c>
      <c r="O15" s="1415">
        <f t="shared" si="7"/>
        <v>74.327224020150311</v>
      </c>
      <c r="P15" s="1658" t="s">
        <v>37</v>
      </c>
      <c r="Q15" s="298"/>
      <c r="V15" s="2309" t="s">
        <v>20</v>
      </c>
      <c r="W15" s="208">
        <v>3255.9033206791182</v>
      </c>
      <c r="X15" s="653">
        <v>3283.7987309503033</v>
      </c>
      <c r="Y15" s="146">
        <v>582</v>
      </c>
      <c r="Z15" s="143">
        <v>582</v>
      </c>
      <c r="AA15" s="143">
        <v>582</v>
      </c>
      <c r="AB15" s="2458">
        <v>582</v>
      </c>
      <c r="AC15" s="208"/>
      <c r="AD15" s="208"/>
      <c r="AE15" s="208"/>
      <c r="AF15" s="208"/>
      <c r="AG15" s="208"/>
      <c r="AH15" s="211"/>
      <c r="BB15" s="293">
        <f>(BD15+BD16)/(BE15+BE16)</f>
        <v>9.106187302806509</v>
      </c>
      <c r="BC15" s="656" t="str">
        <f t="shared" si="8"/>
        <v>HVAC RES 6 Year EUL</v>
      </c>
      <c r="BD15" s="655">
        <f>(INDEX('Avoided Cost Benefits'!$C$4:$C$857,MATCH(BC15,'Avoided Cost Benefits'!$A$4:$A$857,0)))*F15</f>
        <v>214.66614365077814</v>
      </c>
      <c r="BE15" s="73">
        <f t="shared" si="2"/>
        <v>70.153113751911562</v>
      </c>
    </row>
    <row r="16" spans="1:57" x14ac:dyDescent="0.25">
      <c r="A16" s="1393" t="str">
        <f t="shared" si="0"/>
        <v>350300_2019_12_HVAC RES ER2</v>
      </c>
      <c r="B16" s="1698"/>
      <c r="C16" s="1658" t="s">
        <v>1073</v>
      </c>
      <c r="D16" s="1658" t="s">
        <v>740</v>
      </c>
      <c r="E16" s="3045" t="s">
        <v>1075</v>
      </c>
      <c r="F16" s="651">
        <f t="shared" si="3"/>
        <v>582</v>
      </c>
      <c r="G16" s="3045" t="str">
        <f>'CP FACTORS'!$A$17</f>
        <v>HVAC RES ER2</v>
      </c>
      <c r="H16" s="202">
        <f>VLOOKUP(G16,'CP FACTORS'!$A$3:$B$38, 2, FALSE)</f>
        <v>4.6608050000000002E-4</v>
      </c>
      <c r="I16" s="1088">
        <f t="shared" si="4"/>
        <v>264.14545423487061</v>
      </c>
      <c r="J16" s="1659">
        <f t="shared" si="5"/>
        <v>31.133309957924254</v>
      </c>
      <c r="K16" s="3172">
        <v>0</v>
      </c>
      <c r="L16" s="3172">
        <f t="shared" si="10"/>
        <v>286.72123580720518</v>
      </c>
      <c r="M16" s="652">
        <f t="shared" si="9"/>
        <v>0.27125899999999997</v>
      </c>
      <c r="N16" s="1414">
        <f t="shared" si="6"/>
        <v>12</v>
      </c>
      <c r="O16" s="1415">
        <f t="shared" si="7"/>
        <v>0</v>
      </c>
      <c r="P16" s="1658" t="s">
        <v>37</v>
      </c>
      <c r="Q16" s="298"/>
      <c r="V16" s="2309" t="s">
        <v>20</v>
      </c>
      <c r="W16" s="208">
        <v>3255.9033206791182</v>
      </c>
      <c r="X16" s="653">
        <v>3283.7987309503033</v>
      </c>
      <c r="Y16" s="146">
        <v>582</v>
      </c>
      <c r="Z16" s="143">
        <v>582</v>
      </c>
      <c r="AA16" s="143">
        <v>582</v>
      </c>
      <c r="AB16" s="2458">
        <v>582</v>
      </c>
      <c r="AC16" s="208"/>
      <c r="AD16" s="208"/>
      <c r="AE16" s="208"/>
      <c r="AF16" s="208"/>
      <c r="AG16" s="208"/>
      <c r="AH16" s="211"/>
      <c r="BB16" s="291"/>
      <c r="BC16" s="72" t="str">
        <f t="shared" si="8"/>
        <v>HVAC RES ER2 12 Year EUL</v>
      </c>
      <c r="BD16" s="655">
        <f>(INDEX('Avoided Cost Benefits'!$C$4:$C$857,MATCH(BC16,'Avoided Cost Benefits'!$A$4:$A$857,0)))*F16</f>
        <v>424.16125004921963</v>
      </c>
      <c r="BE16" s="73">
        <f t="shared" si="2"/>
        <v>0</v>
      </c>
    </row>
    <row r="17" spans="1:57" x14ac:dyDescent="0.25">
      <c r="A17" s="1393" t="str">
        <f t="shared" si="0"/>
        <v>350350_2019_12_HVAC RES</v>
      </c>
      <c r="B17" s="1698"/>
      <c r="C17" s="1658" t="s">
        <v>1076</v>
      </c>
      <c r="D17" s="1658" t="s">
        <v>742</v>
      </c>
      <c r="E17" s="3045" t="s">
        <v>1077</v>
      </c>
      <c r="F17" s="651">
        <f t="shared" si="3"/>
        <v>582</v>
      </c>
      <c r="G17" s="3045" t="s">
        <v>877</v>
      </c>
      <c r="H17" s="202">
        <f>VLOOKUP(G17,'CP FACTORS'!$A$3:$B$38, 2, FALSE)</f>
        <v>4.6608050000000002E-4</v>
      </c>
      <c r="I17" s="1088">
        <f t="shared" si="4"/>
        <v>264.14545423487061</v>
      </c>
      <c r="J17" s="1659">
        <f t="shared" si="5"/>
        <v>31.133309957924254</v>
      </c>
      <c r="K17" s="3172">
        <v>0</v>
      </c>
      <c r="L17" s="3172">
        <f t="shared" si="10"/>
        <v>286.72123580720518</v>
      </c>
      <c r="M17" s="652">
        <f t="shared" si="9"/>
        <v>0.27125899999999997</v>
      </c>
      <c r="N17" s="1414">
        <f t="shared" si="6"/>
        <v>6</v>
      </c>
      <c r="O17" s="1415">
        <f t="shared" si="7"/>
        <v>74.327224020150311</v>
      </c>
      <c r="P17" s="1658" t="s">
        <v>37</v>
      </c>
      <c r="Q17" s="298"/>
      <c r="V17" s="2309" t="s">
        <v>20</v>
      </c>
      <c r="W17" s="208">
        <v>3255.9033206791182</v>
      </c>
      <c r="X17" s="653">
        <v>3283.7987309503033</v>
      </c>
      <c r="Y17" s="146">
        <v>582</v>
      </c>
      <c r="Z17" s="143">
        <v>582</v>
      </c>
      <c r="AA17" s="143">
        <v>582</v>
      </c>
      <c r="AB17" s="2458">
        <v>582</v>
      </c>
      <c r="AC17" s="208"/>
      <c r="AD17" s="208"/>
      <c r="AE17" s="208"/>
      <c r="AF17" s="208"/>
      <c r="AG17" s="208"/>
      <c r="AH17" s="211"/>
      <c r="BB17" s="293">
        <f>(BD17+BD18)/(BE17+BE18)</f>
        <v>9.106187302806509</v>
      </c>
      <c r="BC17" s="656" t="str">
        <f t="shared" si="8"/>
        <v>HVAC RES 6 Year EUL</v>
      </c>
      <c r="BD17" s="655">
        <f>(INDEX('Avoided Cost Benefits'!$C$4:$C$857,MATCH(BC17,'Avoided Cost Benefits'!$A$4:$A$857,0)))*F17</f>
        <v>214.66614365077814</v>
      </c>
      <c r="BE17" s="73">
        <f t="shared" si="2"/>
        <v>70.153113751911562</v>
      </c>
    </row>
    <row r="18" spans="1:57" x14ac:dyDescent="0.25">
      <c r="A18" s="1393" t="str">
        <f t="shared" si="0"/>
        <v>350350_2019_12_HVAC RES ER2</v>
      </c>
      <c r="B18" s="1359"/>
      <c r="C18" s="1658" t="s">
        <v>1076</v>
      </c>
      <c r="D18" s="1658" t="s">
        <v>742</v>
      </c>
      <c r="E18" s="3045" t="s">
        <v>1078</v>
      </c>
      <c r="F18" s="651">
        <f t="shared" si="3"/>
        <v>582</v>
      </c>
      <c r="G18" s="3045" t="str">
        <f>'CP FACTORS'!$A$17</f>
        <v>HVAC RES ER2</v>
      </c>
      <c r="H18" s="202">
        <f>VLOOKUP(G18,'CP FACTORS'!$A$3:$B$38, 2, FALSE)</f>
        <v>4.6608050000000002E-4</v>
      </c>
      <c r="I18" s="1088">
        <f t="shared" si="4"/>
        <v>264.14545423487061</v>
      </c>
      <c r="J18" s="1659">
        <f t="shared" si="5"/>
        <v>31.133309957924254</v>
      </c>
      <c r="K18" s="3172">
        <v>0</v>
      </c>
      <c r="L18" s="3172">
        <f t="shared" si="10"/>
        <v>286.72123580720518</v>
      </c>
      <c r="M18" s="652">
        <f t="shared" si="9"/>
        <v>0.27125899999999997</v>
      </c>
      <c r="N18" s="1414">
        <f t="shared" si="6"/>
        <v>12</v>
      </c>
      <c r="O18" s="1415">
        <f t="shared" si="7"/>
        <v>0</v>
      </c>
      <c r="P18" s="1658" t="s">
        <v>37</v>
      </c>
      <c r="Q18" s="298"/>
      <c r="V18" s="2309" t="s">
        <v>20</v>
      </c>
      <c r="W18" s="208">
        <v>3255.9033206791182</v>
      </c>
      <c r="X18" s="653">
        <v>3283.7987309503033</v>
      </c>
      <c r="Y18" s="146">
        <v>582</v>
      </c>
      <c r="Z18" s="143">
        <v>582</v>
      </c>
      <c r="AA18" s="143">
        <v>582</v>
      </c>
      <c r="AB18" s="2458">
        <v>582</v>
      </c>
      <c r="AC18" s="208"/>
      <c r="AD18" s="208"/>
      <c r="AE18" s="208"/>
      <c r="AF18" s="208"/>
      <c r="AG18" s="208"/>
      <c r="AH18" s="211"/>
      <c r="BB18" s="295"/>
      <c r="BC18" s="72" t="str">
        <f>CONCATENATE(G18," ",N18," Year EUL")</f>
        <v>HVAC RES ER2 12 Year EUL</v>
      </c>
      <c r="BD18" s="657">
        <f>(INDEX('Avoided Cost Benefits'!$C$4:$C$857,MATCH(BC18,'Avoided Cost Benefits'!$A$4:$A$857,0)))*F18</f>
        <v>424.16125004921963</v>
      </c>
      <c r="BE18" s="75">
        <f t="shared" si="2"/>
        <v>0</v>
      </c>
    </row>
    <row r="19" spans="1:57" outlineLevel="1" x14ac:dyDescent="0.25">
      <c r="B19" s="1359"/>
      <c r="C19" s="296" t="s">
        <v>3616</v>
      </c>
      <c r="D19" s="296"/>
      <c r="E19" s="1332"/>
      <c r="F19" s="1700"/>
      <c r="G19" s="1332"/>
      <c r="H19" s="1136"/>
      <c r="I19" s="1136"/>
      <c r="J19" s="1136"/>
      <c r="K19" s="1136"/>
      <c r="L19" s="1136"/>
      <c r="M19" s="1136"/>
      <c r="N19" s="1701"/>
      <c r="O19" s="1136"/>
      <c r="P19" s="1136"/>
      <c r="Q19" s="298"/>
      <c r="R19" s="298"/>
      <c r="S19" s="648"/>
      <c r="T19" s="648"/>
      <c r="U19" s="648"/>
      <c r="V19" s="648"/>
      <c r="W19" s="485"/>
      <c r="X19" s="648"/>
      <c r="Y19" s="485"/>
      <c r="Z19" s="485"/>
      <c r="AA19" s="485"/>
      <c r="AB19" s="485"/>
      <c r="BC19" s="658"/>
      <c r="BE19" s="659"/>
    </row>
    <row r="20" spans="1:57" ht="19.5" customHeight="1" outlineLevel="1" x14ac:dyDescent="0.25">
      <c r="B20" s="1359"/>
      <c r="C20" s="274"/>
      <c r="D20" s="222" t="s">
        <v>571</v>
      </c>
      <c r="E20" s="1332"/>
      <c r="F20" s="1700"/>
      <c r="G20" s="1332"/>
      <c r="H20" s="1136"/>
      <c r="I20" s="1136"/>
      <c r="J20" s="1136"/>
      <c r="K20" s="1136"/>
      <c r="L20" s="1136"/>
      <c r="M20" s="1136"/>
      <c r="N20" s="1701"/>
      <c r="O20" s="1136"/>
      <c r="P20" s="1136"/>
      <c r="Q20" s="298"/>
      <c r="R20" s="298"/>
      <c r="S20" s="648"/>
      <c r="T20" s="648"/>
      <c r="U20" s="648"/>
      <c r="V20" s="648"/>
      <c r="W20" s="485"/>
      <c r="X20" s="485"/>
      <c r="Y20" s="485"/>
      <c r="Z20" s="485"/>
      <c r="AA20" s="485"/>
      <c r="AB20" s="485"/>
      <c r="BC20" s="658"/>
      <c r="BE20" s="659"/>
    </row>
    <row r="21" spans="1:57" s="2277" customFormat="1" ht="19.5" customHeight="1" outlineLevel="1" x14ac:dyDescent="0.25">
      <c r="A21" s="1393"/>
      <c r="B21" s="1359"/>
      <c r="C21" s="274"/>
      <c r="D21" s="274"/>
      <c r="E21" s="1332"/>
      <c r="F21" s="1700"/>
      <c r="G21" s="1332"/>
      <c r="H21" s="1136"/>
      <c r="I21" s="1136"/>
      <c r="J21" s="1136"/>
      <c r="K21" s="1136"/>
      <c r="L21" s="1136"/>
      <c r="M21" s="1136"/>
      <c r="N21" s="1701"/>
      <c r="O21" s="1136"/>
      <c r="P21" s="1136"/>
      <c r="Q21" s="298"/>
      <c r="R21" s="298"/>
      <c r="S21" s="648"/>
      <c r="T21" s="648"/>
      <c r="U21" s="648"/>
      <c r="V21" s="648"/>
      <c r="W21" s="485"/>
      <c r="X21" s="485"/>
      <c r="Y21" s="485"/>
      <c r="Z21" s="485"/>
      <c r="AA21" s="485"/>
      <c r="AB21" s="485"/>
      <c r="BB21" s="647"/>
      <c r="BC21" s="658"/>
      <c r="BD21" s="649"/>
      <c r="BE21" s="659"/>
    </row>
    <row r="22" spans="1:57" s="2277" customFormat="1" ht="19.5" customHeight="1" outlineLevel="1" x14ac:dyDescent="0.25">
      <c r="A22" s="1393"/>
      <c r="B22" s="1359"/>
      <c r="C22" s="274"/>
      <c r="D22" s="274"/>
      <c r="E22" s="1332"/>
      <c r="F22" s="1700"/>
      <c r="G22" s="1332"/>
      <c r="H22" s="1136"/>
      <c r="I22" s="1136"/>
      <c r="J22" s="1136"/>
      <c r="K22" s="1136"/>
      <c r="L22" s="1136"/>
      <c r="M22" s="1136"/>
      <c r="N22" s="1701"/>
      <c r="O22" s="1136"/>
      <c r="P22" s="1136"/>
      <c r="Q22" s="298"/>
      <c r="R22" s="298"/>
      <c r="S22" s="648"/>
      <c r="T22" s="648"/>
      <c r="U22" s="648"/>
      <c r="V22" s="648"/>
      <c r="W22" s="485"/>
      <c r="X22" s="485"/>
      <c r="Y22" s="485"/>
      <c r="Z22" s="485"/>
      <c r="AA22" s="485"/>
      <c r="AB22" s="485"/>
      <c r="BB22" s="647"/>
      <c r="BC22" s="658"/>
      <c r="BD22" s="649"/>
      <c r="BE22" s="659"/>
    </row>
    <row r="23" spans="1:57" s="2277" customFormat="1" ht="19.5" customHeight="1" outlineLevel="1" x14ac:dyDescent="0.25">
      <c r="A23" s="1393"/>
      <c r="B23" s="1359"/>
      <c r="C23" s="274"/>
      <c r="D23" s="274"/>
      <c r="E23" s="1332"/>
      <c r="F23" s="1700"/>
      <c r="G23" s="1332"/>
      <c r="H23" s="1136"/>
      <c r="I23" s="1136"/>
      <c r="J23" s="1136"/>
      <c r="K23" s="1136"/>
      <c r="L23" s="1136"/>
      <c r="M23" s="1136"/>
      <c r="N23" s="1701"/>
      <c r="O23" s="1136"/>
      <c r="P23" s="1136"/>
      <c r="Q23" s="298"/>
      <c r="R23" s="298"/>
      <c r="S23" s="648"/>
      <c r="T23" s="648"/>
      <c r="U23" s="648"/>
      <c r="V23" s="648"/>
      <c r="W23" s="485"/>
      <c r="X23" s="485"/>
      <c r="Y23" s="485"/>
      <c r="Z23" s="485"/>
      <c r="AA23" s="485"/>
      <c r="AB23" s="485"/>
      <c r="BB23" s="647"/>
      <c r="BC23" s="658"/>
      <c r="BD23" s="649"/>
      <c r="BE23" s="659"/>
    </row>
    <row r="24" spans="1:57" ht="19.5" customHeight="1" outlineLevel="1" x14ac:dyDescent="0.4">
      <c r="B24" s="1359"/>
      <c r="C24" s="274"/>
      <c r="D24" s="274"/>
      <c r="E24" s="1332"/>
      <c r="F24" s="1700"/>
      <c r="G24" s="1332"/>
      <c r="H24" s="1136"/>
      <c r="I24" s="1136"/>
      <c r="J24" s="1136"/>
      <c r="K24" s="1136"/>
      <c r="L24" s="1136"/>
      <c r="M24" s="1136"/>
      <c r="N24" s="1701"/>
      <c r="O24" s="1136"/>
      <c r="P24" s="1136"/>
      <c r="Q24" s="298"/>
      <c r="R24" s="298"/>
      <c r="S24" s="1702"/>
      <c r="T24" s="1703"/>
      <c r="U24" s="1703"/>
      <c r="V24" s="1703"/>
      <c r="W24" s="660"/>
      <c r="X24" s="660"/>
      <c r="Y24" s="660"/>
      <c r="Z24" s="660"/>
      <c r="AA24" s="661"/>
      <c r="AB24" s="661"/>
      <c r="AC24" s="662"/>
      <c r="BC24" s="658"/>
      <c r="BE24" s="659"/>
    </row>
    <row r="25" spans="1:57" ht="19.5" customHeight="1" outlineLevel="1" x14ac:dyDescent="0.45">
      <c r="B25" s="1359"/>
      <c r="C25" s="274"/>
      <c r="D25" s="274"/>
      <c r="E25" s="1332"/>
      <c r="F25" s="1700"/>
      <c r="G25" s="1332"/>
      <c r="H25" s="1136"/>
      <c r="I25" s="1136"/>
      <c r="J25" s="1136"/>
      <c r="K25" s="1136"/>
      <c r="L25" s="1136"/>
      <c r="M25" s="1136"/>
      <c r="N25" s="1701"/>
      <c r="O25" s="1136"/>
      <c r="P25" s="1136"/>
      <c r="Q25" s="298"/>
      <c r="R25" s="298"/>
      <c r="S25" s="1702"/>
      <c r="T25" s="1704"/>
      <c r="U25" s="1704"/>
      <c r="V25" s="1704"/>
      <c r="W25" s="663"/>
      <c r="X25" s="663"/>
      <c r="Y25" s="663"/>
      <c r="Z25" s="663"/>
      <c r="AA25" s="485"/>
      <c r="AB25" s="485"/>
      <c r="BC25" s="658"/>
      <c r="BE25" s="659"/>
    </row>
    <row r="26" spans="1:57" ht="19.5" customHeight="1" outlineLevel="1" x14ac:dyDescent="0.45">
      <c r="B26" s="1359"/>
      <c r="C26" s="274"/>
      <c r="D26" s="492"/>
      <c r="E26" s="1332"/>
      <c r="F26" s="1700"/>
      <c r="G26" s="1332"/>
      <c r="H26" s="1136"/>
      <c r="I26" s="1136"/>
      <c r="J26" s="1136"/>
      <c r="K26" s="1136"/>
      <c r="L26" s="1136"/>
      <c r="M26" s="1136"/>
      <c r="N26" s="1701"/>
      <c r="O26" s="1136"/>
      <c r="P26" s="1136"/>
      <c r="Q26" s="298"/>
      <c r="R26" s="298"/>
      <c r="S26" s="1702"/>
      <c r="T26" s="1704"/>
      <c r="U26" s="1704"/>
      <c r="V26" s="1704"/>
      <c r="W26" s="663"/>
      <c r="X26" s="663"/>
      <c r="Y26" s="663"/>
      <c r="Z26" s="663"/>
      <c r="AA26" s="485"/>
      <c r="AB26" s="485"/>
      <c r="BC26" s="658"/>
      <c r="BE26" s="659"/>
    </row>
    <row r="27" spans="1:57" s="2277" customFormat="1" ht="19.5" customHeight="1" outlineLevel="1" x14ac:dyDescent="0.45">
      <c r="A27" s="1393"/>
      <c r="B27" s="1359"/>
      <c r="C27" s="274"/>
      <c r="D27" s="492"/>
      <c r="E27" s="1332"/>
      <c r="F27" s="1700"/>
      <c r="G27" s="1332"/>
      <c r="H27" s="1136"/>
      <c r="I27" s="1136"/>
      <c r="J27" s="1136"/>
      <c r="K27" s="1136"/>
      <c r="L27" s="1136"/>
      <c r="M27" s="1136"/>
      <c r="N27" s="1701"/>
      <c r="O27" s="1136"/>
      <c r="P27" s="1136"/>
      <c r="Q27" s="298"/>
      <c r="R27" s="298"/>
      <c r="S27" s="1702"/>
      <c r="T27" s="1704"/>
      <c r="U27" s="1704"/>
      <c r="V27" s="1704"/>
      <c r="W27" s="663"/>
      <c r="X27" s="663"/>
      <c r="Y27" s="663"/>
      <c r="Z27" s="663"/>
      <c r="AA27" s="485"/>
      <c r="AB27" s="485"/>
      <c r="BB27" s="647"/>
      <c r="BC27" s="658"/>
      <c r="BD27" s="649"/>
      <c r="BE27" s="659"/>
    </row>
    <row r="28" spans="1:57" s="2277" customFormat="1" ht="19.5" customHeight="1" outlineLevel="1" x14ac:dyDescent="0.45">
      <c r="A28" s="1393"/>
      <c r="B28" s="1359"/>
      <c r="C28" s="274"/>
      <c r="D28" s="492"/>
      <c r="E28" s="1332"/>
      <c r="F28" s="1700"/>
      <c r="G28" s="1332"/>
      <c r="H28" s="1136"/>
      <c r="I28" s="1136"/>
      <c r="J28" s="1136"/>
      <c r="K28" s="1136"/>
      <c r="L28" s="1136"/>
      <c r="M28" s="1136"/>
      <c r="N28" s="1701"/>
      <c r="O28" s="1136"/>
      <c r="P28" s="1136"/>
      <c r="Q28" s="298"/>
      <c r="R28" s="298"/>
      <c r="S28" s="1702"/>
      <c r="T28" s="1704"/>
      <c r="U28" s="1704"/>
      <c r="V28" s="1704"/>
      <c r="W28" s="663"/>
      <c r="X28" s="663"/>
      <c r="Y28" s="663"/>
      <c r="Z28" s="663"/>
      <c r="AA28" s="485"/>
      <c r="AB28" s="485"/>
      <c r="BB28" s="647"/>
      <c r="BC28" s="658"/>
      <c r="BD28" s="649"/>
      <c r="BE28" s="659"/>
    </row>
    <row r="29" spans="1:57" s="2277" customFormat="1" ht="19.5" customHeight="1" outlineLevel="1" x14ac:dyDescent="0.45">
      <c r="A29" s="1393"/>
      <c r="B29" s="1359"/>
      <c r="C29" s="274"/>
      <c r="D29" s="492"/>
      <c r="E29" s="1332"/>
      <c r="F29" s="1700"/>
      <c r="G29" s="1332"/>
      <c r="H29" s="1136"/>
      <c r="I29" s="1136"/>
      <c r="J29" s="1136"/>
      <c r="K29" s="1136"/>
      <c r="L29" s="1136"/>
      <c r="M29" s="1136"/>
      <c r="N29" s="1701"/>
      <c r="O29" s="1136"/>
      <c r="P29" s="1136"/>
      <c r="Q29" s="298"/>
      <c r="R29" s="298"/>
      <c r="S29" s="1702"/>
      <c r="T29" s="1704"/>
      <c r="U29" s="1704"/>
      <c r="V29" s="1704"/>
      <c r="W29" s="663"/>
      <c r="X29" s="663"/>
      <c r="Y29" s="663"/>
      <c r="Z29" s="663"/>
      <c r="AA29" s="485"/>
      <c r="AB29" s="485"/>
      <c r="BB29" s="647"/>
      <c r="BC29" s="658"/>
      <c r="BD29" s="649"/>
      <c r="BE29" s="659"/>
    </row>
    <row r="30" spans="1:57" s="2277" customFormat="1" ht="19.5" customHeight="1" outlineLevel="1" x14ac:dyDescent="0.45">
      <c r="A30" s="1393"/>
      <c r="B30" s="1359"/>
      <c r="C30" s="274"/>
      <c r="D30" s="492"/>
      <c r="E30" s="1332"/>
      <c r="F30" s="1700"/>
      <c r="G30" s="1332"/>
      <c r="H30" s="1136"/>
      <c r="I30" s="1136"/>
      <c r="J30" s="1136"/>
      <c r="K30" s="1136"/>
      <c r="L30" s="1136"/>
      <c r="M30" s="1136"/>
      <c r="N30" s="1701"/>
      <c r="O30" s="1136"/>
      <c r="P30" s="1136"/>
      <c r="Q30" s="298"/>
      <c r="R30" s="298"/>
      <c r="S30" s="1702"/>
      <c r="T30" s="1704"/>
      <c r="U30" s="1704"/>
      <c r="V30" s="1704"/>
      <c r="W30" s="663"/>
      <c r="X30" s="663"/>
      <c r="Y30" s="663"/>
      <c r="Z30" s="663"/>
      <c r="AA30" s="485"/>
      <c r="AB30" s="485"/>
      <c r="BB30" s="647"/>
      <c r="BC30" s="658"/>
      <c r="BD30" s="649"/>
      <c r="BE30" s="659"/>
    </row>
    <row r="31" spans="1:57" ht="19.5" customHeight="1" outlineLevel="1" x14ac:dyDescent="0.35">
      <c r="B31" s="1359"/>
      <c r="C31" s="274"/>
      <c r="D31" s="492"/>
      <c r="E31" s="1332"/>
      <c r="F31" s="1700"/>
      <c r="G31" s="1332"/>
      <c r="H31" s="1136"/>
      <c r="I31" s="1136"/>
      <c r="J31" s="1136"/>
      <c r="K31" s="1136"/>
      <c r="L31" s="1136"/>
      <c r="M31" s="1136"/>
      <c r="N31" s="1701"/>
      <c r="O31" s="1136"/>
      <c r="P31" s="1136"/>
      <c r="Q31" s="298"/>
      <c r="R31" s="298"/>
      <c r="S31" s="1702"/>
      <c r="T31" s="648"/>
      <c r="U31" s="648"/>
      <c r="V31" s="648"/>
      <c r="W31" s="485"/>
      <c r="X31" s="485"/>
      <c r="Y31" s="485"/>
      <c r="Z31" s="485"/>
      <c r="AA31" s="485"/>
      <c r="AB31" s="485"/>
      <c r="BC31" s="658"/>
      <c r="BE31" s="659"/>
    </row>
    <row r="32" spans="1:57" ht="19.5" customHeight="1" outlineLevel="1" x14ac:dyDescent="0.25">
      <c r="B32" s="1359"/>
      <c r="C32" s="274"/>
      <c r="D32" s="492"/>
      <c r="E32" s="1332"/>
      <c r="F32" s="1700"/>
      <c r="G32" s="1332"/>
      <c r="H32" s="1136"/>
      <c r="I32" s="1136"/>
      <c r="J32" s="1136"/>
      <c r="K32" s="1136"/>
      <c r="L32" s="1136"/>
      <c r="M32" s="1136"/>
      <c r="N32" s="1701"/>
      <c r="O32" s="1136"/>
      <c r="P32" s="1136"/>
      <c r="Q32" s="298"/>
      <c r="R32" s="298"/>
      <c r="BC32" s="658"/>
      <c r="BE32" s="659"/>
    </row>
    <row r="33" spans="2:57" ht="19.5" customHeight="1" outlineLevel="1" x14ac:dyDescent="0.25">
      <c r="B33" s="1359"/>
      <c r="C33" s="274"/>
      <c r="D33" s="492"/>
      <c r="E33" s="1332"/>
      <c r="F33" s="1700"/>
      <c r="G33" s="1332"/>
      <c r="H33" s="1136"/>
      <c r="I33" s="1136"/>
      <c r="J33" s="1136"/>
      <c r="K33" s="1136"/>
      <c r="L33" s="1136"/>
      <c r="M33" s="1136"/>
      <c r="N33" s="1701"/>
      <c r="O33" s="1136"/>
      <c r="P33" s="1136"/>
      <c r="Q33" s="298"/>
      <c r="R33" s="298"/>
      <c r="BC33" s="658"/>
      <c r="BE33" s="659"/>
    </row>
    <row r="34" spans="2:57" ht="19.5" customHeight="1" outlineLevel="1" x14ac:dyDescent="0.25">
      <c r="B34" s="1359"/>
      <c r="C34" s="274"/>
      <c r="D34" s="492"/>
      <c r="E34" s="1332"/>
      <c r="F34" s="1700"/>
      <c r="G34" s="1332"/>
      <c r="H34" s="1136"/>
      <c r="I34" s="1136"/>
      <c r="J34" s="1136"/>
      <c r="K34" s="1136"/>
      <c r="L34" s="1136"/>
      <c r="M34" s="1136"/>
      <c r="N34" s="1701"/>
      <c r="O34" s="1136"/>
      <c r="P34" s="1136"/>
      <c r="Q34" s="298"/>
      <c r="R34" s="298"/>
      <c r="BC34" s="658"/>
      <c r="BE34" s="659"/>
    </row>
    <row r="35" spans="2:57" ht="19.5" customHeight="1" outlineLevel="1" x14ac:dyDescent="0.25">
      <c r="B35" s="1359"/>
      <c r="C35" s="274"/>
      <c r="D35" s="492"/>
      <c r="E35" s="1332"/>
      <c r="F35" s="1700"/>
      <c r="G35" s="1332"/>
      <c r="H35" s="1136"/>
      <c r="I35" s="1136"/>
      <c r="J35" s="1136"/>
      <c r="K35" s="1136"/>
      <c r="L35" s="1136"/>
      <c r="M35" s="1136"/>
      <c r="N35" s="1701"/>
      <c r="O35" s="1136"/>
      <c r="P35" s="1136"/>
      <c r="Q35" s="298"/>
      <c r="R35" s="298"/>
      <c r="BC35" s="658"/>
      <c r="BE35" s="659"/>
    </row>
    <row r="36" spans="2:57" ht="19.5" customHeight="1" outlineLevel="1" x14ac:dyDescent="0.25">
      <c r="B36" s="1359"/>
      <c r="C36" s="274"/>
      <c r="D36" s="492"/>
      <c r="E36" s="1332"/>
      <c r="F36" s="1700"/>
      <c r="G36" s="1332"/>
      <c r="H36" s="1136"/>
      <c r="I36" s="1136"/>
      <c r="J36" s="1136"/>
      <c r="K36" s="1136"/>
      <c r="L36" s="1136"/>
      <c r="M36" s="1136"/>
      <c r="N36" s="1701"/>
      <c r="O36" s="1136"/>
      <c r="P36" s="1136"/>
      <c r="Q36" s="298"/>
      <c r="R36" s="298"/>
      <c r="BC36" s="658"/>
      <c r="BE36" s="659"/>
    </row>
    <row r="37" spans="2:57" ht="21" customHeight="1" outlineLevel="1" x14ac:dyDescent="0.25">
      <c r="B37" s="1359"/>
      <c r="C37" s="274"/>
      <c r="D37" s="492"/>
      <c r="E37" s="1332"/>
      <c r="F37" s="1700"/>
      <c r="G37" s="1332"/>
      <c r="H37" s="1136"/>
      <c r="I37" s="1136"/>
      <c r="J37" s="1136"/>
      <c r="K37" s="1136"/>
      <c r="L37" s="1136"/>
      <c r="M37" s="1136"/>
      <c r="N37" s="1701"/>
      <c r="O37" s="1136"/>
      <c r="P37" s="1136"/>
      <c r="Q37" s="298"/>
      <c r="R37" s="298"/>
      <c r="BC37" s="658"/>
      <c r="BE37" s="659"/>
    </row>
    <row r="38" spans="2:57" ht="21" customHeight="1" outlineLevel="1" x14ac:dyDescent="0.25">
      <c r="B38" s="1359"/>
      <c r="C38" s="274"/>
      <c r="D38" s="296"/>
      <c r="E38" s="1332"/>
      <c r="F38" s="1136"/>
      <c r="G38" s="1332"/>
      <c r="H38" s="1136"/>
      <c r="I38" s="1136"/>
      <c r="J38" s="1136"/>
      <c r="K38" s="1136"/>
      <c r="L38" s="1136"/>
      <c r="M38" s="1136"/>
      <c r="N38" s="1701"/>
      <c r="O38" s="1136"/>
      <c r="P38" s="1136"/>
      <c r="Q38" s="298"/>
      <c r="R38" s="298"/>
      <c r="BC38" s="658"/>
      <c r="BE38" s="659"/>
    </row>
    <row r="39" spans="2:57" ht="15.75" outlineLevel="1" thickBot="1" x14ac:dyDescent="0.3">
      <c r="B39" s="1359"/>
      <c r="C39" s="274"/>
      <c r="D39" s="440" t="s">
        <v>572</v>
      </c>
      <c r="E39" s="440" t="s">
        <v>573</v>
      </c>
      <c r="F39" s="3594" t="s">
        <v>623</v>
      </c>
      <c r="G39" s="3594"/>
      <c r="H39" s="3594"/>
      <c r="I39" s="1420" t="s">
        <v>574</v>
      </c>
      <c r="J39" s="1420" t="s">
        <v>624</v>
      </c>
      <c r="K39" s="1420" t="s">
        <v>713</v>
      </c>
      <c r="L39" s="298"/>
      <c r="M39" s="298"/>
      <c r="N39" s="1007"/>
      <c r="O39" s="298"/>
      <c r="P39" s="298"/>
      <c r="Q39" s="298"/>
      <c r="R39" s="298"/>
      <c r="V39" s="623" t="s">
        <v>27</v>
      </c>
      <c r="W39" s="56">
        <v>43252</v>
      </c>
      <c r="X39" s="56">
        <f>$X$6</f>
        <v>43465</v>
      </c>
      <c r="Y39" s="56">
        <f>$Y$6</f>
        <v>43800</v>
      </c>
      <c r="Z39" s="56">
        <f>$Z$6</f>
        <v>43862</v>
      </c>
      <c r="AA39" s="56">
        <f>$AA$6</f>
        <v>44013</v>
      </c>
      <c r="AB39" s="56">
        <f>$AB$6</f>
        <v>44166</v>
      </c>
      <c r="AC39" s="56" t="str">
        <f>$AC$6</f>
        <v>-</v>
      </c>
      <c r="AD39" s="56" t="str">
        <f>$AD$6</f>
        <v>-</v>
      </c>
      <c r="AE39" s="56" t="str">
        <f>$AE$6</f>
        <v>-</v>
      </c>
      <c r="AF39" s="56" t="str">
        <f>$AF$6</f>
        <v>-</v>
      </c>
      <c r="AG39" s="56" t="str">
        <f>$AG$6</f>
        <v>-</v>
      </c>
      <c r="BC39" s="658"/>
      <c r="BE39" s="659"/>
    </row>
    <row r="40" spans="2:57" outlineLevel="1" x14ac:dyDescent="0.25">
      <c r="B40" s="1359"/>
      <c r="C40" s="274"/>
      <c r="D40" s="3597" t="s">
        <v>1079</v>
      </c>
      <c r="E40" s="3600" t="s">
        <v>1080</v>
      </c>
      <c r="F40" s="3605" t="str">
        <f t="shared" ref="F40:F51" si="11">E7</f>
        <v>ECM Auto Fan ROF-SF</v>
      </c>
      <c r="G40" s="3605"/>
      <c r="H40" s="3605"/>
      <c r="I40" s="664">
        <v>0.16336956521739129</v>
      </c>
      <c r="J40" s="665" t="s">
        <v>714</v>
      </c>
      <c r="K40" s="666" t="s">
        <v>1081</v>
      </c>
      <c r="L40" s="298"/>
      <c r="M40" s="298"/>
      <c r="N40" s="1007"/>
      <c r="O40" s="298"/>
      <c r="P40" s="298"/>
      <c r="Q40" s="298"/>
      <c r="R40" s="298"/>
      <c r="V40" s="3597" t="s">
        <v>1079</v>
      </c>
      <c r="W40" s="667">
        <v>0.16</v>
      </c>
      <c r="X40" s="667">
        <f>1759/10801</f>
        <v>0.16285529117674288</v>
      </c>
      <c r="Y40" s="668">
        <v>0.16336956521739129</v>
      </c>
      <c r="Z40" s="664">
        <v>0.16336956521739129</v>
      </c>
      <c r="AA40" s="664">
        <v>0.16336956521739129</v>
      </c>
      <c r="AB40" s="667">
        <v>0.16336956521739129</v>
      </c>
      <c r="AC40" s="667"/>
      <c r="AD40" s="667"/>
      <c r="AE40" s="667"/>
      <c r="AF40" s="667"/>
      <c r="AG40" s="667"/>
      <c r="BC40" s="658"/>
      <c r="BE40" s="659"/>
    </row>
    <row r="41" spans="2:57" outlineLevel="1" x14ac:dyDescent="0.25">
      <c r="B41" s="1359"/>
      <c r="C41" s="274"/>
      <c r="D41" s="3598"/>
      <c r="E41" s="3601"/>
      <c r="F41" s="3606" t="str">
        <f t="shared" si="11"/>
        <v>ECM Auto Fan ROF-MF</v>
      </c>
      <c r="G41" s="3606"/>
      <c r="H41" s="3606"/>
      <c r="I41" s="669">
        <f>I40</f>
        <v>0.16336956521739129</v>
      </c>
      <c r="J41" s="670" t="s">
        <v>714</v>
      </c>
      <c r="K41" s="671"/>
      <c r="L41" s="298"/>
      <c r="M41" s="298"/>
      <c r="N41" s="1007"/>
      <c r="O41" s="298"/>
      <c r="P41" s="298"/>
      <c r="Q41" s="298"/>
      <c r="R41" s="298"/>
      <c r="V41" s="3598"/>
      <c r="W41" s="125">
        <v>0.16</v>
      </c>
      <c r="X41" s="125">
        <f t="shared" ref="X41:X51" si="12">1759/10801</f>
        <v>0.16285529117674288</v>
      </c>
      <c r="Y41" s="672">
        <v>0.16336956521739129</v>
      </c>
      <c r="Z41" s="673">
        <v>0.16336956521739129</v>
      </c>
      <c r="AA41" s="673">
        <v>0.16336956521739129</v>
      </c>
      <c r="AB41" s="125">
        <v>0.16336956521739129</v>
      </c>
      <c r="AC41" s="125"/>
      <c r="AD41" s="125"/>
      <c r="AE41" s="125"/>
      <c r="AF41" s="125"/>
      <c r="AG41" s="125"/>
      <c r="BC41" s="658"/>
      <c r="BE41" s="659"/>
    </row>
    <row r="42" spans="2:57" outlineLevel="1" x14ac:dyDescent="0.25">
      <c r="B42" s="1359"/>
      <c r="C42" s="274"/>
      <c r="D42" s="3598"/>
      <c r="E42" s="3602"/>
      <c r="F42" s="3606" t="str">
        <f t="shared" si="11"/>
        <v>ECM Auto Fan ER1 - SF</v>
      </c>
      <c r="G42" s="3606"/>
      <c r="H42" s="3606"/>
      <c r="I42" s="673">
        <f t="shared" ref="I42:I51" si="13">I41</f>
        <v>0.16336956521739129</v>
      </c>
      <c r="J42" s="670" t="s">
        <v>714</v>
      </c>
      <c r="K42" s="674"/>
      <c r="L42" s="298"/>
      <c r="M42" s="298"/>
      <c r="N42" s="1007"/>
      <c r="O42" s="298"/>
      <c r="P42" s="298"/>
      <c r="Q42" s="298"/>
      <c r="R42" s="298"/>
      <c r="V42" s="3598"/>
      <c r="W42" s="125">
        <v>0.16</v>
      </c>
      <c r="X42" s="125">
        <f t="shared" si="12"/>
        <v>0.16285529117674288</v>
      </c>
      <c r="Y42" s="672">
        <v>0.16336956521739129</v>
      </c>
      <c r="Z42" s="673">
        <v>0.16336956521739129</v>
      </c>
      <c r="AA42" s="673">
        <v>0.16336956521739129</v>
      </c>
      <c r="AB42" s="125">
        <v>0.16336956521739129</v>
      </c>
      <c r="AC42" s="125"/>
      <c r="AD42" s="125"/>
      <c r="AE42" s="125"/>
      <c r="AF42" s="125"/>
      <c r="AG42" s="125"/>
      <c r="BC42" s="658"/>
      <c r="BE42" s="659"/>
    </row>
    <row r="43" spans="2:57" outlineLevel="1" x14ac:dyDescent="0.25">
      <c r="B43" s="1359"/>
      <c r="C43" s="274"/>
      <c r="D43" s="3598"/>
      <c r="E43" s="3602"/>
      <c r="F43" s="3606" t="str">
        <f t="shared" si="11"/>
        <v>ECM Auto Fan ER2 - SF</v>
      </c>
      <c r="G43" s="3606"/>
      <c r="H43" s="3606"/>
      <c r="I43" s="673">
        <f t="shared" si="13"/>
        <v>0.16336956521739129</v>
      </c>
      <c r="J43" s="670" t="s">
        <v>714</v>
      </c>
      <c r="K43" s="674"/>
      <c r="L43" s="298"/>
      <c r="M43" s="298"/>
      <c r="N43" s="1007"/>
      <c r="O43" s="298"/>
      <c r="P43" s="298"/>
      <c r="Q43" s="298"/>
      <c r="R43" s="298"/>
      <c r="V43" s="3598"/>
      <c r="W43" s="125">
        <v>0.16</v>
      </c>
      <c r="X43" s="126">
        <f t="shared" si="12"/>
        <v>0.16285529117674288</v>
      </c>
      <c r="Y43" s="672">
        <v>0.16336956521739129</v>
      </c>
      <c r="Z43" s="673">
        <v>0.16336956521739129</v>
      </c>
      <c r="AA43" s="673">
        <v>0.16336956521739129</v>
      </c>
      <c r="AB43" s="125">
        <v>0.16336956521739129</v>
      </c>
      <c r="AC43" s="125"/>
      <c r="AD43" s="125"/>
      <c r="AE43" s="125"/>
      <c r="AF43" s="125"/>
      <c r="AG43" s="125"/>
      <c r="BC43" s="658"/>
      <c r="BE43" s="659"/>
    </row>
    <row r="44" spans="2:57" outlineLevel="1" x14ac:dyDescent="0.25">
      <c r="B44" s="1359"/>
      <c r="C44" s="274"/>
      <c r="D44" s="3598"/>
      <c r="E44" s="3602"/>
      <c r="F44" s="3606" t="str">
        <f t="shared" si="11"/>
        <v>ECM Auto Fan ER1 - MF</v>
      </c>
      <c r="G44" s="3606"/>
      <c r="H44" s="3606"/>
      <c r="I44" s="673">
        <f t="shared" si="13"/>
        <v>0.16336956521739129</v>
      </c>
      <c r="J44" s="670" t="s">
        <v>714</v>
      </c>
      <c r="K44" s="674"/>
      <c r="L44" s="298"/>
      <c r="M44" s="298"/>
      <c r="N44" s="1007"/>
      <c r="O44" s="298"/>
      <c r="P44" s="298"/>
      <c r="Q44" s="298"/>
      <c r="R44" s="298"/>
      <c r="V44" s="3598"/>
      <c r="W44" s="125">
        <v>0.16</v>
      </c>
      <c r="X44" s="125">
        <f t="shared" si="12"/>
        <v>0.16285529117674288</v>
      </c>
      <c r="Y44" s="672">
        <v>0.16336956521739129</v>
      </c>
      <c r="Z44" s="673">
        <v>0.16336956521739129</v>
      </c>
      <c r="AA44" s="673">
        <v>0.16336956521739129</v>
      </c>
      <c r="AB44" s="125">
        <v>0.16336956521739129</v>
      </c>
      <c r="AC44" s="125"/>
      <c r="AD44" s="125"/>
      <c r="AE44" s="125"/>
      <c r="AF44" s="125"/>
      <c r="AG44" s="125"/>
      <c r="BC44" s="658"/>
      <c r="BE44" s="659"/>
    </row>
    <row r="45" spans="2:57" outlineLevel="1" x14ac:dyDescent="0.25">
      <c r="B45" s="1359"/>
      <c r="C45" s="274"/>
      <c r="D45" s="3598"/>
      <c r="E45" s="3602"/>
      <c r="F45" s="3606" t="str">
        <f t="shared" si="11"/>
        <v>ECM Auto Fan ER2 - MF</v>
      </c>
      <c r="G45" s="3606"/>
      <c r="H45" s="3606"/>
      <c r="I45" s="673">
        <f t="shared" si="13"/>
        <v>0.16336956521739129</v>
      </c>
      <c r="J45" s="670" t="s">
        <v>714</v>
      </c>
      <c r="K45" s="674"/>
      <c r="L45" s="298"/>
      <c r="M45" s="298"/>
      <c r="N45" s="1007"/>
      <c r="O45" s="298"/>
      <c r="P45" s="298"/>
      <c r="Q45" s="298"/>
      <c r="R45" s="298"/>
      <c r="V45" s="3598"/>
      <c r="W45" s="125">
        <v>0.16</v>
      </c>
      <c r="X45" s="125">
        <f t="shared" si="12"/>
        <v>0.16285529117674288</v>
      </c>
      <c r="Y45" s="672">
        <v>0.16336956521739129</v>
      </c>
      <c r="Z45" s="673">
        <v>0.16336956521739129</v>
      </c>
      <c r="AA45" s="673">
        <v>0.16336956521739129</v>
      </c>
      <c r="AB45" s="125">
        <v>0.16336956521739129</v>
      </c>
      <c r="AC45" s="125"/>
      <c r="AD45" s="125"/>
      <c r="AE45" s="125"/>
      <c r="AF45" s="125"/>
      <c r="AG45" s="125"/>
      <c r="BC45" s="658"/>
      <c r="BE45" s="659"/>
    </row>
    <row r="46" spans="2:57" outlineLevel="1" x14ac:dyDescent="0.25">
      <c r="B46" s="1359"/>
      <c r="C46" s="274"/>
      <c r="D46" s="3598"/>
      <c r="E46" s="3602"/>
      <c r="F46" s="3606" t="str">
        <f t="shared" si="11"/>
        <v>ECM Continuous Fan ROF- SF</v>
      </c>
      <c r="G46" s="3606"/>
      <c r="H46" s="3606"/>
      <c r="I46" s="673">
        <f t="shared" si="13"/>
        <v>0.16336956521739129</v>
      </c>
      <c r="J46" s="670" t="s">
        <v>714</v>
      </c>
      <c r="K46" s="674"/>
      <c r="L46" s="298"/>
      <c r="M46" s="298"/>
      <c r="N46" s="1007"/>
      <c r="O46" s="298"/>
      <c r="P46" s="298"/>
      <c r="Q46" s="298"/>
      <c r="R46" s="298"/>
      <c r="V46" s="3598"/>
      <c r="W46" s="125">
        <v>0.16</v>
      </c>
      <c r="X46" s="125">
        <f t="shared" si="12"/>
        <v>0.16285529117674288</v>
      </c>
      <c r="Y46" s="672">
        <v>0.16336956521739129</v>
      </c>
      <c r="Z46" s="673">
        <v>0.16336956521739129</v>
      </c>
      <c r="AA46" s="673">
        <v>0.16336956521739129</v>
      </c>
      <c r="AB46" s="125">
        <v>0.16336956521739129</v>
      </c>
      <c r="AC46" s="125"/>
      <c r="AD46" s="125"/>
      <c r="AE46" s="125"/>
      <c r="AF46" s="125"/>
      <c r="AG46" s="125"/>
      <c r="BC46" s="658"/>
      <c r="BE46" s="659"/>
    </row>
    <row r="47" spans="2:57" outlineLevel="1" x14ac:dyDescent="0.25">
      <c r="B47" s="1359"/>
      <c r="C47" s="274"/>
      <c r="D47" s="3598"/>
      <c r="E47" s="3602"/>
      <c r="F47" s="3606" t="str">
        <f t="shared" si="11"/>
        <v>ECM Continuous Fan ROF- MF</v>
      </c>
      <c r="G47" s="3606"/>
      <c r="H47" s="3606"/>
      <c r="I47" s="673">
        <f t="shared" si="13"/>
        <v>0.16336956521739129</v>
      </c>
      <c r="J47" s="670" t="s">
        <v>714</v>
      </c>
      <c r="K47" s="674"/>
      <c r="L47" s="298"/>
      <c r="M47" s="298"/>
      <c r="N47" s="1007"/>
      <c r="O47" s="298"/>
      <c r="P47" s="298"/>
      <c r="Q47" s="298"/>
      <c r="R47" s="298"/>
      <c r="V47" s="3598"/>
      <c r="W47" s="125">
        <v>0.16</v>
      </c>
      <c r="X47" s="125">
        <f t="shared" si="12"/>
        <v>0.16285529117674288</v>
      </c>
      <c r="Y47" s="672">
        <v>0.16336956521739129</v>
      </c>
      <c r="Z47" s="673">
        <v>0.16336956521739129</v>
      </c>
      <c r="AA47" s="673">
        <v>0.16336956521739129</v>
      </c>
      <c r="AB47" s="125">
        <v>0.16336956521739129</v>
      </c>
      <c r="AC47" s="125"/>
      <c r="AD47" s="125"/>
      <c r="AE47" s="125"/>
      <c r="AF47" s="125"/>
      <c r="AG47" s="125"/>
      <c r="BC47" s="658"/>
      <c r="BE47" s="659"/>
    </row>
    <row r="48" spans="2:57" outlineLevel="1" x14ac:dyDescent="0.25">
      <c r="B48" s="1359"/>
      <c r="C48" s="274"/>
      <c r="D48" s="3598"/>
      <c r="E48" s="3602"/>
      <c r="F48" s="3606" t="str">
        <f t="shared" si="11"/>
        <v>ECM Continuous Fan ER1 - SF</v>
      </c>
      <c r="G48" s="3606"/>
      <c r="H48" s="3606"/>
      <c r="I48" s="673">
        <f t="shared" si="13"/>
        <v>0.16336956521739129</v>
      </c>
      <c r="J48" s="670" t="s">
        <v>714</v>
      </c>
      <c r="K48" s="674"/>
      <c r="L48" s="298"/>
      <c r="M48" s="298"/>
      <c r="N48" s="1007"/>
      <c r="O48" s="298"/>
      <c r="P48" s="298"/>
      <c r="Q48" s="298"/>
      <c r="R48" s="298"/>
      <c r="V48" s="3598"/>
      <c r="W48" s="125">
        <v>0.16</v>
      </c>
      <c r="X48" s="125">
        <f t="shared" si="12"/>
        <v>0.16285529117674288</v>
      </c>
      <c r="Y48" s="672">
        <v>0.16336956521739129</v>
      </c>
      <c r="Z48" s="673">
        <v>0.16336956521739129</v>
      </c>
      <c r="AA48" s="673">
        <v>0.16336956521739129</v>
      </c>
      <c r="AB48" s="125">
        <v>0.16336956521739129</v>
      </c>
      <c r="AC48" s="125"/>
      <c r="AD48" s="125"/>
      <c r="AE48" s="125"/>
      <c r="AF48" s="125"/>
      <c r="AG48" s="125"/>
      <c r="BC48" s="658"/>
      <c r="BE48" s="659"/>
    </row>
    <row r="49" spans="2:57" outlineLevel="1" x14ac:dyDescent="0.25">
      <c r="B49" s="1359"/>
      <c r="C49" s="274"/>
      <c r="D49" s="3598"/>
      <c r="E49" s="3603"/>
      <c r="F49" s="3606" t="str">
        <f t="shared" si="11"/>
        <v>ECM Continuous Fan ER2 - SF</v>
      </c>
      <c r="G49" s="3606"/>
      <c r="H49" s="3606"/>
      <c r="I49" s="673">
        <f t="shared" si="13"/>
        <v>0.16336956521739129</v>
      </c>
      <c r="J49" s="670" t="s">
        <v>714</v>
      </c>
      <c r="K49" s="675"/>
      <c r="L49" s="298"/>
      <c r="M49" s="298"/>
      <c r="N49" s="1007"/>
      <c r="O49" s="298"/>
      <c r="P49" s="298"/>
      <c r="Q49" s="298"/>
      <c r="R49" s="298"/>
      <c r="V49" s="3598"/>
      <c r="W49" s="125">
        <v>0.16</v>
      </c>
      <c r="X49" s="125">
        <f t="shared" si="12"/>
        <v>0.16285529117674288</v>
      </c>
      <c r="Y49" s="672">
        <v>0.16336956521739129</v>
      </c>
      <c r="Z49" s="673">
        <v>0.16336956521739129</v>
      </c>
      <c r="AA49" s="673">
        <v>0.16336956521739129</v>
      </c>
      <c r="AB49" s="125">
        <v>0.16336956521739129</v>
      </c>
      <c r="AC49" s="125"/>
      <c r="AD49" s="125"/>
      <c r="AE49" s="125"/>
      <c r="AF49" s="125"/>
      <c r="AG49" s="125"/>
      <c r="BC49" s="658"/>
      <c r="BE49" s="659"/>
    </row>
    <row r="50" spans="2:57" outlineLevel="1" x14ac:dyDescent="0.25">
      <c r="B50" s="1359"/>
      <c r="C50" s="274"/>
      <c r="D50" s="3598"/>
      <c r="E50" s="3603"/>
      <c r="F50" s="3606" t="str">
        <f t="shared" si="11"/>
        <v>ECM Continuous Fan ER1 - MF</v>
      </c>
      <c r="G50" s="3606"/>
      <c r="H50" s="3606"/>
      <c r="I50" s="673">
        <f t="shared" si="13"/>
        <v>0.16336956521739129</v>
      </c>
      <c r="J50" s="670" t="s">
        <v>714</v>
      </c>
      <c r="K50" s="675"/>
      <c r="L50" s="298"/>
      <c r="M50" s="298"/>
      <c r="N50" s="1007"/>
      <c r="O50" s="298"/>
      <c r="P50" s="298"/>
      <c r="Q50" s="298"/>
      <c r="R50" s="298"/>
      <c r="V50" s="3598"/>
      <c r="W50" s="125">
        <v>0.16</v>
      </c>
      <c r="X50" s="125">
        <f t="shared" si="12"/>
        <v>0.16285529117674288</v>
      </c>
      <c r="Y50" s="672">
        <v>0.16336956521739129</v>
      </c>
      <c r="Z50" s="673">
        <v>0.16336956521739129</v>
      </c>
      <c r="AA50" s="673">
        <v>0.16336956521739129</v>
      </c>
      <c r="AB50" s="125">
        <v>0.16336956521739129</v>
      </c>
      <c r="AC50" s="125"/>
      <c r="AD50" s="125"/>
      <c r="AE50" s="125"/>
      <c r="AF50" s="125"/>
      <c r="AG50" s="125"/>
      <c r="BC50" s="658"/>
      <c r="BE50" s="659"/>
    </row>
    <row r="51" spans="2:57" ht="15.75" outlineLevel="1" thickBot="1" x14ac:dyDescent="0.3">
      <c r="B51" s="1359"/>
      <c r="C51" s="274"/>
      <c r="D51" s="3599"/>
      <c r="E51" s="3604"/>
      <c r="F51" s="3607" t="str">
        <f t="shared" si="11"/>
        <v>ECM Continuous Fan ER2 - MF</v>
      </c>
      <c r="G51" s="3607"/>
      <c r="H51" s="3607"/>
      <c r="I51" s="673">
        <f t="shared" si="13"/>
        <v>0.16336956521739129</v>
      </c>
      <c r="J51" s="676" t="s">
        <v>714</v>
      </c>
      <c r="K51" s="677"/>
      <c r="L51" s="298"/>
      <c r="M51" s="298"/>
      <c r="N51" s="1007"/>
      <c r="O51" s="298"/>
      <c r="P51" s="298"/>
      <c r="Q51" s="298"/>
      <c r="R51" s="298"/>
      <c r="V51" s="3599"/>
      <c r="W51" s="678">
        <v>0.16</v>
      </c>
      <c r="X51" s="678">
        <f t="shared" si="12"/>
        <v>0.16285529117674288</v>
      </c>
      <c r="Y51" s="679">
        <v>0.16336956521739129</v>
      </c>
      <c r="Z51" s="1986">
        <v>0.16336956521739129</v>
      </c>
      <c r="AA51" s="1986">
        <v>0.16336956521739129</v>
      </c>
      <c r="AB51" s="678">
        <v>0.16336956521739129</v>
      </c>
      <c r="AC51" s="678"/>
      <c r="AD51" s="678"/>
      <c r="AE51" s="678"/>
      <c r="AF51" s="678"/>
      <c r="AG51" s="678"/>
      <c r="BC51" s="658"/>
      <c r="BE51" s="659"/>
    </row>
    <row r="52" spans="2:57" ht="15.75" outlineLevel="1" thickBot="1" x14ac:dyDescent="0.3">
      <c r="B52" s="1359"/>
      <c r="C52" s="274"/>
      <c r="D52" s="1705" t="s">
        <v>1082</v>
      </c>
      <c r="E52" s="1430" t="s">
        <v>1083</v>
      </c>
      <c r="F52" s="3595" t="s">
        <v>591</v>
      </c>
      <c r="G52" s="3595"/>
      <c r="H52" s="3595"/>
      <c r="I52" s="1706">
        <v>400</v>
      </c>
      <c r="J52" s="1707" t="s">
        <v>1084</v>
      </c>
      <c r="K52" s="680"/>
      <c r="L52" s="298"/>
      <c r="M52" s="298"/>
      <c r="N52" s="1007"/>
      <c r="O52" s="298"/>
      <c r="P52" s="298"/>
      <c r="Q52" s="298"/>
      <c r="R52" s="298"/>
      <c r="V52" s="1705" t="s">
        <v>1082</v>
      </c>
      <c r="W52" s="681"/>
      <c r="X52" s="681"/>
      <c r="Y52" s="682">
        <v>400</v>
      </c>
      <c r="Z52" s="682">
        <v>400</v>
      </c>
      <c r="AA52" s="682">
        <v>400</v>
      </c>
      <c r="AB52" s="2468">
        <v>400</v>
      </c>
      <c r="AC52" s="683"/>
      <c r="AD52" s="683"/>
      <c r="AE52" s="683"/>
      <c r="AF52" s="683"/>
      <c r="AG52" s="683"/>
      <c r="BC52" s="658"/>
      <c r="BE52" s="659"/>
    </row>
    <row r="53" spans="2:57" ht="18" outlineLevel="1" x14ac:dyDescent="0.25">
      <c r="B53" s="1698"/>
      <c r="C53" s="274"/>
      <c r="D53" s="684" t="s">
        <v>1085</v>
      </c>
      <c r="E53" s="1430" t="s">
        <v>1086</v>
      </c>
      <c r="F53" s="3595" t="s">
        <v>591</v>
      </c>
      <c r="G53" s="3595"/>
      <c r="H53" s="3595"/>
      <c r="I53" s="1708">
        <v>2009</v>
      </c>
      <c r="J53" s="665" t="s">
        <v>714</v>
      </c>
      <c r="K53" s="666"/>
      <c r="L53" s="298"/>
      <c r="M53" s="298"/>
      <c r="N53" s="1007"/>
      <c r="O53" s="298"/>
      <c r="P53" s="298"/>
      <c r="Q53" s="298"/>
      <c r="R53" s="298"/>
      <c r="V53" s="684" t="s">
        <v>1085</v>
      </c>
      <c r="W53" s="685">
        <v>2009</v>
      </c>
      <c r="X53" s="685">
        <v>2009</v>
      </c>
      <c r="Y53" s="686">
        <v>2009</v>
      </c>
      <c r="Z53" s="1708">
        <v>2009</v>
      </c>
      <c r="AA53" s="1708">
        <v>2009</v>
      </c>
      <c r="AB53" s="685">
        <v>2009</v>
      </c>
      <c r="AC53" s="685"/>
      <c r="AD53" s="685"/>
      <c r="AE53" s="685"/>
      <c r="AF53" s="685"/>
      <c r="AG53" s="685"/>
      <c r="BC53" s="658"/>
      <c r="BE53" s="659"/>
    </row>
    <row r="54" spans="2:57" ht="18.75" outlineLevel="1" thickBot="1" x14ac:dyDescent="0.3">
      <c r="B54" s="1698"/>
      <c r="C54" s="274"/>
      <c r="D54" s="687" t="s">
        <v>1087</v>
      </c>
      <c r="E54" s="1432" t="s">
        <v>1088</v>
      </c>
      <c r="F54" s="3596" t="s">
        <v>591</v>
      </c>
      <c r="G54" s="3596"/>
      <c r="H54" s="3596"/>
      <c r="I54" s="1709">
        <v>2545.25</v>
      </c>
      <c r="J54" s="1707" t="s">
        <v>1089</v>
      </c>
      <c r="K54" s="677"/>
      <c r="L54" s="298"/>
      <c r="M54" s="298"/>
      <c r="N54" s="1007"/>
      <c r="O54" s="298"/>
      <c r="P54" s="298"/>
      <c r="Q54" s="298"/>
      <c r="R54" s="298"/>
      <c r="V54" s="687" t="s">
        <v>1087</v>
      </c>
      <c r="W54" s="688">
        <v>2545.25</v>
      </c>
      <c r="X54" s="688">
        <v>2545.25</v>
      </c>
      <c r="Y54" s="689">
        <v>2545.25</v>
      </c>
      <c r="Z54" s="1709">
        <v>2545.25</v>
      </c>
      <c r="AA54" s="1709">
        <v>2545.25</v>
      </c>
      <c r="AB54" s="688">
        <v>2545.25</v>
      </c>
      <c r="AC54" s="688"/>
      <c r="AD54" s="688"/>
      <c r="AE54" s="688"/>
      <c r="AF54" s="688"/>
      <c r="AG54" s="688"/>
      <c r="BC54" s="658"/>
      <c r="BE54" s="659"/>
    </row>
    <row r="55" spans="2:57" ht="15" customHeight="1" outlineLevel="1" x14ac:dyDescent="0.25">
      <c r="B55" s="1359"/>
      <c r="C55" s="274"/>
      <c r="D55" s="3597" t="s">
        <v>1090</v>
      </c>
      <c r="E55" s="3600" t="s">
        <v>1091</v>
      </c>
      <c r="F55" s="3605" t="str">
        <f t="shared" ref="F55:F66" si="14">E7</f>
        <v>ECM Auto Fan ROF-SF</v>
      </c>
      <c r="G55" s="3605"/>
      <c r="H55" s="3605"/>
      <c r="I55" s="690">
        <v>0.80141304347826092</v>
      </c>
      <c r="J55" s="665" t="s">
        <v>714</v>
      </c>
      <c r="K55" s="666"/>
      <c r="L55" s="298"/>
      <c r="M55" s="298"/>
      <c r="N55" s="1007"/>
      <c r="O55" s="298"/>
      <c r="P55" s="298"/>
      <c r="Q55" s="298"/>
      <c r="R55" s="298"/>
      <c r="V55" s="3597" t="s">
        <v>1090</v>
      </c>
      <c r="W55" s="667">
        <v>0.97</v>
      </c>
      <c r="X55" s="667">
        <f>8493/10801</f>
        <v>0.78631608184427371</v>
      </c>
      <c r="Y55" s="668">
        <v>0.80141304347826092</v>
      </c>
      <c r="Z55" s="664">
        <v>0.80141304347826092</v>
      </c>
      <c r="AA55" s="664">
        <v>0.80141304347826092</v>
      </c>
      <c r="AB55" s="667">
        <v>0.80141304347826092</v>
      </c>
      <c r="AC55" s="667"/>
      <c r="AD55" s="667"/>
      <c r="AE55" s="667"/>
      <c r="AF55" s="667"/>
      <c r="AG55" s="667"/>
      <c r="BC55" s="658"/>
      <c r="BE55" s="659"/>
    </row>
    <row r="56" spans="2:57" outlineLevel="1" x14ac:dyDescent="0.25">
      <c r="B56" s="1359"/>
      <c r="C56" s="274"/>
      <c r="D56" s="3598"/>
      <c r="E56" s="3601"/>
      <c r="F56" s="3606" t="str">
        <f t="shared" si="14"/>
        <v>ECM Auto Fan ROF-MF</v>
      </c>
      <c r="G56" s="3606"/>
      <c r="H56" s="3606"/>
      <c r="I56" s="669">
        <f>I55</f>
        <v>0.80141304347826092</v>
      </c>
      <c r="J56" s="670" t="s">
        <v>714</v>
      </c>
      <c r="K56" s="671"/>
      <c r="L56" s="298"/>
      <c r="M56" s="298"/>
      <c r="N56" s="1007"/>
      <c r="O56" s="298"/>
      <c r="P56" s="298"/>
      <c r="Q56" s="298"/>
      <c r="R56" s="298"/>
      <c r="V56" s="3598"/>
      <c r="W56" s="125">
        <v>0.97</v>
      </c>
      <c r="X56" s="125">
        <f t="shared" ref="X56:X66" si="15">8493/10801</f>
        <v>0.78631608184427371</v>
      </c>
      <c r="Y56" s="672">
        <v>0.80141304347826092</v>
      </c>
      <c r="Z56" s="673">
        <v>0.80141304347826092</v>
      </c>
      <c r="AA56" s="673">
        <v>0.80141304347826092</v>
      </c>
      <c r="AB56" s="125">
        <v>0.80141304347826092</v>
      </c>
      <c r="AC56" s="125"/>
      <c r="AD56" s="125"/>
      <c r="AE56" s="125"/>
      <c r="AF56" s="125"/>
      <c r="AG56" s="125"/>
      <c r="BC56" s="658"/>
      <c r="BE56" s="659"/>
    </row>
    <row r="57" spans="2:57" outlineLevel="1" x14ac:dyDescent="0.25">
      <c r="B57" s="1359"/>
      <c r="C57" s="274"/>
      <c r="D57" s="3598"/>
      <c r="E57" s="3602"/>
      <c r="F57" s="3606" t="str">
        <f t="shared" si="14"/>
        <v>ECM Auto Fan ER1 - SF</v>
      </c>
      <c r="G57" s="3606"/>
      <c r="H57" s="3606"/>
      <c r="I57" s="673">
        <f t="shared" ref="I57:I66" si="16">I56</f>
        <v>0.80141304347826092</v>
      </c>
      <c r="J57" s="670" t="s">
        <v>714</v>
      </c>
      <c r="K57" s="674"/>
      <c r="L57" s="298"/>
      <c r="M57" s="298"/>
      <c r="N57" s="1007"/>
      <c r="O57" s="298"/>
      <c r="P57" s="298"/>
      <c r="Q57" s="298"/>
      <c r="R57" s="298"/>
      <c r="V57" s="3598"/>
      <c r="W57" s="125">
        <v>0.97</v>
      </c>
      <c r="X57" s="125">
        <f t="shared" si="15"/>
        <v>0.78631608184427371</v>
      </c>
      <c r="Y57" s="672">
        <v>0.80141304347826092</v>
      </c>
      <c r="Z57" s="673">
        <v>0.80141304347826092</v>
      </c>
      <c r="AA57" s="673">
        <v>0.80141304347826092</v>
      </c>
      <c r="AB57" s="125">
        <v>0.80141304347826092</v>
      </c>
      <c r="AC57" s="125"/>
      <c r="AD57" s="125"/>
      <c r="AE57" s="125"/>
      <c r="AF57" s="125"/>
      <c r="AG57" s="125"/>
      <c r="BC57" s="658"/>
      <c r="BE57" s="659"/>
    </row>
    <row r="58" spans="2:57" ht="15" customHeight="1" outlineLevel="1" x14ac:dyDescent="0.25">
      <c r="B58" s="1359"/>
      <c r="C58" s="274"/>
      <c r="D58" s="3598"/>
      <c r="E58" s="3602"/>
      <c r="F58" s="3606" t="str">
        <f t="shared" si="14"/>
        <v>ECM Auto Fan ER2 - SF</v>
      </c>
      <c r="G58" s="3606"/>
      <c r="H58" s="3606"/>
      <c r="I58" s="673">
        <f t="shared" si="16"/>
        <v>0.80141304347826092</v>
      </c>
      <c r="J58" s="670" t="s">
        <v>714</v>
      </c>
      <c r="K58" s="674"/>
      <c r="L58" s="1136"/>
      <c r="M58" s="298"/>
      <c r="N58" s="1007"/>
      <c r="O58" s="298"/>
      <c r="P58" s="298"/>
      <c r="Q58" s="298"/>
      <c r="R58" s="298"/>
      <c r="V58" s="3598"/>
      <c r="W58" s="125">
        <v>0.97</v>
      </c>
      <c r="X58" s="125">
        <f t="shared" si="15"/>
        <v>0.78631608184427371</v>
      </c>
      <c r="Y58" s="672">
        <v>0.80141304347826092</v>
      </c>
      <c r="Z58" s="673">
        <v>0.80141304347826092</v>
      </c>
      <c r="AA58" s="673">
        <v>0.80141304347826092</v>
      </c>
      <c r="AB58" s="125">
        <v>0.80141304347826092</v>
      </c>
      <c r="AC58" s="125"/>
      <c r="AD58" s="125"/>
      <c r="AE58" s="125"/>
      <c r="AF58" s="125"/>
      <c r="AG58" s="125"/>
      <c r="BC58" s="658"/>
      <c r="BE58" s="659"/>
    </row>
    <row r="59" spans="2:57" outlineLevel="1" x14ac:dyDescent="0.25">
      <c r="B59" s="1359"/>
      <c r="C59" s="274"/>
      <c r="D59" s="3598"/>
      <c r="E59" s="3602"/>
      <c r="F59" s="3606" t="str">
        <f t="shared" si="14"/>
        <v>ECM Auto Fan ER1 - MF</v>
      </c>
      <c r="G59" s="3606"/>
      <c r="H59" s="3606"/>
      <c r="I59" s="673">
        <f t="shared" si="16"/>
        <v>0.80141304347826092</v>
      </c>
      <c r="J59" s="670" t="s">
        <v>714</v>
      </c>
      <c r="K59" s="674"/>
      <c r="L59" s="1136"/>
      <c r="M59" s="298"/>
      <c r="N59" s="1007"/>
      <c r="O59" s="298"/>
      <c r="P59" s="298"/>
      <c r="Q59" s="298"/>
      <c r="R59" s="298"/>
      <c r="V59" s="3598"/>
      <c r="W59" s="125">
        <v>0.97</v>
      </c>
      <c r="X59" s="125">
        <f t="shared" si="15"/>
        <v>0.78631608184427371</v>
      </c>
      <c r="Y59" s="672">
        <v>0.80141304347826092</v>
      </c>
      <c r="Z59" s="673">
        <v>0.80141304347826092</v>
      </c>
      <c r="AA59" s="673">
        <v>0.80141304347826092</v>
      </c>
      <c r="AB59" s="125">
        <v>0.80141304347826092</v>
      </c>
      <c r="AC59" s="125"/>
      <c r="AD59" s="125"/>
      <c r="AE59" s="125"/>
      <c r="AF59" s="125"/>
      <c r="AG59" s="125"/>
      <c r="BC59" s="658"/>
      <c r="BE59" s="659"/>
    </row>
    <row r="60" spans="2:57" outlineLevel="1" x14ac:dyDescent="0.25">
      <c r="B60" s="1359"/>
      <c r="C60" s="274"/>
      <c r="D60" s="3598"/>
      <c r="E60" s="3602"/>
      <c r="F60" s="3606" t="str">
        <f t="shared" si="14"/>
        <v>ECM Auto Fan ER2 - MF</v>
      </c>
      <c r="G60" s="3606"/>
      <c r="H60" s="3606"/>
      <c r="I60" s="673">
        <f t="shared" si="16"/>
        <v>0.80141304347826092</v>
      </c>
      <c r="J60" s="670" t="s">
        <v>714</v>
      </c>
      <c r="K60" s="674"/>
      <c r="L60" s="1136"/>
      <c r="M60" s="298"/>
      <c r="N60" s="1007"/>
      <c r="O60" s="298"/>
      <c r="P60" s="298"/>
      <c r="Q60" s="298"/>
      <c r="R60" s="1007"/>
      <c r="V60" s="3598"/>
      <c r="W60" s="125">
        <v>0.97</v>
      </c>
      <c r="X60" s="125">
        <f t="shared" si="15"/>
        <v>0.78631608184427371</v>
      </c>
      <c r="Y60" s="672">
        <v>0.80141304347826092</v>
      </c>
      <c r="Z60" s="673">
        <v>0.80141304347826092</v>
      </c>
      <c r="AA60" s="673">
        <v>0.80141304347826092</v>
      </c>
      <c r="AB60" s="125">
        <v>0.80141304347826092</v>
      </c>
      <c r="AC60" s="125"/>
      <c r="AD60" s="125"/>
      <c r="AE60" s="125"/>
      <c r="AF60" s="125"/>
      <c r="AG60" s="125"/>
      <c r="BC60" s="658"/>
      <c r="BE60" s="659"/>
    </row>
    <row r="61" spans="2:57" outlineLevel="1" x14ac:dyDescent="0.25">
      <c r="B61" s="1359"/>
      <c r="C61" s="274"/>
      <c r="D61" s="3598"/>
      <c r="E61" s="3602"/>
      <c r="F61" s="3606" t="str">
        <f t="shared" si="14"/>
        <v>ECM Continuous Fan ROF- SF</v>
      </c>
      <c r="G61" s="3606"/>
      <c r="H61" s="3606"/>
      <c r="I61" s="673">
        <f t="shared" si="16"/>
        <v>0.80141304347826092</v>
      </c>
      <c r="J61" s="670" t="s">
        <v>714</v>
      </c>
      <c r="K61" s="674"/>
      <c r="L61" s="1136"/>
      <c r="M61" s="298"/>
      <c r="N61" s="1007"/>
      <c r="O61" s="298"/>
      <c r="P61" s="298"/>
      <c r="Q61" s="298"/>
      <c r="R61" s="1007"/>
      <c r="V61" s="3598"/>
      <c r="W61" s="125">
        <v>0.97</v>
      </c>
      <c r="X61" s="125">
        <f t="shared" si="15"/>
        <v>0.78631608184427371</v>
      </c>
      <c r="Y61" s="672">
        <v>0.80141304347826092</v>
      </c>
      <c r="Z61" s="673">
        <v>0.80141304347826092</v>
      </c>
      <c r="AA61" s="673">
        <v>0.80141304347826092</v>
      </c>
      <c r="AB61" s="125">
        <v>0.80141304347826092</v>
      </c>
      <c r="AC61" s="125"/>
      <c r="AD61" s="125"/>
      <c r="AE61" s="125"/>
      <c r="AF61" s="125"/>
      <c r="AG61" s="125"/>
      <c r="BC61" s="658"/>
      <c r="BE61" s="659"/>
    </row>
    <row r="62" spans="2:57" outlineLevel="1" x14ac:dyDescent="0.25">
      <c r="B62" s="1359"/>
      <c r="C62" s="274"/>
      <c r="D62" s="3598"/>
      <c r="E62" s="3602"/>
      <c r="F62" s="3606" t="str">
        <f t="shared" si="14"/>
        <v>ECM Continuous Fan ROF- MF</v>
      </c>
      <c r="G62" s="3606"/>
      <c r="H62" s="3606"/>
      <c r="I62" s="673">
        <f t="shared" si="16"/>
        <v>0.80141304347826092</v>
      </c>
      <c r="J62" s="670" t="s">
        <v>714</v>
      </c>
      <c r="K62" s="674"/>
      <c r="L62" s="1136"/>
      <c r="M62" s="298"/>
      <c r="N62" s="1007"/>
      <c r="O62" s="298"/>
      <c r="P62" s="298"/>
      <c r="Q62" s="298"/>
      <c r="R62" s="298"/>
      <c r="V62" s="3598"/>
      <c r="W62" s="125">
        <v>0.97</v>
      </c>
      <c r="X62" s="125">
        <f t="shared" si="15"/>
        <v>0.78631608184427371</v>
      </c>
      <c r="Y62" s="672">
        <v>0.80141304347826092</v>
      </c>
      <c r="Z62" s="673">
        <v>0.80141304347826092</v>
      </c>
      <c r="AA62" s="673">
        <v>0.80141304347826092</v>
      </c>
      <c r="AB62" s="125">
        <v>0.80141304347826092</v>
      </c>
      <c r="AC62" s="125"/>
      <c r="AD62" s="125"/>
      <c r="AE62" s="125"/>
      <c r="AF62" s="125"/>
      <c r="AG62" s="125"/>
      <c r="BC62" s="658"/>
      <c r="BE62" s="659"/>
    </row>
    <row r="63" spans="2:57" outlineLevel="1" x14ac:dyDescent="0.25">
      <c r="B63" s="1359"/>
      <c r="C63" s="274"/>
      <c r="D63" s="3598"/>
      <c r="E63" s="3602"/>
      <c r="F63" s="3606" t="str">
        <f t="shared" si="14"/>
        <v>ECM Continuous Fan ER1 - SF</v>
      </c>
      <c r="G63" s="3606"/>
      <c r="H63" s="3606"/>
      <c r="I63" s="673">
        <f t="shared" si="16"/>
        <v>0.80141304347826092</v>
      </c>
      <c r="J63" s="670" t="s">
        <v>714</v>
      </c>
      <c r="K63" s="674"/>
      <c r="L63" s="1136"/>
      <c r="M63" s="298"/>
      <c r="N63" s="1007"/>
      <c r="O63" s="298"/>
      <c r="P63" s="298"/>
      <c r="Q63" s="298"/>
      <c r="R63" s="298"/>
      <c r="V63" s="3598"/>
      <c r="W63" s="125">
        <v>0.97</v>
      </c>
      <c r="X63" s="125">
        <f t="shared" si="15"/>
        <v>0.78631608184427371</v>
      </c>
      <c r="Y63" s="672">
        <v>0.80141304347826092</v>
      </c>
      <c r="Z63" s="673">
        <v>0.80141304347826092</v>
      </c>
      <c r="AA63" s="673">
        <v>0.80141304347826092</v>
      </c>
      <c r="AB63" s="125">
        <v>0.80141304347826092</v>
      </c>
      <c r="AC63" s="125"/>
      <c r="AD63" s="125"/>
      <c r="AE63" s="125"/>
      <c r="AF63" s="125"/>
      <c r="AG63" s="125"/>
      <c r="BC63" s="658"/>
      <c r="BE63" s="659"/>
    </row>
    <row r="64" spans="2:57" ht="18" customHeight="1" outlineLevel="1" x14ac:dyDescent="0.25">
      <c r="B64" s="1359"/>
      <c r="C64" s="302"/>
      <c r="D64" s="3598"/>
      <c r="E64" s="3603"/>
      <c r="F64" s="3606" t="str">
        <f t="shared" si="14"/>
        <v>ECM Continuous Fan ER2 - SF</v>
      </c>
      <c r="G64" s="3606"/>
      <c r="H64" s="3606"/>
      <c r="I64" s="673">
        <f t="shared" si="16"/>
        <v>0.80141304347826092</v>
      </c>
      <c r="J64" s="670" t="s">
        <v>714</v>
      </c>
      <c r="K64" s="675"/>
      <c r="L64" s="1136"/>
      <c r="M64" s="298"/>
      <c r="N64" s="1007"/>
      <c r="O64" s="298"/>
      <c r="P64" s="298"/>
      <c r="Q64" s="298"/>
      <c r="R64" s="298"/>
      <c r="V64" s="3598"/>
      <c r="W64" s="125">
        <v>0.97</v>
      </c>
      <c r="X64" s="125">
        <f t="shared" si="15"/>
        <v>0.78631608184427371</v>
      </c>
      <c r="Y64" s="672">
        <v>0.80141304347826092</v>
      </c>
      <c r="Z64" s="673">
        <v>0.80141304347826092</v>
      </c>
      <c r="AA64" s="673">
        <v>0.80141304347826092</v>
      </c>
      <c r="AB64" s="125">
        <v>0.80141304347826092</v>
      </c>
      <c r="AC64" s="125"/>
      <c r="AD64" s="125"/>
      <c r="AE64" s="125"/>
      <c r="AF64" s="125"/>
      <c r="AG64" s="125"/>
      <c r="BC64" s="658"/>
      <c r="BE64" s="659"/>
    </row>
    <row r="65" spans="1:57" ht="18" customHeight="1" outlineLevel="1" x14ac:dyDescent="0.25">
      <c r="B65" s="1359"/>
      <c r="C65" s="302"/>
      <c r="D65" s="3598"/>
      <c r="E65" s="3603"/>
      <c r="F65" s="3606" t="str">
        <f t="shared" si="14"/>
        <v>ECM Continuous Fan ER1 - MF</v>
      </c>
      <c r="G65" s="3606"/>
      <c r="H65" s="3606"/>
      <c r="I65" s="673">
        <f t="shared" si="16"/>
        <v>0.80141304347826092</v>
      </c>
      <c r="J65" s="670" t="s">
        <v>714</v>
      </c>
      <c r="K65" s="675"/>
      <c r="L65" s="1136"/>
      <c r="M65" s="298"/>
      <c r="N65" s="1007"/>
      <c r="O65" s="298"/>
      <c r="P65" s="298"/>
      <c r="Q65" s="298"/>
      <c r="R65" s="298"/>
      <c r="V65" s="3598"/>
      <c r="W65" s="125">
        <v>0.97</v>
      </c>
      <c r="X65" s="125">
        <f t="shared" si="15"/>
        <v>0.78631608184427371</v>
      </c>
      <c r="Y65" s="672">
        <v>0.80141304347826092</v>
      </c>
      <c r="Z65" s="673">
        <v>0.80141304347826092</v>
      </c>
      <c r="AA65" s="673">
        <v>0.80141304347826092</v>
      </c>
      <c r="AB65" s="125">
        <v>0.80141304347826092</v>
      </c>
      <c r="AC65" s="125"/>
      <c r="AD65" s="125"/>
      <c r="AE65" s="125"/>
      <c r="AF65" s="125"/>
      <c r="AG65" s="125"/>
      <c r="BC65" s="658"/>
      <c r="BE65" s="659"/>
    </row>
    <row r="66" spans="1:57" ht="18" customHeight="1" outlineLevel="1" thickBot="1" x14ac:dyDescent="0.3">
      <c r="B66" s="1359"/>
      <c r="C66" s="302"/>
      <c r="D66" s="3599"/>
      <c r="E66" s="3604"/>
      <c r="F66" s="3607" t="str">
        <f t="shared" si="14"/>
        <v>ECM Continuous Fan ER2 - MF</v>
      </c>
      <c r="G66" s="3607"/>
      <c r="H66" s="3607"/>
      <c r="I66" s="673">
        <f t="shared" si="16"/>
        <v>0.80141304347826092</v>
      </c>
      <c r="J66" s="676" t="s">
        <v>714</v>
      </c>
      <c r="K66" s="677"/>
      <c r="L66" s="1136"/>
      <c r="M66" s="298"/>
      <c r="N66" s="1007"/>
      <c r="O66" s="298"/>
      <c r="P66" s="298"/>
      <c r="Q66" s="298"/>
      <c r="R66" s="298"/>
      <c r="V66" s="3599"/>
      <c r="W66" s="693">
        <v>0.97</v>
      </c>
      <c r="X66" s="693">
        <f t="shared" si="15"/>
        <v>0.78631608184427371</v>
      </c>
      <c r="Y66" s="694">
        <v>0.80141304347826092</v>
      </c>
      <c r="Z66" s="2636">
        <v>0.80141304347826092</v>
      </c>
      <c r="AA66" s="2636">
        <v>0.80141304347826092</v>
      </c>
      <c r="AB66" s="693">
        <v>0.80141304347826092</v>
      </c>
      <c r="AC66" s="693"/>
      <c r="AD66" s="693"/>
      <c r="AE66" s="693"/>
      <c r="AF66" s="693"/>
      <c r="AG66" s="693"/>
      <c r="BC66" s="658"/>
      <c r="BE66" s="659"/>
    </row>
    <row r="67" spans="1:57" ht="15.75" outlineLevel="1" thickBot="1" x14ac:dyDescent="0.3">
      <c r="B67" s="1359"/>
      <c r="C67" s="302"/>
      <c r="D67" s="1705" t="s">
        <v>1092</v>
      </c>
      <c r="E67" s="1430" t="s">
        <v>1093</v>
      </c>
      <c r="F67" s="3595" t="s">
        <v>591</v>
      </c>
      <c r="G67" s="3595"/>
      <c r="H67" s="3595"/>
      <c r="I67" s="1706">
        <v>70</v>
      </c>
      <c r="J67" s="1707" t="s">
        <v>1094</v>
      </c>
      <c r="K67" s="2155"/>
      <c r="L67" s="1136"/>
      <c r="M67" s="298"/>
      <c r="N67" s="1007"/>
      <c r="O67" s="298"/>
      <c r="P67" s="298"/>
      <c r="Q67" s="298"/>
      <c r="R67" s="298"/>
      <c r="V67" s="1705" t="s">
        <v>1092</v>
      </c>
      <c r="W67" s="683"/>
      <c r="X67" s="683"/>
      <c r="Y67" s="681">
        <v>70</v>
      </c>
      <c r="Z67" s="681">
        <v>70</v>
      </c>
      <c r="AA67" s="681">
        <v>70</v>
      </c>
      <c r="AB67" s="2468">
        <v>70</v>
      </c>
      <c r="AC67" s="683"/>
      <c r="AD67" s="683"/>
      <c r="AE67" s="683"/>
      <c r="AF67" s="683"/>
      <c r="AG67" s="683"/>
      <c r="BC67" s="658"/>
      <c r="BE67" s="659"/>
    </row>
    <row r="68" spans="1:57" ht="18" customHeight="1" outlineLevel="1" x14ac:dyDescent="0.25">
      <c r="B68" s="1698"/>
      <c r="C68" s="302"/>
      <c r="D68" s="684" t="s">
        <v>1095</v>
      </c>
      <c r="E68" s="1430" t="s">
        <v>1096</v>
      </c>
      <c r="F68" s="3595" t="s">
        <v>591</v>
      </c>
      <c r="G68" s="3595"/>
      <c r="H68" s="3595"/>
      <c r="I68" s="1710">
        <v>1215</v>
      </c>
      <c r="J68" s="665" t="s">
        <v>1089</v>
      </c>
      <c r="K68" s="666"/>
      <c r="L68" s="1136"/>
      <c r="M68" s="298"/>
      <c r="N68" s="1007"/>
      <c r="O68" s="298"/>
      <c r="P68" s="298"/>
      <c r="Q68" s="298"/>
      <c r="R68" s="298"/>
      <c r="V68" s="684" t="s">
        <v>1095</v>
      </c>
      <c r="W68" s="697">
        <v>1215</v>
      </c>
      <c r="X68" s="696">
        <v>1215</v>
      </c>
      <c r="Y68" s="698">
        <v>1215</v>
      </c>
      <c r="Z68" s="1710">
        <v>1215</v>
      </c>
      <c r="AA68" s="1710">
        <v>1215</v>
      </c>
      <c r="AB68" s="697">
        <v>1215</v>
      </c>
      <c r="AC68" s="697"/>
      <c r="AD68" s="697"/>
      <c r="AE68" s="697"/>
      <c r="AF68" s="697"/>
      <c r="AG68" s="697"/>
      <c r="BC68" s="658"/>
      <c r="BE68" s="659"/>
    </row>
    <row r="69" spans="1:57" ht="18" customHeight="1" outlineLevel="1" x14ac:dyDescent="0.25">
      <c r="B69" s="1698"/>
      <c r="C69" s="302"/>
      <c r="D69" s="699" t="s">
        <v>1097</v>
      </c>
      <c r="E69" s="1431" t="s">
        <v>1098</v>
      </c>
      <c r="F69" s="3610" t="s">
        <v>591</v>
      </c>
      <c r="G69" s="3610"/>
      <c r="H69" s="3610"/>
      <c r="I69" s="703">
        <v>542.5</v>
      </c>
      <c r="J69" s="1711" t="s">
        <v>1089</v>
      </c>
      <c r="K69" s="674"/>
      <c r="L69" s="1136"/>
      <c r="M69" s="298"/>
      <c r="N69" s="1007"/>
      <c r="O69" s="298"/>
      <c r="P69" s="298"/>
      <c r="Q69" s="298"/>
      <c r="R69" s="298"/>
      <c r="V69" s="699" t="s">
        <v>1097</v>
      </c>
      <c r="W69" s="700">
        <v>542.5</v>
      </c>
      <c r="X69" s="700">
        <v>542.5</v>
      </c>
      <c r="Y69" s="701">
        <v>542.5</v>
      </c>
      <c r="Z69" s="703">
        <v>542.5</v>
      </c>
      <c r="AA69" s="703">
        <v>542.5</v>
      </c>
      <c r="AB69" s="700">
        <v>542.5</v>
      </c>
      <c r="AC69" s="700"/>
      <c r="AD69" s="700"/>
      <c r="AE69" s="700"/>
      <c r="AF69" s="700"/>
      <c r="AG69" s="700"/>
      <c r="BC69" s="658"/>
      <c r="BE69" s="659"/>
    </row>
    <row r="70" spans="1:57" s="276" customFormat="1" ht="27" customHeight="1" outlineLevel="1" x14ac:dyDescent="0.25">
      <c r="A70" s="2461"/>
      <c r="B70" s="1634"/>
      <c r="C70" s="1712"/>
      <c r="D70" s="1713" t="s">
        <v>1099</v>
      </c>
      <c r="E70" s="1431" t="s">
        <v>1100</v>
      </c>
      <c r="F70" s="3610" t="s">
        <v>591</v>
      </c>
      <c r="G70" s="3610"/>
      <c r="H70" s="3610"/>
      <c r="I70" s="1057">
        <v>25</v>
      </c>
      <c r="J70" s="3611" t="s">
        <v>1084</v>
      </c>
      <c r="K70" s="674"/>
      <c r="L70" s="278"/>
      <c r="M70" s="278"/>
      <c r="N70" s="1714"/>
      <c r="O70" s="278"/>
      <c r="P70" s="278"/>
      <c r="Q70" s="278"/>
      <c r="R70" s="278"/>
      <c r="S70" s="277"/>
      <c r="T70" s="277"/>
      <c r="U70" s="277"/>
      <c r="V70" s="3046" t="s">
        <v>1099</v>
      </c>
      <c r="W70" s="691"/>
      <c r="X70" s="691"/>
      <c r="Y70" s="703">
        <v>25</v>
      </c>
      <c r="Z70" s="703">
        <v>25</v>
      </c>
      <c r="AA70" s="703">
        <v>25</v>
      </c>
      <c r="AB70" s="703">
        <v>25</v>
      </c>
      <c r="AC70" s="703"/>
      <c r="AD70" s="703"/>
      <c r="AE70" s="703"/>
      <c r="AF70" s="703"/>
      <c r="AG70" s="703"/>
      <c r="BB70" s="704"/>
      <c r="BC70" s="658"/>
      <c r="BD70" s="705"/>
      <c r="BE70" s="659"/>
    </row>
    <row r="71" spans="1:57" s="276" customFormat="1" ht="27" customHeight="1" outlineLevel="1" x14ac:dyDescent="0.25">
      <c r="A71" s="2461"/>
      <c r="B71" s="1634"/>
      <c r="C71" s="1712"/>
      <c r="D71" s="1713" t="s">
        <v>1101</v>
      </c>
      <c r="E71" s="1431" t="s">
        <v>1102</v>
      </c>
      <c r="F71" s="3610" t="s">
        <v>591</v>
      </c>
      <c r="G71" s="3610"/>
      <c r="H71" s="3610"/>
      <c r="I71" s="1057">
        <v>2960</v>
      </c>
      <c r="J71" s="3612"/>
      <c r="K71" s="674"/>
      <c r="L71" s="278"/>
      <c r="M71" s="278"/>
      <c r="N71" s="1714"/>
      <c r="O71" s="278"/>
      <c r="P71" s="278"/>
      <c r="Q71" s="278"/>
      <c r="R71" s="278"/>
      <c r="S71" s="277"/>
      <c r="T71" s="277"/>
      <c r="U71" s="277"/>
      <c r="V71" s="3046" t="s">
        <v>1101</v>
      </c>
      <c r="W71" s="691"/>
      <c r="X71" s="691"/>
      <c r="Y71" s="703">
        <v>2960</v>
      </c>
      <c r="Z71" s="703">
        <v>2960</v>
      </c>
      <c r="AA71" s="703">
        <v>2960</v>
      </c>
      <c r="AB71" s="703">
        <v>2960</v>
      </c>
      <c r="AC71" s="703"/>
      <c r="AD71" s="703"/>
      <c r="AE71" s="703"/>
      <c r="AF71" s="703"/>
      <c r="AG71" s="703"/>
      <c r="BB71" s="704"/>
      <c r="BC71" s="658"/>
      <c r="BD71" s="705"/>
      <c r="BE71" s="659"/>
    </row>
    <row r="72" spans="1:57" s="276" customFormat="1" outlineLevel="1" x14ac:dyDescent="0.25">
      <c r="A72" s="2461"/>
      <c r="B72" s="1634"/>
      <c r="C72" s="1712"/>
      <c r="D72" s="3608" t="s">
        <v>1103</v>
      </c>
      <c r="E72" s="3609" t="s">
        <v>1104</v>
      </c>
      <c r="F72" s="3610" t="s">
        <v>1105</v>
      </c>
      <c r="G72" s="3610"/>
      <c r="H72" s="3610"/>
      <c r="I72" s="707">
        <v>8.8084612296306403E-2</v>
      </c>
      <c r="J72" s="1711" t="s">
        <v>1106</v>
      </c>
      <c r="K72" s="2156"/>
      <c r="L72" s="278"/>
      <c r="M72" s="278"/>
      <c r="N72" s="1714"/>
      <c r="O72" s="278"/>
      <c r="P72" s="278"/>
      <c r="Q72" s="278"/>
      <c r="R72" s="278"/>
      <c r="S72" s="277"/>
      <c r="T72" s="277"/>
      <c r="U72" s="277"/>
      <c r="V72" s="3608" t="s">
        <v>1103</v>
      </c>
      <c r="W72" s="691"/>
      <c r="X72" s="691"/>
      <c r="Y72" s="706">
        <v>8.8084612296306403E-2</v>
      </c>
      <c r="Z72" s="707">
        <v>8.8084612296306403E-2</v>
      </c>
      <c r="AA72" s="707">
        <v>8.8084612296306403E-2</v>
      </c>
      <c r="AB72" s="707">
        <v>8.8084612296306403E-2</v>
      </c>
      <c r="AC72" s="707"/>
      <c r="AD72" s="707"/>
      <c r="AE72" s="707"/>
      <c r="AF72" s="707"/>
      <c r="AG72" s="707"/>
      <c r="BB72" s="704"/>
      <c r="BC72" s="658"/>
      <c r="BD72" s="705"/>
      <c r="BE72" s="659"/>
    </row>
    <row r="73" spans="1:57" s="276" customFormat="1" outlineLevel="1" x14ac:dyDescent="0.25">
      <c r="A73" s="2461"/>
      <c r="B73" s="1634"/>
      <c r="C73" s="1712"/>
      <c r="D73" s="3608"/>
      <c r="E73" s="3609"/>
      <c r="F73" s="3610" t="s">
        <v>1107</v>
      </c>
      <c r="G73" s="3610"/>
      <c r="H73" s="3610"/>
      <c r="I73" s="707">
        <v>8.8084612296306403E-2</v>
      </c>
      <c r="J73" s="1711" t="s">
        <v>1106</v>
      </c>
      <c r="K73" s="2156"/>
      <c r="L73" s="278"/>
      <c r="M73" s="278"/>
      <c r="N73" s="1714"/>
      <c r="O73" s="278"/>
      <c r="P73" s="278"/>
      <c r="Q73" s="278"/>
      <c r="R73" s="278"/>
      <c r="S73" s="277"/>
      <c r="T73" s="277"/>
      <c r="U73" s="277"/>
      <c r="V73" s="3608"/>
      <c r="W73" s="691"/>
      <c r="X73" s="691"/>
      <c r="Y73" s="706">
        <v>8.8084612296306403E-2</v>
      </c>
      <c r="Z73" s="707">
        <v>8.8084612296306403E-2</v>
      </c>
      <c r="AA73" s="707">
        <v>8.8084612296306403E-2</v>
      </c>
      <c r="AB73" s="707">
        <v>8.8084612296306403E-2</v>
      </c>
      <c r="AC73" s="707"/>
      <c r="AD73" s="707"/>
      <c r="AE73" s="707"/>
      <c r="AF73" s="707"/>
      <c r="AG73" s="707"/>
      <c r="BB73" s="704"/>
      <c r="BC73" s="658"/>
      <c r="BD73" s="705"/>
      <c r="BE73" s="659"/>
    </row>
    <row r="74" spans="1:57" s="276" customFormat="1" ht="15.75" outlineLevel="1" thickBot="1" x14ac:dyDescent="0.3">
      <c r="A74" s="2461"/>
      <c r="B74" s="1634"/>
      <c r="C74" s="1712"/>
      <c r="D74" s="1715" t="s">
        <v>1108</v>
      </c>
      <c r="E74" s="3044" t="s">
        <v>1109</v>
      </c>
      <c r="F74" s="3596" t="s">
        <v>591</v>
      </c>
      <c r="G74" s="3596"/>
      <c r="H74" s="3596"/>
      <c r="I74" s="1716">
        <v>30</v>
      </c>
      <c r="J74" s="1707" t="s">
        <v>1084</v>
      </c>
      <c r="K74" s="2157"/>
      <c r="L74" s="278"/>
      <c r="M74" s="278"/>
      <c r="N74" s="1714"/>
      <c r="O74" s="278"/>
      <c r="P74" s="278"/>
      <c r="Q74" s="278"/>
      <c r="R74" s="278"/>
      <c r="S74" s="277"/>
      <c r="T74" s="277"/>
      <c r="U74" s="277"/>
      <c r="V74" s="1715" t="s">
        <v>1108</v>
      </c>
      <c r="W74" s="695"/>
      <c r="X74" s="695"/>
      <c r="Y74" s="703">
        <v>30</v>
      </c>
      <c r="Z74" s="703">
        <v>30</v>
      </c>
      <c r="AA74" s="703">
        <v>30</v>
      </c>
      <c r="AB74" s="708">
        <v>30</v>
      </c>
      <c r="AC74" s="708"/>
      <c r="AD74" s="708"/>
      <c r="AE74" s="708"/>
      <c r="AF74" s="708"/>
      <c r="AG74" s="708"/>
      <c r="BB74" s="704"/>
      <c r="BC74" s="658"/>
      <c r="BD74" s="705"/>
      <c r="BE74" s="659"/>
    </row>
    <row r="75" spans="1:57" ht="16.5" customHeight="1" outlineLevel="1" x14ac:dyDescent="0.25">
      <c r="B75" s="1359"/>
      <c r="C75" s="302"/>
      <c r="D75" s="3614" t="s">
        <v>722</v>
      </c>
      <c r="E75" s="3617" t="s">
        <v>1110</v>
      </c>
      <c r="F75" s="3605" t="str">
        <f t="shared" ref="F75:F86" si="17">E7</f>
        <v>ECM Auto Fan ROF-SF</v>
      </c>
      <c r="G75" s="3605"/>
      <c r="H75" s="3605"/>
      <c r="I75" s="1717">
        <v>1</v>
      </c>
      <c r="J75" s="710"/>
      <c r="K75" s="711"/>
      <c r="L75" s="1136"/>
      <c r="M75" s="298"/>
      <c r="N75" s="1007"/>
      <c r="O75" s="298"/>
      <c r="P75" s="298"/>
      <c r="Q75" s="298"/>
      <c r="R75" s="298"/>
      <c r="V75" s="3614" t="s">
        <v>722</v>
      </c>
      <c r="W75" s="709">
        <v>1</v>
      </c>
      <c r="X75" s="709">
        <v>1</v>
      </c>
      <c r="Y75" s="709">
        <v>1</v>
      </c>
      <c r="Z75" s="1717">
        <v>1</v>
      </c>
      <c r="AA75" s="1717">
        <v>1</v>
      </c>
      <c r="AB75" s="1718">
        <v>1</v>
      </c>
      <c r="AC75" s="712"/>
      <c r="AD75" s="712"/>
      <c r="AE75" s="712"/>
      <c r="AF75" s="712"/>
      <c r="AG75" s="712"/>
      <c r="BC75" s="658"/>
      <c r="BE75" s="659"/>
    </row>
    <row r="76" spans="1:57" ht="18" customHeight="1" outlineLevel="1" x14ac:dyDescent="0.25">
      <c r="B76" s="1359"/>
      <c r="C76" s="302"/>
      <c r="D76" s="3614"/>
      <c r="E76" s="3617"/>
      <c r="F76" s="3606" t="str">
        <f t="shared" si="17"/>
        <v>ECM Auto Fan ROF-MF</v>
      </c>
      <c r="G76" s="3606"/>
      <c r="H76" s="3606"/>
      <c r="I76" s="1718">
        <v>1</v>
      </c>
      <c r="J76" s="714"/>
      <c r="K76" s="711"/>
      <c r="L76" s="1136"/>
      <c r="M76" s="298"/>
      <c r="N76" s="1007"/>
      <c r="O76" s="298"/>
      <c r="P76" s="298"/>
      <c r="Q76" s="298"/>
      <c r="R76" s="298"/>
      <c r="V76" s="3614"/>
      <c r="W76" s="713">
        <v>1</v>
      </c>
      <c r="X76" s="713">
        <v>1</v>
      </c>
      <c r="Y76" s="713">
        <v>1</v>
      </c>
      <c r="Z76" s="1718">
        <v>1</v>
      </c>
      <c r="AA76" s="1718">
        <v>1</v>
      </c>
      <c r="AB76" s="713">
        <v>1</v>
      </c>
      <c r="AC76" s="713"/>
      <c r="AD76" s="713"/>
      <c r="AE76" s="713"/>
      <c r="AF76" s="713"/>
      <c r="AG76" s="713"/>
      <c r="BC76" s="658"/>
      <c r="BE76" s="659"/>
    </row>
    <row r="77" spans="1:57" ht="18" customHeight="1" outlineLevel="1" x14ac:dyDescent="0.25">
      <c r="B77" s="1359"/>
      <c r="C77" s="302"/>
      <c r="D77" s="3614"/>
      <c r="E77" s="3617"/>
      <c r="F77" s="3606" t="str">
        <f t="shared" si="17"/>
        <v>ECM Auto Fan ER1 - SF</v>
      </c>
      <c r="G77" s="3606"/>
      <c r="H77" s="3606"/>
      <c r="I77" s="1048">
        <v>1</v>
      </c>
      <c r="J77" s="714"/>
      <c r="K77" s="715"/>
      <c r="L77" s="1136"/>
      <c r="M77" s="298"/>
      <c r="N77" s="1007"/>
      <c r="O77" s="298"/>
      <c r="P77" s="298"/>
      <c r="Q77" s="298"/>
      <c r="R77" s="298"/>
      <c r="V77" s="3614"/>
      <c r="W77" s="544">
        <v>1</v>
      </c>
      <c r="X77" s="544">
        <v>1</v>
      </c>
      <c r="Y77" s="544">
        <v>1</v>
      </c>
      <c r="Z77" s="1048">
        <v>1</v>
      </c>
      <c r="AA77" s="1048">
        <v>1</v>
      </c>
      <c r="AB77" s="544">
        <v>1</v>
      </c>
      <c r="AC77" s="544"/>
      <c r="AD77" s="544"/>
      <c r="AE77" s="544"/>
      <c r="AF77" s="544"/>
      <c r="AG77" s="544"/>
      <c r="BC77" s="658"/>
      <c r="BE77" s="659"/>
    </row>
    <row r="78" spans="1:57" ht="18" customHeight="1" outlineLevel="1" x14ac:dyDescent="0.25">
      <c r="B78" s="1359"/>
      <c r="C78" s="302"/>
      <c r="D78" s="3614"/>
      <c r="E78" s="3617"/>
      <c r="F78" s="3606" t="str">
        <f t="shared" si="17"/>
        <v>ECM Auto Fan ER2 - SF</v>
      </c>
      <c r="G78" s="3606"/>
      <c r="H78" s="3606"/>
      <c r="I78" s="1048">
        <v>1</v>
      </c>
      <c r="J78" s="714"/>
      <c r="K78" s="674"/>
      <c r="L78" s="1136"/>
      <c r="M78" s="298"/>
      <c r="N78" s="1007"/>
      <c r="O78" s="298"/>
      <c r="P78" s="298"/>
      <c r="Q78" s="298"/>
      <c r="R78" s="298"/>
      <c r="V78" s="3614"/>
      <c r="W78" s="544">
        <v>1</v>
      </c>
      <c r="X78" s="544">
        <v>1</v>
      </c>
      <c r="Y78" s="544">
        <v>1</v>
      </c>
      <c r="Z78" s="1048">
        <v>1</v>
      </c>
      <c r="AA78" s="1048">
        <v>1</v>
      </c>
      <c r="AB78" s="544">
        <v>1</v>
      </c>
      <c r="AC78" s="544"/>
      <c r="AD78" s="544"/>
      <c r="AE78" s="544"/>
      <c r="AF78" s="544"/>
      <c r="AG78" s="544"/>
      <c r="BC78" s="658"/>
      <c r="BE78" s="659"/>
    </row>
    <row r="79" spans="1:57" ht="18" customHeight="1" outlineLevel="1" x14ac:dyDescent="0.25">
      <c r="B79" s="1359"/>
      <c r="C79" s="302"/>
      <c r="D79" s="3614"/>
      <c r="E79" s="3617"/>
      <c r="F79" s="3606" t="str">
        <f t="shared" si="17"/>
        <v>ECM Auto Fan ER1 - MF</v>
      </c>
      <c r="G79" s="3606"/>
      <c r="H79" s="3606"/>
      <c r="I79" s="1048">
        <v>1</v>
      </c>
      <c r="J79" s="714"/>
      <c r="K79" s="674"/>
      <c r="L79" s="1136"/>
      <c r="M79" s="298"/>
      <c r="N79" s="1007"/>
      <c r="O79" s="298"/>
      <c r="P79" s="298"/>
      <c r="Q79" s="298"/>
      <c r="R79" s="298"/>
      <c r="V79" s="3614"/>
      <c r="W79" s="544">
        <v>1</v>
      </c>
      <c r="X79" s="544">
        <v>1</v>
      </c>
      <c r="Y79" s="544">
        <v>1</v>
      </c>
      <c r="Z79" s="1048">
        <v>1</v>
      </c>
      <c r="AA79" s="1048">
        <v>1</v>
      </c>
      <c r="AB79" s="544">
        <v>1</v>
      </c>
      <c r="AC79" s="544"/>
      <c r="AD79" s="544"/>
      <c r="AE79" s="544"/>
      <c r="AF79" s="544"/>
      <c r="AG79" s="544"/>
      <c r="BC79" s="658"/>
      <c r="BE79" s="659"/>
    </row>
    <row r="80" spans="1:57" ht="18" customHeight="1" outlineLevel="1" x14ac:dyDescent="0.25">
      <c r="B80" s="1359"/>
      <c r="C80" s="302"/>
      <c r="D80" s="3614"/>
      <c r="E80" s="3617"/>
      <c r="F80" s="3606" t="str">
        <f t="shared" si="17"/>
        <v>ECM Auto Fan ER2 - MF</v>
      </c>
      <c r="G80" s="3606"/>
      <c r="H80" s="3606"/>
      <c r="I80" s="1048">
        <v>1</v>
      </c>
      <c r="J80" s="714"/>
      <c r="K80" s="674"/>
      <c r="L80" s="1136"/>
      <c r="M80" s="298"/>
      <c r="N80" s="1007"/>
      <c r="O80" s="298"/>
      <c r="P80" s="298"/>
      <c r="Q80" s="298"/>
      <c r="R80" s="298"/>
      <c r="V80" s="3614"/>
      <c r="W80" s="544">
        <v>1</v>
      </c>
      <c r="X80" s="544">
        <v>1</v>
      </c>
      <c r="Y80" s="544">
        <v>1</v>
      </c>
      <c r="Z80" s="1048">
        <v>1</v>
      </c>
      <c r="AA80" s="1048">
        <v>1</v>
      </c>
      <c r="AB80" s="544">
        <v>1</v>
      </c>
      <c r="AC80" s="544"/>
      <c r="AD80" s="544"/>
      <c r="AE80" s="544"/>
      <c r="AF80" s="544"/>
      <c r="AG80" s="544"/>
      <c r="BC80" s="658"/>
      <c r="BE80" s="659"/>
    </row>
    <row r="81" spans="1:57" outlineLevel="1" x14ac:dyDescent="0.25">
      <c r="B81" s="1359"/>
      <c r="C81" s="316"/>
      <c r="D81" s="3614"/>
      <c r="E81" s="3617"/>
      <c r="F81" s="3606" t="str">
        <f t="shared" si="17"/>
        <v>ECM Continuous Fan ROF- SF</v>
      </c>
      <c r="G81" s="3606"/>
      <c r="H81" s="3606"/>
      <c r="I81" s="1048">
        <v>1</v>
      </c>
      <c r="J81" s="714"/>
      <c r="K81" s="674"/>
      <c r="L81" s="1136"/>
      <c r="M81" s="298"/>
      <c r="N81" s="1007"/>
      <c r="O81" s="298"/>
      <c r="P81" s="298"/>
      <c r="Q81" s="298"/>
      <c r="R81" s="298"/>
      <c r="V81" s="3614"/>
      <c r="W81" s="544">
        <v>1</v>
      </c>
      <c r="X81" s="544">
        <v>1</v>
      </c>
      <c r="Y81" s="544">
        <v>1</v>
      </c>
      <c r="Z81" s="1048">
        <v>1</v>
      </c>
      <c r="AA81" s="1048">
        <v>1</v>
      </c>
      <c r="AB81" s="544">
        <v>1</v>
      </c>
      <c r="AC81" s="544"/>
      <c r="AD81" s="544"/>
      <c r="AE81" s="544"/>
      <c r="AF81" s="544"/>
      <c r="AG81" s="544"/>
      <c r="BC81" s="658"/>
      <c r="BE81" s="659"/>
    </row>
    <row r="82" spans="1:57" outlineLevel="1" x14ac:dyDescent="0.25">
      <c r="B82" s="1359"/>
      <c r="C82" s="316"/>
      <c r="D82" s="3614"/>
      <c r="E82" s="3617"/>
      <c r="F82" s="3606" t="str">
        <f t="shared" si="17"/>
        <v>ECM Continuous Fan ROF- MF</v>
      </c>
      <c r="G82" s="3606"/>
      <c r="H82" s="3606"/>
      <c r="I82" s="1048">
        <v>1</v>
      </c>
      <c r="J82" s="714"/>
      <c r="K82" s="674"/>
      <c r="L82" s="1136"/>
      <c r="M82" s="298"/>
      <c r="N82" s="1007"/>
      <c r="O82" s="298"/>
      <c r="P82" s="298"/>
      <c r="Q82" s="298"/>
      <c r="R82" s="298"/>
      <c r="V82" s="3614"/>
      <c r="W82" s="544">
        <v>1</v>
      </c>
      <c r="X82" s="544">
        <v>1</v>
      </c>
      <c r="Y82" s="544">
        <v>1</v>
      </c>
      <c r="Z82" s="1048">
        <v>1</v>
      </c>
      <c r="AA82" s="1048">
        <v>1</v>
      </c>
      <c r="AB82" s="544">
        <v>1</v>
      </c>
      <c r="AC82" s="544"/>
      <c r="AD82" s="544"/>
      <c r="AE82" s="544"/>
      <c r="AF82" s="544"/>
      <c r="AG82" s="544"/>
      <c r="BC82" s="658"/>
      <c r="BE82" s="659"/>
    </row>
    <row r="83" spans="1:57" outlineLevel="1" x14ac:dyDescent="0.25">
      <c r="B83" s="1359"/>
      <c r="C83" s="317"/>
      <c r="D83" s="3614"/>
      <c r="E83" s="3617"/>
      <c r="F83" s="3606" t="str">
        <f t="shared" si="17"/>
        <v>ECM Continuous Fan ER1 - SF</v>
      </c>
      <c r="G83" s="3606"/>
      <c r="H83" s="3606"/>
      <c r="I83" s="1048">
        <v>1</v>
      </c>
      <c r="J83" s="714"/>
      <c r="K83" s="674"/>
      <c r="L83" s="1136"/>
      <c r="M83" s="298"/>
      <c r="N83" s="1007"/>
      <c r="O83" s="298"/>
      <c r="P83" s="298"/>
      <c r="Q83" s="298"/>
      <c r="R83" s="298"/>
      <c r="V83" s="3614"/>
      <c r="W83" s="544">
        <v>1</v>
      </c>
      <c r="X83" s="544">
        <v>1</v>
      </c>
      <c r="Y83" s="544">
        <v>1</v>
      </c>
      <c r="Z83" s="1048">
        <v>1</v>
      </c>
      <c r="AA83" s="1048">
        <v>1</v>
      </c>
      <c r="AB83" s="544">
        <v>1</v>
      </c>
      <c r="AC83" s="544"/>
      <c r="AD83" s="544"/>
      <c r="AE83" s="544"/>
      <c r="AF83" s="544"/>
      <c r="AG83" s="544"/>
      <c r="BC83" s="658"/>
      <c r="BE83" s="659"/>
    </row>
    <row r="84" spans="1:57" outlineLevel="1" x14ac:dyDescent="0.25">
      <c r="B84" s="1359"/>
      <c r="C84" s="317"/>
      <c r="D84" s="3614"/>
      <c r="E84" s="3617"/>
      <c r="F84" s="3606" t="str">
        <f t="shared" si="17"/>
        <v>ECM Continuous Fan ER2 - SF</v>
      </c>
      <c r="G84" s="3606"/>
      <c r="H84" s="3606"/>
      <c r="I84" s="1719">
        <v>1</v>
      </c>
      <c r="J84" s="717"/>
      <c r="K84" s="674"/>
      <c r="L84" s="1136"/>
      <c r="M84" s="298"/>
      <c r="N84" s="1007"/>
      <c r="O84" s="298"/>
      <c r="P84" s="298"/>
      <c r="Q84" s="298"/>
      <c r="R84" s="298"/>
      <c r="V84" s="3614"/>
      <c r="W84" s="716">
        <v>1</v>
      </c>
      <c r="X84" s="716">
        <v>1</v>
      </c>
      <c r="Y84" s="716">
        <v>1</v>
      </c>
      <c r="Z84" s="1719">
        <v>1</v>
      </c>
      <c r="AA84" s="1719">
        <v>1</v>
      </c>
      <c r="AB84" s="716">
        <v>1</v>
      </c>
      <c r="AC84" s="716"/>
      <c r="AD84" s="716"/>
      <c r="AE84" s="716"/>
      <c r="AF84" s="716"/>
      <c r="AG84" s="716"/>
      <c r="BC84" s="658"/>
      <c r="BE84" s="659"/>
    </row>
    <row r="85" spans="1:57" ht="16.5" customHeight="1" outlineLevel="1" x14ac:dyDescent="0.25">
      <c r="B85" s="1359"/>
      <c r="C85" s="317"/>
      <c r="D85" s="3614"/>
      <c r="E85" s="3617"/>
      <c r="F85" s="3606" t="str">
        <f t="shared" si="17"/>
        <v>ECM Continuous Fan ER1 - MF</v>
      </c>
      <c r="G85" s="3606"/>
      <c r="H85" s="3606"/>
      <c r="I85" s="1048">
        <v>1</v>
      </c>
      <c r="J85" s="714"/>
      <c r="K85" s="674"/>
      <c r="L85" s="1136"/>
      <c r="M85" s="298"/>
      <c r="N85" s="1007"/>
      <c r="O85" s="298"/>
      <c r="P85" s="298"/>
      <c r="Q85" s="298"/>
      <c r="R85" s="298"/>
      <c r="V85" s="3614"/>
      <c r="W85" s="544">
        <v>1</v>
      </c>
      <c r="X85" s="544">
        <v>1</v>
      </c>
      <c r="Y85" s="544">
        <v>1</v>
      </c>
      <c r="Z85" s="1048">
        <v>1</v>
      </c>
      <c r="AA85" s="1048">
        <v>1</v>
      </c>
      <c r="AB85" s="544">
        <v>1</v>
      </c>
      <c r="AC85" s="544"/>
      <c r="AD85" s="544"/>
      <c r="AE85" s="544"/>
      <c r="AF85" s="544"/>
      <c r="AG85" s="544"/>
      <c r="BC85" s="658"/>
      <c r="BE85" s="659"/>
    </row>
    <row r="86" spans="1:57" ht="15.75" outlineLevel="1" thickBot="1" x14ac:dyDescent="0.3">
      <c r="B86" s="1148"/>
      <c r="C86" s="274"/>
      <c r="D86" s="3615"/>
      <c r="E86" s="3618"/>
      <c r="F86" s="3607" t="str">
        <f t="shared" si="17"/>
        <v>ECM Continuous Fan ER2 - MF</v>
      </c>
      <c r="G86" s="3607"/>
      <c r="H86" s="3607"/>
      <c r="I86" s="1720">
        <v>1</v>
      </c>
      <c r="J86" s="719"/>
      <c r="K86" s="677"/>
      <c r="L86" s="1136"/>
      <c r="M86" s="298"/>
      <c r="N86" s="1007"/>
      <c r="O86" s="298"/>
      <c r="P86" s="298"/>
      <c r="Q86" s="298"/>
      <c r="R86" s="298"/>
      <c r="V86" s="3615"/>
      <c r="W86" s="718">
        <v>1</v>
      </c>
      <c r="X86" s="718">
        <v>1</v>
      </c>
      <c r="Y86" s="718">
        <v>1</v>
      </c>
      <c r="Z86" s="1720">
        <v>1</v>
      </c>
      <c r="AA86" s="1720">
        <v>1</v>
      </c>
      <c r="AB86" s="718">
        <v>1</v>
      </c>
      <c r="AC86" s="718"/>
      <c r="AD86" s="718"/>
      <c r="AE86" s="718"/>
      <c r="AF86" s="718"/>
      <c r="AG86" s="718"/>
      <c r="BC86" s="658"/>
      <c r="BE86" s="659"/>
    </row>
    <row r="87" spans="1:57" s="2277" customFormat="1" ht="15.75" outlineLevel="1" thickBot="1" x14ac:dyDescent="0.3">
      <c r="A87" s="1393"/>
      <c r="B87" s="1148"/>
      <c r="C87" s="274"/>
      <c r="D87" s="3049" t="s">
        <v>75</v>
      </c>
      <c r="E87" s="3050" t="s">
        <v>3614</v>
      </c>
      <c r="F87" s="3622" t="s">
        <v>591</v>
      </c>
      <c r="G87" s="3623"/>
      <c r="H87" s="3624"/>
      <c r="I87" s="2637">
        <v>1</v>
      </c>
      <c r="J87" s="3174" t="s">
        <v>3615</v>
      </c>
      <c r="K87" s="3175"/>
      <c r="L87" s="1136"/>
      <c r="M87" s="298"/>
      <c r="N87" s="1007"/>
      <c r="O87" s="298"/>
      <c r="P87" s="298"/>
      <c r="Q87" s="298"/>
      <c r="R87" s="298"/>
      <c r="S87" s="157"/>
      <c r="T87" s="157"/>
      <c r="U87" s="157"/>
      <c r="V87" s="3049" t="s">
        <v>75</v>
      </c>
      <c r="W87" s="2465"/>
      <c r="X87" s="2465"/>
      <c r="Y87" s="2465"/>
      <c r="Z87" s="2637"/>
      <c r="AA87" s="2637"/>
      <c r="AB87" s="2466">
        <v>1</v>
      </c>
      <c r="AC87" s="2465"/>
      <c r="AD87" s="2465"/>
      <c r="AE87" s="2465"/>
      <c r="AF87" s="2465"/>
      <c r="AG87" s="2465"/>
      <c r="BB87" s="647"/>
      <c r="BC87" s="658"/>
      <c r="BD87" s="649"/>
      <c r="BE87" s="659"/>
    </row>
    <row r="88" spans="1:57" ht="18" customHeight="1" outlineLevel="1" x14ac:dyDescent="0.25">
      <c r="B88" s="1359"/>
      <c r="C88" s="302"/>
      <c r="D88" s="3613" t="str">
        <f>N6</f>
        <v>EUL</v>
      </c>
      <c r="E88" s="3616" t="s">
        <v>3680</v>
      </c>
      <c r="F88" s="3605" t="str">
        <f t="shared" ref="F88:F99" si="18">E7</f>
        <v>ECM Auto Fan ROF-SF</v>
      </c>
      <c r="G88" s="3605"/>
      <c r="H88" s="3605"/>
      <c r="I88" s="1721">
        <v>20</v>
      </c>
      <c r="J88" s="710"/>
      <c r="K88" s="721" t="s">
        <v>37</v>
      </c>
      <c r="L88" s="1136"/>
      <c r="M88" s="298"/>
      <c r="N88" s="1007"/>
      <c r="O88" s="298"/>
      <c r="P88" s="298"/>
      <c r="Q88" s="298"/>
      <c r="R88" s="298"/>
      <c r="V88" s="3613" t="s">
        <v>24</v>
      </c>
      <c r="W88" s="720">
        <v>20</v>
      </c>
      <c r="X88" s="720">
        <v>20</v>
      </c>
      <c r="Y88" s="720">
        <v>20</v>
      </c>
      <c r="Z88" s="1721">
        <v>20</v>
      </c>
      <c r="AA88" s="1721">
        <v>20</v>
      </c>
      <c r="AB88" s="720">
        <v>20</v>
      </c>
      <c r="AC88" s="720"/>
      <c r="AD88" s="720"/>
      <c r="AE88" s="720"/>
      <c r="AF88" s="720"/>
      <c r="AG88" s="720"/>
      <c r="BC88" s="658"/>
      <c r="BE88" s="659"/>
    </row>
    <row r="89" spans="1:57" ht="18" customHeight="1" outlineLevel="1" x14ac:dyDescent="0.25">
      <c r="B89" s="1359"/>
      <c r="C89" s="302"/>
      <c r="D89" s="3614"/>
      <c r="E89" s="3617"/>
      <c r="F89" s="3606" t="str">
        <f t="shared" si="18"/>
        <v>ECM Auto Fan ROF-MF</v>
      </c>
      <c r="G89" s="3606"/>
      <c r="H89" s="3606"/>
      <c r="I89" s="1722">
        <v>20</v>
      </c>
      <c r="J89" s="714"/>
      <c r="K89" s="711" t="s">
        <v>37</v>
      </c>
      <c r="L89" s="1136"/>
      <c r="M89" s="298"/>
      <c r="N89" s="1007"/>
      <c r="O89" s="298"/>
      <c r="P89" s="298"/>
      <c r="Q89" s="298"/>
      <c r="R89" s="298"/>
      <c r="V89" s="3614"/>
      <c r="W89" s="722">
        <v>20</v>
      </c>
      <c r="X89" s="722">
        <v>20</v>
      </c>
      <c r="Y89" s="722">
        <v>20</v>
      </c>
      <c r="Z89" s="1722">
        <v>20</v>
      </c>
      <c r="AA89" s="1722">
        <v>20</v>
      </c>
      <c r="AB89" s="722">
        <v>20</v>
      </c>
      <c r="AC89" s="722"/>
      <c r="AD89" s="722"/>
      <c r="AE89" s="722"/>
      <c r="AF89" s="722"/>
      <c r="AG89" s="722"/>
      <c r="BC89" s="658"/>
      <c r="BE89" s="659"/>
    </row>
    <row r="90" spans="1:57" ht="18" customHeight="1" outlineLevel="1" x14ac:dyDescent="0.25">
      <c r="B90" s="1359"/>
      <c r="C90" s="302"/>
      <c r="D90" s="3614"/>
      <c r="E90" s="3617"/>
      <c r="F90" s="3606" t="str">
        <f t="shared" si="18"/>
        <v>ECM Auto Fan ER1 - SF</v>
      </c>
      <c r="G90" s="3606"/>
      <c r="H90" s="3606"/>
      <c r="I90" s="1345">
        <v>6</v>
      </c>
      <c r="J90" s="714"/>
      <c r="K90" s="715" t="s">
        <v>37</v>
      </c>
      <c r="L90" s="1136"/>
      <c r="M90" s="298"/>
      <c r="N90" s="1007"/>
      <c r="O90" s="298"/>
      <c r="P90" s="298"/>
      <c r="Q90" s="298"/>
      <c r="R90" s="298"/>
      <c r="V90" s="3614"/>
      <c r="W90" s="723">
        <v>6</v>
      </c>
      <c r="X90" s="723">
        <v>6</v>
      </c>
      <c r="Y90" s="723">
        <v>6</v>
      </c>
      <c r="Z90" s="1345">
        <v>6</v>
      </c>
      <c r="AA90" s="1345">
        <v>6</v>
      </c>
      <c r="AB90" s="723">
        <v>6</v>
      </c>
      <c r="AC90" s="723"/>
      <c r="AD90" s="723"/>
      <c r="AE90" s="723"/>
      <c r="AF90" s="723"/>
      <c r="AG90" s="723"/>
      <c r="BC90" s="658"/>
      <c r="BE90" s="659"/>
    </row>
    <row r="91" spans="1:57" ht="18" customHeight="1" outlineLevel="1" x14ac:dyDescent="0.25">
      <c r="B91" s="1359"/>
      <c r="C91" s="302"/>
      <c r="D91" s="3614"/>
      <c r="E91" s="3617"/>
      <c r="F91" s="3606" t="str">
        <f t="shared" si="18"/>
        <v>ECM Auto Fan ER2 - SF</v>
      </c>
      <c r="G91" s="3606"/>
      <c r="H91" s="3606"/>
      <c r="I91" s="1345">
        <v>12</v>
      </c>
      <c r="J91" s="714"/>
      <c r="K91" s="674" t="s">
        <v>37</v>
      </c>
      <c r="L91" s="1136"/>
      <c r="M91" s="298"/>
      <c r="N91" s="1007"/>
      <c r="O91" s="298"/>
      <c r="P91" s="298"/>
      <c r="Q91" s="298"/>
      <c r="R91" s="298"/>
      <c r="V91" s="3614"/>
      <c r="W91" s="723">
        <v>12</v>
      </c>
      <c r="X91" s="723">
        <v>12</v>
      </c>
      <c r="Y91" s="723">
        <v>12</v>
      </c>
      <c r="Z91" s="1345">
        <v>12</v>
      </c>
      <c r="AA91" s="1345">
        <v>12</v>
      </c>
      <c r="AB91" s="723">
        <v>12</v>
      </c>
      <c r="AC91" s="723"/>
      <c r="AD91" s="723"/>
      <c r="AE91" s="723"/>
      <c r="AF91" s="723"/>
      <c r="AG91" s="723"/>
      <c r="BC91" s="658"/>
      <c r="BE91" s="659"/>
    </row>
    <row r="92" spans="1:57" ht="18" customHeight="1" outlineLevel="1" x14ac:dyDescent="0.25">
      <c r="B92" s="1359"/>
      <c r="C92" s="302"/>
      <c r="D92" s="3614"/>
      <c r="E92" s="3617"/>
      <c r="F92" s="3606" t="str">
        <f t="shared" si="18"/>
        <v>ECM Auto Fan ER1 - MF</v>
      </c>
      <c r="G92" s="3606"/>
      <c r="H92" s="3606"/>
      <c r="I92" s="1345">
        <v>6</v>
      </c>
      <c r="J92" s="714"/>
      <c r="K92" s="674" t="s">
        <v>37</v>
      </c>
      <c r="L92" s="1136"/>
      <c r="M92" s="298"/>
      <c r="N92" s="1007"/>
      <c r="O92" s="298"/>
      <c r="P92" s="298"/>
      <c r="Q92" s="298"/>
      <c r="R92" s="298"/>
      <c r="V92" s="3614"/>
      <c r="W92" s="723">
        <v>6</v>
      </c>
      <c r="X92" s="723">
        <v>6</v>
      </c>
      <c r="Y92" s="723">
        <v>6</v>
      </c>
      <c r="Z92" s="1345">
        <v>6</v>
      </c>
      <c r="AA92" s="1345">
        <v>6</v>
      </c>
      <c r="AB92" s="723">
        <v>6</v>
      </c>
      <c r="AC92" s="723"/>
      <c r="AD92" s="723"/>
      <c r="AE92" s="723"/>
      <c r="AF92" s="723"/>
      <c r="AG92" s="723"/>
      <c r="BC92" s="658"/>
      <c r="BE92" s="659"/>
    </row>
    <row r="93" spans="1:57" ht="18" customHeight="1" outlineLevel="1" x14ac:dyDescent="0.25">
      <c r="B93" s="1359"/>
      <c r="C93" s="302"/>
      <c r="D93" s="3614"/>
      <c r="E93" s="3617"/>
      <c r="F93" s="3606" t="str">
        <f t="shared" si="18"/>
        <v>ECM Auto Fan ER2 - MF</v>
      </c>
      <c r="G93" s="3606"/>
      <c r="H93" s="3606"/>
      <c r="I93" s="1345">
        <v>12</v>
      </c>
      <c r="J93" s="714"/>
      <c r="K93" s="674" t="s">
        <v>37</v>
      </c>
      <c r="L93" s="1136"/>
      <c r="M93" s="298"/>
      <c r="N93" s="1007"/>
      <c r="O93" s="298"/>
      <c r="P93" s="298"/>
      <c r="Q93" s="298"/>
      <c r="R93" s="298"/>
      <c r="V93" s="3614"/>
      <c r="W93" s="723">
        <v>12</v>
      </c>
      <c r="X93" s="723">
        <v>12</v>
      </c>
      <c r="Y93" s="723">
        <v>12</v>
      </c>
      <c r="Z93" s="1345">
        <v>12</v>
      </c>
      <c r="AA93" s="1345">
        <v>12</v>
      </c>
      <c r="AB93" s="723">
        <v>12</v>
      </c>
      <c r="AC93" s="723"/>
      <c r="AD93" s="723"/>
      <c r="AE93" s="723"/>
      <c r="AF93" s="723"/>
      <c r="AG93" s="723"/>
      <c r="BC93" s="658"/>
      <c r="BE93" s="659"/>
    </row>
    <row r="94" spans="1:57" outlineLevel="1" x14ac:dyDescent="0.25">
      <c r="B94" s="1359"/>
      <c r="C94" s="316"/>
      <c r="D94" s="3614"/>
      <c r="E94" s="3617"/>
      <c r="F94" s="3606" t="str">
        <f t="shared" si="18"/>
        <v>ECM Continuous Fan ROF- SF</v>
      </c>
      <c r="G94" s="3606"/>
      <c r="H94" s="3606"/>
      <c r="I94" s="1345">
        <v>20</v>
      </c>
      <c r="J94" s="714"/>
      <c r="K94" s="674" t="s">
        <v>37</v>
      </c>
      <c r="L94" s="1136"/>
      <c r="M94" s="298"/>
      <c r="N94" s="1007"/>
      <c r="O94" s="3419" t="s">
        <v>613</v>
      </c>
      <c r="P94" s="3452"/>
      <c r="Q94" s="3452"/>
      <c r="R94" s="3469"/>
      <c r="V94" s="3614"/>
      <c r="W94" s="723">
        <v>20</v>
      </c>
      <c r="X94" s="723">
        <v>20</v>
      </c>
      <c r="Y94" s="723">
        <v>20</v>
      </c>
      <c r="Z94" s="1345">
        <v>20</v>
      </c>
      <c r="AA94" s="1345">
        <v>20</v>
      </c>
      <c r="AB94" s="723">
        <v>20</v>
      </c>
      <c r="AC94" s="723"/>
      <c r="AD94" s="723"/>
      <c r="AE94" s="723"/>
      <c r="AF94" s="723"/>
      <c r="AG94" s="723"/>
      <c r="BC94" s="658"/>
      <c r="BE94" s="659"/>
    </row>
    <row r="95" spans="1:57" outlineLevel="1" x14ac:dyDescent="0.25">
      <c r="B95" s="1359"/>
      <c r="C95" s="316"/>
      <c r="D95" s="3614"/>
      <c r="E95" s="3617"/>
      <c r="F95" s="3606" t="str">
        <f t="shared" si="18"/>
        <v>ECM Continuous Fan ROF- MF</v>
      </c>
      <c r="G95" s="3606"/>
      <c r="H95" s="3606"/>
      <c r="I95" s="1345">
        <v>20</v>
      </c>
      <c r="J95" s="714"/>
      <c r="K95" s="674" t="s">
        <v>37</v>
      </c>
      <c r="L95" s="1136"/>
      <c r="M95" s="298"/>
      <c r="N95" s="1007"/>
      <c r="O95" s="1723"/>
      <c r="P95" s="724"/>
      <c r="Q95" s="1420" t="s">
        <v>3262</v>
      </c>
      <c r="R95" s="1412" t="s">
        <v>3227</v>
      </c>
      <c r="V95" s="3614"/>
      <c r="W95" s="723">
        <v>20</v>
      </c>
      <c r="X95" s="723">
        <v>20</v>
      </c>
      <c r="Y95" s="723">
        <v>20</v>
      </c>
      <c r="Z95" s="1345">
        <v>20</v>
      </c>
      <c r="AA95" s="1345">
        <v>20</v>
      </c>
      <c r="AB95" s="723">
        <v>20</v>
      </c>
      <c r="AC95" s="723"/>
      <c r="AD95" s="723"/>
      <c r="AE95" s="723"/>
      <c r="AF95" s="723"/>
      <c r="AG95" s="723"/>
      <c r="BC95" s="658"/>
      <c r="BE95" s="659"/>
    </row>
    <row r="96" spans="1:57" outlineLevel="1" x14ac:dyDescent="0.25">
      <c r="B96" s="1359"/>
      <c r="C96" s="317"/>
      <c r="D96" s="3614"/>
      <c r="E96" s="3617"/>
      <c r="F96" s="3606" t="str">
        <f t="shared" si="18"/>
        <v>ECM Continuous Fan ER1 - SF</v>
      </c>
      <c r="G96" s="3606"/>
      <c r="H96" s="3606"/>
      <c r="I96" s="1345">
        <v>6</v>
      </c>
      <c r="J96" s="714"/>
      <c r="K96" s="674" t="s">
        <v>37</v>
      </c>
      <c r="L96" s="1136"/>
      <c r="M96" s="298"/>
      <c r="N96" s="1007"/>
      <c r="O96" s="3619" t="s">
        <v>1783</v>
      </c>
      <c r="P96" s="3620"/>
      <c r="Q96" s="1341">
        <f>($Q$102/1+R96)-$Q$101/((1+$Q$104)^($Q$105-1))</f>
        <v>74.327224020150311</v>
      </c>
      <c r="R96" s="725">
        <v>0</v>
      </c>
      <c r="V96" s="3614"/>
      <c r="W96" s="723">
        <v>6</v>
      </c>
      <c r="X96" s="723">
        <v>6</v>
      </c>
      <c r="Y96" s="723">
        <v>6</v>
      </c>
      <c r="Z96" s="1345">
        <v>6</v>
      </c>
      <c r="AA96" s="1345">
        <v>6</v>
      </c>
      <c r="AB96" s="723">
        <v>6</v>
      </c>
      <c r="AC96" s="723"/>
      <c r="AD96" s="723"/>
      <c r="AE96" s="723"/>
      <c r="AF96" s="723"/>
      <c r="AG96" s="723"/>
      <c r="BC96" s="658"/>
      <c r="BE96" s="659"/>
    </row>
    <row r="97" spans="2:57" outlineLevel="1" x14ac:dyDescent="0.25">
      <c r="B97" s="1359"/>
      <c r="C97" s="317"/>
      <c r="D97" s="3614"/>
      <c r="E97" s="3617"/>
      <c r="F97" s="3606" t="str">
        <f t="shared" si="18"/>
        <v>ECM Continuous Fan ER2 - SF</v>
      </c>
      <c r="G97" s="3606"/>
      <c r="H97" s="3606"/>
      <c r="I97" s="1724">
        <v>12</v>
      </c>
      <c r="J97" s="717"/>
      <c r="K97" s="674" t="s">
        <v>37</v>
      </c>
      <c r="L97" s="1136"/>
      <c r="M97" s="298"/>
      <c r="N97" s="1007"/>
      <c r="O97" s="3621"/>
      <c r="P97" s="3621"/>
      <c r="Q97" s="727"/>
      <c r="R97" s="728"/>
      <c r="V97" s="3614"/>
      <c r="W97" s="726">
        <v>12</v>
      </c>
      <c r="X97" s="726">
        <v>12</v>
      </c>
      <c r="Y97" s="726">
        <v>12</v>
      </c>
      <c r="Z97" s="1724">
        <v>12</v>
      </c>
      <c r="AA97" s="1724">
        <v>12</v>
      </c>
      <c r="AB97" s="726">
        <v>12</v>
      </c>
      <c r="AC97" s="726"/>
      <c r="AD97" s="726"/>
      <c r="AE97" s="726"/>
      <c r="AF97" s="726"/>
      <c r="AG97" s="726"/>
      <c r="BC97" s="658"/>
      <c r="BE97" s="659"/>
    </row>
    <row r="98" spans="2:57" ht="16.5" customHeight="1" outlineLevel="1" x14ac:dyDescent="0.25">
      <c r="B98" s="1359"/>
      <c r="C98" s="317"/>
      <c r="D98" s="3614"/>
      <c r="E98" s="3617"/>
      <c r="F98" s="3606" t="str">
        <f t="shared" si="18"/>
        <v>ECM Continuous Fan ER1 - MF</v>
      </c>
      <c r="G98" s="3606"/>
      <c r="H98" s="3606"/>
      <c r="I98" s="1345">
        <v>6</v>
      </c>
      <c r="J98" s="714"/>
      <c r="K98" s="674" t="s">
        <v>37</v>
      </c>
      <c r="L98" s="1136"/>
      <c r="M98" s="298"/>
      <c r="N98" s="1007"/>
      <c r="O98" s="278"/>
      <c r="P98" s="278"/>
      <c r="Q98" s="278"/>
      <c r="R98" s="278"/>
      <c r="V98" s="3614"/>
      <c r="W98" s="723">
        <v>6</v>
      </c>
      <c r="X98" s="723">
        <v>6</v>
      </c>
      <c r="Y98" s="723">
        <v>6</v>
      </c>
      <c r="Z98" s="1345">
        <v>6</v>
      </c>
      <c r="AA98" s="1345">
        <v>6</v>
      </c>
      <c r="AB98" s="723">
        <v>6</v>
      </c>
      <c r="AC98" s="723"/>
      <c r="AD98" s="723"/>
      <c r="AE98" s="723"/>
      <c r="AF98" s="723"/>
      <c r="AG98" s="723"/>
      <c r="BC98" s="658"/>
      <c r="BE98" s="659"/>
    </row>
    <row r="99" spans="2:57" ht="15.75" outlineLevel="1" thickBot="1" x14ac:dyDescent="0.3">
      <c r="B99" s="1148"/>
      <c r="C99" s="274"/>
      <c r="D99" s="3615"/>
      <c r="E99" s="3618"/>
      <c r="F99" s="3607" t="str">
        <f t="shared" si="18"/>
        <v>ECM Continuous Fan ER2 - MF</v>
      </c>
      <c r="G99" s="3607"/>
      <c r="H99" s="3607"/>
      <c r="I99" s="1725">
        <v>12</v>
      </c>
      <c r="J99" s="719"/>
      <c r="K99" s="677" t="s">
        <v>37</v>
      </c>
      <c r="L99" s="1136"/>
      <c r="M99" s="298"/>
      <c r="N99" s="1007"/>
      <c r="O99" s="278"/>
      <c r="P99" s="278"/>
      <c r="Q99" s="278"/>
      <c r="R99" s="278"/>
      <c r="V99" s="3615"/>
      <c r="W99" s="729">
        <v>12</v>
      </c>
      <c r="X99" s="729">
        <v>12</v>
      </c>
      <c r="Y99" s="729">
        <v>12</v>
      </c>
      <c r="Z99" s="1725">
        <v>12</v>
      </c>
      <c r="AA99" s="1725">
        <v>12</v>
      </c>
      <c r="AB99" s="729">
        <v>12</v>
      </c>
      <c r="AC99" s="729"/>
      <c r="AD99" s="729"/>
      <c r="AE99" s="729"/>
      <c r="AF99" s="729"/>
      <c r="AG99" s="729"/>
      <c r="BC99" s="658"/>
      <c r="BE99" s="659"/>
    </row>
    <row r="100" spans="2:57" ht="18" customHeight="1" outlineLevel="1" x14ac:dyDescent="0.25">
      <c r="B100" s="1359"/>
      <c r="C100" s="302"/>
      <c r="D100" s="3613" t="str">
        <f>O6</f>
        <v>Inc. Cost</v>
      </c>
      <c r="E100" s="3616" t="s">
        <v>897</v>
      </c>
      <c r="F100" s="3605" t="str">
        <f t="shared" ref="F100:F111" si="19">E7</f>
        <v>ECM Auto Fan ROF-SF</v>
      </c>
      <c r="G100" s="3605"/>
      <c r="H100" s="3605"/>
      <c r="I100" s="1726">
        <f>$R$96</f>
        <v>0</v>
      </c>
      <c r="J100" s="714"/>
      <c r="K100" s="721" t="s">
        <v>37</v>
      </c>
      <c r="L100" s="1136"/>
      <c r="M100" s="1727"/>
      <c r="N100" s="1007"/>
      <c r="O100" s="3483" t="s">
        <v>1112</v>
      </c>
      <c r="P100" s="3646"/>
      <c r="Q100" s="3533"/>
      <c r="R100" s="278"/>
      <c r="V100" s="3613" t="s">
        <v>25</v>
      </c>
      <c r="W100" s="730">
        <f t="shared" ref="W100:AA101" si="20">$R$96</f>
        <v>0</v>
      </c>
      <c r="X100" s="730">
        <f t="shared" si="20"/>
        <v>0</v>
      </c>
      <c r="Y100" s="730">
        <f t="shared" si="20"/>
        <v>0</v>
      </c>
      <c r="Z100" s="1726">
        <f t="shared" si="20"/>
        <v>0</v>
      </c>
      <c r="AA100" s="1726">
        <f t="shared" si="20"/>
        <v>0</v>
      </c>
      <c r="AB100" s="730">
        <v>0</v>
      </c>
      <c r="AC100" s="730"/>
      <c r="AD100" s="730"/>
      <c r="AE100" s="730"/>
      <c r="AF100" s="730"/>
      <c r="AG100" s="730"/>
      <c r="BC100" s="658"/>
      <c r="BE100" s="659"/>
    </row>
    <row r="101" spans="2:57" ht="18" customHeight="1" outlineLevel="1" x14ac:dyDescent="0.25">
      <c r="B101" s="1359"/>
      <c r="C101" s="302"/>
      <c r="D101" s="3614"/>
      <c r="E101" s="3617"/>
      <c r="F101" s="3606" t="str">
        <f t="shared" si="19"/>
        <v>ECM Auto Fan ROF-MF</v>
      </c>
      <c r="G101" s="3606"/>
      <c r="H101" s="3606"/>
      <c r="I101" s="1728">
        <f>$R$96</f>
        <v>0</v>
      </c>
      <c r="J101" s="714"/>
      <c r="K101" s="711" t="s">
        <v>37</v>
      </c>
      <c r="L101" s="1136"/>
      <c r="M101" s="298"/>
      <c r="N101" s="1007"/>
      <c r="O101" s="3634" t="s">
        <v>1113</v>
      </c>
      <c r="P101" s="3635"/>
      <c r="Q101" s="732">
        <f>Q102*(1+Q103)^Q105</f>
        <v>534.92714915040006</v>
      </c>
      <c r="R101" s="278"/>
      <c r="V101" s="3614"/>
      <c r="W101" s="731">
        <f t="shared" si="20"/>
        <v>0</v>
      </c>
      <c r="X101" s="731">
        <f t="shared" si="20"/>
        <v>0</v>
      </c>
      <c r="Y101" s="731">
        <f t="shared" si="20"/>
        <v>0</v>
      </c>
      <c r="Z101" s="1728">
        <f t="shared" si="20"/>
        <v>0</v>
      </c>
      <c r="AA101" s="1728">
        <f t="shared" si="20"/>
        <v>0</v>
      </c>
      <c r="AB101" s="731">
        <v>0</v>
      </c>
      <c r="AC101" s="731"/>
      <c r="AD101" s="731"/>
      <c r="AE101" s="731"/>
      <c r="AF101" s="731"/>
      <c r="AG101" s="731"/>
      <c r="BC101" s="658"/>
      <c r="BE101" s="659"/>
    </row>
    <row r="102" spans="2:57" ht="18" customHeight="1" outlineLevel="1" x14ac:dyDescent="0.25">
      <c r="B102" s="1359"/>
      <c r="C102" s="302"/>
      <c r="D102" s="3614"/>
      <c r="E102" s="3617"/>
      <c r="F102" s="3606" t="str">
        <f t="shared" si="19"/>
        <v>ECM Auto Fan ER1 - SF</v>
      </c>
      <c r="G102" s="3606"/>
      <c r="H102" s="3606"/>
      <c r="I102" s="1346">
        <f>$Q$96</f>
        <v>74.327224020150311</v>
      </c>
      <c r="J102" s="714"/>
      <c r="K102" s="715" t="s">
        <v>37</v>
      </c>
      <c r="L102" s="1136"/>
      <c r="M102" s="298"/>
      <c r="N102" s="1007"/>
      <c r="O102" s="3634" t="s">
        <v>1114</v>
      </c>
      <c r="P102" s="3635"/>
      <c r="Q102" s="734">
        <v>475</v>
      </c>
      <c r="R102" s="1729" t="s">
        <v>1115</v>
      </c>
      <c r="V102" s="3614"/>
      <c r="W102" s="733">
        <f>$Q$96</f>
        <v>74.327224020150311</v>
      </c>
      <c r="X102" s="733">
        <f>$Q$96</f>
        <v>74.327224020150311</v>
      </c>
      <c r="Y102" s="733">
        <f>$Q$96</f>
        <v>74.327224020150311</v>
      </c>
      <c r="Z102" s="1346">
        <f t="shared" ref="Z102:AA102" si="21">$Q$96</f>
        <v>74.327224020150311</v>
      </c>
      <c r="AA102" s="1346">
        <f t="shared" si="21"/>
        <v>74.327224020150311</v>
      </c>
      <c r="AB102" s="733">
        <v>74.327224020150311</v>
      </c>
      <c r="AC102" s="733"/>
      <c r="AD102" s="733"/>
      <c r="AE102" s="733"/>
      <c r="AF102" s="733"/>
      <c r="AG102" s="733"/>
      <c r="BC102" s="658"/>
      <c r="BE102" s="659"/>
    </row>
    <row r="103" spans="2:57" ht="18" customHeight="1" outlineLevel="1" x14ac:dyDescent="0.25">
      <c r="B103" s="1359"/>
      <c r="C103" s="302"/>
      <c r="D103" s="3614"/>
      <c r="E103" s="3617"/>
      <c r="F103" s="3606" t="str">
        <f t="shared" si="19"/>
        <v>ECM Auto Fan ER2 - SF</v>
      </c>
      <c r="G103" s="3606"/>
      <c r="H103" s="3606"/>
      <c r="I103" s="1346"/>
      <c r="J103" s="714"/>
      <c r="K103" s="674" t="s">
        <v>37</v>
      </c>
      <c r="L103" s="1136"/>
      <c r="M103" s="298"/>
      <c r="N103" s="1007"/>
      <c r="O103" s="3634" t="s">
        <v>1116</v>
      </c>
      <c r="P103" s="3635"/>
      <c r="Q103" s="735">
        <v>0.02</v>
      </c>
      <c r="R103" s="278"/>
      <c r="V103" s="3614"/>
      <c r="W103" s="733"/>
      <c r="X103" s="733"/>
      <c r="Y103" s="733"/>
      <c r="Z103" s="1346"/>
      <c r="AA103" s="1346"/>
      <c r="AB103" s="733"/>
      <c r="AC103" s="733"/>
      <c r="AD103" s="733"/>
      <c r="AE103" s="733"/>
      <c r="AF103" s="733"/>
      <c r="AG103" s="733"/>
      <c r="BC103" s="658"/>
      <c r="BE103" s="659"/>
    </row>
    <row r="104" spans="2:57" ht="18" customHeight="1" outlineLevel="1" x14ac:dyDescent="0.25">
      <c r="B104" s="1359"/>
      <c r="C104" s="302"/>
      <c r="D104" s="3614"/>
      <c r="E104" s="3617"/>
      <c r="F104" s="3606" t="str">
        <f t="shared" si="19"/>
        <v>ECM Auto Fan ER1 - MF</v>
      </c>
      <c r="G104" s="3606"/>
      <c r="H104" s="3606"/>
      <c r="I104" s="1346">
        <f>$Q$96</f>
        <v>74.327224020150311</v>
      </c>
      <c r="J104" s="714"/>
      <c r="K104" s="674" t="s">
        <v>37</v>
      </c>
      <c r="L104" s="1136"/>
      <c r="M104" s="1730"/>
      <c r="N104" s="1007"/>
      <c r="O104" s="3636" t="s">
        <v>1117</v>
      </c>
      <c r="P104" s="3637"/>
      <c r="Q104" s="735">
        <v>5.9499999999999997E-2</v>
      </c>
      <c r="R104" s="278"/>
      <c r="V104" s="3614"/>
      <c r="W104" s="733">
        <f>$Q$96</f>
        <v>74.327224020150311</v>
      </c>
      <c r="X104" s="733">
        <f>$Q$96</f>
        <v>74.327224020150311</v>
      </c>
      <c r="Y104" s="733">
        <f>$Q$96</f>
        <v>74.327224020150311</v>
      </c>
      <c r="Z104" s="1346">
        <f t="shared" ref="Z104:AA104" si="22">$Q$96</f>
        <v>74.327224020150311</v>
      </c>
      <c r="AA104" s="1346">
        <f t="shared" si="22"/>
        <v>74.327224020150311</v>
      </c>
      <c r="AB104" s="733">
        <v>74.327224020150311</v>
      </c>
      <c r="AC104" s="733"/>
      <c r="AD104" s="733"/>
      <c r="AE104" s="733"/>
      <c r="AF104" s="733"/>
      <c r="AG104" s="733"/>
      <c r="BC104" s="658"/>
      <c r="BE104" s="659"/>
    </row>
    <row r="105" spans="2:57" ht="18" customHeight="1" outlineLevel="1" x14ac:dyDescent="0.25">
      <c r="B105" s="1359"/>
      <c r="C105" s="302"/>
      <c r="D105" s="3614"/>
      <c r="E105" s="3617"/>
      <c r="F105" s="3606" t="str">
        <f t="shared" si="19"/>
        <v>ECM Auto Fan ER2 - MF</v>
      </c>
      <c r="G105" s="3606"/>
      <c r="H105" s="3606"/>
      <c r="I105" s="1346"/>
      <c r="J105" s="714"/>
      <c r="K105" s="674" t="s">
        <v>37</v>
      </c>
      <c r="L105" s="1136"/>
      <c r="M105" s="298"/>
      <c r="N105" s="1007"/>
      <c r="O105" s="736" t="s">
        <v>1118</v>
      </c>
      <c r="P105" s="737"/>
      <c r="Q105" s="734">
        <v>6</v>
      </c>
      <c r="R105" s="278"/>
      <c r="V105" s="3614"/>
      <c r="W105" s="733"/>
      <c r="X105" s="733"/>
      <c r="Y105" s="733"/>
      <c r="Z105" s="1346"/>
      <c r="AA105" s="1346"/>
      <c r="AB105" s="733"/>
      <c r="AC105" s="733"/>
      <c r="AD105" s="733"/>
      <c r="AE105" s="733"/>
      <c r="AF105" s="733"/>
      <c r="AG105" s="733"/>
      <c r="BC105" s="658"/>
      <c r="BE105" s="659"/>
    </row>
    <row r="106" spans="2:57" ht="15" customHeight="1" outlineLevel="1" x14ac:dyDescent="0.25">
      <c r="B106" s="1359"/>
      <c r="C106" s="316"/>
      <c r="D106" s="3614"/>
      <c r="E106" s="3617"/>
      <c r="F106" s="3606" t="str">
        <f t="shared" si="19"/>
        <v>ECM Continuous Fan ROF- SF</v>
      </c>
      <c r="G106" s="3606"/>
      <c r="H106" s="3606"/>
      <c r="I106" s="1346">
        <f>$R$96</f>
        <v>0</v>
      </c>
      <c r="J106" s="714"/>
      <c r="K106" s="674" t="s">
        <v>37</v>
      </c>
      <c r="L106" s="1136"/>
      <c r="M106" s="298"/>
      <c r="N106" s="1007"/>
      <c r="V106" s="3614"/>
      <c r="W106" s="733">
        <f t="shared" ref="W106:AA107" si="23">$R$96</f>
        <v>0</v>
      </c>
      <c r="X106" s="733">
        <f t="shared" si="23"/>
        <v>0</v>
      </c>
      <c r="Y106" s="733">
        <f t="shared" si="23"/>
        <v>0</v>
      </c>
      <c r="Z106" s="1346">
        <f t="shared" si="23"/>
        <v>0</v>
      </c>
      <c r="AA106" s="1346">
        <f t="shared" si="23"/>
        <v>0</v>
      </c>
      <c r="AB106" s="733">
        <v>0</v>
      </c>
      <c r="AC106" s="733"/>
      <c r="AD106" s="733"/>
      <c r="AE106" s="733"/>
      <c r="AF106" s="733"/>
      <c r="AG106" s="733"/>
      <c r="BC106" s="658"/>
      <c r="BE106" s="659"/>
    </row>
    <row r="107" spans="2:57" outlineLevel="1" x14ac:dyDescent="0.25">
      <c r="B107" s="1359"/>
      <c r="C107" s="316"/>
      <c r="D107" s="3614"/>
      <c r="E107" s="3617"/>
      <c r="F107" s="3606" t="str">
        <f t="shared" si="19"/>
        <v>ECM Continuous Fan ROF- MF</v>
      </c>
      <c r="G107" s="3606"/>
      <c r="H107" s="3606"/>
      <c r="I107" s="1346">
        <f>$R$96</f>
        <v>0</v>
      </c>
      <c r="J107" s="714"/>
      <c r="K107" s="674" t="s">
        <v>37</v>
      </c>
      <c r="L107" s="1136"/>
      <c r="M107" s="298"/>
      <c r="N107" s="1007"/>
      <c r="V107" s="3614"/>
      <c r="W107" s="733">
        <f t="shared" si="23"/>
        <v>0</v>
      </c>
      <c r="X107" s="733">
        <f t="shared" si="23"/>
        <v>0</v>
      </c>
      <c r="Y107" s="733">
        <f t="shared" si="23"/>
        <v>0</v>
      </c>
      <c r="Z107" s="1346">
        <f t="shared" si="23"/>
        <v>0</v>
      </c>
      <c r="AA107" s="1346">
        <f t="shared" si="23"/>
        <v>0</v>
      </c>
      <c r="AB107" s="733">
        <v>0</v>
      </c>
      <c r="AC107" s="733"/>
      <c r="AD107" s="733"/>
      <c r="AE107" s="733"/>
      <c r="AF107" s="733"/>
      <c r="AG107" s="733"/>
      <c r="BC107" s="658"/>
      <c r="BE107" s="659"/>
    </row>
    <row r="108" spans="2:57" outlineLevel="1" x14ac:dyDescent="0.25">
      <c r="B108" s="1359"/>
      <c r="C108" s="317"/>
      <c r="D108" s="3614"/>
      <c r="E108" s="3617"/>
      <c r="F108" s="3606" t="str">
        <f t="shared" si="19"/>
        <v>ECM Continuous Fan ER1 - SF</v>
      </c>
      <c r="G108" s="3606"/>
      <c r="H108" s="3606"/>
      <c r="I108" s="1346">
        <f>$Q$96</f>
        <v>74.327224020150311</v>
      </c>
      <c r="J108" s="714"/>
      <c r="K108" s="674" t="s">
        <v>37</v>
      </c>
      <c r="L108" s="1136"/>
      <c r="M108" s="298"/>
      <c r="N108" s="1007"/>
      <c r="V108" s="3614"/>
      <c r="W108" s="733">
        <f>$Q$96</f>
        <v>74.327224020150311</v>
      </c>
      <c r="X108" s="733">
        <f>$Q$96</f>
        <v>74.327224020150311</v>
      </c>
      <c r="Y108" s="733">
        <f>$Q$96</f>
        <v>74.327224020150311</v>
      </c>
      <c r="Z108" s="1346">
        <f t="shared" ref="Z108:AA108" si="24">$Q$96</f>
        <v>74.327224020150311</v>
      </c>
      <c r="AA108" s="1346">
        <f t="shared" si="24"/>
        <v>74.327224020150311</v>
      </c>
      <c r="AB108" s="733">
        <v>74.327224020150311</v>
      </c>
      <c r="AC108" s="733"/>
      <c r="AD108" s="733"/>
      <c r="AE108" s="733"/>
      <c r="AF108" s="733"/>
      <c r="AG108" s="733"/>
      <c r="BC108" s="658"/>
      <c r="BE108" s="659"/>
    </row>
    <row r="109" spans="2:57" outlineLevel="1" x14ac:dyDescent="0.25">
      <c r="B109" s="1359"/>
      <c r="C109" s="317"/>
      <c r="D109" s="3614"/>
      <c r="E109" s="3617"/>
      <c r="F109" s="3606" t="str">
        <f t="shared" si="19"/>
        <v>ECM Continuous Fan ER2 - SF</v>
      </c>
      <c r="G109" s="3606"/>
      <c r="H109" s="3606"/>
      <c r="I109" s="1731"/>
      <c r="J109" s="717"/>
      <c r="K109" s="674" t="s">
        <v>37</v>
      </c>
      <c r="L109" s="1136"/>
      <c r="M109" s="298"/>
      <c r="N109" s="1007"/>
      <c r="V109" s="3614"/>
      <c r="W109" s="738"/>
      <c r="X109" s="738"/>
      <c r="Y109" s="738"/>
      <c r="Z109" s="1731"/>
      <c r="AA109" s="1731"/>
      <c r="AB109" s="738"/>
      <c r="AC109" s="738"/>
      <c r="AD109" s="738"/>
      <c r="AE109" s="738"/>
      <c r="AF109" s="738"/>
      <c r="AG109" s="738"/>
      <c r="BC109" s="658"/>
      <c r="BE109" s="659"/>
    </row>
    <row r="110" spans="2:57" ht="16.5" customHeight="1" outlineLevel="1" x14ac:dyDescent="0.25">
      <c r="B110" s="1359"/>
      <c r="C110" s="317"/>
      <c r="D110" s="3614"/>
      <c r="E110" s="3617"/>
      <c r="F110" s="3606" t="str">
        <f t="shared" si="19"/>
        <v>ECM Continuous Fan ER1 - MF</v>
      </c>
      <c r="G110" s="3606"/>
      <c r="H110" s="3606"/>
      <c r="I110" s="1346">
        <f>$Q$96</f>
        <v>74.327224020150311</v>
      </c>
      <c r="J110" s="714"/>
      <c r="K110" s="674" t="s">
        <v>37</v>
      </c>
      <c r="L110" s="1136"/>
      <c r="M110" s="298"/>
      <c r="N110" s="1007"/>
      <c r="O110" s="298"/>
      <c r="P110" s="298"/>
      <c r="Q110" s="298"/>
      <c r="R110" s="298"/>
      <c r="V110" s="3614"/>
      <c r="W110" s="733">
        <f>$Q$96</f>
        <v>74.327224020150311</v>
      </c>
      <c r="X110" s="733">
        <f>$Q$96</f>
        <v>74.327224020150311</v>
      </c>
      <c r="Y110" s="733">
        <f>$Q$96</f>
        <v>74.327224020150311</v>
      </c>
      <c r="Z110" s="1346">
        <f t="shared" ref="Z110:AA110" si="25">$Q$96</f>
        <v>74.327224020150311</v>
      </c>
      <c r="AA110" s="1346">
        <f t="shared" si="25"/>
        <v>74.327224020150311</v>
      </c>
      <c r="AB110" s="733">
        <v>74.327224020150311</v>
      </c>
      <c r="AC110" s="733"/>
      <c r="AD110" s="733"/>
      <c r="AE110" s="733"/>
      <c r="AF110" s="733"/>
      <c r="AG110" s="733"/>
      <c r="BC110" s="658"/>
      <c r="BE110" s="659"/>
    </row>
    <row r="111" spans="2:57" ht="15.75" outlineLevel="1" thickBot="1" x14ac:dyDescent="0.3">
      <c r="B111" s="1148"/>
      <c r="C111" s="274"/>
      <c r="D111" s="3615"/>
      <c r="E111" s="3618"/>
      <c r="F111" s="3607" t="str">
        <f t="shared" si="19"/>
        <v>ECM Continuous Fan ER2 - MF</v>
      </c>
      <c r="G111" s="3607"/>
      <c r="H111" s="3607"/>
      <c r="I111" s="1732"/>
      <c r="J111" s="719"/>
      <c r="K111" s="677" t="s">
        <v>37</v>
      </c>
      <c r="L111" s="1136"/>
      <c r="M111" s="298"/>
      <c r="N111" s="1007"/>
      <c r="O111" s="298"/>
      <c r="P111" s="298"/>
      <c r="Q111" s="298"/>
      <c r="R111" s="298"/>
      <c r="V111" s="3615"/>
      <c r="W111" s="739"/>
      <c r="X111" s="739"/>
      <c r="Y111" s="739"/>
      <c r="Z111" s="1732"/>
      <c r="AA111" s="1732"/>
      <c r="AB111" s="739"/>
      <c r="AC111" s="739"/>
      <c r="AD111" s="739"/>
      <c r="AE111" s="739"/>
      <c r="AF111" s="739"/>
      <c r="AG111" s="739"/>
      <c r="BC111" s="658"/>
      <c r="BE111" s="659"/>
    </row>
    <row r="112" spans="2:57" x14ac:dyDescent="0.25">
      <c r="N112" s="385"/>
      <c r="BC112" s="658"/>
    </row>
    <row r="113" spans="1:57" x14ac:dyDescent="0.25">
      <c r="BC113" s="658"/>
    </row>
    <row r="114" spans="1:57" x14ac:dyDescent="0.25">
      <c r="B114" s="3350" t="s">
        <v>1119</v>
      </c>
      <c r="C114" s="3351"/>
      <c r="D114" s="3351"/>
      <c r="E114" s="3351"/>
      <c r="F114" s="3351"/>
      <c r="G114" s="3351"/>
      <c r="H114" s="3351"/>
      <c r="I114" s="3351"/>
      <c r="J114" s="3351"/>
      <c r="K114" s="3351"/>
      <c r="L114" s="3351"/>
      <c r="M114" s="3351"/>
      <c r="N114" s="3351"/>
      <c r="O114" s="3351"/>
      <c r="P114" s="3351"/>
      <c r="Q114" s="3593"/>
      <c r="V114" s="3350" t="str">
        <f>B114</f>
        <v>Central Air Conditioners</v>
      </c>
      <c r="W114" s="3351"/>
      <c r="X114" s="3351"/>
      <c r="Y114" s="3351"/>
      <c r="Z114" s="3351"/>
      <c r="AA114" s="3351"/>
      <c r="AB114" s="3351"/>
      <c r="AC114" s="3354"/>
      <c r="AD114" s="3354"/>
      <c r="AE114" s="3354"/>
      <c r="AF114" s="3354"/>
      <c r="AG114" s="3354"/>
      <c r="AH114" s="3355"/>
      <c r="BC114" s="658"/>
    </row>
    <row r="115" spans="1:57" x14ac:dyDescent="0.25">
      <c r="H115" s="385"/>
      <c r="I115" s="385"/>
      <c r="J115" s="385"/>
      <c r="K115" s="385"/>
      <c r="L115" s="385"/>
      <c r="M115" s="385"/>
      <c r="W115" s="64"/>
      <c r="X115" s="64"/>
      <c r="Y115" s="64"/>
      <c r="Z115" s="64"/>
      <c r="BC115" s="658"/>
    </row>
    <row r="116" spans="1:57" x14ac:dyDescent="0.25">
      <c r="D116" s="386" t="s">
        <v>1120</v>
      </c>
      <c r="H116" s="385"/>
      <c r="I116" s="385"/>
      <c r="J116" s="385"/>
      <c r="K116" s="385"/>
      <c r="L116" s="385"/>
      <c r="M116" s="385"/>
      <c r="W116" s="64"/>
      <c r="X116" s="64"/>
      <c r="Y116" s="64"/>
      <c r="Z116" s="64"/>
      <c r="BC116" s="658"/>
    </row>
    <row r="117" spans="1:57" s="64" customFormat="1" ht="30" x14ac:dyDescent="0.25">
      <c r="A117" s="1393"/>
      <c r="B117" s="157"/>
      <c r="C117" s="1409" t="s">
        <v>17</v>
      </c>
      <c r="D117" s="1409" t="s">
        <v>616</v>
      </c>
      <c r="E117" s="1409" t="s">
        <v>19</v>
      </c>
      <c r="F117" s="1409" t="s">
        <v>20</v>
      </c>
      <c r="G117" s="1409" t="s">
        <v>21</v>
      </c>
      <c r="H117" s="1409" t="s">
        <v>22</v>
      </c>
      <c r="I117" s="1409" t="s">
        <v>23</v>
      </c>
      <c r="J117" s="1413" t="s">
        <v>24</v>
      </c>
      <c r="K117" s="1409" t="s">
        <v>25</v>
      </c>
      <c r="L117" s="1409" t="s">
        <v>1121</v>
      </c>
      <c r="M117" s="157"/>
      <c r="N117" s="157"/>
      <c r="O117" s="157"/>
      <c r="P117" s="157"/>
      <c r="Q117" s="157"/>
      <c r="R117" s="157"/>
      <c r="S117" s="157"/>
      <c r="T117" s="157"/>
      <c r="U117" s="157"/>
      <c r="V117" s="623" t="s">
        <v>27</v>
      </c>
      <c r="W117" s="56">
        <f>W$6</f>
        <v>43252</v>
      </c>
      <c r="X117" s="2284">
        <f t="shared" ref="X117:AG117" si="26">X$6</f>
        <v>43465</v>
      </c>
      <c r="Y117" s="2284">
        <f t="shared" si="26"/>
        <v>43800</v>
      </c>
      <c r="Z117" s="2284">
        <f t="shared" si="26"/>
        <v>43862</v>
      </c>
      <c r="AA117" s="2284">
        <f t="shared" si="26"/>
        <v>44013</v>
      </c>
      <c r="AB117" s="2284">
        <f t="shared" si="26"/>
        <v>44166</v>
      </c>
      <c r="AC117" s="2284" t="str">
        <f t="shared" si="26"/>
        <v>-</v>
      </c>
      <c r="AD117" s="2284" t="str">
        <f t="shared" si="26"/>
        <v>-</v>
      </c>
      <c r="AE117" s="2284" t="str">
        <f t="shared" si="26"/>
        <v>-</v>
      </c>
      <c r="AF117" s="2284" t="str">
        <f t="shared" si="26"/>
        <v>-</v>
      </c>
      <c r="AG117" s="2284" t="str">
        <f t="shared" si="26"/>
        <v>-</v>
      </c>
      <c r="AY117"/>
      <c r="AZ117"/>
      <c r="BB117" s="93" t="str">
        <f>$BB$6</f>
        <v>TRC (2020)</v>
      </c>
      <c r="BC117" s="93" t="str">
        <f>$BC$6</f>
        <v>Benefit Lookup</v>
      </c>
      <c r="BD117" s="741" t="str">
        <f>$BD$6</f>
        <v>Benefits (2019 $)</v>
      </c>
      <c r="BE117" s="279" t="str">
        <f>$BE$6</f>
        <v>Incremental Cost (2019 $)</v>
      </c>
    </row>
    <row r="118" spans="1:57" s="64" customFormat="1" x14ac:dyDescent="0.25">
      <c r="A118" s="1393" t="str">
        <f t="shared" ref="A118:A181" si="27">C118&amp;G118</f>
        <v>350400_2019_12_Cooling RES</v>
      </c>
      <c r="B118" s="157"/>
      <c r="C118" s="86" t="s">
        <v>1122</v>
      </c>
      <c r="D118" s="1658" t="s">
        <v>740</v>
      </c>
      <c r="E118" s="3038" t="s">
        <v>1123</v>
      </c>
      <c r="F118" s="2582">
        <f>ROUND(((J202*J274*(1/J490-1/J418))/1000)*J562*$J$634,2)</f>
        <v>1532.85</v>
      </c>
      <c r="G118" s="977" t="s">
        <v>690</v>
      </c>
      <c r="H118" s="202">
        <f>VLOOKUP(G118,'CP FACTORS'!$A$3:$B$38, 2, FALSE)</f>
        <v>9.4741810000000004E-4</v>
      </c>
      <c r="I118" s="1733">
        <f>ROUND(F118*H118,6)</f>
        <v>1.45225</v>
      </c>
      <c r="J118" s="743">
        <f t="shared" ref="J118:J124" si="28">J635</f>
        <v>6</v>
      </c>
      <c r="K118" s="744">
        <f>J707</f>
        <v>444.07830140084025</v>
      </c>
      <c r="L118" s="89">
        <f>K274</f>
        <v>2.98</v>
      </c>
      <c r="M118" s="157"/>
      <c r="N118" s="157"/>
      <c r="O118" s="157"/>
      <c r="P118" s="157"/>
      <c r="Q118" s="157"/>
      <c r="R118" s="157"/>
      <c r="S118" s="157"/>
      <c r="T118" s="157"/>
      <c r="U118" s="157"/>
      <c r="V118" s="2309" t="s">
        <v>20</v>
      </c>
      <c r="W118" s="745">
        <v>1612.0233596702167</v>
      </c>
      <c r="X118" s="746">
        <v>1572.0312023114329</v>
      </c>
      <c r="Y118" s="747">
        <v>1532.85</v>
      </c>
      <c r="Z118" s="748">
        <v>1532.85</v>
      </c>
      <c r="AA118" s="748">
        <v>1532.85</v>
      </c>
      <c r="AB118" s="2458">
        <v>1532.85</v>
      </c>
      <c r="AC118" s="63"/>
      <c r="AD118" s="63"/>
      <c r="AE118" s="63"/>
      <c r="AF118" s="63"/>
      <c r="AG118" s="63"/>
      <c r="AH118" s="211"/>
      <c r="AY118"/>
      <c r="AZ118"/>
      <c r="BB118" s="288">
        <f>(BD118+BD119)/(BE118+BE119)</f>
        <v>2.6701978309050833</v>
      </c>
      <c r="BC118" s="742" t="str">
        <f t="shared" ref="BC118:BC153" si="29">CONCATENATE(G118," ",J118," Year EUL")</f>
        <v>Cooling RES 6 Year EUL</v>
      </c>
      <c r="BD118" s="749">
        <f>(INDEX('Avoided Cost Benefits'!$C$4:$C$857,MATCH(BC118,'Avoided Cost Benefits'!$A$4:$A$857,0)))*F118</f>
        <v>891.32799915492603</v>
      </c>
      <c r="BE118" s="69">
        <f>K118/(1.0595^(2020-2019))</f>
        <v>419.13950108621066</v>
      </c>
    </row>
    <row r="119" spans="1:57" s="64" customFormat="1" x14ac:dyDescent="0.25">
      <c r="A119" s="1393" t="str">
        <f t="shared" si="27"/>
        <v>350400_2019_12_Cooling RES ER2</v>
      </c>
      <c r="B119" s="157"/>
      <c r="C119" s="86" t="s">
        <v>1122</v>
      </c>
      <c r="D119" s="1734" t="s">
        <v>740</v>
      </c>
      <c r="E119" s="3039" t="s">
        <v>1124</v>
      </c>
      <c r="F119" s="2582">
        <f>ROUND(((J203*J275*(1/J347-1/J419))/1000)*J563*$J$634,2)</f>
        <v>192.72</v>
      </c>
      <c r="G119" s="977" t="s">
        <v>1125</v>
      </c>
      <c r="H119" s="202">
        <f>VLOOKUP(G119,'CP FACTORS'!$A$3:$B$38, 2, FALSE)</f>
        <v>9.4741810000000004E-4</v>
      </c>
      <c r="I119" s="1733">
        <f t="shared" ref="I119:I153" si="30">ROUND(F119*H119,6)</f>
        <v>0.182586</v>
      </c>
      <c r="J119" s="743">
        <f t="shared" si="28"/>
        <v>12</v>
      </c>
      <c r="K119" s="744">
        <f t="shared" ref="K119:K153" si="31">J708</f>
        <v>0</v>
      </c>
      <c r="L119" s="89">
        <f t="shared" ref="L119:L153" si="32">K275</f>
        <v>2.98</v>
      </c>
      <c r="M119" s="157"/>
      <c r="N119" s="157"/>
      <c r="O119" s="157"/>
      <c r="P119" s="157"/>
      <c r="Q119" s="157"/>
      <c r="R119" s="157"/>
      <c r="S119" s="157"/>
      <c r="T119" s="157"/>
      <c r="U119" s="157"/>
      <c r="V119" s="2309" t="s">
        <v>20</v>
      </c>
      <c r="W119" s="745">
        <v>925.30140845070434</v>
      </c>
      <c r="X119" s="746">
        <v>200.42516297262068</v>
      </c>
      <c r="Y119" s="747">
        <v>192.72</v>
      </c>
      <c r="Z119" s="748">
        <v>192.72</v>
      </c>
      <c r="AA119" s="748">
        <v>192.72</v>
      </c>
      <c r="AB119" s="2458">
        <v>192.72</v>
      </c>
      <c r="AC119" s="63"/>
      <c r="AD119" s="63"/>
      <c r="AE119" s="63"/>
      <c r="AF119" s="63"/>
      <c r="AG119" s="63"/>
      <c r="AH119" s="211"/>
      <c r="AY119"/>
      <c r="AZ119"/>
      <c r="BB119" s="291"/>
      <c r="BC119" s="750" t="str">
        <f t="shared" si="29"/>
        <v>Cooling RES ER2 12 Year EUL</v>
      </c>
      <c r="BD119" s="752">
        <f>(INDEX('Avoided Cost Benefits'!$C$4:$C$857,MATCH(BC119,'Avoided Cost Benefits'!$A$4:$A$857,0)))*F119</f>
        <v>227.85738749211248</v>
      </c>
      <c r="BE119" s="73">
        <f t="shared" ref="BE119:BE153" si="33">K119/(1.0595^(2020-2019))</f>
        <v>0</v>
      </c>
    </row>
    <row r="120" spans="1:57" s="64" customFormat="1" x14ac:dyDescent="0.25">
      <c r="A120" s="1393" t="str">
        <f t="shared" si="27"/>
        <v>350450_2019_12_Cooling RES</v>
      </c>
      <c r="B120" s="157"/>
      <c r="C120" s="86" t="s">
        <v>1126</v>
      </c>
      <c r="D120" s="1734" t="s">
        <v>740</v>
      </c>
      <c r="E120" s="753" t="s">
        <v>1127</v>
      </c>
      <c r="F120" s="2582">
        <f>ROUND(((J204*J276*(1/J348-1/J420))/1000)*J564*$J$634,2)</f>
        <v>192.07</v>
      </c>
      <c r="G120" s="977" t="s">
        <v>690</v>
      </c>
      <c r="H120" s="202">
        <f>VLOOKUP(G120,'CP FACTORS'!$A$3:$B$38, 2, FALSE)</f>
        <v>9.4741810000000004E-4</v>
      </c>
      <c r="I120" s="1733">
        <f t="shared" si="30"/>
        <v>0.18197099999999999</v>
      </c>
      <c r="J120" s="743">
        <f t="shared" si="28"/>
        <v>18</v>
      </c>
      <c r="K120" s="744">
        <f t="shared" si="31"/>
        <v>0</v>
      </c>
      <c r="L120" s="89">
        <f t="shared" si="32"/>
        <v>2.97</v>
      </c>
      <c r="M120" s="157"/>
      <c r="N120" s="157"/>
      <c r="O120" s="157"/>
      <c r="P120" s="157"/>
      <c r="Q120" s="157"/>
      <c r="R120" s="157"/>
      <c r="S120" s="157"/>
      <c r="T120" s="157"/>
      <c r="U120" s="157"/>
      <c r="V120" s="2309" t="s">
        <v>20</v>
      </c>
      <c r="W120" s="745">
        <v>203.36294691224271</v>
      </c>
      <c r="X120" s="746">
        <v>200.42516297262068</v>
      </c>
      <c r="Y120" s="747">
        <v>192.07</v>
      </c>
      <c r="Z120" s="748">
        <v>192.07</v>
      </c>
      <c r="AA120" s="748">
        <v>192.07</v>
      </c>
      <c r="AB120" s="2458">
        <v>192.07</v>
      </c>
      <c r="AC120" s="63"/>
      <c r="AD120" s="63"/>
      <c r="AE120" s="63"/>
      <c r="AF120" s="63"/>
      <c r="AG120" s="63"/>
      <c r="AH120" s="211"/>
      <c r="AY120"/>
      <c r="AZ120"/>
      <c r="BB120" s="293" t="str">
        <f>IFERROR((BD120)/(BE120),"")</f>
        <v/>
      </c>
      <c r="BC120" s="753" t="str">
        <f t="shared" si="29"/>
        <v>Cooling RES 18 Year EUL</v>
      </c>
      <c r="BD120" s="752">
        <f>(INDEX('Avoided Cost Benefits'!$C$4:$C$857,MATCH(BC120,'Avoided Cost Benefits'!$A$4:$A$857,0)))*F120</f>
        <v>338.77454038336418</v>
      </c>
      <c r="BE120" s="73">
        <f t="shared" si="33"/>
        <v>0</v>
      </c>
    </row>
    <row r="121" spans="1:57" s="64" customFormat="1" x14ac:dyDescent="0.25">
      <c r="A121" s="1393" t="str">
        <f t="shared" si="27"/>
        <v>350500_2019_12_Cooling RES</v>
      </c>
      <c r="B121" s="157"/>
      <c r="C121" s="86" t="s">
        <v>1128</v>
      </c>
      <c r="D121" s="1734" t="s">
        <v>742</v>
      </c>
      <c r="E121" s="3038" t="s">
        <v>1129</v>
      </c>
      <c r="F121" s="2582">
        <f>ROUND(((J205*J277*(1/J493-1/J421))/1000)*J565*$J$634,2)</f>
        <v>1014.01</v>
      </c>
      <c r="G121" s="977" t="s">
        <v>690</v>
      </c>
      <c r="H121" s="202">
        <f>VLOOKUP(G121,'CP FACTORS'!$A$3:$B$38, 2, FALSE)</f>
        <v>9.4741810000000004E-4</v>
      </c>
      <c r="I121" s="1733">
        <f t="shared" si="30"/>
        <v>0.96069099999999996</v>
      </c>
      <c r="J121" s="743">
        <f t="shared" si="28"/>
        <v>6</v>
      </c>
      <c r="K121" s="744">
        <f t="shared" si="31"/>
        <v>388.26502607230418</v>
      </c>
      <c r="L121" s="89">
        <f t="shared" si="32"/>
        <v>2</v>
      </c>
      <c r="M121" s="157"/>
      <c r="N121" s="157"/>
      <c r="O121" s="157"/>
      <c r="P121" s="157"/>
      <c r="Q121" s="157"/>
      <c r="R121" s="157"/>
      <c r="S121" s="157"/>
      <c r="T121" s="157"/>
      <c r="U121" s="157"/>
      <c r="V121" s="2309" t="s">
        <v>20</v>
      </c>
      <c r="W121" s="745">
        <v>1047.8151837856408</v>
      </c>
      <c r="X121" s="746">
        <v>1489.5657573374176</v>
      </c>
      <c r="Y121" s="747">
        <v>1014.01</v>
      </c>
      <c r="Z121" s="748">
        <v>1014.01</v>
      </c>
      <c r="AA121" s="748">
        <v>1014.01</v>
      </c>
      <c r="AB121" s="2458">
        <v>1014.01</v>
      </c>
      <c r="AC121" s="63"/>
      <c r="AD121" s="63"/>
      <c r="AE121" s="63"/>
      <c r="AF121" s="63"/>
      <c r="AG121" s="63"/>
      <c r="AH121" s="211"/>
      <c r="AY121"/>
      <c r="AZ121"/>
      <c r="BB121" s="293">
        <f>(BD121+BD122)/(BE121+BE122)</f>
        <v>1.9786933967944331</v>
      </c>
      <c r="BC121" s="742" t="str">
        <f t="shared" si="29"/>
        <v>Cooling RES 6 Year EUL</v>
      </c>
      <c r="BD121" s="752">
        <f>(INDEX('Avoided Cost Benefits'!$C$4:$C$857,MATCH(BC121,'Avoided Cost Benefits'!$A$4:$A$857,0)))*F121</f>
        <v>589.63075605772679</v>
      </c>
      <c r="BE121" s="73">
        <f t="shared" si="33"/>
        <v>366.46061922822474</v>
      </c>
    </row>
    <row r="122" spans="1:57" s="64" customFormat="1" x14ac:dyDescent="0.25">
      <c r="A122" s="1393" t="str">
        <f t="shared" si="27"/>
        <v>350500_2019_12_Cooling RES ER2</v>
      </c>
      <c r="B122" s="157"/>
      <c r="C122" s="86" t="s">
        <v>1128</v>
      </c>
      <c r="D122" s="1734" t="s">
        <v>742</v>
      </c>
      <c r="E122" s="3039" t="s">
        <v>1130</v>
      </c>
      <c r="F122" s="2582">
        <f>ROUND(((J206*J278*(1/J350-1/J422))/1000)*J566*$J$634,2)</f>
        <v>114.59</v>
      </c>
      <c r="G122" s="977" t="s">
        <v>1125</v>
      </c>
      <c r="H122" s="202">
        <f>VLOOKUP(G122,'CP FACTORS'!$A$3:$B$38, 2, FALSE)</f>
        <v>9.4741810000000004E-4</v>
      </c>
      <c r="I122" s="1733">
        <f t="shared" si="30"/>
        <v>0.10856499999999999</v>
      </c>
      <c r="J122" s="743">
        <f t="shared" si="28"/>
        <v>12</v>
      </c>
      <c r="K122" s="744">
        <f t="shared" si="31"/>
        <v>0</v>
      </c>
      <c r="L122" s="89">
        <f t="shared" si="32"/>
        <v>2</v>
      </c>
      <c r="M122" s="157"/>
      <c r="N122" s="157"/>
      <c r="O122" s="157"/>
      <c r="P122" s="157"/>
      <c r="Q122" s="157"/>
      <c r="R122" s="157"/>
      <c r="S122" s="157"/>
      <c r="T122" s="157"/>
      <c r="U122" s="157"/>
      <c r="V122" s="2309" t="s">
        <v>20</v>
      </c>
      <c r="W122" s="745">
        <v>601.44591549295785</v>
      </c>
      <c r="X122" s="746">
        <v>232.04244031830254</v>
      </c>
      <c r="Y122" s="747">
        <v>114.59</v>
      </c>
      <c r="Z122" s="748">
        <v>114.59</v>
      </c>
      <c r="AA122" s="748">
        <v>114.59</v>
      </c>
      <c r="AB122" s="2458">
        <v>114.59</v>
      </c>
      <c r="AC122" s="63"/>
      <c r="AD122" s="63"/>
      <c r="AE122" s="63"/>
      <c r="AF122" s="63"/>
      <c r="AG122" s="63"/>
      <c r="AH122" s="211"/>
      <c r="AY122"/>
      <c r="AZ122"/>
      <c r="BB122" s="291"/>
      <c r="BC122" s="750" t="str">
        <f t="shared" si="29"/>
        <v>Cooling RES ER2 12 Year EUL</v>
      </c>
      <c r="BD122" s="752">
        <f>(INDEX('Avoided Cost Benefits'!$C$4:$C$857,MATCH(BC122,'Avoided Cost Benefits'!$A$4:$A$857,0)))*F122</f>
        <v>135.48245139436057</v>
      </c>
      <c r="BE122" s="73">
        <f t="shared" si="33"/>
        <v>0</v>
      </c>
    </row>
    <row r="123" spans="1:57" s="64" customFormat="1" x14ac:dyDescent="0.25">
      <c r="A123" s="1393" t="str">
        <f t="shared" si="27"/>
        <v>350501_2019_12_Cooling RES</v>
      </c>
      <c r="B123" s="648"/>
      <c r="C123" s="1352" t="s">
        <v>1131</v>
      </c>
      <c r="D123" s="1734" t="s">
        <v>737</v>
      </c>
      <c r="E123" s="3039" t="str">
        <f>CONCATENATE(E121,"_CompE")</f>
        <v>CAC - SEER 14 ER1: MF_CompE</v>
      </c>
      <c r="F123" s="2582">
        <f>ROUND(((J207*J279*(1/J495-1/J423))/1000)*J567*$J$634,2)</f>
        <v>737.46</v>
      </c>
      <c r="G123" s="977" t="s">
        <v>690</v>
      </c>
      <c r="H123" s="202">
        <f>VLOOKUP(G123,'CP FACTORS'!$A$3:$B$38, 2, FALSE)</f>
        <v>9.4741810000000004E-4</v>
      </c>
      <c r="I123" s="1733">
        <f t="shared" si="30"/>
        <v>0.69868300000000005</v>
      </c>
      <c r="J123" s="743">
        <f t="shared" si="28"/>
        <v>6</v>
      </c>
      <c r="K123" s="744">
        <f t="shared" si="31"/>
        <v>298.03912845693981</v>
      </c>
      <c r="L123" s="89">
        <f t="shared" si="32"/>
        <v>2</v>
      </c>
      <c r="M123" s="157"/>
      <c r="N123" s="157"/>
      <c r="O123" s="157"/>
      <c r="P123" s="157"/>
      <c r="Q123" s="157"/>
      <c r="R123" s="157"/>
      <c r="S123" s="157"/>
      <c r="T123" s="157"/>
      <c r="U123" s="157"/>
      <c r="V123" s="2309" t="s">
        <v>20</v>
      </c>
      <c r="W123" s="745"/>
      <c r="X123" s="746"/>
      <c r="Y123" s="747">
        <v>737.46</v>
      </c>
      <c r="Z123" s="748">
        <v>737.46</v>
      </c>
      <c r="AA123" s="748">
        <v>737.46</v>
      </c>
      <c r="AB123" s="2458">
        <v>737.46</v>
      </c>
      <c r="AC123" s="63"/>
      <c r="AD123" s="63"/>
      <c r="AE123" s="63"/>
      <c r="AF123" s="63"/>
      <c r="AG123" s="63"/>
      <c r="AH123" s="211"/>
      <c r="AY123"/>
      <c r="AZ123"/>
      <c r="BB123" s="293">
        <f>(BD123+BD124)/(BE123+BE124)</f>
        <v>1.8746996287397948</v>
      </c>
      <c r="BC123" s="742" t="str">
        <f t="shared" si="29"/>
        <v>Cooling RES 6 Year EUL</v>
      </c>
      <c r="BD123" s="752">
        <f>(INDEX('Avoided Cost Benefits'!$C$4:$C$857,MATCH(BC123,'Avoided Cost Benefits'!$A$4:$A$857,0)))*F123</f>
        <v>428.82131079805055</v>
      </c>
      <c r="BE123" s="73">
        <f t="shared" si="33"/>
        <v>281.30167858134951</v>
      </c>
    </row>
    <row r="124" spans="1:57" s="64" customFormat="1" x14ac:dyDescent="0.25">
      <c r="A124" s="1393" t="str">
        <f t="shared" si="27"/>
        <v>350501_2019_12_Cooling RES ER2</v>
      </c>
      <c r="B124" s="648"/>
      <c r="C124" s="1352" t="s">
        <v>1131</v>
      </c>
      <c r="D124" s="1734" t="s">
        <v>737</v>
      </c>
      <c r="E124" s="3039" t="str">
        <f>CONCATENATE(E122,"_CompE")</f>
        <v>CAC - SEER 14 ER2: MF_CompE</v>
      </c>
      <c r="F124" s="2582">
        <f>ROUND(((J208*J280*(1/J352-1/J424))/1000)*J568*$J$634,2)</f>
        <v>83.34</v>
      </c>
      <c r="G124" s="977" t="s">
        <v>1125</v>
      </c>
      <c r="H124" s="202">
        <f>VLOOKUP(G124,'CP FACTORS'!$A$3:$B$38, 2, FALSE)</f>
        <v>9.4741810000000004E-4</v>
      </c>
      <c r="I124" s="1733">
        <f t="shared" si="30"/>
        <v>7.8958E-2</v>
      </c>
      <c r="J124" s="743">
        <f t="shared" si="28"/>
        <v>12</v>
      </c>
      <c r="K124" s="744">
        <f t="shared" si="31"/>
        <v>0</v>
      </c>
      <c r="L124" s="89">
        <f t="shared" si="32"/>
        <v>2</v>
      </c>
      <c r="M124" s="157"/>
      <c r="N124" s="157"/>
      <c r="O124" s="157"/>
      <c r="P124" s="157"/>
      <c r="Q124" s="157"/>
      <c r="R124" s="157"/>
      <c r="S124" s="157"/>
      <c r="T124" s="157"/>
      <c r="U124" s="157"/>
      <c r="V124" s="2309" t="s">
        <v>20</v>
      </c>
      <c r="W124" s="745"/>
      <c r="X124" s="746"/>
      <c r="Y124" s="747">
        <v>83.34</v>
      </c>
      <c r="Z124" s="748">
        <v>83.34</v>
      </c>
      <c r="AA124" s="748">
        <v>83.34</v>
      </c>
      <c r="AB124" s="2458">
        <v>83.34</v>
      </c>
      <c r="AC124" s="63"/>
      <c r="AD124" s="63"/>
      <c r="AE124" s="63"/>
      <c r="AF124" s="63"/>
      <c r="AG124" s="63"/>
      <c r="AH124" s="211"/>
      <c r="AY124"/>
      <c r="AZ124"/>
      <c r="BB124" s="291"/>
      <c r="BC124" s="750" t="str">
        <f t="shared" si="29"/>
        <v>Cooling RES ER2 12 Year EUL</v>
      </c>
      <c r="BD124" s="752">
        <f>(INDEX('Avoided Cost Benefits'!$C$4:$C$857,MATCH(BC124,'Avoided Cost Benefits'!$A$4:$A$857,0)))*F124</f>
        <v>98.534841602286505</v>
      </c>
      <c r="BE124" s="73">
        <f t="shared" si="33"/>
        <v>0</v>
      </c>
    </row>
    <row r="125" spans="1:57" s="64" customFormat="1" x14ac:dyDescent="0.25">
      <c r="A125" s="1393" t="str">
        <f t="shared" si="27"/>
        <v>350550_2019_12_Cooling RES</v>
      </c>
      <c r="B125" s="648"/>
      <c r="C125" s="86" t="s">
        <v>1132</v>
      </c>
      <c r="D125" s="1734" t="s">
        <v>742</v>
      </c>
      <c r="E125" s="753" t="s">
        <v>1133</v>
      </c>
      <c r="F125" s="2582">
        <f>ROUND(((J209*J281*(1/J353-1/J425))/1000)*J569*$J$634,2)</f>
        <v>114.59</v>
      </c>
      <c r="G125" s="977" t="s">
        <v>690</v>
      </c>
      <c r="H125" s="202">
        <f>VLOOKUP(G125,'CP FACTORS'!$A$3:$B$38, 2, FALSE)</f>
        <v>9.4741810000000004E-4</v>
      </c>
      <c r="I125" s="1733">
        <f t="shared" si="30"/>
        <v>0.10856499999999999</v>
      </c>
      <c r="J125" s="755">
        <v>18</v>
      </c>
      <c r="K125" s="744">
        <f t="shared" si="31"/>
        <v>0</v>
      </c>
      <c r="L125" s="89">
        <f t="shared" si="32"/>
        <v>2</v>
      </c>
      <c r="M125" s="157"/>
      <c r="N125" s="157"/>
      <c r="O125" s="157"/>
      <c r="P125" s="157"/>
      <c r="Q125" s="157"/>
      <c r="R125" s="157"/>
      <c r="S125" s="157"/>
      <c r="T125" s="157"/>
      <c r="U125" s="157"/>
      <c r="V125" s="2309" t="s">
        <v>20</v>
      </c>
      <c r="W125" s="745">
        <v>132.18591549295778</v>
      </c>
      <c r="X125" s="746">
        <v>232.04244031830254</v>
      </c>
      <c r="Y125" s="747">
        <v>114.59</v>
      </c>
      <c r="Z125" s="748">
        <v>114.59</v>
      </c>
      <c r="AA125" s="748">
        <v>114.59</v>
      </c>
      <c r="AB125" s="2458">
        <v>114.59</v>
      </c>
      <c r="AC125" s="63"/>
      <c r="AD125" s="63"/>
      <c r="AE125" s="63"/>
      <c r="AF125" s="63"/>
      <c r="AG125" s="63"/>
      <c r="AH125" s="211"/>
      <c r="AY125"/>
      <c r="AZ125"/>
      <c r="BB125" s="293" t="str">
        <f>IFERROR((BD125)/(BE125),"")</f>
        <v/>
      </c>
      <c r="BC125" s="753" t="str">
        <f t="shared" si="29"/>
        <v>Cooling RES 18 Year EUL</v>
      </c>
      <c r="BD125" s="752">
        <f>(INDEX('Avoided Cost Benefits'!$C$4:$C$857,MATCH(BC125,'Avoided Cost Benefits'!$A$4:$A$857,0)))*F125</f>
        <v>202.11472162508306</v>
      </c>
      <c r="BE125" s="73">
        <f t="shared" si="33"/>
        <v>0</v>
      </c>
    </row>
    <row r="126" spans="1:57" s="64" customFormat="1" x14ac:dyDescent="0.25">
      <c r="A126" s="1393" t="str">
        <f t="shared" si="27"/>
        <v>350551_2019_12_Cooling RES</v>
      </c>
      <c r="B126" s="648"/>
      <c r="C126" s="86" t="s">
        <v>1134</v>
      </c>
      <c r="D126" s="1734" t="s">
        <v>737</v>
      </c>
      <c r="E126" s="3039" t="str">
        <f>CONCATENATE(E125,"_CompE")</f>
        <v>CAC - SEER 14 ROF: MF_CompE</v>
      </c>
      <c r="F126" s="2582">
        <f>ROUND(((J210*J282*(1/J354-1/J426))/1000)*J570*$J$634,2)</f>
        <v>83.34</v>
      </c>
      <c r="G126" s="977" t="s">
        <v>690</v>
      </c>
      <c r="H126" s="202">
        <f>VLOOKUP(G126,'CP FACTORS'!$A$3:$B$38, 2, FALSE)</f>
        <v>9.4741810000000004E-4</v>
      </c>
      <c r="I126" s="1733">
        <f t="shared" si="30"/>
        <v>7.8958E-2</v>
      </c>
      <c r="J126" s="755">
        <v>18</v>
      </c>
      <c r="K126" s="744">
        <f t="shared" si="31"/>
        <v>0</v>
      </c>
      <c r="L126" s="89">
        <f t="shared" si="32"/>
        <v>2</v>
      </c>
      <c r="M126" s="157"/>
      <c r="N126" s="157"/>
      <c r="O126" s="157"/>
      <c r="P126" s="157"/>
      <c r="Q126" s="157"/>
      <c r="R126" s="157"/>
      <c r="S126" s="157"/>
      <c r="T126" s="157"/>
      <c r="U126" s="157"/>
      <c r="V126" s="2309" t="s">
        <v>20</v>
      </c>
      <c r="W126" s="745"/>
      <c r="X126" s="746"/>
      <c r="Y126" s="747">
        <v>83.34</v>
      </c>
      <c r="Z126" s="748">
        <v>83.34</v>
      </c>
      <c r="AA126" s="748">
        <v>83.34</v>
      </c>
      <c r="AB126" s="2458">
        <v>83.34</v>
      </c>
      <c r="AC126" s="63"/>
      <c r="AD126" s="63"/>
      <c r="AE126" s="63"/>
      <c r="AF126" s="63"/>
      <c r="AG126" s="63"/>
      <c r="AH126" s="211"/>
      <c r="AY126"/>
      <c r="AZ126"/>
      <c r="BB126" s="293" t="str">
        <f>IFERROR((BD126)/(BE126),"")</f>
        <v/>
      </c>
      <c r="BC126" s="753" t="str">
        <f t="shared" si="29"/>
        <v>Cooling RES 18 Year EUL</v>
      </c>
      <c r="BD126" s="752">
        <f>(INDEX('Avoided Cost Benefits'!$C$4:$C$857,MATCH(BC126,'Avoided Cost Benefits'!$A$4:$A$857,0)))*F126</f>
        <v>146.99573174129</v>
      </c>
      <c r="BE126" s="73">
        <f t="shared" si="33"/>
        <v>0</v>
      </c>
    </row>
    <row r="127" spans="1:57" s="64" customFormat="1" x14ac:dyDescent="0.25">
      <c r="A127" s="1393" t="str">
        <f t="shared" si="27"/>
        <v>350600_2019_12_Cooling RES</v>
      </c>
      <c r="B127" s="648"/>
      <c r="C127" s="86" t="s">
        <v>1135</v>
      </c>
      <c r="D127" s="1734" t="s">
        <v>740</v>
      </c>
      <c r="E127" s="3038" t="s">
        <v>1136</v>
      </c>
      <c r="F127" s="2582">
        <f>ROUND(((J211*J283*(1/J499-1/J427))/1000)*J571*$J$634,2)</f>
        <v>2258.48</v>
      </c>
      <c r="G127" s="977" t="s">
        <v>690</v>
      </c>
      <c r="H127" s="202">
        <f>VLOOKUP(G127,'CP FACTORS'!$A$3:$B$38, 2, FALSE)</f>
        <v>9.4741810000000004E-4</v>
      </c>
      <c r="I127" s="1733">
        <f t="shared" si="30"/>
        <v>2.1397249999999999</v>
      </c>
      <c r="J127" s="743">
        <f t="shared" ref="J127:J134" si="34">J644</f>
        <v>6</v>
      </c>
      <c r="K127" s="744">
        <f t="shared" si="31"/>
        <v>592.20372478594982</v>
      </c>
      <c r="L127" s="89">
        <f t="shared" si="32"/>
        <v>3.2492627883650962</v>
      </c>
      <c r="M127" s="157"/>
      <c r="N127" s="157"/>
      <c r="O127" s="157"/>
      <c r="P127" s="157"/>
      <c r="Q127" s="157"/>
      <c r="R127" s="157"/>
      <c r="S127" s="157"/>
      <c r="T127" s="157"/>
      <c r="U127" s="157"/>
      <c r="V127" s="2309" t="s">
        <v>20</v>
      </c>
      <c r="W127" s="745">
        <v>1932.6604621309377</v>
      </c>
      <c r="X127" s="746">
        <v>1720.1937397650352</v>
      </c>
      <c r="Y127" s="747">
        <v>1844.27</v>
      </c>
      <c r="Z127" s="748">
        <v>1844.27</v>
      </c>
      <c r="AA127" s="748">
        <v>1844.27</v>
      </c>
      <c r="AB127" s="2164">
        <v>2258.48</v>
      </c>
      <c r="AC127" s="63"/>
      <c r="AD127" s="63"/>
      <c r="AE127" s="63"/>
      <c r="AF127" s="63"/>
      <c r="AG127" s="63"/>
      <c r="AH127" s="211"/>
      <c r="AY127"/>
      <c r="AZ127"/>
      <c r="BB127" s="293">
        <f>(BD127+BD128)/(BE127+BE128)</f>
        <v>3.118658856359537</v>
      </c>
      <c r="BC127" s="742" t="str">
        <f t="shared" si="29"/>
        <v>Cooling RES 6 Year EUL</v>
      </c>
      <c r="BD127" s="752">
        <f>(INDEX('Avoided Cost Benefits'!$C$4:$C$857,MATCH(BC127,'Avoided Cost Benefits'!$A$4:$A$857,0)))*F127</f>
        <v>1313.2703523054554</v>
      </c>
      <c r="BE127" s="73">
        <f t="shared" si="33"/>
        <v>558.94641320051892</v>
      </c>
    </row>
    <row r="128" spans="1:57" s="64" customFormat="1" x14ac:dyDescent="0.25">
      <c r="A128" s="1393" t="str">
        <f t="shared" si="27"/>
        <v>350600_2019_12_Cooling RES ER2</v>
      </c>
      <c r="B128" s="648"/>
      <c r="C128" s="86" t="s">
        <v>1135</v>
      </c>
      <c r="D128" s="1734" t="s">
        <v>740</v>
      </c>
      <c r="E128" s="3039" t="s">
        <v>1137</v>
      </c>
      <c r="F128" s="2582">
        <f>ROUND(((J212*J284*(1/J356-1/J428))/1000)*J572*$J$634,2)</f>
        <v>363.6</v>
      </c>
      <c r="G128" s="977" t="s">
        <v>1125</v>
      </c>
      <c r="H128" s="202">
        <f>VLOOKUP(G128,'CP FACTORS'!$A$3:$B$38, 2, FALSE)</f>
        <v>9.4741810000000004E-4</v>
      </c>
      <c r="I128" s="1733">
        <f t="shared" si="30"/>
        <v>0.34448099999999998</v>
      </c>
      <c r="J128" s="743">
        <f t="shared" si="34"/>
        <v>12</v>
      </c>
      <c r="K128" s="744">
        <f t="shared" si="31"/>
        <v>0</v>
      </c>
      <c r="L128" s="89">
        <f t="shared" si="32"/>
        <v>3.2492627883650962</v>
      </c>
      <c r="M128" s="157"/>
      <c r="N128" s="157"/>
      <c r="O128" s="157"/>
      <c r="P128" s="157"/>
      <c r="Q128" s="157"/>
      <c r="R128" s="157"/>
      <c r="S128" s="157"/>
      <c r="T128" s="157"/>
      <c r="U128" s="157"/>
      <c r="V128" s="2309" t="s">
        <v>20</v>
      </c>
      <c r="W128" s="745">
        <v>1177.266315789474</v>
      </c>
      <c r="X128" s="746">
        <v>348.58770042622297</v>
      </c>
      <c r="Y128" s="747">
        <v>373.73</v>
      </c>
      <c r="Z128" s="748">
        <v>373.73</v>
      </c>
      <c r="AA128" s="748">
        <v>373.73</v>
      </c>
      <c r="AB128" s="2164">
        <v>363.6</v>
      </c>
      <c r="AC128" s="63"/>
      <c r="AD128" s="63"/>
      <c r="AE128" s="63"/>
      <c r="AF128" s="63"/>
      <c r="AG128" s="63"/>
      <c r="AH128" s="211"/>
      <c r="AY128"/>
      <c r="AZ128"/>
      <c r="BB128" s="291"/>
      <c r="BC128" s="750" t="str">
        <f t="shared" si="29"/>
        <v>Cooling RES ER2 12 Year EUL</v>
      </c>
      <c r="BD128" s="752">
        <f>(INDEX('Avoided Cost Benefits'!$C$4:$C$857,MATCH(BC128,'Avoided Cost Benefits'!$A$4:$A$857,0)))*F128</f>
        <v>429.89282945274027</v>
      </c>
      <c r="BE128" s="73">
        <f t="shared" si="33"/>
        <v>0</v>
      </c>
    </row>
    <row r="129" spans="1:57" s="64" customFormat="1" x14ac:dyDescent="0.25">
      <c r="A129" s="1393" t="str">
        <f t="shared" si="27"/>
        <v>350650_2019_12_Cooling RES</v>
      </c>
      <c r="B129" s="648"/>
      <c r="C129" s="86" t="s">
        <v>1138</v>
      </c>
      <c r="D129" s="1734" t="s">
        <v>740</v>
      </c>
      <c r="E129" s="753" t="s">
        <v>1139</v>
      </c>
      <c r="F129" s="2582">
        <f>ROUND(((J213*J285*(1/J357-1/J429))/1000)*J573*$J$634,2)</f>
        <v>373.31</v>
      </c>
      <c r="G129" s="977" t="s">
        <v>690</v>
      </c>
      <c r="H129" s="202">
        <f>VLOOKUP(G129,'CP FACTORS'!$A$3:$B$38, 2, FALSE)</f>
        <v>9.4741810000000004E-4</v>
      </c>
      <c r="I129" s="1733">
        <f t="shared" si="30"/>
        <v>0.35368100000000002</v>
      </c>
      <c r="J129" s="743">
        <f t="shared" si="34"/>
        <v>18</v>
      </c>
      <c r="K129" s="744">
        <f t="shared" si="31"/>
        <v>108</v>
      </c>
      <c r="L129" s="89">
        <f t="shared" si="32"/>
        <v>3.3199369085173505</v>
      </c>
      <c r="M129" s="157"/>
      <c r="N129" s="157"/>
      <c r="O129" s="157"/>
      <c r="P129" s="157"/>
      <c r="Q129" s="157"/>
      <c r="R129" s="157"/>
      <c r="S129" s="157"/>
      <c r="T129" s="157"/>
      <c r="U129" s="157"/>
      <c r="V129" s="2309" t="s">
        <v>20</v>
      </c>
      <c r="W129" s="745">
        <v>334.67345899133977</v>
      </c>
      <c r="X129" s="746">
        <v>348.58770042622297</v>
      </c>
      <c r="Y129" s="747">
        <v>369.27</v>
      </c>
      <c r="Z129" s="748">
        <v>369.27</v>
      </c>
      <c r="AA129" s="748">
        <v>369.27</v>
      </c>
      <c r="AB129" s="2164">
        <v>373.31</v>
      </c>
      <c r="AC129" s="63"/>
      <c r="AD129" s="63"/>
      <c r="AE129" s="63"/>
      <c r="AF129" s="63"/>
      <c r="AG129" s="63"/>
      <c r="AH129" s="211"/>
      <c r="AY129"/>
      <c r="AZ129"/>
      <c r="BB129" s="293">
        <f>(BD129)/(BE129)</f>
        <v>6.4594874326735265</v>
      </c>
      <c r="BC129" s="753" t="str">
        <f t="shared" si="29"/>
        <v>Cooling RES 18 Year EUL</v>
      </c>
      <c r="BD129" s="752">
        <f>(INDEX('Avoided Cost Benefits'!$C$4:$C$857,MATCH(BC129,'Avoided Cost Benefits'!$A$4:$A$857,0)))*F129</f>
        <v>658.44704363260098</v>
      </c>
      <c r="BE129" s="73">
        <f t="shared" si="33"/>
        <v>101.93487494100989</v>
      </c>
    </row>
    <row r="130" spans="1:57" s="64" customFormat="1" x14ac:dyDescent="0.25">
      <c r="A130" s="1393" t="str">
        <f t="shared" si="27"/>
        <v>350700_2019_12_Cooling RES</v>
      </c>
      <c r="B130" s="648"/>
      <c r="C130" s="86" t="s">
        <v>1140</v>
      </c>
      <c r="D130" s="1734" t="s">
        <v>742</v>
      </c>
      <c r="E130" s="3038" t="s">
        <v>1141</v>
      </c>
      <c r="F130" s="2582">
        <f>ROUND(((J214*J286*(1/J502-1/J430))/1000)*J574*$J$634,2)</f>
        <v>1738.76</v>
      </c>
      <c r="G130" s="977" t="s">
        <v>690</v>
      </c>
      <c r="H130" s="202">
        <f>VLOOKUP(G130,'CP FACTORS'!$A$3:$B$38, 2, FALSE)</f>
        <v>9.4741810000000004E-4</v>
      </c>
      <c r="I130" s="1733">
        <f t="shared" si="30"/>
        <v>1.6473329999999999</v>
      </c>
      <c r="J130" s="743">
        <f t="shared" si="34"/>
        <v>6</v>
      </c>
      <c r="K130" s="744">
        <f t="shared" si="31"/>
        <v>454.55712611272088</v>
      </c>
      <c r="L130" s="89">
        <f t="shared" si="32"/>
        <v>2.3255813953488373</v>
      </c>
      <c r="M130" s="157"/>
      <c r="N130" s="157"/>
      <c r="O130" s="157"/>
      <c r="P130" s="157"/>
      <c r="Q130" s="157"/>
      <c r="R130" s="157"/>
      <c r="S130" s="157"/>
      <c r="T130" s="157"/>
      <c r="U130" s="157"/>
      <c r="V130" s="2309" t="s">
        <v>20</v>
      </c>
      <c r="W130" s="745">
        <v>1256.2293003851096</v>
      </c>
      <c r="X130" s="746">
        <v>1592.2642887629986</v>
      </c>
      <c r="Y130" s="747">
        <v>1113.32</v>
      </c>
      <c r="Z130" s="748">
        <v>1113.32</v>
      </c>
      <c r="AA130" s="748">
        <v>1113.32</v>
      </c>
      <c r="AB130" s="2164">
        <v>1738.76</v>
      </c>
      <c r="AC130" s="63"/>
      <c r="AD130" s="63"/>
      <c r="AE130" s="63"/>
      <c r="AF130" s="63"/>
      <c r="AG130" s="63"/>
      <c r="AH130" s="211"/>
      <c r="AY130"/>
      <c r="AZ130"/>
      <c r="BB130" s="293">
        <f>(BD130+BD131)/(BE130+BE131)</f>
        <v>3.0831359423093985</v>
      </c>
      <c r="BC130" s="742" t="str">
        <f t="shared" si="29"/>
        <v>Cooling RES 6 Year EUL</v>
      </c>
      <c r="BD130" s="752">
        <f>(INDEX('Avoided Cost Benefits'!$C$4:$C$857,MATCH(BC130,'Avoided Cost Benefits'!$A$4:$A$857,0)))*F130</f>
        <v>1011.0614031448735</v>
      </c>
      <c r="BE130" s="73">
        <f t="shared" si="33"/>
        <v>429.02985003560246</v>
      </c>
    </row>
    <row r="131" spans="1:57" s="64" customFormat="1" x14ac:dyDescent="0.25">
      <c r="A131" s="1393" t="str">
        <f t="shared" si="27"/>
        <v>350700_2019_12_Cooling RES ER2</v>
      </c>
      <c r="B131" s="648"/>
      <c r="C131" s="86" t="s">
        <v>1140</v>
      </c>
      <c r="D131" s="1734" t="s">
        <v>742</v>
      </c>
      <c r="E131" s="3039" t="s">
        <v>1142</v>
      </c>
      <c r="F131" s="2582">
        <f>ROUND(((J215*J287*(1/J359-1/J431))/1000)*J575*$J$634,2)</f>
        <v>263.63</v>
      </c>
      <c r="G131" s="977" t="s">
        <v>1125</v>
      </c>
      <c r="H131" s="202">
        <f>VLOOKUP(G131,'CP FACTORS'!$A$3:$B$38, 2, FALSE)</f>
        <v>9.4741810000000004E-4</v>
      </c>
      <c r="I131" s="1733">
        <f t="shared" si="30"/>
        <v>0.24976799999999999</v>
      </c>
      <c r="J131" s="743">
        <f t="shared" si="34"/>
        <v>12</v>
      </c>
      <c r="K131" s="744">
        <f t="shared" si="31"/>
        <v>0</v>
      </c>
      <c r="L131" s="89">
        <f t="shared" si="32"/>
        <v>2.3255813953488373</v>
      </c>
      <c r="M131" s="157"/>
      <c r="N131" s="157"/>
      <c r="O131" s="157"/>
      <c r="P131" s="157"/>
      <c r="Q131" s="157"/>
      <c r="R131" s="157"/>
      <c r="S131" s="157"/>
      <c r="T131" s="157"/>
      <c r="U131" s="157"/>
      <c r="V131" s="2309" t="s">
        <v>20</v>
      </c>
      <c r="W131" s="745">
        <v>765.22310526315812</v>
      </c>
      <c r="X131" s="746">
        <v>322.66350822001232</v>
      </c>
      <c r="Y131" s="747">
        <v>213.91</v>
      </c>
      <c r="Z131" s="748">
        <v>213.91</v>
      </c>
      <c r="AA131" s="748">
        <v>213.91</v>
      </c>
      <c r="AB131" s="2164">
        <v>263.63</v>
      </c>
      <c r="AC131" s="63"/>
      <c r="AD131" s="63"/>
      <c r="AE131" s="63"/>
      <c r="AF131" s="63"/>
      <c r="AG131" s="63"/>
      <c r="AH131" s="211"/>
      <c r="AY131"/>
      <c r="AZ131"/>
      <c r="BB131" s="291"/>
      <c r="BC131" s="750" t="str">
        <f t="shared" si="29"/>
        <v>Cooling RES ER2 12 Year EUL</v>
      </c>
      <c r="BD131" s="752">
        <f>(INDEX('Avoided Cost Benefits'!$C$4:$C$857,MATCH(BC131,'Avoided Cost Benefits'!$A$4:$A$857,0)))*F131</f>
        <v>311.69594782350362</v>
      </c>
      <c r="BE131" s="73">
        <f t="shared" si="33"/>
        <v>0</v>
      </c>
    </row>
    <row r="132" spans="1:57" s="64" customFormat="1" x14ac:dyDescent="0.25">
      <c r="A132" s="1393" t="str">
        <f t="shared" si="27"/>
        <v>350701_2019_12_Cooling RES</v>
      </c>
      <c r="B132" s="648"/>
      <c r="C132" s="86" t="s">
        <v>1143</v>
      </c>
      <c r="D132" s="1734" t="s">
        <v>737</v>
      </c>
      <c r="E132" s="3039" t="str">
        <f>CONCATENATE(E130,"_CompE")</f>
        <v>CAC - SEER 15 ER1: MF_CompE</v>
      </c>
      <c r="F132" s="2582">
        <f>ROUND(((J216*J288*(1/J504-1/J432))/1000)*J576*$J$634,2)</f>
        <v>1078.19</v>
      </c>
      <c r="G132" s="977" t="s">
        <v>690</v>
      </c>
      <c r="H132" s="202">
        <f>VLOOKUP(G132,'CP FACTORS'!$A$3:$B$38, 2, FALSE)</f>
        <v>9.4741810000000004E-4</v>
      </c>
      <c r="I132" s="1733">
        <f t="shared" si="30"/>
        <v>1.0214970000000001</v>
      </c>
      <c r="J132" s="743">
        <f t="shared" si="34"/>
        <v>6</v>
      </c>
      <c r="K132" s="744">
        <f t="shared" si="31"/>
        <v>406.03912845693981</v>
      </c>
      <c r="L132" s="89">
        <f t="shared" si="32"/>
        <v>2</v>
      </c>
      <c r="M132" s="157"/>
      <c r="N132" s="157"/>
      <c r="O132" s="157"/>
      <c r="P132" s="157"/>
      <c r="Q132" s="157"/>
      <c r="R132" s="157"/>
      <c r="S132" s="157"/>
      <c r="T132" s="157"/>
      <c r="U132" s="157"/>
      <c r="V132" s="2309" t="s">
        <v>20</v>
      </c>
      <c r="W132" s="745"/>
      <c r="X132" s="746"/>
      <c r="Y132" s="747">
        <v>809.69</v>
      </c>
      <c r="Z132" s="748">
        <v>809.69</v>
      </c>
      <c r="AA132" s="748">
        <v>809.69</v>
      </c>
      <c r="AB132" s="2164">
        <v>1078.19</v>
      </c>
      <c r="AC132" s="63"/>
      <c r="AD132" s="63"/>
      <c r="AE132" s="63"/>
      <c r="AF132" s="63"/>
      <c r="AG132" s="63"/>
      <c r="AH132" s="211"/>
      <c r="AY132"/>
      <c r="AZ132"/>
      <c r="BB132" s="293">
        <f>(BD132+BD133)/(BE132+BE133)</f>
        <v>2.1158850092802552</v>
      </c>
      <c r="BC132" s="742" t="str">
        <f t="shared" si="29"/>
        <v>Cooling RES 6 Year EUL</v>
      </c>
      <c r="BD132" s="752">
        <f>(INDEX('Avoided Cost Benefits'!$C$4:$C$857,MATCH(BC132,'Avoided Cost Benefits'!$A$4:$A$857,0)))*F132</f>
        <v>626.95040963489566</v>
      </c>
      <c r="BE132" s="73">
        <f t="shared" si="33"/>
        <v>383.23655352235937</v>
      </c>
    </row>
    <row r="133" spans="1:57" s="64" customFormat="1" x14ac:dyDescent="0.25">
      <c r="A133" s="1393" t="str">
        <f t="shared" si="27"/>
        <v>350701_2019_12_Cooling RES ER2</v>
      </c>
      <c r="B133" s="648"/>
      <c r="C133" s="86" t="s">
        <v>1143</v>
      </c>
      <c r="D133" s="1734" t="s">
        <v>737</v>
      </c>
      <c r="E133" s="3039" t="str">
        <f>CONCATENATE(E131,"_CompE")</f>
        <v>CAC - SEER 15 ER2: MF_CompE</v>
      </c>
      <c r="F133" s="2582">
        <f>ROUND(((J217*J289*(1/J361-1/J433))/1000)*J577*$J$634,2)</f>
        <v>155.57</v>
      </c>
      <c r="G133" s="977" t="s">
        <v>1125</v>
      </c>
      <c r="H133" s="202">
        <f>VLOOKUP(G133,'CP FACTORS'!$A$3:$B$38, 2, FALSE)</f>
        <v>9.4741810000000004E-4</v>
      </c>
      <c r="I133" s="1733">
        <f t="shared" si="30"/>
        <v>0.14738999999999999</v>
      </c>
      <c r="J133" s="743">
        <f t="shared" si="34"/>
        <v>12</v>
      </c>
      <c r="K133" s="744">
        <f t="shared" si="31"/>
        <v>0</v>
      </c>
      <c r="L133" s="89">
        <f t="shared" si="32"/>
        <v>2</v>
      </c>
      <c r="M133" s="157"/>
      <c r="N133" s="157"/>
      <c r="O133" s="157"/>
      <c r="P133" s="157"/>
      <c r="Q133" s="157"/>
      <c r="R133" s="157"/>
      <c r="S133" s="157"/>
      <c r="T133" s="157"/>
      <c r="U133" s="157"/>
      <c r="V133" s="2309" t="s">
        <v>20</v>
      </c>
      <c r="W133" s="745"/>
      <c r="X133" s="746"/>
      <c r="Y133" s="747">
        <v>155.57</v>
      </c>
      <c r="Z133" s="748">
        <v>155.57</v>
      </c>
      <c r="AA133" s="748">
        <v>155.57</v>
      </c>
      <c r="AB133" s="2458">
        <v>155.57</v>
      </c>
      <c r="AC133" s="63"/>
      <c r="AD133" s="63"/>
      <c r="AE133" s="63"/>
      <c r="AF133" s="63"/>
      <c r="AG133" s="63"/>
      <c r="AH133" s="211"/>
      <c r="AY133"/>
      <c r="AZ133"/>
      <c r="BB133" s="291"/>
      <c r="BC133" s="750" t="str">
        <f t="shared" si="29"/>
        <v>Cooling RES ER2 12 Year EUL</v>
      </c>
      <c r="BD133" s="752">
        <f>(INDEX('Avoided Cost Benefits'!$C$4:$C$857,MATCH(BC133,'Avoided Cost Benefits'!$A$4:$A$857,0)))*F133</f>
        <v>183.93406897129483</v>
      </c>
      <c r="BE133" s="73">
        <f t="shared" si="33"/>
        <v>0</v>
      </c>
    </row>
    <row r="134" spans="1:57" s="64" customFormat="1" x14ac:dyDescent="0.25">
      <c r="A134" s="1393" t="str">
        <f t="shared" si="27"/>
        <v>350750_2019_12_Cooling RES</v>
      </c>
      <c r="B134" s="648"/>
      <c r="C134" s="86" t="s">
        <v>1144</v>
      </c>
      <c r="D134" s="1734" t="s">
        <v>742</v>
      </c>
      <c r="E134" s="753" t="s">
        <v>1145</v>
      </c>
      <c r="F134" s="2582">
        <f>ROUND(((J218*J290*(1/J362-1/J434))/1000)*J578*$J$634,2)</f>
        <v>230.82</v>
      </c>
      <c r="G134" s="977" t="s">
        <v>690</v>
      </c>
      <c r="H134" s="202">
        <f>VLOOKUP(G134,'CP FACTORS'!$A$3:$B$38, 2, FALSE)</f>
        <v>9.4741810000000004E-4</v>
      </c>
      <c r="I134" s="1733">
        <f t="shared" si="30"/>
        <v>0.21868299999999999</v>
      </c>
      <c r="J134" s="743">
        <f t="shared" si="34"/>
        <v>18</v>
      </c>
      <c r="K134" s="744">
        <f t="shared" si="31"/>
        <v>108</v>
      </c>
      <c r="L134" s="89">
        <f t="shared" si="32"/>
        <v>2.0833333333333335</v>
      </c>
      <c r="M134" s="157"/>
      <c r="N134" s="157"/>
      <c r="O134" s="157"/>
      <c r="P134" s="157"/>
      <c r="Q134" s="157"/>
      <c r="R134" s="157"/>
      <c r="S134" s="157"/>
      <c r="T134" s="157"/>
      <c r="U134" s="157"/>
      <c r="V134" s="2309" t="s">
        <v>20</v>
      </c>
      <c r="W134" s="745">
        <v>217.53774834437087</v>
      </c>
      <c r="X134" s="746">
        <v>322.66350822001232</v>
      </c>
      <c r="Y134" s="747">
        <v>213.91</v>
      </c>
      <c r="Z134" s="748">
        <v>213.91</v>
      </c>
      <c r="AA134" s="748">
        <v>213.91</v>
      </c>
      <c r="AB134" s="2164">
        <v>230.82</v>
      </c>
      <c r="AC134" s="63"/>
      <c r="AD134" s="63"/>
      <c r="AE134" s="63"/>
      <c r="AF134" s="63"/>
      <c r="AG134" s="63"/>
      <c r="AH134" s="211"/>
      <c r="AY134"/>
      <c r="AZ134"/>
      <c r="BB134" s="293">
        <f>(BD134)/(BE134)</f>
        <v>3.9939430746824445</v>
      </c>
      <c r="BC134" s="753" t="str">
        <f t="shared" si="29"/>
        <v>Cooling RES 18 Year EUL</v>
      </c>
      <c r="BD134" s="752">
        <f>(INDEX('Avoided Cost Benefits'!$C$4:$C$857,MATCH(BC134,'Avoided Cost Benefits'!$A$4:$A$857,0)))*F134</f>
        <v>407.12208783926752</v>
      </c>
      <c r="BE134" s="73">
        <f t="shared" si="33"/>
        <v>101.93487494100989</v>
      </c>
    </row>
    <row r="135" spans="1:57" s="64" customFormat="1" x14ac:dyDescent="0.25">
      <c r="A135" s="1393" t="str">
        <f t="shared" si="27"/>
        <v>350751_2019_12_Cooling RES</v>
      </c>
      <c r="B135" s="648"/>
      <c r="C135" s="86" t="s">
        <v>1146</v>
      </c>
      <c r="D135" s="1734" t="s">
        <v>737</v>
      </c>
      <c r="E135" s="3039" t="str">
        <f>CONCATENATE(E134,"_CompE")</f>
        <v>CAC - SEER 15 ROF: MF_CompE</v>
      </c>
      <c r="F135" s="2582">
        <f>ROUND(((J219*J291*(1/J363-1/J435))/1000)*J579*$J$634,2)</f>
        <v>155.57</v>
      </c>
      <c r="G135" s="977" t="s">
        <v>690</v>
      </c>
      <c r="H135" s="202">
        <f>VLOOKUP(G135,'CP FACTORS'!$A$3:$B$38, 2, FALSE)</f>
        <v>9.4741810000000004E-4</v>
      </c>
      <c r="I135" s="1733">
        <f t="shared" si="30"/>
        <v>0.14738999999999999</v>
      </c>
      <c r="J135" s="755">
        <v>18</v>
      </c>
      <c r="K135" s="744">
        <f t="shared" si="31"/>
        <v>108</v>
      </c>
      <c r="L135" s="89">
        <f t="shared" si="32"/>
        <v>2</v>
      </c>
      <c r="M135" s="157"/>
      <c r="N135" s="157"/>
      <c r="O135" s="157"/>
      <c r="P135" s="157"/>
      <c r="Q135" s="157"/>
      <c r="R135" s="157"/>
      <c r="S135" s="157"/>
      <c r="T135" s="157"/>
      <c r="U135" s="157"/>
      <c r="V135" s="2309" t="s">
        <v>20</v>
      </c>
      <c r="W135" s="745"/>
      <c r="X135" s="746"/>
      <c r="Y135" s="747">
        <v>155.57</v>
      </c>
      <c r="Z135" s="748">
        <v>155.57</v>
      </c>
      <c r="AA135" s="748">
        <v>155.57</v>
      </c>
      <c r="AB135" s="2458">
        <v>155.57</v>
      </c>
      <c r="AC135" s="63"/>
      <c r="AD135" s="63"/>
      <c r="AE135" s="63"/>
      <c r="AF135" s="63"/>
      <c r="AG135" s="63"/>
      <c r="AH135" s="211"/>
      <c r="AY135"/>
      <c r="AZ135"/>
      <c r="BB135" s="293">
        <f>(BD135)/(BE135)</f>
        <v>2.6918712595457408</v>
      </c>
      <c r="BC135" s="753" t="str">
        <f t="shared" si="29"/>
        <v>Cooling RES 18 Year EUL</v>
      </c>
      <c r="BD135" s="752">
        <f>(INDEX('Avoided Cost Benefits'!$C$4:$C$857,MATCH(BC135,'Avoided Cost Benefits'!$A$4:$A$857,0)))*F135</f>
        <v>274.39556019909389</v>
      </c>
      <c r="BE135" s="73">
        <f t="shared" si="33"/>
        <v>101.93487494100989</v>
      </c>
    </row>
    <row r="136" spans="1:57" s="64" customFormat="1" x14ac:dyDescent="0.25">
      <c r="A136" s="1393" t="str">
        <f t="shared" si="27"/>
        <v>350800_2019_12_Cooling RES</v>
      </c>
      <c r="B136" s="648"/>
      <c r="C136" s="86" t="s">
        <v>1147</v>
      </c>
      <c r="D136" s="1734" t="s">
        <v>740</v>
      </c>
      <c r="E136" s="3038" t="s">
        <v>1148</v>
      </c>
      <c r="F136" s="2582">
        <f>ROUND(((J220*J292*(1/J508-1/J436))/1000)*J580*$J$634,2)</f>
        <v>2198.3200000000002</v>
      </c>
      <c r="G136" s="977" t="s">
        <v>690</v>
      </c>
      <c r="H136" s="202">
        <f>VLOOKUP(G136,'CP FACTORS'!$A$3:$B$38, 2, FALSE)</f>
        <v>9.4741810000000004E-4</v>
      </c>
      <c r="I136" s="1733">
        <f t="shared" si="30"/>
        <v>2.0827279999999999</v>
      </c>
      <c r="J136" s="743">
        <f t="shared" ref="J136:J143" si="35">J653</f>
        <v>6</v>
      </c>
      <c r="K136" s="744">
        <f t="shared" si="31"/>
        <v>664.7666390953168</v>
      </c>
      <c r="L136" s="89">
        <f t="shared" si="32"/>
        <v>2.9779085812850363</v>
      </c>
      <c r="M136" s="157"/>
      <c r="N136" s="1735"/>
      <c r="O136" s="1736"/>
      <c r="P136" s="157"/>
      <c r="Q136" s="157"/>
      <c r="R136" s="1627"/>
      <c r="S136" s="157"/>
      <c r="T136" s="157"/>
      <c r="U136" s="157"/>
      <c r="V136" s="2309" t="s">
        <v>20</v>
      </c>
      <c r="W136" s="745">
        <v>1921.8676829268297</v>
      </c>
      <c r="X136" s="746">
        <v>1872.8908664383187</v>
      </c>
      <c r="Y136" s="747">
        <v>1880.22</v>
      </c>
      <c r="Z136" s="748">
        <v>1880.22</v>
      </c>
      <c r="AA136" s="748">
        <v>1880.22</v>
      </c>
      <c r="AB136" s="2164">
        <v>2198.3200000000002</v>
      </c>
      <c r="AC136" s="63"/>
      <c r="AD136" s="63"/>
      <c r="AE136" s="63"/>
      <c r="AF136" s="63"/>
      <c r="AG136" s="63"/>
      <c r="AH136" s="211"/>
      <c r="AY136"/>
      <c r="AZ136"/>
      <c r="BB136" s="293">
        <f>(BD136+BD137)/(BE136+BE137)</f>
        <v>2.8879155642837886</v>
      </c>
      <c r="BC136" s="742" t="str">
        <f t="shared" si="29"/>
        <v>Cooling RES 6 Year EUL</v>
      </c>
      <c r="BD136" s="752">
        <f>(INDEX('Avoided Cost Benefits'!$C$4:$C$857,MATCH(BC136,'Avoided Cost Benefits'!$A$4:$A$857,0)))*F136</f>
        <v>1278.2882650632855</v>
      </c>
      <c r="BE136" s="73">
        <f t="shared" si="33"/>
        <v>627.43429834385722</v>
      </c>
    </row>
    <row r="137" spans="1:57" s="64" customFormat="1" x14ac:dyDescent="0.25">
      <c r="A137" s="1393" t="str">
        <f t="shared" si="27"/>
        <v>350800_2019_12_Cooling RES ER2</v>
      </c>
      <c r="B137" s="648"/>
      <c r="C137" s="86" t="s">
        <v>1147</v>
      </c>
      <c r="D137" s="1734" t="s">
        <v>740</v>
      </c>
      <c r="E137" s="3039" t="s">
        <v>1149</v>
      </c>
      <c r="F137" s="2582">
        <f>ROUND(((J221*J293*(1/J365-1/J437))/1000)*J581*$J$634,2)</f>
        <v>451.39</v>
      </c>
      <c r="G137" s="977" t="s">
        <v>1125</v>
      </c>
      <c r="H137" s="202">
        <f>VLOOKUP(G137,'CP FACTORS'!$A$3:$B$38, 2, FALSE)</f>
        <v>9.4741810000000004E-4</v>
      </c>
      <c r="I137" s="1733">
        <f t="shared" si="30"/>
        <v>0.42765500000000001</v>
      </c>
      <c r="J137" s="743">
        <f t="shared" si="35"/>
        <v>12</v>
      </c>
      <c r="K137" s="744">
        <f t="shared" si="31"/>
        <v>0</v>
      </c>
      <c r="L137" s="89">
        <f t="shared" si="32"/>
        <v>2.9779085812850363</v>
      </c>
      <c r="M137" s="157"/>
      <c r="N137" s="1735"/>
      <c r="O137" s="1736"/>
      <c r="P137" s="157"/>
      <c r="Q137" s="157"/>
      <c r="R137" s="1627"/>
      <c r="S137" s="157"/>
      <c r="T137" s="157"/>
      <c r="U137" s="157"/>
      <c r="V137" s="2309" t="s">
        <v>20</v>
      </c>
      <c r="W137" s="745">
        <v>1212.2550000000003</v>
      </c>
      <c r="X137" s="746">
        <v>501.2848270995064</v>
      </c>
      <c r="Y137" s="747">
        <v>504.12</v>
      </c>
      <c r="Z137" s="748">
        <v>504.12</v>
      </c>
      <c r="AA137" s="748">
        <v>504.12</v>
      </c>
      <c r="AB137" s="2164">
        <v>451.39</v>
      </c>
      <c r="AC137" s="63"/>
      <c r="AD137" s="63"/>
      <c r="AE137" s="63"/>
      <c r="AF137" s="63"/>
      <c r="AG137" s="63"/>
      <c r="AH137" s="211"/>
      <c r="AY137"/>
      <c r="AZ137"/>
      <c r="BB137" s="291"/>
      <c r="BC137" s="750" t="str">
        <f t="shared" si="29"/>
        <v>Cooling RES ER2 12 Year EUL</v>
      </c>
      <c r="BD137" s="752">
        <f>(INDEX('Avoided Cost Benefits'!$C$4:$C$857,MATCH(BC137,'Avoided Cost Benefits'!$A$4:$A$857,0)))*F137</f>
        <v>533.68901068941807</v>
      </c>
      <c r="BE137" s="73">
        <f t="shared" si="33"/>
        <v>0</v>
      </c>
    </row>
    <row r="138" spans="1:57" s="64" customFormat="1" x14ac:dyDescent="0.25">
      <c r="A138" s="1393" t="str">
        <f t="shared" si="27"/>
        <v>350850_2019_12_Cooling RES</v>
      </c>
      <c r="B138" s="648"/>
      <c r="C138" s="86" t="s">
        <v>1150</v>
      </c>
      <c r="D138" s="1734" t="s">
        <v>740</v>
      </c>
      <c r="E138" s="753" t="s">
        <v>1151</v>
      </c>
      <c r="F138" s="2582">
        <f>ROUND(((J222*J294*(1/J366-1/J438))/1000)*J582*$J$634,2)</f>
        <v>458.17</v>
      </c>
      <c r="G138" s="977" t="s">
        <v>690</v>
      </c>
      <c r="H138" s="202">
        <f>VLOOKUP(G138,'CP FACTORS'!$A$3:$B$38, 2, FALSE)</f>
        <v>9.4741810000000004E-4</v>
      </c>
      <c r="I138" s="1733">
        <f t="shared" si="30"/>
        <v>0.43407899999999999</v>
      </c>
      <c r="J138" s="743">
        <f t="shared" si="35"/>
        <v>18</v>
      </c>
      <c r="K138" s="744">
        <f t="shared" si="31"/>
        <v>221</v>
      </c>
      <c r="L138" s="89">
        <f t="shared" si="32"/>
        <v>3.0162082514734774</v>
      </c>
      <c r="M138" s="157"/>
      <c r="N138" s="1735"/>
      <c r="O138" s="1736"/>
      <c r="P138" s="157"/>
      <c r="Q138" s="157"/>
      <c r="R138" s="1627"/>
      <c r="S138" s="157"/>
      <c r="T138" s="157"/>
      <c r="U138" s="157"/>
      <c r="V138" s="2309" t="s">
        <v>20</v>
      </c>
      <c r="W138" s="745">
        <v>436.17115384615397</v>
      </c>
      <c r="X138" s="746">
        <v>501.2848270995064</v>
      </c>
      <c r="Y138" s="747">
        <v>493.75</v>
      </c>
      <c r="Z138" s="748">
        <v>493.75</v>
      </c>
      <c r="AA138" s="748">
        <v>493.75</v>
      </c>
      <c r="AB138" s="2164">
        <v>458.17</v>
      </c>
      <c r="AC138" s="63"/>
      <c r="AD138" s="63"/>
      <c r="AE138" s="63"/>
      <c r="AF138" s="63"/>
      <c r="AG138" s="63"/>
      <c r="AH138" s="211"/>
      <c r="AY138"/>
      <c r="AZ138"/>
      <c r="BB138" s="293">
        <f>(BD138)/(BE138)</f>
        <v>3.8742403934064624</v>
      </c>
      <c r="BC138" s="753" t="str">
        <f t="shared" si="29"/>
        <v>Cooling RES 18 Year EUL</v>
      </c>
      <c r="BD138" s="752">
        <f>(INDEX('Avoided Cost Benefits'!$C$4:$C$857,MATCH(BC138,'Avoided Cost Benefits'!$A$4:$A$857,0)))*F138</f>
        <v>808.12376304183874</v>
      </c>
      <c r="BE138" s="73">
        <f t="shared" si="33"/>
        <v>208.58895705521471</v>
      </c>
    </row>
    <row r="139" spans="1:57" s="64" customFormat="1" x14ac:dyDescent="0.25">
      <c r="A139" s="1393" t="str">
        <f t="shared" si="27"/>
        <v>350900_2019_12_Cooling RES</v>
      </c>
      <c r="B139" s="648"/>
      <c r="C139" s="86" t="s">
        <v>1152</v>
      </c>
      <c r="D139" s="1734" t="s">
        <v>742</v>
      </c>
      <c r="E139" s="3038" t="s">
        <v>1153</v>
      </c>
      <c r="F139" s="2582">
        <f>ROUND(((J223*J295*(1/J511-1/J439))/1000)*J583*$J$634,2)</f>
        <v>1687.17</v>
      </c>
      <c r="G139" s="977" t="s">
        <v>690</v>
      </c>
      <c r="H139" s="202">
        <f>VLOOKUP(G139,'CP FACTORS'!$A$3:$B$38, 2, FALSE)</f>
        <v>9.4741810000000004E-4</v>
      </c>
      <c r="I139" s="1733">
        <f t="shared" si="30"/>
        <v>1.598455</v>
      </c>
      <c r="J139" s="743">
        <f t="shared" si="35"/>
        <v>6</v>
      </c>
      <c r="K139" s="744">
        <f t="shared" si="31"/>
        <v>604.19316515892251</v>
      </c>
      <c r="L139" s="89">
        <f t="shared" si="32"/>
        <v>2.5714285714285716</v>
      </c>
      <c r="M139" s="157"/>
      <c r="N139" s="1735"/>
      <c r="O139" s="157"/>
      <c r="P139" s="157"/>
      <c r="Q139" s="157"/>
      <c r="R139" s="157"/>
      <c r="S139" s="157"/>
      <c r="T139" s="157"/>
      <c r="U139" s="157"/>
      <c r="V139" s="2309" t="s">
        <v>20</v>
      </c>
      <c r="W139" s="745">
        <v>1249.2139939024394</v>
      </c>
      <c r="X139" s="746">
        <v>1710.3337488745497</v>
      </c>
      <c r="Y139" s="747">
        <v>1200.22</v>
      </c>
      <c r="Z139" s="748">
        <v>1200.22</v>
      </c>
      <c r="AA139" s="748">
        <v>1200.22</v>
      </c>
      <c r="AB139" s="2164">
        <v>1687.17</v>
      </c>
      <c r="AC139" s="63"/>
      <c r="AD139" s="63"/>
      <c r="AE139" s="63"/>
      <c r="AF139" s="63"/>
      <c r="AG139" s="63"/>
      <c r="AH139" s="211"/>
      <c r="AY139"/>
      <c r="AZ139"/>
      <c r="BB139" s="293">
        <f>(BD139+BD140)/(BE139+BE140)</f>
        <v>2.5310706288772593</v>
      </c>
      <c r="BC139" s="742" t="str">
        <f t="shared" si="29"/>
        <v>Cooling RES 6 Year EUL</v>
      </c>
      <c r="BD139" s="752">
        <f>(INDEX('Avoided Cost Benefits'!$C$4:$C$857,MATCH(BC139,'Avoided Cost Benefits'!$A$4:$A$857,0)))*F139</f>
        <v>981.06263517905643</v>
      </c>
      <c r="BE139" s="73">
        <f t="shared" si="33"/>
        <v>570.26254380266391</v>
      </c>
    </row>
    <row r="140" spans="1:57" s="64" customFormat="1" x14ac:dyDescent="0.25">
      <c r="A140" s="1393" t="str">
        <f t="shared" si="27"/>
        <v>350900_2019_12_Cooling RES ER2</v>
      </c>
      <c r="B140" s="648"/>
      <c r="C140" s="86" t="s">
        <v>1152</v>
      </c>
      <c r="D140" s="1734" t="s">
        <v>742</v>
      </c>
      <c r="E140" s="3039" t="s">
        <v>1154</v>
      </c>
      <c r="F140" s="2582">
        <f>ROUND(((J224*J296*(1/J368-1/J440))/1000)*J584*$J$634,2)</f>
        <v>391.02</v>
      </c>
      <c r="G140" s="977" t="s">
        <v>1125</v>
      </c>
      <c r="H140" s="202">
        <f>VLOOKUP(G140,'CP FACTORS'!$A$3:$B$38, 2, FALSE)</f>
        <v>9.4741810000000004E-4</v>
      </c>
      <c r="I140" s="1733">
        <f t="shared" si="30"/>
        <v>0.37045899999999998</v>
      </c>
      <c r="J140" s="743">
        <f t="shared" si="35"/>
        <v>12</v>
      </c>
      <c r="K140" s="744">
        <f t="shared" si="31"/>
        <v>0</v>
      </c>
      <c r="L140" s="89">
        <f t="shared" si="32"/>
        <v>2.5714285714285716</v>
      </c>
      <c r="M140" s="157"/>
      <c r="N140" s="1735"/>
      <c r="O140" s="157"/>
      <c r="P140" s="157"/>
      <c r="Q140" s="157"/>
      <c r="R140" s="157"/>
      <c r="S140" s="157"/>
      <c r="T140" s="157"/>
      <c r="U140" s="157"/>
      <c r="V140" s="2309" t="s">
        <v>20</v>
      </c>
      <c r="W140" s="745">
        <v>787.9657500000003</v>
      </c>
      <c r="X140" s="746">
        <v>428.65550480769241</v>
      </c>
      <c r="Y140" s="747">
        <v>300.81</v>
      </c>
      <c r="Z140" s="748">
        <v>300.81</v>
      </c>
      <c r="AA140" s="748">
        <v>300.81</v>
      </c>
      <c r="AB140" s="2164">
        <v>391.02</v>
      </c>
      <c r="AC140" s="63"/>
      <c r="AD140" s="63"/>
      <c r="AE140" s="63"/>
      <c r="AF140" s="63"/>
      <c r="AG140" s="63"/>
      <c r="AH140" s="211"/>
      <c r="AY140"/>
      <c r="AZ140"/>
      <c r="BB140" s="291"/>
      <c r="BC140" s="750" t="str">
        <f t="shared" si="29"/>
        <v>Cooling RES ER2 12 Year EUL</v>
      </c>
      <c r="BD140" s="752">
        <f>(INDEX('Avoided Cost Benefits'!$C$4:$C$857,MATCH(BC140,'Avoided Cost Benefits'!$A$4:$A$857,0)))*F140</f>
        <v>462.3121401886977</v>
      </c>
      <c r="BE140" s="73">
        <f t="shared" si="33"/>
        <v>0</v>
      </c>
    </row>
    <row r="141" spans="1:57" s="64" customFormat="1" x14ac:dyDescent="0.25">
      <c r="A141" s="1393" t="str">
        <f t="shared" si="27"/>
        <v>350901_2019_12_Cooling RES</v>
      </c>
      <c r="B141" s="648"/>
      <c r="C141" s="86" t="s">
        <v>1155</v>
      </c>
      <c r="D141" s="1734" t="s">
        <v>737</v>
      </c>
      <c r="E141" s="3039" t="str">
        <f>CONCATENATE(E139,"_CompE")</f>
        <v>CAC - SEER 16 ER1: MF_CompE</v>
      </c>
      <c r="F141" s="2582">
        <f>ROUND(((J225*J297*(1/J513-1/J441))/1000)*J585*$J$634,2)</f>
        <v>951.94</v>
      </c>
      <c r="G141" s="977" t="s">
        <v>690</v>
      </c>
      <c r="H141" s="202">
        <f>VLOOKUP(G141,'CP FACTORS'!$A$3:$B$38, 2, FALSE)</f>
        <v>9.4741810000000004E-4</v>
      </c>
      <c r="I141" s="1733">
        <f t="shared" si="30"/>
        <v>0.90188500000000005</v>
      </c>
      <c r="J141" s="743">
        <f t="shared" si="35"/>
        <v>6</v>
      </c>
      <c r="K141" s="744">
        <f t="shared" si="31"/>
        <v>519.03912845694003</v>
      </c>
      <c r="L141" s="89">
        <f t="shared" si="32"/>
        <v>2</v>
      </c>
      <c r="M141" s="157"/>
      <c r="N141" s="1735"/>
      <c r="O141" s="157"/>
      <c r="P141" s="157"/>
      <c r="Q141" s="157"/>
      <c r="R141" s="157"/>
      <c r="S141" s="157"/>
      <c r="T141" s="157"/>
      <c r="U141" s="157"/>
      <c r="V141" s="2309" t="s">
        <v>20</v>
      </c>
      <c r="W141" s="745"/>
      <c r="X141" s="746"/>
      <c r="Y141" s="747">
        <v>872.89</v>
      </c>
      <c r="Z141" s="748">
        <v>872.89</v>
      </c>
      <c r="AA141" s="748">
        <v>872.89</v>
      </c>
      <c r="AB141" s="2164">
        <v>951.94</v>
      </c>
      <c r="AC141" s="63"/>
      <c r="AD141" s="63"/>
      <c r="AE141" s="63"/>
      <c r="AF141" s="63"/>
      <c r="AG141" s="63"/>
      <c r="AH141" s="211"/>
      <c r="AY141"/>
      <c r="AZ141"/>
      <c r="BB141" s="293">
        <f>(BD141+BD142)/(BE141+BE142)</f>
        <v>1.6579107457805751</v>
      </c>
      <c r="BC141" s="742" t="str">
        <f t="shared" si="29"/>
        <v>Cooling RES 6 Year EUL</v>
      </c>
      <c r="BD141" s="752">
        <f>(INDEX('Avoided Cost Benefits'!$C$4:$C$857,MATCH(BC141,'Avoided Cost Benefits'!$A$4:$A$857,0)))*F141</f>
        <v>553.538034064351</v>
      </c>
      <c r="BE141" s="73">
        <f t="shared" si="33"/>
        <v>489.89063563656441</v>
      </c>
    </row>
    <row r="142" spans="1:57" s="64" customFormat="1" x14ac:dyDescent="0.25">
      <c r="A142" s="1393" t="str">
        <f t="shared" si="27"/>
        <v>350901_2019_12_Cooling RES ER2</v>
      </c>
      <c r="B142" s="648"/>
      <c r="C142" s="86" t="s">
        <v>1155</v>
      </c>
      <c r="D142" s="1734" t="s">
        <v>737</v>
      </c>
      <c r="E142" s="3039" t="str">
        <f>CONCATENATE(E140,"_CompE")</f>
        <v>CAC - SEER 16 ER2: MF_CompE</v>
      </c>
      <c r="F142" s="2582">
        <f>ROUND(((J226*J298*(1/J370-1/J442))/1000)*J586*$J$634,2)</f>
        <v>218.77</v>
      </c>
      <c r="G142" s="977" t="s">
        <v>1125</v>
      </c>
      <c r="H142" s="202">
        <f>VLOOKUP(G142,'CP FACTORS'!$A$3:$B$38, 2, FALSE)</f>
        <v>9.4741810000000004E-4</v>
      </c>
      <c r="I142" s="1733">
        <f t="shared" si="30"/>
        <v>0.20726700000000001</v>
      </c>
      <c r="J142" s="743">
        <f t="shared" si="35"/>
        <v>12</v>
      </c>
      <c r="K142" s="744">
        <f t="shared" si="31"/>
        <v>0</v>
      </c>
      <c r="L142" s="89">
        <f t="shared" si="32"/>
        <v>2</v>
      </c>
      <c r="M142" s="157"/>
      <c r="N142" s="1735"/>
      <c r="O142" s="157"/>
      <c r="P142" s="157"/>
      <c r="Q142" s="157"/>
      <c r="R142" s="157"/>
      <c r="S142" s="157"/>
      <c r="T142" s="157"/>
      <c r="U142" s="157"/>
      <c r="V142" s="2309" t="s">
        <v>20</v>
      </c>
      <c r="W142" s="745"/>
      <c r="X142" s="746"/>
      <c r="Y142" s="747">
        <v>218.77</v>
      </c>
      <c r="Z142" s="748">
        <v>218.77</v>
      </c>
      <c r="AA142" s="748">
        <v>218.77</v>
      </c>
      <c r="AB142" s="2458">
        <v>218.77</v>
      </c>
      <c r="AC142" s="63"/>
      <c r="AD142" s="63"/>
      <c r="AE142" s="63"/>
      <c r="AF142" s="63"/>
      <c r="AG142" s="63"/>
      <c r="AH142" s="211"/>
      <c r="AY142"/>
      <c r="AZ142"/>
      <c r="BB142" s="291"/>
      <c r="BC142" s="750" t="str">
        <f t="shared" si="29"/>
        <v>Cooling RES ER2 12 Year EUL</v>
      </c>
      <c r="BD142" s="752">
        <f>(INDEX('Avoided Cost Benefits'!$C$4:$C$857,MATCH(BC142,'Avoided Cost Benefits'!$A$4:$A$857,0)))*F142</f>
        <v>258.65691501478545</v>
      </c>
      <c r="BE142" s="73">
        <f t="shared" si="33"/>
        <v>0</v>
      </c>
    </row>
    <row r="143" spans="1:57" s="64" customFormat="1" x14ac:dyDescent="0.25">
      <c r="A143" s="1393" t="str">
        <f t="shared" si="27"/>
        <v>350950_2019_12_Cooling RES</v>
      </c>
      <c r="B143" s="648"/>
      <c r="C143" s="86" t="s">
        <v>1156</v>
      </c>
      <c r="D143" s="1734" t="s">
        <v>742</v>
      </c>
      <c r="E143" s="753" t="s">
        <v>1157</v>
      </c>
      <c r="F143" s="2582">
        <f>ROUND(((J227*J299*(1/J371-1/J443))/1000)*J587*$J$634,2)</f>
        <v>408.24</v>
      </c>
      <c r="G143" s="977" t="s">
        <v>690</v>
      </c>
      <c r="H143" s="202">
        <f>VLOOKUP(G143,'CP FACTORS'!$A$3:$B$38, 2, FALSE)</f>
        <v>9.4741810000000004E-4</v>
      </c>
      <c r="I143" s="1733">
        <f t="shared" si="30"/>
        <v>0.38677400000000001</v>
      </c>
      <c r="J143" s="743">
        <f t="shared" si="35"/>
        <v>18</v>
      </c>
      <c r="K143" s="744">
        <f t="shared" si="31"/>
        <v>221</v>
      </c>
      <c r="L143" s="89">
        <f t="shared" si="32"/>
        <v>2.7142857142857144</v>
      </c>
      <c r="M143" s="157"/>
      <c r="N143" s="1735"/>
      <c r="O143" s="157"/>
      <c r="P143" s="157"/>
      <c r="Q143" s="157"/>
      <c r="R143" s="157"/>
      <c r="S143" s="157"/>
      <c r="T143" s="157"/>
      <c r="U143" s="157"/>
      <c r="V143" s="2309" t="s">
        <v>20</v>
      </c>
      <c r="W143" s="745">
        <v>283.51125000000008</v>
      </c>
      <c r="X143" s="746">
        <v>428.65550480769241</v>
      </c>
      <c r="Y143" s="747">
        <v>300.81</v>
      </c>
      <c r="Z143" s="748">
        <v>300.81</v>
      </c>
      <c r="AA143" s="748">
        <v>300.81</v>
      </c>
      <c r="AB143" s="2164">
        <v>408.24</v>
      </c>
      <c r="AC143" s="63"/>
      <c r="AD143" s="63"/>
      <c r="AE143" s="63"/>
      <c r="AF143" s="63"/>
      <c r="AG143" s="63"/>
      <c r="AH143" s="211"/>
      <c r="AY143"/>
      <c r="AZ143"/>
      <c r="BB143" s="293">
        <f>(BD143)/(BE143)</f>
        <v>3.4520372311680254</v>
      </c>
      <c r="BC143" s="753" t="str">
        <f t="shared" si="29"/>
        <v>Cooling RES 18 Year EUL</v>
      </c>
      <c r="BD143" s="752">
        <f>(INDEX('Avoided Cost Benefits'!$C$4:$C$857,MATCH(BC143,'Avoided Cost Benefits'!$A$4:$A$857,0)))*F143</f>
        <v>720.05684576510953</v>
      </c>
      <c r="BE143" s="73">
        <f t="shared" si="33"/>
        <v>208.58895705521471</v>
      </c>
    </row>
    <row r="144" spans="1:57" s="64" customFormat="1" x14ac:dyDescent="0.25">
      <c r="A144" s="1393" t="str">
        <f t="shared" si="27"/>
        <v>350951_2019_12_Cooling RES</v>
      </c>
      <c r="B144" s="648"/>
      <c r="C144" s="86" t="s">
        <v>1158</v>
      </c>
      <c r="D144" s="1734" t="s">
        <v>737</v>
      </c>
      <c r="E144" s="3039" t="str">
        <f>CONCATENATE(E143,"_CompE")</f>
        <v>CAC - SEER 16 ROF: MF_CompE</v>
      </c>
      <c r="F144" s="2582">
        <f>ROUND(((J228*J300*(1/J372-1/J444))/1000)*J588*$J$634,2)</f>
        <v>218.77</v>
      </c>
      <c r="G144" s="977" t="s">
        <v>690</v>
      </c>
      <c r="H144" s="202">
        <f>VLOOKUP(G144,'CP FACTORS'!$A$3:$B$38, 2, FALSE)</f>
        <v>9.4741810000000004E-4</v>
      </c>
      <c r="I144" s="1733">
        <f t="shared" si="30"/>
        <v>0.20726700000000001</v>
      </c>
      <c r="J144" s="755">
        <v>18</v>
      </c>
      <c r="K144" s="744">
        <f t="shared" si="31"/>
        <v>221</v>
      </c>
      <c r="L144" s="89">
        <f t="shared" si="32"/>
        <v>2</v>
      </c>
      <c r="M144" s="157"/>
      <c r="N144" s="1735"/>
      <c r="O144" s="157"/>
      <c r="P144" s="157"/>
      <c r="Q144" s="157"/>
      <c r="R144" s="157"/>
      <c r="S144" s="157"/>
      <c r="T144" s="157"/>
      <c r="U144" s="157"/>
      <c r="V144" s="2309" t="s">
        <v>20</v>
      </c>
      <c r="W144" s="745"/>
      <c r="X144" s="746"/>
      <c r="Y144" s="747">
        <v>218.77</v>
      </c>
      <c r="Z144" s="748">
        <v>218.77</v>
      </c>
      <c r="AA144" s="748">
        <v>218.77</v>
      </c>
      <c r="AB144" s="2458">
        <v>218.77</v>
      </c>
      <c r="AC144" s="63"/>
      <c r="AD144" s="63"/>
      <c r="AE144" s="63"/>
      <c r="AF144" s="63"/>
      <c r="AG144" s="63"/>
      <c r="AH144" s="211"/>
      <c r="AY144"/>
      <c r="AZ144"/>
      <c r="BB144" s="293">
        <f>(BD144)/(BE144)</f>
        <v>1.8498975726597808</v>
      </c>
      <c r="BC144" s="753" t="str">
        <f t="shared" si="29"/>
        <v>Cooling RES 18 Year EUL</v>
      </c>
      <c r="BD144" s="752">
        <f>(INDEX('Avoided Cost Benefits'!$C$4:$C$857,MATCH(BC144,'Avoided Cost Benefits'!$A$4:$A$857,0)))*F144</f>
        <v>385.86820534007694</v>
      </c>
      <c r="BE144" s="73">
        <f t="shared" si="33"/>
        <v>208.58895705521471</v>
      </c>
    </row>
    <row r="145" spans="1:57" s="64" customFormat="1" x14ac:dyDescent="0.25">
      <c r="A145" s="1393" t="str">
        <f t="shared" si="27"/>
        <v>351000_2019_12_Cooling RES</v>
      </c>
      <c r="B145" s="648"/>
      <c r="C145" s="1670" t="s">
        <v>1159</v>
      </c>
      <c r="D145" s="1734" t="s">
        <v>740</v>
      </c>
      <c r="E145" s="3038" t="s">
        <v>3360</v>
      </c>
      <c r="F145" s="2582">
        <f>ROUND(((J229*J301*(1/J517-1/J445))/1000)*J589*$J$634,2)</f>
        <v>2431.04</v>
      </c>
      <c r="G145" s="977" t="s">
        <v>690</v>
      </c>
      <c r="H145" s="202">
        <f>VLOOKUP(G145,'CP FACTORS'!$A$3:$B$38, 2, FALSE)</f>
        <v>9.4741810000000004E-4</v>
      </c>
      <c r="I145" s="1733">
        <f t="shared" si="30"/>
        <v>2.3032110000000001</v>
      </c>
      <c r="J145" s="743">
        <f t="shared" ref="J145:J160" si="36">J662</f>
        <v>6</v>
      </c>
      <c r="K145" s="744">
        <f t="shared" si="31"/>
        <v>1079.1877052374916</v>
      </c>
      <c r="L145" s="89">
        <f t="shared" si="32"/>
        <v>3.0813920817369094</v>
      </c>
      <c r="M145" s="157"/>
      <c r="N145" s="1735"/>
      <c r="O145" s="157"/>
      <c r="P145" s="157"/>
      <c r="Q145" s="157"/>
      <c r="R145" s="157"/>
      <c r="S145" s="157"/>
      <c r="T145" s="157"/>
      <c r="U145" s="157"/>
      <c r="V145" s="2309" t="s">
        <v>20</v>
      </c>
      <c r="W145" s="745">
        <v>2040.7162123385942</v>
      </c>
      <c r="X145" s="746">
        <v>1979.1918367346937</v>
      </c>
      <c r="Y145" s="747">
        <v>1953.65</v>
      </c>
      <c r="Z145" s="748">
        <v>1953.65</v>
      </c>
      <c r="AA145" s="748">
        <v>1953.65</v>
      </c>
      <c r="AB145" s="2164">
        <v>2431.04</v>
      </c>
      <c r="AC145" s="63"/>
      <c r="AD145" s="63"/>
      <c r="AE145" s="63"/>
      <c r="AF145" s="63"/>
      <c r="AG145" s="63"/>
      <c r="AH145" s="211"/>
      <c r="AY145"/>
      <c r="AZ145"/>
      <c r="BB145" s="293">
        <f>(BD145+BD146)/(BE145+BE146)</f>
        <v>2.1374841922556125</v>
      </c>
      <c r="BC145" s="742" t="str">
        <f t="shared" si="29"/>
        <v>Cooling RES 6 Year EUL</v>
      </c>
      <c r="BD145" s="752">
        <f>(INDEX('Avoided Cost Benefits'!$C$4:$C$857,MATCH(BC145,'Avoided Cost Benefits'!$A$4:$A$857,0)))*F145</f>
        <v>1413.6112594615204</v>
      </c>
      <c r="BE145" s="73">
        <f t="shared" si="33"/>
        <v>1018.5820719561034</v>
      </c>
    </row>
    <row r="146" spans="1:57" s="64" customFormat="1" x14ac:dyDescent="0.25">
      <c r="A146" s="1393" t="str">
        <f t="shared" si="27"/>
        <v>351000_2019_12_Cooling RES ER2</v>
      </c>
      <c r="B146" s="648"/>
      <c r="C146" s="1670" t="s">
        <v>1159</v>
      </c>
      <c r="D146" s="1734" t="s">
        <v>740</v>
      </c>
      <c r="E146" s="3039" t="s">
        <v>3361</v>
      </c>
      <c r="F146" s="2582">
        <f>ROUND(((J230*J302*(1/J374-1/J446))/1000)*J590*$J$634,2)</f>
        <v>645.84</v>
      </c>
      <c r="G146" s="977" t="s">
        <v>1125</v>
      </c>
      <c r="H146" s="202">
        <f>VLOOKUP(G146,'CP FACTORS'!$A$3:$B$38, 2, FALSE)</f>
        <v>9.4741810000000004E-4</v>
      </c>
      <c r="I146" s="1733">
        <f t="shared" si="30"/>
        <v>0.61188100000000001</v>
      </c>
      <c r="J146" s="743">
        <f t="shared" si="36"/>
        <v>12</v>
      </c>
      <c r="K146" s="744">
        <f t="shared" si="31"/>
        <v>0</v>
      </c>
      <c r="L146" s="89">
        <f t="shared" si="32"/>
        <v>3.0813920817369094</v>
      </c>
      <c r="M146" s="157"/>
      <c r="N146" s="1735"/>
      <c r="O146" s="157"/>
      <c r="P146" s="157"/>
      <c r="Q146" s="157"/>
      <c r="R146" s="157"/>
      <c r="S146" s="157"/>
      <c r="T146" s="157"/>
      <c r="U146" s="157"/>
      <c r="V146" s="2309" t="s">
        <v>20</v>
      </c>
      <c r="W146" s="745">
        <v>1331.1035294117648</v>
      </c>
      <c r="X146" s="746">
        <v>585.10045248868789</v>
      </c>
      <c r="Y146" s="747">
        <v>577.54999999999995</v>
      </c>
      <c r="Z146" s="748">
        <v>577.54999999999995</v>
      </c>
      <c r="AA146" s="748">
        <v>577.54999999999995</v>
      </c>
      <c r="AB146" s="2164">
        <v>645.84</v>
      </c>
      <c r="AC146" s="63"/>
      <c r="AD146" s="63"/>
      <c r="AE146" s="63"/>
      <c r="AF146" s="63"/>
      <c r="AG146" s="63"/>
      <c r="AH146" s="211"/>
      <c r="AY146"/>
      <c r="AZ146"/>
      <c r="BB146" s="291"/>
      <c r="BC146" s="750" t="str">
        <f t="shared" si="29"/>
        <v>Cooling RES ER2 12 Year EUL</v>
      </c>
      <c r="BD146" s="752">
        <f>(INDEX('Avoided Cost Benefits'!$C$4:$C$857,MATCH(BC146,'Avoided Cost Benefits'!$A$4:$A$857,0)))*F146</f>
        <v>763.59181785961982</v>
      </c>
      <c r="BE146" s="73">
        <f t="shared" si="33"/>
        <v>0</v>
      </c>
    </row>
    <row r="147" spans="1:57" s="64" customFormat="1" x14ac:dyDescent="0.25">
      <c r="A147" s="1393" t="str">
        <f t="shared" si="27"/>
        <v>351050_2019_12_Cooling RES</v>
      </c>
      <c r="B147" s="648"/>
      <c r="C147" s="1670" t="s">
        <v>1160</v>
      </c>
      <c r="D147" s="1734" t="s">
        <v>740</v>
      </c>
      <c r="E147" s="753" t="s">
        <v>3362</v>
      </c>
      <c r="F147" s="2582">
        <f>ROUND(((J231*J303*(1/J375-1/J447))/1000)*J591*$J$634,2)</f>
        <v>665.3</v>
      </c>
      <c r="G147" s="977" t="s">
        <v>690</v>
      </c>
      <c r="H147" s="202">
        <f>VLOOKUP(G147,'CP FACTORS'!$A$3:$B$38, 2, FALSE)</f>
        <v>9.4741810000000004E-4</v>
      </c>
      <c r="I147" s="1733">
        <f t="shared" si="30"/>
        <v>0.63031700000000002</v>
      </c>
      <c r="J147" s="743">
        <f t="shared" si="36"/>
        <v>18</v>
      </c>
      <c r="K147" s="744">
        <f t="shared" si="31"/>
        <v>620</v>
      </c>
      <c r="L147" s="89">
        <f t="shared" si="32"/>
        <v>3.2006802721088436</v>
      </c>
      <c r="M147" s="157"/>
      <c r="N147" s="1735"/>
      <c r="O147" s="157"/>
      <c r="P147" s="157"/>
      <c r="Q147" s="157"/>
      <c r="R147" s="157"/>
      <c r="S147" s="157"/>
      <c r="T147" s="157"/>
      <c r="U147" s="157"/>
      <c r="V147" s="2309" t="s">
        <v>20</v>
      </c>
      <c r="W147" s="745">
        <v>547.35203619909521</v>
      </c>
      <c r="X147" s="746">
        <v>547.35203619909521</v>
      </c>
      <c r="Y147" s="747">
        <v>564.34</v>
      </c>
      <c r="Z147" s="748">
        <v>564.34</v>
      </c>
      <c r="AA147" s="748">
        <v>564.34</v>
      </c>
      <c r="AB147" s="2164">
        <v>665.3</v>
      </c>
      <c r="AC147" s="63"/>
      <c r="AD147" s="63"/>
      <c r="AE147" s="63"/>
      <c r="AF147" s="63"/>
      <c r="AG147" s="63"/>
      <c r="AH147" s="211"/>
      <c r="AY147"/>
      <c r="AZ147"/>
      <c r="BB147" s="293">
        <f>(BD147)/(BE147)</f>
        <v>2.0052938568198155</v>
      </c>
      <c r="BC147" s="753" t="str">
        <f t="shared" si="29"/>
        <v>Cooling RES 18 Year EUL</v>
      </c>
      <c r="BD147" s="752">
        <f>(INDEX('Avoided Cost Benefits'!$C$4:$C$857,MATCH(BC147,'Avoided Cost Benefits'!$A$4:$A$857,0)))*F147</f>
        <v>1173.4612470300003</v>
      </c>
      <c r="BE147" s="73">
        <f t="shared" si="33"/>
        <v>585.18168947616789</v>
      </c>
    </row>
    <row r="148" spans="1:57" s="64" customFormat="1" x14ac:dyDescent="0.25">
      <c r="A148" s="1393" t="str">
        <f t="shared" si="27"/>
        <v>351100_2019_12_Cooling RES</v>
      </c>
      <c r="B148" s="648"/>
      <c r="C148" s="1670" t="s">
        <v>1161</v>
      </c>
      <c r="D148" s="1734" t="s">
        <v>742</v>
      </c>
      <c r="E148" s="3038" t="s">
        <v>3363</v>
      </c>
      <c r="F148" s="2582">
        <f>ROUND(((J232*J304*(1/J520-1/J448))/1000)*J592*$J$634,2)</f>
        <v>2200.86</v>
      </c>
      <c r="G148" s="977" t="s">
        <v>690</v>
      </c>
      <c r="H148" s="202">
        <f>VLOOKUP(G148,'CP FACTORS'!$A$3:$B$38, 2, FALSE)</f>
        <v>9.4741810000000004E-4</v>
      </c>
      <c r="I148" s="1733">
        <f t="shared" si="30"/>
        <v>2.0851350000000002</v>
      </c>
      <c r="J148" s="743">
        <f t="shared" si="36"/>
        <v>6</v>
      </c>
      <c r="K148" s="744">
        <f t="shared" si="31"/>
        <v>985.77529401533502</v>
      </c>
      <c r="L148" s="89">
        <f t="shared" si="32"/>
        <v>2.4545454545454546</v>
      </c>
      <c r="M148" s="157"/>
      <c r="N148" s="1735"/>
      <c r="O148" s="157"/>
      <c r="P148" s="157"/>
      <c r="Q148" s="157"/>
      <c r="R148" s="157"/>
      <c r="S148" s="157"/>
      <c r="T148" s="157"/>
      <c r="U148" s="157"/>
      <c r="V148" s="2309" t="s">
        <v>20</v>
      </c>
      <c r="W148" s="745">
        <v>1326.4655380200863</v>
      </c>
      <c r="X148" s="746">
        <v>1979.1918367346937</v>
      </c>
      <c r="Y148" s="747">
        <v>1276.9000000000001</v>
      </c>
      <c r="Z148" s="748">
        <v>1276.9000000000001</v>
      </c>
      <c r="AA148" s="748">
        <v>1276.9000000000001</v>
      </c>
      <c r="AB148" s="2164">
        <v>2200.86</v>
      </c>
      <c r="AC148" s="63"/>
      <c r="AD148" s="63"/>
      <c r="AE148" s="63"/>
      <c r="AF148" s="63"/>
      <c r="AG148" s="63"/>
      <c r="AH148" s="211"/>
      <c r="AY148"/>
      <c r="AZ148"/>
      <c r="BB148" s="293">
        <f>(BD148+BD149)/(BE148+BE149)</f>
        <v>1.9794126105104997</v>
      </c>
      <c r="BC148" s="742" t="str">
        <f t="shared" si="29"/>
        <v>Cooling RES 6 Year EUL</v>
      </c>
      <c r="BD148" s="752">
        <f>(INDEX('Avoided Cost Benefits'!$C$4:$C$857,MATCH(BC148,'Avoided Cost Benefits'!$A$4:$A$857,0)))*F148</f>
        <v>1279.7652348371405</v>
      </c>
      <c r="BE148" s="73">
        <f t="shared" si="33"/>
        <v>930.41556773509672</v>
      </c>
    </row>
    <row r="149" spans="1:57" s="64" customFormat="1" x14ac:dyDescent="0.25">
      <c r="A149" s="1393" t="str">
        <f t="shared" si="27"/>
        <v>351100_2019_12_Cooling RES ER2</v>
      </c>
      <c r="B149" s="648"/>
      <c r="C149" s="1670" t="s">
        <v>1161</v>
      </c>
      <c r="D149" s="1734" t="s">
        <v>742</v>
      </c>
      <c r="E149" s="3039" t="s">
        <v>3364</v>
      </c>
      <c r="F149" s="2582">
        <f>ROUND(((J233*J305*(1/J377-1/J449))/1000)*J593*$J$634,2)</f>
        <v>475.26</v>
      </c>
      <c r="G149" s="977" t="s">
        <v>1125</v>
      </c>
      <c r="H149" s="202">
        <f>VLOOKUP(G149,'CP FACTORS'!$A$3:$B$38, 2, FALSE)</f>
        <v>9.4741810000000004E-4</v>
      </c>
      <c r="I149" s="1733">
        <f t="shared" si="30"/>
        <v>0.45027</v>
      </c>
      <c r="J149" s="743">
        <f t="shared" si="36"/>
        <v>12</v>
      </c>
      <c r="K149" s="744">
        <f t="shared" si="31"/>
        <v>0</v>
      </c>
      <c r="L149" s="89">
        <f t="shared" si="32"/>
        <v>2.4545454545454546</v>
      </c>
      <c r="M149" s="157"/>
      <c r="N149" s="1735"/>
      <c r="O149" s="157"/>
      <c r="P149" s="157"/>
      <c r="Q149" s="157"/>
      <c r="R149" s="157"/>
      <c r="S149" s="157"/>
      <c r="T149" s="157"/>
      <c r="U149" s="157"/>
      <c r="V149" s="2309" t="s">
        <v>20</v>
      </c>
      <c r="W149" s="745">
        <v>865.21729411764716</v>
      </c>
      <c r="X149" s="746">
        <v>585.10045248868789</v>
      </c>
      <c r="Y149" s="747">
        <v>377.48</v>
      </c>
      <c r="Z149" s="748">
        <v>377.48</v>
      </c>
      <c r="AA149" s="748">
        <v>377.48</v>
      </c>
      <c r="AB149" s="2164">
        <v>475.26</v>
      </c>
      <c r="AC149" s="63"/>
      <c r="AD149" s="63"/>
      <c r="AE149" s="63"/>
      <c r="AF149" s="63"/>
      <c r="AG149" s="63"/>
      <c r="AH149" s="211"/>
      <c r="AY149"/>
      <c r="AZ149"/>
      <c r="BB149" s="291"/>
      <c r="BC149" s="750" t="str">
        <f t="shared" si="29"/>
        <v>Cooling RES ER2 12 Year EUL</v>
      </c>
      <c r="BD149" s="752">
        <f>(INDEX('Avoided Cost Benefits'!$C$4:$C$857,MATCH(BC149,'Avoided Cost Benefits'!$A$4:$A$857,0)))*F149</f>
        <v>561.91107295299594</v>
      </c>
      <c r="BE149" s="73">
        <f t="shared" si="33"/>
        <v>0</v>
      </c>
    </row>
    <row r="150" spans="1:57" s="64" customFormat="1" x14ac:dyDescent="0.25">
      <c r="A150" s="1393" t="str">
        <f t="shared" si="27"/>
        <v>351101_2019_12_Cooling RES</v>
      </c>
      <c r="B150" s="648"/>
      <c r="C150" s="1670" t="s">
        <v>1162</v>
      </c>
      <c r="D150" s="1734" t="s">
        <v>737</v>
      </c>
      <c r="E150" s="3039" t="str">
        <f>CONCATENATE(E148,"_CompE")</f>
        <v>CAC - SEER 17 ER1: MF_CompE</v>
      </c>
      <c r="F150" s="2582">
        <f>ROUND(((J234*J306*(1/J522-1/J450))/1000)*J594*$J$634,2)</f>
        <v>928.65</v>
      </c>
      <c r="G150" s="977" t="s">
        <v>690</v>
      </c>
      <c r="H150" s="202">
        <f>VLOOKUP(G150,'CP FACTORS'!$A$3:$B$38, 2, FALSE)</f>
        <v>9.4741810000000004E-4</v>
      </c>
      <c r="I150" s="1733">
        <f t="shared" si="30"/>
        <v>0.87982000000000005</v>
      </c>
      <c r="J150" s="743">
        <f t="shared" si="36"/>
        <v>6</v>
      </c>
      <c r="K150" s="744">
        <f t="shared" si="31"/>
        <v>918.03912845694003</v>
      </c>
      <c r="L150" s="89">
        <f t="shared" si="32"/>
        <v>2</v>
      </c>
      <c r="M150" s="157"/>
      <c r="N150" s="1735"/>
      <c r="O150" s="157"/>
      <c r="P150" s="157"/>
      <c r="Q150" s="157"/>
      <c r="R150" s="157"/>
      <c r="S150" s="157"/>
      <c r="T150" s="157"/>
      <c r="U150" s="157"/>
      <c r="V150" s="2309" t="s">
        <v>20</v>
      </c>
      <c r="W150" s="745"/>
      <c r="X150" s="746"/>
      <c r="Y150" s="747">
        <v>928.65</v>
      </c>
      <c r="Z150" s="748">
        <v>928.65</v>
      </c>
      <c r="AA150" s="748">
        <v>928.65</v>
      </c>
      <c r="AB150" s="2458">
        <v>928.65</v>
      </c>
      <c r="AC150" s="63"/>
      <c r="AD150" s="63"/>
      <c r="AE150" s="63"/>
      <c r="AF150" s="63"/>
      <c r="AG150" s="63"/>
      <c r="AH150" s="211"/>
      <c r="AY150"/>
      <c r="AZ150"/>
      <c r="BB150" s="293">
        <f>(BD150+BD151)/(BE150+BE151)</f>
        <v>0.99780165886713523</v>
      </c>
      <c r="BC150" s="742" t="str">
        <f t="shared" si="29"/>
        <v>Cooling RES 6 Year EUL</v>
      </c>
      <c r="BD150" s="752">
        <f>(INDEX('Avoided Cost Benefits'!$C$4:$C$857,MATCH(BC150,'Avoided Cost Benefits'!$A$4:$A$857,0)))*F150</f>
        <v>539.99526790959453</v>
      </c>
      <c r="BE150" s="73">
        <f t="shared" si="33"/>
        <v>866.48336805751762</v>
      </c>
    </row>
    <row r="151" spans="1:57" s="64" customFormat="1" x14ac:dyDescent="0.25">
      <c r="A151" s="1393" t="str">
        <f t="shared" si="27"/>
        <v>351101_2019_12_Cooling RES ER2</v>
      </c>
      <c r="B151" s="648"/>
      <c r="C151" s="1670" t="s">
        <v>1162</v>
      </c>
      <c r="D151" s="1734" t="s">
        <v>737</v>
      </c>
      <c r="E151" s="3039" t="str">
        <f>CONCATENATE(E149,"_CompE")</f>
        <v>CAC - SEER 17 ER2: MF_CompE</v>
      </c>
      <c r="F151" s="2582">
        <f>ROUND(((J235*J307*(1/J379-1/J451))/1000)*J595*$J$634,2)</f>
        <v>274.52999999999997</v>
      </c>
      <c r="G151" s="977" t="s">
        <v>1125</v>
      </c>
      <c r="H151" s="202">
        <f>VLOOKUP(G151,'CP FACTORS'!$A$3:$B$38, 2, FALSE)</f>
        <v>9.4741810000000004E-4</v>
      </c>
      <c r="I151" s="1733">
        <f t="shared" si="30"/>
        <v>0.26009500000000002</v>
      </c>
      <c r="J151" s="743">
        <f t="shared" si="36"/>
        <v>12</v>
      </c>
      <c r="K151" s="744">
        <f t="shared" si="31"/>
        <v>0</v>
      </c>
      <c r="L151" s="89">
        <f t="shared" si="32"/>
        <v>2</v>
      </c>
      <c r="M151" s="157"/>
      <c r="N151" s="1735"/>
      <c r="O151" s="157"/>
      <c r="P151" s="157"/>
      <c r="Q151" s="157"/>
      <c r="R151" s="157"/>
      <c r="S151" s="157"/>
      <c r="T151" s="157"/>
      <c r="U151" s="157"/>
      <c r="V151" s="2309" t="s">
        <v>20</v>
      </c>
      <c r="W151" s="745"/>
      <c r="X151" s="746"/>
      <c r="Y151" s="747">
        <v>274.52999999999997</v>
      </c>
      <c r="Z151" s="748">
        <v>274.52999999999997</v>
      </c>
      <c r="AA151" s="748">
        <v>274.52999999999997</v>
      </c>
      <c r="AB151" s="2458">
        <v>274.52999999999997</v>
      </c>
      <c r="AC151" s="63"/>
      <c r="AD151" s="63"/>
      <c r="AE151" s="63"/>
      <c r="AF151" s="63"/>
      <c r="AG151" s="63"/>
      <c r="AH151" s="211"/>
      <c r="AY151"/>
      <c r="AZ151"/>
      <c r="BB151" s="291"/>
      <c r="BC151" s="750" t="str">
        <f t="shared" si="29"/>
        <v>Cooling RES ER2 12 Year EUL</v>
      </c>
      <c r="BD151" s="752">
        <f>(INDEX('Avoided Cost Benefits'!$C$4:$C$857,MATCH(BC151,'Avoided Cost Benefits'!$A$4:$A$857,0)))*F151</f>
        <v>324.58327411897903</v>
      </c>
      <c r="BE151" s="73">
        <f t="shared" si="33"/>
        <v>0</v>
      </c>
    </row>
    <row r="152" spans="1:57" s="64" customFormat="1" x14ac:dyDescent="0.25">
      <c r="A152" s="1393" t="str">
        <f t="shared" si="27"/>
        <v>351150_2019_12_Cooling RES</v>
      </c>
      <c r="B152" s="648"/>
      <c r="C152" s="1670" t="s">
        <v>1163</v>
      </c>
      <c r="D152" s="1734" t="s">
        <v>742</v>
      </c>
      <c r="E152" s="753" t="s">
        <v>3365</v>
      </c>
      <c r="F152" s="2582">
        <f>ROUND(((J236*J308*(1/J380-1/J452))/1000)*J596*$J$634,2)</f>
        <v>754.97</v>
      </c>
      <c r="G152" s="977" t="s">
        <v>690</v>
      </c>
      <c r="H152" s="202">
        <f>VLOOKUP(G152,'CP FACTORS'!$A$3:$B$38, 2, FALSE)</f>
        <v>9.4741810000000004E-4</v>
      </c>
      <c r="I152" s="1733">
        <f t="shared" si="30"/>
        <v>0.71527200000000002</v>
      </c>
      <c r="J152" s="743">
        <f t="shared" si="36"/>
        <v>18</v>
      </c>
      <c r="K152" s="744">
        <f t="shared" si="31"/>
        <v>620</v>
      </c>
      <c r="L152" s="89">
        <f t="shared" si="32"/>
        <v>4</v>
      </c>
      <c r="M152" s="157"/>
      <c r="N152" s="1735"/>
      <c r="O152" s="157"/>
      <c r="P152" s="157"/>
      <c r="Q152" s="157"/>
      <c r="R152" s="157"/>
      <c r="S152" s="157"/>
      <c r="T152" s="157"/>
      <c r="U152" s="157"/>
      <c r="V152" s="2309" t="s">
        <v>20</v>
      </c>
      <c r="W152" s="745">
        <v>355.77882352941191</v>
      </c>
      <c r="X152" s="746">
        <v>547.35203619909521</v>
      </c>
      <c r="Y152" s="747">
        <v>377.48</v>
      </c>
      <c r="Z152" s="748">
        <v>377.48</v>
      </c>
      <c r="AA152" s="748">
        <v>377.48</v>
      </c>
      <c r="AB152" s="2164">
        <v>754.97</v>
      </c>
      <c r="AC152" s="63"/>
      <c r="AD152" s="63"/>
      <c r="AE152" s="63"/>
      <c r="AF152" s="63"/>
      <c r="AG152" s="63"/>
      <c r="AH152" s="211"/>
      <c r="AY152"/>
      <c r="AZ152"/>
      <c r="BB152" s="293">
        <f>(BD152)/(BE152)</f>
        <v>2.2755699730696772</v>
      </c>
      <c r="BC152" s="753" t="str">
        <f t="shared" si="29"/>
        <v>Cooling RES 18 Year EUL</v>
      </c>
      <c r="BD152" s="752">
        <f>(INDEX('Avoided Cost Benefits'!$C$4:$C$857,MATCH(BC152,'Avoided Cost Benefits'!$A$4:$A$857,0)))*F152</f>
        <v>1331.6218813621515</v>
      </c>
      <c r="BE152" s="73">
        <f t="shared" si="33"/>
        <v>585.18168947616789</v>
      </c>
    </row>
    <row r="153" spans="1:57" s="64" customFormat="1" x14ac:dyDescent="0.25">
      <c r="A153" s="1393" t="str">
        <f t="shared" si="27"/>
        <v>351151_2019_12_Cooling RES</v>
      </c>
      <c r="B153" s="648"/>
      <c r="C153" s="1670" t="s">
        <v>1164</v>
      </c>
      <c r="D153" s="1734" t="s">
        <v>737</v>
      </c>
      <c r="E153" s="3039" t="str">
        <f>CONCATENATE(E152,"_CompE")</f>
        <v>CAC - SEER 17 ROF: MF_CompE</v>
      </c>
      <c r="F153" s="2582">
        <f>ROUND(((J237*J309*(1/J381-1/J453))/1000)*J597*$J$634,2)</f>
        <v>274.52999999999997</v>
      </c>
      <c r="G153" s="977" t="s">
        <v>690</v>
      </c>
      <c r="H153" s="202">
        <f>VLOOKUP(G153,'CP FACTORS'!$A$3:$B$38, 2, FALSE)</f>
        <v>9.4741810000000004E-4</v>
      </c>
      <c r="I153" s="1733">
        <f t="shared" si="30"/>
        <v>0.26009500000000002</v>
      </c>
      <c r="J153" s="743">
        <f t="shared" si="36"/>
        <v>18</v>
      </c>
      <c r="K153" s="744">
        <f t="shared" si="31"/>
        <v>620</v>
      </c>
      <c r="L153" s="89">
        <f t="shared" si="32"/>
        <v>2</v>
      </c>
      <c r="M153" s="157"/>
      <c r="N153" s="1735"/>
      <c r="O153" s="157"/>
      <c r="P153" s="157"/>
      <c r="Q153" s="157"/>
      <c r="R153" s="157"/>
      <c r="S153" s="157"/>
      <c r="T153" s="157"/>
      <c r="U153" s="157"/>
      <c r="V153" s="2309" t="s">
        <v>20</v>
      </c>
      <c r="W153" s="745"/>
      <c r="X153" s="746"/>
      <c r="Y153" s="747">
        <v>274.52999999999997</v>
      </c>
      <c r="Z153" s="748">
        <v>274.52999999999997</v>
      </c>
      <c r="AA153" s="748">
        <v>274.52999999999997</v>
      </c>
      <c r="AB153" s="2458">
        <v>274.52999999999997</v>
      </c>
      <c r="AC153" s="63"/>
      <c r="AD153" s="63"/>
      <c r="AE153" s="63"/>
      <c r="AF153" s="63"/>
      <c r="AG153" s="63"/>
      <c r="AH153" s="211"/>
      <c r="AY153"/>
      <c r="AZ153"/>
      <c r="BB153" s="366">
        <f>(BD153)/(BE153)</f>
        <v>0.8274662896629249</v>
      </c>
      <c r="BC153" s="753" t="str">
        <f t="shared" si="29"/>
        <v>Cooling RES 18 Year EUL</v>
      </c>
      <c r="BD153" s="756">
        <f>(INDEX('Avoided Cost Benefits'!$C$4:$C$857,MATCH(BC153,'Avoided Cost Benefits'!$A$4:$A$857,0)))*F153</f>
        <v>484.2181213695265</v>
      </c>
      <c r="BE153" s="75">
        <f t="shared" si="33"/>
        <v>585.18168947616789</v>
      </c>
    </row>
    <row r="154" spans="1:57" s="64" customFormat="1" x14ac:dyDescent="0.25">
      <c r="A154" s="1393" t="str">
        <f t="shared" si="27"/>
        <v>351160_2020_02_Cooling RES</v>
      </c>
      <c r="B154" s="157"/>
      <c r="C154" s="86" t="s">
        <v>3395</v>
      </c>
      <c r="D154" s="1658" t="s">
        <v>740</v>
      </c>
      <c r="E154" s="3038" t="s">
        <v>3336</v>
      </c>
      <c r="F154" s="2582">
        <f>ROUND(((J238*J310*(1/J526-1/J454))/1000)*J598*$J$634,2)</f>
        <v>2017.58</v>
      </c>
      <c r="G154" s="977" t="s">
        <v>690</v>
      </c>
      <c r="H154" s="202">
        <f>VLOOKUP(G154,'CP FACTORS'!$A$3:$B$38, 2, FALSE)</f>
        <v>9.4741810000000004E-4</v>
      </c>
      <c r="I154" s="1733">
        <f>ROUND(F154*H154,6)</f>
        <v>1.911492</v>
      </c>
      <c r="J154" s="743">
        <f t="shared" si="36"/>
        <v>6</v>
      </c>
      <c r="K154" s="744">
        <f>J743</f>
        <v>1273.7253593520768</v>
      </c>
      <c r="L154" s="89">
        <f>K310</f>
        <v>3</v>
      </c>
      <c r="M154" s="157"/>
      <c r="N154" s="157"/>
      <c r="O154" s="157"/>
      <c r="P154" s="157"/>
      <c r="Q154" s="157"/>
      <c r="R154" s="157"/>
      <c r="S154" s="157"/>
      <c r="T154" s="157"/>
      <c r="U154" s="157"/>
      <c r="V154" s="2309" t="s">
        <v>20</v>
      </c>
      <c r="W154" s="745"/>
      <c r="X154" s="746"/>
      <c r="Y154" s="747"/>
      <c r="Z154" s="747">
        <v>2017.58</v>
      </c>
      <c r="AA154" s="748">
        <v>2017.58</v>
      </c>
      <c r="AB154" s="2458">
        <v>2017.58</v>
      </c>
      <c r="AC154" s="63"/>
      <c r="AD154" s="63"/>
      <c r="AE154" s="63"/>
      <c r="AF154" s="63"/>
      <c r="AG154" s="63"/>
      <c r="AH154" s="211"/>
      <c r="AY154"/>
      <c r="AZ154"/>
      <c r="BB154" s="288">
        <f>(BD154+BD155)/(BE154+BE155)</f>
        <v>1.6332850893686637</v>
      </c>
      <c r="BC154" s="742" t="str">
        <f t="shared" ref="BC154:BC189" si="37">CONCATENATE(G154," ",J154," Year EUL")</f>
        <v>Cooling RES 6 Year EUL</v>
      </c>
      <c r="BD154" s="749">
        <f>(INDEX('Avoided Cost Benefits'!$C$4:$C$857,MATCH(BC154,'Avoided Cost Benefits'!$A$4:$A$857,0)))*F154</f>
        <v>1173.1908174544121</v>
      </c>
      <c r="BE154" s="69">
        <f>K154/(1.0595^(2020-2019))</f>
        <v>1202.1947705069151</v>
      </c>
    </row>
    <row r="155" spans="1:57" s="64" customFormat="1" x14ac:dyDescent="0.25">
      <c r="A155" s="1393" t="str">
        <f t="shared" si="27"/>
        <v>351160_2020_02_Cooling RES ER2</v>
      </c>
      <c r="B155" s="157"/>
      <c r="C155" s="86" t="s">
        <v>3395</v>
      </c>
      <c r="D155" s="1734" t="s">
        <v>740</v>
      </c>
      <c r="E155" s="3039" t="s">
        <v>3337</v>
      </c>
      <c r="F155" s="2582">
        <f>ROUND(((J239*J311*(1/J383-1/J455))/1000)*J599*$J$634,2)</f>
        <v>668.46</v>
      </c>
      <c r="G155" s="977" t="s">
        <v>1125</v>
      </c>
      <c r="H155" s="202">
        <f>VLOOKUP(G155,'CP FACTORS'!$A$3:$B$38, 2, FALSE)</f>
        <v>9.4741810000000004E-4</v>
      </c>
      <c r="I155" s="1733">
        <f t="shared" ref="I155:I189" si="38">ROUND(F155*H155,6)</f>
        <v>0.63331099999999996</v>
      </c>
      <c r="J155" s="743">
        <f t="shared" si="36"/>
        <v>12</v>
      </c>
      <c r="K155" s="744">
        <f t="shared" ref="K155:K189" si="39">J744</f>
        <v>0</v>
      </c>
      <c r="L155" s="89">
        <f t="shared" ref="L155:L189" si="40">K311</f>
        <v>3</v>
      </c>
      <c r="M155" s="157"/>
      <c r="N155" s="157"/>
      <c r="O155" s="157"/>
      <c r="P155" s="157"/>
      <c r="Q155" s="157"/>
      <c r="R155" s="157"/>
      <c r="S155" s="157"/>
      <c r="T155" s="157"/>
      <c r="U155" s="157"/>
      <c r="V155" s="2309" t="s">
        <v>20</v>
      </c>
      <c r="W155" s="745"/>
      <c r="X155" s="746"/>
      <c r="Y155" s="747"/>
      <c r="Z155" s="747">
        <v>668.46</v>
      </c>
      <c r="AA155" s="748">
        <v>668.46</v>
      </c>
      <c r="AB155" s="2458">
        <v>668.46</v>
      </c>
      <c r="AC155" s="63"/>
      <c r="AD155" s="63"/>
      <c r="AE155" s="63"/>
      <c r="AF155" s="63"/>
      <c r="AG155" s="63"/>
      <c r="AH155" s="211"/>
      <c r="AY155"/>
      <c r="AZ155"/>
      <c r="BB155" s="291"/>
      <c r="BC155" s="750" t="str">
        <f t="shared" si="37"/>
        <v>Cooling RES ER2 12 Year EUL</v>
      </c>
      <c r="BD155" s="752">
        <f>(INDEX('Avoided Cost Benefits'!$C$4:$C$857,MATCH(BC155,'Avoided Cost Benefits'!$A$4:$A$857,0)))*F155</f>
        <v>790.33597573151474</v>
      </c>
      <c r="BE155" s="73">
        <f t="shared" ref="BE155:BE189" si="41">K155/(1.0595^(2020-2019))</f>
        <v>0</v>
      </c>
    </row>
    <row r="156" spans="1:57" s="64" customFormat="1" x14ac:dyDescent="0.25">
      <c r="A156" s="1393" t="str">
        <f t="shared" si="27"/>
        <v>351161_2020_02_Cooling RES</v>
      </c>
      <c r="B156" s="157"/>
      <c r="C156" s="86" t="s">
        <v>3396</v>
      </c>
      <c r="D156" s="1734" t="s">
        <v>740</v>
      </c>
      <c r="E156" s="753" t="s">
        <v>3338</v>
      </c>
      <c r="F156" s="2582">
        <f>ROUND(((J240*J312*(1/J384-1/J456))/1000)*J600*$J$634,2)</f>
        <v>668.46</v>
      </c>
      <c r="G156" s="977" t="s">
        <v>690</v>
      </c>
      <c r="H156" s="202">
        <f>VLOOKUP(G156,'CP FACTORS'!$A$3:$B$38, 2, FALSE)</f>
        <v>9.4741810000000004E-4</v>
      </c>
      <c r="I156" s="1733">
        <f t="shared" si="38"/>
        <v>0.63331099999999996</v>
      </c>
      <c r="J156" s="743">
        <f t="shared" si="36"/>
        <v>18</v>
      </c>
      <c r="K156" s="744">
        <f t="shared" si="39"/>
        <v>826.66666666666708</v>
      </c>
      <c r="L156" s="89">
        <f t="shared" si="40"/>
        <v>3</v>
      </c>
      <c r="M156" s="157"/>
      <c r="N156" s="157"/>
      <c r="O156" s="157"/>
      <c r="P156" s="157"/>
      <c r="Q156" s="157"/>
      <c r="R156" s="157"/>
      <c r="S156" s="157"/>
      <c r="T156" s="157"/>
      <c r="U156" s="157"/>
      <c r="V156" s="2309" t="s">
        <v>20</v>
      </c>
      <c r="W156" s="745"/>
      <c r="X156" s="746"/>
      <c r="Y156" s="747"/>
      <c r="Z156" s="747">
        <v>668.46</v>
      </c>
      <c r="AA156" s="748">
        <v>668.46</v>
      </c>
      <c r="AB156" s="2458">
        <v>668.46</v>
      </c>
      <c r="AC156" s="63"/>
      <c r="AD156" s="63"/>
      <c r="AE156" s="63"/>
      <c r="AF156" s="63"/>
      <c r="AG156" s="63"/>
      <c r="AH156" s="211"/>
      <c r="AY156"/>
      <c r="AZ156"/>
      <c r="BB156" s="293">
        <f>IFERROR((BD156)/(BE156),"")</f>
        <v>1.5111138563765667</v>
      </c>
      <c r="BC156" s="753" t="str">
        <f t="shared" si="37"/>
        <v>Cooling RES 18 Year EUL</v>
      </c>
      <c r="BD156" s="752">
        <f>(INDEX('Avoided Cost Benefits'!$C$4:$C$857,MATCH(BC156,'Avoided Cost Benefits'!$A$4:$A$857,0)))*F156</f>
        <v>1179.0348792870495</v>
      </c>
      <c r="BE156" s="73">
        <f t="shared" si="41"/>
        <v>780.24225263489097</v>
      </c>
    </row>
    <row r="157" spans="1:57" s="64" customFormat="1" x14ac:dyDescent="0.25">
      <c r="A157" s="1393" t="str">
        <f t="shared" si="27"/>
        <v>351162_2020_02_Cooling RES</v>
      </c>
      <c r="B157" s="157"/>
      <c r="C157" s="86" t="s">
        <v>3397</v>
      </c>
      <c r="D157" s="1734" t="s">
        <v>742</v>
      </c>
      <c r="E157" s="3038" t="s">
        <v>3339</v>
      </c>
      <c r="F157" s="2582">
        <f>ROUND(((J241*J313*(1/J529-1/J457))/1000)*J601*$J$634,2)</f>
        <v>1345.05</v>
      </c>
      <c r="G157" s="977" t="s">
        <v>690</v>
      </c>
      <c r="H157" s="202">
        <f>VLOOKUP(G157,'CP FACTORS'!$A$3:$B$38, 2, FALSE)</f>
        <v>9.4741810000000004E-4</v>
      </c>
      <c r="I157" s="1733">
        <f t="shared" si="38"/>
        <v>1.2743249999999999</v>
      </c>
      <c r="J157" s="743">
        <f t="shared" si="36"/>
        <v>6</v>
      </c>
      <c r="K157" s="744">
        <f t="shared" si="39"/>
        <v>1214.9316927389714</v>
      </c>
      <c r="L157" s="89">
        <f t="shared" si="40"/>
        <v>2</v>
      </c>
      <c r="M157" s="157"/>
      <c r="N157" s="157"/>
      <c r="O157" s="157"/>
      <c r="P157" s="157"/>
      <c r="Q157" s="157"/>
      <c r="R157" s="157"/>
      <c r="S157" s="157"/>
      <c r="T157" s="157"/>
      <c r="U157" s="157"/>
      <c r="V157" s="2309" t="s">
        <v>20</v>
      </c>
      <c r="W157" s="745"/>
      <c r="X157" s="746"/>
      <c r="Y157" s="747"/>
      <c r="Z157" s="747">
        <v>1345.05</v>
      </c>
      <c r="AA157" s="748">
        <v>1345.05</v>
      </c>
      <c r="AB157" s="2458">
        <v>1345.05</v>
      </c>
      <c r="AC157" s="63"/>
      <c r="AD157" s="63"/>
      <c r="AE157" s="63"/>
      <c r="AF157" s="63"/>
      <c r="AG157" s="63"/>
      <c r="AH157" s="211"/>
      <c r="AY157"/>
      <c r="AZ157"/>
      <c r="BB157" s="293">
        <f>(BD157+BD158)/(BE157+BE158)</f>
        <v>1.1415476109487479</v>
      </c>
      <c r="BC157" s="742" t="str">
        <f t="shared" si="37"/>
        <v>Cooling RES 6 Year EUL</v>
      </c>
      <c r="BD157" s="752">
        <f>(INDEX('Avoided Cost Benefits'!$C$4:$C$857,MATCH(BC157,'Avoided Cost Benefits'!$A$4:$A$857,0)))*F157</f>
        <v>782.12527335573168</v>
      </c>
      <c r="BE157" s="73">
        <f t="shared" si="41"/>
        <v>1146.7028718631159</v>
      </c>
    </row>
    <row r="158" spans="1:57" s="64" customFormat="1" x14ac:dyDescent="0.25">
      <c r="A158" s="1393" t="str">
        <f t="shared" si="27"/>
        <v>351162_2020_02_Cooling RES ER2</v>
      </c>
      <c r="B158" s="157"/>
      <c r="C158" s="86" t="s">
        <v>3397</v>
      </c>
      <c r="D158" s="1734" t="s">
        <v>742</v>
      </c>
      <c r="E158" s="3039" t="s">
        <v>3340</v>
      </c>
      <c r="F158" s="2582">
        <f>ROUND(((J242*J314*(1/J386-1/J458))/1000)*J602*$J$634,2)</f>
        <v>445.64</v>
      </c>
      <c r="G158" s="977" t="s">
        <v>1125</v>
      </c>
      <c r="H158" s="202">
        <f>VLOOKUP(G158,'CP FACTORS'!$A$3:$B$38, 2, FALSE)</f>
        <v>9.4741810000000004E-4</v>
      </c>
      <c r="I158" s="1733">
        <f t="shared" si="38"/>
        <v>0.422207</v>
      </c>
      <c r="J158" s="743">
        <f t="shared" si="36"/>
        <v>12</v>
      </c>
      <c r="K158" s="744">
        <f t="shared" si="39"/>
        <v>0</v>
      </c>
      <c r="L158" s="89">
        <f t="shared" si="40"/>
        <v>2</v>
      </c>
      <c r="M158" s="157"/>
      <c r="N158" s="157"/>
      <c r="O158" s="157"/>
      <c r="P158" s="157"/>
      <c r="Q158" s="157"/>
      <c r="R158" s="157"/>
      <c r="S158" s="157"/>
      <c r="T158" s="157"/>
      <c r="U158" s="157"/>
      <c r="V158" s="2309" t="s">
        <v>20</v>
      </c>
      <c r="W158" s="745"/>
      <c r="X158" s="746"/>
      <c r="Y158" s="747"/>
      <c r="Z158" s="747">
        <v>445.64</v>
      </c>
      <c r="AA158" s="748">
        <v>445.64</v>
      </c>
      <c r="AB158" s="2458">
        <v>445.64</v>
      </c>
      <c r="AC158" s="63"/>
      <c r="AD158" s="63"/>
      <c r="AE158" s="63"/>
      <c r="AF158" s="63"/>
      <c r="AG158" s="63"/>
      <c r="AH158" s="211"/>
      <c r="AY158"/>
      <c r="AZ158"/>
      <c r="BB158" s="291"/>
      <c r="BC158" s="750" t="str">
        <f t="shared" si="37"/>
        <v>Cooling RES ER2 12 Year EUL</v>
      </c>
      <c r="BD158" s="752">
        <f>(INDEX('Avoided Cost Benefits'!$C$4:$C$857,MATCH(BC158,'Avoided Cost Benefits'!$A$4:$A$857,0)))*F158</f>
        <v>526.89065048767645</v>
      </c>
      <c r="BE158" s="73">
        <f t="shared" si="41"/>
        <v>0</v>
      </c>
    </row>
    <row r="159" spans="1:57" s="64" customFormat="1" x14ac:dyDescent="0.25">
      <c r="A159" s="1393" t="str">
        <f t="shared" si="27"/>
        <v>351163_2020_02_Cooling RES</v>
      </c>
      <c r="B159" s="648"/>
      <c r="C159" s="86" t="s">
        <v>3398</v>
      </c>
      <c r="D159" s="1734" t="s">
        <v>737</v>
      </c>
      <c r="E159" s="3039" t="str">
        <f>CONCATENATE(E157,"_CompE")</f>
        <v>CAC - SEER 18 ER1: MF_CompE</v>
      </c>
      <c r="F159" s="2582">
        <f>ROUND(((J243*J315*(1/J531-1/J459))/1000)*J603*$J$634,2)</f>
        <v>978.22</v>
      </c>
      <c r="G159" s="977" t="s">
        <v>690</v>
      </c>
      <c r="H159" s="202">
        <f>VLOOKUP(G159,'CP FACTORS'!$A$3:$B$38, 2, FALSE)</f>
        <v>9.4741810000000004E-4</v>
      </c>
      <c r="I159" s="1733">
        <f t="shared" si="38"/>
        <v>0.92678300000000002</v>
      </c>
      <c r="J159" s="743">
        <f t="shared" si="36"/>
        <v>6</v>
      </c>
      <c r="K159" s="744">
        <f t="shared" si="39"/>
        <v>1124.705795123607</v>
      </c>
      <c r="L159" s="89">
        <f t="shared" si="40"/>
        <v>2</v>
      </c>
      <c r="M159" s="157"/>
      <c r="N159" s="157"/>
      <c r="O159" s="157"/>
      <c r="P159" s="157"/>
      <c r="Q159" s="157"/>
      <c r="R159" s="157"/>
      <c r="S159" s="157"/>
      <c r="T159" s="157"/>
      <c r="U159" s="157"/>
      <c r="V159" s="2309" t="s">
        <v>20</v>
      </c>
      <c r="W159" s="745"/>
      <c r="X159" s="746"/>
      <c r="Y159" s="747"/>
      <c r="Z159" s="747">
        <v>978.22</v>
      </c>
      <c r="AA159" s="748">
        <v>978.22</v>
      </c>
      <c r="AB159" s="2458">
        <v>978.22</v>
      </c>
      <c r="AC159" s="63"/>
      <c r="AD159" s="63"/>
      <c r="AE159" s="63"/>
      <c r="AF159" s="63"/>
      <c r="AG159" s="63"/>
      <c r="AH159" s="211"/>
      <c r="AY159"/>
      <c r="AZ159"/>
      <c r="BB159" s="293">
        <f>(BD159+BD160)/(BE159+BE160)</f>
        <v>0.89681685377928411</v>
      </c>
      <c r="BC159" s="742" t="str">
        <f t="shared" si="37"/>
        <v>Cooling RES 6 Year EUL</v>
      </c>
      <c r="BD159" s="752">
        <f>(INDEX('Avoided Cost Benefits'!$C$4:$C$857,MATCH(BC159,'Avoided Cost Benefits'!$A$4:$A$857,0)))*F159</f>
        <v>568.8194378662829</v>
      </c>
      <c r="BE159" s="73">
        <f t="shared" si="41"/>
        <v>1061.5439312162405</v>
      </c>
    </row>
    <row r="160" spans="1:57" s="64" customFormat="1" x14ac:dyDescent="0.25">
      <c r="A160" s="1393" t="str">
        <f t="shared" si="27"/>
        <v>351163_2020_02_Cooling RES ER2</v>
      </c>
      <c r="B160" s="648"/>
      <c r="C160" s="86" t="s">
        <v>3398</v>
      </c>
      <c r="D160" s="1734" t="s">
        <v>737</v>
      </c>
      <c r="E160" s="3039" t="str">
        <f>CONCATENATE(E158,"_CompE")</f>
        <v>CAC - SEER 18 ER2: MF_CompE</v>
      </c>
      <c r="F160" s="2582">
        <f>ROUND(((J244*J316*(1/J388-1/J460))/1000)*J604*$J$634,2)</f>
        <v>324.10000000000002</v>
      </c>
      <c r="G160" s="977" t="s">
        <v>1125</v>
      </c>
      <c r="H160" s="202">
        <f>VLOOKUP(G160,'CP FACTORS'!$A$3:$B$38, 2, FALSE)</f>
        <v>9.4741810000000004E-4</v>
      </c>
      <c r="I160" s="1733">
        <f t="shared" si="38"/>
        <v>0.307058</v>
      </c>
      <c r="J160" s="743">
        <f t="shared" si="36"/>
        <v>12</v>
      </c>
      <c r="K160" s="744">
        <f t="shared" si="39"/>
        <v>0</v>
      </c>
      <c r="L160" s="89">
        <f t="shared" si="40"/>
        <v>2</v>
      </c>
      <c r="M160" s="157"/>
      <c r="N160" s="157"/>
      <c r="O160" s="157"/>
      <c r="P160" s="157"/>
      <c r="Q160" s="157"/>
      <c r="R160" s="157"/>
      <c r="S160" s="157"/>
      <c r="T160" s="157"/>
      <c r="U160" s="157"/>
      <c r="V160" s="2309" t="s">
        <v>20</v>
      </c>
      <c r="W160" s="745"/>
      <c r="X160" s="746"/>
      <c r="Y160" s="747"/>
      <c r="Z160" s="747">
        <v>324.10000000000002</v>
      </c>
      <c r="AA160" s="748">
        <v>324.10000000000002</v>
      </c>
      <c r="AB160" s="2458">
        <v>324.10000000000002</v>
      </c>
      <c r="AC160" s="63"/>
      <c r="AD160" s="63"/>
      <c r="AE160" s="63"/>
      <c r="AF160" s="63"/>
      <c r="AG160" s="63"/>
      <c r="AH160" s="211"/>
      <c r="AY160"/>
      <c r="AZ160"/>
      <c r="BB160" s="291"/>
      <c r="BC160" s="750" t="str">
        <f t="shared" si="37"/>
        <v>Cooling RES ER2 12 Year EUL</v>
      </c>
      <c r="BD160" s="752">
        <f>(INDEX('Avoided Cost Benefits'!$C$4:$C$857,MATCH(BC160,'Avoided Cost Benefits'!$A$4:$A$857,0)))*F160</f>
        <v>383.19105067555864</v>
      </c>
      <c r="BE160" s="73">
        <f t="shared" si="41"/>
        <v>0</v>
      </c>
    </row>
    <row r="161" spans="1:57" s="64" customFormat="1" x14ac:dyDescent="0.25">
      <c r="A161" s="1393" t="str">
        <f t="shared" si="27"/>
        <v>351164_2020_02_Cooling RES</v>
      </c>
      <c r="B161" s="648"/>
      <c r="C161" s="86" t="s">
        <v>3399</v>
      </c>
      <c r="D161" s="1734" t="s">
        <v>742</v>
      </c>
      <c r="E161" s="753" t="s">
        <v>3341</v>
      </c>
      <c r="F161" s="2582">
        <f>ROUND(((J245*J317*(1/J389-1/J461))/1000)*J605*$J$634,2)</f>
        <v>445.64</v>
      </c>
      <c r="G161" s="977" t="s">
        <v>690</v>
      </c>
      <c r="H161" s="202">
        <f>VLOOKUP(G161,'CP FACTORS'!$A$3:$B$38, 2, FALSE)</f>
        <v>9.4741810000000004E-4</v>
      </c>
      <c r="I161" s="1733">
        <f t="shared" si="38"/>
        <v>0.422207</v>
      </c>
      <c r="J161" s="755">
        <v>18</v>
      </c>
      <c r="K161" s="744">
        <f t="shared" si="39"/>
        <v>826.66666666666708</v>
      </c>
      <c r="L161" s="89">
        <f t="shared" si="40"/>
        <v>2</v>
      </c>
      <c r="M161" s="157"/>
      <c r="N161" s="157"/>
      <c r="O161" s="157"/>
      <c r="P161" s="157"/>
      <c r="Q161" s="157"/>
      <c r="R161" s="157"/>
      <c r="S161" s="157"/>
      <c r="T161" s="157"/>
      <c r="U161" s="157"/>
      <c r="V161" s="2309" t="s">
        <v>20</v>
      </c>
      <c r="W161" s="745"/>
      <c r="X161" s="746"/>
      <c r="Y161" s="747"/>
      <c r="Z161" s="747">
        <v>445.64</v>
      </c>
      <c r="AA161" s="748">
        <v>445.64</v>
      </c>
      <c r="AB161" s="2458">
        <v>445.64</v>
      </c>
      <c r="AC161" s="63"/>
      <c r="AD161" s="63"/>
      <c r="AE161" s="63"/>
      <c r="AF161" s="63"/>
      <c r="AG161" s="63"/>
      <c r="AH161" s="211"/>
      <c r="AY161"/>
      <c r="AZ161"/>
      <c r="BB161" s="293">
        <f>IFERROR((BD161)/(BE161),"")</f>
        <v>1.0074092375843779</v>
      </c>
      <c r="BC161" s="753" t="str">
        <f t="shared" si="37"/>
        <v>Cooling RES 18 Year EUL</v>
      </c>
      <c r="BD161" s="752">
        <f>(INDEX('Avoided Cost Benefits'!$C$4:$C$857,MATCH(BC161,'Avoided Cost Benefits'!$A$4:$A$857,0)))*F161</f>
        <v>786.02325285803306</v>
      </c>
      <c r="BE161" s="73">
        <f t="shared" si="41"/>
        <v>780.24225263489097</v>
      </c>
    </row>
    <row r="162" spans="1:57" s="64" customFormat="1" x14ac:dyDescent="0.25">
      <c r="A162" s="1393" t="str">
        <f t="shared" si="27"/>
        <v>351165_2020_02_Cooling RES</v>
      </c>
      <c r="B162" s="648"/>
      <c r="C162" s="86" t="s">
        <v>3400</v>
      </c>
      <c r="D162" s="1734" t="s">
        <v>737</v>
      </c>
      <c r="E162" s="3039" t="str">
        <f>CONCATENATE(E161,"_CompE")</f>
        <v>CAC - SEER 18 ROF: MF_CompE</v>
      </c>
      <c r="F162" s="2582">
        <f>ROUND(((J246*J318*(1/J390-1/J462))/1000)*J606*$J$634,2)</f>
        <v>324.10000000000002</v>
      </c>
      <c r="G162" s="977" t="s">
        <v>690</v>
      </c>
      <c r="H162" s="202">
        <f>VLOOKUP(G162,'CP FACTORS'!$A$3:$B$38, 2, FALSE)</f>
        <v>9.4741810000000004E-4</v>
      </c>
      <c r="I162" s="1733">
        <f t="shared" si="38"/>
        <v>0.307058</v>
      </c>
      <c r="J162" s="755">
        <v>18</v>
      </c>
      <c r="K162" s="744">
        <f t="shared" si="39"/>
        <v>826.66666666666708</v>
      </c>
      <c r="L162" s="89">
        <f t="shared" si="40"/>
        <v>2</v>
      </c>
      <c r="M162" s="157"/>
      <c r="N162" s="157"/>
      <c r="O162" s="157"/>
      <c r="P162" s="157"/>
      <c r="Q162" s="157"/>
      <c r="R162" s="157"/>
      <c r="S162" s="157"/>
      <c r="T162" s="157"/>
      <c r="U162" s="157"/>
      <c r="V162" s="2309" t="s">
        <v>20</v>
      </c>
      <c r="W162" s="745"/>
      <c r="X162" s="746"/>
      <c r="Y162" s="747"/>
      <c r="Z162" s="747">
        <v>324.10000000000002</v>
      </c>
      <c r="AA162" s="748">
        <v>324.10000000000002</v>
      </c>
      <c r="AB162" s="2458">
        <v>324.10000000000002</v>
      </c>
      <c r="AC162" s="63"/>
      <c r="AD162" s="63"/>
      <c r="AE162" s="63"/>
      <c r="AF162" s="63"/>
      <c r="AG162" s="63"/>
      <c r="AH162" s="211"/>
      <c r="AY162"/>
      <c r="AZ162"/>
      <c r="BB162" s="293">
        <f>IFERROR((BD162)/(BE162),"")</f>
        <v>0.73265715353446026</v>
      </c>
      <c r="BC162" s="753" t="str">
        <f t="shared" si="37"/>
        <v>Cooling RES 18 Year EUL</v>
      </c>
      <c r="BD162" s="752">
        <f>(INDEX('Avoided Cost Benefits'!$C$4:$C$857,MATCH(BC162,'Avoided Cost Benefits'!$A$4:$A$857,0)))*F162</f>
        <v>571.65006788279447</v>
      </c>
      <c r="BE162" s="73">
        <f t="shared" si="41"/>
        <v>780.24225263489097</v>
      </c>
    </row>
    <row r="163" spans="1:57" s="64" customFormat="1" x14ac:dyDescent="0.25">
      <c r="A163" s="1393" t="str">
        <f t="shared" si="27"/>
        <v>351170_2020_02_Cooling RES</v>
      </c>
      <c r="B163" s="648"/>
      <c r="C163" s="86" t="s">
        <v>3401</v>
      </c>
      <c r="D163" s="1734" t="s">
        <v>740</v>
      </c>
      <c r="E163" s="3038" t="s">
        <v>3342</v>
      </c>
      <c r="F163" s="2582">
        <f>ROUND(((J247*J319*(1/J535-1/J463))/1000)*J607*$J$634,2)</f>
        <v>2109.06</v>
      </c>
      <c r="G163" s="977" t="s">
        <v>690</v>
      </c>
      <c r="H163" s="202">
        <f>VLOOKUP(G163,'CP FACTORS'!$A$3:$B$38, 2, FALSE)</f>
        <v>9.4741810000000004E-4</v>
      </c>
      <c r="I163" s="1733">
        <f t="shared" si="38"/>
        <v>1.998162</v>
      </c>
      <c r="J163" s="743">
        <f t="shared" ref="J163:J170" si="42">J680</f>
        <v>6</v>
      </c>
      <c r="K163" s="744">
        <f t="shared" si="39"/>
        <v>1480.3920260187429</v>
      </c>
      <c r="L163" s="89">
        <f t="shared" si="40"/>
        <v>3</v>
      </c>
      <c r="M163" s="157"/>
      <c r="N163" s="157"/>
      <c r="O163" s="157"/>
      <c r="P163" s="157"/>
      <c r="Q163" s="157"/>
      <c r="R163" s="157"/>
      <c r="S163" s="157"/>
      <c r="T163" s="157"/>
      <c r="U163" s="157"/>
      <c r="V163" s="2309" t="s">
        <v>20</v>
      </c>
      <c r="W163" s="745"/>
      <c r="X163" s="746"/>
      <c r="Y163" s="747"/>
      <c r="Z163" s="747">
        <v>2109.06</v>
      </c>
      <c r="AA163" s="748">
        <v>2109.06</v>
      </c>
      <c r="AB163" s="2458">
        <v>2109.06</v>
      </c>
      <c r="AC163" s="63"/>
      <c r="AD163" s="63"/>
      <c r="AE163" s="63"/>
      <c r="AF163" s="63"/>
      <c r="AG163" s="63"/>
      <c r="AH163" s="211"/>
      <c r="AY163"/>
      <c r="AZ163"/>
      <c r="BB163" s="293">
        <f>(BD163+BD164)/(BE163+BE164)</f>
        <v>1.5207527702453778</v>
      </c>
      <c r="BC163" s="742" t="str">
        <f t="shared" si="37"/>
        <v>Cooling RES 6 Year EUL</v>
      </c>
      <c r="BD163" s="752">
        <f>(INDEX('Avoided Cost Benefits'!$C$4:$C$857,MATCH(BC163,'Avoided Cost Benefits'!$A$4:$A$857,0)))*F163</f>
        <v>1226.3849886797066</v>
      </c>
      <c r="BE163" s="73">
        <f t="shared" si="41"/>
        <v>1397.2553336656372</v>
      </c>
    </row>
    <row r="164" spans="1:57" s="64" customFormat="1" x14ac:dyDescent="0.25">
      <c r="A164" s="1393" t="str">
        <f t="shared" si="27"/>
        <v>351170_2020_02_Cooling RES ER2</v>
      </c>
      <c r="B164" s="648"/>
      <c r="C164" s="86" t="s">
        <v>3401</v>
      </c>
      <c r="D164" s="1734" t="s">
        <v>740</v>
      </c>
      <c r="E164" s="3039" t="s">
        <v>3343</v>
      </c>
      <c r="F164" s="2582">
        <f>ROUND(((J248*J320*(1/J392-1/J464))/1000)*J608*$J$634,2)</f>
        <v>759.94</v>
      </c>
      <c r="G164" s="977" t="s">
        <v>1125</v>
      </c>
      <c r="H164" s="202">
        <f>VLOOKUP(G164,'CP FACTORS'!$A$3:$B$38, 2, FALSE)</f>
        <v>9.4741810000000004E-4</v>
      </c>
      <c r="I164" s="1733">
        <f t="shared" si="38"/>
        <v>0.71998099999999998</v>
      </c>
      <c r="J164" s="743">
        <f t="shared" si="42"/>
        <v>12</v>
      </c>
      <c r="K164" s="744">
        <f t="shared" si="39"/>
        <v>0</v>
      </c>
      <c r="L164" s="89">
        <f t="shared" si="40"/>
        <v>3</v>
      </c>
      <c r="M164" s="157"/>
      <c r="N164" s="157"/>
      <c r="O164" s="157"/>
      <c r="P164" s="157"/>
      <c r="Q164" s="157"/>
      <c r="R164" s="157"/>
      <c r="S164" s="157"/>
      <c r="T164" s="157"/>
      <c r="U164" s="157"/>
      <c r="V164" s="2309" t="s">
        <v>20</v>
      </c>
      <c r="W164" s="745"/>
      <c r="X164" s="746"/>
      <c r="Y164" s="747"/>
      <c r="Z164" s="747">
        <v>759.94</v>
      </c>
      <c r="AA164" s="748">
        <v>759.94</v>
      </c>
      <c r="AB164" s="2458">
        <v>759.94</v>
      </c>
      <c r="AC164" s="63"/>
      <c r="AD164" s="63"/>
      <c r="AE164" s="63"/>
      <c r="AF164" s="63"/>
      <c r="AG164" s="63"/>
      <c r="AH164" s="211"/>
      <c r="AY164"/>
      <c r="AZ164"/>
      <c r="BB164" s="291"/>
      <c r="BC164" s="750" t="str">
        <f t="shared" si="37"/>
        <v>Cooling RES ER2 12 Year EUL</v>
      </c>
      <c r="BD164" s="752">
        <f>(INDEX('Avoided Cost Benefits'!$C$4:$C$857,MATCH(BC164,'Avoided Cost Benefits'!$A$4:$A$857,0)))*F164</f>
        <v>898.49493073244071</v>
      </c>
      <c r="BE164" s="73">
        <f t="shared" si="41"/>
        <v>0</v>
      </c>
    </row>
    <row r="165" spans="1:57" s="64" customFormat="1" x14ac:dyDescent="0.25">
      <c r="A165" s="1393" t="str">
        <f t="shared" si="27"/>
        <v>351171_2020_02_Cooling RES</v>
      </c>
      <c r="B165" s="648"/>
      <c r="C165" s="86" t="s">
        <v>3402</v>
      </c>
      <c r="D165" s="1734" t="s">
        <v>740</v>
      </c>
      <c r="E165" s="753" t="s">
        <v>3344</v>
      </c>
      <c r="F165" s="2582">
        <f>ROUND(((J249*J321*(1/J393-1/J465))/1000)*J609*$J$634,2)</f>
        <v>759.94</v>
      </c>
      <c r="G165" s="977" t="s">
        <v>690</v>
      </c>
      <c r="H165" s="202">
        <f>VLOOKUP(G165,'CP FACTORS'!$A$3:$B$38, 2, FALSE)</f>
        <v>9.4741810000000004E-4</v>
      </c>
      <c r="I165" s="1733">
        <f t="shared" si="38"/>
        <v>0.71998099999999998</v>
      </c>
      <c r="J165" s="743">
        <f t="shared" si="42"/>
        <v>18</v>
      </c>
      <c r="K165" s="744">
        <f t="shared" si="39"/>
        <v>1033.3333333333328</v>
      </c>
      <c r="L165" s="89">
        <f t="shared" si="40"/>
        <v>3</v>
      </c>
      <c r="M165" s="157"/>
      <c r="N165" s="157"/>
      <c r="O165" s="157"/>
      <c r="P165" s="157"/>
      <c r="Q165" s="157"/>
      <c r="R165" s="157"/>
      <c r="S165" s="157"/>
      <c r="T165" s="157"/>
      <c r="U165" s="157"/>
      <c r="V165" s="2309" t="s">
        <v>20</v>
      </c>
      <c r="W165" s="745"/>
      <c r="X165" s="746"/>
      <c r="Y165" s="747"/>
      <c r="Z165" s="747">
        <v>759.94</v>
      </c>
      <c r="AA165" s="748">
        <v>759.94</v>
      </c>
      <c r="AB165" s="2458">
        <v>759.94</v>
      </c>
      <c r="AC165" s="63"/>
      <c r="AD165" s="63"/>
      <c r="AE165" s="63"/>
      <c r="AF165" s="63"/>
      <c r="AG165" s="63"/>
      <c r="AH165" s="211"/>
      <c r="AY165"/>
      <c r="AZ165"/>
      <c r="BB165" s="293">
        <f>(BD165)/(BE165)</f>
        <v>1.3743300888786878</v>
      </c>
      <c r="BC165" s="753" t="str">
        <f t="shared" si="37"/>
        <v>Cooling RES 18 Year EUL</v>
      </c>
      <c r="BD165" s="752">
        <f>(INDEX('Avoided Cost Benefits'!$C$4:$C$857,MATCH(BC165,'Avoided Cost Benefits'!$A$4:$A$857,0)))*F165</f>
        <v>1340.3880055132702</v>
      </c>
      <c r="BE165" s="73">
        <f t="shared" si="41"/>
        <v>975.30281579361269</v>
      </c>
    </row>
    <row r="166" spans="1:57" s="64" customFormat="1" x14ac:dyDescent="0.25">
      <c r="A166" s="1393" t="str">
        <f t="shared" si="27"/>
        <v>351172_2020_02_Cooling RES</v>
      </c>
      <c r="B166" s="648"/>
      <c r="C166" s="86" t="s">
        <v>3403</v>
      </c>
      <c r="D166" s="1734" t="s">
        <v>742</v>
      </c>
      <c r="E166" s="3038" t="s">
        <v>3345</v>
      </c>
      <c r="F166" s="2582">
        <f>ROUND(((J250*J322*(1/J538-1/J466))/1000)*J610*$J$634,2)</f>
        <v>1406.04</v>
      </c>
      <c r="G166" s="977" t="s">
        <v>690</v>
      </c>
      <c r="H166" s="202">
        <f>VLOOKUP(G166,'CP FACTORS'!$A$3:$B$38, 2, FALSE)</f>
        <v>9.4741810000000004E-4</v>
      </c>
      <c r="I166" s="1733">
        <f t="shared" si="38"/>
        <v>1.3321080000000001</v>
      </c>
      <c r="J166" s="743">
        <f t="shared" si="42"/>
        <v>6</v>
      </c>
      <c r="K166" s="744">
        <f t="shared" si="39"/>
        <v>1331.3724617902726</v>
      </c>
      <c r="L166" s="89">
        <f t="shared" si="40"/>
        <v>2</v>
      </c>
      <c r="M166" s="157"/>
      <c r="N166" s="157"/>
      <c r="O166" s="157"/>
      <c r="P166" s="157"/>
      <c r="Q166" s="157"/>
      <c r="R166" s="157"/>
      <c r="S166" s="157"/>
      <c r="T166" s="157"/>
      <c r="U166" s="157"/>
      <c r="V166" s="2309" t="s">
        <v>20</v>
      </c>
      <c r="W166" s="745"/>
      <c r="X166" s="746"/>
      <c r="Y166" s="747"/>
      <c r="Z166" s="747">
        <v>1406.04</v>
      </c>
      <c r="AA166" s="748">
        <v>1406.04</v>
      </c>
      <c r="AB166" s="2458">
        <v>1406.04</v>
      </c>
      <c r="AC166" s="63"/>
      <c r="AD166" s="63"/>
      <c r="AE166" s="63"/>
      <c r="AF166" s="63"/>
      <c r="AG166" s="63"/>
      <c r="AH166" s="211"/>
      <c r="AY166"/>
      <c r="AZ166"/>
      <c r="BB166" s="293">
        <f>(BD166+BD167)/(BE166+BE167)</f>
        <v>1.127306751747124</v>
      </c>
      <c r="BC166" s="742" t="str">
        <f t="shared" si="37"/>
        <v>Cooling RES 6 Year EUL</v>
      </c>
      <c r="BD166" s="752">
        <f>(INDEX('Avoided Cost Benefits'!$C$4:$C$857,MATCH(BC166,'Avoided Cost Benefits'!$A$4:$A$857,0)))*F166</f>
        <v>817.58999245313771</v>
      </c>
      <c r="BE166" s="73">
        <f t="shared" si="41"/>
        <v>1256.6044943749623</v>
      </c>
    </row>
    <row r="167" spans="1:57" s="64" customFormat="1" x14ac:dyDescent="0.25">
      <c r="A167" s="1393" t="str">
        <f t="shared" si="27"/>
        <v>351172_2020_02_Cooling RES ER2</v>
      </c>
      <c r="B167" s="648"/>
      <c r="C167" s="86" t="s">
        <v>3403</v>
      </c>
      <c r="D167" s="1734" t="s">
        <v>742</v>
      </c>
      <c r="E167" s="3039" t="s">
        <v>3346</v>
      </c>
      <c r="F167" s="2582">
        <f>ROUND(((J251*J323*(1/J395-1/J467))/1000)*J611*$J$634,2)</f>
        <v>506.62</v>
      </c>
      <c r="G167" s="977" t="s">
        <v>1125</v>
      </c>
      <c r="H167" s="202">
        <f>VLOOKUP(G167,'CP FACTORS'!$A$3:$B$38, 2, FALSE)</f>
        <v>9.4741810000000004E-4</v>
      </c>
      <c r="I167" s="1733">
        <f t="shared" si="38"/>
        <v>0.47998099999999999</v>
      </c>
      <c r="J167" s="743">
        <f t="shared" si="42"/>
        <v>12</v>
      </c>
      <c r="K167" s="744">
        <f t="shared" si="39"/>
        <v>0</v>
      </c>
      <c r="L167" s="89">
        <f t="shared" si="40"/>
        <v>2</v>
      </c>
      <c r="M167" s="157"/>
      <c r="N167" s="157"/>
      <c r="O167" s="157"/>
      <c r="P167" s="157"/>
      <c r="Q167" s="157"/>
      <c r="R167" s="157"/>
      <c r="S167" s="157"/>
      <c r="T167" s="157"/>
      <c r="U167" s="157"/>
      <c r="V167" s="2309" t="s">
        <v>20</v>
      </c>
      <c r="W167" s="745"/>
      <c r="X167" s="746"/>
      <c r="Y167" s="747"/>
      <c r="Z167" s="747">
        <v>506.62</v>
      </c>
      <c r="AA167" s="748">
        <v>506.62</v>
      </c>
      <c r="AB167" s="2458">
        <v>506.62</v>
      </c>
      <c r="AC167" s="63"/>
      <c r="AD167" s="63"/>
      <c r="AE167" s="63"/>
      <c r="AF167" s="63"/>
      <c r="AG167" s="63"/>
      <c r="AH167" s="211"/>
      <c r="AY167"/>
      <c r="AZ167"/>
      <c r="BB167" s="291"/>
      <c r="BC167" s="750" t="str">
        <f t="shared" si="37"/>
        <v>Cooling RES ER2 12 Year EUL</v>
      </c>
      <c r="BD167" s="752">
        <f>(INDEX('Avoided Cost Benefits'!$C$4:$C$857,MATCH(BC167,'Avoided Cost Benefits'!$A$4:$A$857,0)))*F167</f>
        <v>598.98873833153812</v>
      </c>
      <c r="BE167" s="73">
        <f t="shared" si="41"/>
        <v>0</v>
      </c>
    </row>
    <row r="168" spans="1:57" s="64" customFormat="1" x14ac:dyDescent="0.25">
      <c r="A168" s="1393" t="str">
        <f t="shared" si="27"/>
        <v>351173_2020_02_Cooling RES</v>
      </c>
      <c r="B168" s="648"/>
      <c r="C168" s="86" t="s">
        <v>3404</v>
      </c>
      <c r="D168" s="1734" t="s">
        <v>737</v>
      </c>
      <c r="E168" s="3039" t="str">
        <f>CONCATENATE(E166,"_CompE")</f>
        <v>CAC - SEER 19 ER1: MF_CompE</v>
      </c>
      <c r="F168" s="2582">
        <f>ROUND(((J252*J324*(1/J540-1/J468))/1000)*J612*$J$634,2)</f>
        <v>1022.57</v>
      </c>
      <c r="G168" s="977" t="s">
        <v>690</v>
      </c>
      <c r="H168" s="202">
        <f>VLOOKUP(G168,'CP FACTORS'!$A$3:$B$38, 2, FALSE)</f>
        <v>9.4741810000000004E-4</v>
      </c>
      <c r="I168" s="1733">
        <f t="shared" si="38"/>
        <v>0.96880100000000002</v>
      </c>
      <c r="J168" s="743">
        <f t="shared" si="42"/>
        <v>6</v>
      </c>
      <c r="K168" s="744">
        <f t="shared" si="39"/>
        <v>1331.3724617902726</v>
      </c>
      <c r="L168" s="89">
        <f t="shared" si="40"/>
        <v>2</v>
      </c>
      <c r="M168" s="157"/>
      <c r="N168" s="157"/>
      <c r="O168" s="157"/>
      <c r="P168" s="157"/>
      <c r="Q168" s="157"/>
      <c r="R168" s="157"/>
      <c r="S168" s="157"/>
      <c r="T168" s="157"/>
      <c r="U168" s="157"/>
      <c r="V168" s="2309" t="s">
        <v>20</v>
      </c>
      <c r="W168" s="745"/>
      <c r="X168" s="746"/>
      <c r="Y168" s="747"/>
      <c r="Z168" s="747">
        <v>1022.57</v>
      </c>
      <c r="AA168" s="748">
        <v>1022.57</v>
      </c>
      <c r="AB168" s="2458">
        <v>1022.57</v>
      </c>
      <c r="AC168" s="63"/>
      <c r="AD168" s="63"/>
      <c r="AE168" s="63"/>
      <c r="AF168" s="63"/>
      <c r="AG168" s="63"/>
      <c r="AH168" s="211"/>
      <c r="AY168"/>
      <c r="AZ168"/>
      <c r="BB168" s="293">
        <f>(BD168+BD169)/(BE168+BE169)</f>
        <v>0.81985649708929442</v>
      </c>
      <c r="BC168" s="742" t="str">
        <f t="shared" si="37"/>
        <v>Cooling RES 6 Year EUL</v>
      </c>
      <c r="BD168" s="752">
        <f>(INDEX('Avoided Cost Benefits'!$C$4:$C$857,MATCH(BC168,'Avoided Cost Benefits'!$A$4:$A$857,0)))*F168</f>
        <v>594.60826049245054</v>
      </c>
      <c r="BE168" s="73">
        <f t="shared" si="41"/>
        <v>1256.6044943749623</v>
      </c>
    </row>
    <row r="169" spans="1:57" s="64" customFormat="1" x14ac:dyDescent="0.25">
      <c r="A169" s="1393" t="str">
        <f t="shared" si="27"/>
        <v>351173_2020_02_Cooling RES ER2</v>
      </c>
      <c r="B169" s="648"/>
      <c r="C169" s="86" t="s">
        <v>3404</v>
      </c>
      <c r="D169" s="1734" t="s">
        <v>737</v>
      </c>
      <c r="E169" s="3039" t="str">
        <f>CONCATENATE(E167,"_CompE")</f>
        <v>CAC - SEER 19 ER2: MF_CompE</v>
      </c>
      <c r="F169" s="2582">
        <f>ROUND(((J253*J325*(1/J397-1/J469))/1000)*J613*$J$634,2)</f>
        <v>368.45</v>
      </c>
      <c r="G169" s="977" t="s">
        <v>1125</v>
      </c>
      <c r="H169" s="202">
        <f>VLOOKUP(G169,'CP FACTORS'!$A$3:$B$38, 2, FALSE)</f>
        <v>9.4741810000000004E-4</v>
      </c>
      <c r="I169" s="1733">
        <f t="shared" si="38"/>
        <v>0.349076</v>
      </c>
      <c r="J169" s="743">
        <f t="shared" si="42"/>
        <v>12</v>
      </c>
      <c r="K169" s="744">
        <f t="shared" si="39"/>
        <v>0</v>
      </c>
      <c r="L169" s="89">
        <f t="shared" si="40"/>
        <v>2</v>
      </c>
      <c r="M169" s="157"/>
      <c r="N169" s="157"/>
      <c r="O169" s="157"/>
      <c r="P169" s="157"/>
      <c r="Q169" s="157"/>
      <c r="R169" s="157"/>
      <c r="S169" s="157"/>
      <c r="T169" s="157"/>
      <c r="U169" s="157"/>
      <c r="V169" s="2309" t="s">
        <v>20</v>
      </c>
      <c r="W169" s="745"/>
      <c r="X169" s="746"/>
      <c r="Y169" s="747"/>
      <c r="Z169" s="747">
        <v>368.45</v>
      </c>
      <c r="AA169" s="748">
        <v>368.45</v>
      </c>
      <c r="AB169" s="2458">
        <v>368.45</v>
      </c>
      <c r="AC169" s="63"/>
      <c r="AD169" s="63"/>
      <c r="AE169" s="63"/>
      <c r="AF169" s="63"/>
      <c r="AG169" s="63"/>
      <c r="AH169" s="211"/>
      <c r="AY169"/>
      <c r="AZ169"/>
      <c r="BB169" s="291"/>
      <c r="BC169" s="750" t="str">
        <f t="shared" si="37"/>
        <v>Cooling RES ER2 12 Year EUL</v>
      </c>
      <c r="BD169" s="752">
        <f>(INDEX('Avoided Cost Benefits'!$C$4:$C$857,MATCH(BC169,'Avoided Cost Benefits'!$A$4:$A$857,0)))*F169</f>
        <v>435.62709849247011</v>
      </c>
      <c r="BE169" s="73">
        <f t="shared" si="41"/>
        <v>0</v>
      </c>
    </row>
    <row r="170" spans="1:57" s="64" customFormat="1" x14ac:dyDescent="0.25">
      <c r="A170" s="1393" t="str">
        <f t="shared" si="27"/>
        <v>351174_2020_02_Cooling RES</v>
      </c>
      <c r="B170" s="648"/>
      <c r="C170" s="86" t="s">
        <v>3405</v>
      </c>
      <c r="D170" s="1734" t="s">
        <v>742</v>
      </c>
      <c r="E170" s="753" t="s">
        <v>3347</v>
      </c>
      <c r="F170" s="2582">
        <f>ROUND(((J254*J326*(1/J398-1/J470))/1000)*J614*$J$634,2)</f>
        <v>506.62</v>
      </c>
      <c r="G170" s="977" t="s">
        <v>690</v>
      </c>
      <c r="H170" s="202">
        <f>VLOOKUP(G170,'CP FACTORS'!$A$3:$B$38, 2, FALSE)</f>
        <v>9.4741810000000004E-4</v>
      </c>
      <c r="I170" s="1733">
        <f t="shared" si="38"/>
        <v>0.47998099999999999</v>
      </c>
      <c r="J170" s="743">
        <f t="shared" si="42"/>
        <v>18</v>
      </c>
      <c r="K170" s="744">
        <f t="shared" si="39"/>
        <v>1033.3333333333328</v>
      </c>
      <c r="L170" s="89">
        <f t="shared" si="40"/>
        <v>2</v>
      </c>
      <c r="M170" s="157"/>
      <c r="N170" s="157"/>
      <c r="O170" s="157"/>
      <c r="P170" s="157"/>
      <c r="Q170" s="157"/>
      <c r="R170" s="157"/>
      <c r="S170" s="157"/>
      <c r="T170" s="157"/>
      <c r="U170" s="157"/>
      <c r="V170" s="2309" t="s">
        <v>20</v>
      </c>
      <c r="W170" s="745"/>
      <c r="X170" s="746"/>
      <c r="Y170" s="747"/>
      <c r="Z170" s="747">
        <v>506.62</v>
      </c>
      <c r="AA170" s="748">
        <v>506.62</v>
      </c>
      <c r="AB170" s="2458">
        <v>506.62</v>
      </c>
      <c r="AC170" s="63"/>
      <c r="AD170" s="63"/>
      <c r="AE170" s="63"/>
      <c r="AF170" s="63"/>
      <c r="AG170" s="63"/>
      <c r="AH170" s="211"/>
      <c r="AY170"/>
      <c r="AZ170"/>
      <c r="BB170" s="293">
        <f>(BD170)/(BE170)</f>
        <v>0.91620800277353565</v>
      </c>
      <c r="BC170" s="753" t="str">
        <f t="shared" si="37"/>
        <v>Cooling RES 18 Year EUL</v>
      </c>
      <c r="BD170" s="752">
        <f>(INDEX('Avoided Cost Benefits'!$C$4:$C$857,MATCH(BC170,'Avoided Cost Benefits'!$A$4:$A$857,0)))*F170</f>
        <v>893.58024495767143</v>
      </c>
      <c r="BE170" s="73">
        <f t="shared" si="41"/>
        <v>975.30281579361269</v>
      </c>
    </row>
    <row r="171" spans="1:57" s="64" customFormat="1" x14ac:dyDescent="0.25">
      <c r="A171" s="1393" t="str">
        <f t="shared" si="27"/>
        <v>351175_2020_02_Cooling RES</v>
      </c>
      <c r="B171" s="648"/>
      <c r="C171" s="86" t="s">
        <v>3406</v>
      </c>
      <c r="D171" s="1734" t="s">
        <v>737</v>
      </c>
      <c r="E171" s="3039" t="str">
        <f>CONCATENATE(E170,"_CompE")</f>
        <v>CAC - SEER 19 ROF: MF_CompE</v>
      </c>
      <c r="F171" s="2582">
        <f>ROUND(((J255*J327*(1/J399-1/J471))/1000)*J615*$J$634,2)</f>
        <v>368.45</v>
      </c>
      <c r="G171" s="977" t="s">
        <v>690</v>
      </c>
      <c r="H171" s="202">
        <f>VLOOKUP(G171,'CP FACTORS'!$A$3:$B$38, 2, FALSE)</f>
        <v>9.4741810000000004E-4</v>
      </c>
      <c r="I171" s="1733">
        <f t="shared" si="38"/>
        <v>0.349076</v>
      </c>
      <c r="J171" s="755">
        <v>18</v>
      </c>
      <c r="K171" s="744">
        <f t="shared" si="39"/>
        <v>1033.3333333333328</v>
      </c>
      <c r="L171" s="89">
        <f t="shared" si="40"/>
        <v>2</v>
      </c>
      <c r="M171" s="157"/>
      <c r="N171" s="157"/>
      <c r="O171" s="157"/>
      <c r="P171" s="157"/>
      <c r="Q171" s="157"/>
      <c r="R171" s="157"/>
      <c r="S171" s="157"/>
      <c r="T171" s="157"/>
      <c r="U171" s="157"/>
      <c r="V171" s="2309" t="s">
        <v>20</v>
      </c>
      <c r="W171" s="745"/>
      <c r="X171" s="746"/>
      <c r="Y171" s="747"/>
      <c r="Z171" s="747">
        <v>368.45</v>
      </c>
      <c r="AA171" s="748">
        <v>368.45</v>
      </c>
      <c r="AB171" s="2458">
        <v>368.45</v>
      </c>
      <c r="AC171" s="63"/>
      <c r="AD171" s="63"/>
      <c r="AE171" s="63"/>
      <c r="AF171" s="63"/>
      <c r="AG171" s="63"/>
      <c r="AH171" s="211"/>
      <c r="AY171"/>
      <c r="AZ171"/>
      <c r="BB171" s="293">
        <f>(BD171)/(BE171)</f>
        <v>0.66633144886090001</v>
      </c>
      <c r="BC171" s="753" t="str">
        <f t="shared" si="37"/>
        <v>Cooling RES 18 Year EUL</v>
      </c>
      <c r="BD171" s="752">
        <f>(INDEX('Avoided Cost Benefits'!$C$4:$C$857,MATCH(BC171,'Avoided Cost Benefits'!$A$4:$A$857,0)))*F171</f>
        <v>649.87493832587347</v>
      </c>
      <c r="BE171" s="73">
        <f t="shared" si="41"/>
        <v>975.30281579361269</v>
      </c>
    </row>
    <row r="172" spans="1:57" s="64" customFormat="1" x14ac:dyDescent="0.25">
      <c r="A172" s="1393" t="str">
        <f t="shared" si="27"/>
        <v>351180_2020_02_Cooling RES</v>
      </c>
      <c r="B172" s="648"/>
      <c r="C172" s="86" t="s">
        <v>3407</v>
      </c>
      <c r="D172" s="1734" t="s">
        <v>740</v>
      </c>
      <c r="E172" s="3038" t="s">
        <v>3348</v>
      </c>
      <c r="F172" s="2582">
        <f>ROUND(((J256*J328*(1/J544-1/J472))/1000)*J616*$J$634,2)</f>
        <v>2191.38</v>
      </c>
      <c r="G172" s="977" t="s">
        <v>690</v>
      </c>
      <c r="H172" s="202">
        <f>VLOOKUP(G172,'CP FACTORS'!$A$3:$B$38, 2, FALSE)</f>
        <v>9.4741810000000004E-4</v>
      </c>
      <c r="I172" s="1733">
        <f t="shared" si="38"/>
        <v>2.0761530000000001</v>
      </c>
      <c r="J172" s="743">
        <f t="shared" ref="J172:J179" si="43">J689</f>
        <v>6</v>
      </c>
      <c r="K172" s="744">
        <f t="shared" si="39"/>
        <v>1687.0586926854098</v>
      </c>
      <c r="L172" s="89">
        <f t="shared" si="40"/>
        <v>3</v>
      </c>
      <c r="M172" s="157"/>
      <c r="N172" s="1735"/>
      <c r="O172" s="1736"/>
      <c r="P172" s="157"/>
      <c r="Q172" s="157"/>
      <c r="R172" s="1627"/>
      <c r="S172" s="157"/>
      <c r="T172" s="157"/>
      <c r="U172" s="157"/>
      <c r="V172" s="2309" t="s">
        <v>20</v>
      </c>
      <c r="W172" s="745"/>
      <c r="X172" s="746"/>
      <c r="Y172" s="747"/>
      <c r="Z172" s="747">
        <v>2191.38</v>
      </c>
      <c r="AA172" s="748">
        <v>2191.38</v>
      </c>
      <c r="AB172" s="2458">
        <v>2191.38</v>
      </c>
      <c r="AC172" s="63"/>
      <c r="AD172" s="63"/>
      <c r="AE172" s="63"/>
      <c r="AF172" s="63"/>
      <c r="AG172" s="63"/>
      <c r="AH172" s="211"/>
      <c r="AY172"/>
      <c r="AZ172"/>
      <c r="BB172" s="293">
        <f>(BD172+BD173)/(BE172+BE173)</f>
        <v>1.4256446047238267</v>
      </c>
      <c r="BC172" s="742" t="str">
        <f t="shared" si="37"/>
        <v>Cooling RES 6 Year EUL</v>
      </c>
      <c r="BD172" s="752">
        <f>(INDEX('Avoided Cost Benefits'!$C$4:$C$857,MATCH(BC172,'Avoided Cost Benefits'!$A$4:$A$857,0)))*F172</f>
        <v>1274.2527649725166</v>
      </c>
      <c r="BE172" s="73">
        <f t="shared" si="41"/>
        <v>1592.3158968243602</v>
      </c>
    </row>
    <row r="173" spans="1:57" s="64" customFormat="1" x14ac:dyDescent="0.25">
      <c r="A173" s="1393" t="str">
        <f t="shared" si="27"/>
        <v>351180_2020_02_Cooling RES ER2</v>
      </c>
      <c r="B173" s="648"/>
      <c r="C173" s="86" t="s">
        <v>3407</v>
      </c>
      <c r="D173" s="1734" t="s">
        <v>740</v>
      </c>
      <c r="E173" s="3039" t="s">
        <v>3349</v>
      </c>
      <c r="F173" s="2582">
        <f>ROUND(((J257*J329*(1/J401-1/J473))/1000)*J617*$J$634,2)</f>
        <v>842.26</v>
      </c>
      <c r="G173" s="977" t="s">
        <v>1125</v>
      </c>
      <c r="H173" s="202">
        <f>VLOOKUP(G173,'CP FACTORS'!$A$3:$B$38, 2, FALSE)</f>
        <v>9.4741810000000004E-4</v>
      </c>
      <c r="I173" s="1733">
        <f t="shared" si="38"/>
        <v>0.79797200000000001</v>
      </c>
      <c r="J173" s="743">
        <f t="shared" si="43"/>
        <v>12</v>
      </c>
      <c r="K173" s="744">
        <f t="shared" si="39"/>
        <v>0</v>
      </c>
      <c r="L173" s="89">
        <f t="shared" si="40"/>
        <v>3</v>
      </c>
      <c r="M173" s="157"/>
      <c r="N173" s="1735"/>
      <c r="O173" s="1736"/>
      <c r="P173" s="157"/>
      <c r="Q173" s="157"/>
      <c r="R173" s="1627"/>
      <c r="S173" s="157"/>
      <c r="T173" s="157"/>
      <c r="U173" s="157"/>
      <c r="V173" s="2309" t="s">
        <v>20</v>
      </c>
      <c r="W173" s="745"/>
      <c r="X173" s="746"/>
      <c r="Y173" s="747"/>
      <c r="Z173" s="747">
        <v>842.26</v>
      </c>
      <c r="AA173" s="748">
        <v>842.26</v>
      </c>
      <c r="AB173" s="2458">
        <v>842.26</v>
      </c>
      <c r="AC173" s="63"/>
      <c r="AD173" s="63"/>
      <c r="AE173" s="63"/>
      <c r="AF173" s="63"/>
      <c r="AG173" s="63"/>
      <c r="AH173" s="211"/>
      <c r="AY173"/>
      <c r="AZ173"/>
      <c r="BB173" s="291"/>
      <c r="BC173" s="750" t="str">
        <f t="shared" si="37"/>
        <v>Cooling RES ER2 12 Year EUL</v>
      </c>
      <c r="BD173" s="752">
        <f>(INDEX('Avoided Cost Benefits'!$C$4:$C$857,MATCH(BC173,'Avoided Cost Benefits'!$A$4:$A$857,0)))*F173</f>
        <v>995.82380235111384</v>
      </c>
      <c r="BE173" s="73">
        <f t="shared" si="41"/>
        <v>0</v>
      </c>
    </row>
    <row r="174" spans="1:57" s="64" customFormat="1" x14ac:dyDescent="0.25">
      <c r="A174" s="1393" t="str">
        <f t="shared" si="27"/>
        <v>351181_2020_02_Cooling RES</v>
      </c>
      <c r="B174" s="648"/>
      <c r="C174" s="86" t="s">
        <v>3408</v>
      </c>
      <c r="D174" s="1734" t="s">
        <v>740</v>
      </c>
      <c r="E174" s="753" t="s">
        <v>3350</v>
      </c>
      <c r="F174" s="2582">
        <f>ROUND(((J258*J330*(1/J402-1/J474))/1000)*J618*$J$634,2)</f>
        <v>842.26</v>
      </c>
      <c r="G174" s="977" t="s">
        <v>690</v>
      </c>
      <c r="H174" s="202">
        <f>VLOOKUP(G174,'CP FACTORS'!$A$3:$B$38, 2, FALSE)</f>
        <v>9.4741810000000004E-4</v>
      </c>
      <c r="I174" s="1733">
        <f t="shared" si="38"/>
        <v>0.79797200000000001</v>
      </c>
      <c r="J174" s="743">
        <f t="shared" si="43"/>
        <v>18</v>
      </c>
      <c r="K174" s="744">
        <f t="shared" si="39"/>
        <v>1239.9999999999995</v>
      </c>
      <c r="L174" s="89">
        <f t="shared" si="40"/>
        <v>3</v>
      </c>
      <c r="M174" s="157"/>
      <c r="N174" s="1735"/>
      <c r="O174" s="1736"/>
      <c r="P174" s="157"/>
      <c r="Q174" s="157"/>
      <c r="R174" s="1627"/>
      <c r="S174" s="157"/>
      <c r="T174" s="157"/>
      <c r="U174" s="157"/>
      <c r="V174" s="2309" t="s">
        <v>20</v>
      </c>
      <c r="W174" s="745"/>
      <c r="X174" s="746"/>
      <c r="Y174" s="747"/>
      <c r="Z174" s="747">
        <v>842.26</v>
      </c>
      <c r="AA174" s="748">
        <v>842.26</v>
      </c>
      <c r="AB174" s="2458">
        <v>842.26</v>
      </c>
      <c r="AC174" s="63"/>
      <c r="AD174" s="63"/>
      <c r="AE174" s="63"/>
      <c r="AF174" s="63"/>
      <c r="AG174" s="63"/>
      <c r="AH174" s="211"/>
      <c r="AY174"/>
      <c r="AZ174"/>
      <c r="BB174" s="293">
        <f>(BD174)/(BE174)</f>
        <v>1.2693362421802632</v>
      </c>
      <c r="BC174" s="753" t="str">
        <f t="shared" si="37"/>
        <v>Cooling RES 18 Year EUL</v>
      </c>
      <c r="BD174" s="752">
        <f>(INDEX('Avoided Cost Benefits'!$C$4:$C$857,MATCH(BC174,'Avoided Cost Benefits'!$A$4:$A$857,0)))*F174</f>
        <v>1485.584653424753</v>
      </c>
      <c r="BE174" s="73">
        <f t="shared" si="41"/>
        <v>1170.3633789523356</v>
      </c>
    </row>
    <row r="175" spans="1:57" s="64" customFormat="1" x14ac:dyDescent="0.25">
      <c r="A175" s="1393" t="str">
        <f t="shared" si="27"/>
        <v>351182_2020_02_Cooling RES</v>
      </c>
      <c r="B175" s="648"/>
      <c r="C175" s="86" t="s">
        <v>3409</v>
      </c>
      <c r="D175" s="1734" t="s">
        <v>742</v>
      </c>
      <c r="E175" s="3038" t="s">
        <v>3351</v>
      </c>
      <c r="F175" s="2582">
        <f>ROUND(((J259*J331*(1/J547-1/J475))/1000)*J619*$J$634,2)</f>
        <v>1460.92</v>
      </c>
      <c r="G175" s="977" t="s">
        <v>690</v>
      </c>
      <c r="H175" s="202">
        <f>VLOOKUP(G175,'CP FACTORS'!$A$3:$B$38, 2, FALSE)</f>
        <v>9.4741810000000004E-4</v>
      </c>
      <c r="I175" s="1733">
        <f t="shared" si="38"/>
        <v>1.3841019999999999</v>
      </c>
      <c r="J175" s="743">
        <f t="shared" si="43"/>
        <v>6</v>
      </c>
      <c r="K175" s="744">
        <f t="shared" si="39"/>
        <v>1538.0391284569391</v>
      </c>
      <c r="L175" s="89">
        <f t="shared" si="40"/>
        <v>2</v>
      </c>
      <c r="M175" s="157"/>
      <c r="N175" s="1735"/>
      <c r="O175" s="157"/>
      <c r="P175" s="157"/>
      <c r="Q175" s="157"/>
      <c r="R175" s="157"/>
      <c r="S175" s="157"/>
      <c r="T175" s="157"/>
      <c r="U175" s="157"/>
      <c r="V175" s="2309" t="s">
        <v>20</v>
      </c>
      <c r="W175" s="745"/>
      <c r="X175" s="746"/>
      <c r="Y175" s="747"/>
      <c r="Z175" s="747">
        <v>1460.92</v>
      </c>
      <c r="AA175" s="748">
        <v>1460.92</v>
      </c>
      <c r="AB175" s="2458">
        <v>1460.92</v>
      </c>
      <c r="AC175" s="63"/>
      <c r="AD175" s="63"/>
      <c r="AE175" s="63"/>
      <c r="AF175" s="63"/>
      <c r="AG175" s="63"/>
      <c r="AH175" s="211"/>
      <c r="AY175"/>
      <c r="AZ175"/>
      <c r="BB175" s="293">
        <f>(BD175+BD176)/(BE175+BE176)</f>
        <v>1.0425189415699732</v>
      </c>
      <c r="BC175" s="742" t="str">
        <f t="shared" si="37"/>
        <v>Cooling RES 6 Year EUL</v>
      </c>
      <c r="BD175" s="752">
        <f>(INDEX('Avoided Cost Benefits'!$C$4:$C$857,MATCH(BC175,'Avoided Cost Benefits'!$A$4:$A$857,0)))*F175</f>
        <v>849.501843315011</v>
      </c>
      <c r="BE175" s="73">
        <f t="shared" si="41"/>
        <v>1451.6650575336848</v>
      </c>
    </row>
    <row r="176" spans="1:57" s="64" customFormat="1" x14ac:dyDescent="0.25">
      <c r="A176" s="1393" t="str">
        <f t="shared" si="27"/>
        <v>351182_2020_02_Cooling RES ER2</v>
      </c>
      <c r="B176" s="648"/>
      <c r="C176" s="86" t="s">
        <v>3409</v>
      </c>
      <c r="D176" s="1734" t="s">
        <v>742</v>
      </c>
      <c r="E176" s="3039" t="s">
        <v>3352</v>
      </c>
      <c r="F176" s="2582">
        <f>ROUND(((J260*J332*(1/J404-1/J476))/1000)*J620*$J$634,2)</f>
        <v>561.51</v>
      </c>
      <c r="G176" s="977" t="s">
        <v>1125</v>
      </c>
      <c r="H176" s="202">
        <f>VLOOKUP(G176,'CP FACTORS'!$A$3:$B$38, 2, FALSE)</f>
        <v>9.4741810000000004E-4</v>
      </c>
      <c r="I176" s="1733">
        <f t="shared" si="38"/>
        <v>0.53198500000000004</v>
      </c>
      <c r="J176" s="743">
        <f t="shared" si="43"/>
        <v>12</v>
      </c>
      <c r="K176" s="744">
        <f t="shared" si="39"/>
        <v>0</v>
      </c>
      <c r="L176" s="89">
        <f t="shared" si="40"/>
        <v>2</v>
      </c>
      <c r="M176" s="157"/>
      <c r="N176" s="1735"/>
      <c r="O176" s="157"/>
      <c r="P176" s="157"/>
      <c r="Q176" s="157"/>
      <c r="R176" s="157"/>
      <c r="S176" s="157"/>
      <c r="T176" s="157"/>
      <c r="U176" s="157"/>
      <c r="V176" s="2309" t="s">
        <v>20</v>
      </c>
      <c r="W176" s="745"/>
      <c r="X176" s="746"/>
      <c r="Y176" s="747"/>
      <c r="Z176" s="747">
        <v>561.51</v>
      </c>
      <c r="AA176" s="748">
        <v>561.51</v>
      </c>
      <c r="AB176" s="2458">
        <v>561.51</v>
      </c>
      <c r="AC176" s="63"/>
      <c r="AD176" s="63"/>
      <c r="AE176" s="63"/>
      <c r="AF176" s="63"/>
      <c r="AG176" s="63"/>
      <c r="AH176" s="211"/>
      <c r="AY176"/>
      <c r="AZ176"/>
      <c r="BB176" s="291"/>
      <c r="BC176" s="750" t="str">
        <f t="shared" si="37"/>
        <v>Cooling RES ER2 12 Year EUL</v>
      </c>
      <c r="BD176" s="752">
        <f>(INDEX('Avoided Cost Benefits'!$C$4:$C$857,MATCH(BC176,'Avoided Cost Benefits'!$A$4:$A$857,0)))*F176</f>
        <v>663.88647597912041</v>
      </c>
      <c r="BE176" s="73">
        <f t="shared" si="41"/>
        <v>0</v>
      </c>
    </row>
    <row r="177" spans="1:57" s="64" customFormat="1" x14ac:dyDescent="0.25">
      <c r="A177" s="1393" t="str">
        <f t="shared" si="27"/>
        <v>351183_2020_02_Cooling RES</v>
      </c>
      <c r="B177" s="648"/>
      <c r="C177" s="86" t="s">
        <v>3410</v>
      </c>
      <c r="D177" s="1734" t="s">
        <v>737</v>
      </c>
      <c r="E177" s="3039" t="str">
        <f>CONCATENATE(E175,"_CompE")</f>
        <v>CAC - SEER 20 ER1: MF_CompE</v>
      </c>
      <c r="F177" s="2582">
        <f>ROUND(((J261*J333*(1/J549-1/J477))/1000)*J621*$J$634,2)</f>
        <v>1062.49</v>
      </c>
      <c r="G177" s="977" t="s">
        <v>690</v>
      </c>
      <c r="H177" s="202">
        <f>VLOOKUP(G177,'CP FACTORS'!$A$3:$B$38, 2, FALSE)</f>
        <v>9.4741810000000004E-4</v>
      </c>
      <c r="I177" s="1733">
        <f t="shared" si="38"/>
        <v>1.0066219999999999</v>
      </c>
      <c r="J177" s="743">
        <f t="shared" si="43"/>
        <v>6</v>
      </c>
      <c r="K177" s="744">
        <f t="shared" si="39"/>
        <v>1538.0391284569391</v>
      </c>
      <c r="L177" s="89">
        <f t="shared" si="40"/>
        <v>2</v>
      </c>
      <c r="M177" s="157"/>
      <c r="N177" s="1735"/>
      <c r="O177" s="157"/>
      <c r="P177" s="157"/>
      <c r="Q177" s="157"/>
      <c r="R177" s="157"/>
      <c r="S177" s="157"/>
      <c r="T177" s="157"/>
      <c r="U177" s="157"/>
      <c r="V177" s="2309" t="s">
        <v>20</v>
      </c>
      <c r="W177" s="745"/>
      <c r="X177" s="746"/>
      <c r="Y177" s="747"/>
      <c r="Z177" s="747">
        <v>1062.49</v>
      </c>
      <c r="AA177" s="748">
        <v>1062.49</v>
      </c>
      <c r="AB177" s="2458">
        <v>1062.49</v>
      </c>
      <c r="AC177" s="63"/>
      <c r="AD177" s="63"/>
      <c r="AE177" s="63"/>
      <c r="AF177" s="63"/>
      <c r="AG177" s="63"/>
      <c r="AH177" s="211"/>
      <c r="AY177"/>
      <c r="AZ177"/>
      <c r="BB177" s="293">
        <f>(BD177+BD178)/(BE177+BE178)</f>
        <v>0.75819594589679207</v>
      </c>
      <c r="BC177" s="742" t="str">
        <f t="shared" si="37"/>
        <v>Cooling RES 6 Year EUL</v>
      </c>
      <c r="BD177" s="752">
        <f>(INDEX('Avoided Cost Benefits'!$C$4:$C$857,MATCH(BC177,'Avoided Cost Benefits'!$A$4:$A$857,0)))*F177</f>
        <v>617.82110827681595</v>
      </c>
      <c r="BE177" s="73">
        <f t="shared" si="41"/>
        <v>1451.6650575336848</v>
      </c>
    </row>
    <row r="178" spans="1:57" s="64" customFormat="1" x14ac:dyDescent="0.25">
      <c r="A178" s="1393" t="str">
        <f t="shared" si="27"/>
        <v>351183_2020_02_Cooling RES ER2</v>
      </c>
      <c r="B178" s="648"/>
      <c r="C178" s="86" t="s">
        <v>3410</v>
      </c>
      <c r="D178" s="1734" t="s">
        <v>737</v>
      </c>
      <c r="E178" s="3039" t="str">
        <f>CONCATENATE(E176,"_CompE")</f>
        <v>CAC - SEER 20 ER2: MF_CompE</v>
      </c>
      <c r="F178" s="2582">
        <f>ROUND(((J262*J334*(1/J406-1/J478))/1000)*J622*$J$634,2)</f>
        <v>408.37</v>
      </c>
      <c r="G178" s="977" t="s">
        <v>1125</v>
      </c>
      <c r="H178" s="202">
        <f>VLOOKUP(G178,'CP FACTORS'!$A$3:$B$38, 2, FALSE)</f>
        <v>9.4741810000000004E-4</v>
      </c>
      <c r="I178" s="1733">
        <f t="shared" si="38"/>
        <v>0.38689699999999999</v>
      </c>
      <c r="J178" s="743">
        <f t="shared" si="43"/>
        <v>12</v>
      </c>
      <c r="K178" s="744">
        <f t="shared" si="39"/>
        <v>0</v>
      </c>
      <c r="L178" s="89">
        <f t="shared" si="40"/>
        <v>2</v>
      </c>
      <c r="M178" s="157"/>
      <c r="N178" s="1735"/>
      <c r="O178" s="157"/>
      <c r="P178" s="157"/>
      <c r="Q178" s="157"/>
      <c r="R178" s="157"/>
      <c r="S178" s="157"/>
      <c r="T178" s="157"/>
      <c r="U178" s="157"/>
      <c r="V178" s="2309" t="s">
        <v>20</v>
      </c>
      <c r="W178" s="745"/>
      <c r="X178" s="746"/>
      <c r="Y178" s="747"/>
      <c r="Z178" s="747">
        <v>408.37</v>
      </c>
      <c r="AA178" s="748">
        <v>408.37</v>
      </c>
      <c r="AB178" s="2458">
        <v>408.37</v>
      </c>
      <c r="AC178" s="63"/>
      <c r="AD178" s="63"/>
      <c r="AE178" s="63"/>
      <c r="AF178" s="63"/>
      <c r="AG178" s="63"/>
      <c r="AH178" s="211"/>
      <c r="AY178"/>
      <c r="AZ178"/>
      <c r="BB178" s="291"/>
      <c r="BC178" s="750" t="str">
        <f t="shared" si="37"/>
        <v>Cooling RES ER2 12 Year EUL</v>
      </c>
      <c r="BD178" s="752">
        <f>(INDEX('Avoided Cost Benefits'!$C$4:$C$857,MATCH(BC178,'Avoided Cost Benefits'!$A$4:$A$857,0)))*F178</f>
        <v>482.82545314525726</v>
      </c>
      <c r="BE178" s="73">
        <f t="shared" si="41"/>
        <v>0</v>
      </c>
    </row>
    <row r="179" spans="1:57" s="64" customFormat="1" x14ac:dyDescent="0.25">
      <c r="A179" s="1393" t="str">
        <f t="shared" si="27"/>
        <v>351184_2020_02_Cooling RES</v>
      </c>
      <c r="B179" s="648"/>
      <c r="C179" s="86" t="s">
        <v>3411</v>
      </c>
      <c r="D179" s="1734" t="s">
        <v>742</v>
      </c>
      <c r="E179" s="753" t="s">
        <v>3353</v>
      </c>
      <c r="F179" s="2582">
        <f>ROUND(((J263*J335*(1/J407-1/J479))/1000)*J623*$J$634,2)</f>
        <v>561.51</v>
      </c>
      <c r="G179" s="977" t="s">
        <v>690</v>
      </c>
      <c r="H179" s="202">
        <f>VLOOKUP(G179,'CP FACTORS'!$A$3:$B$38, 2, FALSE)</f>
        <v>9.4741810000000004E-4</v>
      </c>
      <c r="I179" s="1733">
        <f t="shared" si="38"/>
        <v>0.53198500000000004</v>
      </c>
      <c r="J179" s="743">
        <f t="shared" si="43"/>
        <v>18</v>
      </c>
      <c r="K179" s="744">
        <f t="shared" si="39"/>
        <v>1239.9999999999995</v>
      </c>
      <c r="L179" s="89">
        <f t="shared" si="40"/>
        <v>2</v>
      </c>
      <c r="M179" s="157"/>
      <c r="N179" s="1735"/>
      <c r="O179" s="157"/>
      <c r="P179" s="157"/>
      <c r="Q179" s="157"/>
      <c r="R179" s="157"/>
      <c r="S179" s="157"/>
      <c r="T179" s="157"/>
      <c r="U179" s="157"/>
      <c r="V179" s="2309" t="s">
        <v>20</v>
      </c>
      <c r="W179" s="745"/>
      <c r="X179" s="746"/>
      <c r="Y179" s="747"/>
      <c r="Z179" s="747">
        <v>561.51</v>
      </c>
      <c r="AA179" s="748">
        <v>561.51</v>
      </c>
      <c r="AB179" s="2458">
        <v>561.51</v>
      </c>
      <c r="AC179" s="63"/>
      <c r="AD179" s="63"/>
      <c r="AE179" s="63"/>
      <c r="AF179" s="63"/>
      <c r="AG179" s="63"/>
      <c r="AH179" s="211"/>
      <c r="AY179"/>
      <c r="AZ179"/>
      <c r="BB179" s="293">
        <f>(BD179)/(BE179)</f>
        <v>0.84622918498639321</v>
      </c>
      <c r="BC179" s="753" t="str">
        <f t="shared" si="37"/>
        <v>Cooling RES 18 Year EUL</v>
      </c>
      <c r="BD179" s="752">
        <f>(INDEX('Avoided Cost Benefits'!$C$4:$C$857,MATCH(BC179,'Avoided Cost Benefits'!$A$4:$A$857,0)))*F179</f>
        <v>990.39564830875622</v>
      </c>
      <c r="BE179" s="73">
        <f t="shared" si="41"/>
        <v>1170.3633789523356</v>
      </c>
    </row>
    <row r="180" spans="1:57" s="64" customFormat="1" x14ac:dyDescent="0.25">
      <c r="A180" s="1393" t="str">
        <f t="shared" si="27"/>
        <v>351185_2020_02_Cooling RES</v>
      </c>
      <c r="B180" s="648"/>
      <c r="C180" s="86" t="s">
        <v>3412</v>
      </c>
      <c r="D180" s="1734" t="s">
        <v>737</v>
      </c>
      <c r="E180" s="3039" t="str">
        <f>CONCATENATE(E179,"_CompE")</f>
        <v>CAC - SEER 20 ROF: MF_CompE</v>
      </c>
      <c r="F180" s="2582">
        <f>ROUND(((J264*J336*(1/J408-1/J480))/1000)*J624*$J$634,2)</f>
        <v>408.37</v>
      </c>
      <c r="G180" s="977" t="s">
        <v>690</v>
      </c>
      <c r="H180" s="202">
        <f>VLOOKUP(G180,'CP FACTORS'!$A$3:$B$38, 2, FALSE)</f>
        <v>9.4741810000000004E-4</v>
      </c>
      <c r="I180" s="1733">
        <f t="shared" si="38"/>
        <v>0.38689699999999999</v>
      </c>
      <c r="J180" s="755">
        <v>18</v>
      </c>
      <c r="K180" s="744">
        <f t="shared" si="39"/>
        <v>1239.9999999999995</v>
      </c>
      <c r="L180" s="89">
        <f t="shared" si="40"/>
        <v>2</v>
      </c>
      <c r="M180" s="157"/>
      <c r="N180" s="1735"/>
      <c r="O180" s="157"/>
      <c r="P180" s="157"/>
      <c r="Q180" s="157"/>
      <c r="R180" s="157"/>
      <c r="S180" s="157"/>
      <c r="T180" s="157"/>
      <c r="U180" s="157"/>
      <c r="V180" s="2309" t="s">
        <v>20</v>
      </c>
      <c r="W180" s="745"/>
      <c r="X180" s="746"/>
      <c r="Y180" s="747"/>
      <c r="Z180" s="747">
        <v>408.37</v>
      </c>
      <c r="AA180" s="748">
        <v>408.37</v>
      </c>
      <c r="AB180" s="2458">
        <v>408.37</v>
      </c>
      <c r="AC180" s="63"/>
      <c r="AD180" s="63"/>
      <c r="AE180" s="63"/>
      <c r="AF180" s="63"/>
      <c r="AG180" s="63"/>
      <c r="AH180" s="211"/>
      <c r="AY180"/>
      <c r="AZ180"/>
      <c r="BB180" s="293">
        <f>(BD180)/(BE180)</f>
        <v>0.61543803720840839</v>
      </c>
      <c r="BC180" s="753" t="str">
        <f t="shared" si="37"/>
        <v>Cooling RES 18 Year EUL</v>
      </c>
      <c r="BD180" s="752">
        <f>(INDEX('Avoided Cost Benefits'!$C$4:$C$857,MATCH(BC180,'Avoided Cost Benefits'!$A$4:$A$857,0)))*F180</f>
        <v>720.28614076302608</v>
      </c>
      <c r="BE180" s="73">
        <f t="shared" si="41"/>
        <v>1170.3633789523356</v>
      </c>
    </row>
    <row r="181" spans="1:57" s="64" customFormat="1" x14ac:dyDescent="0.25">
      <c r="A181" s="1393" t="str">
        <f t="shared" si="27"/>
        <v>351190_2020_02_Cooling RES</v>
      </c>
      <c r="B181" s="648"/>
      <c r="C181" s="86" t="s">
        <v>3413</v>
      </c>
      <c r="D181" s="1734" t="s">
        <v>740</v>
      </c>
      <c r="E181" s="3038" t="s">
        <v>3354</v>
      </c>
      <c r="F181" s="2582">
        <f>ROUND(((J265*J337*(1/J553-1/J481))/1000)*J625*$J$634,2)</f>
        <v>2265.87</v>
      </c>
      <c r="G181" s="977" t="s">
        <v>690</v>
      </c>
      <c r="H181" s="202">
        <f>VLOOKUP(G181,'CP FACTORS'!$A$3:$B$38, 2, FALSE)</f>
        <v>9.4741810000000004E-4</v>
      </c>
      <c r="I181" s="1733">
        <f t="shared" si="38"/>
        <v>2.1467260000000001</v>
      </c>
      <c r="J181" s="743">
        <f t="shared" ref="J181:J189" si="44">J698</f>
        <v>6</v>
      </c>
      <c r="K181" s="744">
        <f t="shared" si="39"/>
        <v>1893.7253593520759</v>
      </c>
      <c r="L181" s="89">
        <f t="shared" si="40"/>
        <v>3</v>
      </c>
      <c r="M181" s="157"/>
      <c r="N181" s="1735"/>
      <c r="O181" s="157"/>
      <c r="P181" s="157"/>
      <c r="Q181" s="157"/>
      <c r="R181" s="157"/>
      <c r="S181" s="157"/>
      <c r="T181" s="157"/>
      <c r="U181" s="157"/>
      <c r="V181" s="2309" t="s">
        <v>20</v>
      </c>
      <c r="W181" s="745"/>
      <c r="X181" s="746"/>
      <c r="Y181" s="747"/>
      <c r="Z181" s="747">
        <v>2265.87</v>
      </c>
      <c r="AA181" s="748">
        <v>2265.87</v>
      </c>
      <c r="AB181" s="2458">
        <v>2265.87</v>
      </c>
      <c r="AC181" s="63"/>
      <c r="AD181" s="63"/>
      <c r="AE181" s="63"/>
      <c r="AF181" s="63"/>
      <c r="AG181" s="63"/>
      <c r="AH181" s="211"/>
      <c r="AY181"/>
      <c r="AZ181"/>
      <c r="BB181" s="293">
        <f>(BD181+BD182)/(BE181+BE182)</f>
        <v>1.343568439495147</v>
      </c>
      <c r="BC181" s="742" t="str">
        <f t="shared" si="37"/>
        <v>Cooling RES 6 Year EUL</v>
      </c>
      <c r="BD181" s="752">
        <f>(INDEX('Avoided Cost Benefits'!$C$4:$C$857,MATCH(BC181,'Avoided Cost Benefits'!$A$4:$A$857,0)))*F181</f>
        <v>1317.5675202695452</v>
      </c>
      <c r="BE181" s="73">
        <f t="shared" si="41"/>
        <v>1787.3764599830822</v>
      </c>
    </row>
    <row r="182" spans="1:57" s="64" customFormat="1" x14ac:dyDescent="0.25">
      <c r="A182" s="1393" t="str">
        <f t="shared" ref="A182:A189" si="45">C182&amp;G182</f>
        <v>351190_2020_02_Cooling RES ER2</v>
      </c>
      <c r="B182" s="648"/>
      <c r="C182" s="86" t="s">
        <v>3413</v>
      </c>
      <c r="D182" s="1734" t="s">
        <v>740</v>
      </c>
      <c r="E182" s="3039" t="s">
        <v>3355</v>
      </c>
      <c r="F182" s="2582">
        <f>ROUND(((J266*J338*(1/J410-1/J482))/1000)*J626*$J$634,2)</f>
        <v>916.75</v>
      </c>
      <c r="G182" s="977" t="s">
        <v>1125</v>
      </c>
      <c r="H182" s="202">
        <f>VLOOKUP(G182,'CP FACTORS'!$A$3:$B$38, 2, FALSE)</f>
        <v>9.4741810000000004E-4</v>
      </c>
      <c r="I182" s="1733">
        <f t="shared" si="38"/>
        <v>0.86854600000000004</v>
      </c>
      <c r="J182" s="743">
        <f t="shared" si="44"/>
        <v>12</v>
      </c>
      <c r="K182" s="744">
        <f t="shared" si="39"/>
        <v>0</v>
      </c>
      <c r="L182" s="89">
        <f t="shared" si="40"/>
        <v>3</v>
      </c>
      <c r="M182" s="157"/>
      <c r="N182" s="1735"/>
      <c r="O182" s="157"/>
      <c r="P182" s="157"/>
      <c r="Q182" s="157"/>
      <c r="R182" s="157"/>
      <c r="S182" s="157"/>
      <c r="T182" s="157"/>
      <c r="U182" s="157"/>
      <c r="V182" s="2309" t="s">
        <v>20</v>
      </c>
      <c r="W182" s="745"/>
      <c r="X182" s="746"/>
      <c r="Y182" s="747"/>
      <c r="Z182" s="747">
        <v>916.75</v>
      </c>
      <c r="AA182" s="748">
        <v>916.75</v>
      </c>
      <c r="AB182" s="2458">
        <v>916.75</v>
      </c>
      <c r="AC182" s="63"/>
      <c r="AD182" s="63"/>
      <c r="AE182" s="63"/>
      <c r="AF182" s="63"/>
      <c r="AG182" s="63"/>
      <c r="AH182" s="211"/>
      <c r="AY182"/>
      <c r="AZ182"/>
      <c r="BB182" s="291"/>
      <c r="BC182" s="750" t="str">
        <f t="shared" si="37"/>
        <v>Cooling RES ER2 12 Year EUL</v>
      </c>
      <c r="BD182" s="752">
        <f>(INDEX('Avoided Cost Benefits'!$C$4:$C$857,MATCH(BC182,'Avoided Cost Benefits'!$A$4:$A$857,0)))*F182</f>
        <v>1083.8950808602849</v>
      </c>
      <c r="BE182" s="73">
        <f t="shared" si="41"/>
        <v>0</v>
      </c>
    </row>
    <row r="183" spans="1:57" s="64" customFormat="1" x14ac:dyDescent="0.25">
      <c r="A183" s="1393" t="str">
        <f t="shared" si="45"/>
        <v>351191_2020_02_Cooling RES</v>
      </c>
      <c r="B183" s="648"/>
      <c r="C183" s="86" t="s">
        <v>3414</v>
      </c>
      <c r="D183" s="1734" t="s">
        <v>740</v>
      </c>
      <c r="E183" s="753" t="s">
        <v>3356</v>
      </c>
      <c r="F183" s="2582">
        <f>ROUND(((J267*J339*(1/J411-1/J483))/1000)*J627*$J$634,2)</f>
        <v>916.75</v>
      </c>
      <c r="G183" s="977" t="s">
        <v>690</v>
      </c>
      <c r="H183" s="202">
        <f>VLOOKUP(G183,'CP FACTORS'!$A$3:$B$38, 2, FALSE)</f>
        <v>9.4741810000000004E-4</v>
      </c>
      <c r="I183" s="1733">
        <f t="shared" si="38"/>
        <v>0.86854600000000004</v>
      </c>
      <c r="J183" s="743">
        <f t="shared" si="44"/>
        <v>18</v>
      </c>
      <c r="K183" s="744">
        <f t="shared" si="39"/>
        <v>1446.6666666666663</v>
      </c>
      <c r="L183" s="89">
        <f t="shared" si="40"/>
        <v>3</v>
      </c>
      <c r="M183" s="157"/>
      <c r="N183" s="1735"/>
      <c r="O183" s="157"/>
      <c r="P183" s="157"/>
      <c r="Q183" s="157"/>
      <c r="R183" s="157"/>
      <c r="S183" s="157"/>
      <c r="T183" s="157"/>
      <c r="U183" s="157"/>
      <c r="V183" s="2309" t="s">
        <v>20</v>
      </c>
      <c r="W183" s="745"/>
      <c r="X183" s="746"/>
      <c r="Y183" s="747"/>
      <c r="Z183" s="747">
        <v>916.75</v>
      </c>
      <c r="AA183" s="748">
        <v>916.75</v>
      </c>
      <c r="AB183" s="2458">
        <v>916.75</v>
      </c>
      <c r="AC183" s="63"/>
      <c r="AD183" s="63"/>
      <c r="AE183" s="63"/>
      <c r="AF183" s="63"/>
      <c r="AG183" s="63"/>
      <c r="AH183" s="211"/>
      <c r="AY183"/>
      <c r="AZ183"/>
      <c r="BB183" s="293">
        <f>(BD183)/(BE183)</f>
        <v>1.1842261127565865</v>
      </c>
      <c r="BC183" s="753" t="str">
        <f t="shared" si="37"/>
        <v>Cooling RES 18 Year EUL</v>
      </c>
      <c r="BD183" s="752">
        <f>(INDEX('Avoided Cost Benefits'!$C$4:$C$857,MATCH(BC183,'Avoided Cost Benefits'!$A$4:$A$857,0)))*F183</f>
        <v>1616.9706872309528</v>
      </c>
      <c r="BE183" s="73">
        <f t="shared" si="41"/>
        <v>1365.4239421110581</v>
      </c>
    </row>
    <row r="184" spans="1:57" s="64" customFormat="1" x14ac:dyDescent="0.25">
      <c r="A184" s="1393" t="str">
        <f t="shared" si="45"/>
        <v>351192_2020_02_Cooling RES</v>
      </c>
      <c r="B184" s="648"/>
      <c r="C184" s="86" t="s">
        <v>3415</v>
      </c>
      <c r="D184" s="1734" t="s">
        <v>742</v>
      </c>
      <c r="E184" s="3038" t="s">
        <v>3357</v>
      </c>
      <c r="F184" s="2582">
        <f>ROUND(((J268*J340*(1/J556-1/J484))/1000)*J628*$J$634,2)</f>
        <v>1510.58</v>
      </c>
      <c r="G184" s="977" t="s">
        <v>690</v>
      </c>
      <c r="H184" s="202">
        <f>VLOOKUP(G184,'CP FACTORS'!$A$3:$B$38, 2, FALSE)</f>
        <v>9.4741810000000004E-4</v>
      </c>
      <c r="I184" s="1733">
        <f t="shared" si="38"/>
        <v>1.4311510000000001</v>
      </c>
      <c r="J184" s="743">
        <f t="shared" si="44"/>
        <v>6</v>
      </c>
      <c r="K184" s="744">
        <f t="shared" si="39"/>
        <v>1744.7057951236061</v>
      </c>
      <c r="L184" s="89">
        <f t="shared" si="40"/>
        <v>2</v>
      </c>
      <c r="M184" s="157"/>
      <c r="N184" s="1735"/>
      <c r="O184" s="157"/>
      <c r="P184" s="157"/>
      <c r="Q184" s="157"/>
      <c r="R184" s="157"/>
      <c r="S184" s="157"/>
      <c r="T184" s="157"/>
      <c r="U184" s="157"/>
      <c r="V184" s="2309" t="s">
        <v>20</v>
      </c>
      <c r="W184" s="745"/>
      <c r="X184" s="746"/>
      <c r="Y184" s="747"/>
      <c r="Z184" s="747">
        <v>1510.58</v>
      </c>
      <c r="AA184" s="748">
        <v>1510.58</v>
      </c>
      <c r="AB184" s="2458">
        <v>1510.58</v>
      </c>
      <c r="AC184" s="63"/>
      <c r="AD184" s="63"/>
      <c r="AE184" s="63"/>
      <c r="AF184" s="63"/>
      <c r="AG184" s="63"/>
      <c r="AH184" s="211"/>
      <c r="AY184"/>
      <c r="AZ184"/>
      <c r="BB184" s="293">
        <f>(BD184+BD185)/(BE184+BE185)</f>
        <v>0.97221247131016508</v>
      </c>
      <c r="BC184" s="742" t="str">
        <f t="shared" si="37"/>
        <v>Cooling RES 6 Year EUL</v>
      </c>
      <c r="BD184" s="752">
        <f>(INDEX('Avoided Cost Benefits'!$C$4:$C$857,MATCH(BC184,'Avoided Cost Benefits'!$A$4:$A$857,0)))*F184</f>
        <v>878.37834684636346</v>
      </c>
      <c r="BE184" s="73">
        <f t="shared" si="41"/>
        <v>1646.7256206924076</v>
      </c>
    </row>
    <row r="185" spans="1:57" s="64" customFormat="1" x14ac:dyDescent="0.25">
      <c r="A185" s="1393" t="str">
        <f t="shared" si="45"/>
        <v>351192_2020_02_Cooling RES ER2</v>
      </c>
      <c r="B185" s="648"/>
      <c r="C185" s="86" t="s">
        <v>3415</v>
      </c>
      <c r="D185" s="1734" t="s">
        <v>742</v>
      </c>
      <c r="E185" s="3039" t="s">
        <v>3358</v>
      </c>
      <c r="F185" s="2582">
        <f>ROUND(((J269*J341*(1/J413-1/J485))/1000)*J629*$J$634,2)</f>
        <v>611.16</v>
      </c>
      <c r="G185" s="977" t="s">
        <v>1125</v>
      </c>
      <c r="H185" s="202">
        <f>VLOOKUP(G185,'CP FACTORS'!$A$3:$B$38, 2, FALSE)</f>
        <v>9.4741810000000004E-4</v>
      </c>
      <c r="I185" s="1733">
        <f t="shared" si="38"/>
        <v>0.57902399999999998</v>
      </c>
      <c r="J185" s="743">
        <f t="shared" si="44"/>
        <v>12</v>
      </c>
      <c r="K185" s="744">
        <f t="shared" si="39"/>
        <v>0</v>
      </c>
      <c r="L185" s="89">
        <f t="shared" si="40"/>
        <v>2</v>
      </c>
      <c r="M185" s="157"/>
      <c r="N185" s="1735"/>
      <c r="O185" s="157"/>
      <c r="P185" s="157"/>
      <c r="Q185" s="157"/>
      <c r="R185" s="157"/>
      <c r="S185" s="157"/>
      <c r="T185" s="157"/>
      <c r="U185" s="157"/>
      <c r="V185" s="2309" t="s">
        <v>20</v>
      </c>
      <c r="W185" s="745"/>
      <c r="X185" s="746"/>
      <c r="Y185" s="747"/>
      <c r="Z185" s="747">
        <v>611.16</v>
      </c>
      <c r="AA185" s="748">
        <v>611.16</v>
      </c>
      <c r="AB185" s="2458">
        <v>611.16</v>
      </c>
      <c r="AC185" s="63"/>
      <c r="AD185" s="63"/>
      <c r="AE185" s="63"/>
      <c r="AF185" s="63"/>
      <c r="AG185" s="63"/>
      <c r="AH185" s="211"/>
      <c r="AY185"/>
      <c r="AZ185"/>
      <c r="BB185" s="291"/>
      <c r="BC185" s="750" t="str">
        <f t="shared" si="37"/>
        <v>Cooling RES ER2 12 Year EUL</v>
      </c>
      <c r="BD185" s="752">
        <f>(INDEX('Avoided Cost Benefits'!$C$4:$C$857,MATCH(BC185,'Avoided Cost Benefits'!$A$4:$A$857,0)))*F185</f>
        <v>722.58883841676766</v>
      </c>
      <c r="BE185" s="73">
        <f t="shared" si="41"/>
        <v>0</v>
      </c>
    </row>
    <row r="186" spans="1:57" s="64" customFormat="1" x14ac:dyDescent="0.25">
      <c r="A186" s="1393" t="str">
        <f t="shared" si="45"/>
        <v>351193_2020_02_Cooling RES</v>
      </c>
      <c r="B186" s="648"/>
      <c r="C186" s="86" t="s">
        <v>3416</v>
      </c>
      <c r="D186" s="1734" t="s">
        <v>737</v>
      </c>
      <c r="E186" s="3039" t="str">
        <f>CONCATENATE(E184,"_CompE")</f>
        <v>CAC - SEER 21+ ER1: MF_CompE</v>
      </c>
      <c r="F186" s="2582">
        <f>ROUND(((J270*J342*(1/J558-1/J486))/1000)*J630*$J$634,2)</f>
        <v>1098.5999999999999</v>
      </c>
      <c r="G186" s="977" t="s">
        <v>690</v>
      </c>
      <c r="H186" s="202">
        <f>VLOOKUP(G186,'CP FACTORS'!$A$3:$B$38, 2, FALSE)</f>
        <v>9.4741810000000004E-4</v>
      </c>
      <c r="I186" s="1733">
        <f t="shared" si="38"/>
        <v>1.040834</v>
      </c>
      <c r="J186" s="743">
        <f t="shared" si="44"/>
        <v>6</v>
      </c>
      <c r="K186" s="744">
        <f t="shared" si="39"/>
        <v>1744.7057951236061</v>
      </c>
      <c r="L186" s="89">
        <f t="shared" si="40"/>
        <v>2</v>
      </c>
      <c r="M186" s="157"/>
      <c r="N186" s="1735"/>
      <c r="O186" s="157"/>
      <c r="P186" s="157"/>
      <c r="Q186" s="157"/>
      <c r="R186" s="157"/>
      <c r="S186" s="157"/>
      <c r="T186" s="157"/>
      <c r="U186" s="157"/>
      <c r="V186" s="2309" t="s">
        <v>20</v>
      </c>
      <c r="W186" s="745"/>
      <c r="X186" s="746"/>
      <c r="Y186" s="747"/>
      <c r="Z186" s="747">
        <v>1098.5999999999999</v>
      </c>
      <c r="AA186" s="748">
        <v>1098.5999999999999</v>
      </c>
      <c r="AB186" s="2458">
        <v>1098.5999999999999</v>
      </c>
      <c r="AC186" s="63"/>
      <c r="AD186" s="63"/>
      <c r="AE186" s="63"/>
      <c r="AF186" s="63"/>
      <c r="AG186" s="63"/>
      <c r="AH186" s="211"/>
      <c r="AY186"/>
      <c r="AZ186"/>
      <c r="BB186" s="293">
        <f>(BD186+BD187)/(BE186+BE187)</f>
        <v>0.70706233144233133</v>
      </c>
      <c r="BC186" s="742" t="str">
        <f t="shared" si="37"/>
        <v>Cooling RES 6 Year EUL</v>
      </c>
      <c r="BD186" s="752">
        <f>(INDEX('Avoided Cost Benefits'!$C$4:$C$857,MATCH(BC186,'Avoided Cost Benefits'!$A$4:$A$857,0)))*F186</f>
        <v>638.8185014003991</v>
      </c>
      <c r="BE186" s="73">
        <f t="shared" si="41"/>
        <v>1646.7256206924076</v>
      </c>
    </row>
    <row r="187" spans="1:57" s="64" customFormat="1" x14ac:dyDescent="0.25">
      <c r="A187" s="1393" t="str">
        <f t="shared" si="45"/>
        <v>351193_2020_02_Cooling RES ER2</v>
      </c>
      <c r="B187" s="648"/>
      <c r="C187" s="86" t="s">
        <v>3416</v>
      </c>
      <c r="D187" s="1734" t="s">
        <v>737</v>
      </c>
      <c r="E187" s="3039" t="str">
        <f>CONCATENATE(E185,"_CompE")</f>
        <v>CAC - SEER 21+ ER2: MF_CompE</v>
      </c>
      <c r="F187" s="2582">
        <f>ROUND(((J271*J343*(1/J415-1/J487))/1000)*J631*$J$634,2)</f>
        <v>444.48</v>
      </c>
      <c r="G187" s="977" t="s">
        <v>1125</v>
      </c>
      <c r="H187" s="202">
        <f>VLOOKUP(G187,'CP FACTORS'!$A$3:$B$38, 2, FALSE)</f>
        <v>9.4741810000000004E-4</v>
      </c>
      <c r="I187" s="1733">
        <f t="shared" si="38"/>
        <v>0.42110799999999998</v>
      </c>
      <c r="J187" s="743">
        <f t="shared" si="44"/>
        <v>12</v>
      </c>
      <c r="K187" s="744">
        <f t="shared" si="39"/>
        <v>0</v>
      </c>
      <c r="L187" s="89">
        <f t="shared" si="40"/>
        <v>2</v>
      </c>
      <c r="M187" s="157"/>
      <c r="N187" s="1735"/>
      <c r="O187" s="157"/>
      <c r="P187" s="157"/>
      <c r="Q187" s="157"/>
      <c r="R187" s="157"/>
      <c r="S187" s="157"/>
      <c r="T187" s="157"/>
      <c r="U187" s="157"/>
      <c r="V187" s="2309" t="s">
        <v>20</v>
      </c>
      <c r="W187" s="745"/>
      <c r="X187" s="746"/>
      <c r="Y187" s="747"/>
      <c r="Z187" s="747">
        <v>444.48</v>
      </c>
      <c r="AA187" s="748">
        <v>444.48</v>
      </c>
      <c r="AB187" s="2458">
        <v>444.48</v>
      </c>
      <c r="AC187" s="63"/>
      <c r="AD187" s="63"/>
      <c r="AE187" s="63"/>
      <c r="AF187" s="63"/>
      <c r="AG187" s="63"/>
      <c r="AH187" s="211"/>
      <c r="AY187"/>
      <c r="AZ187"/>
      <c r="BB187" s="291"/>
      <c r="BC187" s="750" t="str">
        <f t="shared" si="37"/>
        <v>Cooling RES ER2 12 Year EUL</v>
      </c>
      <c r="BD187" s="752">
        <f>(INDEX('Avoided Cost Benefits'!$C$4:$C$857,MATCH(BC187,'Avoided Cost Benefits'!$A$4:$A$857,0)))*F187</f>
        <v>525.51915521219473</v>
      </c>
      <c r="BE187" s="73">
        <f t="shared" si="41"/>
        <v>0</v>
      </c>
    </row>
    <row r="188" spans="1:57" s="64" customFormat="1" x14ac:dyDescent="0.25">
      <c r="A188" s="1393" t="str">
        <f t="shared" si="45"/>
        <v>351194_2020_02_Cooling RES</v>
      </c>
      <c r="B188" s="648"/>
      <c r="C188" s="86" t="s">
        <v>3417</v>
      </c>
      <c r="D188" s="1734" t="s">
        <v>742</v>
      </c>
      <c r="E188" s="753" t="s">
        <v>3359</v>
      </c>
      <c r="F188" s="2582">
        <f>ROUND(((J272*J344*(1/J416-1/J488))/1000)*J632*$J$634,2)</f>
        <v>611.16</v>
      </c>
      <c r="G188" s="977" t="s">
        <v>690</v>
      </c>
      <c r="H188" s="202">
        <f>VLOOKUP(G188,'CP FACTORS'!$A$3:$B$38, 2, FALSE)</f>
        <v>9.4741810000000004E-4</v>
      </c>
      <c r="I188" s="1733">
        <f t="shared" si="38"/>
        <v>0.57902399999999998</v>
      </c>
      <c r="J188" s="743">
        <f t="shared" si="44"/>
        <v>18</v>
      </c>
      <c r="K188" s="744">
        <f t="shared" si="39"/>
        <v>1446.6666666666663</v>
      </c>
      <c r="L188" s="89">
        <f t="shared" si="40"/>
        <v>2</v>
      </c>
      <c r="M188" s="157"/>
      <c r="N188" s="1735"/>
      <c r="O188" s="157"/>
      <c r="P188" s="157"/>
      <c r="Q188" s="157"/>
      <c r="R188" s="157"/>
      <c r="S188" s="157"/>
      <c r="T188" s="157"/>
      <c r="U188" s="157"/>
      <c r="V188" s="2309" t="s">
        <v>20</v>
      </c>
      <c r="W188" s="745"/>
      <c r="X188" s="746"/>
      <c r="Y188" s="747"/>
      <c r="Z188" s="747">
        <v>611.16</v>
      </c>
      <c r="AA188" s="748">
        <v>611.16</v>
      </c>
      <c r="AB188" s="2458">
        <v>611.16</v>
      </c>
      <c r="AC188" s="63"/>
      <c r="AD188" s="63"/>
      <c r="AE188" s="63"/>
      <c r="AF188" s="63"/>
      <c r="AG188" s="63"/>
      <c r="AH188" s="211"/>
      <c r="AY188"/>
      <c r="AZ188"/>
      <c r="BB188" s="293">
        <f>(BD188)/(BE188)</f>
        <v>0.78947546340039865</v>
      </c>
      <c r="BC188" s="753" t="str">
        <f t="shared" si="37"/>
        <v>Cooling RES 18 Year EUL</v>
      </c>
      <c r="BD188" s="752">
        <f>(INDEX('Avoided Cost Benefits'!$C$4:$C$857,MATCH(BC188,'Avoided Cost Benefits'!$A$4:$A$857,0)))*F188</f>
        <v>1077.9686994361266</v>
      </c>
      <c r="BE188" s="73">
        <f t="shared" si="41"/>
        <v>1365.4239421110581</v>
      </c>
    </row>
    <row r="189" spans="1:57" s="64" customFormat="1" x14ac:dyDescent="0.25">
      <c r="A189" s="1393" t="str">
        <f t="shared" si="45"/>
        <v>351195_2020_02_Cooling RES</v>
      </c>
      <c r="B189" s="648"/>
      <c r="C189" s="86" t="s">
        <v>3418</v>
      </c>
      <c r="D189" s="1734" t="s">
        <v>737</v>
      </c>
      <c r="E189" s="3039" t="str">
        <f>CONCATENATE(E188,"_CompE")</f>
        <v>CAC - SEER 21+ ROF: MF_CompE</v>
      </c>
      <c r="F189" s="2582">
        <f>ROUND(((J273*J345*(1/J417-1/J489))/1000)*J633*$J$634,2)</f>
        <v>444.48</v>
      </c>
      <c r="G189" s="977" t="s">
        <v>690</v>
      </c>
      <c r="H189" s="202">
        <f>VLOOKUP(G189,'CP FACTORS'!$A$3:$B$38, 2, FALSE)</f>
        <v>9.4741810000000004E-4</v>
      </c>
      <c r="I189" s="1733">
        <f t="shared" si="38"/>
        <v>0.42110799999999998</v>
      </c>
      <c r="J189" s="743">
        <f t="shared" si="44"/>
        <v>18</v>
      </c>
      <c r="K189" s="744">
        <f t="shared" si="39"/>
        <v>1446.6666666666663</v>
      </c>
      <c r="L189" s="89">
        <f t="shared" si="40"/>
        <v>2</v>
      </c>
      <c r="M189" s="157"/>
      <c r="N189" s="1735"/>
      <c r="O189" s="157"/>
      <c r="P189" s="157"/>
      <c r="Q189" s="157"/>
      <c r="R189" s="157"/>
      <c r="S189" s="157"/>
      <c r="T189" s="157"/>
      <c r="U189" s="157"/>
      <c r="V189" s="2309" t="s">
        <v>20</v>
      </c>
      <c r="W189" s="745"/>
      <c r="X189" s="746"/>
      <c r="Y189" s="747"/>
      <c r="Z189" s="747">
        <v>444.48</v>
      </c>
      <c r="AA189" s="748">
        <v>444.48</v>
      </c>
      <c r="AB189" s="2458">
        <v>444.48</v>
      </c>
      <c r="AC189" s="63"/>
      <c r="AD189" s="63"/>
      <c r="AE189" s="63"/>
      <c r="AF189" s="63"/>
      <c r="AG189" s="63"/>
      <c r="AH189" s="211"/>
      <c r="AY189"/>
      <c r="AZ189"/>
      <c r="BB189" s="366">
        <f>(BD189)/(BE189)</f>
        <v>0.57416397338210812</v>
      </c>
      <c r="BC189" s="753" t="str">
        <f t="shared" si="37"/>
        <v>Cooling RES 18 Year EUL</v>
      </c>
      <c r="BD189" s="756">
        <f>(INDEX('Avoided Cost Benefits'!$C$4:$C$857,MATCH(BC189,'Avoided Cost Benefits'!$A$4:$A$857,0)))*F189</f>
        <v>783.97723595354671</v>
      </c>
      <c r="BE189" s="75">
        <f t="shared" si="41"/>
        <v>1365.4239421110581</v>
      </c>
    </row>
    <row r="190" spans="1:57" ht="38.25" customHeight="1" outlineLevel="1" x14ac:dyDescent="0.25">
      <c r="C190" s="1737"/>
      <c r="D190" s="1738"/>
      <c r="E190" s="1739"/>
      <c r="F190" s="1740"/>
      <c r="G190" s="1741"/>
      <c r="H190" s="1663"/>
      <c r="I190" s="1742"/>
      <c r="J190" s="1743"/>
      <c r="K190" s="1744"/>
      <c r="L190" s="1744"/>
      <c r="M190" s="1745"/>
      <c r="N190" s="1746"/>
      <c r="W190" s="64"/>
      <c r="X190" s="64"/>
      <c r="Y190" s="64"/>
      <c r="Z190" s="64"/>
      <c r="BC190" s="658"/>
      <c r="BD190" s="757"/>
      <c r="BE190" s="659"/>
    </row>
    <row r="191" spans="1:57" outlineLevel="1" x14ac:dyDescent="0.25">
      <c r="C191" s="1737"/>
      <c r="D191" s="1741"/>
      <c r="E191" s="1741"/>
      <c r="F191" s="1740"/>
      <c r="G191" s="1741"/>
      <c r="H191" s="1663"/>
      <c r="I191" s="1742"/>
      <c r="J191" s="1743"/>
      <c r="K191" s="1744"/>
      <c r="L191" s="1744"/>
      <c r="M191" s="1745"/>
      <c r="N191" s="1746"/>
      <c r="W191" s="64"/>
      <c r="X191" s="64"/>
      <c r="Y191" s="64"/>
      <c r="Z191" s="64"/>
      <c r="BC191" s="658"/>
      <c r="BD191" s="757"/>
      <c r="BE191" s="659"/>
    </row>
    <row r="192" spans="1:57" outlineLevel="1" x14ac:dyDescent="0.25">
      <c r="C192" s="1737"/>
      <c r="D192" s="222" t="s">
        <v>571</v>
      </c>
      <c r="E192" s="1741"/>
      <c r="F192" s="1740"/>
      <c r="G192" s="1741"/>
      <c r="H192" s="1663"/>
      <c r="I192" s="1742"/>
      <c r="J192" s="1743"/>
      <c r="K192" s="1744"/>
      <c r="L192" s="1744"/>
      <c r="M192" s="1745"/>
      <c r="N192" s="1746"/>
      <c r="W192" s="64"/>
      <c r="X192" s="64"/>
      <c r="Y192" s="64"/>
      <c r="Z192" s="64"/>
      <c r="BC192" s="658"/>
      <c r="BD192" s="757"/>
      <c r="BE192" s="659"/>
    </row>
    <row r="193" spans="1:57" outlineLevel="1" x14ac:dyDescent="0.25">
      <c r="C193" s="1737"/>
      <c r="D193" s="1741"/>
      <c r="E193" s="1741"/>
      <c r="F193" s="1740"/>
      <c r="G193" s="1741"/>
      <c r="H193" s="1663"/>
      <c r="I193" s="1742"/>
      <c r="J193" s="1743"/>
      <c r="K193" s="1744"/>
      <c r="L193" s="1744"/>
      <c r="M193" s="1745"/>
      <c r="N193" s="1746"/>
      <c r="W193" s="64"/>
      <c r="X193" s="64"/>
      <c r="Y193" s="64"/>
      <c r="Z193" s="64"/>
      <c r="BC193" s="658"/>
      <c r="BD193" s="757"/>
      <c r="BE193" s="659"/>
    </row>
    <row r="194" spans="1:57" outlineLevel="1" x14ac:dyDescent="0.25">
      <c r="C194" s="1737"/>
      <c r="D194" s="1741"/>
      <c r="E194" s="1741"/>
      <c r="F194" s="1740"/>
      <c r="G194" s="1741"/>
      <c r="H194" s="1663"/>
      <c r="I194" s="1742"/>
      <c r="J194" s="1743"/>
      <c r="K194" s="1744"/>
      <c r="L194" s="1744"/>
      <c r="M194" s="1745"/>
      <c r="N194" s="1746"/>
      <c r="W194" s="64"/>
      <c r="X194" s="64"/>
      <c r="Y194" s="64"/>
      <c r="Z194" s="64"/>
      <c r="BC194" s="658"/>
      <c r="BD194" s="757"/>
      <c r="BE194" s="659"/>
    </row>
    <row r="195" spans="1:57" outlineLevel="1" x14ac:dyDescent="0.25">
      <c r="F195" s="277"/>
      <c r="G195" s="586"/>
      <c r="H195" s="277"/>
      <c r="I195" s="277"/>
      <c r="J195" s="277"/>
      <c r="K195" s="277"/>
      <c r="L195" s="277"/>
      <c r="M195" s="277"/>
      <c r="N195" s="1746"/>
      <c r="O195" s="1744"/>
      <c r="P195" s="277"/>
      <c r="W195" s="64"/>
      <c r="X195" s="64"/>
      <c r="Y195" s="64"/>
      <c r="Z195" s="64"/>
      <c r="BC195" s="658"/>
      <c r="BD195" s="757"/>
      <c r="BE195" s="659"/>
    </row>
    <row r="196" spans="1:57" outlineLevel="1" x14ac:dyDescent="0.25">
      <c r="E196" s="386" t="s">
        <v>1165</v>
      </c>
      <c r="F196" s="920" t="s">
        <v>1166</v>
      </c>
      <c r="H196" s="648"/>
      <c r="I196" s="1747"/>
      <c r="J196" s="1747"/>
      <c r="K196" s="1747"/>
      <c r="L196" s="385"/>
      <c r="M196" s="385"/>
      <c r="N196" s="1746"/>
      <c r="O196" s="277"/>
      <c r="P196" s="277"/>
      <c r="W196" s="64"/>
      <c r="X196" s="64"/>
      <c r="Y196" s="64"/>
      <c r="Z196" s="64"/>
      <c r="BC196" s="658"/>
      <c r="BD196" s="757"/>
      <c r="BE196" s="659"/>
    </row>
    <row r="197" spans="1:57" outlineLevel="1" x14ac:dyDescent="0.25">
      <c r="D197" s="758"/>
      <c r="H197" s="385"/>
      <c r="I197" s="385"/>
      <c r="J197" s="385"/>
      <c r="K197" s="385"/>
      <c r="L197" s="385"/>
      <c r="M197" s="385"/>
      <c r="N197" s="1746"/>
      <c r="W197" s="64"/>
      <c r="X197" s="64"/>
      <c r="Y197" s="64"/>
      <c r="Z197" s="64"/>
      <c r="BC197" s="658"/>
      <c r="BD197" s="757"/>
      <c r="BE197" s="659"/>
    </row>
    <row r="198" spans="1:57" outlineLevel="1" x14ac:dyDescent="0.25">
      <c r="H198" s="385"/>
      <c r="I198" s="385"/>
      <c r="J198" s="385"/>
      <c r="K198" s="385"/>
      <c r="L198" s="385"/>
      <c r="M198" s="385"/>
      <c r="N198" s="1746"/>
      <c r="W198" s="64"/>
      <c r="X198" s="64"/>
      <c r="Y198" s="64"/>
      <c r="Z198" s="64"/>
      <c r="BC198" s="658"/>
      <c r="BD198" s="757"/>
      <c r="BE198" s="659"/>
    </row>
    <row r="199" spans="1:57" outlineLevel="1" x14ac:dyDescent="0.25">
      <c r="H199" s="385"/>
      <c r="I199" s="385"/>
      <c r="J199" s="385"/>
      <c r="K199" s="385"/>
      <c r="L199" s="385"/>
      <c r="M199" s="385"/>
      <c r="N199" s="1746"/>
      <c r="P199" s="157" t="s">
        <v>1167</v>
      </c>
      <c r="W199" s="64"/>
      <c r="X199" s="64"/>
      <c r="Y199" s="64"/>
      <c r="Z199" s="64"/>
      <c r="BC199" s="658"/>
      <c r="BD199" s="757"/>
      <c r="BE199" s="659"/>
    </row>
    <row r="200" spans="1:57" outlineLevel="1" x14ac:dyDescent="0.25">
      <c r="H200" s="385"/>
      <c r="I200" s="385"/>
      <c r="J200" s="385"/>
      <c r="K200" s="385"/>
      <c r="L200" s="385"/>
      <c r="M200" s="385"/>
      <c r="N200" s="1746"/>
      <c r="P200" s="3483" t="s">
        <v>3229</v>
      </c>
      <c r="Q200" s="3625"/>
      <c r="R200" s="3626"/>
      <c r="T200" s="768"/>
      <c r="W200" s="64"/>
      <c r="X200" s="64"/>
      <c r="Y200" s="64"/>
      <c r="Z200" s="64"/>
      <c r="BC200" s="658"/>
      <c r="BD200" s="757"/>
      <c r="BE200" s="659"/>
    </row>
    <row r="201" spans="1:57" s="64" customFormat="1" ht="45" customHeight="1" outlineLevel="1" thickBot="1" x14ac:dyDescent="0.3">
      <c r="A201" s="1393"/>
      <c r="B201" s="157"/>
      <c r="C201" s="385"/>
      <c r="D201" s="440" t="s">
        <v>572</v>
      </c>
      <c r="E201" s="440" t="s">
        <v>573</v>
      </c>
      <c r="F201" s="3594" t="s">
        <v>623</v>
      </c>
      <c r="G201" s="3594"/>
      <c r="H201" s="3594"/>
      <c r="I201" s="1420" t="s">
        <v>17</v>
      </c>
      <c r="J201" s="1420" t="s">
        <v>574</v>
      </c>
      <c r="K201" s="1420" t="s">
        <v>1168</v>
      </c>
      <c r="L201" s="1420" t="s">
        <v>804</v>
      </c>
      <c r="M201" s="157"/>
      <c r="N201" s="1746"/>
      <c r="O201" s="157"/>
      <c r="P201" s="1412"/>
      <c r="Q201" s="1420" t="s">
        <v>3228</v>
      </c>
      <c r="R201" s="1409" t="s">
        <v>3223</v>
      </c>
      <c r="S201" s="157"/>
      <c r="T201" s="3627"/>
      <c r="U201" s="157"/>
      <c r="V201" s="623" t="s">
        <v>27</v>
      </c>
      <c r="W201" s="56">
        <v>43252</v>
      </c>
      <c r="X201" s="56">
        <f>$X$6</f>
        <v>43465</v>
      </c>
      <c r="Y201" s="56">
        <f>$Y$6</f>
        <v>43800</v>
      </c>
      <c r="Z201" s="56">
        <f>$Z$6</f>
        <v>43862</v>
      </c>
      <c r="AA201" s="56">
        <f>$AA$6</f>
        <v>44013</v>
      </c>
      <c r="AB201" s="56">
        <f>$AB$6</f>
        <v>44166</v>
      </c>
      <c r="AC201" s="56" t="str">
        <f>$AC$6</f>
        <v>-</v>
      </c>
      <c r="AD201" s="56" t="str">
        <f>$AD$6</f>
        <v>-</v>
      </c>
      <c r="AE201" s="56" t="str">
        <f>$AE$6</f>
        <v>-</v>
      </c>
      <c r="AF201" s="56" t="str">
        <f>$AF$6</f>
        <v>-</v>
      </c>
      <c r="AG201" s="56" t="str">
        <f>$AG$6</f>
        <v>-</v>
      </c>
      <c r="BB201" s="647"/>
      <c r="BC201" s="658"/>
      <c r="BD201" s="757"/>
      <c r="BE201" s="659"/>
    </row>
    <row r="202" spans="1:57" s="64" customFormat="1" ht="14.45" customHeight="1" outlineLevel="1" x14ac:dyDescent="0.25">
      <c r="A202" s="1393"/>
      <c r="B202" s="157"/>
      <c r="C202" s="385"/>
      <c r="D202" s="3638" t="s">
        <v>1169</v>
      </c>
      <c r="E202" s="3641" t="s">
        <v>1170</v>
      </c>
      <c r="F202" s="3628" t="str">
        <f t="shared" ref="F202:F237" si="46">E118</f>
        <v>CAC - SEER 14 ER1: SF</v>
      </c>
      <c r="G202" s="3629"/>
      <c r="H202" s="3630"/>
      <c r="I202" s="2188" t="str">
        <f t="shared" ref="I202:I238" si="47">C118</f>
        <v>350400_2019_12_</v>
      </c>
      <c r="J202" s="2188">
        <v>869</v>
      </c>
      <c r="K202" s="2189"/>
      <c r="L202" s="3662" t="s">
        <v>889</v>
      </c>
      <c r="M202" s="157"/>
      <c r="N202" s="157"/>
      <c r="O202" s="157"/>
      <c r="P202" s="762" t="s">
        <v>1171</v>
      </c>
      <c r="Q202" s="508">
        <f t="shared" ref="Q202:Q209" si="48">(($R$215)+R202)-(($Q$215)/((1+$R$217)^($R$218-1)))</f>
        <v>447.05869268540937</v>
      </c>
      <c r="R202" s="764">
        <v>0</v>
      </c>
      <c r="S202" s="1735" t="s">
        <v>1172</v>
      </c>
      <c r="T202" s="3342"/>
      <c r="U202" s="157"/>
      <c r="V202" s="3588" t="str">
        <f>D202</f>
        <v>FLHcool</v>
      </c>
      <c r="W202" s="760">
        <v>869</v>
      </c>
      <c r="X202" s="760">
        <f>W202</f>
        <v>869</v>
      </c>
      <c r="Y202" s="760">
        <v>869</v>
      </c>
      <c r="Z202" s="2428">
        <v>869</v>
      </c>
      <c r="AA202" s="2428">
        <v>869</v>
      </c>
      <c r="AB202" s="2188">
        <v>869</v>
      </c>
      <c r="AC202" s="760"/>
      <c r="AD202" s="760"/>
      <c r="AE202" s="760"/>
      <c r="AF202" s="760"/>
      <c r="AG202" s="760"/>
      <c r="BB202" s="647"/>
      <c r="BC202" s="658"/>
      <c r="BD202" s="757"/>
      <c r="BE202" s="659"/>
    </row>
    <row r="203" spans="1:57" s="64" customFormat="1" ht="14.45" customHeight="1" outlineLevel="1" x14ac:dyDescent="0.25">
      <c r="A203" s="1393"/>
      <c r="B203" s="157"/>
      <c r="C203" s="385"/>
      <c r="D203" s="3639"/>
      <c r="E203" s="3642"/>
      <c r="F203" s="3631" t="str">
        <f t="shared" si="46"/>
        <v>CAC - SEER 14 ER2: SF</v>
      </c>
      <c r="G203" s="3632"/>
      <c r="H203" s="3633"/>
      <c r="I203" s="784" t="str">
        <f t="shared" si="47"/>
        <v>350400_2019_12_</v>
      </c>
      <c r="J203" s="784">
        <v>869</v>
      </c>
      <c r="K203" s="2190"/>
      <c r="L203" s="3663"/>
      <c r="M203" s="157"/>
      <c r="N203" s="157"/>
      <c r="O203" s="157"/>
      <c r="P203" s="762" t="s">
        <v>1173</v>
      </c>
      <c r="Q203" s="508">
        <f t="shared" si="48"/>
        <v>555.05869268540937</v>
      </c>
      <c r="R203" s="764">
        <v>108</v>
      </c>
      <c r="S203" s="1735" t="s">
        <v>1172</v>
      </c>
      <c r="T203" s="3342"/>
      <c r="U203" s="157"/>
      <c r="V203" s="3589"/>
      <c r="W203" s="766">
        <v>869</v>
      </c>
      <c r="X203" s="766">
        <f>W203</f>
        <v>869</v>
      </c>
      <c r="Y203" s="766">
        <v>869</v>
      </c>
      <c r="Z203" s="2426">
        <v>869</v>
      </c>
      <c r="AA203" s="2426">
        <v>869</v>
      </c>
      <c r="AB203" s="784">
        <v>869</v>
      </c>
      <c r="AC203" s="766"/>
      <c r="AD203" s="766"/>
      <c r="AE203" s="766"/>
      <c r="AF203" s="766"/>
      <c r="AG203" s="766"/>
      <c r="BB203" s="647"/>
      <c r="BC203" s="658"/>
      <c r="BD203" s="757"/>
      <c r="BE203" s="659"/>
    </row>
    <row r="204" spans="1:57" s="64" customFormat="1" ht="14.45" customHeight="1" outlineLevel="1" x14ac:dyDescent="0.25">
      <c r="A204" s="1393"/>
      <c r="B204" s="157"/>
      <c r="C204" s="385"/>
      <c r="D204" s="3639"/>
      <c r="E204" s="3642"/>
      <c r="F204" s="3631" t="str">
        <f t="shared" si="46"/>
        <v>CAC - SEER 14 ROF: SF</v>
      </c>
      <c r="G204" s="3632"/>
      <c r="H204" s="3633"/>
      <c r="I204" s="784" t="str">
        <f t="shared" si="47"/>
        <v>350450_2019_12_</v>
      </c>
      <c r="J204" s="784">
        <v>869</v>
      </c>
      <c r="K204" s="2190"/>
      <c r="L204" s="3663"/>
      <c r="M204" s="157"/>
      <c r="N204" s="157"/>
      <c r="O204" s="157"/>
      <c r="P204" s="762" t="s">
        <v>1174</v>
      </c>
      <c r="Q204" s="508">
        <f t="shared" si="48"/>
        <v>668.05869268540937</v>
      </c>
      <c r="R204" s="764">
        <v>221</v>
      </c>
      <c r="S204" s="1735" t="s">
        <v>1172</v>
      </c>
      <c r="T204" s="3342"/>
      <c r="U204" s="157"/>
      <c r="V204" s="3589"/>
      <c r="W204" s="766">
        <v>869</v>
      </c>
      <c r="X204" s="766">
        <f>W204</f>
        <v>869</v>
      </c>
      <c r="Y204" s="766">
        <v>869</v>
      </c>
      <c r="Z204" s="2426">
        <v>869</v>
      </c>
      <c r="AA204" s="2426">
        <v>869</v>
      </c>
      <c r="AB204" s="784">
        <v>869</v>
      </c>
      <c r="AC204" s="766"/>
      <c r="AD204" s="766"/>
      <c r="AE204" s="766"/>
      <c r="AF204" s="766"/>
      <c r="AG204" s="766"/>
      <c r="BB204" s="647"/>
      <c r="BC204" s="658"/>
      <c r="BD204" s="757"/>
      <c r="BE204" s="659"/>
    </row>
    <row r="205" spans="1:57" s="64" customFormat="1" ht="14.45" customHeight="1" outlineLevel="1" x14ac:dyDescent="0.25">
      <c r="A205" s="1393"/>
      <c r="B205" s="157"/>
      <c r="C205" s="385"/>
      <c r="D205" s="3639"/>
      <c r="E205" s="3642"/>
      <c r="F205" s="3631" t="str">
        <f t="shared" si="46"/>
        <v>CAC - SEER 14 ER1: MF</v>
      </c>
      <c r="G205" s="3632"/>
      <c r="H205" s="3633"/>
      <c r="I205" s="784" t="str">
        <f t="shared" si="47"/>
        <v>350500_2019_12_</v>
      </c>
      <c r="J205" s="784">
        <v>869</v>
      </c>
      <c r="K205" s="2190"/>
      <c r="L205" s="3663"/>
      <c r="M205" s="157"/>
      <c r="N205" s="157"/>
      <c r="O205" s="157"/>
      <c r="P205" s="762" t="s">
        <v>1175</v>
      </c>
      <c r="Q205" s="508">
        <f t="shared" si="48"/>
        <v>1067.0586926854094</v>
      </c>
      <c r="R205" s="508">
        <v>620</v>
      </c>
      <c r="S205" s="1735" t="s">
        <v>1172</v>
      </c>
      <c r="T205" s="587"/>
      <c r="U205" s="648"/>
      <c r="V205" s="3589"/>
      <c r="W205" s="766">
        <v>869</v>
      </c>
      <c r="X205" s="765">
        <v>1215</v>
      </c>
      <c r="Y205" s="765">
        <v>869</v>
      </c>
      <c r="Z205" s="2426">
        <v>869</v>
      </c>
      <c r="AA205" s="2426">
        <v>869</v>
      </c>
      <c r="AB205" s="784">
        <v>869</v>
      </c>
      <c r="AC205" s="766"/>
      <c r="AD205" s="766"/>
      <c r="AE205" s="766"/>
      <c r="AF205" s="766"/>
      <c r="AG205" s="766"/>
      <c r="BB205" s="647"/>
      <c r="BC205" s="658"/>
      <c r="BD205" s="757"/>
      <c r="BE205" s="659"/>
    </row>
    <row r="206" spans="1:57" s="64" customFormat="1" ht="14.45" customHeight="1" outlineLevel="1" x14ac:dyDescent="0.25">
      <c r="A206" s="1393"/>
      <c r="B206" s="157"/>
      <c r="C206" s="385"/>
      <c r="D206" s="3639"/>
      <c r="E206" s="3642"/>
      <c r="F206" s="3631" t="str">
        <f t="shared" si="46"/>
        <v>CAC - SEER 14 ER2: MF</v>
      </c>
      <c r="G206" s="3632"/>
      <c r="H206" s="3633"/>
      <c r="I206" s="784" t="str">
        <f t="shared" si="47"/>
        <v>350500_2019_12_</v>
      </c>
      <c r="J206" s="784">
        <v>869</v>
      </c>
      <c r="K206" s="2190"/>
      <c r="L206" s="3663"/>
      <c r="M206" s="157"/>
      <c r="N206" s="157"/>
      <c r="O206" s="157"/>
      <c r="P206" s="762" t="s">
        <v>1176</v>
      </c>
      <c r="Q206" s="508">
        <f t="shared" si="48"/>
        <v>1273.7253593520763</v>
      </c>
      <c r="R206" s="764">
        <f>R205*S206</f>
        <v>826.66666666666708</v>
      </c>
      <c r="S206" s="1748">
        <v>1.3333333333333339</v>
      </c>
      <c r="T206" s="1749"/>
      <c r="U206" s="648"/>
      <c r="V206" s="3589"/>
      <c r="W206" s="766">
        <v>869</v>
      </c>
      <c r="X206" s="765">
        <v>1215</v>
      </c>
      <c r="Y206" s="765">
        <v>869</v>
      </c>
      <c r="Z206" s="2426">
        <v>869</v>
      </c>
      <c r="AA206" s="2426">
        <v>869</v>
      </c>
      <c r="AB206" s="784">
        <v>869</v>
      </c>
      <c r="AC206" s="766"/>
      <c r="AD206" s="766"/>
      <c r="AE206" s="766"/>
      <c r="AF206" s="766"/>
      <c r="AG206" s="766"/>
      <c r="BB206" s="647"/>
      <c r="BC206" s="658"/>
      <c r="BD206" s="757"/>
      <c r="BE206" s="659"/>
    </row>
    <row r="207" spans="1:57" s="64" customFormat="1" ht="14.45" customHeight="1" outlineLevel="1" x14ac:dyDescent="0.25">
      <c r="A207" s="1393"/>
      <c r="B207" s="157"/>
      <c r="C207" s="385"/>
      <c r="D207" s="3639"/>
      <c r="E207" s="3642"/>
      <c r="F207" s="3631" t="str">
        <f t="shared" si="46"/>
        <v>CAC - SEER 14 ER1: MF_CompE</v>
      </c>
      <c r="G207" s="3632"/>
      <c r="H207" s="3633"/>
      <c r="I207" s="784" t="str">
        <f t="shared" si="47"/>
        <v>350501_2019_12_</v>
      </c>
      <c r="J207" s="784">
        <v>632</v>
      </c>
      <c r="K207" s="2190"/>
      <c r="L207" s="3663"/>
      <c r="M207" s="157"/>
      <c r="N207" s="157"/>
      <c r="O207" s="157"/>
      <c r="P207" s="762" t="s">
        <v>1177</v>
      </c>
      <c r="Q207" s="508">
        <f t="shared" si="48"/>
        <v>1480.3920260187424</v>
      </c>
      <c r="R207" s="764">
        <f>R206*S207</f>
        <v>1033.3333333333328</v>
      </c>
      <c r="S207" s="1748">
        <v>1.2499999999999987</v>
      </c>
      <c r="T207" s="1749"/>
      <c r="U207" s="648"/>
      <c r="V207" s="3589"/>
      <c r="W207" s="766"/>
      <c r="X207" s="765"/>
      <c r="Y207" s="765">
        <v>632</v>
      </c>
      <c r="Z207" s="2426">
        <v>632</v>
      </c>
      <c r="AA207" s="2426">
        <v>632</v>
      </c>
      <c r="AB207" s="784">
        <v>632</v>
      </c>
      <c r="AC207" s="766"/>
      <c r="AD207" s="766"/>
      <c r="AE207" s="766"/>
      <c r="AF207" s="766"/>
      <c r="AG207" s="766"/>
      <c r="BB207" s="647"/>
      <c r="BC207" s="658"/>
      <c r="BD207" s="757"/>
      <c r="BE207" s="659"/>
    </row>
    <row r="208" spans="1:57" s="64" customFormat="1" ht="14.45" customHeight="1" outlineLevel="1" x14ac:dyDescent="0.25">
      <c r="A208" s="1393"/>
      <c r="B208" s="157"/>
      <c r="C208" s="385"/>
      <c r="D208" s="3639"/>
      <c r="E208" s="3642"/>
      <c r="F208" s="3631" t="str">
        <f t="shared" si="46"/>
        <v>CAC - SEER 14 ER2: MF_CompE</v>
      </c>
      <c r="G208" s="3632"/>
      <c r="H208" s="3633"/>
      <c r="I208" s="784" t="str">
        <f t="shared" si="47"/>
        <v>350501_2019_12_</v>
      </c>
      <c r="J208" s="784">
        <f>$J$207</f>
        <v>632</v>
      </c>
      <c r="K208" s="2190"/>
      <c r="L208" s="3663"/>
      <c r="M208" s="157"/>
      <c r="N208" s="157"/>
      <c r="O208" s="157"/>
      <c r="P208" s="762" t="s">
        <v>1178</v>
      </c>
      <c r="Q208" s="508">
        <f t="shared" si="48"/>
        <v>1687.0586926854094</v>
      </c>
      <c r="R208" s="764">
        <f>R207*S208</f>
        <v>1239.9999999999995</v>
      </c>
      <c r="S208" s="1748">
        <v>1.2000000000000002</v>
      </c>
      <c r="T208" s="1749" t="s">
        <v>3232</v>
      </c>
      <c r="U208" s="157"/>
      <c r="V208" s="3589"/>
      <c r="W208" s="766"/>
      <c r="X208" s="765"/>
      <c r="Y208" s="765">
        <v>632</v>
      </c>
      <c r="Z208" s="2426">
        <v>632</v>
      </c>
      <c r="AA208" s="2426">
        <v>632</v>
      </c>
      <c r="AB208" s="784">
        <v>632</v>
      </c>
      <c r="AC208" s="766"/>
      <c r="AD208" s="766"/>
      <c r="AE208" s="766"/>
      <c r="AF208" s="766"/>
      <c r="AG208" s="766"/>
      <c r="BB208" s="647"/>
      <c r="BC208" s="658"/>
      <c r="BD208" s="757"/>
      <c r="BE208" s="659"/>
    </row>
    <row r="209" spans="1:57" s="64" customFormat="1" ht="14.45" customHeight="1" outlineLevel="1" x14ac:dyDescent="0.25">
      <c r="A209" s="1393"/>
      <c r="B209" s="157"/>
      <c r="C209" s="385"/>
      <c r="D209" s="3639"/>
      <c r="E209" s="3642"/>
      <c r="F209" s="3631" t="str">
        <f t="shared" si="46"/>
        <v>CAC - SEER 14 ROF: MF</v>
      </c>
      <c r="G209" s="3632"/>
      <c r="H209" s="3633"/>
      <c r="I209" s="784" t="str">
        <f t="shared" si="47"/>
        <v>350550_2019_12_</v>
      </c>
      <c r="J209" s="784">
        <v>869</v>
      </c>
      <c r="K209" s="2190"/>
      <c r="L209" s="3663"/>
      <c r="M209" s="157"/>
      <c r="N209" s="157"/>
      <c r="O209" s="157"/>
      <c r="P209" s="762" t="s">
        <v>1179</v>
      </c>
      <c r="Q209" s="508">
        <f t="shared" si="48"/>
        <v>1893.7253593520754</v>
      </c>
      <c r="R209" s="764">
        <f>R208*S209</f>
        <v>1446.6666666666663</v>
      </c>
      <c r="S209" s="1748">
        <v>1.1666666666666667</v>
      </c>
      <c r="T209" s="1749"/>
      <c r="U209" s="157"/>
      <c r="V209" s="3589"/>
      <c r="W209" s="766">
        <v>869</v>
      </c>
      <c r="X209" s="765">
        <v>1215</v>
      </c>
      <c r="Y209" s="766">
        <v>869</v>
      </c>
      <c r="Z209" s="2426">
        <v>869</v>
      </c>
      <c r="AA209" s="2426">
        <v>869</v>
      </c>
      <c r="AB209" s="784">
        <v>869</v>
      </c>
      <c r="AC209" s="766"/>
      <c r="AD209" s="766"/>
      <c r="AE209" s="766"/>
      <c r="AF209" s="766"/>
      <c r="AG209" s="766"/>
      <c r="BB209" s="647"/>
      <c r="BC209" s="658"/>
      <c r="BD209" s="757"/>
      <c r="BE209" s="659"/>
    </row>
    <row r="210" spans="1:57" s="64" customFormat="1" ht="14.45" customHeight="1" outlineLevel="1" x14ac:dyDescent="0.25">
      <c r="A210" s="1393"/>
      <c r="B210" s="157"/>
      <c r="C210" s="385"/>
      <c r="D210" s="3639"/>
      <c r="E210" s="3642"/>
      <c r="F210" s="3631" t="str">
        <f t="shared" si="46"/>
        <v>CAC - SEER 14 ROF: MF_CompE</v>
      </c>
      <c r="G210" s="3632"/>
      <c r="H210" s="3633"/>
      <c r="I210" s="784" t="str">
        <f t="shared" si="47"/>
        <v>350551_2019_12_</v>
      </c>
      <c r="J210" s="784">
        <f>$J$207</f>
        <v>632</v>
      </c>
      <c r="K210" s="2190"/>
      <c r="L210" s="3663"/>
      <c r="M210" s="157"/>
      <c r="N210" s="157"/>
      <c r="O210" s="157"/>
      <c r="P210" s="762" t="s">
        <v>1180</v>
      </c>
      <c r="Q210" s="508">
        <f>AVERAGE(Q202:Q209)</f>
        <v>1134.0170260187426</v>
      </c>
      <c r="R210" s="764">
        <f>AVERAGE(R202:R209)</f>
        <v>686.95833333333326</v>
      </c>
      <c r="S210" s="157"/>
      <c r="T210" s="768"/>
      <c r="U210" s="157"/>
      <c r="V210" s="3589"/>
      <c r="W210" s="766"/>
      <c r="X210" s="765"/>
      <c r="Y210" s="765">
        <v>632</v>
      </c>
      <c r="Z210" s="2426">
        <v>632</v>
      </c>
      <c r="AA210" s="2426">
        <v>632</v>
      </c>
      <c r="AB210" s="784">
        <v>632</v>
      </c>
      <c r="AC210" s="766"/>
      <c r="AD210" s="766"/>
      <c r="AE210" s="766"/>
      <c r="AF210" s="766"/>
      <c r="AG210" s="766"/>
      <c r="BB210" s="647"/>
      <c r="BC210" s="658"/>
      <c r="BD210" s="757"/>
      <c r="BE210" s="659"/>
    </row>
    <row r="211" spans="1:57" s="64" customFormat="1" outlineLevel="1" x14ac:dyDescent="0.25">
      <c r="A211" s="1393"/>
      <c r="B211" s="157"/>
      <c r="C211" s="385"/>
      <c r="D211" s="3639"/>
      <c r="E211" s="3642"/>
      <c r="F211" s="3631" t="str">
        <f t="shared" si="46"/>
        <v>CAC - SEER 15 ER1: SF</v>
      </c>
      <c r="G211" s="3632"/>
      <c r="H211" s="3633"/>
      <c r="I211" s="784" t="str">
        <f t="shared" si="47"/>
        <v>350600_2019_12_</v>
      </c>
      <c r="J211" s="784">
        <v>869</v>
      </c>
      <c r="K211" s="2190"/>
      <c r="L211" s="3663"/>
      <c r="M211" s="157"/>
      <c r="N211" s="1746"/>
      <c r="O211" s="157"/>
      <c r="P211" s="1817" t="s">
        <v>1181</v>
      </c>
      <c r="Q211" s="385"/>
      <c r="R211" s="157"/>
      <c r="S211" s="157"/>
      <c r="T211" s="768"/>
      <c r="U211" s="157"/>
      <c r="V211" s="3589"/>
      <c r="W211" s="766">
        <v>869</v>
      </c>
      <c r="X211" s="766">
        <f>W211</f>
        <v>869</v>
      </c>
      <c r="Y211" s="766">
        <v>869</v>
      </c>
      <c r="Z211" s="2426">
        <v>869</v>
      </c>
      <c r="AA211" s="2426">
        <v>869</v>
      </c>
      <c r="AB211" s="784">
        <v>869</v>
      </c>
      <c r="AC211" s="766"/>
      <c r="AD211" s="766"/>
      <c r="AE211" s="766"/>
      <c r="AF211" s="766"/>
      <c r="AG211" s="766"/>
      <c r="BB211" s="647"/>
      <c r="BC211" s="658"/>
      <c r="BD211" s="757"/>
      <c r="BE211" s="659"/>
    </row>
    <row r="212" spans="1:57" s="64" customFormat="1" ht="15" customHeight="1" outlineLevel="1" x14ac:dyDescent="0.25">
      <c r="A212" s="1393"/>
      <c r="B212" s="157"/>
      <c r="C212" s="385"/>
      <c r="D212" s="3639"/>
      <c r="E212" s="3642"/>
      <c r="F212" s="3631" t="str">
        <f t="shared" si="46"/>
        <v>CAC - SEER 15 ER2: SF</v>
      </c>
      <c r="G212" s="3632"/>
      <c r="H212" s="3633"/>
      <c r="I212" s="784" t="str">
        <f t="shared" si="47"/>
        <v>350600_2019_12_</v>
      </c>
      <c r="J212" s="784">
        <v>869</v>
      </c>
      <c r="K212" s="2190"/>
      <c r="L212" s="3663"/>
      <c r="M212" s="157"/>
      <c r="N212" s="1746"/>
      <c r="O212" s="157"/>
      <c r="T212" s="157"/>
      <c r="U212" s="157"/>
      <c r="V212" s="3589"/>
      <c r="W212" s="766">
        <v>869</v>
      </c>
      <c r="X212" s="766">
        <f>W212</f>
        <v>869</v>
      </c>
      <c r="Y212" s="766">
        <v>869</v>
      </c>
      <c r="Z212" s="2426">
        <v>869</v>
      </c>
      <c r="AA212" s="2426">
        <v>869</v>
      </c>
      <c r="AB212" s="784">
        <v>869</v>
      </c>
      <c r="AC212" s="766"/>
      <c r="AD212" s="766"/>
      <c r="AE212" s="766"/>
      <c r="AF212" s="766"/>
      <c r="AG212" s="766"/>
      <c r="BB212" s="647"/>
      <c r="BC212" s="658"/>
      <c r="BD212" s="757"/>
      <c r="BE212" s="659"/>
    </row>
    <row r="213" spans="1:57" s="64" customFormat="1" outlineLevel="1" x14ac:dyDescent="0.25">
      <c r="A213" s="1393"/>
      <c r="B213" s="157"/>
      <c r="C213" s="385"/>
      <c r="D213" s="3639"/>
      <c r="E213" s="3642"/>
      <c r="F213" s="3631" t="str">
        <f t="shared" si="46"/>
        <v>CAC - SEER 15 ROF: SF</v>
      </c>
      <c r="G213" s="3632"/>
      <c r="H213" s="3633"/>
      <c r="I213" s="784" t="str">
        <f t="shared" si="47"/>
        <v>350650_2019_12_</v>
      </c>
      <c r="J213" s="784">
        <v>869</v>
      </c>
      <c r="K213" s="2190"/>
      <c r="L213" s="3663"/>
      <c r="M213" s="157"/>
      <c r="N213" s="1746"/>
      <c r="O213" s="157"/>
      <c r="P213" s="3483" t="s">
        <v>1182</v>
      </c>
      <c r="Q213" s="3352"/>
      <c r="R213" s="3353"/>
      <c r="S213" s="157"/>
      <c r="T213" s="157"/>
      <c r="U213" s="157"/>
      <c r="V213" s="3589"/>
      <c r="W213" s="766">
        <v>869</v>
      </c>
      <c r="X213" s="766">
        <f>W213</f>
        <v>869</v>
      </c>
      <c r="Y213" s="766">
        <v>869</v>
      </c>
      <c r="Z213" s="2426">
        <v>869</v>
      </c>
      <c r="AA213" s="2426">
        <v>869</v>
      </c>
      <c r="AB213" s="784">
        <v>869</v>
      </c>
      <c r="AC213" s="766"/>
      <c r="AD213" s="766"/>
      <c r="AE213" s="766"/>
      <c r="AF213" s="766"/>
      <c r="AG213" s="766"/>
      <c r="BB213" s="647"/>
      <c r="BC213" s="658"/>
      <c r="BD213" s="757"/>
      <c r="BE213" s="659"/>
    </row>
    <row r="214" spans="1:57" s="64" customFormat="1" outlineLevel="1" x14ac:dyDescent="0.25">
      <c r="A214" s="1393"/>
      <c r="B214" s="157"/>
      <c r="C214" s="385"/>
      <c r="D214" s="3639"/>
      <c r="E214" s="3642"/>
      <c r="F214" s="3631" t="str">
        <f t="shared" si="46"/>
        <v>CAC - SEER 15 ER1: MF</v>
      </c>
      <c r="G214" s="3632"/>
      <c r="H214" s="3633"/>
      <c r="I214" s="784" t="str">
        <f t="shared" si="47"/>
        <v>350700_2019_12_</v>
      </c>
      <c r="J214" s="784">
        <v>869</v>
      </c>
      <c r="K214" s="2190"/>
      <c r="L214" s="3663"/>
      <c r="M214" s="157"/>
      <c r="N214" s="1746"/>
      <c r="O214" s="157"/>
      <c r="P214" s="769" t="s">
        <v>1113</v>
      </c>
      <c r="Q214" s="86" t="s">
        <v>1183</v>
      </c>
      <c r="R214" s="1750" t="s">
        <v>1184</v>
      </c>
      <c r="S214" s="157"/>
      <c r="T214" s="157"/>
      <c r="U214" s="157"/>
      <c r="V214" s="3589"/>
      <c r="W214" s="766">
        <v>869</v>
      </c>
      <c r="X214" s="765">
        <v>1215</v>
      </c>
      <c r="Y214" s="765">
        <v>869</v>
      </c>
      <c r="Z214" s="2426">
        <v>869</v>
      </c>
      <c r="AA214" s="2426">
        <v>869</v>
      </c>
      <c r="AB214" s="784">
        <v>869</v>
      </c>
      <c r="AC214" s="766"/>
      <c r="AD214" s="766"/>
      <c r="AE214" s="766"/>
      <c r="AF214" s="766"/>
      <c r="AG214" s="766"/>
      <c r="BB214" s="647"/>
      <c r="BC214" s="658"/>
      <c r="BD214" s="757"/>
      <c r="BE214" s="659"/>
    </row>
    <row r="215" spans="1:57" s="64" customFormat="1" outlineLevel="1" x14ac:dyDescent="0.25">
      <c r="A215" s="1393"/>
      <c r="B215" s="157"/>
      <c r="C215" s="385"/>
      <c r="D215" s="3639"/>
      <c r="E215" s="3642"/>
      <c r="F215" s="3631" t="str">
        <f t="shared" si="46"/>
        <v>CAC - SEER 15 ER2: MF</v>
      </c>
      <c r="G215" s="3632"/>
      <c r="H215" s="3633"/>
      <c r="I215" s="784" t="str">
        <f t="shared" si="47"/>
        <v>350700_2019_12_</v>
      </c>
      <c r="J215" s="784">
        <v>869</v>
      </c>
      <c r="K215" s="2190"/>
      <c r="L215" s="3663"/>
      <c r="M215" s="157"/>
      <c r="N215" s="1746"/>
      <c r="O215" s="157"/>
      <c r="P215" s="769" t="s">
        <v>1185</v>
      </c>
      <c r="Q215" s="770">
        <f>R215*(1+R216)^R218</f>
        <v>3217.446031837248</v>
      </c>
      <c r="R215" s="770">
        <v>2857</v>
      </c>
      <c r="S215" s="157" t="s">
        <v>1172</v>
      </c>
      <c r="T215" s="2136"/>
      <c r="U215" s="157"/>
      <c r="V215" s="3589"/>
      <c r="W215" s="766">
        <v>869</v>
      </c>
      <c r="X215" s="765">
        <v>1215</v>
      </c>
      <c r="Y215" s="765">
        <v>869</v>
      </c>
      <c r="Z215" s="2426">
        <v>869</v>
      </c>
      <c r="AA215" s="2426">
        <v>869</v>
      </c>
      <c r="AB215" s="784">
        <v>869</v>
      </c>
      <c r="AC215" s="766"/>
      <c r="AD215" s="766"/>
      <c r="AE215" s="766"/>
      <c r="AF215" s="766"/>
      <c r="AG215" s="766"/>
      <c r="BB215" s="647"/>
      <c r="BC215" s="658"/>
      <c r="BD215" s="757"/>
      <c r="BE215" s="659"/>
    </row>
    <row r="216" spans="1:57" s="64" customFormat="1" outlineLevel="1" x14ac:dyDescent="0.25">
      <c r="A216" s="1393"/>
      <c r="B216" s="157"/>
      <c r="C216" s="385"/>
      <c r="D216" s="3639"/>
      <c r="E216" s="3642"/>
      <c r="F216" s="3631" t="str">
        <f t="shared" si="46"/>
        <v>CAC - SEER 15 ER1: MF_CompE</v>
      </c>
      <c r="G216" s="3632"/>
      <c r="H216" s="3633"/>
      <c r="I216" s="784" t="str">
        <f t="shared" si="47"/>
        <v>350701_2019_12_</v>
      </c>
      <c r="J216" s="784">
        <f>$J$207</f>
        <v>632</v>
      </c>
      <c r="K216" s="2190"/>
      <c r="L216" s="3663"/>
      <c r="M216" s="157"/>
      <c r="N216" s="1746"/>
      <c r="O216" s="157"/>
      <c r="P216" s="769" t="s">
        <v>1116</v>
      </c>
      <c r="Q216" s="1751"/>
      <c r="R216" s="771">
        <f>$Q$103</f>
        <v>0.02</v>
      </c>
      <c r="S216" s="157" t="s">
        <v>1186</v>
      </c>
      <c r="T216" s="157"/>
      <c r="U216" s="157"/>
      <c r="V216" s="3589"/>
      <c r="W216" s="766"/>
      <c r="X216" s="765"/>
      <c r="Y216" s="765">
        <v>632</v>
      </c>
      <c r="Z216" s="2426">
        <v>632</v>
      </c>
      <c r="AA216" s="2426">
        <v>632</v>
      </c>
      <c r="AB216" s="784">
        <v>632</v>
      </c>
      <c r="AC216" s="766"/>
      <c r="AD216" s="766"/>
      <c r="AE216" s="766"/>
      <c r="AF216" s="766"/>
      <c r="AG216" s="766"/>
      <c r="BB216" s="647"/>
      <c r="BC216" s="658"/>
      <c r="BD216" s="757"/>
      <c r="BE216" s="659"/>
    </row>
    <row r="217" spans="1:57" s="64" customFormat="1" outlineLevel="1" x14ac:dyDescent="0.25">
      <c r="A217" s="1393"/>
      <c r="B217" s="157"/>
      <c r="C217" s="385"/>
      <c r="D217" s="3639"/>
      <c r="E217" s="3642"/>
      <c r="F217" s="3631" t="str">
        <f t="shared" si="46"/>
        <v>CAC - SEER 15 ER2: MF_CompE</v>
      </c>
      <c r="G217" s="3632"/>
      <c r="H217" s="3633"/>
      <c r="I217" s="784" t="str">
        <f t="shared" si="47"/>
        <v>350701_2019_12_</v>
      </c>
      <c r="J217" s="784">
        <f>$J$207</f>
        <v>632</v>
      </c>
      <c r="K217" s="2190"/>
      <c r="L217" s="3663"/>
      <c r="M217" s="157"/>
      <c r="N217" s="1746"/>
      <c r="O217" s="157"/>
      <c r="P217" s="772" t="s">
        <v>1117</v>
      </c>
      <c r="Q217" s="1751"/>
      <c r="R217" s="771">
        <f>$Q$104</f>
        <v>5.9499999999999997E-2</v>
      </c>
      <c r="S217" s="157" t="s">
        <v>1186</v>
      </c>
      <c r="T217" s="157"/>
      <c r="U217" s="157"/>
      <c r="V217" s="3589"/>
      <c r="W217" s="766"/>
      <c r="X217" s="765"/>
      <c r="Y217" s="765">
        <v>632</v>
      </c>
      <c r="Z217" s="2426">
        <v>632</v>
      </c>
      <c r="AA217" s="2426">
        <v>632</v>
      </c>
      <c r="AB217" s="784">
        <v>632</v>
      </c>
      <c r="AC217" s="766"/>
      <c r="AD217" s="766"/>
      <c r="AE217" s="766"/>
      <c r="AF217" s="766"/>
      <c r="AG217" s="766"/>
      <c r="BB217" s="647"/>
      <c r="BC217" s="658"/>
      <c r="BD217" s="757"/>
      <c r="BE217" s="659"/>
    </row>
    <row r="218" spans="1:57" s="64" customFormat="1" outlineLevel="1" x14ac:dyDescent="0.25">
      <c r="A218" s="1393"/>
      <c r="B218" s="157"/>
      <c r="C218" s="385"/>
      <c r="D218" s="3639"/>
      <c r="E218" s="3642"/>
      <c r="F218" s="3631" t="str">
        <f t="shared" si="46"/>
        <v>CAC - SEER 15 ROF: MF</v>
      </c>
      <c r="G218" s="3632"/>
      <c r="H218" s="3633"/>
      <c r="I218" s="784" t="str">
        <f t="shared" si="47"/>
        <v>350750_2019_12_</v>
      </c>
      <c r="J218" s="784">
        <v>869</v>
      </c>
      <c r="K218" s="2190"/>
      <c r="L218" s="3663"/>
      <c r="M218" s="157"/>
      <c r="N218" s="1746"/>
      <c r="O218" s="157"/>
      <c r="P218" s="773" t="s">
        <v>1118</v>
      </c>
      <c r="Q218" s="1751"/>
      <c r="R218" s="774">
        <v>6</v>
      </c>
      <c r="S218" s="157" t="s">
        <v>1187</v>
      </c>
      <c r="T218" s="157"/>
      <c r="U218" s="157"/>
      <c r="V218" s="3589"/>
      <c r="W218" s="766">
        <v>869</v>
      </c>
      <c r="X218" s="765">
        <v>1215</v>
      </c>
      <c r="Y218" s="765">
        <v>869</v>
      </c>
      <c r="Z218" s="2426">
        <v>869</v>
      </c>
      <c r="AA218" s="2426">
        <v>869</v>
      </c>
      <c r="AB218" s="784">
        <v>869</v>
      </c>
      <c r="AC218" s="766"/>
      <c r="AD218" s="766"/>
      <c r="AE218" s="766"/>
      <c r="AF218" s="766"/>
      <c r="AG218" s="766"/>
      <c r="BB218" s="647"/>
      <c r="BC218" s="658"/>
      <c r="BD218" s="757"/>
      <c r="BE218" s="659"/>
    </row>
    <row r="219" spans="1:57" s="64" customFormat="1" outlineLevel="1" x14ac:dyDescent="0.25">
      <c r="A219" s="1393"/>
      <c r="B219" s="157"/>
      <c r="C219" s="385"/>
      <c r="D219" s="3639"/>
      <c r="E219" s="3642"/>
      <c r="F219" s="3631" t="str">
        <f t="shared" si="46"/>
        <v>CAC - SEER 15 ROF: MF_CompE</v>
      </c>
      <c r="G219" s="3632"/>
      <c r="H219" s="3633"/>
      <c r="I219" s="784" t="str">
        <f t="shared" si="47"/>
        <v>350751_2019_12_</v>
      </c>
      <c r="J219" s="784">
        <f>$J$207</f>
        <v>632</v>
      </c>
      <c r="K219" s="2190"/>
      <c r="L219" s="3663"/>
      <c r="M219" s="157"/>
      <c r="N219" s="1746"/>
      <c r="O219" s="1744"/>
      <c r="P219" s="775" t="s">
        <v>1188</v>
      </c>
      <c r="Q219" s="157"/>
      <c r="R219" s="157"/>
      <c r="S219" s="157"/>
      <c r="T219" s="157"/>
      <c r="U219" s="157"/>
      <c r="V219" s="3589"/>
      <c r="W219" s="766"/>
      <c r="X219" s="765"/>
      <c r="Y219" s="766">
        <v>632</v>
      </c>
      <c r="Z219" s="2426">
        <v>632</v>
      </c>
      <c r="AA219" s="2426">
        <v>632</v>
      </c>
      <c r="AB219" s="784">
        <v>632</v>
      </c>
      <c r="AC219" s="766"/>
      <c r="AD219" s="766"/>
      <c r="AE219" s="766"/>
      <c r="AF219" s="766"/>
      <c r="AG219" s="766"/>
      <c r="BB219" s="647"/>
      <c r="BC219" s="658"/>
      <c r="BD219" s="757"/>
      <c r="BE219" s="659"/>
    </row>
    <row r="220" spans="1:57" s="64" customFormat="1" outlineLevel="1" x14ac:dyDescent="0.25">
      <c r="A220" s="1393"/>
      <c r="B220" s="157"/>
      <c r="C220" s="385"/>
      <c r="D220" s="3639"/>
      <c r="E220" s="3642"/>
      <c r="F220" s="3631" t="str">
        <f t="shared" si="46"/>
        <v>CAC - SEER 16 ER1: SF</v>
      </c>
      <c r="G220" s="3632"/>
      <c r="H220" s="3633"/>
      <c r="I220" s="784" t="str">
        <f t="shared" si="47"/>
        <v>350800_2019_12_</v>
      </c>
      <c r="J220" s="784">
        <v>869</v>
      </c>
      <c r="K220" s="2190"/>
      <c r="L220" s="3663"/>
      <c r="M220" s="157"/>
      <c r="N220" s="1746"/>
      <c r="O220" s="157"/>
      <c r="P220" s="157"/>
      <c r="Q220" s="157"/>
      <c r="R220" s="157"/>
      <c r="S220" s="157"/>
      <c r="T220" s="157"/>
      <c r="U220" s="157"/>
      <c r="V220" s="3589"/>
      <c r="W220" s="766">
        <v>869</v>
      </c>
      <c r="X220" s="766">
        <f>W220</f>
        <v>869</v>
      </c>
      <c r="Y220" s="766">
        <v>869</v>
      </c>
      <c r="Z220" s="2426">
        <v>869</v>
      </c>
      <c r="AA220" s="2426">
        <v>869</v>
      </c>
      <c r="AB220" s="784">
        <v>869</v>
      </c>
      <c r="AC220" s="766"/>
      <c r="AD220" s="766"/>
      <c r="AE220" s="766"/>
      <c r="AF220" s="766"/>
      <c r="AG220" s="766"/>
      <c r="BB220" s="647"/>
      <c r="BC220" s="658"/>
      <c r="BD220" s="757"/>
      <c r="BE220" s="659"/>
    </row>
    <row r="221" spans="1:57" s="64" customFormat="1" outlineLevel="1" x14ac:dyDescent="0.25">
      <c r="A221" s="1393"/>
      <c r="B221" s="157"/>
      <c r="C221" s="385"/>
      <c r="D221" s="3639"/>
      <c r="E221" s="3642"/>
      <c r="F221" s="3631" t="str">
        <f t="shared" si="46"/>
        <v>CAC - SEER 16 ER2: SF</v>
      </c>
      <c r="G221" s="3632"/>
      <c r="H221" s="3633"/>
      <c r="I221" s="784" t="str">
        <f t="shared" si="47"/>
        <v>350800_2019_12_</v>
      </c>
      <c r="J221" s="784">
        <v>869</v>
      </c>
      <c r="K221" s="2190"/>
      <c r="L221" s="3663"/>
      <c r="M221" s="157"/>
      <c r="N221" s="1746"/>
      <c r="O221" s="157"/>
      <c r="P221" s="157"/>
      <c r="Q221" s="157"/>
      <c r="R221" s="157"/>
      <c r="S221" s="157"/>
      <c r="T221" s="157"/>
      <c r="U221" s="157"/>
      <c r="V221" s="3589"/>
      <c r="W221" s="766">
        <v>869</v>
      </c>
      <c r="X221" s="766">
        <f>W221</f>
        <v>869</v>
      </c>
      <c r="Y221" s="766">
        <v>869</v>
      </c>
      <c r="Z221" s="2426">
        <v>869</v>
      </c>
      <c r="AA221" s="2426">
        <v>869</v>
      </c>
      <c r="AB221" s="784">
        <v>869</v>
      </c>
      <c r="AC221" s="766"/>
      <c r="AD221" s="766"/>
      <c r="AE221" s="766"/>
      <c r="AF221" s="766"/>
      <c r="AG221" s="766"/>
      <c r="BB221" s="647"/>
      <c r="BC221" s="658"/>
      <c r="BD221" s="757"/>
      <c r="BE221" s="659"/>
    </row>
    <row r="222" spans="1:57" s="64" customFormat="1" outlineLevel="1" x14ac:dyDescent="0.25">
      <c r="A222" s="1393"/>
      <c r="B222" s="157"/>
      <c r="C222" s="385"/>
      <c r="D222" s="3639"/>
      <c r="E222" s="3642"/>
      <c r="F222" s="3631" t="str">
        <f t="shared" si="46"/>
        <v>CAC - SEER 16 ROF: SF</v>
      </c>
      <c r="G222" s="3632"/>
      <c r="H222" s="3633"/>
      <c r="I222" s="784" t="str">
        <f t="shared" si="47"/>
        <v>350850_2019_12_</v>
      </c>
      <c r="J222" s="784">
        <v>869</v>
      </c>
      <c r="K222" s="2190"/>
      <c r="L222" s="3663"/>
      <c r="M222" s="157"/>
      <c r="N222" s="1746"/>
      <c r="O222" s="157"/>
      <c r="P222" s="157"/>
      <c r="Q222" s="157"/>
      <c r="R222" s="157"/>
      <c r="S222" s="157"/>
      <c r="T222" s="157"/>
      <c r="U222" s="157"/>
      <c r="V222" s="3589"/>
      <c r="W222" s="766">
        <v>869</v>
      </c>
      <c r="X222" s="766">
        <f>W222</f>
        <v>869</v>
      </c>
      <c r="Y222" s="766">
        <v>869</v>
      </c>
      <c r="Z222" s="2426">
        <v>869</v>
      </c>
      <c r="AA222" s="2426">
        <v>869</v>
      </c>
      <c r="AB222" s="784">
        <v>869</v>
      </c>
      <c r="AC222" s="766"/>
      <c r="AD222" s="766"/>
      <c r="AE222" s="766"/>
      <c r="AF222" s="766"/>
      <c r="AG222" s="766"/>
      <c r="BB222" s="647"/>
      <c r="BC222" s="658"/>
      <c r="BD222" s="757"/>
      <c r="BE222" s="659"/>
    </row>
    <row r="223" spans="1:57" s="64" customFormat="1" ht="15" customHeight="1" outlineLevel="1" x14ac:dyDescent="0.25">
      <c r="A223" s="1393"/>
      <c r="B223" s="157"/>
      <c r="C223" s="385"/>
      <c r="D223" s="3639"/>
      <c r="E223" s="3642"/>
      <c r="F223" s="3631" t="str">
        <f t="shared" si="46"/>
        <v>CAC - SEER 16 ER1: MF</v>
      </c>
      <c r="G223" s="3632"/>
      <c r="H223" s="3633"/>
      <c r="I223" s="784" t="str">
        <f t="shared" si="47"/>
        <v>350900_2019_12_</v>
      </c>
      <c r="J223" s="784">
        <v>869</v>
      </c>
      <c r="K223" s="2190"/>
      <c r="L223" s="3663"/>
      <c r="M223" s="157"/>
      <c r="N223" s="1746"/>
      <c r="O223" s="157"/>
      <c r="P223" s="157"/>
      <c r="Q223" s="157"/>
      <c r="R223" s="157"/>
      <c r="S223" s="157"/>
      <c r="T223" s="157"/>
      <c r="U223" s="157"/>
      <c r="V223" s="3589"/>
      <c r="W223" s="766">
        <v>869</v>
      </c>
      <c r="X223" s="765">
        <v>1215</v>
      </c>
      <c r="Y223" s="765">
        <v>869</v>
      </c>
      <c r="Z223" s="2426">
        <v>869</v>
      </c>
      <c r="AA223" s="2426">
        <v>869</v>
      </c>
      <c r="AB223" s="784">
        <v>869</v>
      </c>
      <c r="AC223" s="766"/>
      <c r="AD223" s="766"/>
      <c r="AE223" s="766"/>
      <c r="AF223" s="766"/>
      <c r="AG223" s="766"/>
      <c r="BB223" s="647"/>
      <c r="BC223" s="658"/>
      <c r="BD223" s="757"/>
      <c r="BE223" s="659"/>
    </row>
    <row r="224" spans="1:57" s="64" customFormat="1" outlineLevel="1" x14ac:dyDescent="0.25">
      <c r="A224" s="1393"/>
      <c r="B224" s="157"/>
      <c r="C224" s="385"/>
      <c r="D224" s="3639"/>
      <c r="E224" s="3642"/>
      <c r="F224" s="3631" t="str">
        <f t="shared" si="46"/>
        <v>CAC - SEER 16 ER2: MF</v>
      </c>
      <c r="G224" s="3632"/>
      <c r="H224" s="3633"/>
      <c r="I224" s="784" t="str">
        <f t="shared" si="47"/>
        <v>350900_2019_12_</v>
      </c>
      <c r="J224" s="784">
        <v>869</v>
      </c>
      <c r="K224" s="2190"/>
      <c r="L224" s="3663"/>
      <c r="M224" s="157"/>
      <c r="N224" s="1746"/>
      <c r="O224" s="157"/>
      <c r="P224" s="157"/>
      <c r="Q224" s="157"/>
      <c r="R224" s="157"/>
      <c r="S224" s="157"/>
      <c r="T224" s="157"/>
      <c r="U224" s="157"/>
      <c r="V224" s="3589"/>
      <c r="W224" s="766">
        <v>869</v>
      </c>
      <c r="X224" s="765">
        <v>1215</v>
      </c>
      <c r="Y224" s="765">
        <v>869</v>
      </c>
      <c r="Z224" s="2426">
        <v>869</v>
      </c>
      <c r="AA224" s="2426">
        <v>869</v>
      </c>
      <c r="AB224" s="784">
        <v>869</v>
      </c>
      <c r="AC224" s="766"/>
      <c r="AD224" s="766"/>
      <c r="AE224" s="766"/>
      <c r="AF224" s="766"/>
      <c r="AG224" s="766"/>
      <c r="BB224" s="647"/>
      <c r="BC224" s="658"/>
      <c r="BD224" s="757"/>
      <c r="BE224" s="659"/>
    </row>
    <row r="225" spans="1:57" s="64" customFormat="1" outlineLevel="1" x14ac:dyDescent="0.25">
      <c r="A225" s="1393"/>
      <c r="B225" s="157"/>
      <c r="C225" s="385"/>
      <c r="D225" s="3639"/>
      <c r="E225" s="3642"/>
      <c r="F225" s="3631" t="str">
        <f t="shared" si="46"/>
        <v>CAC - SEER 16 ER1: MF_CompE</v>
      </c>
      <c r="G225" s="3632"/>
      <c r="H225" s="3633"/>
      <c r="I225" s="784" t="str">
        <f t="shared" si="47"/>
        <v>350901_2019_12_</v>
      </c>
      <c r="J225" s="784">
        <f>$J$207</f>
        <v>632</v>
      </c>
      <c r="K225" s="2190"/>
      <c r="L225" s="3663"/>
      <c r="M225" s="157"/>
      <c r="N225" s="1746"/>
      <c r="O225" s="157"/>
      <c r="P225" s="157"/>
      <c r="Q225" s="157"/>
      <c r="R225" s="157"/>
      <c r="S225" s="157"/>
      <c r="T225" s="157"/>
      <c r="U225" s="157"/>
      <c r="V225" s="3589"/>
      <c r="W225" s="766"/>
      <c r="X225" s="765"/>
      <c r="Y225" s="765">
        <v>632</v>
      </c>
      <c r="Z225" s="2426">
        <v>632</v>
      </c>
      <c r="AA225" s="2426">
        <v>632</v>
      </c>
      <c r="AB225" s="784">
        <v>632</v>
      </c>
      <c r="AC225" s="766"/>
      <c r="AD225" s="766"/>
      <c r="AE225" s="766"/>
      <c r="AF225" s="766"/>
      <c r="AG225" s="766"/>
      <c r="BB225" s="647"/>
      <c r="BC225" s="658"/>
      <c r="BD225" s="757"/>
      <c r="BE225" s="659"/>
    </row>
    <row r="226" spans="1:57" s="64" customFormat="1" outlineLevel="1" x14ac:dyDescent="0.25">
      <c r="A226" s="1393"/>
      <c r="B226" s="157"/>
      <c r="C226" s="385"/>
      <c r="D226" s="3639"/>
      <c r="E226" s="3642"/>
      <c r="F226" s="3631" t="str">
        <f t="shared" si="46"/>
        <v>CAC - SEER 16 ER2: MF_CompE</v>
      </c>
      <c r="G226" s="3632"/>
      <c r="H226" s="3633"/>
      <c r="I226" s="784" t="str">
        <f t="shared" si="47"/>
        <v>350901_2019_12_</v>
      </c>
      <c r="J226" s="784">
        <f>$J$207</f>
        <v>632</v>
      </c>
      <c r="K226" s="2190"/>
      <c r="L226" s="3663"/>
      <c r="M226" s="157"/>
      <c r="N226" s="1746"/>
      <c r="O226" s="157"/>
      <c r="P226" s="157"/>
      <c r="Q226" s="157"/>
      <c r="R226" s="157"/>
      <c r="S226" s="157"/>
      <c r="T226" s="157"/>
      <c r="U226" s="157"/>
      <c r="V226" s="3589"/>
      <c r="W226" s="766"/>
      <c r="X226" s="765"/>
      <c r="Y226" s="765">
        <v>632</v>
      </c>
      <c r="Z226" s="2426">
        <v>632</v>
      </c>
      <c r="AA226" s="2426">
        <v>632</v>
      </c>
      <c r="AB226" s="784">
        <v>632</v>
      </c>
      <c r="AC226" s="766"/>
      <c r="AD226" s="766"/>
      <c r="AE226" s="766"/>
      <c r="AF226" s="766"/>
      <c r="AG226" s="766"/>
      <c r="BB226" s="647"/>
      <c r="BC226" s="658"/>
      <c r="BD226" s="757"/>
      <c r="BE226" s="659"/>
    </row>
    <row r="227" spans="1:57" s="64" customFormat="1" outlineLevel="1" x14ac:dyDescent="0.25">
      <c r="A227" s="1393"/>
      <c r="B227" s="157"/>
      <c r="C227" s="385"/>
      <c r="D227" s="3639"/>
      <c r="E227" s="3642"/>
      <c r="F227" s="3631" t="str">
        <f t="shared" si="46"/>
        <v>CAC - SEER 16 ROF: MF</v>
      </c>
      <c r="G227" s="3632"/>
      <c r="H227" s="3633"/>
      <c r="I227" s="784" t="str">
        <f t="shared" si="47"/>
        <v>350950_2019_12_</v>
      </c>
      <c r="J227" s="784">
        <v>869</v>
      </c>
      <c r="K227" s="2190"/>
      <c r="L227" s="3663"/>
      <c r="M227" s="157"/>
      <c r="N227" s="1746"/>
      <c r="O227" s="157"/>
      <c r="P227" s="157"/>
      <c r="Q227" s="157"/>
      <c r="R227" s="157"/>
      <c r="S227" s="157"/>
      <c r="T227" s="157"/>
      <c r="U227" s="157"/>
      <c r="V227" s="3589"/>
      <c r="W227" s="766">
        <v>869</v>
      </c>
      <c r="X227" s="765">
        <v>1215</v>
      </c>
      <c r="Y227" s="766">
        <v>869</v>
      </c>
      <c r="Z227" s="2426">
        <v>869</v>
      </c>
      <c r="AA227" s="2426">
        <v>869</v>
      </c>
      <c r="AB227" s="784">
        <v>869</v>
      </c>
      <c r="AC227" s="766"/>
      <c r="AD227" s="766"/>
      <c r="AE227" s="766"/>
      <c r="AF227" s="766"/>
      <c r="AG227" s="766"/>
      <c r="BB227" s="647"/>
      <c r="BC227" s="658"/>
      <c r="BD227" s="757"/>
      <c r="BE227" s="659"/>
    </row>
    <row r="228" spans="1:57" s="64" customFormat="1" outlineLevel="1" x14ac:dyDescent="0.25">
      <c r="A228" s="1393"/>
      <c r="B228" s="157"/>
      <c r="C228" s="385"/>
      <c r="D228" s="3639"/>
      <c r="E228" s="3642"/>
      <c r="F228" s="3631" t="str">
        <f t="shared" si="46"/>
        <v>CAC - SEER 16 ROF: MF_CompE</v>
      </c>
      <c r="G228" s="3632"/>
      <c r="H228" s="3633"/>
      <c r="I228" s="784" t="str">
        <f t="shared" si="47"/>
        <v>350951_2019_12_</v>
      </c>
      <c r="J228" s="784">
        <f>$J$207</f>
        <v>632</v>
      </c>
      <c r="K228" s="2190"/>
      <c r="L228" s="3663"/>
      <c r="M228" s="157"/>
      <c r="N228" s="1746"/>
      <c r="O228" s="157"/>
      <c r="P228" s="157"/>
      <c r="Q228" s="157"/>
      <c r="R228" s="157"/>
      <c r="S228" s="157"/>
      <c r="T228" s="157"/>
      <c r="U228" s="157"/>
      <c r="V228" s="3589"/>
      <c r="W228" s="766"/>
      <c r="X228" s="765"/>
      <c r="Y228" s="765">
        <v>632</v>
      </c>
      <c r="Z228" s="2426">
        <v>632</v>
      </c>
      <c r="AA228" s="2426">
        <v>632</v>
      </c>
      <c r="AB228" s="784">
        <v>632</v>
      </c>
      <c r="AC228" s="766"/>
      <c r="AD228" s="766"/>
      <c r="AE228" s="766"/>
      <c r="AF228" s="766"/>
      <c r="AG228" s="766"/>
      <c r="BB228" s="647"/>
      <c r="BC228" s="658"/>
      <c r="BD228" s="757"/>
      <c r="BE228" s="659"/>
    </row>
    <row r="229" spans="1:57" s="64" customFormat="1" outlineLevel="1" x14ac:dyDescent="0.25">
      <c r="A229" s="1393"/>
      <c r="B229" s="157"/>
      <c r="C229" s="385"/>
      <c r="D229" s="3639"/>
      <c r="E229" s="3642"/>
      <c r="F229" s="3631" t="str">
        <f t="shared" si="46"/>
        <v>CAC - SEER 17 ER1: SF</v>
      </c>
      <c r="G229" s="3632"/>
      <c r="H229" s="3633"/>
      <c r="I229" s="784" t="str">
        <f t="shared" si="47"/>
        <v>351000_2019_12_</v>
      </c>
      <c r="J229" s="784">
        <v>869</v>
      </c>
      <c r="K229" s="2190"/>
      <c r="L229" s="3663"/>
      <c r="M229" s="157"/>
      <c r="N229" s="1746"/>
      <c r="O229" s="157"/>
      <c r="P229" s="157"/>
      <c r="Q229" s="157"/>
      <c r="R229" s="157"/>
      <c r="S229" s="157"/>
      <c r="T229" s="157"/>
      <c r="U229" s="157"/>
      <c r="V229" s="3589"/>
      <c r="W229" s="766">
        <v>869</v>
      </c>
      <c r="X229" s="766">
        <f>W229</f>
        <v>869</v>
      </c>
      <c r="Y229" s="766">
        <v>869</v>
      </c>
      <c r="Z229" s="2426">
        <v>869</v>
      </c>
      <c r="AA229" s="2426">
        <v>869</v>
      </c>
      <c r="AB229" s="784">
        <v>869</v>
      </c>
      <c r="AC229" s="766"/>
      <c r="AD229" s="766"/>
      <c r="AE229" s="766"/>
      <c r="AF229" s="766"/>
      <c r="AG229" s="766"/>
      <c r="BB229" s="647"/>
      <c r="BC229" s="658"/>
      <c r="BD229" s="757"/>
      <c r="BE229" s="659"/>
    </row>
    <row r="230" spans="1:57" s="64" customFormat="1" outlineLevel="1" x14ac:dyDescent="0.25">
      <c r="A230" s="1393"/>
      <c r="B230" s="157"/>
      <c r="C230" s="385"/>
      <c r="D230" s="3639"/>
      <c r="E230" s="3642"/>
      <c r="F230" s="3631" t="str">
        <f t="shared" si="46"/>
        <v>CAC - SEER 17 ER2: SF</v>
      </c>
      <c r="G230" s="3632"/>
      <c r="H230" s="3633"/>
      <c r="I230" s="784" t="str">
        <f t="shared" si="47"/>
        <v>351000_2019_12_</v>
      </c>
      <c r="J230" s="784">
        <v>869</v>
      </c>
      <c r="K230" s="2190"/>
      <c r="L230" s="3663"/>
      <c r="M230" s="157"/>
      <c r="N230" s="1746"/>
      <c r="O230" s="157"/>
      <c r="P230" s="157"/>
      <c r="Q230" s="157"/>
      <c r="R230" s="157"/>
      <c r="S230" s="157"/>
      <c r="T230" s="157"/>
      <c r="U230" s="157"/>
      <c r="V230" s="3589"/>
      <c r="W230" s="766">
        <v>869</v>
      </c>
      <c r="X230" s="766">
        <f>W230</f>
        <v>869</v>
      </c>
      <c r="Y230" s="766">
        <v>869</v>
      </c>
      <c r="Z230" s="2426">
        <v>869</v>
      </c>
      <c r="AA230" s="2426">
        <v>869</v>
      </c>
      <c r="AB230" s="784">
        <v>869</v>
      </c>
      <c r="AC230" s="766"/>
      <c r="AD230" s="766"/>
      <c r="AE230" s="766"/>
      <c r="AF230" s="766"/>
      <c r="AG230" s="766"/>
      <c r="BB230" s="647"/>
      <c r="BC230" s="658"/>
      <c r="BD230" s="757"/>
      <c r="BE230" s="659"/>
    </row>
    <row r="231" spans="1:57" s="64" customFormat="1" outlineLevel="1" x14ac:dyDescent="0.25">
      <c r="A231" s="1393"/>
      <c r="B231" s="157"/>
      <c r="C231" s="385"/>
      <c r="D231" s="3639"/>
      <c r="E231" s="3642"/>
      <c r="F231" s="3631" t="str">
        <f t="shared" si="46"/>
        <v>CAC - SEER 17 ROF: SF</v>
      </c>
      <c r="G231" s="3632"/>
      <c r="H231" s="3633"/>
      <c r="I231" s="784" t="str">
        <f t="shared" si="47"/>
        <v>351050_2019_12_</v>
      </c>
      <c r="J231" s="784">
        <v>869</v>
      </c>
      <c r="K231" s="2190"/>
      <c r="L231" s="3663"/>
      <c r="M231" s="157"/>
      <c r="N231" s="1746"/>
      <c r="O231" s="157"/>
      <c r="P231" s="157"/>
      <c r="Q231" s="157"/>
      <c r="R231" s="157"/>
      <c r="S231" s="157"/>
      <c r="T231" s="157"/>
      <c r="U231" s="157"/>
      <c r="V231" s="3589"/>
      <c r="W231" s="766">
        <v>869</v>
      </c>
      <c r="X231" s="766">
        <f>W231</f>
        <v>869</v>
      </c>
      <c r="Y231" s="766">
        <v>869</v>
      </c>
      <c r="Z231" s="2426">
        <v>869</v>
      </c>
      <c r="AA231" s="2426">
        <v>869</v>
      </c>
      <c r="AB231" s="784">
        <v>869</v>
      </c>
      <c r="AC231" s="766"/>
      <c r="AD231" s="766"/>
      <c r="AE231" s="766"/>
      <c r="AF231" s="766"/>
      <c r="AG231" s="766"/>
      <c r="BB231" s="647"/>
      <c r="BC231" s="658"/>
      <c r="BD231" s="757"/>
      <c r="BE231" s="659"/>
    </row>
    <row r="232" spans="1:57" s="64" customFormat="1" outlineLevel="1" x14ac:dyDescent="0.25">
      <c r="A232" s="1393"/>
      <c r="B232" s="157"/>
      <c r="C232" s="385"/>
      <c r="D232" s="3639"/>
      <c r="E232" s="3642"/>
      <c r="F232" s="3631" t="str">
        <f t="shared" si="46"/>
        <v>CAC - SEER 17 ER1: MF</v>
      </c>
      <c r="G232" s="3632"/>
      <c r="H232" s="3633"/>
      <c r="I232" s="784" t="str">
        <f t="shared" si="47"/>
        <v>351100_2019_12_</v>
      </c>
      <c r="J232" s="784">
        <v>869</v>
      </c>
      <c r="K232" s="2190"/>
      <c r="L232" s="3663"/>
      <c r="M232" s="157"/>
      <c r="N232" s="1746"/>
      <c r="O232" s="157"/>
      <c r="P232" s="157"/>
      <c r="Q232" s="157"/>
      <c r="R232" s="157"/>
      <c r="S232" s="157"/>
      <c r="T232" s="157"/>
      <c r="U232" s="157"/>
      <c r="V232" s="3589"/>
      <c r="W232" s="766">
        <v>869</v>
      </c>
      <c r="X232" s="766">
        <f>W232</f>
        <v>869</v>
      </c>
      <c r="Y232" s="766">
        <v>869</v>
      </c>
      <c r="Z232" s="2426">
        <v>869</v>
      </c>
      <c r="AA232" s="2426">
        <v>869</v>
      </c>
      <c r="AB232" s="784">
        <v>869</v>
      </c>
      <c r="AC232" s="766"/>
      <c r="AD232" s="766"/>
      <c r="AE232" s="766"/>
      <c r="AF232" s="766"/>
      <c r="AG232" s="766"/>
      <c r="BB232" s="647"/>
      <c r="BC232" s="658"/>
      <c r="BD232" s="757"/>
      <c r="BE232" s="659"/>
    </row>
    <row r="233" spans="1:57" s="64" customFormat="1" ht="14.45" customHeight="1" outlineLevel="1" x14ac:dyDescent="0.25">
      <c r="A233" s="1393"/>
      <c r="B233" s="157"/>
      <c r="C233" s="385"/>
      <c r="D233" s="3639"/>
      <c r="E233" s="3642"/>
      <c r="F233" s="3631" t="str">
        <f t="shared" si="46"/>
        <v>CAC - SEER 17 ER2: MF</v>
      </c>
      <c r="G233" s="3632"/>
      <c r="H233" s="3633"/>
      <c r="I233" s="784" t="str">
        <f t="shared" si="47"/>
        <v>351100_2019_12_</v>
      </c>
      <c r="J233" s="784">
        <v>869</v>
      </c>
      <c r="K233" s="2190"/>
      <c r="L233" s="3663"/>
      <c r="M233" s="157"/>
      <c r="N233" s="1746"/>
      <c r="O233" s="194"/>
      <c r="P233" s="194"/>
      <c r="Q233" s="194"/>
      <c r="R233" s="194"/>
      <c r="S233" s="194"/>
      <c r="T233" s="194"/>
      <c r="U233" s="157"/>
      <c r="V233" s="3589"/>
      <c r="W233" s="766">
        <v>869</v>
      </c>
      <c r="X233" s="766">
        <f>W233</f>
        <v>869</v>
      </c>
      <c r="Y233" s="766">
        <v>869</v>
      </c>
      <c r="Z233" s="2426">
        <v>869</v>
      </c>
      <c r="AA233" s="2426">
        <v>869</v>
      </c>
      <c r="AB233" s="784">
        <v>869</v>
      </c>
      <c r="AC233" s="766"/>
      <c r="AD233" s="766"/>
      <c r="AE233" s="766"/>
      <c r="AF233" s="766"/>
      <c r="AG233" s="766"/>
      <c r="BB233" s="647"/>
      <c r="BC233" s="658"/>
      <c r="BD233" s="757"/>
      <c r="BE233" s="659"/>
    </row>
    <row r="234" spans="1:57" s="64" customFormat="1" ht="14.45" customHeight="1" outlineLevel="1" x14ac:dyDescent="0.25">
      <c r="A234" s="1393"/>
      <c r="B234" s="157"/>
      <c r="C234" s="385"/>
      <c r="D234" s="3639"/>
      <c r="E234" s="3642"/>
      <c r="F234" s="3650" t="str">
        <f t="shared" si="46"/>
        <v>CAC - SEER 17 ER1: MF_CompE</v>
      </c>
      <c r="G234" s="3650"/>
      <c r="H234" s="3650"/>
      <c r="I234" s="784" t="str">
        <f t="shared" si="47"/>
        <v>351101_2019_12_</v>
      </c>
      <c r="J234" s="784">
        <f>$J$207</f>
        <v>632</v>
      </c>
      <c r="K234" s="2190"/>
      <c r="L234" s="3663"/>
      <c r="M234" s="157"/>
      <c r="N234" s="1746"/>
      <c r="O234" s="194"/>
      <c r="P234" s="194"/>
      <c r="Q234" s="194"/>
      <c r="R234" s="194"/>
      <c r="S234" s="194"/>
      <c r="T234" s="194"/>
      <c r="U234" s="157"/>
      <c r="V234" s="3589"/>
      <c r="W234" s="778"/>
      <c r="X234" s="778"/>
      <c r="Y234" s="777">
        <v>632</v>
      </c>
      <c r="Z234" s="778">
        <v>632</v>
      </c>
      <c r="AA234" s="778">
        <v>632</v>
      </c>
      <c r="AB234" s="784">
        <v>632</v>
      </c>
      <c r="AC234" s="778"/>
      <c r="AD234" s="778"/>
      <c r="AE234" s="778"/>
      <c r="AF234" s="778"/>
      <c r="AG234" s="778"/>
      <c r="BB234" s="647"/>
      <c r="BC234" s="658"/>
      <c r="BD234" s="757"/>
      <c r="BE234" s="659"/>
    </row>
    <row r="235" spans="1:57" s="64" customFormat="1" ht="14.45" customHeight="1" outlineLevel="1" x14ac:dyDescent="0.25">
      <c r="A235" s="1393"/>
      <c r="B235" s="157"/>
      <c r="C235" s="385"/>
      <c r="D235" s="3639"/>
      <c r="E235" s="3642"/>
      <c r="F235" s="3650" t="str">
        <f t="shared" si="46"/>
        <v>CAC - SEER 17 ER2: MF_CompE</v>
      </c>
      <c r="G235" s="3650"/>
      <c r="H235" s="3650"/>
      <c r="I235" s="784" t="str">
        <f t="shared" si="47"/>
        <v>351101_2019_12_</v>
      </c>
      <c r="J235" s="784">
        <f>$J$207</f>
        <v>632</v>
      </c>
      <c r="K235" s="2190"/>
      <c r="L235" s="3663"/>
      <c r="M235" s="157"/>
      <c r="N235" s="1746"/>
      <c r="O235" s="194"/>
      <c r="P235" s="194"/>
      <c r="Q235" s="194"/>
      <c r="R235" s="194"/>
      <c r="S235" s="194"/>
      <c r="T235" s="194"/>
      <c r="U235" s="157"/>
      <c r="V235" s="3589"/>
      <c r="W235" s="778"/>
      <c r="X235" s="778"/>
      <c r="Y235" s="777">
        <v>632</v>
      </c>
      <c r="Z235" s="778">
        <v>632</v>
      </c>
      <c r="AA235" s="778">
        <v>632</v>
      </c>
      <c r="AB235" s="784">
        <v>632</v>
      </c>
      <c r="AC235" s="778"/>
      <c r="AD235" s="778"/>
      <c r="AE235" s="778"/>
      <c r="AF235" s="778"/>
      <c r="AG235" s="778"/>
      <c r="BB235" s="647"/>
      <c r="BC235" s="658"/>
      <c r="BD235" s="757"/>
      <c r="BE235" s="659"/>
    </row>
    <row r="236" spans="1:57" s="64" customFormat="1" ht="15" customHeight="1" outlineLevel="1" x14ac:dyDescent="0.25">
      <c r="A236" s="1393"/>
      <c r="B236" s="157"/>
      <c r="C236" s="385"/>
      <c r="D236" s="3639"/>
      <c r="E236" s="3642"/>
      <c r="F236" s="3650" t="str">
        <f t="shared" si="46"/>
        <v>CAC - SEER 17 ROF: MF</v>
      </c>
      <c r="G236" s="3650"/>
      <c r="H236" s="3650"/>
      <c r="I236" s="784" t="str">
        <f t="shared" si="47"/>
        <v>351150_2019_12_</v>
      </c>
      <c r="J236" s="784">
        <v>869</v>
      </c>
      <c r="K236" s="2190"/>
      <c r="L236" s="3663"/>
      <c r="M236" s="157"/>
      <c r="N236" s="1746"/>
      <c r="O236" s="194"/>
      <c r="P236" s="194"/>
      <c r="Q236" s="194"/>
      <c r="R236" s="194"/>
      <c r="S236" s="194"/>
      <c r="T236" s="194"/>
      <c r="U236" s="157"/>
      <c r="V236" s="3589"/>
      <c r="W236" s="2178">
        <v>869</v>
      </c>
      <c r="X236" s="2178">
        <f>W236</f>
        <v>869</v>
      </c>
      <c r="Y236" s="2178">
        <v>869</v>
      </c>
      <c r="Z236" s="2426">
        <v>869</v>
      </c>
      <c r="AA236" s="2426">
        <v>869</v>
      </c>
      <c r="AB236" s="784">
        <v>869</v>
      </c>
      <c r="AC236" s="2178"/>
      <c r="AD236" s="2178"/>
      <c r="AE236" s="2178"/>
      <c r="AF236" s="2178"/>
      <c r="AG236" s="2178"/>
      <c r="BB236" s="647"/>
      <c r="BC236" s="658"/>
      <c r="BD236" s="757"/>
      <c r="BE236" s="659"/>
    </row>
    <row r="237" spans="1:57" s="64" customFormat="1" ht="15" customHeight="1" outlineLevel="1" x14ac:dyDescent="0.25">
      <c r="A237" s="1393"/>
      <c r="B237" s="157"/>
      <c r="C237" s="385"/>
      <c r="D237" s="3639"/>
      <c r="E237" s="3643"/>
      <c r="F237" s="3650" t="str">
        <f t="shared" si="46"/>
        <v>CAC - SEER 17 ROF: MF_CompE</v>
      </c>
      <c r="G237" s="3650"/>
      <c r="H237" s="3650"/>
      <c r="I237" s="784" t="str">
        <f t="shared" si="47"/>
        <v>351151_2019_12_</v>
      </c>
      <c r="J237" s="784">
        <f>$J$207</f>
        <v>632</v>
      </c>
      <c r="K237" s="2190"/>
      <c r="L237" s="3663"/>
      <c r="M237" s="157"/>
      <c r="N237" s="1746"/>
      <c r="O237" s="194"/>
      <c r="P237" s="194"/>
      <c r="Q237" s="194"/>
      <c r="R237" s="194"/>
      <c r="S237" s="194"/>
      <c r="T237" s="194"/>
      <c r="U237" s="157"/>
      <c r="V237" s="3590"/>
      <c r="W237" s="781"/>
      <c r="X237" s="781"/>
      <c r="Y237" s="786">
        <v>632</v>
      </c>
      <c r="Z237" s="781">
        <v>632</v>
      </c>
      <c r="AA237" s="781">
        <v>632</v>
      </c>
      <c r="AB237" s="784">
        <v>632</v>
      </c>
      <c r="AC237" s="781"/>
      <c r="AD237" s="781"/>
      <c r="AE237" s="781"/>
      <c r="AF237" s="781"/>
      <c r="AG237" s="781"/>
      <c r="BB237" s="647"/>
      <c r="BC237" s="658"/>
      <c r="BD237" s="757"/>
      <c r="BE237" s="659"/>
    </row>
    <row r="238" spans="1:57" s="64" customFormat="1" ht="14.45" customHeight="1" outlineLevel="1" x14ac:dyDescent="0.25">
      <c r="A238" s="1393"/>
      <c r="B238" s="157"/>
      <c r="C238" s="385"/>
      <c r="D238" s="3639"/>
      <c r="E238" s="3644"/>
      <c r="F238" s="3651" t="str">
        <f t="shared" ref="F238:F273" si="49">E154</f>
        <v>CAC - SEER 18 ER1: SF</v>
      </c>
      <c r="G238" s="3652"/>
      <c r="H238" s="3653"/>
      <c r="I238" s="785" t="str">
        <f t="shared" si="47"/>
        <v>351160_2020_02_</v>
      </c>
      <c r="J238" s="785">
        <v>869</v>
      </c>
      <c r="K238" s="2191"/>
      <c r="L238" s="3663"/>
      <c r="M238" s="157"/>
      <c r="N238" s="157"/>
      <c r="O238" s="194"/>
      <c r="P238" s="1753"/>
      <c r="Q238" s="2135"/>
      <c r="R238" s="2135"/>
      <c r="S238" s="2145"/>
      <c r="T238" s="194"/>
      <c r="U238" s="157"/>
      <c r="V238" s="3590"/>
      <c r="W238" s="781"/>
      <c r="X238" s="781"/>
      <c r="Y238" s="781"/>
      <c r="Z238" s="786">
        <v>869</v>
      </c>
      <c r="AA238" s="781">
        <v>869</v>
      </c>
      <c r="AB238" s="785">
        <v>869</v>
      </c>
      <c r="AC238" s="781"/>
      <c r="AD238" s="781"/>
      <c r="AE238" s="781"/>
      <c r="AF238" s="781"/>
      <c r="AG238" s="781"/>
      <c r="BB238" s="647"/>
      <c r="BC238" s="658"/>
      <c r="BD238" s="757"/>
      <c r="BE238" s="659"/>
    </row>
    <row r="239" spans="1:57" s="64" customFormat="1" ht="14.45" customHeight="1" outlineLevel="1" x14ac:dyDescent="0.25">
      <c r="A239" s="1393"/>
      <c r="B239" s="157"/>
      <c r="C239" s="385"/>
      <c r="D239" s="3639"/>
      <c r="E239" s="3644"/>
      <c r="F239" s="3631" t="str">
        <f t="shared" si="49"/>
        <v>CAC - SEER 18 ER2: SF</v>
      </c>
      <c r="G239" s="3632"/>
      <c r="H239" s="3633"/>
      <c r="I239" s="784" t="str">
        <f t="shared" ref="I239:I273" si="50">C155</f>
        <v>351160_2020_02_</v>
      </c>
      <c r="J239" s="784">
        <v>869</v>
      </c>
      <c r="K239" s="2190"/>
      <c r="L239" s="3663"/>
      <c r="M239" s="157"/>
      <c r="N239" s="157"/>
      <c r="O239" s="194"/>
      <c r="P239" s="1753"/>
      <c r="Q239" s="2135"/>
      <c r="R239" s="2135"/>
      <c r="S239" s="2145"/>
      <c r="T239" s="194"/>
      <c r="U239" s="157"/>
      <c r="V239" s="3590"/>
      <c r="W239" s="2125"/>
      <c r="X239" s="2125"/>
      <c r="Y239" s="2125"/>
      <c r="Z239" s="765">
        <v>869</v>
      </c>
      <c r="AA239" s="2426">
        <v>869</v>
      </c>
      <c r="AB239" s="784">
        <v>869</v>
      </c>
      <c r="AC239" s="2125"/>
      <c r="AD239" s="2125"/>
      <c r="AE239" s="2125"/>
      <c r="AF239" s="2125"/>
      <c r="AG239" s="2125"/>
      <c r="BB239" s="647"/>
      <c r="BC239" s="658"/>
      <c r="BD239" s="757"/>
      <c r="BE239" s="659"/>
    </row>
    <row r="240" spans="1:57" s="64" customFormat="1" ht="14.45" customHeight="1" outlineLevel="1" x14ac:dyDescent="0.25">
      <c r="A240" s="1393"/>
      <c r="B240" s="157"/>
      <c r="C240" s="385"/>
      <c r="D240" s="3639"/>
      <c r="E240" s="3644"/>
      <c r="F240" s="3631" t="str">
        <f t="shared" si="49"/>
        <v>CAC - SEER 18 ROF: SF</v>
      </c>
      <c r="G240" s="3632"/>
      <c r="H240" s="3633"/>
      <c r="I240" s="784" t="str">
        <f t="shared" si="50"/>
        <v>351161_2020_02_</v>
      </c>
      <c r="J240" s="784">
        <v>869</v>
      </c>
      <c r="K240" s="2190"/>
      <c r="L240" s="3663"/>
      <c r="M240" s="157"/>
      <c r="N240" s="157"/>
      <c r="O240" s="194"/>
      <c r="P240" s="1753"/>
      <c r="Q240" s="2135"/>
      <c r="R240" s="2135"/>
      <c r="S240" s="2145"/>
      <c r="T240" s="194"/>
      <c r="U240" s="157"/>
      <c r="V240" s="3590"/>
      <c r="W240" s="2125"/>
      <c r="X240" s="2125"/>
      <c r="Y240" s="2125"/>
      <c r="Z240" s="765">
        <v>869</v>
      </c>
      <c r="AA240" s="2426">
        <v>869</v>
      </c>
      <c r="AB240" s="784">
        <v>869</v>
      </c>
      <c r="AC240" s="2125"/>
      <c r="AD240" s="2125"/>
      <c r="AE240" s="2125"/>
      <c r="AF240" s="2125"/>
      <c r="AG240" s="2125"/>
      <c r="BB240" s="647"/>
      <c r="BC240" s="658"/>
      <c r="BD240" s="757"/>
      <c r="BE240" s="659"/>
    </row>
    <row r="241" spans="1:57" s="64" customFormat="1" ht="14.45" customHeight="1" outlineLevel="1" x14ac:dyDescent="0.25">
      <c r="A241" s="1393"/>
      <c r="B241" s="157"/>
      <c r="C241" s="385"/>
      <c r="D241" s="3639"/>
      <c r="E241" s="3644"/>
      <c r="F241" s="3631" t="str">
        <f t="shared" si="49"/>
        <v>CAC - SEER 18 ER1: MF</v>
      </c>
      <c r="G241" s="3632"/>
      <c r="H241" s="3633"/>
      <c r="I241" s="784" t="str">
        <f t="shared" si="50"/>
        <v>351162_2020_02_</v>
      </c>
      <c r="J241" s="784">
        <v>869</v>
      </c>
      <c r="K241" s="2190"/>
      <c r="L241" s="3663"/>
      <c r="M241" s="157"/>
      <c r="N241" s="157"/>
      <c r="O241" s="194"/>
      <c r="P241" s="1753"/>
      <c r="Q241" s="2135"/>
      <c r="R241" s="2135"/>
      <c r="S241" s="2145"/>
      <c r="T241" s="194"/>
      <c r="U241" s="648"/>
      <c r="V241" s="3590"/>
      <c r="W241" s="2125"/>
      <c r="X241" s="765"/>
      <c r="Y241" s="765"/>
      <c r="Z241" s="765">
        <v>869</v>
      </c>
      <c r="AA241" s="2426">
        <v>869</v>
      </c>
      <c r="AB241" s="784">
        <v>869</v>
      </c>
      <c r="AC241" s="2125"/>
      <c r="AD241" s="2125"/>
      <c r="AE241" s="2125"/>
      <c r="AF241" s="2125"/>
      <c r="AG241" s="2125"/>
      <c r="BB241" s="647"/>
      <c r="BC241" s="658"/>
      <c r="BD241" s="757"/>
      <c r="BE241" s="659"/>
    </row>
    <row r="242" spans="1:57" s="64" customFormat="1" ht="14.45" customHeight="1" outlineLevel="1" x14ac:dyDescent="0.25">
      <c r="A242" s="1393"/>
      <c r="B242" s="157"/>
      <c r="C242" s="385"/>
      <c r="D242" s="3639"/>
      <c r="E242" s="3644"/>
      <c r="F242" s="3631" t="str">
        <f t="shared" si="49"/>
        <v>CAC - SEER 18 ER2: MF</v>
      </c>
      <c r="G242" s="3632"/>
      <c r="H242" s="3633"/>
      <c r="I242" s="784" t="str">
        <f t="shared" si="50"/>
        <v>351162_2020_02_</v>
      </c>
      <c r="J242" s="784">
        <v>869</v>
      </c>
      <c r="K242" s="2190"/>
      <c r="L242" s="3663"/>
      <c r="M242" s="157"/>
      <c r="N242" s="157"/>
      <c r="O242" s="194"/>
      <c r="P242" s="1753"/>
      <c r="Q242" s="2135"/>
      <c r="R242" s="2135"/>
      <c r="S242" s="1646"/>
      <c r="T242" s="1775"/>
      <c r="U242" s="648"/>
      <c r="V242" s="3590"/>
      <c r="W242" s="2125"/>
      <c r="X242" s="765"/>
      <c r="Y242" s="765"/>
      <c r="Z242" s="765">
        <v>869</v>
      </c>
      <c r="AA242" s="2426">
        <v>869</v>
      </c>
      <c r="AB242" s="784">
        <v>869</v>
      </c>
      <c r="AC242" s="2125"/>
      <c r="AD242" s="2125"/>
      <c r="AE242" s="2125"/>
      <c r="AF242" s="2125"/>
      <c r="AG242" s="2125"/>
      <c r="BB242" s="647"/>
      <c r="BC242" s="658"/>
      <c r="BD242" s="757"/>
      <c r="BE242" s="659"/>
    </row>
    <row r="243" spans="1:57" s="64" customFormat="1" ht="14.45" customHeight="1" outlineLevel="1" x14ac:dyDescent="0.25">
      <c r="A243" s="1393"/>
      <c r="B243" s="157"/>
      <c r="C243" s="385"/>
      <c r="D243" s="3639"/>
      <c r="E243" s="3644"/>
      <c r="F243" s="3631" t="str">
        <f t="shared" si="49"/>
        <v>CAC - SEER 18 ER1: MF_CompE</v>
      </c>
      <c r="G243" s="3632"/>
      <c r="H243" s="3633"/>
      <c r="I243" s="784" t="str">
        <f t="shared" si="50"/>
        <v>351163_2020_02_</v>
      </c>
      <c r="J243" s="784">
        <v>632</v>
      </c>
      <c r="K243" s="2190"/>
      <c r="L243" s="3663"/>
      <c r="M243" s="157"/>
      <c r="N243" s="157"/>
      <c r="O243" s="194"/>
      <c r="P243" s="1753"/>
      <c r="Q243" s="2135"/>
      <c r="R243" s="2135"/>
      <c r="S243" s="1646"/>
      <c r="T243" s="1775"/>
      <c r="U243" s="648"/>
      <c r="V243" s="3590"/>
      <c r="W243" s="2125"/>
      <c r="X243" s="765"/>
      <c r="Y243" s="765"/>
      <c r="Z243" s="765">
        <v>632</v>
      </c>
      <c r="AA243" s="2426">
        <v>632</v>
      </c>
      <c r="AB243" s="784">
        <v>632</v>
      </c>
      <c r="AC243" s="2125"/>
      <c r="AD243" s="2125"/>
      <c r="AE243" s="2125"/>
      <c r="AF243" s="2125"/>
      <c r="AG243" s="2125"/>
      <c r="BB243" s="647"/>
      <c r="BC243" s="658"/>
      <c r="BD243" s="757"/>
      <c r="BE243" s="659"/>
    </row>
    <row r="244" spans="1:57" s="64" customFormat="1" ht="14.45" customHeight="1" outlineLevel="1" x14ac:dyDescent="0.25">
      <c r="A244" s="1393"/>
      <c r="B244" s="157"/>
      <c r="C244" s="385"/>
      <c r="D244" s="3639"/>
      <c r="E244" s="3644"/>
      <c r="F244" s="3631" t="str">
        <f t="shared" si="49"/>
        <v>CAC - SEER 18 ER2: MF_CompE</v>
      </c>
      <c r="G244" s="3632"/>
      <c r="H244" s="3633"/>
      <c r="I244" s="784" t="str">
        <f t="shared" si="50"/>
        <v>351163_2020_02_</v>
      </c>
      <c r="J244" s="784">
        <f>$J$207</f>
        <v>632</v>
      </c>
      <c r="K244" s="2190"/>
      <c r="L244" s="3663"/>
      <c r="M244" s="157"/>
      <c r="N244" s="157"/>
      <c r="O244" s="194"/>
      <c r="P244" s="1753"/>
      <c r="Q244" s="2135"/>
      <c r="R244" s="2135"/>
      <c r="S244" s="1646"/>
      <c r="T244" s="1775"/>
      <c r="U244" s="157"/>
      <c r="V244" s="3590"/>
      <c r="W244" s="2125"/>
      <c r="X244" s="765"/>
      <c r="Y244" s="765"/>
      <c r="Z244" s="765">
        <v>632</v>
      </c>
      <c r="AA244" s="2426">
        <v>632</v>
      </c>
      <c r="AB244" s="784">
        <v>632</v>
      </c>
      <c r="AC244" s="2125"/>
      <c r="AD244" s="2125"/>
      <c r="AE244" s="2125"/>
      <c r="AF244" s="2125"/>
      <c r="AG244" s="2125"/>
      <c r="BB244" s="647"/>
      <c r="BC244" s="658"/>
      <c r="BD244" s="757"/>
      <c r="BE244" s="659"/>
    </row>
    <row r="245" spans="1:57" s="64" customFormat="1" ht="14.45" customHeight="1" outlineLevel="1" x14ac:dyDescent="0.25">
      <c r="A245" s="1393"/>
      <c r="B245" s="157"/>
      <c r="C245" s="385"/>
      <c r="D245" s="3639"/>
      <c r="E245" s="3644"/>
      <c r="F245" s="3631" t="str">
        <f t="shared" si="49"/>
        <v>CAC - SEER 18 ROF: MF</v>
      </c>
      <c r="G245" s="3632"/>
      <c r="H245" s="3633"/>
      <c r="I245" s="784" t="str">
        <f t="shared" si="50"/>
        <v>351164_2020_02_</v>
      </c>
      <c r="J245" s="784">
        <v>869</v>
      </c>
      <c r="K245" s="2190"/>
      <c r="L245" s="3663"/>
      <c r="M245" s="157"/>
      <c r="N245" s="157"/>
      <c r="O245" s="194"/>
      <c r="P245" s="1753"/>
      <c r="Q245" s="2135"/>
      <c r="R245" s="2135"/>
      <c r="S245" s="1646"/>
      <c r="T245" s="1775"/>
      <c r="U245" s="157"/>
      <c r="V245" s="3590"/>
      <c r="W245" s="2125"/>
      <c r="X245" s="765"/>
      <c r="Y245" s="2125"/>
      <c r="Z245" s="765">
        <v>869</v>
      </c>
      <c r="AA245" s="2426">
        <v>869</v>
      </c>
      <c r="AB245" s="784">
        <v>869</v>
      </c>
      <c r="AC245" s="2125"/>
      <c r="AD245" s="2125"/>
      <c r="AE245" s="2125"/>
      <c r="AF245" s="2125"/>
      <c r="AG245" s="2125"/>
      <c r="BB245" s="647"/>
      <c r="BC245" s="658"/>
      <c r="BD245" s="757"/>
      <c r="BE245" s="659"/>
    </row>
    <row r="246" spans="1:57" s="64" customFormat="1" ht="14.45" customHeight="1" outlineLevel="1" x14ac:dyDescent="0.25">
      <c r="A246" s="1393"/>
      <c r="B246" s="157"/>
      <c r="C246" s="385"/>
      <c r="D246" s="3639"/>
      <c r="E246" s="3644"/>
      <c r="F246" s="3631" t="str">
        <f t="shared" si="49"/>
        <v>CAC - SEER 18 ROF: MF_CompE</v>
      </c>
      <c r="G246" s="3632"/>
      <c r="H246" s="3633"/>
      <c r="I246" s="784" t="str">
        <f t="shared" si="50"/>
        <v>351165_2020_02_</v>
      </c>
      <c r="J246" s="784">
        <f>$J$207</f>
        <v>632</v>
      </c>
      <c r="K246" s="2190"/>
      <c r="L246" s="3663"/>
      <c r="M246" s="157"/>
      <c r="N246" s="157"/>
      <c r="O246" s="194"/>
      <c r="P246" s="1753"/>
      <c r="Q246" s="2135"/>
      <c r="R246" s="2135"/>
      <c r="S246" s="194"/>
      <c r="T246" s="194"/>
      <c r="U246" s="157"/>
      <c r="V246" s="3590"/>
      <c r="W246" s="2125"/>
      <c r="X246" s="765"/>
      <c r="Y246" s="765"/>
      <c r="Z246" s="765">
        <v>632</v>
      </c>
      <c r="AA246" s="2426">
        <v>632</v>
      </c>
      <c r="AB246" s="784">
        <v>632</v>
      </c>
      <c r="AC246" s="2125"/>
      <c r="AD246" s="2125"/>
      <c r="AE246" s="2125"/>
      <c r="AF246" s="2125"/>
      <c r="AG246" s="2125"/>
      <c r="BB246" s="647"/>
      <c r="BC246" s="658"/>
      <c r="BD246" s="757"/>
      <c r="BE246" s="659"/>
    </row>
    <row r="247" spans="1:57" s="64" customFormat="1" outlineLevel="1" x14ac:dyDescent="0.25">
      <c r="A247" s="1393"/>
      <c r="B247" s="157"/>
      <c r="C247" s="385"/>
      <c r="D247" s="3639"/>
      <c r="E247" s="3644"/>
      <c r="F247" s="3631" t="str">
        <f t="shared" si="49"/>
        <v>CAC - SEER 19 ER1: SF</v>
      </c>
      <c r="G247" s="3632"/>
      <c r="H247" s="3633"/>
      <c r="I247" s="784" t="str">
        <f t="shared" si="50"/>
        <v>351170_2020_02_</v>
      </c>
      <c r="J247" s="784">
        <v>869</v>
      </c>
      <c r="K247" s="2190"/>
      <c r="L247" s="3663"/>
      <c r="M247" s="157"/>
      <c r="N247" s="1746"/>
      <c r="O247" s="194"/>
      <c r="P247" s="2146"/>
      <c r="Q247" s="1737"/>
      <c r="R247" s="194"/>
      <c r="S247" s="194"/>
      <c r="T247" s="194"/>
      <c r="U247" s="157"/>
      <c r="V247" s="3590"/>
      <c r="W247" s="2125"/>
      <c r="X247" s="2125"/>
      <c r="Y247" s="2125"/>
      <c r="Z247" s="765">
        <v>869</v>
      </c>
      <c r="AA247" s="2426">
        <v>869</v>
      </c>
      <c r="AB247" s="784">
        <v>869</v>
      </c>
      <c r="AC247" s="2125"/>
      <c r="AD247" s="2125"/>
      <c r="AE247" s="2125"/>
      <c r="AF247" s="2125"/>
      <c r="AG247" s="2125"/>
      <c r="BB247" s="647"/>
      <c r="BC247" s="658"/>
      <c r="BD247" s="757"/>
      <c r="BE247" s="659"/>
    </row>
    <row r="248" spans="1:57" s="64" customFormat="1" ht="15" customHeight="1" outlineLevel="1" x14ac:dyDescent="0.25">
      <c r="A248" s="1393"/>
      <c r="B248" s="157"/>
      <c r="C248" s="385"/>
      <c r="D248" s="3639"/>
      <c r="E248" s="3644"/>
      <c r="F248" s="3631" t="str">
        <f t="shared" si="49"/>
        <v>CAC - SEER 19 ER2: SF</v>
      </c>
      <c r="G248" s="3632"/>
      <c r="H248" s="3633"/>
      <c r="I248" s="784" t="str">
        <f t="shared" si="50"/>
        <v>351170_2020_02_</v>
      </c>
      <c r="J248" s="784">
        <v>869</v>
      </c>
      <c r="K248" s="2190"/>
      <c r="L248" s="3663"/>
      <c r="M248" s="157"/>
      <c r="N248" s="1746"/>
      <c r="O248" s="194"/>
      <c r="P248" s="776"/>
      <c r="Q248" s="776"/>
      <c r="R248" s="776"/>
      <c r="S248" s="776"/>
      <c r="T248" s="194"/>
      <c r="U248" s="157"/>
      <c r="V248" s="3590"/>
      <c r="W248" s="2125"/>
      <c r="X248" s="2125"/>
      <c r="Y248" s="2125"/>
      <c r="Z248" s="765">
        <v>869</v>
      </c>
      <c r="AA248" s="2426">
        <v>869</v>
      </c>
      <c r="AB248" s="784">
        <v>869</v>
      </c>
      <c r="AC248" s="2125"/>
      <c r="AD248" s="2125"/>
      <c r="AE248" s="2125"/>
      <c r="AF248" s="2125"/>
      <c r="AG248" s="2125"/>
      <c r="BB248" s="647"/>
      <c r="BC248" s="658"/>
      <c r="BD248" s="757"/>
      <c r="BE248" s="659"/>
    </row>
    <row r="249" spans="1:57" s="64" customFormat="1" outlineLevel="1" x14ac:dyDescent="0.25">
      <c r="A249" s="1393"/>
      <c r="B249" s="157"/>
      <c r="C249" s="385"/>
      <c r="D249" s="3639"/>
      <c r="E249" s="3644"/>
      <c r="F249" s="3631" t="str">
        <f t="shared" si="49"/>
        <v>CAC - SEER 19 ROF: SF</v>
      </c>
      <c r="G249" s="3632"/>
      <c r="H249" s="3633"/>
      <c r="I249" s="784" t="str">
        <f t="shared" si="50"/>
        <v>351171_2020_02_</v>
      </c>
      <c r="J249" s="784">
        <v>869</v>
      </c>
      <c r="K249" s="2190"/>
      <c r="L249" s="3663"/>
      <c r="M249" s="157"/>
      <c r="N249" s="1746"/>
      <c r="O249" s="194"/>
      <c r="P249" s="3657"/>
      <c r="Q249" s="3658"/>
      <c r="R249" s="3658"/>
      <c r="S249" s="194"/>
      <c r="T249" s="194"/>
      <c r="U249" s="157"/>
      <c r="V249" s="3590"/>
      <c r="W249" s="2125"/>
      <c r="X249" s="2125"/>
      <c r="Y249" s="2125"/>
      <c r="Z249" s="765">
        <v>869</v>
      </c>
      <c r="AA249" s="2426">
        <v>869</v>
      </c>
      <c r="AB249" s="784">
        <v>869</v>
      </c>
      <c r="AC249" s="2125"/>
      <c r="AD249" s="2125"/>
      <c r="AE249" s="2125"/>
      <c r="AF249" s="2125"/>
      <c r="AG249" s="2125"/>
      <c r="BB249" s="647"/>
      <c r="BC249" s="658"/>
      <c r="BD249" s="757"/>
      <c r="BE249" s="659"/>
    </row>
    <row r="250" spans="1:57" s="64" customFormat="1" outlineLevel="1" x14ac:dyDescent="0.25">
      <c r="A250" s="1393"/>
      <c r="B250" s="157"/>
      <c r="C250" s="385"/>
      <c r="D250" s="3639"/>
      <c r="E250" s="3644"/>
      <c r="F250" s="3631" t="str">
        <f t="shared" si="49"/>
        <v>CAC - SEER 19 ER1: MF</v>
      </c>
      <c r="G250" s="3632"/>
      <c r="H250" s="3633"/>
      <c r="I250" s="784" t="str">
        <f t="shared" si="50"/>
        <v>351172_2020_02_</v>
      </c>
      <c r="J250" s="784">
        <v>869</v>
      </c>
      <c r="K250" s="2190"/>
      <c r="L250" s="3663"/>
      <c r="M250" s="157"/>
      <c r="N250" s="1746"/>
      <c r="O250" s="194"/>
      <c r="P250" s="2147"/>
      <c r="Q250" s="1737"/>
      <c r="R250" s="1737"/>
      <c r="S250" s="194"/>
      <c r="T250" s="194"/>
      <c r="U250" s="157"/>
      <c r="V250" s="3590"/>
      <c r="W250" s="2125"/>
      <c r="X250" s="765"/>
      <c r="Y250" s="765"/>
      <c r="Z250" s="765">
        <v>869</v>
      </c>
      <c r="AA250" s="2426">
        <v>869</v>
      </c>
      <c r="AB250" s="784">
        <v>869</v>
      </c>
      <c r="AC250" s="2125"/>
      <c r="AD250" s="2125"/>
      <c r="AE250" s="2125"/>
      <c r="AF250" s="2125"/>
      <c r="AG250" s="2125"/>
      <c r="BB250" s="647"/>
      <c r="BC250" s="658"/>
      <c r="BD250" s="757"/>
      <c r="BE250" s="659"/>
    </row>
    <row r="251" spans="1:57" s="64" customFormat="1" outlineLevel="1" x14ac:dyDescent="0.25">
      <c r="A251" s="1393"/>
      <c r="B251" s="157"/>
      <c r="C251" s="385"/>
      <c r="D251" s="3639"/>
      <c r="E251" s="3644"/>
      <c r="F251" s="3631" t="str">
        <f t="shared" si="49"/>
        <v>CAC - SEER 19 ER2: MF</v>
      </c>
      <c r="G251" s="3632"/>
      <c r="H251" s="3633"/>
      <c r="I251" s="784" t="str">
        <f t="shared" si="50"/>
        <v>351172_2020_02_</v>
      </c>
      <c r="J251" s="784">
        <v>869</v>
      </c>
      <c r="K251" s="2190"/>
      <c r="L251" s="3663"/>
      <c r="M251" s="157"/>
      <c r="N251" s="1746"/>
      <c r="O251" s="194"/>
      <c r="P251" s="2147"/>
      <c r="Q251" s="2148"/>
      <c r="R251" s="2148"/>
      <c r="S251" s="194"/>
      <c r="T251" s="2149"/>
      <c r="U251" s="157"/>
      <c r="V251" s="3590"/>
      <c r="W251" s="2125"/>
      <c r="X251" s="765"/>
      <c r="Y251" s="765"/>
      <c r="Z251" s="765">
        <v>869</v>
      </c>
      <c r="AA251" s="2426">
        <v>869</v>
      </c>
      <c r="AB251" s="784">
        <v>869</v>
      </c>
      <c r="AC251" s="2125"/>
      <c r="AD251" s="2125"/>
      <c r="AE251" s="2125"/>
      <c r="AF251" s="2125"/>
      <c r="AG251" s="2125"/>
      <c r="BB251" s="647"/>
      <c r="BC251" s="658"/>
      <c r="BD251" s="757"/>
      <c r="BE251" s="659"/>
    </row>
    <row r="252" spans="1:57" s="64" customFormat="1" outlineLevel="1" x14ac:dyDescent="0.25">
      <c r="A252" s="1393"/>
      <c r="B252" s="157"/>
      <c r="C252" s="385"/>
      <c r="D252" s="3639"/>
      <c r="E252" s="3644"/>
      <c r="F252" s="3631" t="str">
        <f t="shared" si="49"/>
        <v>CAC - SEER 19 ER1: MF_CompE</v>
      </c>
      <c r="G252" s="3632"/>
      <c r="H252" s="3633"/>
      <c r="I252" s="784" t="str">
        <f t="shared" si="50"/>
        <v>351173_2020_02_</v>
      </c>
      <c r="J252" s="784">
        <f>$J$207</f>
        <v>632</v>
      </c>
      <c r="K252" s="2190"/>
      <c r="L252" s="3663"/>
      <c r="M252" s="157"/>
      <c r="N252" s="1746"/>
      <c r="O252" s="194"/>
      <c r="P252" s="2147"/>
      <c r="Q252" s="194"/>
      <c r="R252" s="2150"/>
      <c r="S252" s="194"/>
      <c r="T252" s="194"/>
      <c r="U252" s="157"/>
      <c r="V252" s="3590"/>
      <c r="W252" s="2125"/>
      <c r="X252" s="765"/>
      <c r="Y252" s="765"/>
      <c r="Z252" s="765">
        <v>632</v>
      </c>
      <c r="AA252" s="2426">
        <v>632</v>
      </c>
      <c r="AB252" s="784">
        <v>632</v>
      </c>
      <c r="AC252" s="2125"/>
      <c r="AD252" s="2125"/>
      <c r="AE252" s="2125"/>
      <c r="AF252" s="2125"/>
      <c r="AG252" s="2125"/>
      <c r="BB252" s="647"/>
      <c r="BC252" s="658"/>
      <c r="BD252" s="757"/>
      <c r="BE252" s="659"/>
    </row>
    <row r="253" spans="1:57" s="64" customFormat="1" outlineLevel="1" x14ac:dyDescent="0.25">
      <c r="A253" s="1393"/>
      <c r="B253" s="157"/>
      <c r="C253" s="385"/>
      <c r="D253" s="3639"/>
      <c r="E253" s="3644"/>
      <c r="F253" s="3631" t="str">
        <f t="shared" si="49"/>
        <v>CAC - SEER 19 ER2: MF_CompE</v>
      </c>
      <c r="G253" s="3632"/>
      <c r="H253" s="3633"/>
      <c r="I253" s="784" t="str">
        <f t="shared" si="50"/>
        <v>351173_2020_02_</v>
      </c>
      <c r="J253" s="784">
        <f>$J$207</f>
        <v>632</v>
      </c>
      <c r="K253" s="2190"/>
      <c r="L253" s="3663"/>
      <c r="M253" s="157"/>
      <c r="N253" s="1746"/>
      <c r="O253" s="194"/>
      <c r="P253" s="2151"/>
      <c r="Q253" s="194"/>
      <c r="R253" s="2150"/>
      <c r="S253" s="194"/>
      <c r="T253" s="194"/>
      <c r="U253" s="157"/>
      <c r="V253" s="3590"/>
      <c r="W253" s="2125"/>
      <c r="X253" s="765"/>
      <c r="Y253" s="765"/>
      <c r="Z253" s="765">
        <v>632</v>
      </c>
      <c r="AA253" s="2426">
        <v>632</v>
      </c>
      <c r="AB253" s="784">
        <v>632</v>
      </c>
      <c r="AC253" s="2125"/>
      <c r="AD253" s="2125"/>
      <c r="AE253" s="2125"/>
      <c r="AF253" s="2125"/>
      <c r="AG253" s="2125"/>
      <c r="BB253" s="647"/>
      <c r="BC253" s="658"/>
      <c r="BD253" s="757"/>
      <c r="BE253" s="659"/>
    </row>
    <row r="254" spans="1:57" s="64" customFormat="1" outlineLevel="1" x14ac:dyDescent="0.25">
      <c r="A254" s="1393"/>
      <c r="B254" s="157"/>
      <c r="C254" s="385"/>
      <c r="D254" s="3639"/>
      <c r="E254" s="3644"/>
      <c r="F254" s="3631" t="str">
        <f t="shared" si="49"/>
        <v>CAC - SEER 19 ROF: MF</v>
      </c>
      <c r="G254" s="3632"/>
      <c r="H254" s="3633"/>
      <c r="I254" s="784" t="str">
        <f t="shared" si="50"/>
        <v>351174_2020_02_</v>
      </c>
      <c r="J254" s="784">
        <v>869</v>
      </c>
      <c r="K254" s="2190"/>
      <c r="L254" s="3663"/>
      <c r="M254" s="157"/>
      <c r="N254" s="1746"/>
      <c r="O254" s="194"/>
      <c r="P254" s="758"/>
      <c r="Q254" s="194"/>
      <c r="R254" s="194"/>
      <c r="S254" s="194"/>
      <c r="T254" s="194"/>
      <c r="U254" s="157"/>
      <c r="V254" s="3590"/>
      <c r="W254" s="2125"/>
      <c r="X254" s="765"/>
      <c r="Y254" s="765"/>
      <c r="Z254" s="765">
        <v>869</v>
      </c>
      <c r="AA254" s="2426">
        <v>869</v>
      </c>
      <c r="AB254" s="784">
        <v>869</v>
      </c>
      <c r="AC254" s="2125"/>
      <c r="AD254" s="2125"/>
      <c r="AE254" s="2125"/>
      <c r="AF254" s="2125"/>
      <c r="AG254" s="2125"/>
      <c r="BB254" s="647"/>
      <c r="BC254" s="658"/>
      <c r="BD254" s="757"/>
      <c r="BE254" s="659"/>
    </row>
    <row r="255" spans="1:57" s="64" customFormat="1" outlineLevel="1" x14ac:dyDescent="0.25">
      <c r="A255" s="1393"/>
      <c r="B255" s="157"/>
      <c r="C255" s="385"/>
      <c r="D255" s="3639"/>
      <c r="E255" s="3644"/>
      <c r="F255" s="3631" t="str">
        <f t="shared" si="49"/>
        <v>CAC - SEER 19 ROF: MF_CompE</v>
      </c>
      <c r="G255" s="3632"/>
      <c r="H255" s="3633"/>
      <c r="I255" s="784" t="str">
        <f t="shared" si="50"/>
        <v>351175_2020_02_</v>
      </c>
      <c r="J255" s="784">
        <f>$J$207</f>
        <v>632</v>
      </c>
      <c r="K255" s="2190"/>
      <c r="L255" s="3663"/>
      <c r="M255" s="157"/>
      <c r="N255" s="1746"/>
      <c r="O255" s="2152"/>
      <c r="P255" s="938"/>
      <c r="Q255" s="194"/>
      <c r="R255" s="194"/>
      <c r="S255" s="194"/>
      <c r="T255" s="194"/>
      <c r="U255" s="157"/>
      <c r="V255" s="3590"/>
      <c r="W255" s="2125"/>
      <c r="X255" s="765"/>
      <c r="Y255" s="2125"/>
      <c r="Z255" s="765">
        <v>632</v>
      </c>
      <c r="AA255" s="2426">
        <v>632</v>
      </c>
      <c r="AB255" s="784">
        <v>632</v>
      </c>
      <c r="AC255" s="2125"/>
      <c r="AD255" s="2125"/>
      <c r="AE255" s="2125"/>
      <c r="AF255" s="2125"/>
      <c r="AG255" s="2125"/>
      <c r="BB255" s="647"/>
      <c r="BC255" s="658"/>
      <c r="BD255" s="757"/>
      <c r="BE255" s="659"/>
    </row>
    <row r="256" spans="1:57" s="64" customFormat="1" outlineLevel="1" x14ac:dyDescent="0.25">
      <c r="A256" s="1393"/>
      <c r="B256" s="157"/>
      <c r="C256" s="385"/>
      <c r="D256" s="3639"/>
      <c r="E256" s="3644"/>
      <c r="F256" s="3631" t="str">
        <f t="shared" si="49"/>
        <v>CAC - SEER 20 ER1: SF</v>
      </c>
      <c r="G256" s="3632"/>
      <c r="H256" s="3633"/>
      <c r="I256" s="784" t="str">
        <f t="shared" si="50"/>
        <v>351180_2020_02_</v>
      </c>
      <c r="J256" s="784">
        <v>869</v>
      </c>
      <c r="K256" s="2190"/>
      <c r="L256" s="3663"/>
      <c r="M256" s="157"/>
      <c r="N256" s="1746"/>
      <c r="O256" s="194"/>
      <c r="P256" s="194"/>
      <c r="Q256" s="194"/>
      <c r="R256" s="194"/>
      <c r="S256" s="194"/>
      <c r="T256" s="194"/>
      <c r="U256" s="157"/>
      <c r="V256" s="3590"/>
      <c r="W256" s="2125"/>
      <c r="X256" s="2125"/>
      <c r="Y256" s="2125"/>
      <c r="Z256" s="765">
        <v>869</v>
      </c>
      <c r="AA256" s="2426">
        <v>869</v>
      </c>
      <c r="AB256" s="784">
        <v>869</v>
      </c>
      <c r="AC256" s="2125"/>
      <c r="AD256" s="2125"/>
      <c r="AE256" s="2125"/>
      <c r="AF256" s="2125"/>
      <c r="AG256" s="2125"/>
      <c r="BB256" s="647"/>
      <c r="BC256" s="658"/>
      <c r="BD256" s="757"/>
      <c r="BE256" s="659"/>
    </row>
    <row r="257" spans="1:57" s="64" customFormat="1" outlineLevel="1" x14ac:dyDescent="0.25">
      <c r="A257" s="1393"/>
      <c r="B257" s="157"/>
      <c r="C257" s="385"/>
      <c r="D257" s="3639"/>
      <c r="E257" s="3644"/>
      <c r="F257" s="3631" t="str">
        <f t="shared" si="49"/>
        <v>CAC - SEER 20 ER2: SF</v>
      </c>
      <c r="G257" s="3632"/>
      <c r="H257" s="3633"/>
      <c r="I257" s="784" t="str">
        <f t="shared" si="50"/>
        <v>351180_2020_02_</v>
      </c>
      <c r="J257" s="784">
        <v>869</v>
      </c>
      <c r="K257" s="2190"/>
      <c r="L257" s="3663"/>
      <c r="M257" s="157"/>
      <c r="N257" s="1746"/>
      <c r="O257" s="194"/>
      <c r="P257" s="194"/>
      <c r="Q257" s="194"/>
      <c r="R257" s="194"/>
      <c r="S257" s="194"/>
      <c r="T257" s="194"/>
      <c r="U257" s="157"/>
      <c r="V257" s="3590"/>
      <c r="W257" s="2125"/>
      <c r="X257" s="2125"/>
      <c r="Y257" s="2125"/>
      <c r="Z257" s="765">
        <v>869</v>
      </c>
      <c r="AA257" s="2426">
        <v>869</v>
      </c>
      <c r="AB257" s="784">
        <v>869</v>
      </c>
      <c r="AC257" s="2125"/>
      <c r="AD257" s="2125"/>
      <c r="AE257" s="2125"/>
      <c r="AF257" s="2125"/>
      <c r="AG257" s="2125"/>
      <c r="BB257" s="647"/>
      <c r="BC257" s="658"/>
      <c r="BD257" s="757"/>
      <c r="BE257" s="659"/>
    </row>
    <row r="258" spans="1:57" s="64" customFormat="1" outlineLevel="1" x14ac:dyDescent="0.25">
      <c r="A258" s="1393"/>
      <c r="B258" s="157"/>
      <c r="C258" s="385"/>
      <c r="D258" s="3639"/>
      <c r="E258" s="3644"/>
      <c r="F258" s="3631" t="str">
        <f t="shared" si="49"/>
        <v>CAC - SEER 20 ROF: SF</v>
      </c>
      <c r="G258" s="3632"/>
      <c r="H258" s="3633"/>
      <c r="I258" s="784" t="str">
        <f t="shared" si="50"/>
        <v>351181_2020_02_</v>
      </c>
      <c r="J258" s="784">
        <v>869</v>
      </c>
      <c r="K258" s="2190"/>
      <c r="L258" s="3663"/>
      <c r="M258" s="157"/>
      <c r="N258" s="1746"/>
      <c r="O258" s="194"/>
      <c r="P258" s="194"/>
      <c r="Q258" s="194"/>
      <c r="R258" s="194"/>
      <c r="S258" s="194"/>
      <c r="T258" s="194"/>
      <c r="U258" s="157"/>
      <c r="V258" s="3590"/>
      <c r="W258" s="2125"/>
      <c r="X258" s="2125"/>
      <c r="Y258" s="2125"/>
      <c r="Z258" s="765">
        <v>869</v>
      </c>
      <c r="AA258" s="2426">
        <v>869</v>
      </c>
      <c r="AB258" s="784">
        <v>869</v>
      </c>
      <c r="AC258" s="2125"/>
      <c r="AD258" s="2125"/>
      <c r="AE258" s="2125"/>
      <c r="AF258" s="2125"/>
      <c r="AG258" s="2125"/>
      <c r="BB258" s="647"/>
      <c r="BC258" s="658"/>
      <c r="BD258" s="757"/>
      <c r="BE258" s="659"/>
    </row>
    <row r="259" spans="1:57" s="64" customFormat="1" ht="15" customHeight="1" outlineLevel="1" x14ac:dyDescent="0.25">
      <c r="A259" s="1393"/>
      <c r="B259" s="157"/>
      <c r="C259" s="385"/>
      <c r="D259" s="3639"/>
      <c r="E259" s="3644"/>
      <c r="F259" s="3631" t="str">
        <f t="shared" si="49"/>
        <v>CAC - SEER 20 ER1: MF</v>
      </c>
      <c r="G259" s="3632"/>
      <c r="H259" s="3633"/>
      <c r="I259" s="784" t="str">
        <f t="shared" si="50"/>
        <v>351182_2020_02_</v>
      </c>
      <c r="J259" s="784">
        <v>869</v>
      </c>
      <c r="K259" s="2190"/>
      <c r="L259" s="3663"/>
      <c r="M259" s="157"/>
      <c r="N259" s="1746"/>
      <c r="O259" s="157"/>
      <c r="P259" s="157"/>
      <c r="Q259" s="157"/>
      <c r="R259" s="157"/>
      <c r="S259" s="157"/>
      <c r="T259" s="157"/>
      <c r="U259" s="157"/>
      <c r="V259" s="3590"/>
      <c r="W259" s="2125"/>
      <c r="X259" s="765"/>
      <c r="Y259" s="765"/>
      <c r="Z259" s="765">
        <v>869</v>
      </c>
      <c r="AA259" s="2426">
        <v>869</v>
      </c>
      <c r="AB259" s="784">
        <v>869</v>
      </c>
      <c r="AC259" s="2125"/>
      <c r="AD259" s="2125"/>
      <c r="AE259" s="2125"/>
      <c r="AF259" s="2125"/>
      <c r="AG259" s="2125"/>
      <c r="BB259" s="647"/>
      <c r="BC259" s="658"/>
      <c r="BD259" s="757"/>
      <c r="BE259" s="659"/>
    </row>
    <row r="260" spans="1:57" s="64" customFormat="1" outlineLevel="1" x14ac:dyDescent="0.25">
      <c r="A260" s="1393"/>
      <c r="B260" s="157"/>
      <c r="C260" s="385"/>
      <c r="D260" s="3639"/>
      <c r="E260" s="3644"/>
      <c r="F260" s="3631" t="str">
        <f t="shared" si="49"/>
        <v>CAC - SEER 20 ER2: MF</v>
      </c>
      <c r="G260" s="3632"/>
      <c r="H260" s="3633"/>
      <c r="I260" s="784" t="str">
        <f t="shared" si="50"/>
        <v>351182_2020_02_</v>
      </c>
      <c r="J260" s="784">
        <v>869</v>
      </c>
      <c r="K260" s="2190"/>
      <c r="L260" s="3663"/>
      <c r="M260" s="157"/>
      <c r="N260" s="1746"/>
      <c r="O260" s="157"/>
      <c r="P260" s="157"/>
      <c r="Q260" s="157"/>
      <c r="R260" s="157"/>
      <c r="S260" s="157"/>
      <c r="T260" s="157"/>
      <c r="U260" s="157"/>
      <c r="V260" s="3590"/>
      <c r="W260" s="2125"/>
      <c r="X260" s="765"/>
      <c r="Y260" s="765"/>
      <c r="Z260" s="765">
        <v>869</v>
      </c>
      <c r="AA260" s="2426">
        <v>869</v>
      </c>
      <c r="AB260" s="784">
        <v>869</v>
      </c>
      <c r="AC260" s="2125"/>
      <c r="AD260" s="2125"/>
      <c r="AE260" s="2125"/>
      <c r="AF260" s="2125"/>
      <c r="AG260" s="2125"/>
      <c r="BB260" s="647"/>
      <c r="BC260" s="658"/>
      <c r="BD260" s="757"/>
      <c r="BE260" s="659"/>
    </row>
    <row r="261" spans="1:57" s="64" customFormat="1" outlineLevel="1" x14ac:dyDescent="0.25">
      <c r="A261" s="1393"/>
      <c r="B261" s="157"/>
      <c r="C261" s="385"/>
      <c r="D261" s="3639"/>
      <c r="E261" s="3644"/>
      <c r="F261" s="3631" t="str">
        <f t="shared" si="49"/>
        <v>CAC - SEER 20 ER1: MF_CompE</v>
      </c>
      <c r="G261" s="3632"/>
      <c r="H261" s="3633"/>
      <c r="I261" s="784" t="str">
        <f t="shared" si="50"/>
        <v>351183_2020_02_</v>
      </c>
      <c r="J261" s="784">
        <f>$J$207</f>
        <v>632</v>
      </c>
      <c r="K261" s="2190"/>
      <c r="L261" s="3663"/>
      <c r="M261" s="157"/>
      <c r="N261" s="1746"/>
      <c r="O261" s="157"/>
      <c r="P261" s="157"/>
      <c r="Q261" s="157"/>
      <c r="R261" s="157"/>
      <c r="S261" s="157"/>
      <c r="T261" s="157"/>
      <c r="U261" s="157"/>
      <c r="V261" s="3590"/>
      <c r="W261" s="2125"/>
      <c r="X261" s="765"/>
      <c r="Y261" s="765"/>
      <c r="Z261" s="765">
        <v>632</v>
      </c>
      <c r="AA261" s="2426">
        <v>632</v>
      </c>
      <c r="AB261" s="784">
        <v>632</v>
      </c>
      <c r="AC261" s="2125"/>
      <c r="AD261" s="2125"/>
      <c r="AE261" s="2125"/>
      <c r="AF261" s="2125"/>
      <c r="AG261" s="2125"/>
      <c r="BB261" s="647"/>
      <c r="BC261" s="658"/>
      <c r="BD261" s="757"/>
      <c r="BE261" s="659"/>
    </row>
    <row r="262" spans="1:57" s="64" customFormat="1" outlineLevel="1" x14ac:dyDescent="0.25">
      <c r="A262" s="1393"/>
      <c r="B262" s="157"/>
      <c r="C262" s="385"/>
      <c r="D262" s="3639"/>
      <c r="E262" s="3644"/>
      <c r="F262" s="3631" t="str">
        <f t="shared" si="49"/>
        <v>CAC - SEER 20 ER2: MF_CompE</v>
      </c>
      <c r="G262" s="3632"/>
      <c r="H262" s="3633"/>
      <c r="I262" s="784" t="str">
        <f t="shared" si="50"/>
        <v>351183_2020_02_</v>
      </c>
      <c r="J262" s="784">
        <f>$J$207</f>
        <v>632</v>
      </c>
      <c r="K262" s="2190"/>
      <c r="L262" s="3663"/>
      <c r="M262" s="157"/>
      <c r="N262" s="1746"/>
      <c r="O262" s="157"/>
      <c r="P262" s="157"/>
      <c r="Q262" s="157"/>
      <c r="R262" s="157"/>
      <c r="S262" s="157"/>
      <c r="T262" s="157"/>
      <c r="U262" s="157"/>
      <c r="V262" s="3590"/>
      <c r="W262" s="2125"/>
      <c r="X262" s="765"/>
      <c r="Y262" s="765"/>
      <c r="Z262" s="765">
        <v>632</v>
      </c>
      <c r="AA262" s="2426">
        <v>632</v>
      </c>
      <c r="AB262" s="784">
        <v>632</v>
      </c>
      <c r="AC262" s="2125"/>
      <c r="AD262" s="2125"/>
      <c r="AE262" s="2125"/>
      <c r="AF262" s="2125"/>
      <c r="AG262" s="2125"/>
      <c r="BB262" s="647"/>
      <c r="BC262" s="658"/>
      <c r="BD262" s="757"/>
      <c r="BE262" s="659"/>
    </row>
    <row r="263" spans="1:57" s="64" customFormat="1" outlineLevel="1" x14ac:dyDescent="0.25">
      <c r="A263" s="1393"/>
      <c r="B263" s="157"/>
      <c r="C263" s="385"/>
      <c r="D263" s="3639"/>
      <c r="E263" s="3644"/>
      <c r="F263" s="3631" t="str">
        <f t="shared" si="49"/>
        <v>CAC - SEER 20 ROF: MF</v>
      </c>
      <c r="G263" s="3632"/>
      <c r="H263" s="3633"/>
      <c r="I263" s="784" t="str">
        <f t="shared" si="50"/>
        <v>351184_2020_02_</v>
      </c>
      <c r="J263" s="784">
        <v>869</v>
      </c>
      <c r="K263" s="2190"/>
      <c r="L263" s="3663"/>
      <c r="M263" s="157"/>
      <c r="N263" s="1746"/>
      <c r="O263" s="157"/>
      <c r="P263" s="157"/>
      <c r="Q263" s="157"/>
      <c r="R263" s="157"/>
      <c r="S263" s="157"/>
      <c r="T263" s="157"/>
      <c r="U263" s="157"/>
      <c r="V263" s="3590"/>
      <c r="W263" s="2125"/>
      <c r="X263" s="765"/>
      <c r="Y263" s="2125"/>
      <c r="Z263" s="765">
        <v>869</v>
      </c>
      <c r="AA263" s="2426">
        <v>869</v>
      </c>
      <c r="AB263" s="784">
        <v>869</v>
      </c>
      <c r="AC263" s="2125"/>
      <c r="AD263" s="2125"/>
      <c r="AE263" s="2125"/>
      <c r="AF263" s="2125"/>
      <c r="AG263" s="2125"/>
      <c r="BB263" s="647"/>
      <c r="BC263" s="658"/>
      <c r="BD263" s="757"/>
      <c r="BE263" s="659"/>
    </row>
    <row r="264" spans="1:57" s="64" customFormat="1" outlineLevel="1" x14ac:dyDescent="0.25">
      <c r="A264" s="1393"/>
      <c r="B264" s="157"/>
      <c r="C264" s="385"/>
      <c r="D264" s="3639"/>
      <c r="E264" s="3644"/>
      <c r="F264" s="3631" t="str">
        <f t="shared" si="49"/>
        <v>CAC - SEER 20 ROF: MF_CompE</v>
      </c>
      <c r="G264" s="3632"/>
      <c r="H264" s="3633"/>
      <c r="I264" s="784" t="str">
        <f t="shared" si="50"/>
        <v>351185_2020_02_</v>
      </c>
      <c r="J264" s="784">
        <f>$J$207</f>
        <v>632</v>
      </c>
      <c r="K264" s="2190"/>
      <c r="L264" s="3663"/>
      <c r="M264" s="157"/>
      <c r="N264" s="1746"/>
      <c r="O264" s="157"/>
      <c r="P264" s="157"/>
      <c r="Q264" s="157"/>
      <c r="R264" s="157"/>
      <c r="S264" s="157"/>
      <c r="T264" s="157"/>
      <c r="U264" s="157"/>
      <c r="V264" s="3590"/>
      <c r="W264" s="2125"/>
      <c r="X264" s="765"/>
      <c r="Y264" s="765"/>
      <c r="Z264" s="765">
        <v>632</v>
      </c>
      <c r="AA264" s="2426">
        <v>632</v>
      </c>
      <c r="AB264" s="784">
        <v>632</v>
      </c>
      <c r="AC264" s="2125"/>
      <c r="AD264" s="2125"/>
      <c r="AE264" s="2125"/>
      <c r="AF264" s="2125"/>
      <c r="AG264" s="2125"/>
      <c r="BB264" s="647"/>
      <c r="BC264" s="658"/>
      <c r="BD264" s="757"/>
      <c r="BE264" s="659"/>
    </row>
    <row r="265" spans="1:57" s="64" customFormat="1" outlineLevel="1" x14ac:dyDescent="0.25">
      <c r="A265" s="1393"/>
      <c r="B265" s="157"/>
      <c r="C265" s="385"/>
      <c r="D265" s="3639"/>
      <c r="E265" s="3644"/>
      <c r="F265" s="3631" t="str">
        <f t="shared" si="49"/>
        <v>CAC - SEER 21+ ER1: SF</v>
      </c>
      <c r="G265" s="3632"/>
      <c r="H265" s="3633"/>
      <c r="I265" s="784" t="str">
        <f t="shared" si="50"/>
        <v>351190_2020_02_</v>
      </c>
      <c r="J265" s="784">
        <v>869</v>
      </c>
      <c r="K265" s="2190"/>
      <c r="L265" s="3663"/>
      <c r="M265" s="157"/>
      <c r="N265" s="1746"/>
      <c r="O265" s="157"/>
      <c r="P265" s="157"/>
      <c r="Q265" s="157"/>
      <c r="R265" s="157"/>
      <c r="S265" s="157"/>
      <c r="T265" s="157"/>
      <c r="U265" s="157"/>
      <c r="V265" s="3590"/>
      <c r="W265" s="2125"/>
      <c r="X265" s="2125"/>
      <c r="Y265" s="2125"/>
      <c r="Z265" s="765">
        <v>869</v>
      </c>
      <c r="AA265" s="2426">
        <v>869</v>
      </c>
      <c r="AB265" s="784">
        <v>869</v>
      </c>
      <c r="AC265" s="2125"/>
      <c r="AD265" s="2125"/>
      <c r="AE265" s="2125"/>
      <c r="AF265" s="2125"/>
      <c r="AG265" s="2125"/>
      <c r="BB265" s="647"/>
      <c r="BC265" s="658"/>
      <c r="BD265" s="757"/>
      <c r="BE265" s="659"/>
    </row>
    <row r="266" spans="1:57" s="64" customFormat="1" outlineLevel="1" x14ac:dyDescent="0.25">
      <c r="A266" s="1393"/>
      <c r="B266" s="157"/>
      <c r="C266" s="385"/>
      <c r="D266" s="3639"/>
      <c r="E266" s="3644"/>
      <c r="F266" s="3631" t="str">
        <f t="shared" si="49"/>
        <v>CAC - SEER 21+ ER2: SF</v>
      </c>
      <c r="G266" s="3632"/>
      <c r="H266" s="3633"/>
      <c r="I266" s="784" t="str">
        <f t="shared" si="50"/>
        <v>351190_2020_02_</v>
      </c>
      <c r="J266" s="784">
        <v>869</v>
      </c>
      <c r="K266" s="2190"/>
      <c r="L266" s="3663"/>
      <c r="M266" s="157"/>
      <c r="N266" s="1746"/>
      <c r="O266" s="157"/>
      <c r="P266" s="157"/>
      <c r="Q266" s="157"/>
      <c r="R266" s="157"/>
      <c r="S266" s="157"/>
      <c r="T266" s="157"/>
      <c r="U266" s="157"/>
      <c r="V266" s="3590"/>
      <c r="W266" s="2125"/>
      <c r="X266" s="2125"/>
      <c r="Y266" s="2125"/>
      <c r="Z266" s="765">
        <v>869</v>
      </c>
      <c r="AA266" s="2426">
        <v>869</v>
      </c>
      <c r="AB266" s="784">
        <v>869</v>
      </c>
      <c r="AC266" s="2125"/>
      <c r="AD266" s="2125"/>
      <c r="AE266" s="2125"/>
      <c r="AF266" s="2125"/>
      <c r="AG266" s="2125"/>
      <c r="BB266" s="647"/>
      <c r="BC266" s="658"/>
      <c r="BD266" s="757"/>
      <c r="BE266" s="659"/>
    </row>
    <row r="267" spans="1:57" s="64" customFormat="1" outlineLevel="1" x14ac:dyDescent="0.25">
      <c r="A267" s="1393"/>
      <c r="B267" s="157"/>
      <c r="C267" s="385"/>
      <c r="D267" s="3639"/>
      <c r="E267" s="3644"/>
      <c r="F267" s="3631" t="str">
        <f t="shared" si="49"/>
        <v>CAC - SEER 21+ ROF: SF</v>
      </c>
      <c r="G267" s="3632"/>
      <c r="H267" s="3633"/>
      <c r="I267" s="784" t="str">
        <f t="shared" si="50"/>
        <v>351191_2020_02_</v>
      </c>
      <c r="J267" s="784">
        <v>869</v>
      </c>
      <c r="K267" s="2190"/>
      <c r="L267" s="3663"/>
      <c r="M267" s="157"/>
      <c r="N267" s="1746"/>
      <c r="O267" s="157"/>
      <c r="P267" s="157"/>
      <c r="Q267" s="157"/>
      <c r="R267" s="157"/>
      <c r="S267" s="157"/>
      <c r="T267" s="157"/>
      <c r="U267" s="157"/>
      <c r="V267" s="3590"/>
      <c r="W267" s="2125"/>
      <c r="X267" s="2125"/>
      <c r="Y267" s="2125"/>
      <c r="Z267" s="765">
        <v>869</v>
      </c>
      <c r="AA267" s="2426">
        <v>869</v>
      </c>
      <c r="AB267" s="784">
        <v>869</v>
      </c>
      <c r="AC267" s="2125"/>
      <c r="AD267" s="2125"/>
      <c r="AE267" s="2125"/>
      <c r="AF267" s="2125"/>
      <c r="AG267" s="2125"/>
      <c r="BB267" s="647"/>
      <c r="BC267" s="658"/>
      <c r="BD267" s="757"/>
      <c r="BE267" s="659"/>
    </row>
    <row r="268" spans="1:57" s="64" customFormat="1" outlineLevel="1" x14ac:dyDescent="0.25">
      <c r="A268" s="1393"/>
      <c r="B268" s="157"/>
      <c r="C268" s="385"/>
      <c r="D268" s="3639"/>
      <c r="E268" s="3644"/>
      <c r="F268" s="3631" t="str">
        <f t="shared" si="49"/>
        <v>CAC - SEER 21+ ER1: MF</v>
      </c>
      <c r="G268" s="3632"/>
      <c r="H268" s="3633"/>
      <c r="I268" s="784" t="str">
        <f t="shared" si="50"/>
        <v>351192_2020_02_</v>
      </c>
      <c r="J268" s="784">
        <v>869</v>
      </c>
      <c r="K268" s="2190"/>
      <c r="L268" s="3663"/>
      <c r="M268" s="157"/>
      <c r="N268" s="1746"/>
      <c r="O268" s="157"/>
      <c r="P268" s="157"/>
      <c r="Q268" s="157"/>
      <c r="R268" s="157"/>
      <c r="S268" s="157"/>
      <c r="T268" s="157"/>
      <c r="U268" s="157"/>
      <c r="V268" s="3590"/>
      <c r="W268" s="2125"/>
      <c r="X268" s="2125"/>
      <c r="Y268" s="2125"/>
      <c r="Z268" s="765">
        <v>869</v>
      </c>
      <c r="AA268" s="2426">
        <v>869</v>
      </c>
      <c r="AB268" s="784">
        <v>869</v>
      </c>
      <c r="AC268" s="2125"/>
      <c r="AD268" s="2125"/>
      <c r="AE268" s="2125"/>
      <c r="AF268" s="2125"/>
      <c r="AG268" s="2125"/>
      <c r="BB268" s="647"/>
      <c r="BC268" s="658"/>
      <c r="BD268" s="757"/>
      <c r="BE268" s="659"/>
    </row>
    <row r="269" spans="1:57" s="64" customFormat="1" ht="14.45" customHeight="1" outlineLevel="1" x14ac:dyDescent="0.25">
      <c r="A269" s="1393"/>
      <c r="B269" s="157"/>
      <c r="C269" s="385"/>
      <c r="D269" s="3639"/>
      <c r="E269" s="3644"/>
      <c r="F269" s="3631" t="str">
        <f t="shared" si="49"/>
        <v>CAC - SEER 21+ ER2: MF</v>
      </c>
      <c r="G269" s="3632"/>
      <c r="H269" s="3633"/>
      <c r="I269" s="784" t="str">
        <f t="shared" si="50"/>
        <v>351192_2020_02_</v>
      </c>
      <c r="J269" s="784">
        <v>869</v>
      </c>
      <c r="K269" s="2190"/>
      <c r="L269" s="3663"/>
      <c r="M269" s="157"/>
      <c r="N269" s="1746"/>
      <c r="O269" s="157"/>
      <c r="P269" s="157"/>
      <c r="Q269" s="157"/>
      <c r="R269" s="157"/>
      <c r="S269" s="157"/>
      <c r="T269" s="157"/>
      <c r="U269" s="157"/>
      <c r="V269" s="3590"/>
      <c r="W269" s="2125"/>
      <c r="X269" s="2125"/>
      <c r="Y269" s="2125"/>
      <c r="Z269" s="765">
        <v>869</v>
      </c>
      <c r="AA269" s="2426">
        <v>869</v>
      </c>
      <c r="AB269" s="784">
        <v>869</v>
      </c>
      <c r="AC269" s="2125"/>
      <c r="AD269" s="2125"/>
      <c r="AE269" s="2125"/>
      <c r="AF269" s="2125"/>
      <c r="AG269" s="2125"/>
      <c r="BB269" s="647"/>
      <c r="BC269" s="658"/>
      <c r="BD269" s="757"/>
      <c r="BE269" s="659"/>
    </row>
    <row r="270" spans="1:57" s="64" customFormat="1" ht="14.45" customHeight="1" outlineLevel="1" x14ac:dyDescent="0.25">
      <c r="A270" s="1393"/>
      <c r="B270" s="157"/>
      <c r="C270" s="385"/>
      <c r="D270" s="3639"/>
      <c r="E270" s="3644"/>
      <c r="F270" s="3631" t="str">
        <f t="shared" si="49"/>
        <v>CAC - SEER 21+ ER1: MF_CompE</v>
      </c>
      <c r="G270" s="3632"/>
      <c r="H270" s="3633"/>
      <c r="I270" s="784" t="str">
        <f t="shared" si="50"/>
        <v>351193_2020_02_</v>
      </c>
      <c r="J270" s="784">
        <f>$J$207</f>
        <v>632</v>
      </c>
      <c r="K270" s="2192"/>
      <c r="L270" s="3663"/>
      <c r="M270" s="157"/>
      <c r="N270" s="1746"/>
      <c r="O270" s="157"/>
      <c r="P270" s="157"/>
      <c r="Q270" s="157"/>
      <c r="R270" s="157"/>
      <c r="S270" s="157"/>
      <c r="T270" s="157"/>
      <c r="U270" s="157"/>
      <c r="V270" s="3590"/>
      <c r="W270" s="778"/>
      <c r="X270" s="778"/>
      <c r="Y270" s="777"/>
      <c r="Z270" s="777">
        <v>632</v>
      </c>
      <c r="AA270" s="778">
        <v>632</v>
      </c>
      <c r="AB270" s="784">
        <v>632</v>
      </c>
      <c r="AC270" s="778"/>
      <c r="AD270" s="778"/>
      <c r="AE270" s="778"/>
      <c r="AF270" s="778"/>
      <c r="AG270" s="778"/>
      <c r="BB270" s="647"/>
      <c r="BC270" s="658"/>
      <c r="BD270" s="757"/>
      <c r="BE270" s="659"/>
    </row>
    <row r="271" spans="1:57" s="64" customFormat="1" ht="14.45" customHeight="1" outlineLevel="1" x14ac:dyDescent="0.25">
      <c r="A271" s="1393"/>
      <c r="B271" s="157"/>
      <c r="C271" s="385"/>
      <c r="D271" s="3639"/>
      <c r="E271" s="3644"/>
      <c r="F271" s="3631" t="str">
        <f t="shared" si="49"/>
        <v>CAC - SEER 21+ ER2: MF_CompE</v>
      </c>
      <c r="G271" s="3632"/>
      <c r="H271" s="3633"/>
      <c r="I271" s="784" t="str">
        <f t="shared" si="50"/>
        <v>351193_2020_02_</v>
      </c>
      <c r="J271" s="784">
        <f>$J$207</f>
        <v>632</v>
      </c>
      <c r="K271" s="2192"/>
      <c r="L271" s="3663"/>
      <c r="M271" s="157"/>
      <c r="N271" s="1746"/>
      <c r="O271" s="157"/>
      <c r="P271" s="157"/>
      <c r="Q271" s="157"/>
      <c r="R271" s="157"/>
      <c r="S271" s="157"/>
      <c r="T271" s="157"/>
      <c r="U271" s="157"/>
      <c r="V271" s="3590"/>
      <c r="W271" s="778"/>
      <c r="X271" s="778"/>
      <c r="Y271" s="777"/>
      <c r="Z271" s="777">
        <v>632</v>
      </c>
      <c r="AA271" s="778">
        <v>632</v>
      </c>
      <c r="AB271" s="784">
        <v>632</v>
      </c>
      <c r="AC271" s="778"/>
      <c r="AD271" s="778"/>
      <c r="AE271" s="778"/>
      <c r="AF271" s="778"/>
      <c r="AG271" s="778"/>
      <c r="BB271" s="647"/>
      <c r="BC271" s="658"/>
      <c r="BD271" s="757"/>
      <c r="BE271" s="659"/>
    </row>
    <row r="272" spans="1:57" s="64" customFormat="1" ht="15" customHeight="1" outlineLevel="1" x14ac:dyDescent="0.25">
      <c r="A272" s="1393"/>
      <c r="B272" s="157"/>
      <c r="C272" s="385"/>
      <c r="D272" s="3639"/>
      <c r="E272" s="3644"/>
      <c r="F272" s="3631" t="str">
        <f t="shared" si="49"/>
        <v>CAC - SEER 21+ ROF: MF</v>
      </c>
      <c r="G272" s="3632"/>
      <c r="H272" s="3633"/>
      <c r="I272" s="784" t="str">
        <f t="shared" si="50"/>
        <v>351194_2020_02_</v>
      </c>
      <c r="J272" s="2193">
        <v>869</v>
      </c>
      <c r="K272" s="2192"/>
      <c r="L272" s="3663"/>
      <c r="M272" s="157"/>
      <c r="N272" s="1746"/>
      <c r="O272" s="157"/>
      <c r="P272" s="157"/>
      <c r="Q272" s="157"/>
      <c r="R272" s="157"/>
      <c r="S272" s="157"/>
      <c r="T272" s="157"/>
      <c r="U272" s="157"/>
      <c r="V272" s="3590"/>
      <c r="W272" s="2125"/>
      <c r="X272" s="2125"/>
      <c r="Y272" s="2125"/>
      <c r="Z272" s="765">
        <v>869</v>
      </c>
      <c r="AA272" s="2426">
        <v>869</v>
      </c>
      <c r="AB272" s="2193">
        <v>869</v>
      </c>
      <c r="AC272" s="2125"/>
      <c r="AD272" s="2125"/>
      <c r="AE272" s="2125"/>
      <c r="AF272" s="2125"/>
      <c r="AG272" s="2125"/>
      <c r="BB272" s="647"/>
      <c r="BC272" s="658"/>
      <c r="BD272" s="757"/>
      <c r="BE272" s="659"/>
    </row>
    <row r="273" spans="1:57" s="64" customFormat="1" ht="15" customHeight="1" outlineLevel="1" thickBot="1" x14ac:dyDescent="0.3">
      <c r="A273" s="1393"/>
      <c r="B273" s="157"/>
      <c r="C273" s="385"/>
      <c r="D273" s="3640"/>
      <c r="E273" s="3645"/>
      <c r="F273" s="3631" t="str">
        <f t="shared" si="49"/>
        <v>CAC - SEER 21+ ROF: MF_CompE</v>
      </c>
      <c r="G273" s="3632"/>
      <c r="H273" s="3633"/>
      <c r="I273" s="2194" t="str">
        <f t="shared" si="50"/>
        <v>351195_2020_02_</v>
      </c>
      <c r="J273" s="784">
        <f>$J$207</f>
        <v>632</v>
      </c>
      <c r="K273" s="2195"/>
      <c r="L273" s="3664"/>
      <c r="M273" s="157"/>
      <c r="N273" s="1746"/>
      <c r="O273" s="157"/>
      <c r="P273" s="157"/>
      <c r="Q273" s="157"/>
      <c r="R273" s="157"/>
      <c r="S273" s="157"/>
      <c r="T273" s="157"/>
      <c r="U273" s="157"/>
      <c r="V273" s="3591"/>
      <c r="W273" s="780"/>
      <c r="X273" s="780"/>
      <c r="Y273" s="779"/>
      <c r="Z273" s="779">
        <v>632</v>
      </c>
      <c r="AA273" s="780">
        <v>632</v>
      </c>
      <c r="AB273" s="784">
        <v>632</v>
      </c>
      <c r="AC273" s="780"/>
      <c r="AD273" s="780"/>
      <c r="AE273" s="780"/>
      <c r="AF273" s="780"/>
      <c r="AG273" s="780"/>
      <c r="BB273" s="647"/>
      <c r="BC273" s="658"/>
      <c r="BD273" s="757"/>
      <c r="BE273" s="659"/>
    </row>
    <row r="274" spans="1:57" s="64" customFormat="1" ht="14.45" customHeight="1" outlineLevel="1" x14ac:dyDescent="0.25">
      <c r="A274" s="1393"/>
      <c r="B274" s="157"/>
      <c r="C274" s="385"/>
      <c r="D274" s="3588" t="s">
        <v>1189</v>
      </c>
      <c r="E274" s="3720" t="s">
        <v>1190</v>
      </c>
      <c r="F274" s="3654" t="str">
        <f t="shared" ref="F274:F337" si="51">F202</f>
        <v>CAC - SEER 14 ER1: SF</v>
      </c>
      <c r="G274" s="3655"/>
      <c r="H274" s="3656"/>
      <c r="I274" s="3065"/>
      <c r="J274" s="3176">
        <f>2.98*12000</f>
        <v>35760</v>
      </c>
      <c r="K274" s="2810">
        <f t="shared" ref="K274:K337" si="52">J274/12000</f>
        <v>2.98</v>
      </c>
      <c r="L274" s="3177" t="s">
        <v>1191</v>
      </c>
      <c r="M274" s="157"/>
      <c r="N274" s="1746"/>
      <c r="O274" s="157"/>
      <c r="P274" s="157"/>
      <c r="Q274" s="157"/>
      <c r="R274" s="157"/>
      <c r="S274" s="157"/>
      <c r="T274" s="157"/>
      <c r="U274" s="157"/>
      <c r="V274" s="3588" t="str">
        <f>D274</f>
        <v>Btu/hr / Capacity</v>
      </c>
      <c r="W274" s="760">
        <v>36000</v>
      </c>
      <c r="X274" s="759">
        <f>3.05*12000</f>
        <v>36600</v>
      </c>
      <c r="Y274" s="759">
        <v>35760</v>
      </c>
      <c r="Z274" s="2428">
        <v>35760</v>
      </c>
      <c r="AA274" s="2428">
        <v>35760</v>
      </c>
      <c r="AB274" s="2650">
        <v>35760</v>
      </c>
      <c r="AC274" s="760"/>
      <c r="AD274" s="760"/>
      <c r="AE274" s="760"/>
      <c r="AF274" s="760"/>
      <c r="AG274" s="760"/>
      <c r="BB274" s="647"/>
      <c r="BC274" s="658"/>
      <c r="BD274" s="757"/>
      <c r="BE274" s="659"/>
    </row>
    <row r="275" spans="1:57" s="64" customFormat="1" ht="14.45" customHeight="1" outlineLevel="1" x14ac:dyDescent="0.25">
      <c r="A275" s="1393"/>
      <c r="B275" s="157"/>
      <c r="C275" s="385"/>
      <c r="D275" s="3787"/>
      <c r="E275" s="3721"/>
      <c r="F275" s="3659" t="str">
        <f t="shared" si="51"/>
        <v>CAC - SEER 14 ER2: SF</v>
      </c>
      <c r="G275" s="3660"/>
      <c r="H275" s="3661"/>
      <c r="I275" s="3056"/>
      <c r="J275" s="3178">
        <f>2.98*12000</f>
        <v>35760</v>
      </c>
      <c r="K275" s="89">
        <f t="shared" si="52"/>
        <v>2.98</v>
      </c>
      <c r="L275" s="3179" t="s">
        <v>1191</v>
      </c>
      <c r="M275" s="157"/>
      <c r="N275" s="1746"/>
      <c r="O275" s="157"/>
      <c r="P275" s="157"/>
      <c r="Q275" s="157"/>
      <c r="R275" s="157"/>
      <c r="S275" s="157"/>
      <c r="T275" s="157"/>
      <c r="U275" s="157"/>
      <c r="V275" s="3589"/>
      <c r="W275" s="766">
        <v>36000</v>
      </c>
      <c r="X275" s="765">
        <f>3.05*12000</f>
        <v>36600</v>
      </c>
      <c r="Y275" s="765">
        <v>35760</v>
      </c>
      <c r="Z275" s="2426">
        <v>35760</v>
      </c>
      <c r="AA275" s="2426">
        <v>35760</v>
      </c>
      <c r="AB275" s="2651">
        <v>35760</v>
      </c>
      <c r="AC275" s="766"/>
      <c r="AD275" s="766"/>
      <c r="AE275" s="766"/>
      <c r="AF275" s="766"/>
      <c r="AG275" s="766"/>
      <c r="BB275" s="647"/>
      <c r="BC275" s="658"/>
      <c r="BD275" s="757"/>
      <c r="BE275" s="659"/>
    </row>
    <row r="276" spans="1:57" s="64" customFormat="1" ht="14.45" customHeight="1" outlineLevel="1" x14ac:dyDescent="0.25">
      <c r="A276" s="1393"/>
      <c r="B276" s="157"/>
      <c r="C276" s="385"/>
      <c r="D276" s="3787"/>
      <c r="E276" s="3721"/>
      <c r="F276" s="3659" t="str">
        <f t="shared" si="51"/>
        <v>CAC - SEER 14 ROF: SF</v>
      </c>
      <c r="G276" s="3660"/>
      <c r="H276" s="3661"/>
      <c r="I276" s="3056"/>
      <c r="J276" s="3180">
        <f>2.97*12000</f>
        <v>35640</v>
      </c>
      <c r="K276" s="89">
        <f t="shared" si="52"/>
        <v>2.97</v>
      </c>
      <c r="L276" s="3179" t="s">
        <v>1191</v>
      </c>
      <c r="M276" s="157"/>
      <c r="N276" s="1746"/>
      <c r="O276" s="157"/>
      <c r="P276" s="157"/>
      <c r="Q276" s="157"/>
      <c r="R276" s="157"/>
      <c r="S276" s="157"/>
      <c r="T276" s="157"/>
      <c r="U276" s="157"/>
      <c r="V276" s="3589"/>
      <c r="W276" s="766">
        <v>36000</v>
      </c>
      <c r="X276" s="765">
        <f>3.05*12000</f>
        <v>36600</v>
      </c>
      <c r="Y276" s="765">
        <v>35640</v>
      </c>
      <c r="Z276" s="2426">
        <v>35640</v>
      </c>
      <c r="AA276" s="2426">
        <v>35640</v>
      </c>
      <c r="AB276" s="2652">
        <v>35640</v>
      </c>
      <c r="AC276" s="766"/>
      <c r="AD276" s="766"/>
      <c r="AE276" s="766"/>
      <c r="AF276" s="766"/>
      <c r="AG276" s="766"/>
      <c r="BB276" s="647"/>
      <c r="BC276" s="658"/>
      <c r="BD276" s="757"/>
      <c r="BE276" s="659"/>
    </row>
    <row r="277" spans="1:57" s="64" customFormat="1" ht="14.45" customHeight="1" outlineLevel="1" x14ac:dyDescent="0.25">
      <c r="A277" s="1393"/>
      <c r="B277" s="157"/>
      <c r="C277" s="385"/>
      <c r="D277" s="3787"/>
      <c r="E277" s="3721"/>
      <c r="F277" s="3647" t="str">
        <f t="shared" si="51"/>
        <v>CAC - SEER 14 ER1: MF</v>
      </c>
      <c r="G277" s="3648"/>
      <c r="H277" s="3649"/>
      <c r="I277" s="3056"/>
      <c r="J277" s="3178">
        <v>24000</v>
      </c>
      <c r="K277" s="89">
        <f t="shared" si="52"/>
        <v>2</v>
      </c>
      <c r="L277" s="3181" t="s">
        <v>1192</v>
      </c>
      <c r="M277" s="1752"/>
      <c r="N277" s="1746"/>
      <c r="O277" s="157"/>
      <c r="P277" s="157"/>
      <c r="Q277" s="157"/>
      <c r="R277" s="157"/>
      <c r="S277" s="157"/>
      <c r="T277" s="157"/>
      <c r="U277" s="157"/>
      <c r="V277" s="3589"/>
      <c r="W277" s="766">
        <v>36000</v>
      </c>
      <c r="X277" s="765">
        <v>24000</v>
      </c>
      <c r="Y277" s="766">
        <v>24000</v>
      </c>
      <c r="Z277" s="2426">
        <v>24000</v>
      </c>
      <c r="AA277" s="2426">
        <v>24000</v>
      </c>
      <c r="AB277" s="2651">
        <v>24000</v>
      </c>
      <c r="AC277" s="766"/>
      <c r="AD277" s="766"/>
      <c r="AE277" s="766"/>
      <c r="AF277" s="766"/>
      <c r="AG277" s="766"/>
      <c r="BB277" s="647"/>
      <c r="BC277" s="658"/>
      <c r="BD277" s="757"/>
      <c r="BE277" s="659"/>
    </row>
    <row r="278" spans="1:57" s="64" customFormat="1" ht="14.45" customHeight="1" outlineLevel="1" x14ac:dyDescent="0.25">
      <c r="A278" s="1393"/>
      <c r="B278" s="157"/>
      <c r="C278" s="385"/>
      <c r="D278" s="3787"/>
      <c r="E278" s="3721"/>
      <c r="F278" s="3647" t="str">
        <f t="shared" si="51"/>
        <v>CAC - SEER 14 ER2: MF</v>
      </c>
      <c r="G278" s="3648"/>
      <c r="H278" s="3649"/>
      <c r="I278" s="3056"/>
      <c r="J278" s="3178">
        <v>24000</v>
      </c>
      <c r="K278" s="89">
        <f t="shared" si="52"/>
        <v>2</v>
      </c>
      <c r="L278" s="3181" t="s">
        <v>1192</v>
      </c>
      <c r="M278" s="1752"/>
      <c r="N278" s="1746"/>
      <c r="O278" s="157"/>
      <c r="P278" s="157"/>
      <c r="Q278" s="157"/>
      <c r="R278" s="157"/>
      <c r="S278" s="157"/>
      <c r="T278" s="157"/>
      <c r="U278" s="157"/>
      <c r="V278" s="3589"/>
      <c r="W278" s="766">
        <v>36000</v>
      </c>
      <c r="X278" s="765">
        <v>24000</v>
      </c>
      <c r="Y278" s="766">
        <v>24000</v>
      </c>
      <c r="Z278" s="2426">
        <v>24000</v>
      </c>
      <c r="AA278" s="2426">
        <v>24000</v>
      </c>
      <c r="AB278" s="2651">
        <v>24000</v>
      </c>
      <c r="AC278" s="766"/>
      <c r="AD278" s="766"/>
      <c r="AE278" s="766"/>
      <c r="AF278" s="766"/>
      <c r="AG278" s="766"/>
      <c r="BB278" s="647"/>
      <c r="BC278" s="658"/>
      <c r="BD278" s="757"/>
      <c r="BE278" s="659"/>
    </row>
    <row r="279" spans="1:57" s="64" customFormat="1" ht="14.45" customHeight="1" outlineLevel="1" x14ac:dyDescent="0.25">
      <c r="A279" s="1393"/>
      <c r="B279" s="157"/>
      <c r="C279" s="385"/>
      <c r="D279" s="3787"/>
      <c r="E279" s="3721"/>
      <c r="F279" s="3647" t="str">
        <f t="shared" si="51"/>
        <v>CAC - SEER 14 ER1: MF_CompE</v>
      </c>
      <c r="G279" s="3648"/>
      <c r="H279" s="3649"/>
      <c r="I279" s="3056"/>
      <c r="J279" s="3178">
        <v>24000</v>
      </c>
      <c r="K279" s="89">
        <f t="shared" si="52"/>
        <v>2</v>
      </c>
      <c r="L279" s="3181"/>
      <c r="M279" s="1752"/>
      <c r="N279" s="1746"/>
      <c r="O279" s="157"/>
      <c r="P279" s="157"/>
      <c r="Q279" s="157"/>
      <c r="R279" s="157"/>
      <c r="S279" s="157"/>
      <c r="T279" s="157"/>
      <c r="U279" s="157"/>
      <c r="V279" s="3589"/>
      <c r="W279" s="766"/>
      <c r="X279" s="765"/>
      <c r="Y279" s="765">
        <v>24000</v>
      </c>
      <c r="Z279" s="2426">
        <v>24000</v>
      </c>
      <c r="AA279" s="2426">
        <v>24000</v>
      </c>
      <c r="AB279" s="2651">
        <v>24000</v>
      </c>
      <c r="AC279" s="766"/>
      <c r="AD279" s="766"/>
      <c r="AE279" s="766"/>
      <c r="AF279" s="766"/>
      <c r="AG279" s="766"/>
      <c r="BB279" s="647"/>
      <c r="BC279" s="658"/>
      <c r="BD279" s="757"/>
      <c r="BE279" s="659"/>
    </row>
    <row r="280" spans="1:57" s="64" customFormat="1" ht="14.45" customHeight="1" outlineLevel="1" x14ac:dyDescent="0.25">
      <c r="A280" s="1393"/>
      <c r="B280" s="157"/>
      <c r="C280" s="385"/>
      <c r="D280" s="3787"/>
      <c r="E280" s="3721"/>
      <c r="F280" s="3647" t="str">
        <f t="shared" si="51"/>
        <v>CAC - SEER 14 ER2: MF_CompE</v>
      </c>
      <c r="G280" s="3648"/>
      <c r="H280" s="3649"/>
      <c r="I280" s="3056"/>
      <c r="J280" s="3178">
        <v>24000</v>
      </c>
      <c r="K280" s="89">
        <f t="shared" si="52"/>
        <v>2</v>
      </c>
      <c r="L280" s="3181"/>
      <c r="M280" s="1752"/>
      <c r="N280" s="1746"/>
      <c r="O280" s="157"/>
      <c r="P280" s="157"/>
      <c r="Q280" s="157"/>
      <c r="R280" s="157"/>
      <c r="S280" s="157"/>
      <c r="T280" s="157"/>
      <c r="U280" s="157"/>
      <c r="V280" s="3589"/>
      <c r="W280" s="766"/>
      <c r="X280" s="765"/>
      <c r="Y280" s="765">
        <v>24000</v>
      </c>
      <c r="Z280" s="2426">
        <v>24000</v>
      </c>
      <c r="AA280" s="2426">
        <v>24000</v>
      </c>
      <c r="AB280" s="2651">
        <v>24000</v>
      </c>
      <c r="AC280" s="766"/>
      <c r="AD280" s="766"/>
      <c r="AE280" s="766"/>
      <c r="AF280" s="766"/>
      <c r="AG280" s="766"/>
      <c r="BB280" s="647"/>
      <c r="BC280" s="658"/>
      <c r="BD280" s="757"/>
      <c r="BE280" s="659"/>
    </row>
    <row r="281" spans="1:57" s="64" customFormat="1" ht="14.45" customHeight="1" outlineLevel="1" x14ac:dyDescent="0.25">
      <c r="A281" s="1393"/>
      <c r="B281" s="157"/>
      <c r="C281" s="385"/>
      <c r="D281" s="3787"/>
      <c r="E281" s="3721"/>
      <c r="F281" s="3647" t="str">
        <f t="shared" si="51"/>
        <v>CAC - SEER 14 ROF: MF</v>
      </c>
      <c r="G281" s="3648"/>
      <c r="H281" s="3649"/>
      <c r="I281" s="3056"/>
      <c r="J281" s="3182">
        <v>24000</v>
      </c>
      <c r="K281" s="1248">
        <f t="shared" si="52"/>
        <v>2</v>
      </c>
      <c r="L281" s="3183" t="s">
        <v>1193</v>
      </c>
      <c r="M281" s="1752"/>
      <c r="N281" s="1746"/>
      <c r="O281" s="157"/>
      <c r="P281" s="157"/>
      <c r="Q281" s="157"/>
      <c r="R281" s="157"/>
      <c r="S281" s="157"/>
      <c r="T281" s="157"/>
      <c r="U281" s="157"/>
      <c r="V281" s="3589"/>
      <c r="W281" s="766">
        <v>36000</v>
      </c>
      <c r="X281" s="765">
        <v>24000</v>
      </c>
      <c r="Y281" s="765">
        <v>24000</v>
      </c>
      <c r="Z281" s="2426">
        <v>24000</v>
      </c>
      <c r="AA281" s="2426">
        <v>24000</v>
      </c>
      <c r="AB281" s="2653">
        <v>24000</v>
      </c>
      <c r="AC281" s="766"/>
      <c r="AD281" s="766"/>
      <c r="AE281" s="766"/>
      <c r="AF281" s="766"/>
      <c r="AG281" s="766"/>
      <c r="BB281" s="647"/>
      <c r="BC281" s="658"/>
      <c r="BD281" s="757"/>
      <c r="BE281" s="659"/>
    </row>
    <row r="282" spans="1:57" s="64" customFormat="1" ht="14.45" customHeight="1" outlineLevel="1" x14ac:dyDescent="0.25">
      <c r="A282" s="1393"/>
      <c r="B282" s="157"/>
      <c r="C282" s="385"/>
      <c r="D282" s="3787"/>
      <c r="E282" s="3721"/>
      <c r="F282" s="3647" t="str">
        <f t="shared" si="51"/>
        <v>CAC - SEER 14 ROF: MF_CompE</v>
      </c>
      <c r="G282" s="3648"/>
      <c r="H282" s="3649"/>
      <c r="I282" s="3056"/>
      <c r="J282" s="3182">
        <v>24000</v>
      </c>
      <c r="K282" s="1248">
        <f t="shared" si="52"/>
        <v>2</v>
      </c>
      <c r="L282" s="3183"/>
      <c r="M282" s="1752"/>
      <c r="N282" s="1746"/>
      <c r="O282" s="157"/>
      <c r="P282" s="157"/>
      <c r="Q282" s="157"/>
      <c r="R282" s="157"/>
      <c r="S282" s="157"/>
      <c r="T282" s="157"/>
      <c r="U282" s="157"/>
      <c r="V282" s="3589"/>
      <c r="W282" s="766"/>
      <c r="X282" s="765"/>
      <c r="Y282" s="766">
        <v>24000</v>
      </c>
      <c r="Z282" s="2426">
        <v>24000</v>
      </c>
      <c r="AA282" s="2426">
        <v>24000</v>
      </c>
      <c r="AB282" s="2653">
        <v>24000</v>
      </c>
      <c r="AC282" s="766"/>
      <c r="AD282" s="766"/>
      <c r="AE282" s="766"/>
      <c r="AF282" s="766"/>
      <c r="AG282" s="766"/>
      <c r="BB282" s="647"/>
      <c r="BC282" s="658"/>
      <c r="BD282" s="757"/>
      <c r="BE282" s="659"/>
    </row>
    <row r="283" spans="1:57" s="64" customFormat="1" ht="14.45" customHeight="1" outlineLevel="1" x14ac:dyDescent="0.25">
      <c r="A283" s="1393"/>
      <c r="B283" s="157"/>
      <c r="C283" s="385"/>
      <c r="D283" s="3787"/>
      <c r="E283" s="3721"/>
      <c r="F283" s="3647" t="str">
        <f t="shared" si="51"/>
        <v>CAC - SEER 15 ER1: SF</v>
      </c>
      <c r="G283" s="3648"/>
      <c r="H283" s="3649"/>
      <c r="I283" s="3056"/>
      <c r="J283" s="3184">
        <v>38991.153460381152</v>
      </c>
      <c r="K283" s="1248">
        <f t="shared" si="52"/>
        <v>3.2492627883650962</v>
      </c>
      <c r="L283" s="2718" t="s">
        <v>3674</v>
      </c>
      <c r="M283" s="1752"/>
      <c r="N283" s="1746"/>
      <c r="O283" s="157"/>
      <c r="P283" s="157"/>
      <c r="Q283" s="157"/>
      <c r="R283" s="157"/>
      <c r="S283" s="157"/>
      <c r="T283" s="157"/>
      <c r="U283" s="157"/>
      <c r="V283" s="3589"/>
      <c r="W283" s="766">
        <v>39600</v>
      </c>
      <c r="X283" s="765">
        <f>3.05*12000</f>
        <v>36600</v>
      </c>
      <c r="Y283" s="765">
        <v>39240</v>
      </c>
      <c r="Z283" s="2426">
        <v>39240</v>
      </c>
      <c r="AA283" s="2426">
        <v>39240</v>
      </c>
      <c r="AB283" s="2654">
        <v>38991.153460381152</v>
      </c>
      <c r="AC283" s="766"/>
      <c r="AD283" s="766"/>
      <c r="AE283" s="766"/>
      <c r="AF283" s="766"/>
      <c r="AG283" s="766"/>
      <c r="BB283" s="647"/>
      <c r="BC283" s="658"/>
      <c r="BD283" s="757"/>
      <c r="BE283" s="659"/>
    </row>
    <row r="284" spans="1:57" s="64" customFormat="1" ht="14.45" customHeight="1" outlineLevel="1" x14ac:dyDescent="0.25">
      <c r="A284" s="1393"/>
      <c r="B284" s="157"/>
      <c r="C284" s="385"/>
      <c r="D284" s="3787"/>
      <c r="E284" s="3721"/>
      <c r="F284" s="3647" t="str">
        <f t="shared" si="51"/>
        <v>CAC - SEER 15 ER2: SF</v>
      </c>
      <c r="G284" s="3648"/>
      <c r="H284" s="3649"/>
      <c r="I284" s="3056"/>
      <c r="J284" s="3184">
        <f>J283</f>
        <v>38991.153460381152</v>
      </c>
      <c r="K284" s="1248">
        <f t="shared" si="52"/>
        <v>3.2492627883650962</v>
      </c>
      <c r="L284" s="2718" t="s">
        <v>3674</v>
      </c>
      <c r="M284" s="1752"/>
      <c r="N284" s="1746"/>
      <c r="O284" s="157"/>
      <c r="P284" s="157"/>
      <c r="Q284" s="157"/>
      <c r="R284" s="157"/>
      <c r="S284" s="157"/>
      <c r="T284" s="157"/>
      <c r="U284" s="157"/>
      <c r="V284" s="3589"/>
      <c r="W284" s="766">
        <v>39600</v>
      </c>
      <c r="X284" s="765">
        <f>3.05*12000</f>
        <v>36600</v>
      </c>
      <c r="Y284" s="765">
        <v>39240</v>
      </c>
      <c r="Z284" s="2426">
        <v>39240</v>
      </c>
      <c r="AA284" s="2426">
        <v>39240</v>
      </c>
      <c r="AB284" s="2654">
        <v>38991.153460381152</v>
      </c>
      <c r="AC284" s="766"/>
      <c r="AD284" s="766"/>
      <c r="AE284" s="766"/>
      <c r="AF284" s="766"/>
      <c r="AG284" s="766"/>
      <c r="BB284" s="647"/>
      <c r="BC284" s="658"/>
      <c r="BD284" s="757"/>
      <c r="BE284" s="659"/>
    </row>
    <row r="285" spans="1:57" s="64" customFormat="1" ht="14.45" customHeight="1" outlineLevel="1" x14ac:dyDescent="0.25">
      <c r="A285" s="1393"/>
      <c r="B285" s="157"/>
      <c r="C285" s="385"/>
      <c r="D285" s="3787"/>
      <c r="E285" s="3721"/>
      <c r="F285" s="3647" t="str">
        <f t="shared" si="51"/>
        <v>CAC - SEER 15 ROF: SF</v>
      </c>
      <c r="G285" s="3648"/>
      <c r="H285" s="3649"/>
      <c r="I285" s="3056"/>
      <c r="J285" s="3184">
        <v>39839.242902208207</v>
      </c>
      <c r="K285" s="1248">
        <f t="shared" si="52"/>
        <v>3.3199369085173505</v>
      </c>
      <c r="L285" s="2718" t="s">
        <v>3674</v>
      </c>
      <c r="M285" s="1752"/>
      <c r="N285" s="1746"/>
      <c r="O285" s="157"/>
      <c r="P285" s="157"/>
      <c r="Q285" s="157"/>
      <c r="R285" s="157"/>
      <c r="S285" s="157"/>
      <c r="T285" s="157"/>
      <c r="U285" s="157"/>
      <c r="V285" s="3589"/>
      <c r="W285" s="766">
        <v>36000</v>
      </c>
      <c r="X285" s="765">
        <f>3.05*12000</f>
        <v>36600</v>
      </c>
      <c r="Y285" s="765">
        <v>39240</v>
      </c>
      <c r="Z285" s="2426">
        <v>39240</v>
      </c>
      <c r="AA285" s="2426">
        <v>39240</v>
      </c>
      <c r="AB285" s="2654">
        <v>39839.242902208207</v>
      </c>
      <c r="AC285" s="766"/>
      <c r="AD285" s="766"/>
      <c r="AE285" s="766"/>
      <c r="AF285" s="766"/>
      <c r="AG285" s="766"/>
      <c r="BB285" s="647"/>
      <c r="BC285" s="658"/>
      <c r="BD285" s="757"/>
      <c r="BE285" s="659"/>
    </row>
    <row r="286" spans="1:57" s="64" customFormat="1" ht="14.45" customHeight="1" outlineLevel="1" x14ac:dyDescent="0.25">
      <c r="A286" s="1393"/>
      <c r="B286" s="157"/>
      <c r="C286" s="385"/>
      <c r="D286" s="3787"/>
      <c r="E286" s="3721"/>
      <c r="F286" s="3647" t="str">
        <f t="shared" si="51"/>
        <v>CAC - SEER 15 ER1: MF</v>
      </c>
      <c r="G286" s="3648"/>
      <c r="H286" s="3649"/>
      <c r="I286" s="3056"/>
      <c r="J286" s="3184">
        <v>27906.976744186049</v>
      </c>
      <c r="K286" s="1248">
        <f t="shared" si="52"/>
        <v>2.3255813953488373</v>
      </c>
      <c r="L286" s="2718" t="s">
        <v>3674</v>
      </c>
      <c r="M286" s="1752"/>
      <c r="N286" s="1746"/>
      <c r="O286" s="157"/>
      <c r="P286" s="157"/>
      <c r="Q286" s="157"/>
      <c r="R286" s="157"/>
      <c r="S286" s="157"/>
      <c r="T286" s="157"/>
      <c r="U286" s="157"/>
      <c r="V286" s="3589"/>
      <c r="W286" s="766">
        <v>39600</v>
      </c>
      <c r="X286" s="765">
        <f>AVERAGE($X$277,$X$295)</f>
        <v>24230.5</v>
      </c>
      <c r="Y286" s="766">
        <v>24000</v>
      </c>
      <c r="Z286" s="2426">
        <v>24000</v>
      </c>
      <c r="AA286" s="2426">
        <v>24000</v>
      </c>
      <c r="AB286" s="2654">
        <v>27906.976744186049</v>
      </c>
      <c r="AC286" s="766"/>
      <c r="AD286" s="766"/>
      <c r="AE286" s="766"/>
      <c r="AF286" s="766"/>
      <c r="AG286" s="766"/>
      <c r="BB286" s="647"/>
      <c r="BC286" s="658"/>
      <c r="BD286" s="757"/>
      <c r="BE286" s="659"/>
    </row>
    <row r="287" spans="1:57" s="64" customFormat="1" ht="14.45" customHeight="1" outlineLevel="1" x14ac:dyDescent="0.25">
      <c r="A287" s="1393"/>
      <c r="B287" s="157"/>
      <c r="C287" s="385"/>
      <c r="D287" s="3787"/>
      <c r="E287" s="3721"/>
      <c r="F287" s="3647" t="str">
        <f t="shared" si="51"/>
        <v>CAC - SEER 15 ER2: MF</v>
      </c>
      <c r="G287" s="3648"/>
      <c r="H287" s="3649"/>
      <c r="I287" s="3056"/>
      <c r="J287" s="3184">
        <f>J286</f>
        <v>27906.976744186049</v>
      </c>
      <c r="K287" s="1248">
        <f t="shared" si="52"/>
        <v>2.3255813953488373</v>
      </c>
      <c r="L287" s="2718" t="s">
        <v>3674</v>
      </c>
      <c r="M287" s="1752"/>
      <c r="N287" s="1746"/>
      <c r="O287" s="157"/>
      <c r="P287" s="157"/>
      <c r="Q287" s="157"/>
      <c r="R287" s="157"/>
      <c r="S287" s="157"/>
      <c r="T287" s="157"/>
      <c r="U287" s="157"/>
      <c r="V287" s="3589"/>
      <c r="W287" s="766">
        <v>39600</v>
      </c>
      <c r="X287" s="765">
        <f>AVERAGE($X$277,$X$295)</f>
        <v>24230.5</v>
      </c>
      <c r="Y287" s="766">
        <v>24000</v>
      </c>
      <c r="Z287" s="2426">
        <v>24000</v>
      </c>
      <c r="AA287" s="2426">
        <v>24000</v>
      </c>
      <c r="AB287" s="2654">
        <v>27906.976744186049</v>
      </c>
      <c r="AC287" s="766"/>
      <c r="AD287" s="766"/>
      <c r="AE287" s="766"/>
      <c r="AF287" s="766"/>
      <c r="AG287" s="766"/>
      <c r="BB287" s="647"/>
      <c r="BC287" s="658"/>
      <c r="BD287" s="757"/>
      <c r="BE287" s="659"/>
    </row>
    <row r="288" spans="1:57" s="64" customFormat="1" ht="14.45" customHeight="1" outlineLevel="1" x14ac:dyDescent="0.25">
      <c r="A288" s="1393"/>
      <c r="B288" s="157"/>
      <c r="C288" s="385"/>
      <c r="D288" s="3787"/>
      <c r="E288" s="3721"/>
      <c r="F288" s="3647" t="str">
        <f t="shared" si="51"/>
        <v>CAC - SEER 15 ER1: MF_CompE</v>
      </c>
      <c r="G288" s="3648"/>
      <c r="H288" s="3649"/>
      <c r="I288" s="3056"/>
      <c r="J288" s="3182">
        <v>24000</v>
      </c>
      <c r="K288" s="1248">
        <f t="shared" si="52"/>
        <v>2</v>
      </c>
      <c r="L288" s="3183" t="s">
        <v>1194</v>
      </c>
      <c r="M288" s="1752"/>
      <c r="N288" s="1746"/>
      <c r="O288" s="157"/>
      <c r="P288" s="157"/>
      <c r="Q288" s="157"/>
      <c r="R288" s="157"/>
      <c r="S288" s="157"/>
      <c r="T288" s="157"/>
      <c r="U288" s="157"/>
      <c r="V288" s="3589"/>
      <c r="W288" s="766"/>
      <c r="X288" s="765"/>
      <c r="Y288" s="765">
        <v>24000</v>
      </c>
      <c r="Z288" s="2426">
        <v>24000</v>
      </c>
      <c r="AA288" s="2426">
        <v>24000</v>
      </c>
      <c r="AB288" s="2653">
        <v>24000</v>
      </c>
      <c r="AC288" s="766"/>
      <c r="AD288" s="766"/>
      <c r="AE288" s="766"/>
      <c r="AF288" s="766"/>
      <c r="AG288" s="766"/>
      <c r="BB288" s="647"/>
      <c r="BC288" s="658"/>
      <c r="BD288" s="757"/>
      <c r="BE288" s="659"/>
    </row>
    <row r="289" spans="1:57" s="64" customFormat="1" ht="14.45" customHeight="1" outlineLevel="1" x14ac:dyDescent="0.25">
      <c r="A289" s="1393"/>
      <c r="B289" s="157"/>
      <c r="C289" s="385"/>
      <c r="D289" s="3787"/>
      <c r="E289" s="3721"/>
      <c r="F289" s="3647" t="str">
        <f t="shared" si="51"/>
        <v>CAC - SEER 15 ER2: MF_CompE</v>
      </c>
      <c r="G289" s="3648"/>
      <c r="H289" s="3649"/>
      <c r="I289" s="3056"/>
      <c r="J289" s="3182">
        <v>24000</v>
      </c>
      <c r="K289" s="1248">
        <f t="shared" si="52"/>
        <v>2</v>
      </c>
      <c r="L289" s="3183" t="s">
        <v>1195</v>
      </c>
      <c r="M289" s="1752"/>
      <c r="N289" s="1746"/>
      <c r="O289" s="157"/>
      <c r="P289" s="157"/>
      <c r="Q289" s="157"/>
      <c r="R289" s="157"/>
      <c r="S289" s="157"/>
      <c r="T289" s="157"/>
      <c r="U289" s="157"/>
      <c r="V289" s="3589"/>
      <c r="W289" s="766"/>
      <c r="X289" s="765"/>
      <c r="Y289" s="765">
        <v>24000</v>
      </c>
      <c r="Z289" s="2426">
        <v>24000</v>
      </c>
      <c r="AA289" s="2426">
        <v>24000</v>
      </c>
      <c r="AB289" s="2653">
        <v>24000</v>
      </c>
      <c r="AC289" s="766"/>
      <c r="AD289" s="766"/>
      <c r="AE289" s="766"/>
      <c r="AF289" s="766"/>
      <c r="AG289" s="766"/>
      <c r="BB289" s="647"/>
      <c r="BC289" s="658"/>
      <c r="BD289" s="757"/>
      <c r="BE289" s="659"/>
    </row>
    <row r="290" spans="1:57" s="64" customFormat="1" ht="14.45" customHeight="1" outlineLevel="1" x14ac:dyDescent="0.25">
      <c r="A290" s="1393"/>
      <c r="B290" s="157"/>
      <c r="C290" s="385"/>
      <c r="D290" s="3787"/>
      <c r="E290" s="3721"/>
      <c r="F290" s="3647" t="str">
        <f t="shared" si="51"/>
        <v>CAC - SEER 15 ROF: MF</v>
      </c>
      <c r="G290" s="3648"/>
      <c r="H290" s="3649"/>
      <c r="I290" s="3056"/>
      <c r="J290" s="3182">
        <v>25000</v>
      </c>
      <c r="K290" s="1248">
        <f t="shared" si="52"/>
        <v>2.0833333333333335</v>
      </c>
      <c r="L290" s="2718" t="s">
        <v>3674</v>
      </c>
      <c r="M290" s="1752"/>
      <c r="N290" s="1746"/>
      <c r="O290" s="157"/>
      <c r="P290" s="157"/>
      <c r="Q290" s="157"/>
      <c r="R290" s="157"/>
      <c r="S290" s="157"/>
      <c r="T290" s="157"/>
      <c r="U290" s="157"/>
      <c r="V290" s="3589"/>
      <c r="W290" s="766">
        <v>36000</v>
      </c>
      <c r="X290" s="765">
        <f>AVERAGE($X$277,$X$295)</f>
        <v>24230.5</v>
      </c>
      <c r="Y290" s="765">
        <v>24000</v>
      </c>
      <c r="Z290" s="2426">
        <v>24000</v>
      </c>
      <c r="AA290" s="2426">
        <v>24000</v>
      </c>
      <c r="AB290" s="2655">
        <v>25000</v>
      </c>
      <c r="AC290" s="766"/>
      <c r="AD290" s="766"/>
      <c r="AE290" s="766"/>
      <c r="AF290" s="766"/>
      <c r="AG290" s="766"/>
      <c r="BB290" s="647"/>
      <c r="BC290" s="658"/>
      <c r="BD290" s="757"/>
      <c r="BE290" s="659"/>
    </row>
    <row r="291" spans="1:57" s="64" customFormat="1" ht="14.45" customHeight="1" outlineLevel="1" x14ac:dyDescent="0.25">
      <c r="A291" s="1393"/>
      <c r="B291" s="157"/>
      <c r="C291" s="385"/>
      <c r="D291" s="3787"/>
      <c r="E291" s="3721"/>
      <c r="F291" s="3647" t="str">
        <f t="shared" si="51"/>
        <v>CAC - SEER 15 ROF: MF_CompE</v>
      </c>
      <c r="G291" s="3648"/>
      <c r="H291" s="3649"/>
      <c r="I291" s="3056"/>
      <c r="J291" s="3182">
        <v>24000</v>
      </c>
      <c r="K291" s="1248">
        <f t="shared" si="52"/>
        <v>2</v>
      </c>
      <c r="L291" s="3183"/>
      <c r="M291" s="1752"/>
      <c r="N291" s="1746"/>
      <c r="O291" s="157"/>
      <c r="P291" s="157"/>
      <c r="Q291" s="157"/>
      <c r="R291" s="157"/>
      <c r="S291" s="157"/>
      <c r="T291" s="157"/>
      <c r="U291" s="157"/>
      <c r="V291" s="3589"/>
      <c r="W291" s="766"/>
      <c r="X291" s="765"/>
      <c r="Y291" s="765">
        <v>24000</v>
      </c>
      <c r="Z291" s="2426">
        <v>24000</v>
      </c>
      <c r="AA291" s="2426">
        <v>24000</v>
      </c>
      <c r="AB291" s="2653">
        <v>24000</v>
      </c>
      <c r="AC291" s="766"/>
      <c r="AD291" s="766"/>
      <c r="AE291" s="766"/>
      <c r="AF291" s="766"/>
      <c r="AG291" s="766"/>
      <c r="BB291" s="647"/>
      <c r="BC291" s="658"/>
      <c r="BD291" s="757"/>
      <c r="BE291" s="659"/>
    </row>
    <row r="292" spans="1:57" s="64" customFormat="1" ht="14.45" customHeight="1" outlineLevel="1" x14ac:dyDescent="0.25">
      <c r="A292" s="1393"/>
      <c r="B292" s="157"/>
      <c r="C292" s="385"/>
      <c r="D292" s="3787"/>
      <c r="E292" s="3721"/>
      <c r="F292" s="3647" t="str">
        <f t="shared" si="51"/>
        <v>CAC - SEER 16 ER1: SF</v>
      </c>
      <c r="G292" s="3648"/>
      <c r="H292" s="3649"/>
      <c r="I292" s="3056"/>
      <c r="J292" s="3182">
        <v>35734.902975420438</v>
      </c>
      <c r="K292" s="1248">
        <f t="shared" si="52"/>
        <v>2.9779085812850363</v>
      </c>
      <c r="L292" s="2718" t="s">
        <v>3674</v>
      </c>
      <c r="M292" s="1752"/>
      <c r="N292" s="1746"/>
      <c r="O292" s="157"/>
      <c r="P292" s="157"/>
      <c r="Q292" s="157"/>
      <c r="R292" s="157"/>
      <c r="S292" s="157"/>
      <c r="T292" s="157"/>
      <c r="U292" s="157"/>
      <c r="V292" s="3589"/>
      <c r="W292" s="766">
        <v>37200</v>
      </c>
      <c r="X292" s="765">
        <f>3.05*12000</f>
        <v>36600</v>
      </c>
      <c r="Y292" s="765">
        <v>36720</v>
      </c>
      <c r="Z292" s="2426">
        <v>36720</v>
      </c>
      <c r="AA292" s="2426">
        <v>36720</v>
      </c>
      <c r="AB292" s="2655">
        <v>35734.902975420438</v>
      </c>
      <c r="AC292" s="766"/>
      <c r="AD292" s="766"/>
      <c r="AE292" s="766"/>
      <c r="AF292" s="766"/>
      <c r="AG292" s="766"/>
      <c r="BB292" s="647"/>
      <c r="BC292" s="658"/>
      <c r="BD292" s="757"/>
      <c r="BE292" s="659"/>
    </row>
    <row r="293" spans="1:57" s="64" customFormat="1" ht="14.45" customHeight="1" outlineLevel="1" x14ac:dyDescent="0.25">
      <c r="A293" s="1393"/>
      <c r="B293" s="157"/>
      <c r="C293" s="385"/>
      <c r="D293" s="3787"/>
      <c r="E293" s="3721"/>
      <c r="F293" s="3647" t="str">
        <f t="shared" si="51"/>
        <v>CAC - SEER 16 ER2: SF</v>
      </c>
      <c r="G293" s="3648"/>
      <c r="H293" s="3649"/>
      <c r="I293" s="3056"/>
      <c r="J293" s="3182">
        <f>J292</f>
        <v>35734.902975420438</v>
      </c>
      <c r="K293" s="1248">
        <f t="shared" si="52"/>
        <v>2.9779085812850363</v>
      </c>
      <c r="L293" s="2718" t="s">
        <v>3674</v>
      </c>
      <c r="M293" s="1752"/>
      <c r="N293" s="1746"/>
      <c r="O293" s="157"/>
      <c r="P293" s="157"/>
      <c r="Q293" s="157"/>
      <c r="R293" s="157"/>
      <c r="S293" s="157"/>
      <c r="T293" s="157"/>
      <c r="U293" s="157"/>
      <c r="V293" s="3589"/>
      <c r="W293" s="766">
        <v>37200</v>
      </c>
      <c r="X293" s="765">
        <f>3.05*12000</f>
        <v>36600</v>
      </c>
      <c r="Y293" s="765">
        <v>36720</v>
      </c>
      <c r="Z293" s="2426">
        <v>36720</v>
      </c>
      <c r="AA293" s="2426">
        <v>36720</v>
      </c>
      <c r="AB293" s="2655">
        <v>35734.902975420438</v>
      </c>
      <c r="AC293" s="766"/>
      <c r="AD293" s="766"/>
      <c r="AE293" s="766"/>
      <c r="AF293" s="766"/>
      <c r="AG293" s="766"/>
      <c r="BB293" s="647"/>
      <c r="BC293" s="658"/>
      <c r="BD293" s="757"/>
      <c r="BE293" s="659"/>
    </row>
    <row r="294" spans="1:57" s="64" customFormat="1" ht="14.45" customHeight="1" outlineLevel="1" x14ac:dyDescent="0.25">
      <c r="A294" s="1393"/>
      <c r="B294" s="157"/>
      <c r="C294" s="385"/>
      <c r="D294" s="3787"/>
      <c r="E294" s="3721"/>
      <c r="F294" s="3647" t="str">
        <f t="shared" si="51"/>
        <v>CAC - SEER 16 ROF: SF</v>
      </c>
      <c r="G294" s="3648"/>
      <c r="H294" s="3649"/>
      <c r="I294" s="3056"/>
      <c r="J294" s="3182">
        <v>36194.49901768173</v>
      </c>
      <c r="K294" s="1248">
        <f t="shared" si="52"/>
        <v>3.0162082514734774</v>
      </c>
      <c r="L294" s="2718" t="s">
        <v>3674</v>
      </c>
      <c r="M294" s="1752"/>
      <c r="N294" s="1746"/>
      <c r="O294" s="157"/>
      <c r="P294" s="157"/>
      <c r="Q294" s="157"/>
      <c r="R294" s="157"/>
      <c r="S294" s="157"/>
      <c r="T294" s="157"/>
      <c r="U294" s="157"/>
      <c r="V294" s="3589"/>
      <c r="W294" s="766">
        <v>34800</v>
      </c>
      <c r="X294" s="765">
        <f>3.05*12000</f>
        <v>36600</v>
      </c>
      <c r="Y294" s="765">
        <v>35880</v>
      </c>
      <c r="Z294" s="2426">
        <v>35880</v>
      </c>
      <c r="AA294" s="2426">
        <v>35880</v>
      </c>
      <c r="AB294" s="2655">
        <v>36194.49901768173</v>
      </c>
      <c r="AC294" s="766"/>
      <c r="AD294" s="766"/>
      <c r="AE294" s="766"/>
      <c r="AF294" s="766"/>
      <c r="AG294" s="766"/>
      <c r="BB294" s="647"/>
      <c r="BC294" s="658"/>
      <c r="BD294" s="757"/>
      <c r="BE294" s="659"/>
    </row>
    <row r="295" spans="1:57" s="64" customFormat="1" ht="14.45" customHeight="1" outlineLevel="1" x14ac:dyDescent="0.25">
      <c r="A295" s="1393"/>
      <c r="B295" s="157"/>
      <c r="C295" s="385"/>
      <c r="D295" s="3787"/>
      <c r="E295" s="3721"/>
      <c r="F295" s="3647" t="str">
        <f t="shared" si="51"/>
        <v>CAC - SEER 16 ER1: MF</v>
      </c>
      <c r="G295" s="3648"/>
      <c r="H295" s="3649"/>
      <c r="I295" s="3056"/>
      <c r="J295" s="3182">
        <v>30857.142857142859</v>
      </c>
      <c r="K295" s="1248">
        <f t="shared" si="52"/>
        <v>2.5714285714285716</v>
      </c>
      <c r="L295" s="2718" t="s">
        <v>3674</v>
      </c>
      <c r="M295" s="1752"/>
      <c r="N295" s="1746"/>
      <c r="O295" s="157"/>
      <c r="P295" s="157"/>
      <c r="Q295" s="157"/>
      <c r="R295" s="157"/>
      <c r="S295" s="157"/>
      <c r="T295" s="157"/>
      <c r="U295" s="157"/>
      <c r="V295" s="3589"/>
      <c r="W295" s="766">
        <v>37200</v>
      </c>
      <c r="X295" s="765">
        <v>24461</v>
      </c>
      <c r="Y295" s="765">
        <v>24000</v>
      </c>
      <c r="Z295" s="2426">
        <v>24000</v>
      </c>
      <c r="AA295" s="2426">
        <v>24000</v>
      </c>
      <c r="AB295" s="2655">
        <v>30857.142857142859</v>
      </c>
      <c r="AC295" s="766"/>
      <c r="AD295" s="766"/>
      <c r="AE295" s="766"/>
      <c r="AF295" s="766"/>
      <c r="AG295" s="766"/>
      <c r="BB295" s="647"/>
      <c r="BC295" s="658"/>
      <c r="BD295" s="757"/>
      <c r="BE295" s="659"/>
    </row>
    <row r="296" spans="1:57" s="64" customFormat="1" ht="14.45" customHeight="1" outlineLevel="1" x14ac:dyDescent="0.25">
      <c r="A296" s="1393"/>
      <c r="B296" s="157"/>
      <c r="C296" s="385"/>
      <c r="D296" s="3787"/>
      <c r="E296" s="3721"/>
      <c r="F296" s="3647" t="str">
        <f t="shared" si="51"/>
        <v>CAC - SEER 16 ER2: MF</v>
      </c>
      <c r="G296" s="3648"/>
      <c r="H296" s="3649"/>
      <c r="I296" s="3056"/>
      <c r="J296" s="3182">
        <f>J295</f>
        <v>30857.142857142859</v>
      </c>
      <c r="K296" s="1248">
        <f t="shared" si="52"/>
        <v>2.5714285714285716</v>
      </c>
      <c r="L296" s="2718" t="s">
        <v>3674</v>
      </c>
      <c r="M296" s="1752"/>
      <c r="N296" s="1746"/>
      <c r="O296" s="157"/>
      <c r="P296" s="157"/>
      <c r="Q296" s="157"/>
      <c r="R296" s="157"/>
      <c r="S296" s="157"/>
      <c r="T296" s="157"/>
      <c r="U296" s="157"/>
      <c r="V296" s="3589"/>
      <c r="W296" s="766">
        <v>37200</v>
      </c>
      <c r="X296" s="765">
        <v>24461</v>
      </c>
      <c r="Y296" s="765">
        <v>24000</v>
      </c>
      <c r="Z296" s="2426">
        <v>24000</v>
      </c>
      <c r="AA296" s="2426">
        <v>24000</v>
      </c>
      <c r="AB296" s="2655">
        <v>30857.142857142859</v>
      </c>
      <c r="AC296" s="766"/>
      <c r="AD296" s="766"/>
      <c r="AE296" s="766"/>
      <c r="AF296" s="766"/>
      <c r="AG296" s="766"/>
      <c r="BB296" s="647"/>
      <c r="BC296" s="658"/>
      <c r="BD296" s="757"/>
      <c r="BE296" s="659"/>
    </row>
    <row r="297" spans="1:57" s="64" customFormat="1" ht="14.45" customHeight="1" outlineLevel="1" x14ac:dyDescent="0.25">
      <c r="A297" s="1393"/>
      <c r="B297" s="157"/>
      <c r="C297" s="385"/>
      <c r="D297" s="3787"/>
      <c r="E297" s="3721"/>
      <c r="F297" s="3647" t="str">
        <f t="shared" si="51"/>
        <v>CAC - SEER 16 ER1: MF_CompE</v>
      </c>
      <c r="G297" s="3648"/>
      <c r="H297" s="3649"/>
      <c r="I297" s="3056"/>
      <c r="J297" s="3182">
        <v>24000</v>
      </c>
      <c r="K297" s="1248">
        <f t="shared" si="52"/>
        <v>2</v>
      </c>
      <c r="L297" s="3183"/>
      <c r="M297" s="1752"/>
      <c r="N297" s="1746"/>
      <c r="O297" s="157"/>
      <c r="P297" s="157"/>
      <c r="Q297" s="157"/>
      <c r="R297" s="157"/>
      <c r="S297" s="157"/>
      <c r="T297" s="157"/>
      <c r="U297" s="157"/>
      <c r="V297" s="3589"/>
      <c r="W297" s="766"/>
      <c r="X297" s="765"/>
      <c r="Y297" s="765">
        <v>24000</v>
      </c>
      <c r="Z297" s="2426">
        <v>24000</v>
      </c>
      <c r="AA297" s="2426">
        <v>24000</v>
      </c>
      <c r="AB297" s="2653">
        <v>24000</v>
      </c>
      <c r="AC297" s="766"/>
      <c r="AD297" s="766"/>
      <c r="AE297" s="766"/>
      <c r="AF297" s="766"/>
      <c r="AG297" s="766"/>
      <c r="BB297" s="647"/>
      <c r="BC297" s="658"/>
      <c r="BD297" s="757"/>
      <c r="BE297" s="659"/>
    </row>
    <row r="298" spans="1:57" s="64" customFormat="1" ht="14.45" customHeight="1" outlineLevel="1" x14ac:dyDescent="0.25">
      <c r="A298" s="1393"/>
      <c r="B298" s="157"/>
      <c r="C298" s="385"/>
      <c r="D298" s="3787"/>
      <c r="E298" s="3721"/>
      <c r="F298" s="3647" t="str">
        <f t="shared" si="51"/>
        <v>CAC - SEER 16 ER2: MF_CompE</v>
      </c>
      <c r="G298" s="3648"/>
      <c r="H298" s="3649"/>
      <c r="I298" s="3056"/>
      <c r="J298" s="3182">
        <v>24000</v>
      </c>
      <c r="K298" s="1248">
        <f t="shared" si="52"/>
        <v>2</v>
      </c>
      <c r="L298" s="3183"/>
      <c r="M298" s="1752"/>
      <c r="N298" s="1746"/>
      <c r="O298" s="157"/>
      <c r="P298" s="157"/>
      <c r="Q298" s="157"/>
      <c r="R298" s="157"/>
      <c r="S298" s="157"/>
      <c r="T298" s="157"/>
      <c r="U298" s="157"/>
      <c r="V298" s="3589"/>
      <c r="W298" s="766"/>
      <c r="X298" s="765"/>
      <c r="Y298" s="765">
        <v>24000</v>
      </c>
      <c r="Z298" s="2426">
        <v>24000</v>
      </c>
      <c r="AA298" s="2426">
        <v>24000</v>
      </c>
      <c r="AB298" s="2653">
        <v>24000</v>
      </c>
      <c r="AC298" s="766"/>
      <c r="AD298" s="766"/>
      <c r="AE298" s="766"/>
      <c r="AF298" s="766"/>
      <c r="AG298" s="766"/>
      <c r="BB298" s="647"/>
      <c r="BC298" s="658"/>
      <c r="BD298" s="757"/>
      <c r="BE298" s="659"/>
    </row>
    <row r="299" spans="1:57" s="64" customFormat="1" ht="14.45" customHeight="1" outlineLevel="1" x14ac:dyDescent="0.25">
      <c r="A299" s="1393"/>
      <c r="B299" s="157"/>
      <c r="C299" s="385"/>
      <c r="D299" s="3787"/>
      <c r="E299" s="3721"/>
      <c r="F299" s="3647" t="str">
        <f t="shared" si="51"/>
        <v>CAC - SEER 16 ROF: MF</v>
      </c>
      <c r="G299" s="3648"/>
      <c r="H299" s="3649"/>
      <c r="I299" s="3056"/>
      <c r="J299" s="3182">
        <v>32571.428571428572</v>
      </c>
      <c r="K299" s="1248">
        <f t="shared" si="52"/>
        <v>2.7142857142857144</v>
      </c>
      <c r="L299" s="2718" t="s">
        <v>3674</v>
      </c>
      <c r="M299" s="1752"/>
      <c r="N299" s="1746"/>
      <c r="O299" s="157"/>
      <c r="P299" s="157"/>
      <c r="Q299" s="157"/>
      <c r="R299" s="157"/>
      <c r="S299" s="157"/>
      <c r="T299" s="157"/>
      <c r="U299" s="157"/>
      <c r="V299" s="3589"/>
      <c r="W299" s="766">
        <v>34800</v>
      </c>
      <c r="X299" s="765">
        <v>24461</v>
      </c>
      <c r="Y299" s="765">
        <v>24000</v>
      </c>
      <c r="Z299" s="2426">
        <v>24000</v>
      </c>
      <c r="AA299" s="2426">
        <v>24000</v>
      </c>
      <c r="AB299" s="2655">
        <v>32571.428571428572</v>
      </c>
      <c r="AC299" s="766"/>
      <c r="AD299" s="766"/>
      <c r="AE299" s="766"/>
      <c r="AF299" s="766"/>
      <c r="AG299" s="766"/>
      <c r="BB299" s="647"/>
      <c r="BC299" s="658"/>
      <c r="BD299" s="757"/>
      <c r="BE299" s="659"/>
    </row>
    <row r="300" spans="1:57" s="64" customFormat="1" ht="14.45" customHeight="1" outlineLevel="1" x14ac:dyDescent="0.25">
      <c r="A300" s="1393"/>
      <c r="B300" s="157"/>
      <c r="C300" s="385"/>
      <c r="D300" s="3787"/>
      <c r="E300" s="3721"/>
      <c r="F300" s="3647" t="str">
        <f t="shared" si="51"/>
        <v>CAC - SEER 16 ROF: MF_CompE</v>
      </c>
      <c r="G300" s="3648"/>
      <c r="H300" s="3649"/>
      <c r="I300" s="3056"/>
      <c r="J300" s="3182">
        <v>24000</v>
      </c>
      <c r="K300" s="1248">
        <f t="shared" si="52"/>
        <v>2</v>
      </c>
      <c r="L300" s="3183"/>
      <c r="M300" s="1752"/>
      <c r="N300" s="1746"/>
      <c r="O300" s="157"/>
      <c r="P300" s="157"/>
      <c r="Q300" s="157"/>
      <c r="R300" s="157"/>
      <c r="S300" s="157"/>
      <c r="T300" s="157"/>
      <c r="U300" s="157"/>
      <c r="V300" s="3589"/>
      <c r="W300" s="766"/>
      <c r="X300" s="765"/>
      <c r="Y300" s="765">
        <v>24000</v>
      </c>
      <c r="Z300" s="2426">
        <v>24000</v>
      </c>
      <c r="AA300" s="2426">
        <v>24000</v>
      </c>
      <c r="AB300" s="2653">
        <v>24000</v>
      </c>
      <c r="AC300" s="766"/>
      <c r="AD300" s="766"/>
      <c r="AE300" s="766"/>
      <c r="AF300" s="766"/>
      <c r="AG300" s="766"/>
      <c r="BB300" s="647"/>
      <c r="BC300" s="658"/>
      <c r="BD300" s="757"/>
      <c r="BE300" s="659"/>
    </row>
    <row r="301" spans="1:57" s="64" customFormat="1" ht="14.45" customHeight="1" outlineLevel="1" x14ac:dyDescent="0.25">
      <c r="A301" s="1393"/>
      <c r="B301" s="157"/>
      <c r="C301" s="385"/>
      <c r="D301" s="3787"/>
      <c r="E301" s="3721"/>
      <c r="F301" s="3647" t="str">
        <f t="shared" si="51"/>
        <v>CAC - SEER 17 ER1: SF</v>
      </c>
      <c r="G301" s="3648"/>
      <c r="H301" s="3649"/>
      <c r="I301" s="3056"/>
      <c r="J301" s="3182">
        <v>36976.704980842915</v>
      </c>
      <c r="K301" s="1248">
        <f t="shared" si="52"/>
        <v>3.0813920817369094</v>
      </c>
      <c r="L301" s="2718" t="s">
        <v>3674</v>
      </c>
      <c r="M301" s="1752"/>
      <c r="N301" s="1746"/>
      <c r="O301" s="157"/>
      <c r="P301" s="157"/>
      <c r="Q301" s="157"/>
      <c r="R301" s="157"/>
      <c r="S301" s="157"/>
      <c r="T301" s="157"/>
      <c r="U301" s="157"/>
      <c r="V301" s="3589"/>
      <c r="W301" s="766">
        <v>37200</v>
      </c>
      <c r="X301" s="784">
        <f>W301</f>
        <v>37200</v>
      </c>
      <c r="Y301" s="765">
        <v>36720</v>
      </c>
      <c r="Z301" s="2426">
        <v>36720</v>
      </c>
      <c r="AA301" s="2426">
        <v>36720</v>
      </c>
      <c r="AB301" s="2655">
        <v>36976.704980842915</v>
      </c>
      <c r="AC301" s="766"/>
      <c r="AD301" s="766"/>
      <c r="AE301" s="766"/>
      <c r="AF301" s="766"/>
      <c r="AG301" s="766"/>
      <c r="BB301" s="647"/>
      <c r="BC301" s="658"/>
      <c r="BD301" s="757"/>
      <c r="BE301" s="659"/>
    </row>
    <row r="302" spans="1:57" s="64" customFormat="1" ht="14.45" customHeight="1" outlineLevel="1" x14ac:dyDescent="0.25">
      <c r="A302" s="1393"/>
      <c r="B302" s="157"/>
      <c r="C302" s="385"/>
      <c r="D302" s="3787"/>
      <c r="E302" s="3721"/>
      <c r="F302" s="3647" t="str">
        <f t="shared" si="51"/>
        <v>CAC - SEER 17 ER2: SF</v>
      </c>
      <c r="G302" s="3648"/>
      <c r="H302" s="3649"/>
      <c r="I302" s="3056"/>
      <c r="J302" s="3182">
        <f>J301</f>
        <v>36976.704980842915</v>
      </c>
      <c r="K302" s="1248">
        <f t="shared" si="52"/>
        <v>3.0813920817369094</v>
      </c>
      <c r="L302" s="2718" t="s">
        <v>3674</v>
      </c>
      <c r="M302" s="1752"/>
      <c r="N302" s="1746"/>
      <c r="O302" s="157"/>
      <c r="P302" s="157"/>
      <c r="Q302" s="157"/>
      <c r="R302" s="157"/>
      <c r="S302" s="157"/>
      <c r="T302" s="157"/>
      <c r="U302" s="157"/>
      <c r="V302" s="3589"/>
      <c r="W302" s="766">
        <v>37200</v>
      </c>
      <c r="X302" s="784">
        <f t="shared" ref="X302:X308" si="53">W302</f>
        <v>37200</v>
      </c>
      <c r="Y302" s="765">
        <v>36720</v>
      </c>
      <c r="Z302" s="2426">
        <v>36720</v>
      </c>
      <c r="AA302" s="2426">
        <v>36720</v>
      </c>
      <c r="AB302" s="2655">
        <v>36976.704980842915</v>
      </c>
      <c r="AC302" s="766"/>
      <c r="AD302" s="766"/>
      <c r="AE302" s="766"/>
      <c r="AF302" s="766"/>
      <c r="AG302" s="766"/>
      <c r="BB302" s="647"/>
      <c r="BC302" s="658"/>
      <c r="BD302" s="757"/>
      <c r="BE302" s="659"/>
    </row>
    <row r="303" spans="1:57" s="64" customFormat="1" ht="14.45" customHeight="1" outlineLevel="1" x14ac:dyDescent="0.25">
      <c r="A303" s="1393"/>
      <c r="B303" s="157"/>
      <c r="C303" s="385"/>
      <c r="D303" s="3787"/>
      <c r="E303" s="3721"/>
      <c r="F303" s="3647" t="str">
        <f t="shared" si="51"/>
        <v>CAC - SEER 17 ROF: SF</v>
      </c>
      <c r="G303" s="3648"/>
      <c r="H303" s="3649"/>
      <c r="I303" s="3056"/>
      <c r="J303" s="3182">
        <v>38408.163265306124</v>
      </c>
      <c r="K303" s="1248">
        <f t="shared" si="52"/>
        <v>3.2006802721088436</v>
      </c>
      <c r="L303" s="2718" t="s">
        <v>3674</v>
      </c>
      <c r="M303" s="1752"/>
      <c r="N303" s="1746"/>
      <c r="O303" s="157"/>
      <c r="P303" s="157"/>
      <c r="Q303" s="157"/>
      <c r="R303" s="157"/>
      <c r="S303" s="157"/>
      <c r="T303" s="157"/>
      <c r="U303" s="157"/>
      <c r="V303" s="3589"/>
      <c r="W303" s="766">
        <v>34800</v>
      </c>
      <c r="X303" s="784">
        <f t="shared" si="53"/>
        <v>34800</v>
      </c>
      <c r="Y303" s="765">
        <v>35880</v>
      </c>
      <c r="Z303" s="2426">
        <v>35880</v>
      </c>
      <c r="AA303" s="2426">
        <v>35880</v>
      </c>
      <c r="AB303" s="2655">
        <v>38408.163265306124</v>
      </c>
      <c r="AC303" s="766"/>
      <c r="AD303" s="766"/>
      <c r="AE303" s="766"/>
      <c r="AF303" s="766"/>
      <c r="AG303" s="766"/>
      <c r="BB303" s="647"/>
      <c r="BC303" s="658"/>
      <c r="BD303" s="757"/>
      <c r="BE303" s="659"/>
    </row>
    <row r="304" spans="1:57" s="64" customFormat="1" ht="14.45" customHeight="1" outlineLevel="1" x14ac:dyDescent="0.25">
      <c r="A304" s="1393"/>
      <c r="B304" s="157"/>
      <c r="C304" s="385"/>
      <c r="D304" s="3787"/>
      <c r="E304" s="3721"/>
      <c r="F304" s="3647" t="str">
        <f t="shared" si="51"/>
        <v>CAC - SEER 17 ER1: MF</v>
      </c>
      <c r="G304" s="3648"/>
      <c r="H304" s="3649"/>
      <c r="I304" s="3056"/>
      <c r="J304" s="3182">
        <v>29454.545454545456</v>
      </c>
      <c r="K304" s="1248">
        <f t="shared" si="52"/>
        <v>2.4545454545454546</v>
      </c>
      <c r="L304" s="2718" t="s">
        <v>3674</v>
      </c>
      <c r="M304" s="1752"/>
      <c r="N304" s="1746"/>
      <c r="O304" s="157"/>
      <c r="P304" s="157"/>
      <c r="Q304" s="157"/>
      <c r="R304" s="157"/>
      <c r="S304" s="157"/>
      <c r="T304" s="157"/>
      <c r="U304" s="157"/>
      <c r="V304" s="3589"/>
      <c r="W304" s="766">
        <v>37200</v>
      </c>
      <c r="X304" s="784">
        <f t="shared" si="53"/>
        <v>37200</v>
      </c>
      <c r="Y304" s="765">
        <v>24000</v>
      </c>
      <c r="Z304" s="2426">
        <v>24000</v>
      </c>
      <c r="AA304" s="2426">
        <v>24000</v>
      </c>
      <c r="AB304" s="2655">
        <v>29454.545454545456</v>
      </c>
      <c r="AC304" s="766"/>
      <c r="AD304" s="766"/>
      <c r="AE304" s="766"/>
      <c r="AF304" s="766"/>
      <c r="AG304" s="766"/>
      <c r="BB304" s="647"/>
      <c r="BC304" s="658"/>
      <c r="BD304" s="757"/>
      <c r="BE304" s="659"/>
    </row>
    <row r="305" spans="1:57" s="64" customFormat="1" ht="14.45" customHeight="1" outlineLevel="1" x14ac:dyDescent="0.25">
      <c r="A305" s="1393"/>
      <c r="B305" s="157"/>
      <c r="C305" s="385"/>
      <c r="D305" s="3787"/>
      <c r="E305" s="3721"/>
      <c r="F305" s="3647" t="str">
        <f t="shared" si="51"/>
        <v>CAC - SEER 17 ER2: MF</v>
      </c>
      <c r="G305" s="3648"/>
      <c r="H305" s="3649"/>
      <c r="I305" s="3056"/>
      <c r="J305" s="3182">
        <f>J304</f>
        <v>29454.545454545456</v>
      </c>
      <c r="K305" s="1248">
        <f t="shared" si="52"/>
        <v>2.4545454545454546</v>
      </c>
      <c r="L305" s="2718" t="s">
        <v>3674</v>
      </c>
      <c r="M305" s="1752"/>
      <c r="N305" s="1746"/>
      <c r="O305" s="157"/>
      <c r="P305" s="157"/>
      <c r="Q305" s="157"/>
      <c r="R305" s="157"/>
      <c r="S305" s="157"/>
      <c r="T305" s="157"/>
      <c r="U305" s="157"/>
      <c r="V305" s="3589"/>
      <c r="W305" s="766">
        <v>37200</v>
      </c>
      <c r="X305" s="784">
        <f t="shared" si="53"/>
        <v>37200</v>
      </c>
      <c r="Y305" s="765">
        <v>24000</v>
      </c>
      <c r="Z305" s="2426">
        <v>24000</v>
      </c>
      <c r="AA305" s="2426">
        <v>24000</v>
      </c>
      <c r="AB305" s="2655">
        <v>29454.545454545456</v>
      </c>
      <c r="AC305" s="766"/>
      <c r="AD305" s="766"/>
      <c r="AE305" s="766"/>
      <c r="AF305" s="766"/>
      <c r="AG305" s="766"/>
      <c r="BB305" s="647"/>
      <c r="BC305" s="658"/>
      <c r="BD305" s="757"/>
      <c r="BE305" s="659"/>
    </row>
    <row r="306" spans="1:57" s="64" customFormat="1" ht="14.45" customHeight="1" outlineLevel="1" x14ac:dyDescent="0.25">
      <c r="A306" s="1393"/>
      <c r="B306" s="157"/>
      <c r="C306" s="385"/>
      <c r="D306" s="3787"/>
      <c r="E306" s="3721"/>
      <c r="F306" s="3647" t="str">
        <f t="shared" si="51"/>
        <v>CAC - SEER 17 ER1: MF_CompE</v>
      </c>
      <c r="G306" s="3648"/>
      <c r="H306" s="3649"/>
      <c r="I306" s="778"/>
      <c r="J306" s="3182">
        <v>24000</v>
      </c>
      <c r="K306" s="1248">
        <f t="shared" si="52"/>
        <v>2</v>
      </c>
      <c r="L306" s="2719"/>
      <c r="M306" s="1752"/>
      <c r="N306" s="1746"/>
      <c r="O306" s="157"/>
      <c r="P306" s="157"/>
      <c r="Q306" s="157"/>
      <c r="R306" s="157"/>
      <c r="S306" s="157"/>
      <c r="T306" s="157"/>
      <c r="U306" s="157"/>
      <c r="V306" s="3589"/>
      <c r="W306" s="766"/>
      <c r="X306" s="784"/>
      <c r="Y306" s="765">
        <v>24000</v>
      </c>
      <c r="Z306" s="2426">
        <v>24000</v>
      </c>
      <c r="AA306" s="2426">
        <v>24000</v>
      </c>
      <c r="AB306" s="2653">
        <v>24000</v>
      </c>
      <c r="AC306" s="766"/>
      <c r="AD306" s="766"/>
      <c r="AE306" s="766"/>
      <c r="AF306" s="766"/>
      <c r="AG306" s="766"/>
      <c r="BB306" s="647"/>
      <c r="BC306" s="658"/>
      <c r="BD306" s="757"/>
      <c r="BE306" s="659"/>
    </row>
    <row r="307" spans="1:57" s="64" customFormat="1" ht="14.45" customHeight="1" outlineLevel="1" x14ac:dyDescent="0.25">
      <c r="A307" s="1393"/>
      <c r="B307" s="157"/>
      <c r="C307" s="385"/>
      <c r="D307" s="3787"/>
      <c r="E307" s="3721"/>
      <c r="F307" s="3647" t="str">
        <f t="shared" si="51"/>
        <v>CAC - SEER 17 ER2: MF_CompE</v>
      </c>
      <c r="G307" s="3648"/>
      <c r="H307" s="3649"/>
      <c r="I307" s="778"/>
      <c r="J307" s="3182">
        <v>24000</v>
      </c>
      <c r="K307" s="1248">
        <f t="shared" si="52"/>
        <v>2</v>
      </c>
      <c r="L307" s="2719"/>
      <c r="M307" s="1752"/>
      <c r="N307" s="1746"/>
      <c r="O307" s="157"/>
      <c r="P307" s="157"/>
      <c r="Q307" s="157"/>
      <c r="R307" s="157"/>
      <c r="S307" s="157"/>
      <c r="T307" s="157"/>
      <c r="U307" s="157"/>
      <c r="V307" s="3589"/>
      <c r="W307" s="766"/>
      <c r="X307" s="784"/>
      <c r="Y307" s="765">
        <v>24000</v>
      </c>
      <c r="Z307" s="2426">
        <v>24000</v>
      </c>
      <c r="AA307" s="2426">
        <v>24000</v>
      </c>
      <c r="AB307" s="2653">
        <v>24000</v>
      </c>
      <c r="AC307" s="766"/>
      <c r="AD307" s="766"/>
      <c r="AE307" s="766"/>
      <c r="AF307" s="766"/>
      <c r="AG307" s="766"/>
      <c r="BB307" s="647"/>
      <c r="BC307" s="658"/>
      <c r="BD307" s="757"/>
      <c r="BE307" s="659"/>
    </row>
    <row r="308" spans="1:57" s="64" customFormat="1" ht="14.45" customHeight="1" outlineLevel="1" x14ac:dyDescent="0.25">
      <c r="A308" s="1393"/>
      <c r="B308" s="157"/>
      <c r="C308" s="385"/>
      <c r="D308" s="3787"/>
      <c r="E308" s="3721"/>
      <c r="F308" s="3647" t="str">
        <f t="shared" si="51"/>
        <v>CAC - SEER 17 ROF: MF</v>
      </c>
      <c r="G308" s="3648"/>
      <c r="H308" s="3649"/>
      <c r="I308" s="3056"/>
      <c r="J308" s="3182">
        <v>48000</v>
      </c>
      <c r="K308" s="1248">
        <f t="shared" si="52"/>
        <v>4</v>
      </c>
      <c r="L308" s="2718" t="s">
        <v>3674</v>
      </c>
      <c r="M308" s="1753"/>
      <c r="N308" s="1746"/>
      <c r="O308" s="157"/>
      <c r="P308" s="157"/>
      <c r="Q308" s="157"/>
      <c r="R308" s="157"/>
      <c r="S308" s="157"/>
      <c r="T308" s="157"/>
      <c r="U308" s="157"/>
      <c r="V308" s="3589"/>
      <c r="W308" s="766">
        <v>34800</v>
      </c>
      <c r="X308" s="784">
        <f t="shared" si="53"/>
        <v>34800</v>
      </c>
      <c r="Y308" s="766">
        <v>24000</v>
      </c>
      <c r="Z308" s="2426">
        <v>24000</v>
      </c>
      <c r="AA308" s="2426">
        <v>24000</v>
      </c>
      <c r="AB308" s="2655">
        <v>48000</v>
      </c>
      <c r="AC308" s="766"/>
      <c r="AD308" s="766"/>
      <c r="AE308" s="766"/>
      <c r="AF308" s="766"/>
      <c r="AG308" s="766"/>
      <c r="BB308" s="647"/>
      <c r="BC308" s="658"/>
      <c r="BD308" s="757"/>
      <c r="BE308" s="659"/>
    </row>
    <row r="309" spans="1:57" s="64" customFormat="1" ht="14.45" customHeight="1" outlineLevel="1" x14ac:dyDescent="0.25">
      <c r="A309" s="1393"/>
      <c r="B309" s="157"/>
      <c r="C309" s="385"/>
      <c r="D309" s="3787"/>
      <c r="E309" s="3572"/>
      <c r="F309" s="3647" t="str">
        <f t="shared" si="51"/>
        <v>CAC - SEER 17 ROF: MF_CompE</v>
      </c>
      <c r="G309" s="3648"/>
      <c r="H309" s="3649"/>
      <c r="I309" s="3056"/>
      <c r="J309" s="3178">
        <v>24000</v>
      </c>
      <c r="K309" s="89">
        <f t="shared" si="52"/>
        <v>2</v>
      </c>
      <c r="L309" s="929"/>
      <c r="M309" s="1753"/>
      <c r="N309" s="1746"/>
      <c r="O309" s="157"/>
      <c r="P309" s="157"/>
      <c r="Q309" s="157"/>
      <c r="R309" s="157"/>
      <c r="S309" s="157"/>
      <c r="T309" s="157"/>
      <c r="U309" s="157"/>
      <c r="V309" s="3590"/>
      <c r="W309" s="2178"/>
      <c r="X309" s="784"/>
      <c r="Y309" s="765">
        <v>24000</v>
      </c>
      <c r="Z309" s="2426">
        <v>24000</v>
      </c>
      <c r="AA309" s="2426">
        <v>24000</v>
      </c>
      <c r="AB309" s="2651">
        <v>24000</v>
      </c>
      <c r="AC309" s="2178"/>
      <c r="AD309" s="2178"/>
      <c r="AE309" s="2178"/>
      <c r="AF309" s="2178"/>
      <c r="AG309" s="2178"/>
      <c r="BB309" s="647"/>
      <c r="BC309" s="658"/>
      <c r="BD309" s="757"/>
      <c r="BE309" s="659"/>
    </row>
    <row r="310" spans="1:57" s="64" customFormat="1" ht="14.45" customHeight="1" outlineLevel="1" x14ac:dyDescent="0.25">
      <c r="A310" s="1393"/>
      <c r="B310" s="157"/>
      <c r="C310" s="385"/>
      <c r="D310" s="3787"/>
      <c r="E310" s="3785"/>
      <c r="F310" s="3659" t="str">
        <f t="shared" si="51"/>
        <v>CAC - SEER 18 ER1: SF</v>
      </c>
      <c r="G310" s="3660"/>
      <c r="H310" s="3661"/>
      <c r="I310" s="3056"/>
      <c r="J310" s="3178">
        <v>36000</v>
      </c>
      <c r="K310" s="89">
        <f t="shared" si="52"/>
        <v>3</v>
      </c>
      <c r="L310" s="3181" t="s">
        <v>3366</v>
      </c>
      <c r="M310" s="157"/>
      <c r="N310" s="1746"/>
      <c r="O310" s="157"/>
      <c r="P310" s="157"/>
      <c r="Q310" s="157"/>
      <c r="R310" s="157"/>
      <c r="S310" s="157"/>
      <c r="T310" s="157"/>
      <c r="U310" s="157"/>
      <c r="V310" s="3590"/>
      <c r="W310" s="781"/>
      <c r="X310" s="786"/>
      <c r="Y310" s="786"/>
      <c r="Z310" s="786">
        <v>36000</v>
      </c>
      <c r="AA310" s="781">
        <v>36000</v>
      </c>
      <c r="AB310" s="2651">
        <v>36000</v>
      </c>
      <c r="AC310" s="781"/>
      <c r="AD310" s="781"/>
      <c r="AE310" s="781"/>
      <c r="AF310" s="781"/>
      <c r="AG310" s="781"/>
      <c r="BB310" s="647"/>
      <c r="BC310" s="658"/>
      <c r="BD310" s="757"/>
      <c r="BE310" s="659"/>
    </row>
    <row r="311" spans="1:57" s="64" customFormat="1" ht="14.45" customHeight="1" outlineLevel="1" x14ac:dyDescent="0.25">
      <c r="A311" s="1393"/>
      <c r="B311" s="157"/>
      <c r="C311" s="385"/>
      <c r="D311" s="3787"/>
      <c r="E311" s="3785"/>
      <c r="F311" s="3659" t="str">
        <f t="shared" si="51"/>
        <v>CAC - SEER 18 ER2: SF</v>
      </c>
      <c r="G311" s="3660"/>
      <c r="H311" s="3661"/>
      <c r="I311" s="3056"/>
      <c r="J311" s="3178">
        <v>36000</v>
      </c>
      <c r="K311" s="89">
        <f t="shared" si="52"/>
        <v>3</v>
      </c>
      <c r="L311" s="3181"/>
      <c r="M311" s="157"/>
      <c r="N311" s="1746"/>
      <c r="O311" s="157"/>
      <c r="P311" s="157"/>
      <c r="Q311" s="157"/>
      <c r="R311" s="157"/>
      <c r="S311" s="157"/>
      <c r="T311" s="157"/>
      <c r="U311" s="157"/>
      <c r="V311" s="3590"/>
      <c r="W311" s="2125"/>
      <c r="X311" s="765"/>
      <c r="Y311" s="765"/>
      <c r="Z311" s="765">
        <v>36000</v>
      </c>
      <c r="AA311" s="2426">
        <v>36000</v>
      </c>
      <c r="AB311" s="2651">
        <v>36000</v>
      </c>
      <c r="AC311" s="2125"/>
      <c r="AD311" s="2125"/>
      <c r="AE311" s="2125"/>
      <c r="AF311" s="2125"/>
      <c r="AG311" s="2125"/>
      <c r="BB311" s="647"/>
      <c r="BC311" s="658"/>
      <c r="BD311" s="757"/>
      <c r="BE311" s="659"/>
    </row>
    <row r="312" spans="1:57" s="64" customFormat="1" ht="14.45" customHeight="1" outlineLevel="1" x14ac:dyDescent="0.25">
      <c r="A312" s="1393"/>
      <c r="B312" s="157"/>
      <c r="C312" s="385"/>
      <c r="D312" s="3787"/>
      <c r="E312" s="3785"/>
      <c r="F312" s="3659" t="str">
        <f t="shared" si="51"/>
        <v>CAC - SEER 18 ROF: SF</v>
      </c>
      <c r="G312" s="3660"/>
      <c r="H312" s="3661"/>
      <c r="I312" s="3056"/>
      <c r="J312" s="3178">
        <v>36000</v>
      </c>
      <c r="K312" s="89">
        <f t="shared" si="52"/>
        <v>3</v>
      </c>
      <c r="L312" s="3181"/>
      <c r="M312" s="157"/>
      <c r="N312" s="1746"/>
      <c r="O312" s="157"/>
      <c r="P312" s="157"/>
      <c r="Q312" s="157"/>
      <c r="R312" s="157"/>
      <c r="S312" s="157"/>
      <c r="T312" s="157"/>
      <c r="U312" s="157"/>
      <c r="V312" s="3590"/>
      <c r="W312" s="2125"/>
      <c r="X312" s="765"/>
      <c r="Y312" s="765"/>
      <c r="Z312" s="765">
        <v>36000</v>
      </c>
      <c r="AA312" s="2426">
        <v>36000</v>
      </c>
      <c r="AB312" s="2651">
        <v>36000</v>
      </c>
      <c r="AC312" s="2125"/>
      <c r="AD312" s="2125"/>
      <c r="AE312" s="2125"/>
      <c r="AF312" s="2125"/>
      <c r="AG312" s="2125"/>
      <c r="BB312" s="647"/>
      <c r="BC312" s="658"/>
      <c r="BD312" s="757"/>
      <c r="BE312" s="659"/>
    </row>
    <row r="313" spans="1:57" s="64" customFormat="1" ht="14.45" customHeight="1" outlineLevel="1" x14ac:dyDescent="0.25">
      <c r="A313" s="1393"/>
      <c r="B313" s="157"/>
      <c r="C313" s="385"/>
      <c r="D313" s="3787"/>
      <c r="E313" s="3785"/>
      <c r="F313" s="3647" t="str">
        <f t="shared" si="51"/>
        <v>CAC - SEER 18 ER1: MF</v>
      </c>
      <c r="G313" s="3648"/>
      <c r="H313" s="3649"/>
      <c r="I313" s="3056"/>
      <c r="J313" s="3178">
        <v>24000</v>
      </c>
      <c r="K313" s="89">
        <f t="shared" si="52"/>
        <v>2</v>
      </c>
      <c r="L313" s="3181"/>
      <c r="M313" s="1752"/>
      <c r="N313" s="1746"/>
      <c r="O313" s="157"/>
      <c r="P313" s="157"/>
      <c r="Q313" s="157"/>
      <c r="R313" s="157"/>
      <c r="S313" s="157"/>
      <c r="T313" s="157"/>
      <c r="U313" s="157"/>
      <c r="V313" s="3590"/>
      <c r="W313" s="2125"/>
      <c r="X313" s="765"/>
      <c r="Y313" s="2125"/>
      <c r="Z313" s="765">
        <v>24000</v>
      </c>
      <c r="AA313" s="2426">
        <v>24000</v>
      </c>
      <c r="AB313" s="2651">
        <v>24000</v>
      </c>
      <c r="AC313" s="2125"/>
      <c r="AD313" s="2125"/>
      <c r="AE313" s="2125"/>
      <c r="AF313" s="2125"/>
      <c r="AG313" s="2125"/>
      <c r="BB313" s="647"/>
      <c r="BC313" s="658"/>
      <c r="BD313" s="757"/>
      <c r="BE313" s="659"/>
    </row>
    <row r="314" spans="1:57" s="64" customFormat="1" ht="14.45" customHeight="1" outlineLevel="1" x14ac:dyDescent="0.25">
      <c r="A314" s="1393"/>
      <c r="B314" s="157"/>
      <c r="C314" s="385"/>
      <c r="D314" s="3787"/>
      <c r="E314" s="3785"/>
      <c r="F314" s="3647" t="str">
        <f t="shared" si="51"/>
        <v>CAC - SEER 18 ER2: MF</v>
      </c>
      <c r="G314" s="3648"/>
      <c r="H314" s="3649"/>
      <c r="I314" s="3056"/>
      <c r="J314" s="3178">
        <v>24000</v>
      </c>
      <c r="K314" s="89">
        <f t="shared" si="52"/>
        <v>2</v>
      </c>
      <c r="L314" s="3181"/>
      <c r="M314" s="1752"/>
      <c r="N314" s="1746"/>
      <c r="O314" s="157"/>
      <c r="P314" s="157"/>
      <c r="Q314" s="157"/>
      <c r="R314" s="157"/>
      <c r="S314" s="157"/>
      <c r="T314" s="157"/>
      <c r="U314" s="157"/>
      <c r="V314" s="3590"/>
      <c r="W314" s="2125"/>
      <c r="X314" s="765"/>
      <c r="Y314" s="2125"/>
      <c r="Z314" s="765">
        <v>24000</v>
      </c>
      <c r="AA314" s="2426">
        <v>24000</v>
      </c>
      <c r="AB314" s="2651">
        <v>24000</v>
      </c>
      <c r="AC314" s="2125"/>
      <c r="AD314" s="2125"/>
      <c r="AE314" s="2125"/>
      <c r="AF314" s="2125"/>
      <c r="AG314" s="2125"/>
      <c r="BB314" s="647"/>
      <c r="BC314" s="658"/>
      <c r="BD314" s="757"/>
      <c r="BE314" s="659"/>
    </row>
    <row r="315" spans="1:57" s="64" customFormat="1" ht="14.45" customHeight="1" outlineLevel="1" x14ac:dyDescent="0.25">
      <c r="A315" s="1393"/>
      <c r="B315" s="157"/>
      <c r="C315" s="385"/>
      <c r="D315" s="3787"/>
      <c r="E315" s="3785"/>
      <c r="F315" s="3647" t="str">
        <f t="shared" si="51"/>
        <v>CAC - SEER 18 ER1: MF_CompE</v>
      </c>
      <c r="G315" s="3648"/>
      <c r="H315" s="3649"/>
      <c r="I315" s="3056"/>
      <c r="J315" s="3178">
        <v>24000</v>
      </c>
      <c r="K315" s="89">
        <f t="shared" si="52"/>
        <v>2</v>
      </c>
      <c r="L315" s="3181"/>
      <c r="M315" s="1752"/>
      <c r="N315" s="1746"/>
      <c r="O315" s="157"/>
      <c r="P315" s="157"/>
      <c r="Q315" s="157"/>
      <c r="R315" s="157"/>
      <c r="S315" s="157"/>
      <c r="T315" s="157"/>
      <c r="U315" s="157"/>
      <c r="V315" s="3590"/>
      <c r="W315" s="2125"/>
      <c r="X315" s="765"/>
      <c r="Y315" s="765"/>
      <c r="Z315" s="765">
        <v>24000</v>
      </c>
      <c r="AA315" s="2426">
        <v>24000</v>
      </c>
      <c r="AB315" s="2651">
        <v>24000</v>
      </c>
      <c r="AC315" s="2125"/>
      <c r="AD315" s="2125"/>
      <c r="AE315" s="2125"/>
      <c r="AF315" s="2125"/>
      <c r="AG315" s="2125"/>
      <c r="BB315" s="647"/>
      <c r="BC315" s="658"/>
      <c r="BD315" s="757"/>
      <c r="BE315" s="659"/>
    </row>
    <row r="316" spans="1:57" s="64" customFormat="1" ht="14.45" customHeight="1" outlineLevel="1" x14ac:dyDescent="0.25">
      <c r="A316" s="1393"/>
      <c r="B316" s="157"/>
      <c r="C316" s="385"/>
      <c r="D316" s="3787"/>
      <c r="E316" s="3785"/>
      <c r="F316" s="3647" t="str">
        <f t="shared" si="51"/>
        <v>CAC - SEER 18 ER2: MF_CompE</v>
      </c>
      <c r="G316" s="3648"/>
      <c r="H316" s="3649"/>
      <c r="I316" s="3056"/>
      <c r="J316" s="3178">
        <v>24000</v>
      </c>
      <c r="K316" s="89">
        <f t="shared" si="52"/>
        <v>2</v>
      </c>
      <c r="L316" s="3181"/>
      <c r="M316" s="1752"/>
      <c r="N316" s="1746"/>
      <c r="O316" s="157"/>
      <c r="P316" s="157"/>
      <c r="Q316" s="157"/>
      <c r="R316" s="157"/>
      <c r="S316" s="157"/>
      <c r="T316" s="157"/>
      <c r="U316" s="157"/>
      <c r="V316" s="3590"/>
      <c r="W316" s="2125"/>
      <c r="X316" s="765"/>
      <c r="Y316" s="765"/>
      <c r="Z316" s="765">
        <v>24000</v>
      </c>
      <c r="AA316" s="2426">
        <v>24000</v>
      </c>
      <c r="AB316" s="2651">
        <v>24000</v>
      </c>
      <c r="AC316" s="2125"/>
      <c r="AD316" s="2125"/>
      <c r="AE316" s="2125"/>
      <c r="AF316" s="2125"/>
      <c r="AG316" s="2125"/>
      <c r="BB316" s="647"/>
      <c r="BC316" s="658"/>
      <c r="BD316" s="757"/>
      <c r="BE316" s="659"/>
    </row>
    <row r="317" spans="1:57" s="64" customFormat="1" ht="14.45" customHeight="1" outlineLevel="1" x14ac:dyDescent="0.25">
      <c r="A317" s="1393"/>
      <c r="B317" s="157"/>
      <c r="C317" s="385"/>
      <c r="D317" s="3787"/>
      <c r="E317" s="3785"/>
      <c r="F317" s="3647" t="str">
        <f t="shared" si="51"/>
        <v>CAC - SEER 18 ROF: MF</v>
      </c>
      <c r="G317" s="3648"/>
      <c r="H317" s="3649"/>
      <c r="I317" s="3056"/>
      <c r="J317" s="3178">
        <v>24000</v>
      </c>
      <c r="K317" s="89">
        <f t="shared" si="52"/>
        <v>2</v>
      </c>
      <c r="L317" s="3181"/>
      <c r="M317" s="1752"/>
      <c r="N317" s="1746"/>
      <c r="O317" s="157"/>
      <c r="P317" s="157"/>
      <c r="Q317" s="157"/>
      <c r="R317" s="157"/>
      <c r="S317" s="157"/>
      <c r="T317" s="157"/>
      <c r="U317" s="157"/>
      <c r="V317" s="3590"/>
      <c r="W317" s="2125"/>
      <c r="X317" s="765"/>
      <c r="Y317" s="765"/>
      <c r="Z317" s="765">
        <v>24000</v>
      </c>
      <c r="AA317" s="2426">
        <v>24000</v>
      </c>
      <c r="AB317" s="2651">
        <v>24000</v>
      </c>
      <c r="AC317" s="2125"/>
      <c r="AD317" s="2125"/>
      <c r="AE317" s="2125"/>
      <c r="AF317" s="2125"/>
      <c r="AG317" s="2125"/>
      <c r="BB317" s="647"/>
      <c r="BC317" s="658"/>
      <c r="BD317" s="757"/>
      <c r="BE317" s="659"/>
    </row>
    <row r="318" spans="1:57" s="64" customFormat="1" ht="14.45" customHeight="1" outlineLevel="1" x14ac:dyDescent="0.25">
      <c r="A318" s="1393"/>
      <c r="B318" s="157"/>
      <c r="C318" s="385"/>
      <c r="D318" s="3787"/>
      <c r="E318" s="3785"/>
      <c r="F318" s="3647" t="str">
        <f t="shared" si="51"/>
        <v>CAC - SEER 18 ROF: MF_CompE</v>
      </c>
      <c r="G318" s="3648"/>
      <c r="H318" s="3649"/>
      <c r="I318" s="3056"/>
      <c r="J318" s="3178">
        <v>24000</v>
      </c>
      <c r="K318" s="89">
        <f t="shared" si="52"/>
        <v>2</v>
      </c>
      <c r="L318" s="3181"/>
      <c r="M318" s="1752"/>
      <c r="N318" s="1746"/>
      <c r="O318" s="157"/>
      <c r="P318" s="157"/>
      <c r="Q318" s="157"/>
      <c r="R318" s="157"/>
      <c r="S318" s="157"/>
      <c r="T318" s="157"/>
      <c r="U318" s="157"/>
      <c r="V318" s="3590"/>
      <c r="W318" s="2125"/>
      <c r="X318" s="765"/>
      <c r="Y318" s="2125"/>
      <c r="Z318" s="765">
        <v>24000</v>
      </c>
      <c r="AA318" s="2426">
        <v>24000</v>
      </c>
      <c r="AB318" s="2651">
        <v>24000</v>
      </c>
      <c r="AC318" s="2125"/>
      <c r="AD318" s="2125"/>
      <c r="AE318" s="2125"/>
      <c r="AF318" s="2125"/>
      <c r="AG318" s="2125"/>
      <c r="BB318" s="647"/>
      <c r="BC318" s="658"/>
      <c r="BD318" s="757"/>
      <c r="BE318" s="659"/>
    </row>
    <row r="319" spans="1:57" s="64" customFormat="1" ht="14.45" customHeight="1" outlineLevel="1" x14ac:dyDescent="0.25">
      <c r="A319" s="1393"/>
      <c r="B319" s="157"/>
      <c r="C319" s="385"/>
      <c r="D319" s="3787"/>
      <c r="E319" s="3785"/>
      <c r="F319" s="3647" t="str">
        <f t="shared" si="51"/>
        <v>CAC - SEER 19 ER1: SF</v>
      </c>
      <c r="G319" s="3648"/>
      <c r="H319" s="3649"/>
      <c r="I319" s="3056"/>
      <c r="J319" s="3178">
        <v>36000</v>
      </c>
      <c r="K319" s="89">
        <f t="shared" si="52"/>
        <v>3</v>
      </c>
      <c r="L319" s="3181"/>
      <c r="M319" s="1752"/>
      <c r="N319" s="1746"/>
      <c r="O319" s="157"/>
      <c r="P319" s="157"/>
      <c r="Q319" s="157"/>
      <c r="R319" s="157"/>
      <c r="S319" s="157"/>
      <c r="T319" s="157"/>
      <c r="U319" s="157"/>
      <c r="V319" s="3590"/>
      <c r="W319" s="2125"/>
      <c r="X319" s="765"/>
      <c r="Y319" s="765"/>
      <c r="Z319" s="765">
        <v>36000</v>
      </c>
      <c r="AA319" s="2426">
        <v>36000</v>
      </c>
      <c r="AB319" s="2651">
        <v>36000</v>
      </c>
      <c r="AC319" s="2125"/>
      <c r="AD319" s="2125"/>
      <c r="AE319" s="2125"/>
      <c r="AF319" s="2125"/>
      <c r="AG319" s="2125"/>
      <c r="BB319" s="647"/>
      <c r="BC319" s="658"/>
      <c r="BD319" s="757"/>
      <c r="BE319" s="659"/>
    </row>
    <row r="320" spans="1:57" s="64" customFormat="1" ht="14.45" customHeight="1" outlineLevel="1" x14ac:dyDescent="0.25">
      <c r="A320" s="1393"/>
      <c r="B320" s="157"/>
      <c r="C320" s="385"/>
      <c r="D320" s="3787"/>
      <c r="E320" s="3785"/>
      <c r="F320" s="3647" t="str">
        <f t="shared" si="51"/>
        <v>CAC - SEER 19 ER2: SF</v>
      </c>
      <c r="G320" s="3648"/>
      <c r="H320" s="3649"/>
      <c r="I320" s="3056"/>
      <c r="J320" s="3178">
        <v>36000</v>
      </c>
      <c r="K320" s="89">
        <f t="shared" si="52"/>
        <v>3</v>
      </c>
      <c r="L320" s="3181"/>
      <c r="M320" s="1752"/>
      <c r="N320" s="1746"/>
      <c r="O320" s="157"/>
      <c r="P320" s="157"/>
      <c r="Q320" s="157"/>
      <c r="R320" s="157"/>
      <c r="S320" s="157"/>
      <c r="T320" s="157"/>
      <c r="U320" s="157"/>
      <c r="V320" s="3590"/>
      <c r="W320" s="2125"/>
      <c r="X320" s="765"/>
      <c r="Y320" s="765"/>
      <c r="Z320" s="765">
        <v>36000</v>
      </c>
      <c r="AA320" s="2426">
        <v>36000</v>
      </c>
      <c r="AB320" s="2651">
        <v>36000</v>
      </c>
      <c r="AC320" s="2125"/>
      <c r="AD320" s="2125"/>
      <c r="AE320" s="2125"/>
      <c r="AF320" s="2125"/>
      <c r="AG320" s="2125"/>
      <c r="BB320" s="647"/>
      <c r="BC320" s="658"/>
      <c r="BD320" s="757"/>
      <c r="BE320" s="659"/>
    </row>
    <row r="321" spans="1:57" s="64" customFormat="1" ht="14.45" customHeight="1" outlineLevel="1" x14ac:dyDescent="0.25">
      <c r="A321" s="1393"/>
      <c r="B321" s="157"/>
      <c r="C321" s="385"/>
      <c r="D321" s="3787"/>
      <c r="E321" s="3785"/>
      <c r="F321" s="3647" t="str">
        <f t="shared" si="51"/>
        <v>CAC - SEER 19 ROF: SF</v>
      </c>
      <c r="G321" s="3648"/>
      <c r="H321" s="3649"/>
      <c r="I321" s="3056"/>
      <c r="J321" s="3178">
        <v>36000</v>
      </c>
      <c r="K321" s="89">
        <f t="shared" si="52"/>
        <v>3</v>
      </c>
      <c r="L321" s="3181"/>
      <c r="M321" s="1752"/>
      <c r="N321" s="1746"/>
      <c r="O321" s="157"/>
      <c r="P321" s="157"/>
      <c r="Q321" s="157"/>
      <c r="R321" s="157"/>
      <c r="S321" s="157"/>
      <c r="T321" s="157"/>
      <c r="U321" s="157"/>
      <c r="V321" s="3590"/>
      <c r="W321" s="2125"/>
      <c r="X321" s="765"/>
      <c r="Y321" s="765"/>
      <c r="Z321" s="765">
        <v>36000</v>
      </c>
      <c r="AA321" s="2426">
        <v>36000</v>
      </c>
      <c r="AB321" s="2651">
        <v>36000</v>
      </c>
      <c r="AC321" s="2125"/>
      <c r="AD321" s="2125"/>
      <c r="AE321" s="2125"/>
      <c r="AF321" s="2125"/>
      <c r="AG321" s="2125"/>
      <c r="BB321" s="647"/>
      <c r="BC321" s="658"/>
      <c r="BD321" s="757"/>
      <c r="BE321" s="659"/>
    </row>
    <row r="322" spans="1:57" s="64" customFormat="1" ht="14.45" customHeight="1" outlineLevel="1" x14ac:dyDescent="0.25">
      <c r="A322" s="1393"/>
      <c r="B322" s="157"/>
      <c r="C322" s="385"/>
      <c r="D322" s="3787"/>
      <c r="E322" s="3785"/>
      <c r="F322" s="3647" t="str">
        <f t="shared" si="51"/>
        <v>CAC - SEER 19 ER1: MF</v>
      </c>
      <c r="G322" s="3648"/>
      <c r="H322" s="3649"/>
      <c r="I322" s="3056"/>
      <c r="J322" s="3178">
        <v>24000</v>
      </c>
      <c r="K322" s="89">
        <f t="shared" si="52"/>
        <v>2</v>
      </c>
      <c r="L322" s="3181"/>
      <c r="M322" s="1752"/>
      <c r="N322" s="1746"/>
      <c r="O322" s="157"/>
      <c r="P322" s="157"/>
      <c r="Q322" s="157"/>
      <c r="R322" s="157"/>
      <c r="S322" s="157"/>
      <c r="T322" s="157"/>
      <c r="U322" s="157"/>
      <c r="V322" s="3590"/>
      <c r="W322" s="2125"/>
      <c r="X322" s="765"/>
      <c r="Y322" s="2125"/>
      <c r="Z322" s="765">
        <v>24000</v>
      </c>
      <c r="AA322" s="2426">
        <v>24000</v>
      </c>
      <c r="AB322" s="2651">
        <v>24000</v>
      </c>
      <c r="AC322" s="2125"/>
      <c r="AD322" s="2125"/>
      <c r="AE322" s="2125"/>
      <c r="AF322" s="2125"/>
      <c r="AG322" s="2125"/>
      <c r="BB322" s="647"/>
      <c r="BC322" s="658"/>
      <c r="BD322" s="757"/>
      <c r="BE322" s="659"/>
    </row>
    <row r="323" spans="1:57" s="64" customFormat="1" ht="14.45" customHeight="1" outlineLevel="1" x14ac:dyDescent="0.25">
      <c r="A323" s="1393"/>
      <c r="B323" s="157"/>
      <c r="C323" s="385"/>
      <c r="D323" s="3787"/>
      <c r="E323" s="3785"/>
      <c r="F323" s="3647" t="str">
        <f t="shared" si="51"/>
        <v>CAC - SEER 19 ER2: MF</v>
      </c>
      <c r="G323" s="3648"/>
      <c r="H323" s="3649"/>
      <c r="I323" s="3056"/>
      <c r="J323" s="3178">
        <v>24000</v>
      </c>
      <c r="K323" s="89">
        <f t="shared" si="52"/>
        <v>2</v>
      </c>
      <c r="L323" s="3181"/>
      <c r="M323" s="1752"/>
      <c r="N323" s="1746"/>
      <c r="O323" s="157"/>
      <c r="P323" s="157"/>
      <c r="Q323" s="157"/>
      <c r="R323" s="157"/>
      <c r="S323" s="157"/>
      <c r="T323" s="157"/>
      <c r="U323" s="157"/>
      <c r="V323" s="3590"/>
      <c r="W323" s="2125"/>
      <c r="X323" s="765"/>
      <c r="Y323" s="2125"/>
      <c r="Z323" s="765">
        <v>24000</v>
      </c>
      <c r="AA323" s="2426">
        <v>24000</v>
      </c>
      <c r="AB323" s="2651">
        <v>24000</v>
      </c>
      <c r="AC323" s="2125"/>
      <c r="AD323" s="2125"/>
      <c r="AE323" s="2125"/>
      <c r="AF323" s="2125"/>
      <c r="AG323" s="2125"/>
      <c r="BB323" s="647"/>
      <c r="BC323" s="658"/>
      <c r="BD323" s="757"/>
      <c r="BE323" s="659"/>
    </row>
    <row r="324" spans="1:57" s="64" customFormat="1" ht="14.45" customHeight="1" outlineLevel="1" x14ac:dyDescent="0.25">
      <c r="A324" s="1393"/>
      <c r="B324" s="157"/>
      <c r="C324" s="385"/>
      <c r="D324" s="3787"/>
      <c r="E324" s="3785"/>
      <c r="F324" s="3647" t="str">
        <f t="shared" si="51"/>
        <v>CAC - SEER 19 ER1: MF_CompE</v>
      </c>
      <c r="G324" s="3648"/>
      <c r="H324" s="3649"/>
      <c r="I324" s="3056"/>
      <c r="J324" s="3178">
        <v>24000</v>
      </c>
      <c r="K324" s="89">
        <f t="shared" si="52"/>
        <v>2</v>
      </c>
      <c r="L324" s="3181"/>
      <c r="M324" s="1752"/>
      <c r="N324" s="1746"/>
      <c r="O324" s="157"/>
      <c r="P324" s="157"/>
      <c r="Q324" s="157"/>
      <c r="R324" s="157"/>
      <c r="S324" s="157"/>
      <c r="T324" s="157"/>
      <c r="U324" s="157"/>
      <c r="V324" s="3590"/>
      <c r="W324" s="2125"/>
      <c r="X324" s="765"/>
      <c r="Y324" s="765"/>
      <c r="Z324" s="765">
        <v>24000</v>
      </c>
      <c r="AA324" s="2426">
        <v>24000</v>
      </c>
      <c r="AB324" s="2651">
        <v>24000</v>
      </c>
      <c r="AC324" s="2125"/>
      <c r="AD324" s="2125"/>
      <c r="AE324" s="2125"/>
      <c r="AF324" s="2125"/>
      <c r="AG324" s="2125"/>
      <c r="BB324" s="647"/>
      <c r="BC324" s="658"/>
      <c r="BD324" s="757"/>
      <c r="BE324" s="659"/>
    </row>
    <row r="325" spans="1:57" s="64" customFormat="1" ht="14.45" customHeight="1" outlineLevel="1" x14ac:dyDescent="0.25">
      <c r="A325" s="1393"/>
      <c r="B325" s="157"/>
      <c r="C325" s="385"/>
      <c r="D325" s="3787"/>
      <c r="E325" s="3785"/>
      <c r="F325" s="3647" t="str">
        <f t="shared" si="51"/>
        <v>CAC - SEER 19 ER2: MF_CompE</v>
      </c>
      <c r="G325" s="3648"/>
      <c r="H325" s="3649"/>
      <c r="I325" s="3056"/>
      <c r="J325" s="3178">
        <v>24000</v>
      </c>
      <c r="K325" s="89">
        <f t="shared" si="52"/>
        <v>2</v>
      </c>
      <c r="L325" s="3181"/>
      <c r="M325" s="1752"/>
      <c r="N325" s="1746"/>
      <c r="O325" s="157"/>
      <c r="P325" s="157"/>
      <c r="Q325" s="157"/>
      <c r="R325" s="157"/>
      <c r="S325" s="157"/>
      <c r="T325" s="157"/>
      <c r="U325" s="157"/>
      <c r="V325" s="3590"/>
      <c r="W325" s="2125"/>
      <c r="X325" s="765"/>
      <c r="Y325" s="765"/>
      <c r="Z325" s="765">
        <v>24000</v>
      </c>
      <c r="AA325" s="2426">
        <v>24000</v>
      </c>
      <c r="AB325" s="2651">
        <v>24000</v>
      </c>
      <c r="AC325" s="2125"/>
      <c r="AD325" s="2125"/>
      <c r="AE325" s="2125"/>
      <c r="AF325" s="2125"/>
      <c r="AG325" s="2125"/>
      <c r="BB325" s="647"/>
      <c r="BC325" s="658"/>
      <c r="BD325" s="757"/>
      <c r="BE325" s="659"/>
    </row>
    <row r="326" spans="1:57" s="64" customFormat="1" ht="14.45" customHeight="1" outlineLevel="1" x14ac:dyDescent="0.25">
      <c r="A326" s="1393"/>
      <c r="B326" s="157"/>
      <c r="C326" s="385"/>
      <c r="D326" s="3787"/>
      <c r="E326" s="3785"/>
      <c r="F326" s="3647" t="str">
        <f t="shared" si="51"/>
        <v>CAC - SEER 19 ROF: MF</v>
      </c>
      <c r="G326" s="3648"/>
      <c r="H326" s="3649"/>
      <c r="I326" s="3056"/>
      <c r="J326" s="3178">
        <v>24000</v>
      </c>
      <c r="K326" s="89">
        <f t="shared" si="52"/>
        <v>2</v>
      </c>
      <c r="L326" s="3181"/>
      <c r="M326" s="1752"/>
      <c r="N326" s="1746"/>
      <c r="O326" s="157"/>
      <c r="P326" s="157"/>
      <c r="Q326" s="157"/>
      <c r="R326" s="157"/>
      <c r="S326" s="157"/>
      <c r="T326" s="157"/>
      <c r="U326" s="157"/>
      <c r="V326" s="3590"/>
      <c r="W326" s="2125"/>
      <c r="X326" s="765"/>
      <c r="Y326" s="765"/>
      <c r="Z326" s="765">
        <v>24000</v>
      </c>
      <c r="AA326" s="2426">
        <v>24000</v>
      </c>
      <c r="AB326" s="2651">
        <v>24000</v>
      </c>
      <c r="AC326" s="2125"/>
      <c r="AD326" s="2125"/>
      <c r="AE326" s="2125"/>
      <c r="AF326" s="2125"/>
      <c r="AG326" s="2125"/>
      <c r="BB326" s="647"/>
      <c r="BC326" s="658"/>
      <c r="BD326" s="757"/>
      <c r="BE326" s="659"/>
    </row>
    <row r="327" spans="1:57" s="64" customFormat="1" ht="14.45" customHeight="1" outlineLevel="1" x14ac:dyDescent="0.25">
      <c r="A327" s="1393"/>
      <c r="B327" s="157"/>
      <c r="C327" s="385"/>
      <c r="D327" s="3787"/>
      <c r="E327" s="3785"/>
      <c r="F327" s="3647" t="str">
        <f t="shared" si="51"/>
        <v>CAC - SEER 19 ROF: MF_CompE</v>
      </c>
      <c r="G327" s="3648"/>
      <c r="H327" s="3649"/>
      <c r="I327" s="3056"/>
      <c r="J327" s="3178">
        <v>24000</v>
      </c>
      <c r="K327" s="89">
        <f t="shared" si="52"/>
        <v>2</v>
      </c>
      <c r="L327" s="3181"/>
      <c r="M327" s="1752"/>
      <c r="N327" s="1746"/>
      <c r="O327" s="157"/>
      <c r="P327" s="157"/>
      <c r="Q327" s="157"/>
      <c r="R327" s="157"/>
      <c r="S327" s="157"/>
      <c r="T327" s="157"/>
      <c r="U327" s="157"/>
      <c r="V327" s="3590"/>
      <c r="W327" s="2125"/>
      <c r="X327" s="765"/>
      <c r="Y327" s="765"/>
      <c r="Z327" s="765">
        <v>24000</v>
      </c>
      <c r="AA327" s="2426">
        <v>24000</v>
      </c>
      <c r="AB327" s="2651">
        <v>24000</v>
      </c>
      <c r="AC327" s="2125"/>
      <c r="AD327" s="2125"/>
      <c r="AE327" s="2125"/>
      <c r="AF327" s="2125"/>
      <c r="AG327" s="2125"/>
      <c r="BB327" s="647"/>
      <c r="BC327" s="658"/>
      <c r="BD327" s="757"/>
      <c r="BE327" s="659"/>
    </row>
    <row r="328" spans="1:57" s="64" customFormat="1" ht="14.45" customHeight="1" outlineLevel="1" x14ac:dyDescent="0.25">
      <c r="A328" s="1393"/>
      <c r="B328" s="157"/>
      <c r="C328" s="385"/>
      <c r="D328" s="3787"/>
      <c r="E328" s="3785"/>
      <c r="F328" s="3647" t="str">
        <f t="shared" si="51"/>
        <v>CAC - SEER 20 ER1: SF</v>
      </c>
      <c r="G328" s="3648"/>
      <c r="H328" s="3649"/>
      <c r="I328" s="3056"/>
      <c r="J328" s="3178">
        <v>36000</v>
      </c>
      <c r="K328" s="89">
        <f t="shared" si="52"/>
        <v>3</v>
      </c>
      <c r="L328" s="3181"/>
      <c r="M328" s="1752"/>
      <c r="N328" s="1746"/>
      <c r="O328" s="157"/>
      <c r="P328" s="157"/>
      <c r="Q328" s="157"/>
      <c r="R328" s="157"/>
      <c r="S328" s="157"/>
      <c r="T328" s="157"/>
      <c r="U328" s="157"/>
      <c r="V328" s="3590"/>
      <c r="W328" s="2125"/>
      <c r="X328" s="765"/>
      <c r="Y328" s="765"/>
      <c r="Z328" s="765">
        <v>36000</v>
      </c>
      <c r="AA328" s="2426">
        <v>36000</v>
      </c>
      <c r="AB328" s="2651">
        <v>36000</v>
      </c>
      <c r="AC328" s="2125"/>
      <c r="AD328" s="2125"/>
      <c r="AE328" s="2125"/>
      <c r="AF328" s="2125"/>
      <c r="AG328" s="2125"/>
      <c r="BB328" s="647"/>
      <c r="BC328" s="658"/>
      <c r="BD328" s="757"/>
      <c r="BE328" s="659"/>
    </row>
    <row r="329" spans="1:57" s="64" customFormat="1" ht="14.45" customHeight="1" outlineLevel="1" x14ac:dyDescent="0.25">
      <c r="A329" s="1393"/>
      <c r="B329" s="157"/>
      <c r="C329" s="385"/>
      <c r="D329" s="3787"/>
      <c r="E329" s="3785"/>
      <c r="F329" s="3647" t="str">
        <f t="shared" si="51"/>
        <v>CAC - SEER 20 ER2: SF</v>
      </c>
      <c r="G329" s="3648"/>
      <c r="H329" s="3649"/>
      <c r="I329" s="3056"/>
      <c r="J329" s="3178">
        <v>36000</v>
      </c>
      <c r="K329" s="89">
        <f t="shared" si="52"/>
        <v>3</v>
      </c>
      <c r="L329" s="3181"/>
      <c r="M329" s="1752"/>
      <c r="N329" s="1746"/>
      <c r="O329" s="157"/>
      <c r="P329" s="157"/>
      <c r="Q329" s="157"/>
      <c r="R329" s="157"/>
      <c r="S329" s="157"/>
      <c r="T329" s="157"/>
      <c r="U329" s="157"/>
      <c r="V329" s="3590"/>
      <c r="W329" s="2125"/>
      <c r="X329" s="765"/>
      <c r="Y329" s="765"/>
      <c r="Z329" s="765">
        <v>36000</v>
      </c>
      <c r="AA329" s="2426">
        <v>36000</v>
      </c>
      <c r="AB329" s="2651">
        <v>36000</v>
      </c>
      <c r="AC329" s="2125"/>
      <c r="AD329" s="2125"/>
      <c r="AE329" s="2125"/>
      <c r="AF329" s="2125"/>
      <c r="AG329" s="2125"/>
      <c r="BB329" s="647"/>
      <c r="BC329" s="658"/>
      <c r="BD329" s="757"/>
      <c r="BE329" s="659"/>
    </row>
    <row r="330" spans="1:57" s="64" customFormat="1" ht="14.45" customHeight="1" outlineLevel="1" x14ac:dyDescent="0.25">
      <c r="A330" s="1393"/>
      <c r="B330" s="157"/>
      <c r="C330" s="385"/>
      <c r="D330" s="3787"/>
      <c r="E330" s="3785"/>
      <c r="F330" s="3647" t="str">
        <f t="shared" si="51"/>
        <v>CAC - SEER 20 ROF: SF</v>
      </c>
      <c r="G330" s="3648"/>
      <c r="H330" s="3649"/>
      <c r="I330" s="3056"/>
      <c r="J330" s="3178">
        <v>36000</v>
      </c>
      <c r="K330" s="89">
        <f t="shared" si="52"/>
        <v>3</v>
      </c>
      <c r="L330" s="3181"/>
      <c r="M330" s="1752"/>
      <c r="N330" s="1746"/>
      <c r="O330" s="157"/>
      <c r="P330" s="157"/>
      <c r="Q330" s="157"/>
      <c r="R330" s="157"/>
      <c r="S330" s="157"/>
      <c r="T330" s="157"/>
      <c r="U330" s="157"/>
      <c r="V330" s="3590"/>
      <c r="W330" s="2125"/>
      <c r="X330" s="765"/>
      <c r="Y330" s="765"/>
      <c r="Z330" s="765">
        <v>36000</v>
      </c>
      <c r="AA330" s="2426">
        <v>36000</v>
      </c>
      <c r="AB330" s="2651">
        <v>36000</v>
      </c>
      <c r="AC330" s="2125"/>
      <c r="AD330" s="2125"/>
      <c r="AE330" s="2125"/>
      <c r="AF330" s="2125"/>
      <c r="AG330" s="2125"/>
      <c r="BB330" s="647"/>
      <c r="BC330" s="658"/>
      <c r="BD330" s="757"/>
      <c r="BE330" s="659"/>
    </row>
    <row r="331" spans="1:57" s="64" customFormat="1" ht="14.45" customHeight="1" outlineLevel="1" x14ac:dyDescent="0.25">
      <c r="A331" s="1393"/>
      <c r="B331" s="157"/>
      <c r="C331" s="385"/>
      <c r="D331" s="3787"/>
      <c r="E331" s="3785"/>
      <c r="F331" s="3647" t="str">
        <f t="shared" si="51"/>
        <v>CAC - SEER 20 ER1: MF</v>
      </c>
      <c r="G331" s="3648"/>
      <c r="H331" s="3649"/>
      <c r="I331" s="3056"/>
      <c r="J331" s="3178">
        <v>24000</v>
      </c>
      <c r="K331" s="89">
        <f t="shared" si="52"/>
        <v>2</v>
      </c>
      <c r="L331" s="3181"/>
      <c r="M331" s="1752"/>
      <c r="N331" s="1746"/>
      <c r="O331" s="157"/>
      <c r="P331" s="157"/>
      <c r="Q331" s="157"/>
      <c r="R331" s="157"/>
      <c r="S331" s="157"/>
      <c r="T331" s="157"/>
      <c r="U331" s="157"/>
      <c r="V331" s="3590"/>
      <c r="W331" s="2125"/>
      <c r="X331" s="765"/>
      <c r="Y331" s="765"/>
      <c r="Z331" s="765">
        <v>24000</v>
      </c>
      <c r="AA331" s="2426">
        <v>24000</v>
      </c>
      <c r="AB331" s="2651">
        <v>24000</v>
      </c>
      <c r="AC331" s="2125"/>
      <c r="AD331" s="2125"/>
      <c r="AE331" s="2125"/>
      <c r="AF331" s="2125"/>
      <c r="AG331" s="2125"/>
      <c r="BB331" s="647"/>
      <c r="BC331" s="658"/>
      <c r="BD331" s="757"/>
      <c r="BE331" s="659"/>
    </row>
    <row r="332" spans="1:57" s="64" customFormat="1" ht="14.45" customHeight="1" outlineLevel="1" x14ac:dyDescent="0.25">
      <c r="A332" s="1393"/>
      <c r="B332" s="157"/>
      <c r="C332" s="385"/>
      <c r="D332" s="3787"/>
      <c r="E332" s="3785"/>
      <c r="F332" s="3647" t="str">
        <f t="shared" si="51"/>
        <v>CAC - SEER 20 ER2: MF</v>
      </c>
      <c r="G332" s="3648"/>
      <c r="H332" s="3649"/>
      <c r="I332" s="3056"/>
      <c r="J332" s="3178">
        <v>24000</v>
      </c>
      <c r="K332" s="89">
        <f t="shared" si="52"/>
        <v>2</v>
      </c>
      <c r="L332" s="3181"/>
      <c r="M332" s="1752"/>
      <c r="N332" s="1746"/>
      <c r="O332" s="157"/>
      <c r="P332" s="157"/>
      <c r="Q332" s="157"/>
      <c r="R332" s="157"/>
      <c r="S332" s="157"/>
      <c r="T332" s="157"/>
      <c r="U332" s="157"/>
      <c r="V332" s="3590"/>
      <c r="W332" s="2125"/>
      <c r="X332" s="765"/>
      <c r="Y332" s="765"/>
      <c r="Z332" s="765">
        <v>24000</v>
      </c>
      <c r="AA332" s="2426">
        <v>24000</v>
      </c>
      <c r="AB332" s="2651">
        <v>24000</v>
      </c>
      <c r="AC332" s="2125"/>
      <c r="AD332" s="2125"/>
      <c r="AE332" s="2125"/>
      <c r="AF332" s="2125"/>
      <c r="AG332" s="2125"/>
      <c r="BB332" s="647"/>
      <c r="BC332" s="658"/>
      <c r="BD332" s="757"/>
      <c r="BE332" s="659"/>
    </row>
    <row r="333" spans="1:57" s="64" customFormat="1" ht="14.45" customHeight="1" outlineLevel="1" x14ac:dyDescent="0.25">
      <c r="A333" s="1393"/>
      <c r="B333" s="157"/>
      <c r="C333" s="385"/>
      <c r="D333" s="3787"/>
      <c r="E333" s="3785"/>
      <c r="F333" s="3647" t="str">
        <f t="shared" si="51"/>
        <v>CAC - SEER 20 ER1: MF_CompE</v>
      </c>
      <c r="G333" s="3648"/>
      <c r="H333" s="3649"/>
      <c r="I333" s="3056"/>
      <c r="J333" s="3178">
        <v>24000</v>
      </c>
      <c r="K333" s="89">
        <f t="shared" si="52"/>
        <v>2</v>
      </c>
      <c r="L333" s="3181"/>
      <c r="M333" s="1752"/>
      <c r="N333" s="1746"/>
      <c r="O333" s="157"/>
      <c r="P333" s="157"/>
      <c r="Q333" s="157"/>
      <c r="R333" s="157"/>
      <c r="S333" s="157"/>
      <c r="T333" s="157"/>
      <c r="U333" s="157"/>
      <c r="V333" s="3590"/>
      <c r="W333" s="2125"/>
      <c r="X333" s="765"/>
      <c r="Y333" s="765"/>
      <c r="Z333" s="765">
        <v>24000</v>
      </c>
      <c r="AA333" s="2426">
        <v>24000</v>
      </c>
      <c r="AB333" s="2651">
        <v>24000</v>
      </c>
      <c r="AC333" s="2125"/>
      <c r="AD333" s="2125"/>
      <c r="AE333" s="2125"/>
      <c r="AF333" s="2125"/>
      <c r="AG333" s="2125"/>
      <c r="BB333" s="647"/>
      <c r="BC333" s="658"/>
      <c r="BD333" s="757"/>
      <c r="BE333" s="659"/>
    </row>
    <row r="334" spans="1:57" s="64" customFormat="1" ht="14.45" customHeight="1" outlineLevel="1" x14ac:dyDescent="0.25">
      <c r="A334" s="1393"/>
      <c r="B334" s="157"/>
      <c r="C334" s="385"/>
      <c r="D334" s="3787"/>
      <c r="E334" s="3785"/>
      <c r="F334" s="3647" t="str">
        <f t="shared" si="51"/>
        <v>CAC - SEER 20 ER2: MF_CompE</v>
      </c>
      <c r="G334" s="3648"/>
      <c r="H334" s="3649"/>
      <c r="I334" s="3056"/>
      <c r="J334" s="3178">
        <v>24000</v>
      </c>
      <c r="K334" s="89">
        <f t="shared" si="52"/>
        <v>2</v>
      </c>
      <c r="L334" s="3181"/>
      <c r="M334" s="1752"/>
      <c r="N334" s="1746"/>
      <c r="O334" s="157"/>
      <c r="P334" s="157"/>
      <c r="Q334" s="157"/>
      <c r="R334" s="157"/>
      <c r="S334" s="157"/>
      <c r="T334" s="157"/>
      <c r="U334" s="157"/>
      <c r="V334" s="3590"/>
      <c r="W334" s="2125"/>
      <c r="X334" s="765"/>
      <c r="Y334" s="765"/>
      <c r="Z334" s="765">
        <v>24000</v>
      </c>
      <c r="AA334" s="2426">
        <v>24000</v>
      </c>
      <c r="AB334" s="2651">
        <v>24000</v>
      </c>
      <c r="AC334" s="2125"/>
      <c r="AD334" s="2125"/>
      <c r="AE334" s="2125"/>
      <c r="AF334" s="2125"/>
      <c r="AG334" s="2125"/>
      <c r="BB334" s="647"/>
      <c r="BC334" s="658"/>
      <c r="BD334" s="757"/>
      <c r="BE334" s="659"/>
    </row>
    <row r="335" spans="1:57" s="64" customFormat="1" ht="14.45" customHeight="1" outlineLevel="1" x14ac:dyDescent="0.25">
      <c r="A335" s="1393"/>
      <c r="B335" s="157"/>
      <c r="C335" s="385"/>
      <c r="D335" s="3787"/>
      <c r="E335" s="3785"/>
      <c r="F335" s="3647" t="str">
        <f t="shared" si="51"/>
        <v>CAC - SEER 20 ROF: MF</v>
      </c>
      <c r="G335" s="3648"/>
      <c r="H335" s="3649"/>
      <c r="I335" s="3056"/>
      <c r="J335" s="3178">
        <v>24000</v>
      </c>
      <c r="K335" s="89">
        <f t="shared" si="52"/>
        <v>2</v>
      </c>
      <c r="L335" s="3181"/>
      <c r="M335" s="1752"/>
      <c r="N335" s="1746"/>
      <c r="O335" s="157"/>
      <c r="P335" s="157"/>
      <c r="Q335" s="157"/>
      <c r="R335" s="157"/>
      <c r="S335" s="157"/>
      <c r="T335" s="157"/>
      <c r="U335" s="157"/>
      <c r="V335" s="3590"/>
      <c r="W335" s="2125"/>
      <c r="X335" s="765"/>
      <c r="Y335" s="765"/>
      <c r="Z335" s="765">
        <v>24000</v>
      </c>
      <c r="AA335" s="2426">
        <v>24000</v>
      </c>
      <c r="AB335" s="2651">
        <v>24000</v>
      </c>
      <c r="AC335" s="2125"/>
      <c r="AD335" s="2125"/>
      <c r="AE335" s="2125"/>
      <c r="AF335" s="2125"/>
      <c r="AG335" s="2125"/>
      <c r="BB335" s="647"/>
      <c r="BC335" s="658"/>
      <c r="BD335" s="757"/>
      <c r="BE335" s="659"/>
    </row>
    <row r="336" spans="1:57" s="64" customFormat="1" ht="14.45" customHeight="1" outlineLevel="1" x14ac:dyDescent="0.25">
      <c r="A336" s="1393"/>
      <c r="B336" s="157"/>
      <c r="C336" s="385"/>
      <c r="D336" s="3787"/>
      <c r="E336" s="3785"/>
      <c r="F336" s="3647" t="str">
        <f t="shared" si="51"/>
        <v>CAC - SEER 20 ROF: MF_CompE</v>
      </c>
      <c r="G336" s="3648"/>
      <c r="H336" s="3649"/>
      <c r="I336" s="3056"/>
      <c r="J336" s="3178">
        <v>24000</v>
      </c>
      <c r="K336" s="89">
        <f t="shared" si="52"/>
        <v>2</v>
      </c>
      <c r="L336" s="3181"/>
      <c r="M336" s="1752"/>
      <c r="N336" s="1746"/>
      <c r="O336" s="157"/>
      <c r="P336" s="157"/>
      <c r="Q336" s="157"/>
      <c r="R336" s="157"/>
      <c r="S336" s="157"/>
      <c r="T336" s="157"/>
      <c r="U336" s="157"/>
      <c r="V336" s="3590"/>
      <c r="W336" s="2125"/>
      <c r="X336" s="765"/>
      <c r="Y336" s="765"/>
      <c r="Z336" s="765">
        <v>24000</v>
      </c>
      <c r="AA336" s="2426">
        <v>24000</v>
      </c>
      <c r="AB336" s="2651">
        <v>24000</v>
      </c>
      <c r="AC336" s="2125"/>
      <c r="AD336" s="2125"/>
      <c r="AE336" s="2125"/>
      <c r="AF336" s="2125"/>
      <c r="AG336" s="2125"/>
      <c r="BB336" s="647"/>
      <c r="BC336" s="658"/>
      <c r="BD336" s="757"/>
      <c r="BE336" s="659"/>
    </row>
    <row r="337" spans="1:57" s="64" customFormat="1" ht="14.45" customHeight="1" outlineLevel="1" x14ac:dyDescent="0.25">
      <c r="A337" s="1393"/>
      <c r="B337" s="157"/>
      <c r="C337" s="385"/>
      <c r="D337" s="3787"/>
      <c r="E337" s="3785"/>
      <c r="F337" s="3647" t="str">
        <f t="shared" si="51"/>
        <v>CAC - SEER 21+ ER1: SF</v>
      </c>
      <c r="G337" s="3648"/>
      <c r="H337" s="3649"/>
      <c r="I337" s="3056"/>
      <c r="J337" s="3178">
        <v>36000</v>
      </c>
      <c r="K337" s="89">
        <f t="shared" si="52"/>
        <v>3</v>
      </c>
      <c r="L337" s="3185"/>
      <c r="M337" s="1752"/>
      <c r="N337" s="1746"/>
      <c r="O337" s="157"/>
      <c r="P337" s="157"/>
      <c r="Q337" s="157"/>
      <c r="R337" s="157"/>
      <c r="S337" s="157"/>
      <c r="T337" s="157"/>
      <c r="U337" s="157"/>
      <c r="V337" s="3590"/>
      <c r="W337" s="2125"/>
      <c r="X337" s="784"/>
      <c r="Y337" s="765"/>
      <c r="Z337" s="765">
        <v>36000</v>
      </c>
      <c r="AA337" s="2426">
        <v>36000</v>
      </c>
      <c r="AB337" s="2651">
        <v>36000</v>
      </c>
      <c r="AC337" s="2125"/>
      <c r="AD337" s="2125"/>
      <c r="AE337" s="2125"/>
      <c r="AF337" s="2125"/>
      <c r="AG337" s="2125"/>
      <c r="BB337" s="647"/>
      <c r="BC337" s="658"/>
      <c r="BD337" s="757"/>
      <c r="BE337" s="659"/>
    </row>
    <row r="338" spans="1:57" s="64" customFormat="1" ht="14.45" customHeight="1" outlineLevel="1" x14ac:dyDescent="0.25">
      <c r="A338" s="1393"/>
      <c r="B338" s="157"/>
      <c r="C338" s="385"/>
      <c r="D338" s="3787"/>
      <c r="E338" s="3785"/>
      <c r="F338" s="3647" t="str">
        <f t="shared" ref="F338:F401" si="54">F266</f>
        <v>CAC - SEER 21+ ER2: SF</v>
      </c>
      <c r="G338" s="3648"/>
      <c r="H338" s="3649"/>
      <c r="I338" s="3056"/>
      <c r="J338" s="3178">
        <v>36000</v>
      </c>
      <c r="K338" s="89">
        <f t="shared" ref="K338:K345" si="55">J338/12000</f>
        <v>3</v>
      </c>
      <c r="L338" s="3185"/>
      <c r="M338" s="1752"/>
      <c r="N338" s="1746"/>
      <c r="O338" s="157"/>
      <c r="P338" s="157"/>
      <c r="Q338" s="157"/>
      <c r="R338" s="157"/>
      <c r="S338" s="157"/>
      <c r="T338" s="157"/>
      <c r="U338" s="157"/>
      <c r="V338" s="3590"/>
      <c r="W338" s="2125"/>
      <c r="X338" s="784"/>
      <c r="Y338" s="765"/>
      <c r="Z338" s="765">
        <v>36000</v>
      </c>
      <c r="AA338" s="2426">
        <v>36000</v>
      </c>
      <c r="AB338" s="2651">
        <v>36000</v>
      </c>
      <c r="AC338" s="2125"/>
      <c r="AD338" s="2125"/>
      <c r="AE338" s="2125"/>
      <c r="AF338" s="2125"/>
      <c r="AG338" s="2125"/>
      <c r="BB338" s="647"/>
      <c r="BC338" s="658"/>
      <c r="BD338" s="757"/>
      <c r="BE338" s="659"/>
    </row>
    <row r="339" spans="1:57" s="64" customFormat="1" ht="14.45" customHeight="1" outlineLevel="1" x14ac:dyDescent="0.25">
      <c r="A339" s="1393"/>
      <c r="B339" s="157"/>
      <c r="C339" s="385"/>
      <c r="D339" s="3787"/>
      <c r="E339" s="3785"/>
      <c r="F339" s="3647" t="str">
        <f t="shared" si="54"/>
        <v>CAC - SEER 21+ ROF: SF</v>
      </c>
      <c r="G339" s="3648"/>
      <c r="H339" s="3649"/>
      <c r="I339" s="3056"/>
      <c r="J339" s="3178">
        <v>36000</v>
      </c>
      <c r="K339" s="89">
        <f t="shared" si="55"/>
        <v>3</v>
      </c>
      <c r="L339" s="3185"/>
      <c r="M339" s="1752"/>
      <c r="N339" s="1746"/>
      <c r="O339" s="157"/>
      <c r="P339" s="157"/>
      <c r="Q339" s="157"/>
      <c r="R339" s="157"/>
      <c r="S339" s="157"/>
      <c r="T339" s="157"/>
      <c r="U339" s="157"/>
      <c r="V339" s="3590"/>
      <c r="W339" s="2125"/>
      <c r="X339" s="784"/>
      <c r="Y339" s="765"/>
      <c r="Z339" s="765">
        <v>36000</v>
      </c>
      <c r="AA339" s="2426">
        <v>36000</v>
      </c>
      <c r="AB339" s="2651">
        <v>36000</v>
      </c>
      <c r="AC339" s="2125"/>
      <c r="AD339" s="2125"/>
      <c r="AE339" s="2125"/>
      <c r="AF339" s="2125"/>
      <c r="AG339" s="2125"/>
      <c r="BB339" s="647"/>
      <c r="BC339" s="658"/>
      <c r="BD339" s="757"/>
      <c r="BE339" s="659"/>
    </row>
    <row r="340" spans="1:57" s="64" customFormat="1" ht="14.45" customHeight="1" outlineLevel="1" x14ac:dyDescent="0.25">
      <c r="A340" s="1393"/>
      <c r="B340" s="157"/>
      <c r="C340" s="385"/>
      <c r="D340" s="3787"/>
      <c r="E340" s="3785"/>
      <c r="F340" s="3647" t="str">
        <f t="shared" si="54"/>
        <v>CAC - SEER 21+ ER1: MF</v>
      </c>
      <c r="G340" s="3648"/>
      <c r="H340" s="3649"/>
      <c r="I340" s="3056"/>
      <c r="J340" s="3178">
        <v>24000</v>
      </c>
      <c r="K340" s="89">
        <f t="shared" si="55"/>
        <v>2</v>
      </c>
      <c r="L340" s="3185"/>
      <c r="M340" s="1752"/>
      <c r="N340" s="1746"/>
      <c r="O340" s="157"/>
      <c r="P340" s="157"/>
      <c r="Q340" s="157"/>
      <c r="R340" s="157"/>
      <c r="S340" s="157"/>
      <c r="T340" s="157"/>
      <c r="U340" s="157"/>
      <c r="V340" s="3590"/>
      <c r="W340" s="2125"/>
      <c r="X340" s="784"/>
      <c r="Y340" s="765"/>
      <c r="Z340" s="765">
        <v>24000</v>
      </c>
      <c r="AA340" s="2426">
        <v>24000</v>
      </c>
      <c r="AB340" s="2651">
        <v>24000</v>
      </c>
      <c r="AC340" s="2125"/>
      <c r="AD340" s="2125"/>
      <c r="AE340" s="2125"/>
      <c r="AF340" s="2125"/>
      <c r="AG340" s="2125"/>
      <c r="BB340" s="647"/>
      <c r="BC340" s="658"/>
      <c r="BD340" s="757"/>
      <c r="BE340" s="659"/>
    </row>
    <row r="341" spans="1:57" s="64" customFormat="1" ht="14.45" customHeight="1" outlineLevel="1" x14ac:dyDescent="0.25">
      <c r="A341" s="1393"/>
      <c r="B341" s="157"/>
      <c r="C341" s="385"/>
      <c r="D341" s="3787"/>
      <c r="E341" s="3785"/>
      <c r="F341" s="3647" t="str">
        <f t="shared" si="54"/>
        <v>CAC - SEER 21+ ER2: MF</v>
      </c>
      <c r="G341" s="3648"/>
      <c r="H341" s="3649"/>
      <c r="I341" s="3056"/>
      <c r="J341" s="3178">
        <v>24000</v>
      </c>
      <c r="K341" s="89">
        <f t="shared" si="55"/>
        <v>2</v>
      </c>
      <c r="L341" s="3185"/>
      <c r="M341" s="1752"/>
      <c r="N341" s="1746"/>
      <c r="O341" s="157"/>
      <c r="P341" s="157"/>
      <c r="Q341" s="157"/>
      <c r="R341" s="157"/>
      <c r="S341" s="157"/>
      <c r="T341" s="157"/>
      <c r="U341" s="157"/>
      <c r="V341" s="3590"/>
      <c r="W341" s="2125"/>
      <c r="X341" s="784"/>
      <c r="Y341" s="765"/>
      <c r="Z341" s="765">
        <v>24000</v>
      </c>
      <c r="AA341" s="2426">
        <v>24000</v>
      </c>
      <c r="AB341" s="2651">
        <v>24000</v>
      </c>
      <c r="AC341" s="2125"/>
      <c r="AD341" s="2125"/>
      <c r="AE341" s="2125"/>
      <c r="AF341" s="2125"/>
      <c r="AG341" s="2125"/>
      <c r="BB341" s="647"/>
      <c r="BC341" s="658"/>
      <c r="BD341" s="757"/>
      <c r="BE341" s="659"/>
    </row>
    <row r="342" spans="1:57" s="64" customFormat="1" ht="14.45" customHeight="1" outlineLevel="1" x14ac:dyDescent="0.25">
      <c r="A342" s="1393"/>
      <c r="B342" s="157"/>
      <c r="C342" s="385"/>
      <c r="D342" s="3787"/>
      <c r="E342" s="3785"/>
      <c r="F342" s="3647" t="str">
        <f t="shared" si="54"/>
        <v>CAC - SEER 21+ ER1: MF_CompE</v>
      </c>
      <c r="G342" s="3648"/>
      <c r="H342" s="3649"/>
      <c r="I342" s="778"/>
      <c r="J342" s="3178">
        <v>24000</v>
      </c>
      <c r="K342" s="89">
        <f t="shared" si="55"/>
        <v>2</v>
      </c>
      <c r="L342" s="3186"/>
      <c r="M342" s="1752"/>
      <c r="N342" s="1746"/>
      <c r="O342" s="157"/>
      <c r="P342" s="157"/>
      <c r="Q342" s="157"/>
      <c r="R342" s="157"/>
      <c r="S342" s="157"/>
      <c r="T342" s="157"/>
      <c r="U342" s="157"/>
      <c r="V342" s="3590"/>
      <c r="W342" s="2125"/>
      <c r="X342" s="784"/>
      <c r="Y342" s="765"/>
      <c r="Z342" s="765">
        <v>24000</v>
      </c>
      <c r="AA342" s="2426">
        <v>24000</v>
      </c>
      <c r="AB342" s="2651">
        <v>24000</v>
      </c>
      <c r="AC342" s="2125"/>
      <c r="AD342" s="2125"/>
      <c r="AE342" s="2125"/>
      <c r="AF342" s="2125"/>
      <c r="AG342" s="2125"/>
      <c r="BB342" s="647"/>
      <c r="BC342" s="658"/>
      <c r="BD342" s="757"/>
      <c r="BE342" s="659"/>
    </row>
    <row r="343" spans="1:57" s="64" customFormat="1" ht="14.45" customHeight="1" outlineLevel="1" x14ac:dyDescent="0.25">
      <c r="A343" s="1393"/>
      <c r="B343" s="157"/>
      <c r="C343" s="385"/>
      <c r="D343" s="3787"/>
      <c r="E343" s="3785"/>
      <c r="F343" s="3647" t="str">
        <f t="shared" si="54"/>
        <v>CAC - SEER 21+ ER2: MF_CompE</v>
      </c>
      <c r="G343" s="3648"/>
      <c r="H343" s="3649"/>
      <c r="I343" s="778"/>
      <c r="J343" s="3178">
        <v>24000</v>
      </c>
      <c r="K343" s="89">
        <f t="shared" si="55"/>
        <v>2</v>
      </c>
      <c r="L343" s="3186"/>
      <c r="M343" s="1752"/>
      <c r="N343" s="1746"/>
      <c r="O343" s="157"/>
      <c r="P343" s="157"/>
      <c r="Q343" s="157"/>
      <c r="R343" s="157"/>
      <c r="S343" s="157"/>
      <c r="T343" s="157"/>
      <c r="U343" s="157"/>
      <c r="V343" s="3590"/>
      <c r="W343" s="2125"/>
      <c r="X343" s="784"/>
      <c r="Y343" s="765"/>
      <c r="Z343" s="765">
        <v>24000</v>
      </c>
      <c r="AA343" s="2426">
        <v>24000</v>
      </c>
      <c r="AB343" s="2651">
        <v>24000</v>
      </c>
      <c r="AC343" s="2125"/>
      <c r="AD343" s="2125"/>
      <c r="AE343" s="2125"/>
      <c r="AF343" s="2125"/>
      <c r="AG343" s="2125"/>
      <c r="BB343" s="647"/>
      <c r="BC343" s="658"/>
      <c r="BD343" s="757"/>
      <c r="BE343" s="659"/>
    </row>
    <row r="344" spans="1:57" s="64" customFormat="1" ht="14.45" customHeight="1" outlineLevel="1" x14ac:dyDescent="0.25">
      <c r="A344" s="1393"/>
      <c r="B344" s="157"/>
      <c r="C344" s="385"/>
      <c r="D344" s="3787"/>
      <c r="E344" s="3785"/>
      <c r="F344" s="3647" t="str">
        <f t="shared" si="54"/>
        <v>CAC - SEER 21+ ROF: MF</v>
      </c>
      <c r="G344" s="3648"/>
      <c r="H344" s="3649"/>
      <c r="I344" s="3056"/>
      <c r="J344" s="3178">
        <v>24000</v>
      </c>
      <c r="K344" s="89">
        <f t="shared" si="55"/>
        <v>2</v>
      </c>
      <c r="L344" s="3185"/>
      <c r="M344" s="1753"/>
      <c r="N344" s="1746"/>
      <c r="O344" s="157"/>
      <c r="P344" s="157"/>
      <c r="Q344" s="157"/>
      <c r="R344" s="157"/>
      <c r="S344" s="157"/>
      <c r="T344" s="157"/>
      <c r="U344" s="157"/>
      <c r="V344" s="3590"/>
      <c r="W344" s="2125"/>
      <c r="X344" s="784"/>
      <c r="Y344" s="2125"/>
      <c r="Z344" s="765">
        <v>24000</v>
      </c>
      <c r="AA344" s="2426">
        <v>24000</v>
      </c>
      <c r="AB344" s="2651">
        <v>24000</v>
      </c>
      <c r="AC344" s="2125"/>
      <c r="AD344" s="2125"/>
      <c r="AE344" s="2125"/>
      <c r="AF344" s="2125"/>
      <c r="AG344" s="2125"/>
      <c r="BB344" s="647"/>
      <c r="BC344" s="658"/>
      <c r="BD344" s="757"/>
      <c r="BE344" s="659"/>
    </row>
    <row r="345" spans="1:57" s="64" customFormat="1" ht="14.45" customHeight="1" outlineLevel="1" thickBot="1" x14ac:dyDescent="0.3">
      <c r="A345" s="1393"/>
      <c r="B345" s="157"/>
      <c r="C345" s="385"/>
      <c r="D345" s="3788"/>
      <c r="E345" s="3786"/>
      <c r="F345" s="3647" t="str">
        <f t="shared" si="54"/>
        <v>CAC - SEER 21+ ROF: MF_CompE</v>
      </c>
      <c r="G345" s="3648"/>
      <c r="H345" s="3649"/>
      <c r="I345" s="780"/>
      <c r="J345" s="3178">
        <v>24000</v>
      </c>
      <c r="K345" s="2812">
        <f t="shared" si="55"/>
        <v>2</v>
      </c>
      <c r="L345" s="3187"/>
      <c r="M345" s="1753"/>
      <c r="N345" s="1746"/>
      <c r="O345" s="157"/>
      <c r="P345" s="157"/>
      <c r="Q345" s="157"/>
      <c r="R345" s="157"/>
      <c r="S345" s="157"/>
      <c r="T345" s="157"/>
      <c r="U345" s="157"/>
      <c r="V345" s="3591"/>
      <c r="W345" s="781"/>
      <c r="X345" s="785"/>
      <c r="Y345" s="786"/>
      <c r="Z345" s="786">
        <v>24000</v>
      </c>
      <c r="AA345" s="781">
        <v>24000</v>
      </c>
      <c r="AB345" s="2651">
        <v>24000</v>
      </c>
      <c r="AC345" s="781"/>
      <c r="AD345" s="781"/>
      <c r="AE345" s="781"/>
      <c r="AF345" s="781"/>
      <c r="AG345" s="781"/>
      <c r="BB345" s="647"/>
      <c r="BC345" s="658"/>
      <c r="BD345" s="757"/>
      <c r="BE345" s="659"/>
    </row>
    <row r="346" spans="1:57" s="64" customFormat="1" ht="14.45" customHeight="1" outlineLevel="1" x14ac:dyDescent="0.25">
      <c r="A346" s="1393"/>
      <c r="B346" s="157"/>
      <c r="C346" s="385"/>
      <c r="D346" s="3588" t="s">
        <v>1196</v>
      </c>
      <c r="E346" s="3720" t="s">
        <v>1197</v>
      </c>
      <c r="F346" s="3654" t="str">
        <f t="shared" si="54"/>
        <v>CAC - SEER 14 ER1: SF</v>
      </c>
      <c r="G346" s="3655"/>
      <c r="H346" s="3656"/>
      <c r="I346" s="3065"/>
      <c r="J346" s="3065"/>
      <c r="K346" s="761"/>
      <c r="L346" s="3188" t="s">
        <v>1198</v>
      </c>
      <c r="M346" s="1753"/>
      <c r="N346" s="1746"/>
      <c r="O346" s="157"/>
      <c r="P346" s="157"/>
      <c r="Q346" s="157"/>
      <c r="R346" s="157"/>
      <c r="S346" s="157"/>
      <c r="T346" s="157"/>
      <c r="U346" s="157"/>
      <c r="V346" s="3588" t="str">
        <f>D346</f>
        <v>SEERbase</v>
      </c>
      <c r="W346" s="760">
        <v>10</v>
      </c>
      <c r="X346" s="759"/>
      <c r="Y346" s="759"/>
      <c r="Z346" s="759"/>
      <c r="AA346" s="2428"/>
      <c r="AB346" s="2188"/>
      <c r="AC346" s="760"/>
      <c r="AD346" s="760"/>
      <c r="AE346" s="760"/>
      <c r="AF346" s="760"/>
      <c r="AG346" s="760"/>
      <c r="BB346" s="647"/>
      <c r="BC346" s="658"/>
      <c r="BD346" s="757"/>
      <c r="BE346" s="659"/>
    </row>
    <row r="347" spans="1:57" s="64" customFormat="1" ht="14.45" customHeight="1" outlineLevel="1" x14ac:dyDescent="0.25">
      <c r="A347" s="1393"/>
      <c r="B347" s="157"/>
      <c r="C347" s="385"/>
      <c r="D347" s="3589"/>
      <c r="E347" s="3721"/>
      <c r="F347" s="3659" t="str">
        <f t="shared" si="54"/>
        <v>CAC - SEER 14 ER2: SF</v>
      </c>
      <c r="G347" s="3660"/>
      <c r="H347" s="3661"/>
      <c r="I347" s="3056"/>
      <c r="J347" s="3056">
        <v>13</v>
      </c>
      <c r="K347" s="767"/>
      <c r="L347" s="3189" t="str">
        <f>L346</f>
        <v>MO TRM</v>
      </c>
      <c r="M347" s="1753"/>
      <c r="N347" s="1746"/>
      <c r="O347" s="157"/>
      <c r="P347" s="157"/>
      <c r="Q347" s="157"/>
      <c r="R347" s="157"/>
      <c r="S347" s="157"/>
      <c r="T347" s="157"/>
      <c r="U347" s="157"/>
      <c r="V347" s="3589"/>
      <c r="W347" s="766">
        <v>13</v>
      </c>
      <c r="X347" s="766">
        <v>13</v>
      </c>
      <c r="Y347" s="766">
        <v>13</v>
      </c>
      <c r="Z347" s="2426">
        <v>13</v>
      </c>
      <c r="AA347" s="2426">
        <v>13</v>
      </c>
      <c r="AB347" s="784">
        <v>13</v>
      </c>
      <c r="AC347" s="766"/>
      <c r="AD347" s="766"/>
      <c r="AE347" s="766"/>
      <c r="AF347" s="766"/>
      <c r="AG347" s="766"/>
      <c r="BB347" s="647"/>
      <c r="BC347" s="658"/>
      <c r="BD347" s="757"/>
      <c r="BE347" s="659"/>
    </row>
    <row r="348" spans="1:57" s="64" customFormat="1" ht="14.45" customHeight="1" outlineLevel="1" x14ac:dyDescent="0.25">
      <c r="A348" s="1393"/>
      <c r="B348" s="157"/>
      <c r="C348" s="385"/>
      <c r="D348" s="3589"/>
      <c r="E348" s="3721"/>
      <c r="F348" s="3659" t="str">
        <f t="shared" si="54"/>
        <v>CAC - SEER 14 ROF: SF</v>
      </c>
      <c r="G348" s="3660"/>
      <c r="H348" s="3661"/>
      <c r="I348" s="3056"/>
      <c r="J348" s="3056">
        <v>13</v>
      </c>
      <c r="K348" s="767"/>
      <c r="L348" s="3189" t="str">
        <f t="shared" ref="L348:L377" si="56">L347</f>
        <v>MO TRM</v>
      </c>
      <c r="M348" s="385"/>
      <c r="N348" s="1746"/>
      <c r="O348" s="385"/>
      <c r="P348" s="157"/>
      <c r="Q348" s="157"/>
      <c r="R348" s="157"/>
      <c r="S348" s="157"/>
      <c r="T348" s="157"/>
      <c r="U348" s="157"/>
      <c r="V348" s="3589"/>
      <c r="W348" s="766">
        <v>13</v>
      </c>
      <c r="X348" s="766">
        <v>13</v>
      </c>
      <c r="Y348" s="766">
        <v>13</v>
      </c>
      <c r="Z348" s="2426">
        <v>13</v>
      </c>
      <c r="AA348" s="2426">
        <v>13</v>
      </c>
      <c r="AB348" s="784">
        <v>13</v>
      </c>
      <c r="AC348" s="766"/>
      <c r="AD348" s="766"/>
      <c r="AE348" s="766"/>
      <c r="AF348" s="766"/>
      <c r="AG348" s="766"/>
      <c r="BB348" s="647"/>
      <c r="BC348" s="658"/>
      <c r="BD348" s="757"/>
      <c r="BE348" s="659"/>
    </row>
    <row r="349" spans="1:57" s="64" customFormat="1" outlineLevel="1" x14ac:dyDescent="0.25">
      <c r="A349" s="1393"/>
      <c r="B349" s="157"/>
      <c r="C349" s="385"/>
      <c r="D349" s="3589"/>
      <c r="E349" s="3721"/>
      <c r="F349" s="3647" t="str">
        <f t="shared" si="54"/>
        <v>CAC - SEER 14 ER1: MF</v>
      </c>
      <c r="G349" s="3648"/>
      <c r="H349" s="3649"/>
      <c r="I349" s="3056"/>
      <c r="J349" s="3056"/>
      <c r="K349" s="767"/>
      <c r="L349" s="3189" t="str">
        <f t="shared" si="56"/>
        <v>MO TRM</v>
      </c>
      <c r="M349" s="385"/>
      <c r="N349" s="1746"/>
      <c r="O349" s="385"/>
      <c r="P349" s="157"/>
      <c r="Q349" s="157"/>
      <c r="R349" s="157"/>
      <c r="S349" s="157"/>
      <c r="T349" s="157"/>
      <c r="U349" s="157"/>
      <c r="V349" s="3589"/>
      <c r="W349" s="766">
        <v>10</v>
      </c>
      <c r="X349" s="765"/>
      <c r="Y349" s="765"/>
      <c r="Z349" s="765"/>
      <c r="AA349" s="2426"/>
      <c r="AB349" s="784"/>
      <c r="AC349" s="766"/>
      <c r="AD349" s="766"/>
      <c r="AE349" s="766"/>
      <c r="AF349" s="766"/>
      <c r="AG349" s="766"/>
      <c r="BB349" s="647"/>
      <c r="BC349" s="658"/>
      <c r="BD349" s="757"/>
      <c r="BE349" s="659"/>
    </row>
    <row r="350" spans="1:57" s="64" customFormat="1" outlineLevel="1" x14ac:dyDescent="0.25">
      <c r="A350" s="1393"/>
      <c r="B350" s="157"/>
      <c r="C350" s="385"/>
      <c r="D350" s="3589"/>
      <c r="E350" s="3721"/>
      <c r="F350" s="3647" t="str">
        <f t="shared" si="54"/>
        <v>CAC - SEER 14 ER2: MF</v>
      </c>
      <c r="G350" s="3648"/>
      <c r="H350" s="3649"/>
      <c r="I350" s="3056"/>
      <c r="J350" s="3056">
        <v>13</v>
      </c>
      <c r="K350" s="767"/>
      <c r="L350" s="3189" t="str">
        <f t="shared" si="56"/>
        <v>MO TRM</v>
      </c>
      <c r="M350" s="385"/>
      <c r="N350" s="1746"/>
      <c r="O350" s="385"/>
      <c r="P350" s="157"/>
      <c r="Q350" s="157"/>
      <c r="R350" s="157"/>
      <c r="S350" s="157"/>
      <c r="T350" s="157"/>
      <c r="U350" s="157"/>
      <c r="V350" s="3589"/>
      <c r="W350" s="766">
        <v>13</v>
      </c>
      <c r="X350" s="766">
        <v>13</v>
      </c>
      <c r="Y350" s="766">
        <v>13</v>
      </c>
      <c r="Z350" s="2426">
        <v>13</v>
      </c>
      <c r="AA350" s="2426">
        <v>13</v>
      </c>
      <c r="AB350" s="784">
        <v>13</v>
      </c>
      <c r="AC350" s="766"/>
      <c r="AD350" s="766"/>
      <c r="AE350" s="766"/>
      <c r="AF350" s="766"/>
      <c r="AG350" s="766"/>
      <c r="BB350" s="647"/>
      <c r="BC350" s="658"/>
      <c r="BD350" s="757"/>
      <c r="BE350" s="659"/>
    </row>
    <row r="351" spans="1:57" s="64" customFormat="1" outlineLevel="1" x14ac:dyDescent="0.25">
      <c r="A351" s="1393"/>
      <c r="B351" s="157"/>
      <c r="C351" s="385"/>
      <c r="D351" s="3589"/>
      <c r="E351" s="3721"/>
      <c r="F351" s="3647" t="str">
        <f t="shared" si="54"/>
        <v>CAC - SEER 14 ER1: MF_CompE</v>
      </c>
      <c r="G351" s="3648"/>
      <c r="H351" s="3649"/>
      <c r="I351" s="3056"/>
      <c r="J351" s="3056"/>
      <c r="K351" s="767"/>
      <c r="L351" s="3189"/>
      <c r="M351" s="385"/>
      <c r="N351" s="1746"/>
      <c r="O351" s="385"/>
      <c r="P351" s="157"/>
      <c r="Q351" s="157"/>
      <c r="R351" s="157"/>
      <c r="S351" s="157"/>
      <c r="T351" s="157"/>
      <c r="U351" s="157"/>
      <c r="V351" s="3589"/>
      <c r="W351" s="766"/>
      <c r="X351" s="766"/>
      <c r="Y351" s="766"/>
      <c r="Z351" s="2426"/>
      <c r="AA351" s="2426"/>
      <c r="AB351" s="784"/>
      <c r="AC351" s="766"/>
      <c r="AD351" s="766"/>
      <c r="AE351" s="766"/>
      <c r="AF351" s="766"/>
      <c r="AG351" s="766"/>
      <c r="BB351" s="647"/>
      <c r="BC351" s="658"/>
      <c r="BD351" s="757"/>
      <c r="BE351" s="659"/>
    </row>
    <row r="352" spans="1:57" s="64" customFormat="1" outlineLevel="1" x14ac:dyDescent="0.25">
      <c r="A352" s="1393"/>
      <c r="B352" s="157"/>
      <c r="C352" s="385"/>
      <c r="D352" s="3589"/>
      <c r="E352" s="3721"/>
      <c r="F352" s="3647" t="str">
        <f t="shared" si="54"/>
        <v>CAC - SEER 14 ER2: MF_CompE</v>
      </c>
      <c r="G352" s="3648"/>
      <c r="H352" s="3649"/>
      <c r="I352" s="3056"/>
      <c r="J352" s="3056">
        <v>13</v>
      </c>
      <c r="K352" s="767"/>
      <c r="L352" s="3189"/>
      <c r="M352" s="385"/>
      <c r="N352" s="1746"/>
      <c r="O352" s="385"/>
      <c r="P352" s="157"/>
      <c r="Q352" s="157"/>
      <c r="R352" s="157"/>
      <c r="S352" s="157"/>
      <c r="T352" s="157"/>
      <c r="U352" s="157"/>
      <c r="V352" s="3589"/>
      <c r="W352" s="766"/>
      <c r="X352" s="766"/>
      <c r="Y352" s="766">
        <v>13</v>
      </c>
      <c r="Z352" s="2426">
        <v>13</v>
      </c>
      <c r="AA352" s="2426">
        <v>13</v>
      </c>
      <c r="AB352" s="784">
        <v>13</v>
      </c>
      <c r="AC352" s="766"/>
      <c r="AD352" s="766"/>
      <c r="AE352" s="766"/>
      <c r="AF352" s="766"/>
      <c r="AG352" s="766"/>
      <c r="BB352" s="647"/>
      <c r="BC352" s="658"/>
      <c r="BD352" s="757"/>
      <c r="BE352" s="659"/>
    </row>
    <row r="353" spans="1:57" s="64" customFormat="1" outlineLevel="1" x14ac:dyDescent="0.25">
      <c r="A353" s="1393"/>
      <c r="B353" s="157"/>
      <c r="C353" s="385"/>
      <c r="D353" s="3589"/>
      <c r="E353" s="3721"/>
      <c r="F353" s="3647" t="str">
        <f t="shared" si="54"/>
        <v>CAC - SEER 14 ROF: MF</v>
      </c>
      <c r="G353" s="3648"/>
      <c r="H353" s="3649"/>
      <c r="I353" s="3056"/>
      <c r="J353" s="3056">
        <v>13</v>
      </c>
      <c r="K353" s="767"/>
      <c r="L353" s="3189" t="str">
        <f>L350</f>
        <v>MO TRM</v>
      </c>
      <c r="M353" s="385"/>
      <c r="N353" s="1746"/>
      <c r="O353" s="385"/>
      <c r="P353" s="157"/>
      <c r="Q353" s="157"/>
      <c r="R353" s="157"/>
      <c r="S353" s="157"/>
      <c r="T353" s="157"/>
      <c r="U353" s="157"/>
      <c r="V353" s="3589"/>
      <c r="W353" s="766">
        <v>13</v>
      </c>
      <c r="X353" s="766">
        <v>13</v>
      </c>
      <c r="Y353" s="766">
        <v>13</v>
      </c>
      <c r="Z353" s="2426">
        <v>13</v>
      </c>
      <c r="AA353" s="2426">
        <v>13</v>
      </c>
      <c r="AB353" s="784">
        <v>13</v>
      </c>
      <c r="AC353" s="766"/>
      <c r="AD353" s="766"/>
      <c r="AE353" s="766"/>
      <c r="AF353" s="766"/>
      <c r="AG353" s="766"/>
      <c r="BB353" s="647"/>
      <c r="BC353" s="658"/>
      <c r="BD353" s="757"/>
      <c r="BE353" s="659"/>
    </row>
    <row r="354" spans="1:57" s="64" customFormat="1" outlineLevel="1" x14ac:dyDescent="0.25">
      <c r="A354" s="1393"/>
      <c r="B354" s="157"/>
      <c r="C354" s="385"/>
      <c r="D354" s="3589"/>
      <c r="E354" s="3721"/>
      <c r="F354" s="3647" t="str">
        <f t="shared" si="54"/>
        <v>CAC - SEER 14 ROF: MF_CompE</v>
      </c>
      <c r="G354" s="3648"/>
      <c r="H354" s="3649"/>
      <c r="I354" s="3056"/>
      <c r="J354" s="3056">
        <v>13</v>
      </c>
      <c r="K354" s="767"/>
      <c r="L354" s="3189"/>
      <c r="M354" s="385"/>
      <c r="N354" s="1746"/>
      <c r="O354" s="385"/>
      <c r="P354" s="157"/>
      <c r="Q354" s="157"/>
      <c r="R354" s="157"/>
      <c r="S354" s="157"/>
      <c r="T354" s="157"/>
      <c r="U354" s="157"/>
      <c r="V354" s="3589"/>
      <c r="W354" s="766"/>
      <c r="X354" s="766"/>
      <c r="Y354" s="766">
        <v>13</v>
      </c>
      <c r="Z354" s="2426">
        <v>13</v>
      </c>
      <c r="AA354" s="2426">
        <v>13</v>
      </c>
      <c r="AB354" s="784">
        <v>13</v>
      </c>
      <c r="AC354" s="766"/>
      <c r="AD354" s="766"/>
      <c r="AE354" s="766"/>
      <c r="AF354" s="766"/>
      <c r="AG354" s="766"/>
      <c r="BB354" s="647"/>
      <c r="BC354" s="658"/>
      <c r="BD354" s="757"/>
      <c r="BE354" s="659"/>
    </row>
    <row r="355" spans="1:57" s="64" customFormat="1" outlineLevel="1" x14ac:dyDescent="0.25">
      <c r="A355" s="1393"/>
      <c r="B355" s="157"/>
      <c r="C355" s="385"/>
      <c r="D355" s="3589"/>
      <c r="E355" s="3721"/>
      <c r="F355" s="3647" t="str">
        <f t="shared" si="54"/>
        <v>CAC - SEER 15 ER1: SF</v>
      </c>
      <c r="G355" s="3648"/>
      <c r="H355" s="3649"/>
      <c r="I355" s="3056"/>
      <c r="J355" s="3056"/>
      <c r="K355" s="767"/>
      <c r="L355" s="3189" t="str">
        <f>L353</f>
        <v>MO TRM</v>
      </c>
      <c r="M355" s="385"/>
      <c r="N355" s="1746"/>
      <c r="O355" s="385"/>
      <c r="P355" s="157"/>
      <c r="Q355" s="157"/>
      <c r="R355" s="157"/>
      <c r="S355" s="157"/>
      <c r="T355" s="157"/>
      <c r="U355" s="157"/>
      <c r="V355" s="3589"/>
      <c r="W355" s="766">
        <v>10</v>
      </c>
      <c r="X355" s="765"/>
      <c r="Y355" s="765"/>
      <c r="Z355" s="765"/>
      <c r="AA355" s="2426"/>
      <c r="AB355" s="784"/>
      <c r="AC355" s="766"/>
      <c r="AD355" s="766"/>
      <c r="AE355" s="766"/>
      <c r="AF355" s="766"/>
      <c r="AG355" s="766"/>
      <c r="BB355" s="647"/>
      <c r="BC355" s="658"/>
      <c r="BD355" s="757"/>
      <c r="BE355" s="659"/>
    </row>
    <row r="356" spans="1:57" s="64" customFormat="1" outlineLevel="1" x14ac:dyDescent="0.25">
      <c r="A356" s="1393"/>
      <c r="B356" s="157"/>
      <c r="C356" s="385"/>
      <c r="D356" s="3589"/>
      <c r="E356" s="3721"/>
      <c r="F356" s="3647" t="str">
        <f t="shared" si="54"/>
        <v>CAC - SEER 15 ER2: SF</v>
      </c>
      <c r="G356" s="3648"/>
      <c r="H356" s="3649"/>
      <c r="I356" s="3056"/>
      <c r="J356" s="3056">
        <v>13</v>
      </c>
      <c r="K356" s="767"/>
      <c r="L356" s="3189" t="str">
        <f t="shared" si="56"/>
        <v>MO TRM</v>
      </c>
      <c r="M356" s="385"/>
      <c r="N356" s="1746"/>
      <c r="O356" s="385"/>
      <c r="P356" s="157"/>
      <c r="Q356" s="157"/>
      <c r="R356" s="157"/>
      <c r="S356" s="157"/>
      <c r="T356" s="157"/>
      <c r="U356" s="157"/>
      <c r="V356" s="3589"/>
      <c r="W356" s="766">
        <v>13</v>
      </c>
      <c r="X356" s="766">
        <v>13</v>
      </c>
      <c r="Y356" s="766">
        <v>13</v>
      </c>
      <c r="Z356" s="2426">
        <v>13</v>
      </c>
      <c r="AA356" s="2426">
        <v>13</v>
      </c>
      <c r="AB356" s="784">
        <v>13</v>
      </c>
      <c r="AC356" s="766"/>
      <c r="AD356" s="766"/>
      <c r="AE356" s="766"/>
      <c r="AF356" s="766"/>
      <c r="AG356" s="766"/>
      <c r="BB356" s="647"/>
      <c r="BC356" s="658"/>
      <c r="BD356" s="757"/>
      <c r="BE356" s="659"/>
    </row>
    <row r="357" spans="1:57" s="64" customFormat="1" outlineLevel="1" x14ac:dyDescent="0.25">
      <c r="A357" s="1393"/>
      <c r="B357" s="157"/>
      <c r="C357" s="385"/>
      <c r="D357" s="3589"/>
      <c r="E357" s="3721"/>
      <c r="F357" s="3647" t="str">
        <f t="shared" si="54"/>
        <v>CAC - SEER 15 ROF: SF</v>
      </c>
      <c r="G357" s="3648"/>
      <c r="H357" s="3649"/>
      <c r="I357" s="3056"/>
      <c r="J357" s="3056">
        <v>13</v>
      </c>
      <c r="K357" s="767"/>
      <c r="L357" s="3189" t="str">
        <f t="shared" si="56"/>
        <v>MO TRM</v>
      </c>
      <c r="M357" s="385"/>
      <c r="N357" s="1746"/>
      <c r="O357" s="385"/>
      <c r="P357" s="157"/>
      <c r="Q357" s="157"/>
      <c r="R357" s="157"/>
      <c r="S357" s="157"/>
      <c r="T357" s="157"/>
      <c r="U357" s="157"/>
      <c r="V357" s="3589"/>
      <c r="W357" s="766">
        <v>13</v>
      </c>
      <c r="X357" s="766">
        <v>13</v>
      </c>
      <c r="Y357" s="766">
        <v>13</v>
      </c>
      <c r="Z357" s="2426">
        <v>13</v>
      </c>
      <c r="AA357" s="2426">
        <v>13</v>
      </c>
      <c r="AB357" s="784">
        <v>13</v>
      </c>
      <c r="AC357" s="766"/>
      <c r="AD357" s="766"/>
      <c r="AE357" s="766"/>
      <c r="AF357" s="766"/>
      <c r="AG357" s="766"/>
      <c r="BB357" s="647"/>
      <c r="BC357" s="658"/>
      <c r="BD357" s="757"/>
      <c r="BE357" s="659"/>
    </row>
    <row r="358" spans="1:57" s="64" customFormat="1" outlineLevel="1" x14ac:dyDescent="0.25">
      <c r="A358" s="1393"/>
      <c r="B358" s="157"/>
      <c r="C358" s="385"/>
      <c r="D358" s="3589"/>
      <c r="E358" s="3721"/>
      <c r="F358" s="3647" t="str">
        <f t="shared" si="54"/>
        <v>CAC - SEER 15 ER1: MF</v>
      </c>
      <c r="G358" s="3648"/>
      <c r="H358" s="3649"/>
      <c r="I358" s="3056"/>
      <c r="J358" s="3056"/>
      <c r="K358" s="767"/>
      <c r="L358" s="3189" t="str">
        <f t="shared" si="56"/>
        <v>MO TRM</v>
      </c>
      <c r="M358" s="385"/>
      <c r="N358" s="1746"/>
      <c r="O358" s="385"/>
      <c r="P358" s="157"/>
      <c r="Q358" s="157"/>
      <c r="R358" s="157"/>
      <c r="S358" s="157"/>
      <c r="T358" s="157"/>
      <c r="U358" s="157"/>
      <c r="V358" s="3589"/>
      <c r="W358" s="766">
        <v>10</v>
      </c>
      <c r="X358" s="765"/>
      <c r="Y358" s="765"/>
      <c r="Z358" s="765"/>
      <c r="AA358" s="2426"/>
      <c r="AB358" s="784"/>
      <c r="AC358" s="766"/>
      <c r="AD358" s="766"/>
      <c r="AE358" s="766"/>
      <c r="AF358" s="766"/>
      <c r="AG358" s="766"/>
      <c r="BB358" s="647"/>
      <c r="BC358" s="658"/>
      <c r="BD358" s="757"/>
      <c r="BE358" s="659"/>
    </row>
    <row r="359" spans="1:57" s="64" customFormat="1" outlineLevel="1" x14ac:dyDescent="0.25">
      <c r="A359" s="1393"/>
      <c r="B359" s="157"/>
      <c r="C359" s="385"/>
      <c r="D359" s="3589"/>
      <c r="E359" s="3721"/>
      <c r="F359" s="3647" t="str">
        <f t="shared" si="54"/>
        <v>CAC - SEER 15 ER2: MF</v>
      </c>
      <c r="G359" s="3648"/>
      <c r="H359" s="3649"/>
      <c r="I359" s="3056"/>
      <c r="J359" s="3056">
        <v>13</v>
      </c>
      <c r="K359" s="767"/>
      <c r="L359" s="3189" t="str">
        <f t="shared" si="56"/>
        <v>MO TRM</v>
      </c>
      <c r="M359" s="385"/>
      <c r="N359" s="1746"/>
      <c r="O359" s="385"/>
      <c r="P359" s="157"/>
      <c r="Q359" s="157"/>
      <c r="R359" s="157"/>
      <c r="S359" s="157"/>
      <c r="T359" s="157"/>
      <c r="U359" s="157"/>
      <c r="V359" s="3589"/>
      <c r="W359" s="766">
        <v>13</v>
      </c>
      <c r="X359" s="766">
        <v>13</v>
      </c>
      <c r="Y359" s="766">
        <v>13</v>
      </c>
      <c r="Z359" s="2426">
        <v>13</v>
      </c>
      <c r="AA359" s="2426">
        <v>13</v>
      </c>
      <c r="AB359" s="784">
        <v>13</v>
      </c>
      <c r="AC359" s="766"/>
      <c r="AD359" s="766"/>
      <c r="AE359" s="766"/>
      <c r="AF359" s="766"/>
      <c r="AG359" s="766"/>
      <c r="BB359" s="647"/>
      <c r="BC359" s="658"/>
      <c r="BD359" s="757"/>
      <c r="BE359" s="659"/>
    </row>
    <row r="360" spans="1:57" s="64" customFormat="1" outlineLevel="1" x14ac:dyDescent="0.25">
      <c r="A360" s="1393"/>
      <c r="B360" s="157"/>
      <c r="C360" s="385"/>
      <c r="D360" s="3589"/>
      <c r="E360" s="3721"/>
      <c r="F360" s="3647" t="str">
        <f t="shared" si="54"/>
        <v>CAC - SEER 15 ER1: MF_CompE</v>
      </c>
      <c r="G360" s="3648"/>
      <c r="H360" s="3649"/>
      <c r="I360" s="3056"/>
      <c r="J360" s="3056"/>
      <c r="K360" s="767"/>
      <c r="L360" s="3189"/>
      <c r="M360" s="385"/>
      <c r="N360" s="1746"/>
      <c r="O360" s="385"/>
      <c r="P360" s="157"/>
      <c r="Q360" s="157"/>
      <c r="R360" s="157"/>
      <c r="S360" s="157"/>
      <c r="T360" s="157"/>
      <c r="U360" s="157"/>
      <c r="V360" s="3589"/>
      <c r="W360" s="766"/>
      <c r="X360" s="766"/>
      <c r="Y360" s="766"/>
      <c r="Z360" s="2426"/>
      <c r="AA360" s="2426"/>
      <c r="AB360" s="784"/>
      <c r="AC360" s="766"/>
      <c r="AD360" s="766"/>
      <c r="AE360" s="766"/>
      <c r="AF360" s="766"/>
      <c r="AG360" s="766"/>
      <c r="BB360" s="647"/>
      <c r="BC360" s="658"/>
      <c r="BD360" s="757"/>
      <c r="BE360" s="659"/>
    </row>
    <row r="361" spans="1:57" s="64" customFormat="1" outlineLevel="1" x14ac:dyDescent="0.25">
      <c r="A361" s="1393"/>
      <c r="B361" s="157"/>
      <c r="C361" s="385"/>
      <c r="D361" s="3589"/>
      <c r="E361" s="3721"/>
      <c r="F361" s="3647" t="str">
        <f t="shared" si="54"/>
        <v>CAC - SEER 15 ER2: MF_CompE</v>
      </c>
      <c r="G361" s="3648"/>
      <c r="H361" s="3649"/>
      <c r="I361" s="3056"/>
      <c r="J361" s="3056">
        <v>13</v>
      </c>
      <c r="K361" s="767"/>
      <c r="L361" s="3189"/>
      <c r="M361" s="385"/>
      <c r="N361" s="1746"/>
      <c r="O361" s="385"/>
      <c r="P361" s="157"/>
      <c r="Q361" s="157"/>
      <c r="R361" s="157"/>
      <c r="S361" s="157"/>
      <c r="T361" s="157"/>
      <c r="U361" s="157"/>
      <c r="V361" s="3589"/>
      <c r="W361" s="766"/>
      <c r="X361" s="766"/>
      <c r="Y361" s="766">
        <v>13</v>
      </c>
      <c r="Z361" s="2426">
        <v>13</v>
      </c>
      <c r="AA361" s="2426">
        <v>13</v>
      </c>
      <c r="AB361" s="784">
        <v>13</v>
      </c>
      <c r="AC361" s="766"/>
      <c r="AD361" s="766"/>
      <c r="AE361" s="766"/>
      <c r="AF361" s="766"/>
      <c r="AG361" s="766"/>
      <c r="BB361" s="647"/>
      <c r="BC361" s="658"/>
      <c r="BD361" s="757"/>
      <c r="BE361" s="659"/>
    </row>
    <row r="362" spans="1:57" s="64" customFormat="1" outlineLevel="1" x14ac:dyDescent="0.25">
      <c r="A362" s="1393"/>
      <c r="B362" s="157"/>
      <c r="C362" s="385"/>
      <c r="D362" s="3589"/>
      <c r="E362" s="3721"/>
      <c r="F362" s="3647" t="str">
        <f t="shared" si="54"/>
        <v>CAC - SEER 15 ROF: MF</v>
      </c>
      <c r="G362" s="3648"/>
      <c r="H362" s="3649"/>
      <c r="I362" s="3056"/>
      <c r="J362" s="3056">
        <v>13</v>
      </c>
      <c r="K362" s="767"/>
      <c r="L362" s="3189" t="str">
        <f>L359</f>
        <v>MO TRM</v>
      </c>
      <c r="M362" s="385"/>
      <c r="N362" s="1746"/>
      <c r="O362" s="385"/>
      <c r="P362" s="157"/>
      <c r="Q362" s="157"/>
      <c r="R362" s="157"/>
      <c r="S362" s="157"/>
      <c r="T362" s="157"/>
      <c r="U362" s="157"/>
      <c r="V362" s="3589"/>
      <c r="W362" s="766">
        <v>13</v>
      </c>
      <c r="X362" s="766">
        <v>13</v>
      </c>
      <c r="Y362" s="766">
        <v>13</v>
      </c>
      <c r="Z362" s="2426">
        <v>13</v>
      </c>
      <c r="AA362" s="2426">
        <v>13</v>
      </c>
      <c r="AB362" s="784">
        <v>13</v>
      </c>
      <c r="AC362" s="766"/>
      <c r="AD362" s="766"/>
      <c r="AE362" s="766"/>
      <c r="AF362" s="766"/>
      <c r="AG362" s="766"/>
      <c r="BB362" s="647"/>
      <c r="BC362" s="658"/>
      <c r="BD362" s="757"/>
      <c r="BE362" s="659"/>
    </row>
    <row r="363" spans="1:57" s="64" customFormat="1" outlineLevel="1" x14ac:dyDescent="0.25">
      <c r="A363" s="1393"/>
      <c r="B363" s="157"/>
      <c r="C363" s="385"/>
      <c r="D363" s="3589"/>
      <c r="E363" s="3721"/>
      <c r="F363" s="3647" t="str">
        <f t="shared" si="54"/>
        <v>CAC - SEER 15 ROF: MF_CompE</v>
      </c>
      <c r="G363" s="3648"/>
      <c r="H363" s="3649"/>
      <c r="I363" s="3056"/>
      <c r="J363" s="3056">
        <v>13</v>
      </c>
      <c r="K363" s="767"/>
      <c r="L363" s="3189"/>
      <c r="M363" s="385"/>
      <c r="N363" s="1746"/>
      <c r="O363" s="385"/>
      <c r="P363" s="157"/>
      <c r="Q363" s="157"/>
      <c r="R363" s="157"/>
      <c r="S363" s="157"/>
      <c r="T363" s="157"/>
      <c r="U363" s="157"/>
      <c r="V363" s="3589"/>
      <c r="W363" s="766"/>
      <c r="X363" s="766"/>
      <c r="Y363" s="766">
        <v>13</v>
      </c>
      <c r="Z363" s="2426">
        <v>13</v>
      </c>
      <c r="AA363" s="2426">
        <v>13</v>
      </c>
      <c r="AB363" s="784">
        <v>13</v>
      </c>
      <c r="AC363" s="766"/>
      <c r="AD363" s="766"/>
      <c r="AE363" s="766"/>
      <c r="AF363" s="766"/>
      <c r="AG363" s="766"/>
      <c r="BB363" s="647"/>
      <c r="BC363" s="658"/>
      <c r="BD363" s="757"/>
      <c r="BE363" s="659"/>
    </row>
    <row r="364" spans="1:57" s="64" customFormat="1" outlineLevel="1" x14ac:dyDescent="0.25">
      <c r="A364" s="1393"/>
      <c r="B364" s="157"/>
      <c r="C364" s="385"/>
      <c r="D364" s="3589"/>
      <c r="E364" s="3721"/>
      <c r="F364" s="3647" t="str">
        <f t="shared" si="54"/>
        <v>CAC - SEER 16 ER1: SF</v>
      </c>
      <c r="G364" s="3648"/>
      <c r="H364" s="3649"/>
      <c r="I364" s="3056"/>
      <c r="J364" s="3056"/>
      <c r="K364" s="767"/>
      <c r="L364" s="3189" t="str">
        <f>L362</f>
        <v>MO TRM</v>
      </c>
      <c r="M364" s="385"/>
      <c r="N364" s="1746"/>
      <c r="O364" s="385"/>
      <c r="P364" s="157"/>
      <c r="Q364" s="157"/>
      <c r="R364" s="157"/>
      <c r="S364" s="157"/>
      <c r="T364" s="157"/>
      <c r="U364" s="157"/>
      <c r="V364" s="3589"/>
      <c r="W364" s="766">
        <v>10</v>
      </c>
      <c r="X364" s="765"/>
      <c r="Y364" s="765"/>
      <c r="Z364" s="765"/>
      <c r="AA364" s="2426"/>
      <c r="AB364" s="784"/>
      <c r="AC364" s="766"/>
      <c r="AD364" s="766"/>
      <c r="AE364" s="766"/>
      <c r="AF364" s="766"/>
      <c r="AG364" s="766"/>
      <c r="BB364" s="647"/>
      <c r="BC364" s="658"/>
      <c r="BD364" s="757"/>
      <c r="BE364" s="659"/>
    </row>
    <row r="365" spans="1:57" s="64" customFormat="1" outlineLevel="1" x14ac:dyDescent="0.25">
      <c r="A365" s="1393"/>
      <c r="B365" s="157"/>
      <c r="C365" s="385"/>
      <c r="D365" s="3589"/>
      <c r="E365" s="3721"/>
      <c r="F365" s="3647" t="str">
        <f t="shared" si="54"/>
        <v>CAC - SEER 16 ER2: SF</v>
      </c>
      <c r="G365" s="3648"/>
      <c r="H365" s="3649"/>
      <c r="I365" s="3056"/>
      <c r="J365" s="3056">
        <v>13</v>
      </c>
      <c r="K365" s="767"/>
      <c r="L365" s="3189" t="str">
        <f t="shared" si="56"/>
        <v>MO TRM</v>
      </c>
      <c r="M365" s="385"/>
      <c r="N365" s="1746"/>
      <c r="O365" s="385"/>
      <c r="P365" s="157"/>
      <c r="Q365" s="157"/>
      <c r="R365" s="157"/>
      <c r="S365" s="157"/>
      <c r="T365" s="157"/>
      <c r="U365" s="157"/>
      <c r="V365" s="3589"/>
      <c r="W365" s="766">
        <v>13</v>
      </c>
      <c r="X365" s="766">
        <v>13</v>
      </c>
      <c r="Y365" s="766">
        <v>13</v>
      </c>
      <c r="Z365" s="2426">
        <v>13</v>
      </c>
      <c r="AA365" s="2426">
        <v>13</v>
      </c>
      <c r="AB365" s="784">
        <v>13</v>
      </c>
      <c r="AC365" s="766"/>
      <c r="AD365" s="766"/>
      <c r="AE365" s="766"/>
      <c r="AF365" s="766"/>
      <c r="AG365" s="766"/>
      <c r="BB365" s="647"/>
      <c r="BC365" s="658"/>
      <c r="BD365" s="757"/>
      <c r="BE365" s="659"/>
    </row>
    <row r="366" spans="1:57" s="64" customFormat="1" outlineLevel="1" x14ac:dyDescent="0.25">
      <c r="A366" s="1393"/>
      <c r="B366" s="157"/>
      <c r="C366" s="385"/>
      <c r="D366" s="3589"/>
      <c r="E366" s="3721"/>
      <c r="F366" s="3647" t="str">
        <f t="shared" si="54"/>
        <v>CAC - SEER 16 ROF: SF</v>
      </c>
      <c r="G366" s="3648"/>
      <c r="H366" s="3649"/>
      <c r="I366" s="3056"/>
      <c r="J366" s="3056">
        <v>13</v>
      </c>
      <c r="K366" s="767"/>
      <c r="L366" s="3189" t="str">
        <f t="shared" si="56"/>
        <v>MO TRM</v>
      </c>
      <c r="M366" s="385"/>
      <c r="N366" s="1746"/>
      <c r="O366" s="385"/>
      <c r="P366" s="157"/>
      <c r="Q366" s="157"/>
      <c r="R366" s="157"/>
      <c r="S366" s="157"/>
      <c r="T366" s="157"/>
      <c r="U366" s="157"/>
      <c r="V366" s="3589"/>
      <c r="W366" s="766">
        <v>13</v>
      </c>
      <c r="X366" s="766">
        <v>13</v>
      </c>
      <c r="Y366" s="766">
        <v>13</v>
      </c>
      <c r="Z366" s="2426">
        <v>13</v>
      </c>
      <c r="AA366" s="2426">
        <v>13</v>
      </c>
      <c r="AB366" s="784">
        <v>13</v>
      </c>
      <c r="AC366" s="766"/>
      <c r="AD366" s="766"/>
      <c r="AE366" s="766"/>
      <c r="AF366" s="766"/>
      <c r="AG366" s="766"/>
      <c r="BB366" s="647"/>
      <c r="BC366" s="658"/>
      <c r="BD366" s="757"/>
      <c r="BE366" s="659"/>
    </row>
    <row r="367" spans="1:57" s="64" customFormat="1" outlineLevel="1" x14ac:dyDescent="0.25">
      <c r="A367" s="1393"/>
      <c r="B367" s="157"/>
      <c r="C367" s="385"/>
      <c r="D367" s="3589"/>
      <c r="E367" s="3721"/>
      <c r="F367" s="3647" t="str">
        <f t="shared" si="54"/>
        <v>CAC - SEER 16 ER1: MF</v>
      </c>
      <c r="G367" s="3648"/>
      <c r="H367" s="3649"/>
      <c r="I367" s="3056"/>
      <c r="J367" s="3056"/>
      <c r="K367" s="767"/>
      <c r="L367" s="3189" t="str">
        <f t="shared" si="56"/>
        <v>MO TRM</v>
      </c>
      <c r="M367" s="385"/>
      <c r="N367" s="1746"/>
      <c r="O367" s="385"/>
      <c r="P367" s="157"/>
      <c r="Q367" s="157"/>
      <c r="R367" s="157"/>
      <c r="S367" s="157"/>
      <c r="T367" s="157"/>
      <c r="U367" s="157"/>
      <c r="V367" s="3589"/>
      <c r="W367" s="766">
        <v>10</v>
      </c>
      <c r="X367" s="765"/>
      <c r="Y367" s="765"/>
      <c r="Z367" s="765"/>
      <c r="AA367" s="2426"/>
      <c r="AB367" s="784"/>
      <c r="AC367" s="766"/>
      <c r="AD367" s="766"/>
      <c r="AE367" s="766"/>
      <c r="AF367" s="766"/>
      <c r="AG367" s="766"/>
      <c r="BB367" s="647"/>
      <c r="BC367" s="658"/>
      <c r="BD367" s="757"/>
      <c r="BE367" s="659"/>
    </row>
    <row r="368" spans="1:57" s="64" customFormat="1" outlineLevel="1" x14ac:dyDescent="0.25">
      <c r="A368" s="1393"/>
      <c r="B368" s="157"/>
      <c r="C368" s="385"/>
      <c r="D368" s="3589"/>
      <c r="E368" s="3721"/>
      <c r="F368" s="3647" t="str">
        <f t="shared" si="54"/>
        <v>CAC - SEER 16 ER2: MF</v>
      </c>
      <c r="G368" s="3648"/>
      <c r="H368" s="3649"/>
      <c r="I368" s="3056"/>
      <c r="J368" s="3056">
        <v>13</v>
      </c>
      <c r="K368" s="767"/>
      <c r="L368" s="3189" t="str">
        <f t="shared" si="56"/>
        <v>MO TRM</v>
      </c>
      <c r="M368" s="385"/>
      <c r="N368" s="1746"/>
      <c r="O368" s="385"/>
      <c r="P368" s="157"/>
      <c r="Q368" s="157"/>
      <c r="R368" s="157"/>
      <c r="S368" s="157"/>
      <c r="T368" s="157"/>
      <c r="U368" s="157"/>
      <c r="V368" s="3589"/>
      <c r="W368" s="766">
        <v>13</v>
      </c>
      <c r="X368" s="766">
        <v>13</v>
      </c>
      <c r="Y368" s="766">
        <v>13</v>
      </c>
      <c r="Z368" s="2426">
        <v>13</v>
      </c>
      <c r="AA368" s="2426">
        <v>13</v>
      </c>
      <c r="AB368" s="784">
        <v>13</v>
      </c>
      <c r="AC368" s="766"/>
      <c r="AD368" s="766"/>
      <c r="AE368" s="766"/>
      <c r="AF368" s="766"/>
      <c r="AG368" s="766"/>
      <c r="BB368" s="647"/>
      <c r="BC368" s="658"/>
      <c r="BD368" s="757"/>
      <c r="BE368" s="659"/>
    </row>
    <row r="369" spans="1:57" s="64" customFormat="1" outlineLevel="1" x14ac:dyDescent="0.25">
      <c r="A369" s="1393"/>
      <c r="B369" s="157"/>
      <c r="C369" s="385"/>
      <c r="D369" s="3589"/>
      <c r="E369" s="3721"/>
      <c r="F369" s="3647" t="str">
        <f t="shared" si="54"/>
        <v>CAC - SEER 16 ER1: MF_CompE</v>
      </c>
      <c r="G369" s="3648"/>
      <c r="H369" s="3649"/>
      <c r="I369" s="3056"/>
      <c r="J369" s="3056"/>
      <c r="K369" s="767"/>
      <c r="L369" s="3189"/>
      <c r="M369" s="385"/>
      <c r="N369" s="1746"/>
      <c r="O369" s="385"/>
      <c r="P369" s="157"/>
      <c r="Q369" s="157"/>
      <c r="R369" s="157"/>
      <c r="S369" s="157"/>
      <c r="T369" s="157"/>
      <c r="U369" s="157"/>
      <c r="V369" s="3589"/>
      <c r="W369" s="766"/>
      <c r="X369" s="766"/>
      <c r="Y369" s="766"/>
      <c r="Z369" s="2426"/>
      <c r="AA369" s="2426"/>
      <c r="AB369" s="784"/>
      <c r="AC369" s="766"/>
      <c r="AD369" s="766"/>
      <c r="AE369" s="766"/>
      <c r="AF369" s="766"/>
      <c r="AG369" s="766"/>
      <c r="BB369" s="647"/>
      <c r="BC369" s="658"/>
      <c r="BD369" s="757"/>
      <c r="BE369" s="659"/>
    </row>
    <row r="370" spans="1:57" s="64" customFormat="1" outlineLevel="1" x14ac:dyDescent="0.25">
      <c r="A370" s="1393"/>
      <c r="B370" s="157"/>
      <c r="C370" s="385"/>
      <c r="D370" s="3589"/>
      <c r="E370" s="3721"/>
      <c r="F370" s="3647" t="str">
        <f t="shared" si="54"/>
        <v>CAC - SEER 16 ER2: MF_CompE</v>
      </c>
      <c r="G370" s="3648"/>
      <c r="H370" s="3649"/>
      <c r="I370" s="3056"/>
      <c r="J370" s="3056">
        <v>13</v>
      </c>
      <c r="K370" s="767"/>
      <c r="L370" s="3189"/>
      <c r="M370" s="385"/>
      <c r="N370" s="1746"/>
      <c r="O370" s="385"/>
      <c r="P370" s="157"/>
      <c r="Q370" s="157"/>
      <c r="R370" s="157"/>
      <c r="S370" s="157"/>
      <c r="T370" s="157"/>
      <c r="U370" s="157"/>
      <c r="V370" s="3589"/>
      <c r="W370" s="766"/>
      <c r="X370" s="766"/>
      <c r="Y370" s="766">
        <v>13</v>
      </c>
      <c r="Z370" s="2426">
        <v>13</v>
      </c>
      <c r="AA370" s="2426">
        <v>13</v>
      </c>
      <c r="AB370" s="784">
        <v>13</v>
      </c>
      <c r="AC370" s="766"/>
      <c r="AD370" s="766"/>
      <c r="AE370" s="766"/>
      <c r="AF370" s="766"/>
      <c r="AG370" s="766"/>
      <c r="BB370" s="647"/>
      <c r="BC370" s="658"/>
      <c r="BD370" s="757"/>
      <c r="BE370" s="659"/>
    </row>
    <row r="371" spans="1:57" s="64" customFormat="1" outlineLevel="1" x14ac:dyDescent="0.25">
      <c r="A371" s="1393"/>
      <c r="B371" s="157"/>
      <c r="C371" s="385"/>
      <c r="D371" s="3589"/>
      <c r="E371" s="3721"/>
      <c r="F371" s="3647" t="str">
        <f t="shared" si="54"/>
        <v>CAC - SEER 16 ROF: MF</v>
      </c>
      <c r="G371" s="3648"/>
      <c r="H371" s="3649"/>
      <c r="I371" s="3056"/>
      <c r="J371" s="3056">
        <v>13</v>
      </c>
      <c r="K371" s="767"/>
      <c r="L371" s="3189" t="str">
        <f>L368</f>
        <v>MO TRM</v>
      </c>
      <c r="M371" s="385"/>
      <c r="N371" s="1746"/>
      <c r="O371" s="385"/>
      <c r="P371" s="157"/>
      <c r="Q371" s="157"/>
      <c r="R371" s="157"/>
      <c r="S371" s="157"/>
      <c r="T371" s="157"/>
      <c r="U371" s="157"/>
      <c r="V371" s="3589"/>
      <c r="W371" s="766">
        <v>13</v>
      </c>
      <c r="X371" s="766">
        <v>13</v>
      </c>
      <c r="Y371" s="766">
        <v>13</v>
      </c>
      <c r="Z371" s="2426">
        <v>13</v>
      </c>
      <c r="AA371" s="2426">
        <v>13</v>
      </c>
      <c r="AB371" s="784">
        <v>13</v>
      </c>
      <c r="AC371" s="766"/>
      <c r="AD371" s="766"/>
      <c r="AE371" s="766"/>
      <c r="AF371" s="766"/>
      <c r="AG371" s="766"/>
      <c r="BB371" s="647"/>
      <c r="BC371" s="658"/>
      <c r="BD371" s="757"/>
      <c r="BE371" s="659"/>
    </row>
    <row r="372" spans="1:57" s="64" customFormat="1" outlineLevel="1" x14ac:dyDescent="0.25">
      <c r="A372" s="1393"/>
      <c r="B372" s="157"/>
      <c r="C372" s="385"/>
      <c r="D372" s="3589"/>
      <c r="E372" s="3721"/>
      <c r="F372" s="3647" t="str">
        <f t="shared" si="54"/>
        <v>CAC - SEER 16 ROF: MF_CompE</v>
      </c>
      <c r="G372" s="3648"/>
      <c r="H372" s="3649"/>
      <c r="I372" s="3056"/>
      <c r="J372" s="3056">
        <v>13</v>
      </c>
      <c r="K372" s="767"/>
      <c r="L372" s="3189"/>
      <c r="M372" s="385"/>
      <c r="N372" s="1746"/>
      <c r="O372" s="385"/>
      <c r="P372" s="157"/>
      <c r="Q372" s="157"/>
      <c r="R372" s="157"/>
      <c r="S372" s="157"/>
      <c r="T372" s="157"/>
      <c r="U372" s="157"/>
      <c r="V372" s="3589"/>
      <c r="W372" s="766"/>
      <c r="X372" s="766"/>
      <c r="Y372" s="766">
        <v>13</v>
      </c>
      <c r="Z372" s="2426">
        <v>13</v>
      </c>
      <c r="AA372" s="2426">
        <v>13</v>
      </c>
      <c r="AB372" s="784">
        <v>13</v>
      </c>
      <c r="AC372" s="766"/>
      <c r="AD372" s="766"/>
      <c r="AE372" s="766"/>
      <c r="AF372" s="766"/>
      <c r="AG372" s="766"/>
      <c r="BB372" s="647"/>
      <c r="BC372" s="658"/>
      <c r="BD372" s="757"/>
      <c r="BE372" s="659"/>
    </row>
    <row r="373" spans="1:57" s="64" customFormat="1" outlineLevel="1" x14ac:dyDescent="0.25">
      <c r="A373" s="1393"/>
      <c r="B373" s="157"/>
      <c r="C373" s="385"/>
      <c r="D373" s="3589"/>
      <c r="E373" s="3721"/>
      <c r="F373" s="3647" t="str">
        <f t="shared" si="54"/>
        <v>CAC - SEER 17 ER1: SF</v>
      </c>
      <c r="G373" s="3648"/>
      <c r="H373" s="3649"/>
      <c r="I373" s="3056"/>
      <c r="J373" s="3056"/>
      <c r="K373" s="767"/>
      <c r="L373" s="3189" t="str">
        <f>L371</f>
        <v>MO TRM</v>
      </c>
      <c r="M373" s="385"/>
      <c r="N373" s="1746"/>
      <c r="O373" s="385"/>
      <c r="P373" s="157"/>
      <c r="Q373" s="157"/>
      <c r="R373" s="157"/>
      <c r="S373" s="157"/>
      <c r="T373" s="157"/>
      <c r="U373" s="157"/>
      <c r="V373" s="3589"/>
      <c r="W373" s="766">
        <v>10</v>
      </c>
      <c r="X373" s="765"/>
      <c r="Y373" s="765"/>
      <c r="Z373" s="765"/>
      <c r="AA373" s="2426"/>
      <c r="AB373" s="784"/>
      <c r="AC373" s="766"/>
      <c r="AD373" s="766"/>
      <c r="AE373" s="766"/>
      <c r="AF373" s="766"/>
      <c r="AG373" s="766"/>
      <c r="BB373" s="647"/>
      <c r="BC373" s="658"/>
      <c r="BD373" s="757"/>
      <c r="BE373" s="659"/>
    </row>
    <row r="374" spans="1:57" s="64" customFormat="1" ht="14.45" customHeight="1" outlineLevel="1" x14ac:dyDescent="0.25">
      <c r="A374" s="1393"/>
      <c r="B374" s="157"/>
      <c r="C374" s="385"/>
      <c r="D374" s="3589"/>
      <c r="E374" s="3721"/>
      <c r="F374" s="3647" t="str">
        <f t="shared" si="54"/>
        <v>CAC - SEER 17 ER2: SF</v>
      </c>
      <c r="G374" s="3648"/>
      <c r="H374" s="3649"/>
      <c r="I374" s="3056"/>
      <c r="J374" s="3056">
        <v>13</v>
      </c>
      <c r="K374" s="767"/>
      <c r="L374" s="3189" t="str">
        <f t="shared" si="56"/>
        <v>MO TRM</v>
      </c>
      <c r="M374" s="385"/>
      <c r="N374" s="1746"/>
      <c r="O374" s="385"/>
      <c r="P374" s="157"/>
      <c r="Q374" s="157"/>
      <c r="R374" s="157"/>
      <c r="S374" s="157"/>
      <c r="T374" s="157"/>
      <c r="U374" s="157"/>
      <c r="V374" s="3589"/>
      <c r="W374" s="766">
        <v>13</v>
      </c>
      <c r="X374" s="766">
        <v>13</v>
      </c>
      <c r="Y374" s="766">
        <v>13</v>
      </c>
      <c r="Z374" s="2426">
        <v>13</v>
      </c>
      <c r="AA374" s="2426">
        <v>13</v>
      </c>
      <c r="AB374" s="784">
        <v>13</v>
      </c>
      <c r="AC374" s="766"/>
      <c r="AD374" s="766"/>
      <c r="AE374" s="766"/>
      <c r="AF374" s="766"/>
      <c r="AG374" s="766"/>
      <c r="BB374" s="647"/>
      <c r="BC374" s="658"/>
      <c r="BD374" s="757"/>
      <c r="BE374" s="659"/>
    </row>
    <row r="375" spans="1:57" s="64" customFormat="1" ht="14.45" customHeight="1" outlineLevel="1" x14ac:dyDescent="0.25">
      <c r="A375" s="1393"/>
      <c r="B375" s="157"/>
      <c r="C375" s="385"/>
      <c r="D375" s="3589"/>
      <c r="E375" s="3721"/>
      <c r="F375" s="3647" t="str">
        <f t="shared" si="54"/>
        <v>CAC - SEER 17 ROF: SF</v>
      </c>
      <c r="G375" s="3648"/>
      <c r="H375" s="3649"/>
      <c r="I375" s="3056"/>
      <c r="J375" s="3056">
        <v>13</v>
      </c>
      <c r="K375" s="767"/>
      <c r="L375" s="3189" t="str">
        <f t="shared" si="56"/>
        <v>MO TRM</v>
      </c>
      <c r="M375" s="385"/>
      <c r="N375" s="1746"/>
      <c r="O375" s="385"/>
      <c r="P375" s="157"/>
      <c r="Q375" s="157"/>
      <c r="R375" s="157"/>
      <c r="S375" s="157"/>
      <c r="T375" s="157"/>
      <c r="U375" s="157"/>
      <c r="V375" s="3589"/>
      <c r="W375" s="766">
        <v>13</v>
      </c>
      <c r="X375" s="766">
        <v>13</v>
      </c>
      <c r="Y375" s="766">
        <v>13</v>
      </c>
      <c r="Z375" s="2426">
        <v>13</v>
      </c>
      <c r="AA375" s="2426">
        <v>13</v>
      </c>
      <c r="AB375" s="784">
        <v>13</v>
      </c>
      <c r="AC375" s="766"/>
      <c r="AD375" s="766"/>
      <c r="AE375" s="766"/>
      <c r="AF375" s="766"/>
      <c r="AG375" s="766"/>
      <c r="BB375" s="647"/>
      <c r="BC375" s="658"/>
      <c r="BD375" s="757"/>
      <c r="BE375" s="659"/>
    </row>
    <row r="376" spans="1:57" s="64" customFormat="1" ht="14.45" customHeight="1" outlineLevel="1" x14ac:dyDescent="0.25">
      <c r="A376" s="1393"/>
      <c r="B376" s="157"/>
      <c r="C376" s="385"/>
      <c r="D376" s="3589"/>
      <c r="E376" s="3721"/>
      <c r="F376" s="3647" t="str">
        <f t="shared" si="54"/>
        <v>CAC - SEER 17 ER1: MF</v>
      </c>
      <c r="G376" s="3648"/>
      <c r="H376" s="3649"/>
      <c r="I376" s="3056"/>
      <c r="J376" s="3056"/>
      <c r="K376" s="767"/>
      <c r="L376" s="3189" t="str">
        <f t="shared" si="56"/>
        <v>MO TRM</v>
      </c>
      <c r="M376" s="385"/>
      <c r="N376" s="1746"/>
      <c r="O376" s="385"/>
      <c r="P376" s="157"/>
      <c r="Q376" s="157"/>
      <c r="R376" s="157"/>
      <c r="S376" s="157"/>
      <c r="T376" s="157"/>
      <c r="U376" s="157"/>
      <c r="V376" s="3589"/>
      <c r="W376" s="766">
        <v>10</v>
      </c>
      <c r="X376" s="765"/>
      <c r="Y376" s="765"/>
      <c r="Z376" s="765"/>
      <c r="AA376" s="2426"/>
      <c r="AB376" s="784"/>
      <c r="AC376" s="766"/>
      <c r="AD376" s="766"/>
      <c r="AE376" s="766"/>
      <c r="AF376" s="766"/>
      <c r="AG376" s="766"/>
      <c r="BB376" s="647"/>
      <c r="BC376" s="658"/>
      <c r="BD376" s="757"/>
      <c r="BE376" s="659"/>
    </row>
    <row r="377" spans="1:57" s="64" customFormat="1" ht="14.45" customHeight="1" outlineLevel="1" x14ac:dyDescent="0.25">
      <c r="A377" s="1393"/>
      <c r="B377" s="157"/>
      <c r="C377" s="385"/>
      <c r="D377" s="3589"/>
      <c r="E377" s="3721"/>
      <c r="F377" s="3647" t="str">
        <f t="shared" si="54"/>
        <v>CAC - SEER 17 ER2: MF</v>
      </c>
      <c r="G377" s="3648"/>
      <c r="H377" s="3649"/>
      <c r="I377" s="3056"/>
      <c r="J377" s="3056">
        <v>13</v>
      </c>
      <c r="K377" s="767"/>
      <c r="L377" s="3189" t="str">
        <f t="shared" si="56"/>
        <v>MO TRM</v>
      </c>
      <c r="M377" s="385"/>
      <c r="N377" s="1746"/>
      <c r="O377" s="385"/>
      <c r="P377" s="157"/>
      <c r="Q377" s="157"/>
      <c r="R377" s="157"/>
      <c r="S377" s="157"/>
      <c r="T377" s="157"/>
      <c r="U377" s="157"/>
      <c r="V377" s="3589"/>
      <c r="W377" s="766">
        <v>13</v>
      </c>
      <c r="X377" s="766">
        <v>13</v>
      </c>
      <c r="Y377" s="766">
        <v>13</v>
      </c>
      <c r="Z377" s="2426">
        <v>13</v>
      </c>
      <c r="AA377" s="2426">
        <v>13</v>
      </c>
      <c r="AB377" s="784">
        <v>13</v>
      </c>
      <c r="AC377" s="766"/>
      <c r="AD377" s="766"/>
      <c r="AE377" s="766"/>
      <c r="AF377" s="766"/>
      <c r="AG377" s="766"/>
      <c r="BB377" s="647"/>
      <c r="BC377" s="658"/>
      <c r="BD377" s="757"/>
      <c r="BE377" s="659"/>
    </row>
    <row r="378" spans="1:57" s="64" customFormat="1" ht="14.45" customHeight="1" outlineLevel="1" x14ac:dyDescent="0.25">
      <c r="A378" s="1393"/>
      <c r="B378" s="157"/>
      <c r="C378" s="385"/>
      <c r="D378" s="3589"/>
      <c r="E378" s="3721"/>
      <c r="F378" s="3647" t="str">
        <f t="shared" si="54"/>
        <v>CAC - SEER 17 ER1: MF_CompE</v>
      </c>
      <c r="G378" s="3648"/>
      <c r="H378" s="3649"/>
      <c r="I378" s="778"/>
      <c r="J378" s="778"/>
      <c r="K378" s="3190"/>
      <c r="L378" s="3189"/>
      <c r="M378" s="385"/>
      <c r="N378" s="1746"/>
      <c r="O378" s="385"/>
      <c r="P378" s="157"/>
      <c r="Q378" s="157"/>
      <c r="R378" s="157"/>
      <c r="S378" s="157"/>
      <c r="T378" s="157"/>
      <c r="U378" s="157"/>
      <c r="V378" s="3589"/>
      <c r="W378" s="778"/>
      <c r="X378" s="778"/>
      <c r="Y378" s="778"/>
      <c r="Z378" s="778"/>
      <c r="AA378" s="778"/>
      <c r="AB378" s="2193"/>
      <c r="AC378" s="778"/>
      <c r="AD378" s="778"/>
      <c r="AE378" s="778"/>
      <c r="AF378" s="778"/>
      <c r="AG378" s="778"/>
      <c r="BB378" s="647"/>
      <c r="BC378" s="658"/>
      <c r="BD378" s="757"/>
      <c r="BE378" s="659"/>
    </row>
    <row r="379" spans="1:57" s="64" customFormat="1" ht="14.45" customHeight="1" outlineLevel="1" x14ac:dyDescent="0.25">
      <c r="A379" s="1393"/>
      <c r="B379" s="157"/>
      <c r="C379" s="385"/>
      <c r="D379" s="3589"/>
      <c r="E379" s="3721"/>
      <c r="F379" s="3647" t="str">
        <f t="shared" si="54"/>
        <v>CAC - SEER 17 ER2: MF_CompE</v>
      </c>
      <c r="G379" s="3648"/>
      <c r="H379" s="3649"/>
      <c r="I379" s="778"/>
      <c r="J379" s="3056">
        <v>13</v>
      </c>
      <c r="K379" s="3190"/>
      <c r="L379" s="3189"/>
      <c r="M379" s="385"/>
      <c r="N379" s="1746"/>
      <c r="O379" s="385"/>
      <c r="P379" s="157"/>
      <c r="Q379" s="157"/>
      <c r="R379" s="157"/>
      <c r="S379" s="157"/>
      <c r="T379" s="157"/>
      <c r="U379" s="157"/>
      <c r="V379" s="3589"/>
      <c r="W379" s="778"/>
      <c r="X379" s="778"/>
      <c r="Y379" s="778">
        <v>13</v>
      </c>
      <c r="Z379" s="778">
        <v>13</v>
      </c>
      <c r="AA379" s="778">
        <v>13</v>
      </c>
      <c r="AB379" s="784">
        <v>13</v>
      </c>
      <c r="AC379" s="778"/>
      <c r="AD379" s="778"/>
      <c r="AE379" s="778"/>
      <c r="AF379" s="778"/>
      <c r="AG379" s="778"/>
      <c r="BB379" s="647"/>
      <c r="BC379" s="658"/>
      <c r="BD379" s="757"/>
      <c r="BE379" s="659"/>
    </row>
    <row r="380" spans="1:57" s="64" customFormat="1" ht="15" customHeight="1" outlineLevel="1" x14ac:dyDescent="0.25">
      <c r="A380" s="1393"/>
      <c r="B380" s="157"/>
      <c r="C380" s="385"/>
      <c r="D380" s="3589"/>
      <c r="E380" s="3721"/>
      <c r="F380" s="3647" t="str">
        <f t="shared" si="54"/>
        <v>CAC - SEER 17 ROF: MF</v>
      </c>
      <c r="G380" s="3648"/>
      <c r="H380" s="3649"/>
      <c r="I380" s="3056"/>
      <c r="J380" s="3056">
        <v>13</v>
      </c>
      <c r="K380" s="3190"/>
      <c r="L380" s="3189" t="str">
        <f>L377</f>
        <v>MO TRM</v>
      </c>
      <c r="M380" s="385"/>
      <c r="N380" s="1746"/>
      <c r="O380" s="385"/>
      <c r="P380" s="157"/>
      <c r="Q380" s="157"/>
      <c r="R380" s="157"/>
      <c r="S380" s="157"/>
      <c r="T380" s="157"/>
      <c r="U380" s="157"/>
      <c r="V380" s="3589"/>
      <c r="W380" s="2178">
        <v>13</v>
      </c>
      <c r="X380" s="2178">
        <v>13</v>
      </c>
      <c r="Y380" s="2178">
        <v>13</v>
      </c>
      <c r="Z380" s="2426">
        <v>13</v>
      </c>
      <c r="AA380" s="2426">
        <v>13</v>
      </c>
      <c r="AB380" s="784">
        <v>13</v>
      </c>
      <c r="AC380" s="2178"/>
      <c r="AD380" s="2178"/>
      <c r="AE380" s="2178"/>
      <c r="AF380" s="2178"/>
      <c r="AG380" s="2178"/>
      <c r="BB380" s="647"/>
      <c r="BC380" s="658"/>
      <c r="BD380" s="757"/>
      <c r="BE380" s="659"/>
    </row>
    <row r="381" spans="1:57" s="64" customFormat="1" ht="15" customHeight="1" outlineLevel="1" x14ac:dyDescent="0.25">
      <c r="A381" s="1393"/>
      <c r="B381" s="157"/>
      <c r="C381" s="385"/>
      <c r="D381" s="3590"/>
      <c r="E381" s="3572"/>
      <c r="F381" s="3647" t="str">
        <f t="shared" si="54"/>
        <v>CAC - SEER 17 ROF: MF_CompE</v>
      </c>
      <c r="G381" s="3648"/>
      <c r="H381" s="3649"/>
      <c r="I381" s="781"/>
      <c r="J381" s="781">
        <v>13</v>
      </c>
      <c r="K381" s="3191"/>
      <c r="L381" s="3192"/>
      <c r="M381" s="385"/>
      <c r="N381" s="1746"/>
      <c r="O381" s="385"/>
      <c r="P381" s="157"/>
      <c r="Q381" s="157"/>
      <c r="R381" s="157"/>
      <c r="S381" s="157"/>
      <c r="T381" s="157"/>
      <c r="U381" s="157"/>
      <c r="V381" s="3590"/>
      <c r="W381" s="781"/>
      <c r="X381" s="781"/>
      <c r="Y381" s="781">
        <v>13</v>
      </c>
      <c r="Z381" s="781">
        <v>13</v>
      </c>
      <c r="AA381" s="781">
        <v>13</v>
      </c>
      <c r="AB381" s="785">
        <v>13</v>
      </c>
      <c r="AC381" s="781"/>
      <c r="AD381" s="781"/>
      <c r="AE381" s="781"/>
      <c r="AF381" s="781"/>
      <c r="AG381" s="781"/>
      <c r="BB381" s="647"/>
      <c r="BC381" s="658"/>
      <c r="BD381" s="757"/>
      <c r="BE381" s="659"/>
    </row>
    <row r="382" spans="1:57" s="64" customFormat="1" ht="14.45" customHeight="1" outlineLevel="1" x14ac:dyDescent="0.25">
      <c r="A382" s="1393"/>
      <c r="B382" s="157"/>
      <c r="C382" s="385"/>
      <c r="D382" s="3787"/>
      <c r="E382" s="3785"/>
      <c r="F382" s="3659" t="str">
        <f t="shared" si="54"/>
        <v>CAC - SEER 18 ER1: SF</v>
      </c>
      <c r="G382" s="3660"/>
      <c r="H382" s="3661"/>
      <c r="I382" s="3056"/>
      <c r="J382" s="3056"/>
      <c r="K382" s="767"/>
      <c r="L382" s="3189" t="s">
        <v>1198</v>
      </c>
      <c r="M382" s="1753"/>
      <c r="N382" s="1746"/>
      <c r="O382" s="157"/>
      <c r="P382" s="157"/>
      <c r="Q382" s="157"/>
      <c r="R382" s="157"/>
      <c r="S382" s="157"/>
      <c r="T382" s="157"/>
      <c r="U382" s="157"/>
      <c r="V382" s="3590"/>
      <c r="W382" s="781"/>
      <c r="X382" s="786"/>
      <c r="Y382" s="786"/>
      <c r="Z382" s="786"/>
      <c r="AA382" s="781"/>
      <c r="AB382" s="784"/>
      <c r="AC382" s="781"/>
      <c r="AD382" s="781"/>
      <c r="AE382" s="781"/>
      <c r="AF382" s="781"/>
      <c r="AG382" s="781"/>
      <c r="BB382" s="647"/>
      <c r="BC382" s="658"/>
      <c r="BD382" s="757"/>
      <c r="BE382" s="659"/>
    </row>
    <row r="383" spans="1:57" s="64" customFormat="1" ht="14.45" customHeight="1" outlineLevel="1" x14ac:dyDescent="0.25">
      <c r="A383" s="1393"/>
      <c r="B383" s="157"/>
      <c r="C383" s="385"/>
      <c r="D383" s="3787"/>
      <c r="E383" s="3785"/>
      <c r="F383" s="3659" t="str">
        <f t="shared" si="54"/>
        <v>CAC - SEER 18 ER2: SF</v>
      </c>
      <c r="G383" s="3660"/>
      <c r="H383" s="3661"/>
      <c r="I383" s="3056"/>
      <c r="J383" s="3056">
        <v>13</v>
      </c>
      <c r="K383" s="767"/>
      <c r="L383" s="3189" t="str">
        <f>L382</f>
        <v>MO TRM</v>
      </c>
      <c r="M383" s="1753"/>
      <c r="N383" s="1746"/>
      <c r="O383" s="157"/>
      <c r="P383" s="157"/>
      <c r="Q383" s="157"/>
      <c r="R383" s="157"/>
      <c r="S383" s="157"/>
      <c r="T383" s="157"/>
      <c r="U383" s="157"/>
      <c r="V383" s="3590"/>
      <c r="W383" s="2125"/>
      <c r="X383" s="2125"/>
      <c r="Y383" s="2125"/>
      <c r="Z383" s="765">
        <v>13</v>
      </c>
      <c r="AA383" s="2426">
        <v>13</v>
      </c>
      <c r="AB383" s="784">
        <v>13</v>
      </c>
      <c r="AC383" s="2125"/>
      <c r="AD383" s="2125"/>
      <c r="AE383" s="2125"/>
      <c r="AF383" s="2125"/>
      <c r="AG383" s="2125"/>
      <c r="BB383" s="647"/>
      <c r="BC383" s="658"/>
      <c r="BD383" s="757"/>
      <c r="BE383" s="659"/>
    </row>
    <row r="384" spans="1:57" s="64" customFormat="1" ht="14.45" customHeight="1" outlineLevel="1" x14ac:dyDescent="0.25">
      <c r="A384" s="1393"/>
      <c r="B384" s="157"/>
      <c r="C384" s="385"/>
      <c r="D384" s="3787"/>
      <c r="E384" s="3785"/>
      <c r="F384" s="3659" t="str">
        <f t="shared" si="54"/>
        <v>CAC - SEER 18 ROF: SF</v>
      </c>
      <c r="G384" s="3660"/>
      <c r="H384" s="3661"/>
      <c r="I384" s="3056"/>
      <c r="J384" s="3056">
        <v>13</v>
      </c>
      <c r="K384" s="767"/>
      <c r="L384" s="3189" t="str">
        <f t="shared" ref="L384:L413" si="57">L383</f>
        <v>MO TRM</v>
      </c>
      <c r="M384" s="385"/>
      <c r="N384" s="1746"/>
      <c r="O384" s="385"/>
      <c r="P384" s="157"/>
      <c r="Q384" s="157"/>
      <c r="R384" s="157"/>
      <c r="S384" s="157"/>
      <c r="T384" s="157"/>
      <c r="U384" s="157"/>
      <c r="V384" s="3590"/>
      <c r="W384" s="2125"/>
      <c r="X384" s="2125"/>
      <c r="Y384" s="2125"/>
      <c r="Z384" s="765">
        <v>13</v>
      </c>
      <c r="AA384" s="2426">
        <v>13</v>
      </c>
      <c r="AB384" s="784">
        <v>13</v>
      </c>
      <c r="AC384" s="2125"/>
      <c r="AD384" s="2125"/>
      <c r="AE384" s="2125"/>
      <c r="AF384" s="2125"/>
      <c r="AG384" s="2125"/>
      <c r="BB384" s="647"/>
      <c r="BC384" s="658"/>
      <c r="BD384" s="757"/>
      <c r="BE384" s="659"/>
    </row>
    <row r="385" spans="1:57" s="64" customFormat="1" outlineLevel="1" x14ac:dyDescent="0.25">
      <c r="A385" s="1393"/>
      <c r="B385" s="157"/>
      <c r="C385" s="385"/>
      <c r="D385" s="3787"/>
      <c r="E385" s="3785"/>
      <c r="F385" s="3647" t="str">
        <f t="shared" si="54"/>
        <v>CAC - SEER 18 ER1: MF</v>
      </c>
      <c r="G385" s="3648"/>
      <c r="H385" s="3649"/>
      <c r="I385" s="3056"/>
      <c r="J385" s="3056"/>
      <c r="K385" s="767"/>
      <c r="L385" s="3189" t="str">
        <f t="shared" si="57"/>
        <v>MO TRM</v>
      </c>
      <c r="M385" s="385"/>
      <c r="N385" s="1746"/>
      <c r="O385" s="385"/>
      <c r="P385" s="157"/>
      <c r="Q385" s="157"/>
      <c r="R385" s="157"/>
      <c r="S385" s="157"/>
      <c r="T385" s="157"/>
      <c r="U385" s="157"/>
      <c r="V385" s="3590"/>
      <c r="W385" s="2125"/>
      <c r="X385" s="765"/>
      <c r="Y385" s="765"/>
      <c r="Z385" s="765"/>
      <c r="AA385" s="2426"/>
      <c r="AB385" s="784"/>
      <c r="AC385" s="2125"/>
      <c r="AD385" s="2125"/>
      <c r="AE385" s="2125"/>
      <c r="AF385" s="2125"/>
      <c r="AG385" s="2125"/>
      <c r="BB385" s="647"/>
      <c r="BC385" s="658"/>
      <c r="BD385" s="757"/>
      <c r="BE385" s="659"/>
    </row>
    <row r="386" spans="1:57" s="64" customFormat="1" outlineLevel="1" x14ac:dyDescent="0.25">
      <c r="A386" s="1393"/>
      <c r="B386" s="157"/>
      <c r="C386" s="385"/>
      <c r="D386" s="3787"/>
      <c r="E386" s="3785"/>
      <c r="F386" s="3647" t="str">
        <f t="shared" si="54"/>
        <v>CAC - SEER 18 ER2: MF</v>
      </c>
      <c r="G386" s="3648"/>
      <c r="H386" s="3649"/>
      <c r="I386" s="3056"/>
      <c r="J386" s="3056">
        <v>13</v>
      </c>
      <c r="K386" s="767"/>
      <c r="L386" s="3189" t="str">
        <f t="shared" si="57"/>
        <v>MO TRM</v>
      </c>
      <c r="M386" s="385"/>
      <c r="N386" s="1746"/>
      <c r="O386" s="385"/>
      <c r="P386" s="157"/>
      <c r="Q386" s="157"/>
      <c r="R386" s="157"/>
      <c r="S386" s="157"/>
      <c r="T386" s="157"/>
      <c r="U386" s="157"/>
      <c r="V386" s="3590"/>
      <c r="W386" s="2125"/>
      <c r="X386" s="2125"/>
      <c r="Y386" s="2125"/>
      <c r="Z386" s="765">
        <v>13</v>
      </c>
      <c r="AA386" s="2426">
        <v>13</v>
      </c>
      <c r="AB386" s="784">
        <v>13</v>
      </c>
      <c r="AC386" s="2125"/>
      <c r="AD386" s="2125"/>
      <c r="AE386" s="2125"/>
      <c r="AF386" s="2125"/>
      <c r="AG386" s="2125"/>
      <c r="BB386" s="647"/>
      <c r="BC386" s="658"/>
      <c r="BD386" s="757"/>
      <c r="BE386" s="659"/>
    </row>
    <row r="387" spans="1:57" s="64" customFormat="1" outlineLevel="1" x14ac:dyDescent="0.25">
      <c r="A387" s="1393"/>
      <c r="B387" s="157"/>
      <c r="C387" s="385"/>
      <c r="D387" s="3787"/>
      <c r="E387" s="3785"/>
      <c r="F387" s="3647" t="str">
        <f t="shared" si="54"/>
        <v>CAC - SEER 18 ER1: MF_CompE</v>
      </c>
      <c r="G387" s="3648"/>
      <c r="H387" s="3649"/>
      <c r="I387" s="3056"/>
      <c r="J387" s="3056"/>
      <c r="K387" s="767"/>
      <c r="L387" s="3189"/>
      <c r="M387" s="385"/>
      <c r="N387" s="1746"/>
      <c r="O387" s="385"/>
      <c r="P387" s="157"/>
      <c r="Q387" s="157"/>
      <c r="R387" s="157"/>
      <c r="S387" s="157"/>
      <c r="T387" s="157"/>
      <c r="U387" s="157"/>
      <c r="V387" s="3590"/>
      <c r="W387" s="2125"/>
      <c r="X387" s="2125"/>
      <c r="Y387" s="2125"/>
      <c r="Z387" s="765"/>
      <c r="AA387" s="2426"/>
      <c r="AB387" s="784"/>
      <c r="AC387" s="2125"/>
      <c r="AD387" s="2125"/>
      <c r="AE387" s="2125"/>
      <c r="AF387" s="2125"/>
      <c r="AG387" s="2125"/>
      <c r="BB387" s="647"/>
      <c r="BC387" s="658"/>
      <c r="BD387" s="757"/>
      <c r="BE387" s="659"/>
    </row>
    <row r="388" spans="1:57" s="64" customFormat="1" outlineLevel="1" x14ac:dyDescent="0.25">
      <c r="A388" s="1393"/>
      <c r="B388" s="157"/>
      <c r="C388" s="385"/>
      <c r="D388" s="3787"/>
      <c r="E388" s="3785"/>
      <c r="F388" s="3647" t="str">
        <f t="shared" si="54"/>
        <v>CAC - SEER 18 ER2: MF_CompE</v>
      </c>
      <c r="G388" s="3648"/>
      <c r="H388" s="3649"/>
      <c r="I388" s="3056"/>
      <c r="J388" s="3056">
        <v>13</v>
      </c>
      <c r="K388" s="767"/>
      <c r="L388" s="3189"/>
      <c r="M388" s="385"/>
      <c r="N388" s="1746"/>
      <c r="O388" s="385"/>
      <c r="P388" s="157"/>
      <c r="Q388" s="157"/>
      <c r="R388" s="157"/>
      <c r="S388" s="157"/>
      <c r="T388" s="157"/>
      <c r="U388" s="157"/>
      <c r="V388" s="3590"/>
      <c r="W388" s="2125"/>
      <c r="X388" s="2125"/>
      <c r="Y388" s="2125"/>
      <c r="Z388" s="765">
        <v>13</v>
      </c>
      <c r="AA388" s="2426">
        <v>13</v>
      </c>
      <c r="AB388" s="784">
        <v>13</v>
      </c>
      <c r="AC388" s="2125"/>
      <c r="AD388" s="2125"/>
      <c r="AE388" s="2125"/>
      <c r="AF388" s="2125"/>
      <c r="AG388" s="2125"/>
      <c r="BB388" s="647"/>
      <c r="BC388" s="658"/>
      <c r="BD388" s="757"/>
      <c r="BE388" s="659"/>
    </row>
    <row r="389" spans="1:57" s="64" customFormat="1" outlineLevel="1" x14ac:dyDescent="0.25">
      <c r="A389" s="1393"/>
      <c r="B389" s="157"/>
      <c r="C389" s="385"/>
      <c r="D389" s="3787"/>
      <c r="E389" s="3785"/>
      <c r="F389" s="3647" t="str">
        <f t="shared" si="54"/>
        <v>CAC - SEER 18 ROF: MF</v>
      </c>
      <c r="G389" s="3648"/>
      <c r="H389" s="3649"/>
      <c r="I389" s="3056"/>
      <c r="J389" s="3056">
        <v>13</v>
      </c>
      <c r="K389" s="767"/>
      <c r="L389" s="3189" t="str">
        <f>L386</f>
        <v>MO TRM</v>
      </c>
      <c r="M389" s="385"/>
      <c r="N389" s="1746"/>
      <c r="O389" s="385"/>
      <c r="P389" s="157"/>
      <c r="Q389" s="157"/>
      <c r="R389" s="157"/>
      <c r="S389" s="157"/>
      <c r="T389" s="157"/>
      <c r="U389" s="157"/>
      <c r="V389" s="3590"/>
      <c r="W389" s="2125"/>
      <c r="X389" s="2125"/>
      <c r="Y389" s="2125"/>
      <c r="Z389" s="765">
        <v>13</v>
      </c>
      <c r="AA389" s="2426">
        <v>13</v>
      </c>
      <c r="AB389" s="784">
        <v>13</v>
      </c>
      <c r="AC389" s="2125"/>
      <c r="AD389" s="2125"/>
      <c r="AE389" s="2125"/>
      <c r="AF389" s="2125"/>
      <c r="AG389" s="2125"/>
      <c r="BB389" s="647"/>
      <c r="BC389" s="658"/>
      <c r="BD389" s="757"/>
      <c r="BE389" s="659"/>
    </row>
    <row r="390" spans="1:57" s="64" customFormat="1" outlineLevel="1" x14ac:dyDescent="0.25">
      <c r="A390" s="1393"/>
      <c r="B390" s="157"/>
      <c r="C390" s="385"/>
      <c r="D390" s="3787"/>
      <c r="E390" s="3785"/>
      <c r="F390" s="3647" t="str">
        <f t="shared" si="54"/>
        <v>CAC - SEER 18 ROF: MF_CompE</v>
      </c>
      <c r="G390" s="3648"/>
      <c r="H390" s="3649"/>
      <c r="I390" s="3056"/>
      <c r="J390" s="3056">
        <v>13</v>
      </c>
      <c r="K390" s="767"/>
      <c r="L390" s="3189"/>
      <c r="M390" s="385"/>
      <c r="N390" s="1746"/>
      <c r="O390" s="385"/>
      <c r="P390" s="157"/>
      <c r="Q390" s="157"/>
      <c r="R390" s="157"/>
      <c r="S390" s="157"/>
      <c r="T390" s="157"/>
      <c r="U390" s="157"/>
      <c r="V390" s="3590"/>
      <c r="W390" s="2125"/>
      <c r="X390" s="2125"/>
      <c r="Y390" s="2125"/>
      <c r="Z390" s="765">
        <v>13</v>
      </c>
      <c r="AA390" s="2426">
        <v>13</v>
      </c>
      <c r="AB390" s="784">
        <v>13</v>
      </c>
      <c r="AC390" s="2125"/>
      <c r="AD390" s="2125"/>
      <c r="AE390" s="2125"/>
      <c r="AF390" s="2125"/>
      <c r="AG390" s="2125"/>
      <c r="BB390" s="647"/>
      <c r="BC390" s="658"/>
      <c r="BD390" s="757"/>
      <c r="BE390" s="659"/>
    </row>
    <row r="391" spans="1:57" s="64" customFormat="1" outlineLevel="1" x14ac:dyDescent="0.25">
      <c r="A391" s="1393"/>
      <c r="B391" s="157"/>
      <c r="C391" s="385"/>
      <c r="D391" s="3787"/>
      <c r="E391" s="3785"/>
      <c r="F391" s="3647" t="str">
        <f t="shared" si="54"/>
        <v>CAC - SEER 19 ER1: SF</v>
      </c>
      <c r="G391" s="3648"/>
      <c r="H391" s="3649"/>
      <c r="I391" s="3056"/>
      <c r="J391" s="3056"/>
      <c r="K391" s="767"/>
      <c r="L391" s="3189" t="str">
        <f>L389</f>
        <v>MO TRM</v>
      </c>
      <c r="M391" s="385"/>
      <c r="N391" s="1746"/>
      <c r="O391" s="385"/>
      <c r="P391" s="157"/>
      <c r="Q391" s="157"/>
      <c r="R391" s="157"/>
      <c r="S391" s="157"/>
      <c r="T391" s="157"/>
      <c r="U391" s="157"/>
      <c r="V391" s="3590"/>
      <c r="W391" s="2125"/>
      <c r="X391" s="765"/>
      <c r="Y391" s="765"/>
      <c r="Z391" s="765"/>
      <c r="AA391" s="2426"/>
      <c r="AB391" s="784"/>
      <c r="AC391" s="2125"/>
      <c r="AD391" s="2125"/>
      <c r="AE391" s="2125"/>
      <c r="AF391" s="2125"/>
      <c r="AG391" s="2125"/>
      <c r="BB391" s="647"/>
      <c r="BC391" s="658"/>
      <c r="BD391" s="757"/>
      <c r="BE391" s="659"/>
    </row>
    <row r="392" spans="1:57" s="64" customFormat="1" outlineLevel="1" x14ac:dyDescent="0.25">
      <c r="A392" s="1393"/>
      <c r="B392" s="157"/>
      <c r="C392" s="385"/>
      <c r="D392" s="3787"/>
      <c r="E392" s="3785"/>
      <c r="F392" s="3647" t="str">
        <f t="shared" si="54"/>
        <v>CAC - SEER 19 ER2: SF</v>
      </c>
      <c r="G392" s="3648"/>
      <c r="H392" s="3649"/>
      <c r="I392" s="3056"/>
      <c r="J392" s="3056">
        <v>13</v>
      </c>
      <c r="K392" s="767"/>
      <c r="L392" s="3189" t="str">
        <f t="shared" si="57"/>
        <v>MO TRM</v>
      </c>
      <c r="M392" s="385"/>
      <c r="N392" s="1746"/>
      <c r="O392" s="385"/>
      <c r="P392" s="157"/>
      <c r="Q392" s="157"/>
      <c r="R392" s="157"/>
      <c r="S392" s="157"/>
      <c r="T392" s="157"/>
      <c r="U392" s="157"/>
      <c r="V392" s="3590"/>
      <c r="W392" s="2125"/>
      <c r="X392" s="2125"/>
      <c r="Y392" s="2125"/>
      <c r="Z392" s="765">
        <v>13</v>
      </c>
      <c r="AA392" s="2426">
        <v>13</v>
      </c>
      <c r="AB392" s="784">
        <v>13</v>
      </c>
      <c r="AC392" s="2125"/>
      <c r="AD392" s="2125"/>
      <c r="AE392" s="2125"/>
      <c r="AF392" s="2125"/>
      <c r="AG392" s="2125"/>
      <c r="BB392" s="647"/>
      <c r="BC392" s="658"/>
      <c r="BD392" s="757"/>
      <c r="BE392" s="659"/>
    </row>
    <row r="393" spans="1:57" s="64" customFormat="1" outlineLevel="1" x14ac:dyDescent="0.25">
      <c r="A393" s="1393"/>
      <c r="B393" s="157"/>
      <c r="C393" s="385"/>
      <c r="D393" s="3787"/>
      <c r="E393" s="3785"/>
      <c r="F393" s="3647" t="str">
        <f t="shared" si="54"/>
        <v>CAC - SEER 19 ROF: SF</v>
      </c>
      <c r="G393" s="3648"/>
      <c r="H393" s="3649"/>
      <c r="I393" s="3056"/>
      <c r="J393" s="3056">
        <v>13</v>
      </c>
      <c r="K393" s="767"/>
      <c r="L393" s="3189" t="str">
        <f t="shared" si="57"/>
        <v>MO TRM</v>
      </c>
      <c r="M393" s="385"/>
      <c r="N393" s="1746"/>
      <c r="O393" s="385"/>
      <c r="P393" s="157"/>
      <c r="Q393" s="157"/>
      <c r="R393" s="157"/>
      <c r="S393" s="157"/>
      <c r="T393" s="157"/>
      <c r="U393" s="157"/>
      <c r="V393" s="3590"/>
      <c r="W393" s="2125"/>
      <c r="X393" s="2125"/>
      <c r="Y393" s="2125"/>
      <c r="Z393" s="765">
        <v>13</v>
      </c>
      <c r="AA393" s="2426">
        <v>13</v>
      </c>
      <c r="AB393" s="784">
        <v>13</v>
      </c>
      <c r="AC393" s="2125"/>
      <c r="AD393" s="2125"/>
      <c r="AE393" s="2125"/>
      <c r="AF393" s="2125"/>
      <c r="AG393" s="2125"/>
      <c r="BB393" s="647"/>
      <c r="BC393" s="658"/>
      <c r="BD393" s="757"/>
      <c r="BE393" s="659"/>
    </row>
    <row r="394" spans="1:57" s="64" customFormat="1" outlineLevel="1" x14ac:dyDescent="0.25">
      <c r="A394" s="1393"/>
      <c r="B394" s="157"/>
      <c r="C394" s="385"/>
      <c r="D394" s="3787"/>
      <c r="E394" s="3785"/>
      <c r="F394" s="3647" t="str">
        <f t="shared" si="54"/>
        <v>CAC - SEER 19 ER1: MF</v>
      </c>
      <c r="G394" s="3648"/>
      <c r="H394" s="3649"/>
      <c r="I394" s="3056"/>
      <c r="J394" s="3056"/>
      <c r="K394" s="767"/>
      <c r="L394" s="3189" t="str">
        <f t="shared" si="57"/>
        <v>MO TRM</v>
      </c>
      <c r="M394" s="385"/>
      <c r="N394" s="1746"/>
      <c r="O394" s="385"/>
      <c r="P394" s="157"/>
      <c r="Q394" s="157"/>
      <c r="R394" s="157"/>
      <c r="S394" s="157"/>
      <c r="T394" s="157"/>
      <c r="U394" s="157"/>
      <c r="V394" s="3590"/>
      <c r="W394" s="2125"/>
      <c r="X394" s="765"/>
      <c r="Y394" s="765"/>
      <c r="Z394" s="765"/>
      <c r="AA394" s="2426"/>
      <c r="AB394" s="784"/>
      <c r="AC394" s="2125"/>
      <c r="AD394" s="2125"/>
      <c r="AE394" s="2125"/>
      <c r="AF394" s="2125"/>
      <c r="AG394" s="2125"/>
      <c r="BB394" s="647"/>
      <c r="BC394" s="658"/>
      <c r="BD394" s="757"/>
      <c r="BE394" s="659"/>
    </row>
    <row r="395" spans="1:57" s="64" customFormat="1" outlineLevel="1" x14ac:dyDescent="0.25">
      <c r="A395" s="1393"/>
      <c r="B395" s="157"/>
      <c r="C395" s="385"/>
      <c r="D395" s="3787"/>
      <c r="E395" s="3785"/>
      <c r="F395" s="3647" t="str">
        <f t="shared" si="54"/>
        <v>CAC - SEER 19 ER2: MF</v>
      </c>
      <c r="G395" s="3648"/>
      <c r="H395" s="3649"/>
      <c r="I395" s="3056"/>
      <c r="J395" s="3056">
        <v>13</v>
      </c>
      <c r="K395" s="767"/>
      <c r="L395" s="3189" t="str">
        <f t="shared" si="57"/>
        <v>MO TRM</v>
      </c>
      <c r="M395" s="385"/>
      <c r="N395" s="1746"/>
      <c r="O395" s="385"/>
      <c r="P395" s="157"/>
      <c r="Q395" s="157"/>
      <c r="R395" s="157"/>
      <c r="S395" s="157"/>
      <c r="T395" s="157"/>
      <c r="U395" s="157"/>
      <c r="V395" s="3590"/>
      <c r="W395" s="2125"/>
      <c r="X395" s="2125"/>
      <c r="Y395" s="2125"/>
      <c r="Z395" s="765">
        <v>13</v>
      </c>
      <c r="AA395" s="2426">
        <v>13</v>
      </c>
      <c r="AB395" s="784">
        <v>13</v>
      </c>
      <c r="AC395" s="2125"/>
      <c r="AD395" s="2125"/>
      <c r="AE395" s="2125"/>
      <c r="AF395" s="2125"/>
      <c r="AG395" s="2125"/>
      <c r="BB395" s="647"/>
      <c r="BC395" s="658"/>
      <c r="BD395" s="757"/>
      <c r="BE395" s="659"/>
    </row>
    <row r="396" spans="1:57" s="64" customFormat="1" outlineLevel="1" x14ac:dyDescent="0.25">
      <c r="A396" s="1393"/>
      <c r="B396" s="157"/>
      <c r="C396" s="385"/>
      <c r="D396" s="3787"/>
      <c r="E396" s="3785"/>
      <c r="F396" s="3647" t="str">
        <f t="shared" si="54"/>
        <v>CAC - SEER 19 ER1: MF_CompE</v>
      </c>
      <c r="G396" s="3648"/>
      <c r="H396" s="3649"/>
      <c r="I396" s="3056"/>
      <c r="J396" s="3056"/>
      <c r="K396" s="767"/>
      <c r="L396" s="3189"/>
      <c r="M396" s="385"/>
      <c r="N396" s="1746"/>
      <c r="O396" s="385"/>
      <c r="P396" s="157"/>
      <c r="Q396" s="157"/>
      <c r="R396" s="157"/>
      <c r="S396" s="157"/>
      <c r="T396" s="157"/>
      <c r="U396" s="157"/>
      <c r="V396" s="3590"/>
      <c r="W396" s="2125"/>
      <c r="X396" s="2125"/>
      <c r="Y396" s="2125"/>
      <c r="Z396" s="765"/>
      <c r="AA396" s="2426"/>
      <c r="AB396" s="784"/>
      <c r="AC396" s="2125"/>
      <c r="AD396" s="2125"/>
      <c r="AE396" s="2125"/>
      <c r="AF396" s="2125"/>
      <c r="AG396" s="2125"/>
      <c r="BB396" s="647"/>
      <c r="BC396" s="658"/>
      <c r="BD396" s="757"/>
      <c r="BE396" s="659"/>
    </row>
    <row r="397" spans="1:57" s="64" customFormat="1" outlineLevel="1" x14ac:dyDescent="0.25">
      <c r="A397" s="1393"/>
      <c r="B397" s="157"/>
      <c r="C397" s="385"/>
      <c r="D397" s="3787"/>
      <c r="E397" s="3785"/>
      <c r="F397" s="3647" t="str">
        <f t="shared" si="54"/>
        <v>CAC - SEER 19 ER2: MF_CompE</v>
      </c>
      <c r="G397" s="3648"/>
      <c r="H397" s="3649"/>
      <c r="I397" s="3056"/>
      <c r="J397" s="3056">
        <v>13</v>
      </c>
      <c r="K397" s="767"/>
      <c r="L397" s="3189"/>
      <c r="M397" s="385"/>
      <c r="N397" s="1746"/>
      <c r="O397" s="385"/>
      <c r="P397" s="157"/>
      <c r="Q397" s="157"/>
      <c r="R397" s="157"/>
      <c r="S397" s="157"/>
      <c r="T397" s="157"/>
      <c r="U397" s="157"/>
      <c r="V397" s="3590"/>
      <c r="W397" s="2125"/>
      <c r="X397" s="2125"/>
      <c r="Y397" s="2125"/>
      <c r="Z397" s="765">
        <v>13</v>
      </c>
      <c r="AA397" s="2426">
        <v>13</v>
      </c>
      <c r="AB397" s="784">
        <v>13</v>
      </c>
      <c r="AC397" s="2125"/>
      <c r="AD397" s="2125"/>
      <c r="AE397" s="2125"/>
      <c r="AF397" s="2125"/>
      <c r="AG397" s="2125"/>
      <c r="BB397" s="647"/>
      <c r="BC397" s="658"/>
      <c r="BD397" s="757"/>
      <c r="BE397" s="659"/>
    </row>
    <row r="398" spans="1:57" s="64" customFormat="1" outlineLevel="1" x14ac:dyDescent="0.25">
      <c r="A398" s="1393"/>
      <c r="B398" s="157"/>
      <c r="C398" s="385"/>
      <c r="D398" s="3787"/>
      <c r="E398" s="3785"/>
      <c r="F398" s="3647" t="str">
        <f t="shared" si="54"/>
        <v>CAC - SEER 19 ROF: MF</v>
      </c>
      <c r="G398" s="3648"/>
      <c r="H398" s="3649"/>
      <c r="I398" s="3056"/>
      <c r="J398" s="3056">
        <v>13</v>
      </c>
      <c r="K398" s="767"/>
      <c r="L398" s="3189" t="str">
        <f>L395</f>
        <v>MO TRM</v>
      </c>
      <c r="M398" s="385"/>
      <c r="N398" s="1746"/>
      <c r="O398" s="385"/>
      <c r="P398" s="157"/>
      <c r="Q398" s="157"/>
      <c r="R398" s="157"/>
      <c r="S398" s="157"/>
      <c r="T398" s="157"/>
      <c r="U398" s="157"/>
      <c r="V398" s="3590"/>
      <c r="W398" s="2125"/>
      <c r="X398" s="2125"/>
      <c r="Y398" s="2125"/>
      <c r="Z398" s="765">
        <v>13</v>
      </c>
      <c r="AA398" s="2426">
        <v>13</v>
      </c>
      <c r="AB398" s="784">
        <v>13</v>
      </c>
      <c r="AC398" s="2125"/>
      <c r="AD398" s="2125"/>
      <c r="AE398" s="2125"/>
      <c r="AF398" s="2125"/>
      <c r="AG398" s="2125"/>
      <c r="BB398" s="647"/>
      <c r="BC398" s="658"/>
      <c r="BD398" s="757"/>
      <c r="BE398" s="659"/>
    </row>
    <row r="399" spans="1:57" s="64" customFormat="1" outlineLevel="1" x14ac:dyDescent="0.25">
      <c r="A399" s="1393"/>
      <c r="B399" s="157"/>
      <c r="C399" s="385"/>
      <c r="D399" s="3787"/>
      <c r="E399" s="3785"/>
      <c r="F399" s="3647" t="str">
        <f t="shared" si="54"/>
        <v>CAC - SEER 19 ROF: MF_CompE</v>
      </c>
      <c r="G399" s="3648"/>
      <c r="H399" s="3649"/>
      <c r="I399" s="3056"/>
      <c r="J399" s="3056">
        <v>13</v>
      </c>
      <c r="K399" s="767"/>
      <c r="L399" s="3189"/>
      <c r="M399" s="385"/>
      <c r="N399" s="1746"/>
      <c r="O399" s="385"/>
      <c r="P399" s="157"/>
      <c r="Q399" s="157"/>
      <c r="R399" s="157"/>
      <c r="S399" s="157"/>
      <c r="T399" s="157"/>
      <c r="U399" s="157"/>
      <c r="V399" s="3590"/>
      <c r="W399" s="2125"/>
      <c r="X399" s="2125"/>
      <c r="Y399" s="2125"/>
      <c r="Z399" s="765">
        <v>13</v>
      </c>
      <c r="AA399" s="2426">
        <v>13</v>
      </c>
      <c r="AB399" s="784">
        <v>13</v>
      </c>
      <c r="AC399" s="2125"/>
      <c r="AD399" s="2125"/>
      <c r="AE399" s="2125"/>
      <c r="AF399" s="2125"/>
      <c r="AG399" s="2125"/>
      <c r="BB399" s="647"/>
      <c r="BC399" s="658"/>
      <c r="BD399" s="757"/>
      <c r="BE399" s="659"/>
    </row>
    <row r="400" spans="1:57" s="64" customFormat="1" outlineLevel="1" x14ac:dyDescent="0.25">
      <c r="A400" s="1393"/>
      <c r="B400" s="157"/>
      <c r="C400" s="385"/>
      <c r="D400" s="3787"/>
      <c r="E400" s="3785"/>
      <c r="F400" s="3647" t="str">
        <f t="shared" si="54"/>
        <v>CAC - SEER 20 ER1: SF</v>
      </c>
      <c r="G400" s="3648"/>
      <c r="H400" s="3649"/>
      <c r="I400" s="3056"/>
      <c r="J400" s="3056"/>
      <c r="K400" s="767"/>
      <c r="L400" s="3189" t="str">
        <f>L398</f>
        <v>MO TRM</v>
      </c>
      <c r="M400" s="385"/>
      <c r="N400" s="1746"/>
      <c r="O400" s="385"/>
      <c r="P400" s="157"/>
      <c r="Q400" s="157"/>
      <c r="R400" s="157"/>
      <c r="S400" s="157"/>
      <c r="T400" s="157"/>
      <c r="U400" s="157"/>
      <c r="V400" s="3590"/>
      <c r="W400" s="2125"/>
      <c r="X400" s="765"/>
      <c r="Y400" s="765"/>
      <c r="Z400" s="765"/>
      <c r="AA400" s="2426"/>
      <c r="AB400" s="784"/>
      <c r="AC400" s="2125"/>
      <c r="AD400" s="2125"/>
      <c r="AE400" s="2125"/>
      <c r="AF400" s="2125"/>
      <c r="AG400" s="2125"/>
      <c r="BB400" s="647"/>
      <c r="BC400" s="658"/>
      <c r="BD400" s="757"/>
      <c r="BE400" s="659"/>
    </row>
    <row r="401" spans="1:57" s="64" customFormat="1" outlineLevel="1" x14ac:dyDescent="0.25">
      <c r="A401" s="1393"/>
      <c r="B401" s="157"/>
      <c r="C401" s="385"/>
      <c r="D401" s="3787"/>
      <c r="E401" s="3785"/>
      <c r="F401" s="3647" t="str">
        <f t="shared" si="54"/>
        <v>CAC - SEER 20 ER2: SF</v>
      </c>
      <c r="G401" s="3648"/>
      <c r="H401" s="3649"/>
      <c r="I401" s="3056"/>
      <c r="J401" s="3056">
        <v>13</v>
      </c>
      <c r="K401" s="767"/>
      <c r="L401" s="3189" t="str">
        <f t="shared" si="57"/>
        <v>MO TRM</v>
      </c>
      <c r="M401" s="385"/>
      <c r="N401" s="1746"/>
      <c r="O401" s="385"/>
      <c r="P401" s="157"/>
      <c r="Q401" s="157"/>
      <c r="R401" s="157"/>
      <c r="S401" s="157"/>
      <c r="T401" s="157"/>
      <c r="U401" s="157"/>
      <c r="V401" s="3590"/>
      <c r="W401" s="2125"/>
      <c r="X401" s="2125"/>
      <c r="Y401" s="2125"/>
      <c r="Z401" s="765">
        <v>13</v>
      </c>
      <c r="AA401" s="2426">
        <v>13</v>
      </c>
      <c r="AB401" s="784">
        <v>13</v>
      </c>
      <c r="AC401" s="2125"/>
      <c r="AD401" s="2125"/>
      <c r="AE401" s="2125"/>
      <c r="AF401" s="2125"/>
      <c r="AG401" s="2125"/>
      <c r="BB401" s="647"/>
      <c r="BC401" s="658"/>
      <c r="BD401" s="757"/>
      <c r="BE401" s="659"/>
    </row>
    <row r="402" spans="1:57" s="64" customFormat="1" outlineLevel="1" x14ac:dyDescent="0.25">
      <c r="A402" s="1393"/>
      <c r="B402" s="157"/>
      <c r="C402" s="385"/>
      <c r="D402" s="3787"/>
      <c r="E402" s="3785"/>
      <c r="F402" s="3647" t="str">
        <f t="shared" ref="F402:F465" si="58">F330</f>
        <v>CAC - SEER 20 ROF: SF</v>
      </c>
      <c r="G402" s="3648"/>
      <c r="H402" s="3649"/>
      <c r="I402" s="3056"/>
      <c r="J402" s="3056">
        <v>13</v>
      </c>
      <c r="K402" s="767"/>
      <c r="L402" s="3189" t="str">
        <f t="shared" si="57"/>
        <v>MO TRM</v>
      </c>
      <c r="M402" s="385"/>
      <c r="N402" s="1746"/>
      <c r="O402" s="385"/>
      <c r="P402" s="157"/>
      <c r="Q402" s="157"/>
      <c r="R402" s="157"/>
      <c r="S402" s="157"/>
      <c r="T402" s="157"/>
      <c r="U402" s="157"/>
      <c r="V402" s="3590"/>
      <c r="W402" s="2125"/>
      <c r="X402" s="2125"/>
      <c r="Y402" s="2125"/>
      <c r="Z402" s="765">
        <v>13</v>
      </c>
      <c r="AA402" s="2426">
        <v>13</v>
      </c>
      <c r="AB402" s="784">
        <v>13</v>
      </c>
      <c r="AC402" s="2125"/>
      <c r="AD402" s="2125"/>
      <c r="AE402" s="2125"/>
      <c r="AF402" s="2125"/>
      <c r="AG402" s="2125"/>
      <c r="BB402" s="647"/>
      <c r="BC402" s="658"/>
      <c r="BD402" s="757"/>
      <c r="BE402" s="659"/>
    </row>
    <row r="403" spans="1:57" s="64" customFormat="1" outlineLevel="1" x14ac:dyDescent="0.25">
      <c r="A403" s="1393"/>
      <c r="B403" s="157"/>
      <c r="C403" s="385"/>
      <c r="D403" s="3787"/>
      <c r="E403" s="3785"/>
      <c r="F403" s="3647" t="str">
        <f t="shared" si="58"/>
        <v>CAC - SEER 20 ER1: MF</v>
      </c>
      <c r="G403" s="3648"/>
      <c r="H403" s="3649"/>
      <c r="I403" s="3056"/>
      <c r="J403" s="3056"/>
      <c r="K403" s="767"/>
      <c r="L403" s="3189" t="str">
        <f t="shared" si="57"/>
        <v>MO TRM</v>
      </c>
      <c r="M403" s="385"/>
      <c r="N403" s="1746"/>
      <c r="O403" s="385"/>
      <c r="P403" s="157"/>
      <c r="Q403" s="157"/>
      <c r="R403" s="157"/>
      <c r="S403" s="157"/>
      <c r="T403" s="157"/>
      <c r="U403" s="157"/>
      <c r="V403" s="3590"/>
      <c r="W403" s="2125"/>
      <c r="X403" s="765"/>
      <c r="Y403" s="765"/>
      <c r="Z403" s="765"/>
      <c r="AA403" s="2426"/>
      <c r="AB403" s="784"/>
      <c r="AC403" s="2125"/>
      <c r="AD403" s="2125"/>
      <c r="AE403" s="2125"/>
      <c r="AF403" s="2125"/>
      <c r="AG403" s="2125"/>
      <c r="BB403" s="647"/>
      <c r="BC403" s="658"/>
      <c r="BD403" s="757"/>
      <c r="BE403" s="659"/>
    </row>
    <row r="404" spans="1:57" s="64" customFormat="1" outlineLevel="1" x14ac:dyDescent="0.25">
      <c r="A404" s="1393"/>
      <c r="B404" s="157"/>
      <c r="C404" s="385"/>
      <c r="D404" s="3787"/>
      <c r="E404" s="3785"/>
      <c r="F404" s="3647" t="str">
        <f t="shared" si="58"/>
        <v>CAC - SEER 20 ER2: MF</v>
      </c>
      <c r="G404" s="3648"/>
      <c r="H404" s="3649"/>
      <c r="I404" s="3056"/>
      <c r="J404" s="3056">
        <v>13</v>
      </c>
      <c r="K404" s="767"/>
      <c r="L404" s="3189" t="str">
        <f t="shared" si="57"/>
        <v>MO TRM</v>
      </c>
      <c r="M404" s="385"/>
      <c r="N404" s="1746"/>
      <c r="O404" s="385"/>
      <c r="P404" s="157"/>
      <c r="Q404" s="157"/>
      <c r="R404" s="157"/>
      <c r="S404" s="157"/>
      <c r="T404" s="157"/>
      <c r="U404" s="157"/>
      <c r="V404" s="3590"/>
      <c r="W404" s="2125"/>
      <c r="X404" s="2125"/>
      <c r="Y404" s="2125"/>
      <c r="Z404" s="765">
        <v>13</v>
      </c>
      <c r="AA404" s="2426">
        <v>13</v>
      </c>
      <c r="AB404" s="784">
        <v>13</v>
      </c>
      <c r="AC404" s="2125"/>
      <c r="AD404" s="2125"/>
      <c r="AE404" s="2125"/>
      <c r="AF404" s="2125"/>
      <c r="AG404" s="2125"/>
      <c r="BB404" s="647"/>
      <c r="BC404" s="658"/>
      <c r="BD404" s="757"/>
      <c r="BE404" s="659"/>
    </row>
    <row r="405" spans="1:57" s="64" customFormat="1" outlineLevel="1" x14ac:dyDescent="0.25">
      <c r="A405" s="1393"/>
      <c r="B405" s="157"/>
      <c r="C405" s="385"/>
      <c r="D405" s="3787"/>
      <c r="E405" s="3785"/>
      <c r="F405" s="3647" t="str">
        <f t="shared" si="58"/>
        <v>CAC - SEER 20 ER1: MF_CompE</v>
      </c>
      <c r="G405" s="3648"/>
      <c r="H405" s="3649"/>
      <c r="I405" s="3056"/>
      <c r="J405" s="3056"/>
      <c r="K405" s="767"/>
      <c r="L405" s="3189"/>
      <c r="M405" s="385"/>
      <c r="N405" s="1746"/>
      <c r="O405" s="385"/>
      <c r="P405" s="157"/>
      <c r="Q405" s="157"/>
      <c r="R405" s="157"/>
      <c r="S405" s="157"/>
      <c r="T405" s="157"/>
      <c r="U405" s="157"/>
      <c r="V405" s="3590"/>
      <c r="W405" s="2125"/>
      <c r="X405" s="2125"/>
      <c r="Y405" s="2125"/>
      <c r="Z405" s="765"/>
      <c r="AA405" s="2426"/>
      <c r="AB405" s="784"/>
      <c r="AC405" s="2125"/>
      <c r="AD405" s="2125"/>
      <c r="AE405" s="2125"/>
      <c r="AF405" s="2125"/>
      <c r="AG405" s="2125"/>
      <c r="BB405" s="647"/>
      <c r="BC405" s="658"/>
      <c r="BD405" s="757"/>
      <c r="BE405" s="659"/>
    </row>
    <row r="406" spans="1:57" s="64" customFormat="1" outlineLevel="1" x14ac:dyDescent="0.25">
      <c r="A406" s="1393"/>
      <c r="B406" s="157"/>
      <c r="C406" s="385"/>
      <c r="D406" s="3787"/>
      <c r="E406" s="3785"/>
      <c r="F406" s="3647" t="str">
        <f t="shared" si="58"/>
        <v>CAC - SEER 20 ER2: MF_CompE</v>
      </c>
      <c r="G406" s="3648"/>
      <c r="H406" s="3649"/>
      <c r="I406" s="3056"/>
      <c r="J406" s="3056">
        <v>13</v>
      </c>
      <c r="K406" s="767"/>
      <c r="L406" s="3189"/>
      <c r="M406" s="385"/>
      <c r="N406" s="1746"/>
      <c r="O406" s="385"/>
      <c r="P406" s="157"/>
      <c r="Q406" s="157"/>
      <c r="R406" s="157"/>
      <c r="S406" s="157"/>
      <c r="T406" s="157"/>
      <c r="U406" s="157"/>
      <c r="V406" s="3590"/>
      <c r="W406" s="2125"/>
      <c r="X406" s="2125"/>
      <c r="Y406" s="2125"/>
      <c r="Z406" s="765">
        <v>13</v>
      </c>
      <c r="AA406" s="2426">
        <v>13</v>
      </c>
      <c r="AB406" s="784">
        <v>13</v>
      </c>
      <c r="AC406" s="2125"/>
      <c r="AD406" s="2125"/>
      <c r="AE406" s="2125"/>
      <c r="AF406" s="2125"/>
      <c r="AG406" s="2125"/>
      <c r="BB406" s="647"/>
      <c r="BC406" s="658"/>
      <c r="BD406" s="757"/>
      <c r="BE406" s="659"/>
    </row>
    <row r="407" spans="1:57" s="64" customFormat="1" outlineLevel="1" x14ac:dyDescent="0.25">
      <c r="A407" s="1393"/>
      <c r="B407" s="157"/>
      <c r="C407" s="385"/>
      <c r="D407" s="3787"/>
      <c r="E407" s="3785"/>
      <c r="F407" s="3647" t="str">
        <f t="shared" si="58"/>
        <v>CAC - SEER 20 ROF: MF</v>
      </c>
      <c r="G407" s="3648"/>
      <c r="H407" s="3649"/>
      <c r="I407" s="3056"/>
      <c r="J407" s="3056">
        <v>13</v>
      </c>
      <c r="K407" s="767"/>
      <c r="L407" s="3189" t="str">
        <f>L404</f>
        <v>MO TRM</v>
      </c>
      <c r="M407" s="385"/>
      <c r="N407" s="1746"/>
      <c r="O407" s="385"/>
      <c r="P407" s="157"/>
      <c r="Q407" s="157"/>
      <c r="R407" s="157"/>
      <c r="S407" s="157"/>
      <c r="T407" s="157"/>
      <c r="U407" s="157"/>
      <c r="V407" s="3590"/>
      <c r="W407" s="2125"/>
      <c r="X407" s="2125"/>
      <c r="Y407" s="2125"/>
      <c r="Z407" s="765">
        <v>13</v>
      </c>
      <c r="AA407" s="2426">
        <v>13</v>
      </c>
      <c r="AB407" s="784">
        <v>13</v>
      </c>
      <c r="AC407" s="2125"/>
      <c r="AD407" s="2125"/>
      <c r="AE407" s="2125"/>
      <c r="AF407" s="2125"/>
      <c r="AG407" s="2125"/>
      <c r="BB407" s="647"/>
      <c r="BC407" s="658"/>
      <c r="BD407" s="757"/>
      <c r="BE407" s="659"/>
    </row>
    <row r="408" spans="1:57" s="64" customFormat="1" outlineLevel="1" x14ac:dyDescent="0.25">
      <c r="A408" s="1393"/>
      <c r="B408" s="157"/>
      <c r="C408" s="385"/>
      <c r="D408" s="3787"/>
      <c r="E408" s="3785"/>
      <c r="F408" s="3647" t="str">
        <f t="shared" si="58"/>
        <v>CAC - SEER 20 ROF: MF_CompE</v>
      </c>
      <c r="G408" s="3648"/>
      <c r="H408" s="3649"/>
      <c r="I408" s="3056"/>
      <c r="J408" s="3056">
        <v>13</v>
      </c>
      <c r="K408" s="767"/>
      <c r="L408" s="3189"/>
      <c r="M408" s="385"/>
      <c r="N408" s="1746"/>
      <c r="O408" s="385"/>
      <c r="P408" s="157"/>
      <c r="Q408" s="157"/>
      <c r="R408" s="157"/>
      <c r="S408" s="157"/>
      <c r="T408" s="157"/>
      <c r="U408" s="157"/>
      <c r="V408" s="3590"/>
      <c r="W408" s="2125"/>
      <c r="X408" s="2125"/>
      <c r="Y408" s="2125"/>
      <c r="Z408" s="765">
        <v>13</v>
      </c>
      <c r="AA408" s="2426">
        <v>13</v>
      </c>
      <c r="AB408" s="784">
        <v>13</v>
      </c>
      <c r="AC408" s="2125"/>
      <c r="AD408" s="2125"/>
      <c r="AE408" s="2125"/>
      <c r="AF408" s="2125"/>
      <c r="AG408" s="2125"/>
      <c r="BB408" s="647"/>
      <c r="BC408" s="658"/>
      <c r="BD408" s="757"/>
      <c r="BE408" s="659"/>
    </row>
    <row r="409" spans="1:57" s="64" customFormat="1" outlineLevel="1" x14ac:dyDescent="0.25">
      <c r="A409" s="1393"/>
      <c r="B409" s="157"/>
      <c r="C409" s="385"/>
      <c r="D409" s="3787"/>
      <c r="E409" s="3785"/>
      <c r="F409" s="3647" t="str">
        <f t="shared" si="58"/>
        <v>CAC - SEER 21+ ER1: SF</v>
      </c>
      <c r="G409" s="3648"/>
      <c r="H409" s="3649"/>
      <c r="I409" s="3056"/>
      <c r="J409" s="3056"/>
      <c r="K409" s="767"/>
      <c r="L409" s="3189" t="str">
        <f>L407</f>
        <v>MO TRM</v>
      </c>
      <c r="M409" s="385"/>
      <c r="N409" s="1746"/>
      <c r="O409" s="385"/>
      <c r="P409" s="157"/>
      <c r="Q409" s="157"/>
      <c r="R409" s="157"/>
      <c r="S409" s="157"/>
      <c r="T409" s="157"/>
      <c r="U409" s="157"/>
      <c r="V409" s="3590"/>
      <c r="W409" s="2125"/>
      <c r="X409" s="765"/>
      <c r="Y409" s="765"/>
      <c r="Z409" s="765"/>
      <c r="AA409" s="2426"/>
      <c r="AB409" s="784"/>
      <c r="AC409" s="2125"/>
      <c r="AD409" s="2125"/>
      <c r="AE409" s="2125"/>
      <c r="AF409" s="2125"/>
      <c r="AG409" s="2125"/>
      <c r="BB409" s="647"/>
      <c r="BC409" s="658"/>
      <c r="BD409" s="757"/>
      <c r="BE409" s="659"/>
    </row>
    <row r="410" spans="1:57" s="64" customFormat="1" ht="14.45" customHeight="1" outlineLevel="1" x14ac:dyDescent="0.25">
      <c r="A410" s="1393"/>
      <c r="B410" s="157"/>
      <c r="C410" s="385"/>
      <c r="D410" s="3787"/>
      <c r="E410" s="3785"/>
      <c r="F410" s="3647" t="str">
        <f t="shared" si="58"/>
        <v>CAC - SEER 21+ ER2: SF</v>
      </c>
      <c r="G410" s="3648"/>
      <c r="H410" s="3649"/>
      <c r="I410" s="3056"/>
      <c r="J410" s="3056">
        <v>13</v>
      </c>
      <c r="K410" s="767"/>
      <c r="L410" s="3189" t="str">
        <f t="shared" si="57"/>
        <v>MO TRM</v>
      </c>
      <c r="M410" s="385"/>
      <c r="N410" s="1746"/>
      <c r="O410" s="385"/>
      <c r="P410" s="157"/>
      <c r="Q410" s="157"/>
      <c r="R410" s="157"/>
      <c r="S410" s="157"/>
      <c r="T410" s="157"/>
      <c r="U410" s="157"/>
      <c r="V410" s="3590"/>
      <c r="W410" s="2125"/>
      <c r="X410" s="2125"/>
      <c r="Y410" s="2125"/>
      <c r="Z410" s="765">
        <v>13</v>
      </c>
      <c r="AA410" s="2426">
        <v>13</v>
      </c>
      <c r="AB410" s="784">
        <v>13</v>
      </c>
      <c r="AC410" s="2125"/>
      <c r="AD410" s="2125"/>
      <c r="AE410" s="2125"/>
      <c r="AF410" s="2125"/>
      <c r="AG410" s="2125"/>
      <c r="BB410" s="647"/>
      <c r="BC410" s="658"/>
      <c r="BD410" s="757"/>
      <c r="BE410" s="659"/>
    </row>
    <row r="411" spans="1:57" s="64" customFormat="1" ht="14.45" customHeight="1" outlineLevel="1" x14ac:dyDescent="0.25">
      <c r="A411" s="1393"/>
      <c r="B411" s="157"/>
      <c r="C411" s="385"/>
      <c r="D411" s="3787"/>
      <c r="E411" s="3785"/>
      <c r="F411" s="3647" t="str">
        <f t="shared" si="58"/>
        <v>CAC - SEER 21+ ROF: SF</v>
      </c>
      <c r="G411" s="3648"/>
      <c r="H411" s="3649"/>
      <c r="I411" s="3056"/>
      <c r="J411" s="3056">
        <v>13</v>
      </c>
      <c r="K411" s="767"/>
      <c r="L411" s="3189" t="str">
        <f t="shared" si="57"/>
        <v>MO TRM</v>
      </c>
      <c r="M411" s="385"/>
      <c r="N411" s="1746"/>
      <c r="O411" s="385"/>
      <c r="P411" s="157"/>
      <c r="Q411" s="157"/>
      <c r="R411" s="157"/>
      <c r="S411" s="157"/>
      <c r="T411" s="157"/>
      <c r="U411" s="157"/>
      <c r="V411" s="3590"/>
      <c r="W411" s="2125"/>
      <c r="X411" s="2125"/>
      <c r="Y411" s="2125"/>
      <c r="Z411" s="765">
        <v>13</v>
      </c>
      <c r="AA411" s="2426">
        <v>13</v>
      </c>
      <c r="AB411" s="784">
        <v>13</v>
      </c>
      <c r="AC411" s="2125"/>
      <c r="AD411" s="2125"/>
      <c r="AE411" s="2125"/>
      <c r="AF411" s="2125"/>
      <c r="AG411" s="2125"/>
      <c r="BB411" s="647"/>
      <c r="BC411" s="658"/>
      <c r="BD411" s="757"/>
      <c r="BE411" s="659"/>
    </row>
    <row r="412" spans="1:57" s="64" customFormat="1" ht="14.45" customHeight="1" outlineLevel="1" x14ac:dyDescent="0.25">
      <c r="A412" s="1393"/>
      <c r="B412" s="157"/>
      <c r="C412" s="385"/>
      <c r="D412" s="3787"/>
      <c r="E412" s="3785"/>
      <c r="F412" s="3647" t="str">
        <f t="shared" si="58"/>
        <v>CAC - SEER 21+ ER1: MF</v>
      </c>
      <c r="G412" s="3648"/>
      <c r="H412" s="3649"/>
      <c r="I412" s="3056"/>
      <c r="J412" s="3056"/>
      <c r="K412" s="767"/>
      <c r="L412" s="3189" t="str">
        <f t="shared" si="57"/>
        <v>MO TRM</v>
      </c>
      <c r="M412" s="385"/>
      <c r="N412" s="1746"/>
      <c r="O412" s="385"/>
      <c r="P412" s="157"/>
      <c r="Q412" s="157"/>
      <c r="R412" s="157"/>
      <c r="S412" s="157"/>
      <c r="T412" s="157"/>
      <c r="U412" s="157"/>
      <c r="V412" s="3590"/>
      <c r="W412" s="2125"/>
      <c r="X412" s="765"/>
      <c r="Y412" s="765"/>
      <c r="Z412" s="765"/>
      <c r="AA412" s="2426"/>
      <c r="AB412" s="784"/>
      <c r="AC412" s="2125"/>
      <c r="AD412" s="2125"/>
      <c r="AE412" s="2125"/>
      <c r="AF412" s="2125"/>
      <c r="AG412" s="2125"/>
      <c r="BB412" s="647"/>
      <c r="BC412" s="658"/>
      <c r="BD412" s="757"/>
      <c r="BE412" s="659"/>
    </row>
    <row r="413" spans="1:57" s="64" customFormat="1" ht="14.45" customHeight="1" outlineLevel="1" x14ac:dyDescent="0.25">
      <c r="A413" s="1393"/>
      <c r="B413" s="157"/>
      <c r="C413" s="385"/>
      <c r="D413" s="3787"/>
      <c r="E413" s="3785"/>
      <c r="F413" s="3647" t="str">
        <f t="shared" si="58"/>
        <v>CAC - SEER 21+ ER2: MF</v>
      </c>
      <c r="G413" s="3648"/>
      <c r="H413" s="3649"/>
      <c r="I413" s="3056"/>
      <c r="J413" s="3056">
        <v>13</v>
      </c>
      <c r="K413" s="767"/>
      <c r="L413" s="3189" t="str">
        <f t="shared" si="57"/>
        <v>MO TRM</v>
      </c>
      <c r="M413" s="385"/>
      <c r="N413" s="1746"/>
      <c r="O413" s="385"/>
      <c r="P413" s="157"/>
      <c r="Q413" s="157"/>
      <c r="R413" s="157"/>
      <c r="S413" s="157"/>
      <c r="T413" s="157"/>
      <c r="U413" s="157"/>
      <c r="V413" s="3590"/>
      <c r="W413" s="2125"/>
      <c r="X413" s="2125"/>
      <c r="Y413" s="2125"/>
      <c r="Z413" s="765">
        <v>13</v>
      </c>
      <c r="AA413" s="2426">
        <v>13</v>
      </c>
      <c r="AB413" s="784">
        <v>13</v>
      </c>
      <c r="AC413" s="2125"/>
      <c r="AD413" s="2125"/>
      <c r="AE413" s="2125"/>
      <c r="AF413" s="2125"/>
      <c r="AG413" s="2125"/>
      <c r="BB413" s="647"/>
      <c r="BC413" s="658"/>
      <c r="BD413" s="757"/>
      <c r="BE413" s="659"/>
    </row>
    <row r="414" spans="1:57" s="64" customFormat="1" ht="14.45" customHeight="1" outlineLevel="1" x14ac:dyDescent="0.25">
      <c r="A414" s="1393"/>
      <c r="B414" s="157"/>
      <c r="C414" s="385"/>
      <c r="D414" s="3787"/>
      <c r="E414" s="3785"/>
      <c r="F414" s="3647" t="str">
        <f t="shared" si="58"/>
        <v>CAC - SEER 21+ ER1: MF_CompE</v>
      </c>
      <c r="G414" s="3648"/>
      <c r="H414" s="3649"/>
      <c r="I414" s="778"/>
      <c r="J414" s="778"/>
      <c r="K414" s="3190"/>
      <c r="L414" s="3189"/>
      <c r="M414" s="385"/>
      <c r="N414" s="1746"/>
      <c r="O414" s="385"/>
      <c r="P414" s="157"/>
      <c r="Q414" s="157"/>
      <c r="R414" s="157"/>
      <c r="S414" s="157"/>
      <c r="T414" s="157"/>
      <c r="U414" s="157"/>
      <c r="V414" s="3590"/>
      <c r="W414" s="778"/>
      <c r="X414" s="778"/>
      <c r="Y414" s="778"/>
      <c r="Z414" s="777"/>
      <c r="AA414" s="778"/>
      <c r="AB414" s="2193"/>
      <c r="AC414" s="778"/>
      <c r="AD414" s="778"/>
      <c r="AE414" s="778"/>
      <c r="AF414" s="778"/>
      <c r="AG414" s="778"/>
      <c r="BB414" s="647"/>
      <c r="BC414" s="658"/>
      <c r="BD414" s="757"/>
      <c r="BE414" s="659"/>
    </row>
    <row r="415" spans="1:57" s="64" customFormat="1" ht="14.45" customHeight="1" outlineLevel="1" x14ac:dyDescent="0.25">
      <c r="A415" s="1393"/>
      <c r="B415" s="157"/>
      <c r="C415" s="385"/>
      <c r="D415" s="3787"/>
      <c r="E415" s="3785"/>
      <c r="F415" s="3781" t="str">
        <f t="shared" si="58"/>
        <v>CAC - SEER 21+ ER2: MF_CompE</v>
      </c>
      <c r="G415" s="3781"/>
      <c r="H415" s="3781"/>
      <c r="I415" s="3056"/>
      <c r="J415" s="3056">
        <v>13</v>
      </c>
      <c r="K415" s="767"/>
      <c r="L415" s="3189"/>
      <c r="M415" s="385"/>
      <c r="N415" s="1746"/>
      <c r="O415" s="385"/>
      <c r="P415" s="157"/>
      <c r="Q415" s="157"/>
      <c r="R415" s="157"/>
      <c r="S415" s="157"/>
      <c r="T415" s="157"/>
      <c r="U415" s="157"/>
      <c r="V415" s="3590"/>
      <c r="W415" s="778"/>
      <c r="X415" s="778"/>
      <c r="Y415" s="778"/>
      <c r="Z415" s="777">
        <v>13</v>
      </c>
      <c r="AA415" s="778">
        <v>13</v>
      </c>
      <c r="AB415" s="784">
        <v>13</v>
      </c>
      <c r="AC415" s="778"/>
      <c r="AD415" s="778"/>
      <c r="AE415" s="778"/>
      <c r="AF415" s="778"/>
      <c r="AG415" s="778"/>
      <c r="BB415" s="647"/>
      <c r="BC415" s="658"/>
      <c r="BD415" s="757"/>
      <c r="BE415" s="659"/>
    </row>
    <row r="416" spans="1:57" s="64" customFormat="1" ht="15" customHeight="1" outlineLevel="1" x14ac:dyDescent="0.25">
      <c r="A416" s="1393"/>
      <c r="B416" s="157"/>
      <c r="C416" s="385"/>
      <c r="D416" s="3787"/>
      <c r="E416" s="3785"/>
      <c r="F416" s="3781" t="str">
        <f t="shared" si="58"/>
        <v>CAC - SEER 21+ ROF: MF</v>
      </c>
      <c r="G416" s="3781"/>
      <c r="H416" s="3781"/>
      <c r="I416" s="3056"/>
      <c r="J416" s="3056">
        <v>13</v>
      </c>
      <c r="K416" s="767"/>
      <c r="L416" s="3189" t="str">
        <f>L413</f>
        <v>MO TRM</v>
      </c>
      <c r="M416" s="385"/>
      <c r="N416" s="1746"/>
      <c r="O416" s="385"/>
      <c r="P416" s="157"/>
      <c r="Q416" s="157"/>
      <c r="R416" s="157"/>
      <c r="S416" s="157"/>
      <c r="T416" s="157"/>
      <c r="U416" s="157"/>
      <c r="V416" s="3590"/>
      <c r="W416" s="2125"/>
      <c r="X416" s="2125"/>
      <c r="Y416" s="2125"/>
      <c r="Z416" s="765">
        <v>13</v>
      </c>
      <c r="AA416" s="2426">
        <v>13</v>
      </c>
      <c r="AB416" s="784">
        <v>13</v>
      </c>
      <c r="AC416" s="2125"/>
      <c r="AD416" s="2125"/>
      <c r="AE416" s="2125"/>
      <c r="AF416" s="2125"/>
      <c r="AG416" s="2125"/>
      <c r="BB416" s="647"/>
      <c r="BC416" s="658"/>
      <c r="BD416" s="757"/>
      <c r="BE416" s="659"/>
    </row>
    <row r="417" spans="1:57" s="64" customFormat="1" ht="15" customHeight="1" outlineLevel="1" thickBot="1" x14ac:dyDescent="0.3">
      <c r="A417" s="1393"/>
      <c r="B417" s="157"/>
      <c r="C417" s="385"/>
      <c r="D417" s="3788"/>
      <c r="E417" s="3786"/>
      <c r="F417" s="3782" t="str">
        <f t="shared" si="58"/>
        <v>CAC - SEER 21+ ROF: MF_CompE</v>
      </c>
      <c r="G417" s="3783"/>
      <c r="H417" s="3784"/>
      <c r="I417" s="3069"/>
      <c r="J417" s="3069">
        <v>13</v>
      </c>
      <c r="K417" s="676"/>
      <c r="L417" s="3193"/>
      <c r="M417" s="385"/>
      <c r="N417" s="1746"/>
      <c r="O417" s="385"/>
      <c r="P417" s="157"/>
      <c r="Q417" s="157"/>
      <c r="R417" s="157"/>
      <c r="S417" s="157"/>
      <c r="T417" s="157"/>
      <c r="U417" s="157"/>
      <c r="V417" s="3591"/>
      <c r="W417" s="780"/>
      <c r="X417" s="780"/>
      <c r="Y417" s="780"/>
      <c r="Z417" s="779">
        <v>13</v>
      </c>
      <c r="AA417" s="780">
        <v>13</v>
      </c>
      <c r="AB417" s="2194">
        <v>13</v>
      </c>
      <c r="AC417" s="780"/>
      <c r="AD417" s="780"/>
      <c r="AE417" s="780"/>
      <c r="AF417" s="780"/>
      <c r="AG417" s="780"/>
      <c r="BB417" s="647"/>
      <c r="BC417" s="658"/>
      <c r="BD417" s="757"/>
      <c r="BE417" s="659"/>
    </row>
    <row r="418" spans="1:57" s="64" customFormat="1" ht="14.45" customHeight="1" outlineLevel="1" x14ac:dyDescent="0.25">
      <c r="A418" s="1393"/>
      <c r="B418" s="157"/>
      <c r="C418" s="385"/>
      <c r="D418" s="3588" t="s">
        <v>291</v>
      </c>
      <c r="E418" s="3720" t="s">
        <v>1199</v>
      </c>
      <c r="F418" s="3654" t="str">
        <f t="shared" si="58"/>
        <v>CAC - SEER 14 ER1: SF</v>
      </c>
      <c r="G418" s="3655"/>
      <c r="H418" s="3656"/>
      <c r="I418" s="3065"/>
      <c r="J418" s="3194">
        <v>14.14</v>
      </c>
      <c r="K418" s="3195"/>
      <c r="L418" s="3196" t="s">
        <v>1191</v>
      </c>
      <c r="M418" s="385"/>
      <c r="N418" s="1746"/>
      <c r="O418" s="385"/>
      <c r="P418" s="157"/>
      <c r="Q418" s="157"/>
      <c r="R418" s="157"/>
      <c r="S418" s="157"/>
      <c r="T418" s="157"/>
      <c r="U418" s="157"/>
      <c r="V418" s="3588" t="str">
        <f>D418</f>
        <v>SEERee</v>
      </c>
      <c r="W418" s="760">
        <v>14.2</v>
      </c>
      <c r="X418" s="787">
        <v>14.16</v>
      </c>
      <c r="Y418" s="787">
        <v>14.14</v>
      </c>
      <c r="Z418" s="2638">
        <v>14.14</v>
      </c>
      <c r="AA418" s="2638">
        <v>14.14</v>
      </c>
      <c r="AB418" s="2656">
        <v>14.14</v>
      </c>
      <c r="AC418" s="760"/>
      <c r="AD418" s="760"/>
      <c r="AE418" s="760"/>
      <c r="AF418" s="760"/>
      <c r="AG418" s="760"/>
      <c r="BB418" s="647"/>
      <c r="BC418" s="658"/>
      <c r="BD418" s="757"/>
      <c r="BE418" s="659"/>
    </row>
    <row r="419" spans="1:57" s="64" customFormat="1" ht="14.45" customHeight="1" outlineLevel="1" x14ac:dyDescent="0.25">
      <c r="A419" s="1393"/>
      <c r="B419" s="157"/>
      <c r="C419" s="385"/>
      <c r="D419" s="3589"/>
      <c r="E419" s="3721"/>
      <c r="F419" s="3659" t="str">
        <f t="shared" si="58"/>
        <v>CAC - SEER 14 ER2: SF</v>
      </c>
      <c r="G419" s="3660"/>
      <c r="H419" s="3661"/>
      <c r="I419" s="3056"/>
      <c r="J419" s="2725">
        <v>14.14</v>
      </c>
      <c r="K419" s="734"/>
      <c r="L419" s="3197" t="s">
        <v>1191</v>
      </c>
      <c r="M419" s="385"/>
      <c r="N419" s="1746"/>
      <c r="O419" s="385"/>
      <c r="P419" s="157"/>
      <c r="Q419" s="157"/>
      <c r="R419" s="157"/>
      <c r="S419" s="157"/>
      <c r="T419" s="157"/>
      <c r="U419" s="157"/>
      <c r="V419" s="3589"/>
      <c r="W419" s="766">
        <v>14.2</v>
      </c>
      <c r="X419" s="789">
        <v>14.16</v>
      </c>
      <c r="Y419" s="789">
        <v>14.14</v>
      </c>
      <c r="Z419" s="788">
        <v>14.14</v>
      </c>
      <c r="AA419" s="788">
        <v>14.14</v>
      </c>
      <c r="AB419" s="2657">
        <v>14.14</v>
      </c>
      <c r="AC419" s="766"/>
      <c r="AD419" s="766"/>
      <c r="AE419" s="766"/>
      <c r="AF419" s="766"/>
      <c r="AG419" s="766"/>
      <c r="BB419" s="647"/>
      <c r="BC419" s="658"/>
      <c r="BD419" s="757"/>
      <c r="BE419" s="659"/>
    </row>
    <row r="420" spans="1:57" s="64" customFormat="1" ht="14.45" customHeight="1" outlineLevel="1" x14ac:dyDescent="0.25">
      <c r="A420" s="1393"/>
      <c r="B420" s="157"/>
      <c r="C420" s="385"/>
      <c r="D420" s="3589"/>
      <c r="E420" s="3721"/>
      <c r="F420" s="3659" t="str">
        <f t="shared" si="58"/>
        <v>CAC - SEER 14 ROF: SF</v>
      </c>
      <c r="G420" s="3660"/>
      <c r="H420" s="3661"/>
      <c r="I420" s="3056"/>
      <c r="J420" s="2725">
        <v>14.14</v>
      </c>
      <c r="K420" s="734"/>
      <c r="L420" s="3197" t="s">
        <v>1191</v>
      </c>
      <c r="M420" s="385"/>
      <c r="N420" s="1746"/>
      <c r="O420" s="385"/>
      <c r="P420" s="157"/>
      <c r="Q420" s="157"/>
      <c r="R420" s="157"/>
      <c r="S420" s="157"/>
      <c r="T420" s="157"/>
      <c r="U420" s="157"/>
      <c r="V420" s="3589"/>
      <c r="W420" s="766">
        <v>14.2</v>
      </c>
      <c r="X420" s="789">
        <f>X419</f>
        <v>14.16</v>
      </c>
      <c r="Y420" s="789">
        <v>14.14</v>
      </c>
      <c r="Z420" s="788">
        <v>14.14</v>
      </c>
      <c r="AA420" s="788">
        <v>14.14</v>
      </c>
      <c r="AB420" s="2657">
        <v>14.14</v>
      </c>
      <c r="AC420" s="766"/>
      <c r="AD420" s="766"/>
      <c r="AE420" s="766"/>
      <c r="AF420" s="766"/>
      <c r="AG420" s="766"/>
      <c r="BB420" s="647"/>
      <c r="BC420" s="658"/>
      <c r="BD420" s="757"/>
      <c r="BE420" s="659"/>
    </row>
    <row r="421" spans="1:57" s="64" customFormat="1" outlineLevel="1" x14ac:dyDescent="0.25">
      <c r="A421" s="1393"/>
      <c r="B421" s="157"/>
      <c r="C421" s="385"/>
      <c r="D421" s="3589"/>
      <c r="E421" s="3721"/>
      <c r="F421" s="3647" t="str">
        <f t="shared" si="58"/>
        <v>CAC - SEER 14 ER1: MF</v>
      </c>
      <c r="G421" s="3648"/>
      <c r="H421" s="3649"/>
      <c r="I421" s="3056"/>
      <c r="J421" s="2725">
        <v>14</v>
      </c>
      <c r="K421" s="734"/>
      <c r="L421" s="3197" t="s">
        <v>1200</v>
      </c>
      <c r="M421" s="385"/>
      <c r="N421" s="1746"/>
      <c r="O421" s="385"/>
      <c r="P421" s="157"/>
      <c r="Q421" s="157"/>
      <c r="R421" s="157"/>
      <c r="S421" s="157"/>
      <c r="T421" s="157"/>
      <c r="U421" s="157"/>
      <c r="V421" s="3589"/>
      <c r="W421" s="766">
        <v>14.2</v>
      </c>
      <c r="X421" s="789">
        <v>14.5</v>
      </c>
      <c r="Y421" s="789">
        <v>14</v>
      </c>
      <c r="Z421" s="788">
        <v>14</v>
      </c>
      <c r="AA421" s="788">
        <v>14</v>
      </c>
      <c r="AB421" s="2657">
        <v>14</v>
      </c>
      <c r="AC421" s="766"/>
      <c r="AD421" s="766"/>
      <c r="AE421" s="766"/>
      <c r="AF421" s="766"/>
      <c r="AG421" s="766"/>
      <c r="BB421" s="647"/>
      <c r="BC421" s="658"/>
      <c r="BD421" s="757"/>
      <c r="BE421" s="659"/>
    </row>
    <row r="422" spans="1:57" s="64" customFormat="1" outlineLevel="1" x14ac:dyDescent="0.25">
      <c r="A422" s="1393"/>
      <c r="B422" s="157"/>
      <c r="C422" s="385"/>
      <c r="D422" s="3589"/>
      <c r="E422" s="3721"/>
      <c r="F422" s="3647" t="str">
        <f t="shared" si="58"/>
        <v>CAC - SEER 14 ER2: MF</v>
      </c>
      <c r="G422" s="3648"/>
      <c r="H422" s="3649"/>
      <c r="I422" s="3056"/>
      <c r="J422" s="2725">
        <v>14</v>
      </c>
      <c r="K422" s="734"/>
      <c r="L422" s="3197" t="s">
        <v>1200</v>
      </c>
      <c r="M422" s="385"/>
      <c r="N422" s="1746"/>
      <c r="O422" s="385"/>
      <c r="P422" s="157"/>
      <c r="Q422" s="157"/>
      <c r="R422" s="157"/>
      <c r="S422" s="157"/>
      <c r="T422" s="157"/>
      <c r="U422" s="157"/>
      <c r="V422" s="3589"/>
      <c r="W422" s="766">
        <v>14.2</v>
      </c>
      <c r="X422" s="789">
        <v>14.5</v>
      </c>
      <c r="Y422" s="789">
        <v>14</v>
      </c>
      <c r="Z422" s="788">
        <v>14</v>
      </c>
      <c r="AA422" s="788">
        <v>14</v>
      </c>
      <c r="AB422" s="2657">
        <v>14</v>
      </c>
      <c r="AC422" s="766"/>
      <c r="AD422" s="766"/>
      <c r="AE422" s="766"/>
      <c r="AF422" s="766"/>
      <c r="AG422" s="766"/>
      <c r="BB422" s="647"/>
      <c r="BC422" s="658"/>
      <c r="BD422" s="757"/>
      <c r="BE422" s="659"/>
    </row>
    <row r="423" spans="1:57" s="64" customFormat="1" outlineLevel="1" x14ac:dyDescent="0.25">
      <c r="A423" s="1393"/>
      <c r="B423" s="157"/>
      <c r="C423" s="385"/>
      <c r="D423" s="3589"/>
      <c r="E423" s="3721"/>
      <c r="F423" s="3647" t="str">
        <f t="shared" si="58"/>
        <v>CAC - SEER 14 ER1: MF_CompE</v>
      </c>
      <c r="G423" s="3648"/>
      <c r="H423" s="3649"/>
      <c r="I423" s="3056"/>
      <c r="J423" s="2725">
        <v>14</v>
      </c>
      <c r="K423" s="734"/>
      <c r="L423" s="3197"/>
      <c r="M423" s="385"/>
      <c r="N423" s="1746"/>
      <c r="O423" s="385"/>
      <c r="P423" s="157"/>
      <c r="Q423" s="157"/>
      <c r="R423" s="157"/>
      <c r="S423" s="157"/>
      <c r="T423" s="157"/>
      <c r="U423" s="157"/>
      <c r="V423" s="3589"/>
      <c r="W423" s="766"/>
      <c r="X423" s="789"/>
      <c r="Y423" s="789">
        <v>14</v>
      </c>
      <c r="Z423" s="788">
        <v>14</v>
      </c>
      <c r="AA423" s="788">
        <v>14</v>
      </c>
      <c r="AB423" s="2657">
        <v>14</v>
      </c>
      <c r="AC423" s="766"/>
      <c r="AD423" s="766"/>
      <c r="AE423" s="766"/>
      <c r="AF423" s="766"/>
      <c r="AG423" s="766"/>
      <c r="BB423" s="647"/>
      <c r="BC423" s="658"/>
      <c r="BD423" s="757"/>
      <c r="BE423" s="659"/>
    </row>
    <row r="424" spans="1:57" s="64" customFormat="1" outlineLevel="1" x14ac:dyDescent="0.25">
      <c r="A424" s="1393"/>
      <c r="B424" s="157"/>
      <c r="C424" s="385"/>
      <c r="D424" s="3589"/>
      <c r="E424" s="3721"/>
      <c r="F424" s="3647" t="str">
        <f t="shared" si="58"/>
        <v>CAC - SEER 14 ER2: MF_CompE</v>
      </c>
      <c r="G424" s="3648"/>
      <c r="H424" s="3649"/>
      <c r="I424" s="3056"/>
      <c r="J424" s="2725">
        <v>14</v>
      </c>
      <c r="K424" s="734"/>
      <c r="L424" s="3197"/>
      <c r="M424" s="385"/>
      <c r="N424" s="1746"/>
      <c r="O424" s="385"/>
      <c r="P424" s="157"/>
      <c r="Q424" s="157"/>
      <c r="R424" s="157"/>
      <c r="S424" s="157"/>
      <c r="T424" s="157"/>
      <c r="U424" s="157"/>
      <c r="V424" s="3589"/>
      <c r="W424" s="766"/>
      <c r="X424" s="789"/>
      <c r="Y424" s="789">
        <v>14</v>
      </c>
      <c r="Z424" s="788">
        <v>14</v>
      </c>
      <c r="AA424" s="788">
        <v>14</v>
      </c>
      <c r="AB424" s="2657">
        <v>14</v>
      </c>
      <c r="AC424" s="766"/>
      <c r="AD424" s="766"/>
      <c r="AE424" s="766"/>
      <c r="AF424" s="766"/>
      <c r="AG424" s="766"/>
      <c r="BB424" s="647"/>
      <c r="BC424" s="658"/>
      <c r="BD424" s="757"/>
      <c r="BE424" s="659"/>
    </row>
    <row r="425" spans="1:57" s="64" customFormat="1" outlineLevel="1" x14ac:dyDescent="0.25">
      <c r="A425" s="1393"/>
      <c r="B425" s="157"/>
      <c r="C425" s="385"/>
      <c r="D425" s="3589"/>
      <c r="E425" s="3721"/>
      <c r="F425" s="3647" t="str">
        <f t="shared" si="58"/>
        <v>CAC - SEER 14 ROF: MF</v>
      </c>
      <c r="G425" s="3648"/>
      <c r="H425" s="3649"/>
      <c r="I425" s="3056"/>
      <c r="J425" s="2725">
        <v>14</v>
      </c>
      <c r="K425" s="734"/>
      <c r="L425" s="3197" t="s">
        <v>1200</v>
      </c>
      <c r="M425" s="385"/>
      <c r="N425" s="1746"/>
      <c r="O425" s="385"/>
      <c r="P425" s="157"/>
      <c r="Q425" s="157"/>
      <c r="R425" s="157"/>
      <c r="S425" s="157"/>
      <c r="T425" s="157"/>
      <c r="U425" s="157"/>
      <c r="V425" s="3589"/>
      <c r="W425" s="766">
        <v>14.2</v>
      </c>
      <c r="X425" s="789">
        <v>14.5</v>
      </c>
      <c r="Y425" s="789">
        <v>14</v>
      </c>
      <c r="Z425" s="788">
        <v>14</v>
      </c>
      <c r="AA425" s="788">
        <v>14</v>
      </c>
      <c r="AB425" s="2657">
        <v>14</v>
      </c>
      <c r="AC425" s="766"/>
      <c r="AD425" s="766"/>
      <c r="AE425" s="766"/>
      <c r="AF425" s="766"/>
      <c r="AG425" s="766"/>
      <c r="BB425" s="647"/>
      <c r="BC425" s="658"/>
      <c r="BD425" s="757"/>
      <c r="BE425" s="659"/>
    </row>
    <row r="426" spans="1:57" s="64" customFormat="1" outlineLevel="1" x14ac:dyDescent="0.25">
      <c r="A426" s="1393"/>
      <c r="B426" s="157"/>
      <c r="C426" s="385"/>
      <c r="D426" s="3589"/>
      <c r="E426" s="3721"/>
      <c r="F426" s="3647" t="str">
        <f t="shared" si="58"/>
        <v>CAC - SEER 14 ROF: MF_CompE</v>
      </c>
      <c r="G426" s="3648"/>
      <c r="H426" s="3649"/>
      <c r="I426" s="3056"/>
      <c r="J426" s="2725">
        <v>14</v>
      </c>
      <c r="K426" s="734"/>
      <c r="L426" s="3197"/>
      <c r="M426" s="385"/>
      <c r="N426" s="1746"/>
      <c r="O426" s="385"/>
      <c r="P426" s="157"/>
      <c r="Q426" s="157"/>
      <c r="R426" s="157"/>
      <c r="S426" s="157"/>
      <c r="T426" s="157"/>
      <c r="U426" s="157"/>
      <c r="V426" s="3589"/>
      <c r="W426" s="766"/>
      <c r="X426" s="789"/>
      <c r="Y426" s="789">
        <v>14</v>
      </c>
      <c r="Z426" s="788">
        <v>14</v>
      </c>
      <c r="AA426" s="788">
        <v>14</v>
      </c>
      <c r="AB426" s="2657">
        <v>14</v>
      </c>
      <c r="AC426" s="766"/>
      <c r="AD426" s="766"/>
      <c r="AE426" s="766"/>
      <c r="AF426" s="766"/>
      <c r="AG426" s="766"/>
      <c r="BB426" s="647"/>
      <c r="BC426" s="658"/>
      <c r="BD426" s="757"/>
      <c r="BE426" s="659"/>
    </row>
    <row r="427" spans="1:57" s="64" customFormat="1" outlineLevel="1" x14ac:dyDescent="0.25">
      <c r="A427" s="1393"/>
      <c r="B427" s="157"/>
      <c r="C427" s="385"/>
      <c r="D427" s="3589"/>
      <c r="E427" s="3721"/>
      <c r="F427" s="3647" t="str">
        <f t="shared" si="58"/>
        <v>CAC - SEER 15 ER1: SF</v>
      </c>
      <c r="G427" s="3648"/>
      <c r="H427" s="3649"/>
      <c r="I427" s="3056"/>
      <c r="J427" s="2725">
        <v>15.107566616390109</v>
      </c>
      <c r="K427" s="734"/>
      <c r="L427" s="2718" t="s">
        <v>3674</v>
      </c>
      <c r="M427" s="385"/>
      <c r="N427" s="1746"/>
      <c r="O427" s="385"/>
      <c r="P427" s="157"/>
      <c r="Q427" s="157"/>
      <c r="R427" s="157"/>
      <c r="S427" s="157"/>
      <c r="T427" s="157"/>
      <c r="U427" s="157"/>
      <c r="V427" s="3589"/>
      <c r="W427" s="766">
        <v>15.2</v>
      </c>
      <c r="X427" s="789">
        <v>15.16</v>
      </c>
      <c r="Y427" s="789">
        <v>15.16</v>
      </c>
      <c r="Z427" s="788">
        <v>15.16</v>
      </c>
      <c r="AA427" s="788">
        <v>15.16</v>
      </c>
      <c r="AB427" s="2658">
        <v>15.107566616390109</v>
      </c>
      <c r="AC427" s="766"/>
      <c r="AD427" s="766"/>
      <c r="AE427" s="766"/>
      <c r="AF427" s="766"/>
      <c r="AG427" s="766"/>
      <c r="BB427" s="647"/>
      <c r="BC427" s="658"/>
      <c r="BD427" s="757"/>
      <c r="BE427" s="659"/>
    </row>
    <row r="428" spans="1:57" s="64" customFormat="1" outlineLevel="1" x14ac:dyDescent="0.25">
      <c r="A428" s="1393"/>
      <c r="B428" s="157"/>
      <c r="C428" s="385"/>
      <c r="D428" s="3589"/>
      <c r="E428" s="3721"/>
      <c r="F428" s="3647" t="str">
        <f t="shared" si="58"/>
        <v>CAC - SEER 15 ER2: SF</v>
      </c>
      <c r="G428" s="3648"/>
      <c r="H428" s="3649"/>
      <c r="I428" s="3056"/>
      <c r="J428" s="2725">
        <f>J427</f>
        <v>15.107566616390109</v>
      </c>
      <c r="K428" s="734"/>
      <c r="L428" s="2718" t="s">
        <v>3674</v>
      </c>
      <c r="M428" s="385"/>
      <c r="N428" s="1746"/>
      <c r="O428" s="385"/>
      <c r="P428" s="157"/>
      <c r="Q428" s="157"/>
      <c r="R428" s="157"/>
      <c r="S428" s="157"/>
      <c r="T428" s="157"/>
      <c r="U428" s="157"/>
      <c r="V428" s="3589"/>
      <c r="W428" s="766">
        <v>15.2</v>
      </c>
      <c r="X428" s="789">
        <v>15.16</v>
      </c>
      <c r="Y428" s="789">
        <v>15.16</v>
      </c>
      <c r="Z428" s="788">
        <v>15.16</v>
      </c>
      <c r="AA428" s="788">
        <v>15.16</v>
      </c>
      <c r="AB428" s="2658">
        <v>15.107566616390109</v>
      </c>
      <c r="AC428" s="766"/>
      <c r="AD428" s="766"/>
      <c r="AE428" s="766"/>
      <c r="AF428" s="766"/>
      <c r="AG428" s="766"/>
      <c r="BB428" s="647"/>
      <c r="BC428" s="658"/>
      <c r="BD428" s="757"/>
      <c r="BE428" s="659"/>
    </row>
    <row r="429" spans="1:57" s="64" customFormat="1" outlineLevel="1" x14ac:dyDescent="0.25">
      <c r="A429" s="1393"/>
      <c r="B429" s="157"/>
      <c r="C429" s="385"/>
      <c r="D429" s="3589"/>
      <c r="E429" s="3721"/>
      <c r="F429" s="3647" t="str">
        <f t="shared" si="58"/>
        <v>CAC - SEER 15 ROF: SF</v>
      </c>
      <c r="G429" s="3648"/>
      <c r="H429" s="3649"/>
      <c r="I429" s="3056"/>
      <c r="J429" s="2725">
        <v>15.119400630914827</v>
      </c>
      <c r="K429" s="734"/>
      <c r="L429" s="2718" t="s">
        <v>3674</v>
      </c>
      <c r="M429" s="385"/>
      <c r="N429" s="1746"/>
      <c r="O429" s="385"/>
      <c r="P429" s="157"/>
      <c r="Q429" s="157"/>
      <c r="R429" s="157"/>
      <c r="S429" s="157"/>
      <c r="T429" s="157"/>
      <c r="U429" s="157"/>
      <c r="V429" s="3589"/>
      <c r="W429" s="766">
        <v>15.1</v>
      </c>
      <c r="X429" s="789">
        <v>15.16</v>
      </c>
      <c r="Y429" s="789">
        <v>15.13</v>
      </c>
      <c r="Z429" s="788">
        <v>15.13</v>
      </c>
      <c r="AA429" s="788">
        <v>15.13</v>
      </c>
      <c r="AB429" s="2658">
        <v>15.119400630914827</v>
      </c>
      <c r="AC429" s="766"/>
      <c r="AD429" s="766"/>
      <c r="AE429" s="766"/>
      <c r="AF429" s="766"/>
      <c r="AG429" s="766"/>
      <c r="BB429" s="647"/>
      <c r="BC429" s="658"/>
      <c r="BD429" s="757"/>
      <c r="BE429" s="659"/>
    </row>
    <row r="430" spans="1:57" s="64" customFormat="1" outlineLevel="1" x14ac:dyDescent="0.25">
      <c r="A430" s="1393"/>
      <c r="B430" s="157"/>
      <c r="C430" s="385"/>
      <c r="D430" s="3589"/>
      <c r="E430" s="3721"/>
      <c r="F430" s="3647" t="str">
        <f t="shared" si="58"/>
        <v>CAC - SEER 15 ER1: MF</v>
      </c>
      <c r="G430" s="3648"/>
      <c r="H430" s="3649"/>
      <c r="I430" s="3056"/>
      <c r="J430" s="2725">
        <v>15.13953488372093</v>
      </c>
      <c r="K430" s="734"/>
      <c r="L430" s="2718" t="s">
        <v>3674</v>
      </c>
      <c r="M430" s="385"/>
      <c r="N430" s="1746"/>
      <c r="O430" s="385"/>
      <c r="P430" s="157"/>
      <c r="Q430" s="157"/>
      <c r="R430" s="157"/>
      <c r="S430" s="157"/>
      <c r="T430" s="157"/>
      <c r="U430" s="157"/>
      <c r="V430" s="3589"/>
      <c r="W430" s="766">
        <v>15.2</v>
      </c>
      <c r="X430" s="789">
        <v>15.16</v>
      </c>
      <c r="Y430" s="789">
        <v>15</v>
      </c>
      <c r="Z430" s="788">
        <v>15</v>
      </c>
      <c r="AA430" s="788">
        <v>15</v>
      </c>
      <c r="AB430" s="2658">
        <v>15.13953488372093</v>
      </c>
      <c r="AC430" s="766"/>
      <c r="AD430" s="766"/>
      <c r="AE430" s="766"/>
      <c r="AF430" s="766"/>
      <c r="AG430" s="766"/>
      <c r="BB430" s="647"/>
      <c r="BC430" s="658"/>
      <c r="BD430" s="757"/>
      <c r="BE430" s="659"/>
    </row>
    <row r="431" spans="1:57" s="64" customFormat="1" outlineLevel="1" x14ac:dyDescent="0.25">
      <c r="A431" s="1393"/>
      <c r="B431" s="157"/>
      <c r="C431" s="385"/>
      <c r="D431" s="3589"/>
      <c r="E431" s="3721"/>
      <c r="F431" s="3647" t="str">
        <f t="shared" si="58"/>
        <v>CAC - SEER 15 ER2: MF</v>
      </c>
      <c r="G431" s="3648"/>
      <c r="H431" s="3649"/>
      <c r="I431" s="3056"/>
      <c r="J431" s="2725">
        <f>J430</f>
        <v>15.13953488372093</v>
      </c>
      <c r="K431" s="734"/>
      <c r="L431" s="2718" t="s">
        <v>3674</v>
      </c>
      <c r="M431" s="385"/>
      <c r="N431" s="1746"/>
      <c r="O431" s="385"/>
      <c r="P431" s="157"/>
      <c r="Q431" s="157"/>
      <c r="R431" s="157"/>
      <c r="S431" s="157"/>
      <c r="T431" s="157"/>
      <c r="U431" s="157"/>
      <c r="V431" s="3589"/>
      <c r="W431" s="766">
        <v>15.2</v>
      </c>
      <c r="X431" s="789">
        <v>15.16</v>
      </c>
      <c r="Y431" s="789">
        <v>15</v>
      </c>
      <c r="Z431" s="788">
        <v>15</v>
      </c>
      <c r="AA431" s="788">
        <v>15</v>
      </c>
      <c r="AB431" s="2658">
        <v>15.13953488372093</v>
      </c>
      <c r="AC431" s="766"/>
      <c r="AD431" s="766"/>
      <c r="AE431" s="766"/>
      <c r="AF431" s="766"/>
      <c r="AG431" s="766"/>
      <c r="BB431" s="647"/>
      <c r="BC431" s="658"/>
      <c r="BD431" s="757"/>
      <c r="BE431" s="659"/>
    </row>
    <row r="432" spans="1:57" s="64" customFormat="1" outlineLevel="1" x14ac:dyDescent="0.25">
      <c r="A432" s="1393"/>
      <c r="B432" s="157"/>
      <c r="C432" s="385"/>
      <c r="D432" s="3589"/>
      <c r="E432" s="3721"/>
      <c r="F432" s="3647" t="str">
        <f t="shared" si="58"/>
        <v>CAC - SEER 15 ER1: MF_CompE</v>
      </c>
      <c r="G432" s="3648"/>
      <c r="H432" s="3649"/>
      <c r="I432" s="3056"/>
      <c r="J432" s="2725">
        <v>15</v>
      </c>
      <c r="K432" s="734"/>
      <c r="L432" s="3197"/>
      <c r="M432" s="385"/>
      <c r="N432" s="1746"/>
      <c r="O432" s="385"/>
      <c r="P432" s="157"/>
      <c r="Q432" s="157"/>
      <c r="R432" s="157"/>
      <c r="S432" s="157"/>
      <c r="T432" s="157"/>
      <c r="U432" s="157"/>
      <c r="V432" s="3589"/>
      <c r="W432" s="766"/>
      <c r="X432" s="789"/>
      <c r="Y432" s="789">
        <v>15</v>
      </c>
      <c r="Z432" s="788">
        <v>15</v>
      </c>
      <c r="AA432" s="788">
        <v>15</v>
      </c>
      <c r="AB432" s="2657">
        <v>15</v>
      </c>
      <c r="AC432" s="766"/>
      <c r="AD432" s="766"/>
      <c r="AE432" s="766"/>
      <c r="AF432" s="766"/>
      <c r="AG432" s="766"/>
      <c r="BB432" s="647"/>
      <c r="BC432" s="658"/>
      <c r="BD432" s="757"/>
      <c r="BE432" s="659"/>
    </row>
    <row r="433" spans="1:57" s="64" customFormat="1" outlineLevel="1" x14ac:dyDescent="0.25">
      <c r="A433" s="1393"/>
      <c r="B433" s="157"/>
      <c r="C433" s="385"/>
      <c r="D433" s="3589"/>
      <c r="E433" s="3721"/>
      <c r="F433" s="3647" t="str">
        <f t="shared" si="58"/>
        <v>CAC - SEER 15 ER2: MF_CompE</v>
      </c>
      <c r="G433" s="3648"/>
      <c r="H433" s="3649"/>
      <c r="I433" s="3056"/>
      <c r="J433" s="2725">
        <v>15</v>
      </c>
      <c r="K433" s="734"/>
      <c r="L433" s="3197"/>
      <c r="M433" s="385"/>
      <c r="N433" s="1746"/>
      <c r="O433" s="385"/>
      <c r="P433" s="157"/>
      <c r="Q433" s="157"/>
      <c r="R433" s="157"/>
      <c r="S433" s="157"/>
      <c r="T433" s="157"/>
      <c r="U433" s="157"/>
      <c r="V433" s="3589"/>
      <c r="W433" s="766"/>
      <c r="X433" s="789"/>
      <c r="Y433" s="789">
        <v>15</v>
      </c>
      <c r="Z433" s="788">
        <v>15</v>
      </c>
      <c r="AA433" s="788">
        <v>15</v>
      </c>
      <c r="AB433" s="2657">
        <v>15</v>
      </c>
      <c r="AC433" s="766"/>
      <c r="AD433" s="766"/>
      <c r="AE433" s="766"/>
      <c r="AF433" s="766"/>
      <c r="AG433" s="766"/>
      <c r="BB433" s="647"/>
      <c r="BC433" s="658"/>
      <c r="BD433" s="757"/>
      <c r="BE433" s="659"/>
    </row>
    <row r="434" spans="1:57" s="64" customFormat="1" outlineLevel="1" x14ac:dyDescent="0.25">
      <c r="A434" s="1393"/>
      <c r="B434" s="157"/>
      <c r="C434" s="385"/>
      <c r="D434" s="3589"/>
      <c r="E434" s="3721"/>
      <c r="F434" s="3647" t="str">
        <f t="shared" si="58"/>
        <v>CAC - SEER 15 ROF: MF</v>
      </c>
      <c r="G434" s="3648"/>
      <c r="H434" s="3649"/>
      <c r="I434" s="3056"/>
      <c r="J434" s="2725">
        <v>15.083333333333334</v>
      </c>
      <c r="K434" s="734"/>
      <c r="L434" s="2718" t="s">
        <v>3674</v>
      </c>
      <c r="M434" s="385"/>
      <c r="N434" s="1746"/>
      <c r="O434" s="385"/>
      <c r="P434" s="157"/>
      <c r="Q434" s="157"/>
      <c r="R434" s="157"/>
      <c r="S434" s="157"/>
      <c r="T434" s="157"/>
      <c r="U434" s="157"/>
      <c r="V434" s="3589"/>
      <c r="W434" s="766">
        <v>15.1</v>
      </c>
      <c r="X434" s="789">
        <v>15.16</v>
      </c>
      <c r="Y434" s="789">
        <v>15</v>
      </c>
      <c r="Z434" s="788">
        <v>15</v>
      </c>
      <c r="AA434" s="788">
        <v>15</v>
      </c>
      <c r="AB434" s="2658">
        <v>15.083333333333334</v>
      </c>
      <c r="AC434" s="766"/>
      <c r="AD434" s="766"/>
      <c r="AE434" s="766"/>
      <c r="AF434" s="766"/>
      <c r="AG434" s="766"/>
      <c r="BB434" s="647"/>
      <c r="BC434" s="658"/>
      <c r="BD434" s="757"/>
      <c r="BE434" s="659"/>
    </row>
    <row r="435" spans="1:57" s="64" customFormat="1" outlineLevel="1" x14ac:dyDescent="0.25">
      <c r="A435" s="1393"/>
      <c r="B435" s="157"/>
      <c r="C435" s="385"/>
      <c r="D435" s="3589"/>
      <c r="E435" s="3721"/>
      <c r="F435" s="3647" t="str">
        <f t="shared" si="58"/>
        <v>CAC - SEER 15 ROF: MF_CompE</v>
      </c>
      <c r="G435" s="3648"/>
      <c r="H435" s="3649"/>
      <c r="I435" s="3056"/>
      <c r="J435" s="2725">
        <v>15</v>
      </c>
      <c r="K435" s="734"/>
      <c r="L435" s="3197"/>
      <c r="M435" s="385"/>
      <c r="N435" s="1746"/>
      <c r="O435" s="385"/>
      <c r="P435" s="157"/>
      <c r="Q435" s="157"/>
      <c r="R435" s="157"/>
      <c r="S435" s="157"/>
      <c r="T435" s="157"/>
      <c r="U435" s="157"/>
      <c r="V435" s="3589"/>
      <c r="W435" s="766"/>
      <c r="X435" s="789"/>
      <c r="Y435" s="789">
        <v>15</v>
      </c>
      <c r="Z435" s="788">
        <v>15</v>
      </c>
      <c r="AA435" s="788">
        <v>15</v>
      </c>
      <c r="AB435" s="2657">
        <v>15</v>
      </c>
      <c r="AC435" s="766"/>
      <c r="AD435" s="766"/>
      <c r="AE435" s="766"/>
      <c r="AF435" s="766"/>
      <c r="AG435" s="766"/>
      <c r="BB435" s="647"/>
      <c r="BC435" s="658"/>
      <c r="BD435" s="757"/>
      <c r="BE435" s="659"/>
    </row>
    <row r="436" spans="1:57" s="64" customFormat="1" outlineLevel="1" x14ac:dyDescent="0.25">
      <c r="A436" s="1393"/>
      <c r="B436" s="157"/>
      <c r="C436" s="385"/>
      <c r="D436" s="3589"/>
      <c r="E436" s="3721"/>
      <c r="F436" s="3647" t="str">
        <f t="shared" si="58"/>
        <v>CAC - SEER 16 ER1: SF</v>
      </c>
      <c r="G436" s="3648"/>
      <c r="H436" s="3649"/>
      <c r="I436" s="3056"/>
      <c r="J436" s="2725">
        <v>16.028875215889464</v>
      </c>
      <c r="K436" s="734"/>
      <c r="L436" s="2718" t="s">
        <v>3674</v>
      </c>
      <c r="M436" s="385"/>
      <c r="N436" s="1746"/>
      <c r="O436" s="385"/>
      <c r="P436" s="157"/>
      <c r="Q436" s="157"/>
      <c r="R436" s="157"/>
      <c r="S436" s="157"/>
      <c r="T436" s="157"/>
      <c r="U436" s="157"/>
      <c r="V436" s="3589"/>
      <c r="W436" s="766">
        <v>16</v>
      </c>
      <c r="X436" s="789">
        <v>16.350000000000001</v>
      </c>
      <c r="Y436" s="789">
        <v>16.36</v>
      </c>
      <c r="Z436" s="788">
        <v>16.36</v>
      </c>
      <c r="AA436" s="788">
        <v>16.36</v>
      </c>
      <c r="AB436" s="2658">
        <v>16.028875215889464</v>
      </c>
      <c r="AC436" s="766"/>
      <c r="AD436" s="766"/>
      <c r="AE436" s="766"/>
      <c r="AF436" s="766"/>
      <c r="AG436" s="766"/>
      <c r="BB436" s="647"/>
      <c r="BC436" s="658"/>
      <c r="BD436" s="757"/>
      <c r="BE436" s="659"/>
    </row>
    <row r="437" spans="1:57" s="64" customFormat="1" outlineLevel="1" x14ac:dyDescent="0.25">
      <c r="A437" s="1393"/>
      <c r="B437" s="157"/>
      <c r="C437" s="385"/>
      <c r="D437" s="3589"/>
      <c r="E437" s="3721"/>
      <c r="F437" s="3647" t="str">
        <f t="shared" si="58"/>
        <v>CAC - SEER 16 ER2: SF</v>
      </c>
      <c r="G437" s="3648"/>
      <c r="H437" s="3649"/>
      <c r="I437" s="3056"/>
      <c r="J437" s="2725">
        <f>J436</f>
        <v>16.028875215889464</v>
      </c>
      <c r="K437" s="734"/>
      <c r="L437" s="2718" t="s">
        <v>3674</v>
      </c>
      <c r="M437" s="385"/>
      <c r="N437" s="1746"/>
      <c r="O437" s="385"/>
      <c r="P437" s="157"/>
      <c r="Q437" s="157"/>
      <c r="R437" s="157"/>
      <c r="S437" s="157"/>
      <c r="T437" s="157"/>
      <c r="U437" s="157"/>
      <c r="V437" s="3589"/>
      <c r="W437" s="766">
        <v>16</v>
      </c>
      <c r="X437" s="789">
        <v>16.350000000000001</v>
      </c>
      <c r="Y437" s="789">
        <v>16.36</v>
      </c>
      <c r="Z437" s="788">
        <v>16.36</v>
      </c>
      <c r="AA437" s="788">
        <v>16.36</v>
      </c>
      <c r="AB437" s="2658">
        <v>16.028875215889464</v>
      </c>
      <c r="AC437" s="766"/>
      <c r="AD437" s="766"/>
      <c r="AE437" s="766"/>
      <c r="AF437" s="766"/>
      <c r="AG437" s="766"/>
      <c r="BB437" s="647"/>
      <c r="BC437" s="658"/>
      <c r="BD437" s="757"/>
      <c r="BE437" s="659"/>
    </row>
    <row r="438" spans="1:57" s="64" customFormat="1" outlineLevel="1" x14ac:dyDescent="0.25">
      <c r="A438" s="1393"/>
      <c r="B438" s="157"/>
      <c r="C438" s="385"/>
      <c r="D438" s="3589"/>
      <c r="E438" s="3721"/>
      <c r="F438" s="3647" t="str">
        <f t="shared" si="58"/>
        <v>CAC - SEER 16 ROF: SF</v>
      </c>
      <c r="G438" s="3648"/>
      <c r="H438" s="3649"/>
      <c r="I438" s="3056"/>
      <c r="J438" s="2725">
        <v>16.036909448818896</v>
      </c>
      <c r="K438" s="734"/>
      <c r="L438" s="2718" t="s">
        <v>3674</v>
      </c>
      <c r="M438" s="385"/>
      <c r="N438" s="1746"/>
      <c r="O438" s="385"/>
      <c r="P438" s="157"/>
      <c r="Q438" s="157"/>
      <c r="R438" s="157"/>
      <c r="S438" s="157"/>
      <c r="T438" s="157"/>
      <c r="U438" s="157"/>
      <c r="V438" s="3589"/>
      <c r="W438" s="766">
        <v>16</v>
      </c>
      <c r="X438" s="789">
        <v>16.350000000000001</v>
      </c>
      <c r="Y438" s="789">
        <v>16.37</v>
      </c>
      <c r="Z438" s="788">
        <v>16.37</v>
      </c>
      <c r="AA438" s="788">
        <v>16.37</v>
      </c>
      <c r="AB438" s="2658">
        <v>16.036909448818896</v>
      </c>
      <c r="AC438" s="766"/>
      <c r="AD438" s="766"/>
      <c r="AE438" s="766"/>
      <c r="AF438" s="766"/>
      <c r="AG438" s="766"/>
      <c r="BB438" s="647"/>
      <c r="BC438" s="658"/>
      <c r="BD438" s="757"/>
      <c r="BE438" s="659"/>
    </row>
    <row r="439" spans="1:57" s="64" customFormat="1" outlineLevel="1" x14ac:dyDescent="0.25">
      <c r="A439" s="1393"/>
      <c r="B439" s="157"/>
      <c r="C439" s="385"/>
      <c r="D439" s="3589"/>
      <c r="E439" s="3721"/>
      <c r="F439" s="3647" t="str">
        <f t="shared" si="58"/>
        <v>CAC - SEER 16 ER1: MF</v>
      </c>
      <c r="G439" s="3648"/>
      <c r="H439" s="3649"/>
      <c r="I439" s="3056"/>
      <c r="J439" s="2725">
        <v>16.040816326530614</v>
      </c>
      <c r="K439" s="734"/>
      <c r="L439" s="2718" t="s">
        <v>3674</v>
      </c>
      <c r="M439" s="385"/>
      <c r="N439" s="1746"/>
      <c r="O439" s="385"/>
      <c r="P439" s="157"/>
      <c r="Q439" s="157"/>
      <c r="R439" s="157"/>
      <c r="S439" s="157"/>
      <c r="T439" s="157"/>
      <c r="U439" s="157"/>
      <c r="V439" s="3589"/>
      <c r="W439" s="766">
        <v>16</v>
      </c>
      <c r="X439" s="789">
        <v>16</v>
      </c>
      <c r="Y439" s="788">
        <v>16</v>
      </c>
      <c r="Z439" s="788">
        <v>16</v>
      </c>
      <c r="AA439" s="788">
        <v>16</v>
      </c>
      <c r="AB439" s="2658">
        <v>16.040816326530614</v>
      </c>
      <c r="AC439" s="766"/>
      <c r="AD439" s="766"/>
      <c r="AE439" s="766"/>
      <c r="AF439" s="766"/>
      <c r="AG439" s="766"/>
      <c r="BB439" s="647"/>
      <c r="BC439" s="658"/>
      <c r="BD439" s="757"/>
      <c r="BE439" s="659"/>
    </row>
    <row r="440" spans="1:57" s="64" customFormat="1" outlineLevel="1" x14ac:dyDescent="0.25">
      <c r="A440" s="1393"/>
      <c r="B440" s="157"/>
      <c r="C440" s="385"/>
      <c r="D440" s="3589"/>
      <c r="E440" s="3721"/>
      <c r="F440" s="3647" t="str">
        <f t="shared" si="58"/>
        <v>CAC - SEER 16 ER2: MF</v>
      </c>
      <c r="G440" s="3648"/>
      <c r="H440" s="3649"/>
      <c r="I440" s="3056"/>
      <c r="J440" s="2725">
        <f>J439</f>
        <v>16.040816326530614</v>
      </c>
      <c r="K440" s="734"/>
      <c r="L440" s="2718" t="s">
        <v>3674</v>
      </c>
      <c r="M440" s="385"/>
      <c r="N440" s="1746"/>
      <c r="O440" s="385"/>
      <c r="P440" s="157"/>
      <c r="Q440" s="157"/>
      <c r="R440" s="157"/>
      <c r="S440" s="157"/>
      <c r="T440" s="157"/>
      <c r="U440" s="157"/>
      <c r="V440" s="3589"/>
      <c r="W440" s="766">
        <v>16</v>
      </c>
      <c r="X440" s="789">
        <v>16</v>
      </c>
      <c r="Y440" s="788">
        <v>16</v>
      </c>
      <c r="Z440" s="788">
        <v>16</v>
      </c>
      <c r="AA440" s="788">
        <v>16</v>
      </c>
      <c r="AB440" s="2658">
        <v>16.040816326530614</v>
      </c>
      <c r="AC440" s="766"/>
      <c r="AD440" s="766"/>
      <c r="AE440" s="766"/>
      <c r="AF440" s="766"/>
      <c r="AG440" s="766"/>
      <c r="BB440" s="647"/>
      <c r="BC440" s="658"/>
      <c r="BD440" s="757"/>
      <c r="BE440" s="659"/>
    </row>
    <row r="441" spans="1:57" s="64" customFormat="1" outlineLevel="1" x14ac:dyDescent="0.25">
      <c r="A441" s="1393"/>
      <c r="B441" s="157"/>
      <c r="C441" s="385"/>
      <c r="D441" s="3589"/>
      <c r="E441" s="3721"/>
      <c r="F441" s="3647" t="str">
        <f t="shared" si="58"/>
        <v>CAC - SEER 16 ER1: MF_CompE</v>
      </c>
      <c r="G441" s="3648"/>
      <c r="H441" s="3649"/>
      <c r="I441" s="3056"/>
      <c r="J441" s="2725">
        <v>16</v>
      </c>
      <c r="K441" s="734"/>
      <c r="L441" s="3197"/>
      <c r="M441" s="385"/>
      <c r="N441" s="1746"/>
      <c r="O441" s="385"/>
      <c r="P441" s="157"/>
      <c r="Q441" s="157"/>
      <c r="R441" s="157"/>
      <c r="S441" s="157"/>
      <c r="T441" s="157"/>
      <c r="U441" s="157"/>
      <c r="V441" s="3589"/>
      <c r="W441" s="766"/>
      <c r="X441" s="789"/>
      <c r="Y441" s="788">
        <v>16</v>
      </c>
      <c r="Z441" s="788">
        <v>16</v>
      </c>
      <c r="AA441" s="788">
        <v>16</v>
      </c>
      <c r="AB441" s="2657">
        <v>16</v>
      </c>
      <c r="AC441" s="766"/>
      <c r="AD441" s="766"/>
      <c r="AE441" s="766"/>
      <c r="AF441" s="766"/>
      <c r="AG441" s="766"/>
      <c r="BB441" s="647"/>
      <c r="BC441" s="658"/>
      <c r="BD441" s="757"/>
      <c r="BE441" s="659"/>
    </row>
    <row r="442" spans="1:57" s="64" customFormat="1" outlineLevel="1" x14ac:dyDescent="0.25">
      <c r="A442" s="1393"/>
      <c r="B442" s="157"/>
      <c r="C442" s="385"/>
      <c r="D442" s="3589"/>
      <c r="E442" s="3721"/>
      <c r="F442" s="3647" t="str">
        <f t="shared" si="58"/>
        <v>CAC - SEER 16 ER2: MF_CompE</v>
      </c>
      <c r="G442" s="3648"/>
      <c r="H442" s="3649"/>
      <c r="I442" s="3056"/>
      <c r="J442" s="2725">
        <v>16</v>
      </c>
      <c r="K442" s="734"/>
      <c r="L442" s="3197"/>
      <c r="M442" s="385"/>
      <c r="N442" s="1746"/>
      <c r="O442" s="385"/>
      <c r="P442" s="157"/>
      <c r="Q442" s="157"/>
      <c r="R442" s="157"/>
      <c r="S442" s="157"/>
      <c r="T442" s="157"/>
      <c r="U442" s="157"/>
      <c r="V442" s="3589"/>
      <c r="W442" s="766"/>
      <c r="X442" s="789"/>
      <c r="Y442" s="788">
        <v>16</v>
      </c>
      <c r="Z442" s="788">
        <v>16</v>
      </c>
      <c r="AA442" s="788">
        <v>16</v>
      </c>
      <c r="AB442" s="2657">
        <v>16</v>
      </c>
      <c r="AC442" s="766"/>
      <c r="AD442" s="766"/>
      <c r="AE442" s="766"/>
      <c r="AF442" s="766"/>
      <c r="AG442" s="766"/>
      <c r="BB442" s="647"/>
      <c r="BC442" s="658"/>
      <c r="BD442" s="757"/>
      <c r="BE442" s="659"/>
    </row>
    <row r="443" spans="1:57" s="64" customFormat="1" outlineLevel="1" x14ac:dyDescent="0.25">
      <c r="A443" s="1393"/>
      <c r="B443" s="157"/>
      <c r="C443" s="385"/>
      <c r="D443" s="3589"/>
      <c r="E443" s="3721"/>
      <c r="F443" s="3647" t="str">
        <f t="shared" si="58"/>
        <v>CAC - SEER 16 ROF: MF</v>
      </c>
      <c r="G443" s="3648"/>
      <c r="H443" s="3649"/>
      <c r="I443" s="3056"/>
      <c r="J443" s="2725">
        <v>16</v>
      </c>
      <c r="K443" s="734"/>
      <c r="L443" s="2718" t="s">
        <v>3674</v>
      </c>
      <c r="M443" s="385"/>
      <c r="N443" s="1746"/>
      <c r="O443" s="385"/>
      <c r="P443" s="157"/>
      <c r="Q443" s="157"/>
      <c r="R443" s="157"/>
      <c r="S443" s="157"/>
      <c r="T443" s="157"/>
      <c r="U443" s="157"/>
      <c r="V443" s="3589"/>
      <c r="W443" s="766">
        <v>16</v>
      </c>
      <c r="X443" s="789">
        <v>16</v>
      </c>
      <c r="Y443" s="788">
        <v>16</v>
      </c>
      <c r="Z443" s="788">
        <v>16</v>
      </c>
      <c r="AA443" s="788">
        <v>16</v>
      </c>
      <c r="AB443" s="2658">
        <v>16</v>
      </c>
      <c r="AC443" s="766"/>
      <c r="AD443" s="766"/>
      <c r="AE443" s="766"/>
      <c r="AF443" s="766"/>
      <c r="AG443" s="766"/>
      <c r="BB443" s="647"/>
      <c r="BC443" s="658"/>
      <c r="BD443" s="757"/>
      <c r="BE443" s="659"/>
    </row>
    <row r="444" spans="1:57" s="64" customFormat="1" outlineLevel="1" x14ac:dyDescent="0.25">
      <c r="A444" s="1393"/>
      <c r="B444" s="157"/>
      <c r="C444" s="385"/>
      <c r="D444" s="3589"/>
      <c r="E444" s="3721"/>
      <c r="F444" s="3647" t="str">
        <f t="shared" si="58"/>
        <v>CAC - SEER 16 ROF: MF_CompE</v>
      </c>
      <c r="G444" s="3648"/>
      <c r="H444" s="3649"/>
      <c r="I444" s="3056"/>
      <c r="J444" s="2725">
        <v>16</v>
      </c>
      <c r="K444" s="734"/>
      <c r="L444" s="3197"/>
      <c r="M444" s="385"/>
      <c r="N444" s="1746"/>
      <c r="O444" s="385"/>
      <c r="P444" s="157"/>
      <c r="Q444" s="157"/>
      <c r="R444" s="157"/>
      <c r="S444" s="157"/>
      <c r="T444" s="157"/>
      <c r="U444" s="157"/>
      <c r="V444" s="3589"/>
      <c r="W444" s="766"/>
      <c r="X444" s="789"/>
      <c r="Y444" s="788">
        <v>16</v>
      </c>
      <c r="Z444" s="788">
        <v>16</v>
      </c>
      <c r="AA444" s="788">
        <v>16</v>
      </c>
      <c r="AB444" s="2657">
        <v>16</v>
      </c>
      <c r="AC444" s="766"/>
      <c r="AD444" s="766"/>
      <c r="AE444" s="766"/>
      <c r="AF444" s="766"/>
      <c r="AG444" s="766"/>
      <c r="BB444" s="647"/>
      <c r="BC444" s="658"/>
      <c r="BD444" s="757"/>
      <c r="BE444" s="659"/>
    </row>
    <row r="445" spans="1:57" s="64" customFormat="1" outlineLevel="1" x14ac:dyDescent="0.25">
      <c r="A445" s="1393"/>
      <c r="B445" s="157"/>
      <c r="C445" s="385"/>
      <c r="D445" s="3589"/>
      <c r="E445" s="3721"/>
      <c r="F445" s="3647" t="str">
        <f t="shared" si="58"/>
        <v>CAC - SEER 17 ER1: SF</v>
      </c>
      <c r="G445" s="3648"/>
      <c r="H445" s="3649"/>
      <c r="I445" s="3056"/>
      <c r="J445" s="2725">
        <v>17.598210862619805</v>
      </c>
      <c r="K445" s="734"/>
      <c r="L445" s="2718" t="s">
        <v>3674</v>
      </c>
      <c r="M445" s="385"/>
      <c r="N445" s="1746"/>
      <c r="O445" s="385"/>
      <c r="P445" s="157"/>
      <c r="Q445" s="157"/>
      <c r="R445" s="157"/>
      <c r="S445" s="157"/>
      <c r="T445" s="157"/>
      <c r="U445" s="157"/>
      <c r="V445" s="3589"/>
      <c r="W445" s="766">
        <v>17</v>
      </c>
      <c r="X445" s="788">
        <f t="shared" ref="X445:X452" si="59">W445</f>
        <v>17</v>
      </c>
      <c r="Y445" s="788">
        <v>17</v>
      </c>
      <c r="Z445" s="788">
        <v>17</v>
      </c>
      <c r="AA445" s="788">
        <v>17</v>
      </c>
      <c r="AB445" s="2658">
        <v>17.598210862619805</v>
      </c>
      <c r="AC445" s="766"/>
      <c r="AD445" s="766"/>
      <c r="AE445" s="766"/>
      <c r="AF445" s="766"/>
      <c r="AG445" s="766"/>
      <c r="BB445" s="647"/>
      <c r="BC445" s="658"/>
      <c r="BD445" s="757"/>
      <c r="BE445" s="659"/>
    </row>
    <row r="446" spans="1:57" s="64" customFormat="1" ht="14.45" customHeight="1" outlineLevel="1" x14ac:dyDescent="0.25">
      <c r="A446" s="1393"/>
      <c r="B446" s="157"/>
      <c r="C446" s="385"/>
      <c r="D446" s="3589"/>
      <c r="E446" s="3721"/>
      <c r="F446" s="3647" t="str">
        <f t="shared" si="58"/>
        <v>CAC - SEER 17 ER2: SF</v>
      </c>
      <c r="G446" s="3648"/>
      <c r="H446" s="3649"/>
      <c r="I446" s="3056"/>
      <c r="J446" s="2725">
        <f>J445</f>
        <v>17.598210862619805</v>
      </c>
      <c r="K446" s="734"/>
      <c r="L446" s="2718" t="s">
        <v>3674</v>
      </c>
      <c r="M446" s="385"/>
      <c r="N446" s="1746"/>
      <c r="O446" s="385"/>
      <c r="P446" s="157"/>
      <c r="Q446" s="157"/>
      <c r="R446" s="157"/>
      <c r="S446" s="157"/>
      <c r="T446" s="157"/>
      <c r="U446" s="157"/>
      <c r="V446" s="3589"/>
      <c r="W446" s="766">
        <v>17</v>
      </c>
      <c r="X446" s="788">
        <f t="shared" si="59"/>
        <v>17</v>
      </c>
      <c r="Y446" s="788">
        <v>17</v>
      </c>
      <c r="Z446" s="788">
        <v>17</v>
      </c>
      <c r="AA446" s="788">
        <v>17</v>
      </c>
      <c r="AB446" s="2658">
        <v>17.598210862619805</v>
      </c>
      <c r="AC446" s="766"/>
      <c r="AD446" s="766"/>
      <c r="AE446" s="766"/>
      <c r="AF446" s="766"/>
      <c r="AG446" s="766"/>
      <c r="BB446" s="647"/>
      <c r="BC446" s="658"/>
      <c r="BD446" s="757"/>
      <c r="BE446" s="659"/>
    </row>
    <row r="447" spans="1:57" s="64" customFormat="1" ht="14.45" customHeight="1" outlineLevel="1" x14ac:dyDescent="0.25">
      <c r="A447" s="1393"/>
      <c r="B447" s="157"/>
      <c r="C447" s="385"/>
      <c r="D447" s="3589"/>
      <c r="E447" s="3721"/>
      <c r="F447" s="3647" t="str">
        <f t="shared" si="58"/>
        <v>CAC - SEER 17 ROF: SF</v>
      </c>
      <c r="G447" s="3648"/>
      <c r="H447" s="3649"/>
      <c r="I447" s="3056"/>
      <c r="J447" s="2725">
        <v>17.546938775510206</v>
      </c>
      <c r="K447" s="734"/>
      <c r="L447" s="2718" t="s">
        <v>3674</v>
      </c>
      <c r="M447" s="385"/>
      <c r="N447" s="1746"/>
      <c r="O447" s="385"/>
      <c r="P447" s="157"/>
      <c r="Q447" s="157"/>
      <c r="R447" s="157"/>
      <c r="S447" s="157"/>
      <c r="T447" s="157"/>
      <c r="U447" s="157"/>
      <c r="V447" s="3589"/>
      <c r="W447" s="766">
        <v>17</v>
      </c>
      <c r="X447" s="788">
        <f t="shared" si="59"/>
        <v>17</v>
      </c>
      <c r="Y447" s="788">
        <v>17</v>
      </c>
      <c r="Z447" s="788">
        <v>17</v>
      </c>
      <c r="AA447" s="788">
        <v>17</v>
      </c>
      <c r="AB447" s="2658">
        <v>17.546938775510206</v>
      </c>
      <c r="AC447" s="766"/>
      <c r="AD447" s="766"/>
      <c r="AE447" s="766"/>
      <c r="AF447" s="766"/>
      <c r="AG447" s="766"/>
      <c r="BB447" s="647"/>
      <c r="BC447" s="658"/>
      <c r="BD447" s="757"/>
      <c r="BE447" s="659"/>
    </row>
    <row r="448" spans="1:57" s="64" customFormat="1" ht="14.45" customHeight="1" outlineLevel="1" x14ac:dyDescent="0.25">
      <c r="A448" s="1393"/>
      <c r="B448" s="157"/>
      <c r="C448" s="385"/>
      <c r="D448" s="3589"/>
      <c r="E448" s="3721"/>
      <c r="F448" s="3647" t="str">
        <f t="shared" si="58"/>
        <v>CAC - SEER 17 ER1: MF</v>
      </c>
      <c r="G448" s="3648"/>
      <c r="H448" s="3649"/>
      <c r="I448" s="3056"/>
      <c r="J448" s="2725">
        <v>17.136363636363637</v>
      </c>
      <c r="K448" s="734"/>
      <c r="L448" s="2718" t="s">
        <v>3674</v>
      </c>
      <c r="M448" s="385"/>
      <c r="N448" s="1746"/>
      <c r="O448" s="385"/>
      <c r="P448" s="157"/>
      <c r="Q448" s="157"/>
      <c r="R448" s="157"/>
      <c r="S448" s="157"/>
      <c r="T448" s="157"/>
      <c r="U448" s="157"/>
      <c r="V448" s="3589"/>
      <c r="W448" s="766">
        <v>17</v>
      </c>
      <c r="X448" s="788">
        <f t="shared" si="59"/>
        <v>17</v>
      </c>
      <c r="Y448" s="788">
        <v>17</v>
      </c>
      <c r="Z448" s="788">
        <v>17</v>
      </c>
      <c r="AA448" s="788">
        <v>17</v>
      </c>
      <c r="AB448" s="2658">
        <v>17.136363636363637</v>
      </c>
      <c r="AC448" s="766"/>
      <c r="AD448" s="766"/>
      <c r="AE448" s="766"/>
      <c r="AF448" s="766"/>
      <c r="AG448" s="766"/>
      <c r="BB448" s="647"/>
      <c r="BC448" s="658"/>
      <c r="BD448" s="757"/>
      <c r="BE448" s="659"/>
    </row>
    <row r="449" spans="1:57" s="64" customFormat="1" ht="14.45" customHeight="1" outlineLevel="1" x14ac:dyDescent="0.25">
      <c r="A449" s="1393"/>
      <c r="B449" s="157"/>
      <c r="C449" s="385"/>
      <c r="D449" s="3589"/>
      <c r="E449" s="3721"/>
      <c r="F449" s="3647" t="str">
        <f t="shared" si="58"/>
        <v>CAC - SEER 17 ER2: MF</v>
      </c>
      <c r="G449" s="3648"/>
      <c r="H449" s="3649"/>
      <c r="I449" s="3056"/>
      <c r="J449" s="2725">
        <f>J448</f>
        <v>17.136363636363637</v>
      </c>
      <c r="K449" s="734"/>
      <c r="L449" s="2718" t="s">
        <v>3674</v>
      </c>
      <c r="M449" s="385"/>
      <c r="N449" s="1746"/>
      <c r="O449" s="385"/>
      <c r="P449" s="157"/>
      <c r="Q449" s="157"/>
      <c r="R449" s="157"/>
      <c r="S449" s="157"/>
      <c r="T449" s="157"/>
      <c r="U449" s="157"/>
      <c r="V449" s="3589"/>
      <c r="W449" s="766">
        <v>17</v>
      </c>
      <c r="X449" s="788">
        <f t="shared" si="59"/>
        <v>17</v>
      </c>
      <c r="Y449" s="788">
        <v>17</v>
      </c>
      <c r="Z449" s="788">
        <v>17</v>
      </c>
      <c r="AA449" s="788">
        <v>17</v>
      </c>
      <c r="AB449" s="2658">
        <v>17.136363636363637</v>
      </c>
      <c r="AC449" s="766"/>
      <c r="AD449" s="766"/>
      <c r="AE449" s="766"/>
      <c r="AF449" s="766"/>
      <c r="AG449" s="766"/>
      <c r="BB449" s="647"/>
      <c r="BC449" s="658"/>
      <c r="BD449" s="757"/>
      <c r="BE449" s="659"/>
    </row>
    <row r="450" spans="1:57" s="64" customFormat="1" ht="14.45" customHeight="1" outlineLevel="1" x14ac:dyDescent="0.25">
      <c r="A450" s="1393"/>
      <c r="B450" s="157"/>
      <c r="C450" s="385"/>
      <c r="D450" s="3589"/>
      <c r="E450" s="3721"/>
      <c r="F450" s="3647" t="str">
        <f t="shared" si="58"/>
        <v>CAC - SEER 17 ER1: MF_CompE</v>
      </c>
      <c r="G450" s="3648"/>
      <c r="H450" s="3649"/>
      <c r="I450" s="778"/>
      <c r="J450" s="3198">
        <v>17</v>
      </c>
      <c r="K450" s="3199"/>
      <c r="L450" s="3200"/>
      <c r="M450" s="385"/>
      <c r="N450" s="1746"/>
      <c r="O450" s="385"/>
      <c r="P450" s="157"/>
      <c r="Q450" s="157"/>
      <c r="R450" s="157"/>
      <c r="S450" s="157"/>
      <c r="T450" s="157"/>
      <c r="U450" s="157"/>
      <c r="V450" s="3589"/>
      <c r="W450" s="778"/>
      <c r="X450" s="790"/>
      <c r="Y450" s="790">
        <v>17</v>
      </c>
      <c r="Z450" s="790">
        <v>17</v>
      </c>
      <c r="AA450" s="790">
        <v>17</v>
      </c>
      <c r="AB450" s="2659">
        <v>17</v>
      </c>
      <c r="AC450" s="778"/>
      <c r="AD450" s="778"/>
      <c r="AE450" s="778"/>
      <c r="AF450" s="778"/>
      <c r="AG450" s="778"/>
      <c r="BB450" s="647"/>
      <c r="BC450" s="658"/>
      <c r="BD450" s="757"/>
      <c r="BE450" s="659"/>
    </row>
    <row r="451" spans="1:57" s="64" customFormat="1" ht="14.45" customHeight="1" outlineLevel="1" x14ac:dyDescent="0.25">
      <c r="A451" s="1393"/>
      <c r="B451" s="157"/>
      <c r="C451" s="385"/>
      <c r="D451" s="3589"/>
      <c r="E451" s="3721"/>
      <c r="F451" s="3647" t="str">
        <f t="shared" si="58"/>
        <v>CAC - SEER 17 ER2: MF_CompE</v>
      </c>
      <c r="G451" s="3648"/>
      <c r="H451" s="3649"/>
      <c r="I451" s="3056"/>
      <c r="J451" s="2725">
        <v>17</v>
      </c>
      <c r="K451" s="734"/>
      <c r="L451" s="3197"/>
      <c r="M451" s="385"/>
      <c r="N451" s="1746"/>
      <c r="O451" s="385"/>
      <c r="P451" s="157"/>
      <c r="Q451" s="157"/>
      <c r="R451" s="157"/>
      <c r="S451" s="157"/>
      <c r="T451" s="157"/>
      <c r="U451" s="157"/>
      <c r="V451" s="3589"/>
      <c r="W451" s="778"/>
      <c r="X451" s="790"/>
      <c r="Y451" s="790">
        <v>17</v>
      </c>
      <c r="Z451" s="790">
        <v>17</v>
      </c>
      <c r="AA451" s="790">
        <v>17</v>
      </c>
      <c r="AB451" s="2657">
        <v>17</v>
      </c>
      <c r="AC451" s="778"/>
      <c r="AD451" s="778"/>
      <c r="AE451" s="778"/>
      <c r="AF451" s="778"/>
      <c r="AG451" s="778"/>
      <c r="BB451" s="647"/>
      <c r="BC451" s="658"/>
      <c r="BD451" s="757"/>
      <c r="BE451" s="659"/>
    </row>
    <row r="452" spans="1:57" s="64" customFormat="1" ht="15" customHeight="1" outlineLevel="1" x14ac:dyDescent="0.25">
      <c r="A452" s="1393"/>
      <c r="B452" s="157"/>
      <c r="C452" s="385"/>
      <c r="D452" s="3589"/>
      <c r="E452" s="3721"/>
      <c r="F452" s="3647" t="str">
        <f t="shared" si="58"/>
        <v>CAC - SEER 17 ROF: MF</v>
      </c>
      <c r="G452" s="3648"/>
      <c r="H452" s="3649"/>
      <c r="I452" s="3056"/>
      <c r="J452" s="2725">
        <v>17</v>
      </c>
      <c r="K452" s="734"/>
      <c r="L452" s="2718" t="s">
        <v>3674</v>
      </c>
      <c r="M452" s="385"/>
      <c r="N452" s="1746"/>
      <c r="O452" s="385"/>
      <c r="P452" s="157"/>
      <c r="Q452" s="157"/>
      <c r="R452" s="157"/>
      <c r="S452" s="157"/>
      <c r="T452" s="157"/>
      <c r="U452" s="157"/>
      <c r="V452" s="3589"/>
      <c r="W452" s="766">
        <v>17</v>
      </c>
      <c r="X452" s="788">
        <f t="shared" si="59"/>
        <v>17</v>
      </c>
      <c r="Y452" s="788">
        <v>17</v>
      </c>
      <c r="Z452" s="788">
        <v>17</v>
      </c>
      <c r="AA452" s="788">
        <v>17</v>
      </c>
      <c r="AB452" s="2658">
        <v>17</v>
      </c>
      <c r="AC452" s="766"/>
      <c r="AD452" s="766"/>
      <c r="AE452" s="766"/>
      <c r="AF452" s="766"/>
      <c r="AG452" s="766"/>
      <c r="BB452" s="647"/>
      <c r="BC452" s="658"/>
      <c r="BD452" s="757"/>
      <c r="BE452" s="659"/>
    </row>
    <row r="453" spans="1:57" s="64" customFormat="1" ht="15" customHeight="1" outlineLevel="1" x14ac:dyDescent="0.25">
      <c r="A453" s="1393"/>
      <c r="B453" s="157"/>
      <c r="C453" s="385"/>
      <c r="D453" s="3590"/>
      <c r="E453" s="3572"/>
      <c r="F453" s="3647" t="str">
        <f t="shared" si="58"/>
        <v>CAC - SEER 17 ROF: MF_CompE</v>
      </c>
      <c r="G453" s="3648"/>
      <c r="H453" s="3649"/>
      <c r="I453" s="3056"/>
      <c r="J453" s="2725">
        <v>17</v>
      </c>
      <c r="K453" s="734"/>
      <c r="L453" s="3197"/>
      <c r="M453" s="385"/>
      <c r="N453" s="1746"/>
      <c r="O453" s="385"/>
      <c r="P453" s="157"/>
      <c r="Q453" s="157"/>
      <c r="R453" s="157"/>
      <c r="S453" s="157"/>
      <c r="T453" s="157"/>
      <c r="U453" s="157"/>
      <c r="V453" s="3590"/>
      <c r="W453" s="2178"/>
      <c r="X453" s="788"/>
      <c r="Y453" s="788">
        <v>17</v>
      </c>
      <c r="Z453" s="788">
        <v>17</v>
      </c>
      <c r="AA453" s="788">
        <v>17</v>
      </c>
      <c r="AB453" s="2657">
        <v>17</v>
      </c>
      <c r="AC453" s="2178"/>
      <c r="AD453" s="2178"/>
      <c r="AE453" s="2178"/>
      <c r="AF453" s="2178"/>
      <c r="AG453" s="2178"/>
      <c r="BB453" s="647"/>
      <c r="BC453" s="658"/>
      <c r="BD453" s="757"/>
      <c r="BE453" s="659"/>
    </row>
    <row r="454" spans="1:57" s="64" customFormat="1" ht="14.45" customHeight="1" outlineLevel="1" x14ac:dyDescent="0.25">
      <c r="A454" s="1393"/>
      <c r="B454" s="157"/>
      <c r="C454" s="385"/>
      <c r="D454" s="3787"/>
      <c r="E454" s="3785"/>
      <c r="F454" s="3659" t="str">
        <f t="shared" si="58"/>
        <v>CAC - SEER 18 ER1: SF</v>
      </c>
      <c r="G454" s="3660"/>
      <c r="H454" s="3661"/>
      <c r="I454" s="3056"/>
      <c r="J454" s="2725">
        <v>18</v>
      </c>
      <c r="K454" s="734"/>
      <c r="L454" s="3197"/>
      <c r="M454" s="385"/>
      <c r="N454" s="1746"/>
      <c r="O454" s="385"/>
      <c r="P454" s="157"/>
      <c r="Q454" s="157"/>
      <c r="R454" s="157"/>
      <c r="S454" s="157"/>
      <c r="T454" s="157"/>
      <c r="U454" s="157"/>
      <c r="V454" s="3590"/>
      <c r="W454" s="781"/>
      <c r="X454" s="900"/>
      <c r="Y454" s="900"/>
      <c r="Z454" s="786">
        <v>18</v>
      </c>
      <c r="AA454" s="899">
        <v>18</v>
      </c>
      <c r="AB454" s="2657">
        <v>18</v>
      </c>
      <c r="AC454" s="781"/>
      <c r="AD454" s="781"/>
      <c r="AE454" s="781"/>
      <c r="AF454" s="781"/>
      <c r="AG454" s="781"/>
      <c r="BB454" s="647"/>
      <c r="BC454" s="658"/>
      <c r="BD454" s="757"/>
      <c r="BE454" s="659"/>
    </row>
    <row r="455" spans="1:57" s="64" customFormat="1" ht="14.45" customHeight="1" outlineLevel="1" x14ac:dyDescent="0.25">
      <c r="A455" s="1393"/>
      <c r="B455" s="157"/>
      <c r="C455" s="385"/>
      <c r="D455" s="3787"/>
      <c r="E455" s="3785"/>
      <c r="F455" s="3659" t="str">
        <f t="shared" si="58"/>
        <v>CAC - SEER 18 ER2: SF</v>
      </c>
      <c r="G455" s="3660"/>
      <c r="H455" s="3661"/>
      <c r="I455" s="3056"/>
      <c r="J455" s="2725">
        <v>18</v>
      </c>
      <c r="K455" s="734"/>
      <c r="L455" s="3197"/>
      <c r="M455" s="385"/>
      <c r="N455" s="1746"/>
      <c r="O455" s="385"/>
      <c r="P455" s="157"/>
      <c r="Q455" s="157"/>
      <c r="R455" s="157"/>
      <c r="S455" s="157"/>
      <c r="T455" s="157"/>
      <c r="U455" s="157"/>
      <c r="V455" s="3590"/>
      <c r="W455" s="2125"/>
      <c r="X455" s="789"/>
      <c r="Y455" s="789"/>
      <c r="Z455" s="765">
        <v>18</v>
      </c>
      <c r="AA455" s="788">
        <v>18</v>
      </c>
      <c r="AB455" s="2657">
        <v>18</v>
      </c>
      <c r="AC455" s="2125"/>
      <c r="AD455" s="2125"/>
      <c r="AE455" s="2125"/>
      <c r="AF455" s="2125"/>
      <c r="AG455" s="2125"/>
      <c r="BB455" s="647"/>
      <c r="BC455" s="658"/>
      <c r="BD455" s="757"/>
      <c r="BE455" s="659"/>
    </row>
    <row r="456" spans="1:57" s="64" customFormat="1" ht="14.45" customHeight="1" outlineLevel="1" x14ac:dyDescent="0.25">
      <c r="A456" s="1393"/>
      <c r="B456" s="157"/>
      <c r="C456" s="385"/>
      <c r="D456" s="3787"/>
      <c r="E456" s="3785"/>
      <c r="F456" s="3659" t="str">
        <f t="shared" si="58"/>
        <v>CAC - SEER 18 ROF: SF</v>
      </c>
      <c r="G456" s="3660"/>
      <c r="H456" s="3661"/>
      <c r="I456" s="3056"/>
      <c r="J456" s="2725">
        <v>18</v>
      </c>
      <c r="K456" s="734"/>
      <c r="L456" s="3197"/>
      <c r="M456" s="385"/>
      <c r="N456" s="1746"/>
      <c r="O456" s="385"/>
      <c r="P456" s="157"/>
      <c r="Q456" s="157"/>
      <c r="R456" s="157"/>
      <c r="S456" s="157"/>
      <c r="T456" s="157"/>
      <c r="U456" s="157"/>
      <c r="V456" s="3590"/>
      <c r="W456" s="2125"/>
      <c r="X456" s="789"/>
      <c r="Y456" s="789"/>
      <c r="Z456" s="765">
        <v>18</v>
      </c>
      <c r="AA456" s="788">
        <v>18</v>
      </c>
      <c r="AB456" s="2657">
        <v>18</v>
      </c>
      <c r="AC456" s="2125"/>
      <c r="AD456" s="2125"/>
      <c r="AE456" s="2125"/>
      <c r="AF456" s="2125"/>
      <c r="AG456" s="2125"/>
      <c r="BB456" s="647"/>
      <c r="BC456" s="658"/>
      <c r="BD456" s="757"/>
      <c r="BE456" s="659"/>
    </row>
    <row r="457" spans="1:57" s="64" customFormat="1" outlineLevel="1" x14ac:dyDescent="0.25">
      <c r="A457" s="1393"/>
      <c r="B457" s="157"/>
      <c r="C457" s="385"/>
      <c r="D457" s="3787"/>
      <c r="E457" s="3785"/>
      <c r="F457" s="3647" t="str">
        <f t="shared" si="58"/>
        <v>CAC - SEER 18 ER1: MF</v>
      </c>
      <c r="G457" s="3648"/>
      <c r="H457" s="3649"/>
      <c r="I457" s="3056"/>
      <c r="J457" s="2725">
        <v>18</v>
      </c>
      <c r="K457" s="734"/>
      <c r="L457" s="3197"/>
      <c r="M457" s="385"/>
      <c r="N457" s="1746"/>
      <c r="O457" s="385"/>
      <c r="P457" s="157"/>
      <c r="Q457" s="157"/>
      <c r="R457" s="157"/>
      <c r="S457" s="157"/>
      <c r="T457" s="157"/>
      <c r="U457" s="157"/>
      <c r="V457" s="3590"/>
      <c r="W457" s="2125"/>
      <c r="X457" s="789"/>
      <c r="Y457" s="789"/>
      <c r="Z457" s="765">
        <v>18</v>
      </c>
      <c r="AA457" s="788">
        <v>18</v>
      </c>
      <c r="AB457" s="2657">
        <v>18</v>
      </c>
      <c r="AC457" s="2125"/>
      <c r="AD457" s="2125"/>
      <c r="AE457" s="2125"/>
      <c r="AF457" s="2125"/>
      <c r="AG457" s="2125"/>
      <c r="BB457" s="647"/>
      <c r="BC457" s="658"/>
      <c r="BD457" s="757"/>
      <c r="BE457" s="659"/>
    </row>
    <row r="458" spans="1:57" s="64" customFormat="1" outlineLevel="1" x14ac:dyDescent="0.25">
      <c r="A458" s="1393"/>
      <c r="B458" s="157"/>
      <c r="C458" s="385"/>
      <c r="D458" s="3787"/>
      <c r="E458" s="3785"/>
      <c r="F458" s="3647" t="str">
        <f t="shared" si="58"/>
        <v>CAC - SEER 18 ER2: MF</v>
      </c>
      <c r="G458" s="3648"/>
      <c r="H458" s="3649"/>
      <c r="I458" s="3056"/>
      <c r="J458" s="2725">
        <v>18</v>
      </c>
      <c r="K458" s="734"/>
      <c r="L458" s="3197"/>
      <c r="M458" s="385"/>
      <c r="N458" s="1746"/>
      <c r="O458" s="385"/>
      <c r="P458" s="157"/>
      <c r="Q458" s="157"/>
      <c r="R458" s="157"/>
      <c r="S458" s="157"/>
      <c r="T458" s="157"/>
      <c r="U458" s="157"/>
      <c r="V458" s="3590"/>
      <c r="W458" s="2125"/>
      <c r="X458" s="789"/>
      <c r="Y458" s="789"/>
      <c r="Z458" s="765">
        <v>18</v>
      </c>
      <c r="AA458" s="788">
        <v>18</v>
      </c>
      <c r="AB458" s="2657">
        <v>18</v>
      </c>
      <c r="AC458" s="2125"/>
      <c r="AD458" s="2125"/>
      <c r="AE458" s="2125"/>
      <c r="AF458" s="2125"/>
      <c r="AG458" s="2125"/>
      <c r="BB458" s="647"/>
      <c r="BC458" s="658"/>
      <c r="BD458" s="757"/>
      <c r="BE458" s="659"/>
    </row>
    <row r="459" spans="1:57" s="64" customFormat="1" outlineLevel="1" x14ac:dyDescent="0.25">
      <c r="A459" s="1393"/>
      <c r="B459" s="157"/>
      <c r="C459" s="385"/>
      <c r="D459" s="3787"/>
      <c r="E459" s="3785"/>
      <c r="F459" s="3647" t="str">
        <f t="shared" si="58"/>
        <v>CAC - SEER 18 ER1: MF_CompE</v>
      </c>
      <c r="G459" s="3648"/>
      <c r="H459" s="3649"/>
      <c r="I459" s="3056"/>
      <c r="J459" s="2725">
        <v>18</v>
      </c>
      <c r="K459" s="734"/>
      <c r="L459" s="3197"/>
      <c r="M459" s="385"/>
      <c r="N459" s="1746"/>
      <c r="O459" s="385"/>
      <c r="P459" s="157"/>
      <c r="Q459" s="157"/>
      <c r="R459" s="157"/>
      <c r="S459" s="157"/>
      <c r="T459" s="157"/>
      <c r="U459" s="157"/>
      <c r="V459" s="3590"/>
      <c r="W459" s="2125"/>
      <c r="X459" s="789"/>
      <c r="Y459" s="789"/>
      <c r="Z459" s="765">
        <v>18</v>
      </c>
      <c r="AA459" s="788">
        <v>18</v>
      </c>
      <c r="AB459" s="2657">
        <v>18</v>
      </c>
      <c r="AC459" s="2125"/>
      <c r="AD459" s="2125"/>
      <c r="AE459" s="2125"/>
      <c r="AF459" s="2125"/>
      <c r="AG459" s="2125"/>
      <c r="BB459" s="647"/>
      <c r="BC459" s="658"/>
      <c r="BD459" s="757"/>
      <c r="BE459" s="659"/>
    </row>
    <row r="460" spans="1:57" s="64" customFormat="1" outlineLevel="1" x14ac:dyDescent="0.25">
      <c r="A460" s="1393"/>
      <c r="B460" s="157"/>
      <c r="C460" s="385"/>
      <c r="D460" s="3787"/>
      <c r="E460" s="3785"/>
      <c r="F460" s="3647" t="str">
        <f t="shared" si="58"/>
        <v>CAC - SEER 18 ER2: MF_CompE</v>
      </c>
      <c r="G460" s="3648"/>
      <c r="H460" s="3649"/>
      <c r="I460" s="3056"/>
      <c r="J460" s="2725">
        <v>18</v>
      </c>
      <c r="K460" s="734"/>
      <c r="L460" s="3197"/>
      <c r="M460" s="385"/>
      <c r="N460" s="1746"/>
      <c r="O460" s="385"/>
      <c r="P460" s="157"/>
      <c r="Q460" s="157"/>
      <c r="R460" s="157"/>
      <c r="S460" s="157"/>
      <c r="T460" s="157"/>
      <c r="U460" s="157"/>
      <c r="V460" s="3590"/>
      <c r="W460" s="2125"/>
      <c r="X460" s="789"/>
      <c r="Y460" s="789"/>
      <c r="Z460" s="765">
        <v>18</v>
      </c>
      <c r="AA460" s="788">
        <v>18</v>
      </c>
      <c r="AB460" s="2657">
        <v>18</v>
      </c>
      <c r="AC460" s="2125"/>
      <c r="AD460" s="2125"/>
      <c r="AE460" s="2125"/>
      <c r="AF460" s="2125"/>
      <c r="AG460" s="2125"/>
      <c r="BB460" s="647"/>
      <c r="BC460" s="658"/>
      <c r="BD460" s="757"/>
      <c r="BE460" s="659"/>
    </row>
    <row r="461" spans="1:57" s="64" customFormat="1" outlineLevel="1" x14ac:dyDescent="0.25">
      <c r="A461" s="1393"/>
      <c r="B461" s="157"/>
      <c r="C461" s="385"/>
      <c r="D461" s="3787"/>
      <c r="E461" s="3785"/>
      <c r="F461" s="3647" t="str">
        <f t="shared" si="58"/>
        <v>CAC - SEER 18 ROF: MF</v>
      </c>
      <c r="G461" s="3648"/>
      <c r="H461" s="3649"/>
      <c r="I461" s="3056"/>
      <c r="J461" s="2725">
        <v>18</v>
      </c>
      <c r="K461" s="734"/>
      <c r="L461" s="3197"/>
      <c r="M461" s="385"/>
      <c r="N461" s="1746"/>
      <c r="O461" s="385"/>
      <c r="P461" s="157"/>
      <c r="Q461" s="157"/>
      <c r="R461" s="157"/>
      <c r="S461" s="157"/>
      <c r="T461" s="157"/>
      <c r="U461" s="157"/>
      <c r="V461" s="3590"/>
      <c r="W461" s="2125"/>
      <c r="X461" s="789"/>
      <c r="Y461" s="789"/>
      <c r="Z461" s="765">
        <v>18</v>
      </c>
      <c r="AA461" s="788">
        <v>18</v>
      </c>
      <c r="AB461" s="2657">
        <v>18</v>
      </c>
      <c r="AC461" s="2125"/>
      <c r="AD461" s="2125"/>
      <c r="AE461" s="2125"/>
      <c r="AF461" s="2125"/>
      <c r="AG461" s="2125"/>
      <c r="BB461" s="647"/>
      <c r="BC461" s="658"/>
      <c r="BD461" s="757"/>
      <c r="BE461" s="659"/>
    </row>
    <row r="462" spans="1:57" s="64" customFormat="1" outlineLevel="1" x14ac:dyDescent="0.25">
      <c r="A462" s="1393"/>
      <c r="B462" s="157"/>
      <c r="C462" s="385"/>
      <c r="D462" s="3787"/>
      <c r="E462" s="3785"/>
      <c r="F462" s="3647" t="str">
        <f t="shared" si="58"/>
        <v>CAC - SEER 18 ROF: MF_CompE</v>
      </c>
      <c r="G462" s="3648"/>
      <c r="H462" s="3649"/>
      <c r="I462" s="3056"/>
      <c r="J462" s="2725">
        <v>18</v>
      </c>
      <c r="K462" s="734"/>
      <c r="L462" s="3197"/>
      <c r="M462" s="385"/>
      <c r="N462" s="1746"/>
      <c r="O462" s="385"/>
      <c r="P462" s="157"/>
      <c r="Q462" s="157"/>
      <c r="R462" s="157"/>
      <c r="S462" s="157"/>
      <c r="T462" s="157"/>
      <c r="U462" s="157"/>
      <c r="V462" s="3590"/>
      <c r="W462" s="2125"/>
      <c r="X462" s="789"/>
      <c r="Y462" s="789"/>
      <c r="Z462" s="765">
        <v>18</v>
      </c>
      <c r="AA462" s="788">
        <v>18</v>
      </c>
      <c r="AB462" s="2657">
        <v>18</v>
      </c>
      <c r="AC462" s="2125"/>
      <c r="AD462" s="2125"/>
      <c r="AE462" s="2125"/>
      <c r="AF462" s="2125"/>
      <c r="AG462" s="2125"/>
      <c r="BB462" s="647"/>
      <c r="BC462" s="658"/>
      <c r="BD462" s="757"/>
      <c r="BE462" s="659"/>
    </row>
    <row r="463" spans="1:57" s="64" customFormat="1" outlineLevel="1" x14ac:dyDescent="0.25">
      <c r="A463" s="1393"/>
      <c r="B463" s="157"/>
      <c r="C463" s="385"/>
      <c r="D463" s="3787"/>
      <c r="E463" s="3785"/>
      <c r="F463" s="3647" t="str">
        <f t="shared" si="58"/>
        <v>CAC - SEER 19 ER1: SF</v>
      </c>
      <c r="G463" s="3648"/>
      <c r="H463" s="3649"/>
      <c r="I463" s="3056"/>
      <c r="J463" s="2725">
        <v>19</v>
      </c>
      <c r="K463" s="734"/>
      <c r="L463" s="3197"/>
      <c r="M463" s="385"/>
      <c r="N463" s="1746"/>
      <c r="O463" s="385"/>
      <c r="P463" s="157"/>
      <c r="Q463" s="157"/>
      <c r="R463" s="157"/>
      <c r="S463" s="157"/>
      <c r="T463" s="157"/>
      <c r="U463" s="157"/>
      <c r="V463" s="3590"/>
      <c r="W463" s="2125"/>
      <c r="X463" s="789"/>
      <c r="Y463" s="789"/>
      <c r="Z463" s="765">
        <v>19</v>
      </c>
      <c r="AA463" s="788">
        <v>19</v>
      </c>
      <c r="AB463" s="2657">
        <v>19</v>
      </c>
      <c r="AC463" s="2125"/>
      <c r="AD463" s="2125"/>
      <c r="AE463" s="2125"/>
      <c r="AF463" s="2125"/>
      <c r="AG463" s="2125"/>
      <c r="BB463" s="647"/>
      <c r="BC463" s="658"/>
      <c r="BD463" s="757"/>
      <c r="BE463" s="659"/>
    </row>
    <row r="464" spans="1:57" s="64" customFormat="1" outlineLevel="1" x14ac:dyDescent="0.25">
      <c r="A464" s="1393"/>
      <c r="B464" s="157"/>
      <c r="C464" s="385"/>
      <c r="D464" s="3787"/>
      <c r="E464" s="3785"/>
      <c r="F464" s="3647" t="str">
        <f t="shared" si="58"/>
        <v>CAC - SEER 19 ER2: SF</v>
      </c>
      <c r="G464" s="3648"/>
      <c r="H464" s="3649"/>
      <c r="I464" s="3056"/>
      <c r="J464" s="2725">
        <v>19</v>
      </c>
      <c r="K464" s="734"/>
      <c r="L464" s="3197"/>
      <c r="M464" s="385"/>
      <c r="N464" s="1746"/>
      <c r="O464" s="385"/>
      <c r="P464" s="157"/>
      <c r="Q464" s="157"/>
      <c r="R464" s="157"/>
      <c r="S464" s="157"/>
      <c r="T464" s="157"/>
      <c r="U464" s="157"/>
      <c r="V464" s="3590"/>
      <c r="W464" s="2125"/>
      <c r="X464" s="789"/>
      <c r="Y464" s="789"/>
      <c r="Z464" s="765">
        <v>19</v>
      </c>
      <c r="AA464" s="788">
        <v>19</v>
      </c>
      <c r="AB464" s="2657">
        <v>19</v>
      </c>
      <c r="AC464" s="2125"/>
      <c r="AD464" s="2125"/>
      <c r="AE464" s="2125"/>
      <c r="AF464" s="2125"/>
      <c r="AG464" s="2125"/>
      <c r="BB464" s="647"/>
      <c r="BC464" s="658"/>
      <c r="BD464" s="757"/>
      <c r="BE464" s="659"/>
    </row>
    <row r="465" spans="1:57" s="64" customFormat="1" outlineLevel="1" x14ac:dyDescent="0.25">
      <c r="A465" s="1393"/>
      <c r="B465" s="157"/>
      <c r="C465" s="385"/>
      <c r="D465" s="3787"/>
      <c r="E465" s="3785"/>
      <c r="F465" s="3647" t="str">
        <f t="shared" si="58"/>
        <v>CAC - SEER 19 ROF: SF</v>
      </c>
      <c r="G465" s="3648"/>
      <c r="H465" s="3649"/>
      <c r="I465" s="3056"/>
      <c r="J465" s="2725">
        <v>19</v>
      </c>
      <c r="K465" s="734"/>
      <c r="L465" s="3197"/>
      <c r="M465" s="385"/>
      <c r="N465" s="1746"/>
      <c r="O465" s="385"/>
      <c r="P465" s="157"/>
      <c r="Q465" s="157"/>
      <c r="R465" s="157"/>
      <c r="S465" s="157"/>
      <c r="T465" s="157"/>
      <c r="U465" s="157"/>
      <c r="V465" s="3590"/>
      <c r="W465" s="2125"/>
      <c r="X465" s="789"/>
      <c r="Y465" s="789"/>
      <c r="Z465" s="765">
        <v>19</v>
      </c>
      <c r="AA465" s="788">
        <v>19</v>
      </c>
      <c r="AB465" s="2657">
        <v>19</v>
      </c>
      <c r="AC465" s="2125"/>
      <c r="AD465" s="2125"/>
      <c r="AE465" s="2125"/>
      <c r="AF465" s="2125"/>
      <c r="AG465" s="2125"/>
      <c r="BB465" s="647"/>
      <c r="BC465" s="658"/>
      <c r="BD465" s="757"/>
      <c r="BE465" s="659"/>
    </row>
    <row r="466" spans="1:57" s="64" customFormat="1" outlineLevel="1" x14ac:dyDescent="0.25">
      <c r="A466" s="1393"/>
      <c r="B466" s="157"/>
      <c r="C466" s="385"/>
      <c r="D466" s="3787"/>
      <c r="E466" s="3785"/>
      <c r="F466" s="3647" t="str">
        <f t="shared" ref="F466:F529" si="60">F394</f>
        <v>CAC - SEER 19 ER1: MF</v>
      </c>
      <c r="G466" s="3648"/>
      <c r="H466" s="3649"/>
      <c r="I466" s="3056"/>
      <c r="J466" s="2725">
        <v>19</v>
      </c>
      <c r="K466" s="734"/>
      <c r="L466" s="3197"/>
      <c r="M466" s="385"/>
      <c r="N466" s="1746"/>
      <c r="O466" s="385"/>
      <c r="P466" s="157"/>
      <c r="Q466" s="157"/>
      <c r="R466" s="157"/>
      <c r="S466" s="157"/>
      <c r="T466" s="157"/>
      <c r="U466" s="157"/>
      <c r="V466" s="3590"/>
      <c r="W466" s="2125"/>
      <c r="X466" s="789"/>
      <c r="Y466" s="789"/>
      <c r="Z466" s="765">
        <v>19</v>
      </c>
      <c r="AA466" s="788">
        <v>19</v>
      </c>
      <c r="AB466" s="2657">
        <v>19</v>
      </c>
      <c r="AC466" s="2125"/>
      <c r="AD466" s="2125"/>
      <c r="AE466" s="2125"/>
      <c r="AF466" s="2125"/>
      <c r="AG466" s="2125"/>
      <c r="BB466" s="647"/>
      <c r="BC466" s="658"/>
      <c r="BD466" s="757"/>
      <c r="BE466" s="659"/>
    </row>
    <row r="467" spans="1:57" s="64" customFormat="1" outlineLevel="1" x14ac:dyDescent="0.25">
      <c r="A467" s="1393"/>
      <c r="B467" s="157"/>
      <c r="C467" s="385"/>
      <c r="D467" s="3787"/>
      <c r="E467" s="3785"/>
      <c r="F467" s="3647" t="str">
        <f t="shared" si="60"/>
        <v>CAC - SEER 19 ER2: MF</v>
      </c>
      <c r="G467" s="3648"/>
      <c r="H467" s="3649"/>
      <c r="I467" s="3056"/>
      <c r="J467" s="2725">
        <v>19</v>
      </c>
      <c r="K467" s="734"/>
      <c r="L467" s="3197"/>
      <c r="M467" s="385"/>
      <c r="N467" s="1746"/>
      <c r="O467" s="385"/>
      <c r="P467" s="157"/>
      <c r="Q467" s="157"/>
      <c r="R467" s="157"/>
      <c r="S467" s="157"/>
      <c r="T467" s="157"/>
      <c r="U467" s="157"/>
      <c r="V467" s="3590"/>
      <c r="W467" s="2125"/>
      <c r="X467" s="789"/>
      <c r="Y467" s="789"/>
      <c r="Z467" s="765">
        <v>19</v>
      </c>
      <c r="AA467" s="788">
        <v>19</v>
      </c>
      <c r="AB467" s="2657">
        <v>19</v>
      </c>
      <c r="AC467" s="2125"/>
      <c r="AD467" s="2125"/>
      <c r="AE467" s="2125"/>
      <c r="AF467" s="2125"/>
      <c r="AG467" s="2125"/>
      <c r="BB467" s="647"/>
      <c r="BC467" s="658"/>
      <c r="BD467" s="757"/>
      <c r="BE467" s="659"/>
    </row>
    <row r="468" spans="1:57" s="64" customFormat="1" outlineLevel="1" x14ac:dyDescent="0.25">
      <c r="A468" s="1393"/>
      <c r="B468" s="157"/>
      <c r="C468" s="385"/>
      <c r="D468" s="3787"/>
      <c r="E468" s="3785"/>
      <c r="F468" s="3647" t="str">
        <f t="shared" si="60"/>
        <v>CAC - SEER 19 ER1: MF_CompE</v>
      </c>
      <c r="G468" s="3648"/>
      <c r="H468" s="3649"/>
      <c r="I468" s="3056"/>
      <c r="J468" s="2725">
        <v>19</v>
      </c>
      <c r="K468" s="734"/>
      <c r="L468" s="3197"/>
      <c r="M468" s="385"/>
      <c r="N468" s="1746"/>
      <c r="O468" s="385"/>
      <c r="P468" s="157"/>
      <c r="Q468" s="157"/>
      <c r="R468" s="157"/>
      <c r="S468" s="157"/>
      <c r="T468" s="157"/>
      <c r="U468" s="157"/>
      <c r="V468" s="3590"/>
      <c r="W468" s="2125"/>
      <c r="X468" s="789"/>
      <c r="Y468" s="789"/>
      <c r="Z468" s="765">
        <v>19</v>
      </c>
      <c r="AA468" s="788">
        <v>19</v>
      </c>
      <c r="AB468" s="2657">
        <v>19</v>
      </c>
      <c r="AC468" s="2125"/>
      <c r="AD468" s="2125"/>
      <c r="AE468" s="2125"/>
      <c r="AF468" s="2125"/>
      <c r="AG468" s="2125"/>
      <c r="BB468" s="647"/>
      <c r="BC468" s="658"/>
      <c r="BD468" s="757"/>
      <c r="BE468" s="659"/>
    </row>
    <row r="469" spans="1:57" s="64" customFormat="1" outlineLevel="1" x14ac:dyDescent="0.25">
      <c r="A469" s="1393"/>
      <c r="B469" s="157"/>
      <c r="C469" s="385"/>
      <c r="D469" s="3787"/>
      <c r="E469" s="3785"/>
      <c r="F469" s="3647" t="str">
        <f t="shared" si="60"/>
        <v>CAC - SEER 19 ER2: MF_CompE</v>
      </c>
      <c r="G469" s="3648"/>
      <c r="H469" s="3649"/>
      <c r="I469" s="3056"/>
      <c r="J469" s="2725">
        <v>19</v>
      </c>
      <c r="K469" s="734"/>
      <c r="L469" s="3197"/>
      <c r="M469" s="385"/>
      <c r="N469" s="1746"/>
      <c r="O469" s="385"/>
      <c r="P469" s="157"/>
      <c r="Q469" s="157"/>
      <c r="R469" s="157"/>
      <c r="S469" s="157"/>
      <c r="T469" s="157"/>
      <c r="U469" s="157"/>
      <c r="V469" s="3590"/>
      <c r="W469" s="2125"/>
      <c r="X469" s="789"/>
      <c r="Y469" s="789"/>
      <c r="Z469" s="765">
        <v>19</v>
      </c>
      <c r="AA469" s="788">
        <v>19</v>
      </c>
      <c r="AB469" s="2657">
        <v>19</v>
      </c>
      <c r="AC469" s="2125"/>
      <c r="AD469" s="2125"/>
      <c r="AE469" s="2125"/>
      <c r="AF469" s="2125"/>
      <c r="AG469" s="2125"/>
      <c r="BB469" s="647"/>
      <c r="BC469" s="658"/>
      <c r="BD469" s="757"/>
      <c r="BE469" s="659"/>
    </row>
    <row r="470" spans="1:57" s="64" customFormat="1" outlineLevel="1" x14ac:dyDescent="0.25">
      <c r="A470" s="1393"/>
      <c r="B470" s="157"/>
      <c r="C470" s="385"/>
      <c r="D470" s="3787"/>
      <c r="E470" s="3785"/>
      <c r="F470" s="3647" t="str">
        <f t="shared" si="60"/>
        <v>CAC - SEER 19 ROF: MF</v>
      </c>
      <c r="G470" s="3648"/>
      <c r="H470" s="3649"/>
      <c r="I470" s="3056"/>
      <c r="J470" s="2725">
        <v>19</v>
      </c>
      <c r="K470" s="734"/>
      <c r="L470" s="3197"/>
      <c r="M470" s="385"/>
      <c r="N470" s="1746"/>
      <c r="O470" s="385"/>
      <c r="P470" s="157"/>
      <c r="Q470" s="157"/>
      <c r="R470" s="157"/>
      <c r="S470" s="157"/>
      <c r="T470" s="157"/>
      <c r="U470" s="157"/>
      <c r="V470" s="3590"/>
      <c r="W470" s="2125"/>
      <c r="X470" s="789"/>
      <c r="Y470" s="789"/>
      <c r="Z470" s="765">
        <v>19</v>
      </c>
      <c r="AA470" s="788">
        <v>19</v>
      </c>
      <c r="AB470" s="2657">
        <v>19</v>
      </c>
      <c r="AC470" s="2125"/>
      <c r="AD470" s="2125"/>
      <c r="AE470" s="2125"/>
      <c r="AF470" s="2125"/>
      <c r="AG470" s="2125"/>
      <c r="BB470" s="647"/>
      <c r="BC470" s="658"/>
      <c r="BD470" s="757"/>
      <c r="BE470" s="659"/>
    </row>
    <row r="471" spans="1:57" s="64" customFormat="1" outlineLevel="1" x14ac:dyDescent="0.25">
      <c r="A471" s="1393"/>
      <c r="B471" s="157"/>
      <c r="C471" s="385"/>
      <c r="D471" s="3787"/>
      <c r="E471" s="3785"/>
      <c r="F471" s="3647" t="str">
        <f t="shared" si="60"/>
        <v>CAC - SEER 19 ROF: MF_CompE</v>
      </c>
      <c r="G471" s="3648"/>
      <c r="H471" s="3649"/>
      <c r="I471" s="3056"/>
      <c r="J471" s="2725">
        <v>19</v>
      </c>
      <c r="K471" s="734"/>
      <c r="L471" s="3197"/>
      <c r="M471" s="385"/>
      <c r="N471" s="1746"/>
      <c r="O471" s="385"/>
      <c r="P471" s="157"/>
      <c r="Q471" s="157"/>
      <c r="R471" s="157"/>
      <c r="S471" s="157"/>
      <c r="T471" s="157"/>
      <c r="U471" s="157"/>
      <c r="V471" s="3590"/>
      <c r="W471" s="2125"/>
      <c r="X471" s="789"/>
      <c r="Y471" s="789"/>
      <c r="Z471" s="765">
        <v>19</v>
      </c>
      <c r="AA471" s="788">
        <v>19</v>
      </c>
      <c r="AB471" s="2657">
        <v>19</v>
      </c>
      <c r="AC471" s="2125"/>
      <c r="AD471" s="2125"/>
      <c r="AE471" s="2125"/>
      <c r="AF471" s="2125"/>
      <c r="AG471" s="2125"/>
      <c r="BB471" s="647"/>
      <c r="BC471" s="658"/>
      <c r="BD471" s="757"/>
      <c r="BE471" s="659"/>
    </row>
    <row r="472" spans="1:57" s="64" customFormat="1" outlineLevel="1" x14ac:dyDescent="0.25">
      <c r="A472" s="1393"/>
      <c r="B472" s="157"/>
      <c r="C472" s="385"/>
      <c r="D472" s="3787"/>
      <c r="E472" s="3785"/>
      <c r="F472" s="3647" t="str">
        <f t="shared" si="60"/>
        <v>CAC - SEER 20 ER1: SF</v>
      </c>
      <c r="G472" s="3648"/>
      <c r="H472" s="3649"/>
      <c r="I472" s="3056"/>
      <c r="J472" s="2725">
        <v>20</v>
      </c>
      <c r="K472" s="734"/>
      <c r="L472" s="3197"/>
      <c r="M472" s="385"/>
      <c r="N472" s="1746"/>
      <c r="O472" s="385"/>
      <c r="P472" s="157"/>
      <c r="Q472" s="157"/>
      <c r="R472" s="157"/>
      <c r="S472" s="157"/>
      <c r="T472" s="157"/>
      <c r="U472" s="157"/>
      <c r="V472" s="3590"/>
      <c r="W472" s="2125"/>
      <c r="X472" s="789"/>
      <c r="Y472" s="789"/>
      <c r="Z472" s="765">
        <v>20</v>
      </c>
      <c r="AA472" s="788">
        <v>20</v>
      </c>
      <c r="AB472" s="2657">
        <v>20</v>
      </c>
      <c r="AC472" s="2125"/>
      <c r="AD472" s="2125"/>
      <c r="AE472" s="2125"/>
      <c r="AF472" s="2125"/>
      <c r="AG472" s="2125"/>
      <c r="BB472" s="647"/>
      <c r="BC472" s="658"/>
      <c r="BD472" s="757"/>
      <c r="BE472" s="659"/>
    </row>
    <row r="473" spans="1:57" s="64" customFormat="1" outlineLevel="1" x14ac:dyDescent="0.25">
      <c r="A473" s="1393"/>
      <c r="B473" s="157"/>
      <c r="C473" s="385"/>
      <c r="D473" s="3787"/>
      <c r="E473" s="3785"/>
      <c r="F473" s="3647" t="str">
        <f t="shared" si="60"/>
        <v>CAC - SEER 20 ER2: SF</v>
      </c>
      <c r="G473" s="3648"/>
      <c r="H473" s="3649"/>
      <c r="I473" s="3056"/>
      <c r="J473" s="2725">
        <v>20</v>
      </c>
      <c r="K473" s="734"/>
      <c r="L473" s="3197"/>
      <c r="M473" s="385"/>
      <c r="N473" s="1746"/>
      <c r="O473" s="385"/>
      <c r="P473" s="157"/>
      <c r="Q473" s="157"/>
      <c r="R473" s="157"/>
      <c r="S473" s="157"/>
      <c r="T473" s="157"/>
      <c r="U473" s="157"/>
      <c r="V473" s="3590"/>
      <c r="W473" s="2125"/>
      <c r="X473" s="789"/>
      <c r="Y473" s="789"/>
      <c r="Z473" s="765">
        <v>20</v>
      </c>
      <c r="AA473" s="788">
        <v>20</v>
      </c>
      <c r="AB473" s="2657">
        <v>20</v>
      </c>
      <c r="AC473" s="2125"/>
      <c r="AD473" s="2125"/>
      <c r="AE473" s="2125"/>
      <c r="AF473" s="2125"/>
      <c r="AG473" s="2125"/>
      <c r="BB473" s="647"/>
      <c r="BC473" s="658"/>
      <c r="BD473" s="757"/>
      <c r="BE473" s="659"/>
    </row>
    <row r="474" spans="1:57" s="64" customFormat="1" outlineLevel="1" x14ac:dyDescent="0.25">
      <c r="A474" s="1393"/>
      <c r="B474" s="157"/>
      <c r="C474" s="385"/>
      <c r="D474" s="3787"/>
      <c r="E474" s="3785"/>
      <c r="F474" s="3647" t="str">
        <f t="shared" si="60"/>
        <v>CAC - SEER 20 ROF: SF</v>
      </c>
      <c r="G474" s="3648"/>
      <c r="H474" s="3649"/>
      <c r="I474" s="3056"/>
      <c r="J474" s="2725">
        <v>20</v>
      </c>
      <c r="K474" s="734"/>
      <c r="L474" s="3197"/>
      <c r="M474" s="385"/>
      <c r="N474" s="1746"/>
      <c r="O474" s="385"/>
      <c r="P474" s="157"/>
      <c r="Q474" s="157"/>
      <c r="R474" s="157"/>
      <c r="S474" s="157"/>
      <c r="T474" s="157"/>
      <c r="U474" s="157"/>
      <c r="V474" s="3590"/>
      <c r="W474" s="2125"/>
      <c r="X474" s="789"/>
      <c r="Y474" s="789"/>
      <c r="Z474" s="765">
        <v>20</v>
      </c>
      <c r="AA474" s="788">
        <v>20</v>
      </c>
      <c r="AB474" s="2657">
        <v>20</v>
      </c>
      <c r="AC474" s="2125"/>
      <c r="AD474" s="2125"/>
      <c r="AE474" s="2125"/>
      <c r="AF474" s="2125"/>
      <c r="AG474" s="2125"/>
      <c r="BB474" s="647"/>
      <c r="BC474" s="658"/>
      <c r="BD474" s="757"/>
      <c r="BE474" s="659"/>
    </row>
    <row r="475" spans="1:57" s="64" customFormat="1" outlineLevel="1" x14ac:dyDescent="0.25">
      <c r="A475" s="1393"/>
      <c r="B475" s="157"/>
      <c r="C475" s="385"/>
      <c r="D475" s="3787"/>
      <c r="E475" s="3785"/>
      <c r="F475" s="3647" t="str">
        <f t="shared" si="60"/>
        <v>CAC - SEER 20 ER1: MF</v>
      </c>
      <c r="G475" s="3648"/>
      <c r="H475" s="3649"/>
      <c r="I475" s="3056"/>
      <c r="J475" s="2725">
        <v>20</v>
      </c>
      <c r="K475" s="734"/>
      <c r="L475" s="3197"/>
      <c r="M475" s="385"/>
      <c r="N475" s="1746"/>
      <c r="O475" s="385"/>
      <c r="P475" s="157"/>
      <c r="Q475" s="157"/>
      <c r="R475" s="157"/>
      <c r="S475" s="157"/>
      <c r="T475" s="157"/>
      <c r="U475" s="157"/>
      <c r="V475" s="3590"/>
      <c r="W475" s="2125"/>
      <c r="X475" s="789"/>
      <c r="Y475" s="788"/>
      <c r="Z475" s="765">
        <v>20</v>
      </c>
      <c r="AA475" s="788">
        <v>20</v>
      </c>
      <c r="AB475" s="2657">
        <v>20</v>
      </c>
      <c r="AC475" s="2125"/>
      <c r="AD475" s="2125"/>
      <c r="AE475" s="2125"/>
      <c r="AF475" s="2125"/>
      <c r="AG475" s="2125"/>
      <c r="BB475" s="647"/>
      <c r="BC475" s="658"/>
      <c r="BD475" s="757"/>
      <c r="BE475" s="659"/>
    </row>
    <row r="476" spans="1:57" s="64" customFormat="1" outlineLevel="1" x14ac:dyDescent="0.25">
      <c r="A476" s="1393"/>
      <c r="B476" s="157"/>
      <c r="C476" s="385"/>
      <c r="D476" s="3787"/>
      <c r="E476" s="3785"/>
      <c r="F476" s="3647" t="str">
        <f t="shared" si="60"/>
        <v>CAC - SEER 20 ER2: MF</v>
      </c>
      <c r="G476" s="3648"/>
      <c r="H476" s="3649"/>
      <c r="I476" s="3056"/>
      <c r="J476" s="2725">
        <v>20</v>
      </c>
      <c r="K476" s="734"/>
      <c r="L476" s="3197"/>
      <c r="M476" s="385"/>
      <c r="N476" s="1746"/>
      <c r="O476" s="385"/>
      <c r="P476" s="157"/>
      <c r="Q476" s="157"/>
      <c r="R476" s="157"/>
      <c r="S476" s="157"/>
      <c r="T476" s="157"/>
      <c r="U476" s="157"/>
      <c r="V476" s="3590"/>
      <c r="W476" s="2125"/>
      <c r="X476" s="789"/>
      <c r="Y476" s="788"/>
      <c r="Z476" s="765">
        <v>20</v>
      </c>
      <c r="AA476" s="788">
        <v>20</v>
      </c>
      <c r="AB476" s="2657">
        <v>20</v>
      </c>
      <c r="AC476" s="2125"/>
      <c r="AD476" s="2125"/>
      <c r="AE476" s="2125"/>
      <c r="AF476" s="2125"/>
      <c r="AG476" s="2125"/>
      <c r="BB476" s="647"/>
      <c r="BC476" s="658"/>
      <c r="BD476" s="757"/>
      <c r="BE476" s="659"/>
    </row>
    <row r="477" spans="1:57" s="64" customFormat="1" outlineLevel="1" x14ac:dyDescent="0.25">
      <c r="A477" s="1393"/>
      <c r="B477" s="157"/>
      <c r="C477" s="385"/>
      <c r="D477" s="3787"/>
      <c r="E477" s="3785"/>
      <c r="F477" s="3647" t="str">
        <f t="shared" si="60"/>
        <v>CAC - SEER 20 ER1: MF_CompE</v>
      </c>
      <c r="G477" s="3648"/>
      <c r="H477" s="3649"/>
      <c r="I477" s="3056"/>
      <c r="J477" s="2725">
        <v>20</v>
      </c>
      <c r="K477" s="734"/>
      <c r="L477" s="3197"/>
      <c r="M477" s="385"/>
      <c r="N477" s="1746"/>
      <c r="O477" s="385"/>
      <c r="P477" s="157"/>
      <c r="Q477" s="157"/>
      <c r="R477" s="157"/>
      <c r="S477" s="157"/>
      <c r="T477" s="157"/>
      <c r="U477" s="157"/>
      <c r="V477" s="3590"/>
      <c r="W477" s="2125"/>
      <c r="X477" s="789"/>
      <c r="Y477" s="788"/>
      <c r="Z477" s="765">
        <v>20</v>
      </c>
      <c r="AA477" s="788">
        <v>20</v>
      </c>
      <c r="AB477" s="2657">
        <v>20</v>
      </c>
      <c r="AC477" s="2125"/>
      <c r="AD477" s="2125"/>
      <c r="AE477" s="2125"/>
      <c r="AF477" s="2125"/>
      <c r="AG477" s="2125"/>
      <c r="BB477" s="647"/>
      <c r="BC477" s="658"/>
      <c r="BD477" s="757"/>
      <c r="BE477" s="659"/>
    </row>
    <row r="478" spans="1:57" s="64" customFormat="1" outlineLevel="1" x14ac:dyDescent="0.25">
      <c r="A478" s="1393"/>
      <c r="B478" s="157"/>
      <c r="C478" s="385"/>
      <c r="D478" s="3787"/>
      <c r="E478" s="3785"/>
      <c r="F478" s="3647" t="str">
        <f t="shared" si="60"/>
        <v>CAC - SEER 20 ER2: MF_CompE</v>
      </c>
      <c r="G478" s="3648"/>
      <c r="H478" s="3649"/>
      <c r="I478" s="3056"/>
      <c r="J478" s="2725">
        <v>20</v>
      </c>
      <c r="K478" s="734"/>
      <c r="L478" s="3197"/>
      <c r="M478" s="385"/>
      <c r="N478" s="1746"/>
      <c r="O478" s="385"/>
      <c r="P478" s="157"/>
      <c r="Q478" s="157"/>
      <c r="R478" s="157"/>
      <c r="S478" s="157"/>
      <c r="T478" s="157"/>
      <c r="U478" s="157"/>
      <c r="V478" s="3590"/>
      <c r="W478" s="2125"/>
      <c r="X478" s="789"/>
      <c r="Y478" s="788"/>
      <c r="Z478" s="765">
        <v>20</v>
      </c>
      <c r="AA478" s="788">
        <v>20</v>
      </c>
      <c r="AB478" s="2657">
        <v>20</v>
      </c>
      <c r="AC478" s="2125"/>
      <c r="AD478" s="2125"/>
      <c r="AE478" s="2125"/>
      <c r="AF478" s="2125"/>
      <c r="AG478" s="2125"/>
      <c r="BB478" s="647"/>
      <c r="BC478" s="658"/>
      <c r="BD478" s="757"/>
      <c r="BE478" s="659"/>
    </row>
    <row r="479" spans="1:57" s="64" customFormat="1" outlineLevel="1" x14ac:dyDescent="0.25">
      <c r="A479" s="1393"/>
      <c r="B479" s="157"/>
      <c r="C479" s="385"/>
      <c r="D479" s="3787"/>
      <c r="E479" s="3785"/>
      <c r="F479" s="3647" t="str">
        <f t="shared" si="60"/>
        <v>CAC - SEER 20 ROF: MF</v>
      </c>
      <c r="G479" s="3648"/>
      <c r="H479" s="3649"/>
      <c r="I479" s="3056"/>
      <c r="J479" s="2725">
        <v>20</v>
      </c>
      <c r="K479" s="734"/>
      <c r="L479" s="3197"/>
      <c r="M479" s="385"/>
      <c r="N479" s="1746"/>
      <c r="O479" s="385"/>
      <c r="P479" s="157"/>
      <c r="Q479" s="157"/>
      <c r="R479" s="157"/>
      <c r="S479" s="157"/>
      <c r="T479" s="157"/>
      <c r="U479" s="157"/>
      <c r="V479" s="3590"/>
      <c r="W479" s="2125"/>
      <c r="X479" s="789"/>
      <c r="Y479" s="788"/>
      <c r="Z479" s="765">
        <v>20</v>
      </c>
      <c r="AA479" s="788">
        <v>20</v>
      </c>
      <c r="AB479" s="2657">
        <v>20</v>
      </c>
      <c r="AC479" s="2125"/>
      <c r="AD479" s="2125"/>
      <c r="AE479" s="2125"/>
      <c r="AF479" s="2125"/>
      <c r="AG479" s="2125"/>
      <c r="BB479" s="647"/>
      <c r="BC479" s="658"/>
      <c r="BD479" s="757"/>
      <c r="BE479" s="659"/>
    </row>
    <row r="480" spans="1:57" s="64" customFormat="1" outlineLevel="1" x14ac:dyDescent="0.25">
      <c r="A480" s="1393"/>
      <c r="B480" s="157"/>
      <c r="C480" s="385"/>
      <c r="D480" s="3787"/>
      <c r="E480" s="3785"/>
      <c r="F480" s="3647" t="str">
        <f t="shared" si="60"/>
        <v>CAC - SEER 20 ROF: MF_CompE</v>
      </c>
      <c r="G480" s="3648"/>
      <c r="H480" s="3649"/>
      <c r="I480" s="3056"/>
      <c r="J480" s="2725">
        <v>20</v>
      </c>
      <c r="K480" s="734"/>
      <c r="L480" s="3197"/>
      <c r="M480" s="385"/>
      <c r="N480" s="1746"/>
      <c r="O480" s="385"/>
      <c r="P480" s="157"/>
      <c r="Q480" s="157"/>
      <c r="R480" s="157"/>
      <c r="S480" s="157"/>
      <c r="T480" s="157"/>
      <c r="U480" s="157"/>
      <c r="V480" s="3590"/>
      <c r="W480" s="2125"/>
      <c r="X480" s="789"/>
      <c r="Y480" s="788"/>
      <c r="Z480" s="765">
        <v>20</v>
      </c>
      <c r="AA480" s="788">
        <v>20</v>
      </c>
      <c r="AB480" s="2657">
        <v>20</v>
      </c>
      <c r="AC480" s="2125"/>
      <c r="AD480" s="2125"/>
      <c r="AE480" s="2125"/>
      <c r="AF480" s="2125"/>
      <c r="AG480" s="2125"/>
      <c r="BB480" s="647"/>
      <c r="BC480" s="658"/>
      <c r="BD480" s="757"/>
      <c r="BE480" s="659"/>
    </row>
    <row r="481" spans="1:57" s="64" customFormat="1" outlineLevel="1" x14ac:dyDescent="0.25">
      <c r="A481" s="1393"/>
      <c r="B481" s="157"/>
      <c r="C481" s="385"/>
      <c r="D481" s="3787"/>
      <c r="E481" s="3785"/>
      <c r="F481" s="3647" t="str">
        <f t="shared" si="60"/>
        <v>CAC - SEER 21+ ER1: SF</v>
      </c>
      <c r="G481" s="3648"/>
      <c r="H481" s="3649"/>
      <c r="I481" s="3056"/>
      <c r="J481" s="2725">
        <v>21</v>
      </c>
      <c r="K481" s="734"/>
      <c r="L481" s="3197"/>
      <c r="M481" s="385"/>
      <c r="N481" s="1746"/>
      <c r="O481" s="385"/>
      <c r="P481" s="157"/>
      <c r="Q481" s="157"/>
      <c r="R481" s="157"/>
      <c r="S481" s="157"/>
      <c r="T481" s="157"/>
      <c r="U481" s="157"/>
      <c r="V481" s="3590"/>
      <c r="W481" s="2125"/>
      <c r="X481" s="788"/>
      <c r="Y481" s="788"/>
      <c r="Z481" s="765">
        <v>21</v>
      </c>
      <c r="AA481" s="788">
        <v>21</v>
      </c>
      <c r="AB481" s="2657">
        <v>21</v>
      </c>
      <c r="AC481" s="2125"/>
      <c r="AD481" s="2125"/>
      <c r="AE481" s="2125"/>
      <c r="AF481" s="2125"/>
      <c r="AG481" s="2125"/>
      <c r="BB481" s="647"/>
      <c r="BC481" s="658"/>
      <c r="BD481" s="757"/>
      <c r="BE481" s="659"/>
    </row>
    <row r="482" spans="1:57" s="64" customFormat="1" ht="14.45" customHeight="1" outlineLevel="1" x14ac:dyDescent="0.25">
      <c r="A482" s="1393"/>
      <c r="B482" s="157"/>
      <c r="C482" s="385"/>
      <c r="D482" s="3787"/>
      <c r="E482" s="3785"/>
      <c r="F482" s="3647" t="str">
        <f t="shared" si="60"/>
        <v>CAC - SEER 21+ ER2: SF</v>
      </c>
      <c r="G482" s="3648"/>
      <c r="H482" s="3649"/>
      <c r="I482" s="3056"/>
      <c r="J482" s="2725">
        <v>21</v>
      </c>
      <c r="K482" s="734"/>
      <c r="L482" s="3197"/>
      <c r="M482" s="385"/>
      <c r="N482" s="1746"/>
      <c r="O482" s="385"/>
      <c r="P482" s="157"/>
      <c r="Q482" s="157"/>
      <c r="R482" s="157"/>
      <c r="S482" s="157"/>
      <c r="T482" s="157"/>
      <c r="U482" s="157"/>
      <c r="V482" s="3590"/>
      <c r="W482" s="2125"/>
      <c r="X482" s="788"/>
      <c r="Y482" s="788"/>
      <c r="Z482" s="765">
        <v>21</v>
      </c>
      <c r="AA482" s="788">
        <v>21</v>
      </c>
      <c r="AB482" s="2657">
        <v>21</v>
      </c>
      <c r="AC482" s="2125"/>
      <c r="AD482" s="2125"/>
      <c r="AE482" s="2125"/>
      <c r="AF482" s="2125"/>
      <c r="AG482" s="2125"/>
      <c r="BB482" s="647"/>
      <c r="BC482" s="658"/>
      <c r="BD482" s="757"/>
      <c r="BE482" s="659"/>
    </row>
    <row r="483" spans="1:57" s="64" customFormat="1" ht="14.45" customHeight="1" outlineLevel="1" x14ac:dyDescent="0.25">
      <c r="A483" s="1393"/>
      <c r="B483" s="157"/>
      <c r="C483" s="385"/>
      <c r="D483" s="3787"/>
      <c r="E483" s="3785"/>
      <c r="F483" s="3647" t="str">
        <f t="shared" si="60"/>
        <v>CAC - SEER 21+ ROF: SF</v>
      </c>
      <c r="G483" s="3648"/>
      <c r="H483" s="3649"/>
      <c r="I483" s="3056"/>
      <c r="J483" s="2725">
        <v>21</v>
      </c>
      <c r="K483" s="734"/>
      <c r="L483" s="3197"/>
      <c r="M483" s="385"/>
      <c r="N483" s="1746"/>
      <c r="O483" s="385"/>
      <c r="P483" s="157"/>
      <c r="Q483" s="157"/>
      <c r="R483" s="157"/>
      <c r="S483" s="157"/>
      <c r="T483" s="157"/>
      <c r="U483" s="157"/>
      <c r="V483" s="3590"/>
      <c r="W483" s="2125"/>
      <c r="X483" s="788"/>
      <c r="Y483" s="788"/>
      <c r="Z483" s="765">
        <v>21</v>
      </c>
      <c r="AA483" s="788">
        <v>21</v>
      </c>
      <c r="AB483" s="2657">
        <v>21</v>
      </c>
      <c r="AC483" s="2125"/>
      <c r="AD483" s="2125"/>
      <c r="AE483" s="2125"/>
      <c r="AF483" s="2125"/>
      <c r="AG483" s="2125"/>
      <c r="BB483" s="647"/>
      <c r="BC483" s="658"/>
      <c r="BD483" s="757"/>
      <c r="BE483" s="659"/>
    </row>
    <row r="484" spans="1:57" s="64" customFormat="1" ht="14.45" customHeight="1" outlineLevel="1" x14ac:dyDescent="0.25">
      <c r="A484" s="1393"/>
      <c r="B484" s="157"/>
      <c r="C484" s="385"/>
      <c r="D484" s="3787"/>
      <c r="E484" s="3785"/>
      <c r="F484" s="3647" t="str">
        <f t="shared" si="60"/>
        <v>CAC - SEER 21+ ER1: MF</v>
      </c>
      <c r="G484" s="3648"/>
      <c r="H484" s="3649"/>
      <c r="I484" s="3056"/>
      <c r="J484" s="2725">
        <v>21</v>
      </c>
      <c r="K484" s="734"/>
      <c r="L484" s="3197"/>
      <c r="M484" s="385"/>
      <c r="N484" s="1746"/>
      <c r="O484" s="385"/>
      <c r="P484" s="157"/>
      <c r="Q484" s="157"/>
      <c r="R484" s="157"/>
      <c r="S484" s="157"/>
      <c r="T484" s="157"/>
      <c r="U484" s="157"/>
      <c r="V484" s="3590"/>
      <c r="W484" s="2125"/>
      <c r="X484" s="788"/>
      <c r="Y484" s="788"/>
      <c r="Z484" s="765">
        <v>21</v>
      </c>
      <c r="AA484" s="788">
        <v>21</v>
      </c>
      <c r="AB484" s="2657">
        <v>21</v>
      </c>
      <c r="AC484" s="2125"/>
      <c r="AD484" s="2125"/>
      <c r="AE484" s="2125"/>
      <c r="AF484" s="2125"/>
      <c r="AG484" s="2125"/>
      <c r="BB484" s="647"/>
      <c r="BC484" s="658"/>
      <c r="BD484" s="757"/>
      <c r="BE484" s="659"/>
    </row>
    <row r="485" spans="1:57" s="64" customFormat="1" ht="14.45" customHeight="1" outlineLevel="1" x14ac:dyDescent="0.25">
      <c r="A485" s="1393"/>
      <c r="B485" s="157"/>
      <c r="C485" s="385"/>
      <c r="D485" s="3787"/>
      <c r="E485" s="3785"/>
      <c r="F485" s="3647" t="str">
        <f t="shared" si="60"/>
        <v>CAC - SEER 21+ ER2: MF</v>
      </c>
      <c r="G485" s="3648"/>
      <c r="H485" s="3649"/>
      <c r="I485" s="3056"/>
      <c r="J485" s="2725">
        <v>21</v>
      </c>
      <c r="K485" s="734"/>
      <c r="L485" s="3197"/>
      <c r="M485" s="385"/>
      <c r="N485" s="1746"/>
      <c r="O485" s="385"/>
      <c r="P485" s="157"/>
      <c r="Q485" s="157"/>
      <c r="R485" s="157"/>
      <c r="S485" s="157"/>
      <c r="T485" s="157"/>
      <c r="U485" s="157"/>
      <c r="V485" s="3590"/>
      <c r="W485" s="2125"/>
      <c r="X485" s="788"/>
      <c r="Y485" s="788"/>
      <c r="Z485" s="765">
        <v>21</v>
      </c>
      <c r="AA485" s="788">
        <v>21</v>
      </c>
      <c r="AB485" s="2657">
        <v>21</v>
      </c>
      <c r="AC485" s="2125"/>
      <c r="AD485" s="2125"/>
      <c r="AE485" s="2125"/>
      <c r="AF485" s="2125"/>
      <c r="AG485" s="2125"/>
      <c r="BB485" s="647"/>
      <c r="BC485" s="658"/>
      <c r="BD485" s="757"/>
      <c r="BE485" s="659"/>
    </row>
    <row r="486" spans="1:57" s="64" customFormat="1" ht="14.45" customHeight="1" outlineLevel="1" x14ac:dyDescent="0.25">
      <c r="A486" s="1393"/>
      <c r="B486" s="157"/>
      <c r="C486" s="385"/>
      <c r="D486" s="3787"/>
      <c r="E486" s="3785"/>
      <c r="F486" s="3647" t="str">
        <f t="shared" si="60"/>
        <v>CAC - SEER 21+ ER1: MF_CompE</v>
      </c>
      <c r="G486" s="3648"/>
      <c r="H486" s="3649"/>
      <c r="I486" s="778"/>
      <c r="J486" s="2725">
        <v>21</v>
      </c>
      <c r="K486" s="3199"/>
      <c r="L486" s="3200"/>
      <c r="M486" s="385"/>
      <c r="N486" s="1746"/>
      <c r="O486" s="385"/>
      <c r="P486" s="157"/>
      <c r="Q486" s="157"/>
      <c r="R486" s="157"/>
      <c r="S486" s="157"/>
      <c r="T486" s="157"/>
      <c r="U486" s="157"/>
      <c r="V486" s="3590"/>
      <c r="W486" s="778"/>
      <c r="X486" s="790"/>
      <c r="Y486" s="790"/>
      <c r="Z486" s="777">
        <v>21</v>
      </c>
      <c r="AA486" s="790">
        <v>21</v>
      </c>
      <c r="AB486" s="2657">
        <v>21</v>
      </c>
      <c r="AC486" s="778"/>
      <c r="AD486" s="778"/>
      <c r="AE486" s="778"/>
      <c r="AF486" s="778"/>
      <c r="AG486" s="778"/>
      <c r="BB486" s="647"/>
      <c r="BC486" s="658"/>
      <c r="BD486" s="757"/>
      <c r="BE486" s="659"/>
    </row>
    <row r="487" spans="1:57" s="64" customFormat="1" ht="14.45" customHeight="1" outlineLevel="1" x14ac:dyDescent="0.25">
      <c r="A487" s="1393"/>
      <c r="B487" s="157"/>
      <c r="C487" s="385"/>
      <c r="D487" s="3787"/>
      <c r="E487" s="3785"/>
      <c r="F487" s="3647" t="str">
        <f t="shared" si="60"/>
        <v>CAC - SEER 21+ ER2: MF_CompE</v>
      </c>
      <c r="G487" s="3648"/>
      <c r="H487" s="3649"/>
      <c r="I487" s="778"/>
      <c r="J487" s="2725">
        <v>21</v>
      </c>
      <c r="K487" s="3199"/>
      <c r="L487" s="3200"/>
      <c r="M487" s="385"/>
      <c r="N487" s="1746"/>
      <c r="O487" s="385"/>
      <c r="P487" s="157"/>
      <c r="Q487" s="157"/>
      <c r="R487" s="157"/>
      <c r="S487" s="157"/>
      <c r="T487" s="157"/>
      <c r="U487" s="157"/>
      <c r="V487" s="3590"/>
      <c r="W487" s="778"/>
      <c r="X487" s="790"/>
      <c r="Y487" s="790"/>
      <c r="Z487" s="777">
        <v>21</v>
      </c>
      <c r="AA487" s="790">
        <v>21</v>
      </c>
      <c r="AB487" s="2657">
        <v>21</v>
      </c>
      <c r="AC487" s="778"/>
      <c r="AD487" s="778"/>
      <c r="AE487" s="778"/>
      <c r="AF487" s="778"/>
      <c r="AG487" s="778"/>
      <c r="BB487" s="647"/>
      <c r="BC487" s="658"/>
      <c r="BD487" s="757"/>
      <c r="BE487" s="659"/>
    </row>
    <row r="488" spans="1:57" s="64" customFormat="1" ht="15" customHeight="1" outlineLevel="1" x14ac:dyDescent="0.25">
      <c r="A488" s="1393"/>
      <c r="B488" s="157"/>
      <c r="C488" s="385"/>
      <c r="D488" s="3787"/>
      <c r="E488" s="3785"/>
      <c r="F488" s="3647" t="str">
        <f t="shared" si="60"/>
        <v>CAC - SEER 21+ ROF: MF</v>
      </c>
      <c r="G488" s="3648"/>
      <c r="H488" s="3649"/>
      <c r="I488" s="3056"/>
      <c r="J488" s="2725">
        <v>21</v>
      </c>
      <c r="K488" s="734"/>
      <c r="L488" s="3197"/>
      <c r="M488" s="385"/>
      <c r="N488" s="1746"/>
      <c r="O488" s="385"/>
      <c r="P488" s="157"/>
      <c r="Q488" s="157"/>
      <c r="R488" s="157"/>
      <c r="S488" s="157"/>
      <c r="T488" s="157"/>
      <c r="U488" s="157"/>
      <c r="V488" s="3590"/>
      <c r="W488" s="2125"/>
      <c r="X488" s="788"/>
      <c r="Y488" s="788"/>
      <c r="Z488" s="765">
        <v>21</v>
      </c>
      <c r="AA488" s="788">
        <v>21</v>
      </c>
      <c r="AB488" s="2657">
        <v>21</v>
      </c>
      <c r="AC488" s="2125"/>
      <c r="AD488" s="2125"/>
      <c r="AE488" s="2125"/>
      <c r="AF488" s="2125"/>
      <c r="AG488" s="2125"/>
      <c r="BB488" s="647"/>
      <c r="BC488" s="658"/>
      <c r="BD488" s="757"/>
      <c r="BE488" s="659"/>
    </row>
    <row r="489" spans="1:57" s="64" customFormat="1" ht="15" customHeight="1" outlineLevel="1" thickBot="1" x14ac:dyDescent="0.3">
      <c r="A489" s="1393"/>
      <c r="B489" s="157"/>
      <c r="C489" s="385"/>
      <c r="D489" s="3788"/>
      <c r="E489" s="3786"/>
      <c r="F489" s="3647" t="str">
        <f t="shared" si="60"/>
        <v>CAC - SEER 21+ ROF: MF_CompE</v>
      </c>
      <c r="G489" s="3648"/>
      <c r="H489" s="3649"/>
      <c r="I489" s="780"/>
      <c r="J489" s="2725">
        <v>21</v>
      </c>
      <c r="K489" s="3201"/>
      <c r="L489" s="3202"/>
      <c r="M489" s="385"/>
      <c r="N489" s="1746"/>
      <c r="O489" s="385"/>
      <c r="P489" s="157"/>
      <c r="Q489" s="157"/>
      <c r="R489" s="157"/>
      <c r="S489" s="157"/>
      <c r="T489" s="157"/>
      <c r="U489" s="157"/>
      <c r="V489" s="3591"/>
      <c r="W489" s="780"/>
      <c r="X489" s="791"/>
      <c r="Y489" s="791"/>
      <c r="Z489" s="779">
        <v>21</v>
      </c>
      <c r="AA489" s="791">
        <v>21</v>
      </c>
      <c r="AB489" s="2657">
        <v>21</v>
      </c>
      <c r="AC489" s="780"/>
      <c r="AD489" s="780"/>
      <c r="AE489" s="780"/>
      <c r="AF489" s="780"/>
      <c r="AG489" s="780"/>
      <c r="BB489" s="647"/>
      <c r="BC489" s="658"/>
      <c r="BD489" s="757"/>
      <c r="BE489" s="659"/>
    </row>
    <row r="490" spans="1:57" s="64" customFormat="1" ht="14.45" customHeight="1" outlineLevel="1" x14ac:dyDescent="0.25">
      <c r="A490" s="1393"/>
      <c r="B490" s="157"/>
      <c r="C490" s="385"/>
      <c r="D490" s="3588" t="s">
        <v>1201</v>
      </c>
      <c r="E490" s="3720" t="s">
        <v>1202</v>
      </c>
      <c r="F490" s="3654" t="str">
        <f t="shared" si="60"/>
        <v>CAC - SEER 14 ER1: SF</v>
      </c>
      <c r="G490" s="3655"/>
      <c r="H490" s="3656"/>
      <c r="I490" s="3065"/>
      <c r="J490" s="3194">
        <v>8.33</v>
      </c>
      <c r="K490" s="2530"/>
      <c r="L490" s="3203" t="s">
        <v>1089</v>
      </c>
      <c r="M490" s="385"/>
      <c r="N490" s="1746"/>
      <c r="O490" s="385"/>
      <c r="P490" s="157"/>
      <c r="Q490" s="157"/>
      <c r="R490" s="157"/>
      <c r="S490" s="157"/>
      <c r="T490" s="157"/>
      <c r="U490" s="157"/>
      <c r="V490" s="3588" t="str">
        <f>D490</f>
        <v>SEERexist</v>
      </c>
      <c r="W490" s="760">
        <v>8.1999999999999993</v>
      </c>
      <c r="X490" s="759">
        <v>8.33</v>
      </c>
      <c r="Y490" s="760">
        <v>8.33</v>
      </c>
      <c r="Z490" s="2428">
        <v>8.33</v>
      </c>
      <c r="AA490" s="2428">
        <v>8.33</v>
      </c>
      <c r="AB490" s="2656">
        <v>8.33</v>
      </c>
      <c r="AC490" s="760"/>
      <c r="AD490" s="760"/>
      <c r="AE490" s="760"/>
      <c r="AF490" s="760"/>
      <c r="AG490" s="760"/>
      <c r="BB490" s="647"/>
      <c r="BC490" s="658"/>
      <c r="BD490" s="757"/>
      <c r="BE490" s="659"/>
    </row>
    <row r="491" spans="1:57" s="64" customFormat="1" ht="14.45" customHeight="1" outlineLevel="1" x14ac:dyDescent="0.25">
      <c r="A491" s="1393"/>
      <c r="B491" s="157"/>
      <c r="C491" s="385"/>
      <c r="D491" s="3589"/>
      <c r="E491" s="3721"/>
      <c r="F491" s="3659" t="str">
        <f t="shared" si="60"/>
        <v>CAC - SEER 14 ER2: SF</v>
      </c>
      <c r="G491" s="3660"/>
      <c r="H491" s="3661"/>
      <c r="I491" s="3056"/>
      <c r="J491" s="2725"/>
      <c r="K491" s="163"/>
      <c r="L491" s="3204" t="s">
        <v>1089</v>
      </c>
      <c r="M491" s="385"/>
      <c r="N491" s="1746"/>
      <c r="O491" s="385"/>
      <c r="P491" s="157"/>
      <c r="Q491" s="157"/>
      <c r="R491" s="157"/>
      <c r="S491" s="157"/>
      <c r="T491" s="157"/>
      <c r="U491" s="157"/>
      <c r="V491" s="3589"/>
      <c r="W491" s="766"/>
      <c r="X491" s="766"/>
      <c r="Y491" s="766"/>
      <c r="Z491" s="2426"/>
      <c r="AA491" s="2426"/>
      <c r="AB491" s="2657"/>
      <c r="AC491" s="766"/>
      <c r="AD491" s="766"/>
      <c r="AE491" s="766"/>
      <c r="AF491" s="766"/>
      <c r="AG491" s="766"/>
      <c r="BB491" s="647"/>
      <c r="BC491" s="658"/>
      <c r="BD491" s="757"/>
      <c r="BE491" s="659"/>
    </row>
    <row r="492" spans="1:57" s="64" customFormat="1" ht="14.45" customHeight="1" outlineLevel="1" x14ac:dyDescent="0.25">
      <c r="A492" s="1393"/>
      <c r="B492" s="157"/>
      <c r="C492" s="385"/>
      <c r="D492" s="3589"/>
      <c r="E492" s="3721"/>
      <c r="F492" s="3659" t="str">
        <f t="shared" si="60"/>
        <v>CAC - SEER 14 ROF: SF</v>
      </c>
      <c r="G492" s="3660"/>
      <c r="H492" s="3661"/>
      <c r="I492" s="3056"/>
      <c r="J492" s="3198"/>
      <c r="K492" s="163"/>
      <c r="L492" s="3204" t="s">
        <v>1089</v>
      </c>
      <c r="M492" s="385"/>
      <c r="N492" s="1746"/>
      <c r="O492" s="385"/>
      <c r="P492" s="157"/>
      <c r="Q492" s="157"/>
      <c r="R492" s="157"/>
      <c r="S492" s="157"/>
      <c r="T492" s="157"/>
      <c r="U492" s="157"/>
      <c r="V492" s="3589"/>
      <c r="W492" s="766"/>
      <c r="X492" s="778"/>
      <c r="Y492" s="778"/>
      <c r="Z492" s="778"/>
      <c r="AA492" s="778"/>
      <c r="AB492" s="2659"/>
      <c r="AC492" s="766"/>
      <c r="AD492" s="766"/>
      <c r="AE492" s="766"/>
      <c r="AF492" s="766"/>
      <c r="AG492" s="766"/>
      <c r="BB492" s="647"/>
      <c r="BC492" s="658"/>
      <c r="BD492" s="757"/>
      <c r="BE492" s="659"/>
    </row>
    <row r="493" spans="1:57" s="64" customFormat="1" outlineLevel="1" x14ac:dyDescent="0.25">
      <c r="A493" s="1393"/>
      <c r="B493" s="157"/>
      <c r="C493" s="385"/>
      <c r="D493" s="3589"/>
      <c r="E493" s="3721"/>
      <c r="F493" s="3647" t="str">
        <f t="shared" si="60"/>
        <v>CAC - SEER 14 ER1: MF</v>
      </c>
      <c r="G493" s="3648"/>
      <c r="H493" s="3649"/>
      <c r="I493" s="3056"/>
      <c r="J493" s="2725">
        <v>8.33</v>
      </c>
      <c r="K493" s="163"/>
      <c r="L493" s="3204" t="s">
        <v>1089</v>
      </c>
      <c r="M493" s="385"/>
      <c r="N493" s="1746"/>
      <c r="O493" s="385"/>
      <c r="P493" s="157"/>
      <c r="Q493" s="157"/>
      <c r="R493" s="157"/>
      <c r="S493" s="157"/>
      <c r="T493" s="157"/>
      <c r="U493" s="157"/>
      <c r="V493" s="3589"/>
      <c r="W493" s="766">
        <v>8.1999999999999993</v>
      </c>
      <c r="X493" s="765">
        <v>8.33</v>
      </c>
      <c r="Y493" s="766">
        <v>8.33</v>
      </c>
      <c r="Z493" s="2426">
        <v>8.33</v>
      </c>
      <c r="AA493" s="2426">
        <v>8.33</v>
      </c>
      <c r="AB493" s="2657">
        <v>8.33</v>
      </c>
      <c r="AC493" s="766"/>
      <c r="AD493" s="766"/>
      <c r="AE493" s="766"/>
      <c r="AF493" s="766"/>
      <c r="AG493" s="766"/>
      <c r="BB493" s="647"/>
      <c r="BC493" s="658"/>
      <c r="BD493" s="757"/>
      <c r="BE493" s="659"/>
    </row>
    <row r="494" spans="1:57" s="64" customFormat="1" outlineLevel="1" x14ac:dyDescent="0.25">
      <c r="A494" s="1393"/>
      <c r="B494" s="157"/>
      <c r="C494" s="385"/>
      <c r="D494" s="3589"/>
      <c r="E494" s="3721"/>
      <c r="F494" s="3647" t="str">
        <f t="shared" si="60"/>
        <v>CAC - SEER 14 ER2: MF</v>
      </c>
      <c r="G494" s="3648"/>
      <c r="H494" s="3649"/>
      <c r="I494" s="3056"/>
      <c r="J494" s="2725"/>
      <c r="K494" s="163"/>
      <c r="L494" s="3204" t="s">
        <v>1089</v>
      </c>
      <c r="M494" s="385"/>
      <c r="N494" s="1746"/>
      <c r="O494" s="385"/>
      <c r="P494" s="157"/>
      <c r="Q494" s="157"/>
      <c r="R494" s="157"/>
      <c r="S494" s="157"/>
      <c r="T494" s="157"/>
      <c r="U494" s="157"/>
      <c r="V494" s="3589"/>
      <c r="W494" s="766"/>
      <c r="X494" s="766"/>
      <c r="Y494" s="766"/>
      <c r="Z494" s="2426"/>
      <c r="AA494" s="2426"/>
      <c r="AB494" s="2657"/>
      <c r="AC494" s="766"/>
      <c r="AD494" s="766"/>
      <c r="AE494" s="766"/>
      <c r="AF494" s="766"/>
      <c r="AG494" s="766"/>
      <c r="BB494" s="647"/>
      <c r="BC494" s="658"/>
      <c r="BD494" s="757"/>
      <c r="BE494" s="659"/>
    </row>
    <row r="495" spans="1:57" s="64" customFormat="1" outlineLevel="1" x14ac:dyDescent="0.25">
      <c r="A495" s="1393"/>
      <c r="B495" s="157"/>
      <c r="C495" s="385"/>
      <c r="D495" s="3589"/>
      <c r="E495" s="3721"/>
      <c r="F495" s="3647" t="str">
        <f t="shared" si="60"/>
        <v>CAC - SEER 14 ER1: MF_CompE</v>
      </c>
      <c r="G495" s="3648"/>
      <c r="H495" s="3649"/>
      <c r="I495" s="3056"/>
      <c r="J495" s="2725">
        <v>8.33</v>
      </c>
      <c r="K495" s="163"/>
      <c r="L495" s="3204" t="s">
        <v>1089</v>
      </c>
      <c r="M495" s="385"/>
      <c r="N495" s="1746"/>
      <c r="O495" s="385"/>
      <c r="P495" s="157"/>
      <c r="Q495" s="157"/>
      <c r="R495" s="157"/>
      <c r="S495" s="157"/>
      <c r="T495" s="157"/>
      <c r="U495" s="157"/>
      <c r="V495" s="3589"/>
      <c r="W495" s="766"/>
      <c r="X495" s="766"/>
      <c r="Y495" s="766">
        <v>8.33</v>
      </c>
      <c r="Z495" s="2426">
        <v>8.33</v>
      </c>
      <c r="AA495" s="2426">
        <v>8.33</v>
      </c>
      <c r="AB495" s="2657">
        <v>8.33</v>
      </c>
      <c r="AC495" s="766"/>
      <c r="AD495" s="766"/>
      <c r="AE495" s="766"/>
      <c r="AF495" s="766"/>
      <c r="AG495" s="766"/>
      <c r="BB495" s="647"/>
      <c r="BC495" s="658"/>
      <c r="BD495" s="757"/>
      <c r="BE495" s="659"/>
    </row>
    <row r="496" spans="1:57" s="64" customFormat="1" outlineLevel="1" x14ac:dyDescent="0.25">
      <c r="A496" s="1393"/>
      <c r="B496" s="157"/>
      <c r="C496" s="385"/>
      <c r="D496" s="3589"/>
      <c r="E496" s="3721"/>
      <c r="F496" s="3647" t="str">
        <f t="shared" si="60"/>
        <v>CAC - SEER 14 ER2: MF_CompE</v>
      </c>
      <c r="G496" s="3648"/>
      <c r="H496" s="3649"/>
      <c r="I496" s="3056"/>
      <c r="J496" s="2725"/>
      <c r="K496" s="163"/>
      <c r="L496" s="3204" t="s">
        <v>1089</v>
      </c>
      <c r="M496" s="385"/>
      <c r="N496" s="1746"/>
      <c r="O496" s="385"/>
      <c r="P496" s="157"/>
      <c r="Q496" s="157"/>
      <c r="R496" s="157"/>
      <c r="S496" s="157"/>
      <c r="T496" s="157"/>
      <c r="U496" s="157"/>
      <c r="V496" s="3589"/>
      <c r="W496" s="766"/>
      <c r="X496" s="766"/>
      <c r="Y496" s="766"/>
      <c r="Z496" s="2426"/>
      <c r="AA496" s="2426"/>
      <c r="AB496" s="2657"/>
      <c r="AC496" s="766"/>
      <c r="AD496" s="766"/>
      <c r="AE496" s="766"/>
      <c r="AF496" s="766"/>
      <c r="AG496" s="766"/>
      <c r="BB496" s="647"/>
      <c r="BC496" s="658"/>
      <c r="BD496" s="757"/>
      <c r="BE496" s="659"/>
    </row>
    <row r="497" spans="1:57" s="64" customFormat="1" outlineLevel="1" x14ac:dyDescent="0.25">
      <c r="A497" s="1393"/>
      <c r="B497" s="157"/>
      <c r="C497" s="385"/>
      <c r="D497" s="3589"/>
      <c r="E497" s="3721"/>
      <c r="F497" s="3647" t="str">
        <f t="shared" si="60"/>
        <v>CAC - SEER 14 ROF: MF</v>
      </c>
      <c r="G497" s="3648"/>
      <c r="H497" s="3649"/>
      <c r="I497" s="3056"/>
      <c r="J497" s="2725"/>
      <c r="K497" s="163"/>
      <c r="L497" s="3204" t="s">
        <v>1089</v>
      </c>
      <c r="M497" s="385"/>
      <c r="N497" s="1746"/>
      <c r="O497" s="385"/>
      <c r="P497" s="157"/>
      <c r="Q497" s="157"/>
      <c r="R497" s="157"/>
      <c r="S497" s="157"/>
      <c r="T497" s="157"/>
      <c r="U497" s="157"/>
      <c r="V497" s="3589"/>
      <c r="W497" s="766"/>
      <c r="X497" s="766"/>
      <c r="Y497" s="766"/>
      <c r="Z497" s="2426"/>
      <c r="AA497" s="2426"/>
      <c r="AB497" s="2657"/>
      <c r="AC497" s="766"/>
      <c r="AD497" s="766"/>
      <c r="AE497" s="766"/>
      <c r="AF497" s="766"/>
      <c r="AG497" s="766"/>
      <c r="BB497" s="647"/>
      <c r="BC497" s="658"/>
      <c r="BD497" s="757"/>
      <c r="BE497" s="659"/>
    </row>
    <row r="498" spans="1:57" s="64" customFormat="1" outlineLevel="1" x14ac:dyDescent="0.25">
      <c r="A498" s="1393"/>
      <c r="B498" s="157"/>
      <c r="C498" s="385"/>
      <c r="D498" s="3589"/>
      <c r="E498" s="3721"/>
      <c r="F498" s="3647" t="str">
        <f t="shared" si="60"/>
        <v>CAC - SEER 14 ROF: MF_CompE</v>
      </c>
      <c r="G498" s="3648"/>
      <c r="H498" s="3649"/>
      <c r="I498" s="3056"/>
      <c r="J498" s="2725"/>
      <c r="K498" s="163"/>
      <c r="L498" s="3204" t="s">
        <v>1089</v>
      </c>
      <c r="M498" s="385"/>
      <c r="N498" s="1746"/>
      <c r="O498" s="385"/>
      <c r="P498" s="157"/>
      <c r="Q498" s="157"/>
      <c r="R498" s="157"/>
      <c r="S498" s="157"/>
      <c r="T498" s="157"/>
      <c r="U498" s="157"/>
      <c r="V498" s="3589"/>
      <c r="W498" s="766"/>
      <c r="X498" s="766"/>
      <c r="Y498" s="766"/>
      <c r="Z498" s="2426"/>
      <c r="AA498" s="2426"/>
      <c r="AB498" s="2657"/>
      <c r="AC498" s="766"/>
      <c r="AD498" s="766"/>
      <c r="AE498" s="766"/>
      <c r="AF498" s="766"/>
      <c r="AG498" s="766"/>
      <c r="BB498" s="647"/>
      <c r="BC498" s="658"/>
      <c r="BD498" s="757"/>
      <c r="BE498" s="659"/>
    </row>
    <row r="499" spans="1:57" s="64" customFormat="1" outlineLevel="1" x14ac:dyDescent="0.25">
      <c r="A499" s="1393"/>
      <c r="B499" s="157"/>
      <c r="C499" s="385"/>
      <c r="D499" s="3589"/>
      <c r="E499" s="3721"/>
      <c r="F499" s="3647" t="str">
        <f t="shared" si="60"/>
        <v>CAC - SEER 15 ER1: SF</v>
      </c>
      <c r="G499" s="3648"/>
      <c r="H499" s="3649"/>
      <c r="I499" s="3056"/>
      <c r="J499" s="2725">
        <v>7.5274715869040065</v>
      </c>
      <c r="K499" s="163"/>
      <c r="L499" s="2718" t="s">
        <v>3674</v>
      </c>
      <c r="M499" s="385"/>
      <c r="N499" s="1746"/>
      <c r="O499" s="385"/>
      <c r="P499" s="157"/>
      <c r="Q499" s="157"/>
      <c r="R499" s="157"/>
      <c r="S499" s="157"/>
      <c r="T499" s="157"/>
      <c r="U499" s="157"/>
      <c r="V499" s="3589"/>
      <c r="W499" s="766">
        <v>8.1999999999999993</v>
      </c>
      <c r="X499" s="765">
        <v>8.33</v>
      </c>
      <c r="Y499" s="766">
        <v>8.33</v>
      </c>
      <c r="Z499" s="2426">
        <v>8.33</v>
      </c>
      <c r="AA499" s="2426">
        <v>8.33</v>
      </c>
      <c r="AB499" s="2658">
        <v>7.5274715869040065</v>
      </c>
      <c r="AC499" s="766"/>
      <c r="AD499" s="766"/>
      <c r="AE499" s="766"/>
      <c r="AF499" s="766"/>
      <c r="AG499" s="766"/>
      <c r="BB499" s="647"/>
      <c r="BC499" s="658"/>
      <c r="BD499" s="757"/>
      <c r="BE499" s="659"/>
    </row>
    <row r="500" spans="1:57" s="64" customFormat="1" outlineLevel="1" x14ac:dyDescent="0.25">
      <c r="A500" s="1393"/>
      <c r="B500" s="157"/>
      <c r="C500" s="385"/>
      <c r="D500" s="3589"/>
      <c r="E500" s="3721"/>
      <c r="F500" s="3647" t="str">
        <f t="shared" si="60"/>
        <v>CAC - SEER 15 ER2: SF</v>
      </c>
      <c r="G500" s="3648"/>
      <c r="H500" s="3649"/>
      <c r="I500" s="3056"/>
      <c r="J500" s="2725"/>
      <c r="K500" s="163"/>
      <c r="L500" s="2718" t="s">
        <v>3674</v>
      </c>
      <c r="M500" s="385"/>
      <c r="N500" s="1746"/>
      <c r="O500" s="385"/>
      <c r="P500" s="157"/>
      <c r="Q500" s="157"/>
      <c r="R500" s="157"/>
      <c r="S500" s="157"/>
      <c r="T500" s="157"/>
      <c r="U500" s="157"/>
      <c r="V500" s="3589"/>
      <c r="W500" s="766"/>
      <c r="X500" s="766"/>
      <c r="Y500" s="766"/>
      <c r="Z500" s="2426"/>
      <c r="AA500" s="2426"/>
      <c r="AB500" s="2657"/>
      <c r="AC500" s="766"/>
      <c r="AD500" s="766"/>
      <c r="AE500" s="766"/>
      <c r="AF500" s="766"/>
      <c r="AG500" s="766"/>
      <c r="BB500" s="647"/>
      <c r="BC500" s="658"/>
      <c r="BD500" s="757"/>
      <c r="BE500" s="659"/>
    </row>
    <row r="501" spans="1:57" s="64" customFormat="1" outlineLevel="1" x14ac:dyDescent="0.25">
      <c r="A501" s="1393"/>
      <c r="B501" s="157"/>
      <c r="C501" s="385"/>
      <c r="D501" s="3589"/>
      <c r="E501" s="3721"/>
      <c r="F501" s="3647" t="str">
        <f t="shared" si="60"/>
        <v>CAC - SEER 15 ROF: SF</v>
      </c>
      <c r="G501" s="3648"/>
      <c r="H501" s="3649"/>
      <c r="I501" s="3056"/>
      <c r="J501" s="2725"/>
      <c r="K501" s="163"/>
      <c r="L501" s="3204" t="s">
        <v>1089</v>
      </c>
      <c r="M501" s="385"/>
      <c r="N501" s="1746"/>
      <c r="O501" s="385"/>
      <c r="P501" s="157"/>
      <c r="Q501" s="157"/>
      <c r="R501" s="157"/>
      <c r="S501" s="157"/>
      <c r="T501" s="157"/>
      <c r="U501" s="157"/>
      <c r="V501" s="3589"/>
      <c r="W501" s="766"/>
      <c r="X501" s="766"/>
      <c r="Y501" s="766"/>
      <c r="Z501" s="2426"/>
      <c r="AA501" s="2426"/>
      <c r="AB501" s="2657"/>
      <c r="AC501" s="766"/>
      <c r="AD501" s="766"/>
      <c r="AE501" s="766"/>
      <c r="AF501" s="766"/>
      <c r="AG501" s="766"/>
      <c r="BB501" s="647"/>
      <c r="BC501" s="658"/>
      <c r="BD501" s="757"/>
      <c r="BE501" s="659"/>
    </row>
    <row r="502" spans="1:57" s="64" customFormat="1" outlineLevel="1" x14ac:dyDescent="0.25">
      <c r="A502" s="1393"/>
      <c r="B502" s="157"/>
      <c r="C502" s="385"/>
      <c r="D502" s="3589"/>
      <c r="E502" s="3721"/>
      <c r="F502" s="3647" t="str">
        <f t="shared" si="60"/>
        <v>CAC - SEER 15 ER1: MF</v>
      </c>
      <c r="G502" s="3648"/>
      <c r="H502" s="3649"/>
      <c r="I502" s="3056"/>
      <c r="J502" s="2725">
        <v>7.2595221661569607</v>
      </c>
      <c r="K502" s="163"/>
      <c r="L502" s="2718" t="s">
        <v>3674</v>
      </c>
      <c r="M502" s="385"/>
      <c r="N502" s="1746"/>
      <c r="O502" s="385"/>
      <c r="P502" s="157"/>
      <c r="Q502" s="157"/>
      <c r="R502" s="157"/>
      <c r="S502" s="157"/>
      <c r="T502" s="157"/>
      <c r="U502" s="157"/>
      <c r="V502" s="3589"/>
      <c r="W502" s="766">
        <v>8.1999999999999993</v>
      </c>
      <c r="X502" s="765">
        <v>8.33</v>
      </c>
      <c r="Y502" s="766">
        <v>8.33</v>
      </c>
      <c r="Z502" s="2426">
        <v>8.33</v>
      </c>
      <c r="AA502" s="2426">
        <v>8.33</v>
      </c>
      <c r="AB502" s="2658">
        <v>7.2595221661569607</v>
      </c>
      <c r="AC502" s="766"/>
      <c r="AD502" s="766"/>
      <c r="AE502" s="766"/>
      <c r="AF502" s="766"/>
      <c r="AG502" s="766"/>
      <c r="BB502" s="647"/>
      <c r="BC502" s="658"/>
      <c r="BD502" s="757"/>
      <c r="BE502" s="659"/>
    </row>
    <row r="503" spans="1:57" s="64" customFormat="1" outlineLevel="1" x14ac:dyDescent="0.25">
      <c r="A503" s="1393"/>
      <c r="B503" s="157"/>
      <c r="C503" s="385"/>
      <c r="D503" s="3589"/>
      <c r="E503" s="3721"/>
      <c r="F503" s="3647" t="str">
        <f t="shared" si="60"/>
        <v>CAC - SEER 15 ER2: MF</v>
      </c>
      <c r="G503" s="3648"/>
      <c r="H503" s="3649"/>
      <c r="I503" s="3056"/>
      <c r="J503" s="2725"/>
      <c r="K503" s="163"/>
      <c r="L503" s="2718" t="s">
        <v>3674</v>
      </c>
      <c r="M503" s="385"/>
      <c r="N503" s="1746"/>
      <c r="O503" s="385"/>
      <c r="P503" s="157"/>
      <c r="Q503" s="157"/>
      <c r="R503" s="157"/>
      <c r="S503" s="157"/>
      <c r="T503" s="157"/>
      <c r="U503" s="157"/>
      <c r="V503" s="3589"/>
      <c r="W503" s="766"/>
      <c r="X503" s="766"/>
      <c r="Y503" s="766"/>
      <c r="Z503" s="2426"/>
      <c r="AA503" s="2426"/>
      <c r="AB503" s="2657"/>
      <c r="AC503" s="766"/>
      <c r="AD503" s="766"/>
      <c r="AE503" s="766"/>
      <c r="AF503" s="766"/>
      <c r="AG503" s="766"/>
      <c r="BB503" s="647"/>
      <c r="BC503" s="658"/>
      <c r="BD503" s="757"/>
      <c r="BE503" s="659"/>
    </row>
    <row r="504" spans="1:57" s="64" customFormat="1" outlineLevel="1" x14ac:dyDescent="0.25">
      <c r="A504" s="1393"/>
      <c r="B504" s="157"/>
      <c r="C504" s="385"/>
      <c r="D504" s="3589"/>
      <c r="E504" s="3721"/>
      <c r="F504" s="3647" t="str">
        <f t="shared" si="60"/>
        <v>CAC - SEER 15 ER1: MF_CompE</v>
      </c>
      <c r="G504" s="3648"/>
      <c r="H504" s="3649"/>
      <c r="I504" s="3056"/>
      <c r="J504" s="2725">
        <v>7.2595221661569607</v>
      </c>
      <c r="K504" s="163"/>
      <c r="L504" s="3204" t="s">
        <v>3651</v>
      </c>
      <c r="M504" s="385"/>
      <c r="N504" s="1746"/>
      <c r="O504" s="385"/>
      <c r="P504" s="157"/>
      <c r="Q504" s="157"/>
      <c r="R504" s="157"/>
      <c r="S504" s="157"/>
      <c r="T504" s="157"/>
      <c r="U504" s="157"/>
      <c r="V504" s="3589"/>
      <c r="W504" s="766"/>
      <c r="X504" s="766"/>
      <c r="Y504" s="766">
        <v>8.33</v>
      </c>
      <c r="Z504" s="2426">
        <v>8.33</v>
      </c>
      <c r="AA504" s="2426">
        <v>8.33</v>
      </c>
      <c r="AB504" s="2658">
        <v>7.2595221661569607</v>
      </c>
      <c r="AC504" s="766"/>
      <c r="AD504" s="766"/>
      <c r="AE504" s="766"/>
      <c r="AF504" s="766"/>
      <c r="AG504" s="766"/>
      <c r="BB504" s="647"/>
      <c r="BC504" s="658"/>
      <c r="BD504" s="757"/>
      <c r="BE504" s="659"/>
    </row>
    <row r="505" spans="1:57" s="64" customFormat="1" outlineLevel="1" x14ac:dyDescent="0.25">
      <c r="A505" s="1393"/>
      <c r="B505" s="157"/>
      <c r="C505" s="385"/>
      <c r="D505" s="3589"/>
      <c r="E505" s="3721"/>
      <c r="F505" s="3647" t="str">
        <f t="shared" si="60"/>
        <v>CAC - SEER 15 ER2: MF_CompE</v>
      </c>
      <c r="G505" s="3648"/>
      <c r="H505" s="3649"/>
      <c r="I505" s="3056"/>
      <c r="J505" s="2725"/>
      <c r="K505" s="163"/>
      <c r="L505" s="3204" t="s">
        <v>3651</v>
      </c>
      <c r="M505" s="385"/>
      <c r="N505" s="1746"/>
      <c r="O505" s="385"/>
      <c r="P505" s="157"/>
      <c r="Q505" s="157"/>
      <c r="R505" s="157"/>
      <c r="S505" s="157"/>
      <c r="T505" s="157"/>
      <c r="U505" s="157"/>
      <c r="V505" s="3589"/>
      <c r="W505" s="766"/>
      <c r="X505" s="766"/>
      <c r="Y505" s="766"/>
      <c r="Z505" s="2426"/>
      <c r="AA505" s="2426"/>
      <c r="AB505" s="2657"/>
      <c r="AC505" s="766"/>
      <c r="AD505" s="766"/>
      <c r="AE505" s="766"/>
      <c r="AF505" s="766"/>
      <c r="AG505" s="766"/>
      <c r="BB505" s="647"/>
      <c r="BC505" s="658"/>
      <c r="BD505" s="757"/>
      <c r="BE505" s="659"/>
    </row>
    <row r="506" spans="1:57" s="64" customFormat="1" outlineLevel="1" x14ac:dyDescent="0.25">
      <c r="A506" s="1393"/>
      <c r="B506" s="157"/>
      <c r="C506" s="385"/>
      <c r="D506" s="3589"/>
      <c r="E506" s="3721"/>
      <c r="F506" s="3647" t="str">
        <f t="shared" si="60"/>
        <v>CAC - SEER 15 ROF: MF</v>
      </c>
      <c r="G506" s="3648"/>
      <c r="H506" s="3649"/>
      <c r="I506" s="3056"/>
      <c r="J506" s="2725"/>
      <c r="K506" s="163"/>
      <c r="L506" s="3204" t="s">
        <v>1089</v>
      </c>
      <c r="M506" s="385"/>
      <c r="N506" s="1746"/>
      <c r="O506" s="385"/>
      <c r="P506" s="157"/>
      <c r="Q506" s="157"/>
      <c r="R506" s="157"/>
      <c r="S506" s="157"/>
      <c r="T506" s="157"/>
      <c r="U506" s="157"/>
      <c r="V506" s="3589"/>
      <c r="W506" s="766"/>
      <c r="X506" s="766"/>
      <c r="Y506" s="766"/>
      <c r="Z506" s="2426"/>
      <c r="AA506" s="2426"/>
      <c r="AB506" s="2657"/>
      <c r="AC506" s="766"/>
      <c r="AD506" s="766"/>
      <c r="AE506" s="766"/>
      <c r="AF506" s="766"/>
      <c r="AG506" s="766"/>
      <c r="BB506" s="647"/>
      <c r="BC506" s="658"/>
      <c r="BD506" s="757"/>
      <c r="BE506" s="659"/>
    </row>
    <row r="507" spans="1:57" s="64" customFormat="1" outlineLevel="1" x14ac:dyDescent="0.25">
      <c r="A507" s="1393"/>
      <c r="B507" s="157"/>
      <c r="C507" s="385"/>
      <c r="D507" s="3589"/>
      <c r="E507" s="3721"/>
      <c r="F507" s="3647" t="str">
        <f t="shared" si="60"/>
        <v>CAC - SEER 15 ROF: MF_CompE</v>
      </c>
      <c r="G507" s="3648"/>
      <c r="H507" s="3649"/>
      <c r="I507" s="3056"/>
      <c r="J507" s="2725"/>
      <c r="K507" s="163"/>
      <c r="L507" s="3204" t="s">
        <v>1089</v>
      </c>
      <c r="M507" s="385"/>
      <c r="N507" s="1746"/>
      <c r="O507" s="385"/>
      <c r="P507" s="157"/>
      <c r="Q507" s="157"/>
      <c r="R507" s="157"/>
      <c r="S507" s="157"/>
      <c r="T507" s="157"/>
      <c r="U507" s="157"/>
      <c r="V507" s="3589"/>
      <c r="W507" s="766"/>
      <c r="X507" s="766"/>
      <c r="Y507" s="766"/>
      <c r="Z507" s="2426"/>
      <c r="AA507" s="2426"/>
      <c r="AB507" s="2657"/>
      <c r="AC507" s="766"/>
      <c r="AD507" s="766"/>
      <c r="AE507" s="766"/>
      <c r="AF507" s="766"/>
      <c r="AG507" s="766"/>
      <c r="BB507" s="647"/>
      <c r="BC507" s="658"/>
      <c r="BD507" s="757"/>
      <c r="BE507" s="659"/>
    </row>
    <row r="508" spans="1:57" s="64" customFormat="1" outlineLevel="1" x14ac:dyDescent="0.25">
      <c r="A508" s="1393"/>
      <c r="B508" s="157"/>
      <c r="C508" s="385"/>
      <c r="D508" s="3589"/>
      <c r="E508" s="3721"/>
      <c r="F508" s="3647" t="str">
        <f t="shared" si="60"/>
        <v>CAC - SEER 16 ER1: SF</v>
      </c>
      <c r="G508" s="3648"/>
      <c r="H508" s="3649"/>
      <c r="I508" s="3056"/>
      <c r="J508" s="2725">
        <v>7.508722873173407</v>
      </c>
      <c r="K508" s="163"/>
      <c r="L508" s="2718" t="s">
        <v>3674</v>
      </c>
      <c r="M508" s="385"/>
      <c r="N508" s="1746"/>
      <c r="O508" s="385"/>
      <c r="P508" s="157"/>
      <c r="Q508" s="157"/>
      <c r="R508" s="157"/>
      <c r="S508" s="157"/>
      <c r="T508" s="157"/>
      <c r="U508" s="157"/>
      <c r="V508" s="3589"/>
      <c r="W508" s="766">
        <v>8.1999999999999993</v>
      </c>
      <c r="X508" s="765">
        <v>8.33</v>
      </c>
      <c r="Y508" s="766">
        <v>8.33</v>
      </c>
      <c r="Z508" s="2426">
        <v>8.33</v>
      </c>
      <c r="AA508" s="2426">
        <v>8.33</v>
      </c>
      <c r="AB508" s="2658">
        <v>7.508722873173407</v>
      </c>
      <c r="AC508" s="766"/>
      <c r="AD508" s="766"/>
      <c r="AE508" s="766"/>
      <c r="AF508" s="766"/>
      <c r="AG508" s="766"/>
      <c r="BB508" s="647"/>
      <c r="BC508" s="658"/>
      <c r="BD508" s="757"/>
      <c r="BE508" s="659"/>
    </row>
    <row r="509" spans="1:57" s="64" customFormat="1" outlineLevel="1" x14ac:dyDescent="0.25">
      <c r="A509" s="1393"/>
      <c r="B509" s="157"/>
      <c r="C509" s="385"/>
      <c r="D509" s="3589"/>
      <c r="E509" s="3721"/>
      <c r="F509" s="3647" t="str">
        <f t="shared" si="60"/>
        <v>CAC - SEER 16 ER2: SF</v>
      </c>
      <c r="G509" s="3648"/>
      <c r="H509" s="3649"/>
      <c r="I509" s="3056"/>
      <c r="J509" s="2725"/>
      <c r="K509" s="163"/>
      <c r="L509" s="2718" t="s">
        <v>3674</v>
      </c>
      <c r="M509" s="385"/>
      <c r="N509" s="1746"/>
      <c r="O509" s="385"/>
      <c r="P509" s="157"/>
      <c r="Q509" s="157"/>
      <c r="R509" s="157"/>
      <c r="S509" s="157"/>
      <c r="T509" s="157"/>
      <c r="U509" s="157"/>
      <c r="V509" s="3589"/>
      <c r="W509" s="766"/>
      <c r="X509" s="766"/>
      <c r="Y509" s="766"/>
      <c r="Z509" s="2426"/>
      <c r="AA509" s="2426"/>
      <c r="AB509" s="2657"/>
      <c r="AC509" s="766"/>
      <c r="AD509" s="766"/>
      <c r="AE509" s="766"/>
      <c r="AF509" s="766"/>
      <c r="AG509" s="766"/>
      <c r="BB509" s="647"/>
      <c r="BC509" s="658"/>
      <c r="BD509" s="757"/>
      <c r="BE509" s="659"/>
    </row>
    <row r="510" spans="1:57" s="64" customFormat="1" outlineLevel="1" x14ac:dyDescent="0.25">
      <c r="A510" s="1393"/>
      <c r="B510" s="157"/>
      <c r="C510" s="385"/>
      <c r="D510" s="3589"/>
      <c r="E510" s="3721"/>
      <c r="F510" s="3647" t="str">
        <f t="shared" si="60"/>
        <v>CAC - SEER 16 ROF: SF</v>
      </c>
      <c r="G510" s="3648"/>
      <c r="H510" s="3649"/>
      <c r="I510" s="3056"/>
      <c r="J510" s="2725"/>
      <c r="K510" s="163"/>
      <c r="L510" s="3204" t="s">
        <v>1089</v>
      </c>
      <c r="M510" s="385"/>
      <c r="N510" s="1746"/>
      <c r="O510" s="385"/>
      <c r="P510" s="157"/>
      <c r="Q510" s="157"/>
      <c r="R510" s="157"/>
      <c r="S510" s="157"/>
      <c r="T510" s="157"/>
      <c r="U510" s="157"/>
      <c r="V510" s="3589"/>
      <c r="W510" s="766"/>
      <c r="X510" s="766"/>
      <c r="Y510" s="766"/>
      <c r="Z510" s="2426"/>
      <c r="AA510" s="2426"/>
      <c r="AB510" s="2657"/>
      <c r="AC510" s="766"/>
      <c r="AD510" s="766"/>
      <c r="AE510" s="766"/>
      <c r="AF510" s="766"/>
      <c r="AG510" s="766"/>
      <c r="BB510" s="647"/>
      <c r="BC510" s="658"/>
      <c r="BD510" s="757"/>
      <c r="BE510" s="659"/>
    </row>
    <row r="511" spans="1:57" s="64" customFormat="1" outlineLevel="1" x14ac:dyDescent="0.25">
      <c r="A511" s="1393"/>
      <c r="B511" s="157"/>
      <c r="C511" s="385"/>
      <c r="D511" s="3589"/>
      <c r="E511" s="3721"/>
      <c r="F511" s="3647" t="str">
        <f t="shared" si="60"/>
        <v>CAC - SEER 16 ER1: MF</v>
      </c>
      <c r="G511" s="3648"/>
      <c r="H511" s="3649"/>
      <c r="I511" s="3056"/>
      <c r="J511" s="2725">
        <v>7.983392742151227</v>
      </c>
      <c r="K511" s="163"/>
      <c r="L511" s="2718" t="s">
        <v>3674</v>
      </c>
      <c r="M511" s="385"/>
      <c r="N511" s="1746"/>
      <c r="O511" s="385"/>
      <c r="P511" s="157"/>
      <c r="Q511" s="157"/>
      <c r="R511" s="157"/>
      <c r="S511" s="157"/>
      <c r="T511" s="157"/>
      <c r="U511" s="157"/>
      <c r="V511" s="3589"/>
      <c r="W511" s="766">
        <v>8.1999999999999993</v>
      </c>
      <c r="X511" s="765">
        <v>8.33</v>
      </c>
      <c r="Y511" s="766">
        <v>8.33</v>
      </c>
      <c r="Z511" s="2426">
        <v>8.33</v>
      </c>
      <c r="AA511" s="2426">
        <v>8.33</v>
      </c>
      <c r="AB511" s="2658">
        <v>7.983392742151227</v>
      </c>
      <c r="AC511" s="766"/>
      <c r="AD511" s="766"/>
      <c r="AE511" s="766"/>
      <c r="AF511" s="766"/>
      <c r="AG511" s="766"/>
      <c r="BB511" s="647"/>
      <c r="BC511" s="658"/>
      <c r="BD511" s="757"/>
      <c r="BE511" s="659"/>
    </row>
    <row r="512" spans="1:57" s="64" customFormat="1" outlineLevel="1" x14ac:dyDescent="0.25">
      <c r="A512" s="1393"/>
      <c r="B512" s="157"/>
      <c r="C512" s="385"/>
      <c r="D512" s="3589"/>
      <c r="E512" s="3721"/>
      <c r="F512" s="3647" t="str">
        <f t="shared" si="60"/>
        <v>CAC - SEER 16 ER2: MF</v>
      </c>
      <c r="G512" s="3648"/>
      <c r="H512" s="3649"/>
      <c r="I512" s="3056"/>
      <c r="J512" s="2725"/>
      <c r="K512" s="163"/>
      <c r="L512" s="2718" t="s">
        <v>3674</v>
      </c>
      <c r="M512" s="385"/>
      <c r="N512" s="1746"/>
      <c r="O512" s="385"/>
      <c r="P512" s="157"/>
      <c r="Q512" s="157"/>
      <c r="R512" s="157"/>
      <c r="S512" s="157"/>
      <c r="T512" s="157"/>
      <c r="U512" s="157"/>
      <c r="V512" s="3589"/>
      <c r="W512" s="766"/>
      <c r="X512" s="766"/>
      <c r="Y512" s="766"/>
      <c r="Z512" s="2426"/>
      <c r="AA512" s="2426"/>
      <c r="AB512" s="2657"/>
      <c r="AC512" s="766"/>
      <c r="AD512" s="766"/>
      <c r="AE512" s="766"/>
      <c r="AF512" s="766"/>
      <c r="AG512" s="766"/>
      <c r="BB512" s="647"/>
      <c r="BC512" s="658"/>
      <c r="BD512" s="757"/>
      <c r="BE512" s="659"/>
    </row>
    <row r="513" spans="1:57" s="64" customFormat="1" outlineLevel="1" x14ac:dyDescent="0.25">
      <c r="A513" s="1393"/>
      <c r="B513" s="157"/>
      <c r="C513" s="385"/>
      <c r="D513" s="3589"/>
      <c r="E513" s="3721"/>
      <c r="F513" s="3647" t="str">
        <f t="shared" si="60"/>
        <v>CAC - SEER 16 ER1: MF_CompE</v>
      </c>
      <c r="G513" s="3648"/>
      <c r="H513" s="3649"/>
      <c r="I513" s="3056"/>
      <c r="J513" s="2725">
        <f>J511</f>
        <v>7.983392742151227</v>
      </c>
      <c r="K513" s="163"/>
      <c r="L513" s="3204" t="s">
        <v>3651</v>
      </c>
      <c r="M513" s="385"/>
      <c r="N513" s="1746"/>
      <c r="O513" s="385"/>
      <c r="P513" s="157"/>
      <c r="Q513" s="157"/>
      <c r="R513" s="157"/>
      <c r="S513" s="157"/>
      <c r="T513" s="157"/>
      <c r="U513" s="157"/>
      <c r="V513" s="3589"/>
      <c r="W513" s="766"/>
      <c r="X513" s="766"/>
      <c r="Y513" s="766">
        <v>8.33</v>
      </c>
      <c r="Z513" s="2426">
        <v>8.33</v>
      </c>
      <c r="AA513" s="2426">
        <v>8.33</v>
      </c>
      <c r="AB513" s="2658">
        <v>7.983392742151227</v>
      </c>
      <c r="AC513" s="766"/>
      <c r="AD513" s="766"/>
      <c r="AE513" s="766"/>
      <c r="AF513" s="766"/>
      <c r="AG513" s="766"/>
      <c r="BB513" s="647"/>
      <c r="BC513" s="658"/>
      <c r="BD513" s="757"/>
      <c r="BE513" s="659"/>
    </row>
    <row r="514" spans="1:57" s="64" customFormat="1" outlineLevel="1" x14ac:dyDescent="0.25">
      <c r="A514" s="1393"/>
      <c r="B514" s="157"/>
      <c r="C514" s="385"/>
      <c r="D514" s="3589"/>
      <c r="E514" s="3721"/>
      <c r="F514" s="3647" t="str">
        <f t="shared" si="60"/>
        <v>CAC - SEER 16 ER2: MF_CompE</v>
      </c>
      <c r="G514" s="3648"/>
      <c r="H514" s="3649"/>
      <c r="I514" s="3056"/>
      <c r="J514" s="2725"/>
      <c r="K514" s="163"/>
      <c r="L514" s="3204" t="s">
        <v>3651</v>
      </c>
      <c r="M514" s="385"/>
      <c r="N514" s="1746"/>
      <c r="O514" s="385"/>
      <c r="P514" s="157"/>
      <c r="Q514" s="157"/>
      <c r="R514" s="157"/>
      <c r="S514" s="157"/>
      <c r="T514" s="157"/>
      <c r="U514" s="157"/>
      <c r="V514" s="3589"/>
      <c r="W514" s="766"/>
      <c r="X514" s="766"/>
      <c r="Y514" s="766"/>
      <c r="Z514" s="2426"/>
      <c r="AA514" s="2426"/>
      <c r="AB514" s="2657"/>
      <c r="AC514" s="766"/>
      <c r="AD514" s="766"/>
      <c r="AE514" s="766"/>
      <c r="AF514" s="766"/>
      <c r="AG514" s="766"/>
      <c r="BB514" s="647"/>
      <c r="BC514" s="658"/>
      <c r="BD514" s="757"/>
      <c r="BE514" s="659"/>
    </row>
    <row r="515" spans="1:57" s="64" customFormat="1" outlineLevel="1" x14ac:dyDescent="0.25">
      <c r="A515" s="1393"/>
      <c r="B515" s="157"/>
      <c r="C515" s="385"/>
      <c r="D515" s="3589"/>
      <c r="E515" s="3721"/>
      <c r="F515" s="3647" t="str">
        <f t="shared" si="60"/>
        <v>CAC - SEER 16 ROF: MF</v>
      </c>
      <c r="G515" s="3648"/>
      <c r="H515" s="3649"/>
      <c r="I515" s="3056"/>
      <c r="J515" s="2725"/>
      <c r="K515" s="163"/>
      <c r="L515" s="3204" t="s">
        <v>1089</v>
      </c>
      <c r="M515" s="385"/>
      <c r="N515" s="1746"/>
      <c r="O515" s="385"/>
      <c r="P515" s="157"/>
      <c r="Q515" s="157"/>
      <c r="R515" s="157"/>
      <c r="S515" s="157"/>
      <c r="T515" s="157"/>
      <c r="U515" s="157"/>
      <c r="V515" s="3589"/>
      <c r="W515" s="766"/>
      <c r="X515" s="766"/>
      <c r="Y515" s="766"/>
      <c r="Z515" s="2426"/>
      <c r="AA515" s="2426"/>
      <c r="AB515" s="2657"/>
      <c r="AC515" s="766"/>
      <c r="AD515" s="766"/>
      <c r="AE515" s="766"/>
      <c r="AF515" s="766"/>
      <c r="AG515" s="766"/>
      <c r="BB515" s="647"/>
      <c r="BC515" s="658"/>
      <c r="BD515" s="757"/>
      <c r="BE515" s="659"/>
    </row>
    <row r="516" spans="1:57" s="64" customFormat="1" outlineLevel="1" x14ac:dyDescent="0.25">
      <c r="A516" s="1393"/>
      <c r="B516" s="157"/>
      <c r="C516" s="385"/>
      <c r="D516" s="3589"/>
      <c r="E516" s="3721"/>
      <c r="F516" s="3647" t="str">
        <f t="shared" si="60"/>
        <v>CAC - SEER 16 ROF: MF_CompE</v>
      </c>
      <c r="G516" s="3648"/>
      <c r="H516" s="3649"/>
      <c r="I516" s="3056"/>
      <c r="J516" s="2725"/>
      <c r="K516" s="163"/>
      <c r="L516" s="3204" t="s">
        <v>1089</v>
      </c>
      <c r="M516" s="385"/>
      <c r="N516" s="1746"/>
      <c r="O516" s="385"/>
      <c r="P516" s="157"/>
      <c r="Q516" s="157"/>
      <c r="R516" s="157"/>
      <c r="S516" s="157"/>
      <c r="T516" s="157"/>
      <c r="U516" s="157"/>
      <c r="V516" s="3589"/>
      <c r="W516" s="766"/>
      <c r="X516" s="766"/>
      <c r="Y516" s="766"/>
      <c r="Z516" s="2426"/>
      <c r="AA516" s="2426"/>
      <c r="AB516" s="2657"/>
      <c r="AC516" s="766"/>
      <c r="AD516" s="766"/>
      <c r="AE516" s="766"/>
      <c r="AF516" s="766"/>
      <c r="AG516" s="766"/>
      <c r="BB516" s="647"/>
      <c r="BC516" s="658"/>
      <c r="BD516" s="757"/>
      <c r="BE516" s="659"/>
    </row>
    <row r="517" spans="1:57" s="64" customFormat="1" outlineLevel="1" x14ac:dyDescent="0.25">
      <c r="A517" s="1393"/>
      <c r="B517" s="157"/>
      <c r="C517" s="385"/>
      <c r="D517" s="3589"/>
      <c r="E517" s="3721"/>
      <c r="F517" s="3647" t="str">
        <f t="shared" si="60"/>
        <v>CAC - SEER 17 ER1: SF</v>
      </c>
      <c r="G517" s="3648"/>
      <c r="H517" s="3649"/>
      <c r="I517" s="3056"/>
      <c r="J517" s="2725">
        <v>7.5482963446217566</v>
      </c>
      <c r="K517" s="163"/>
      <c r="L517" s="2718" t="s">
        <v>3674</v>
      </c>
      <c r="M517" s="385"/>
      <c r="N517" s="1746"/>
      <c r="O517" s="385"/>
      <c r="P517" s="157"/>
      <c r="Q517" s="157"/>
      <c r="R517" s="157"/>
      <c r="S517" s="157"/>
      <c r="T517" s="157"/>
      <c r="U517" s="157"/>
      <c r="V517" s="3589"/>
      <c r="W517" s="766">
        <v>8.1999999999999993</v>
      </c>
      <c r="X517" s="765">
        <v>8.33</v>
      </c>
      <c r="Y517" s="766">
        <v>8.33</v>
      </c>
      <c r="Z517" s="2426">
        <v>8.33</v>
      </c>
      <c r="AA517" s="2426">
        <v>8.33</v>
      </c>
      <c r="AB517" s="2658">
        <v>7.5482963446217566</v>
      </c>
      <c r="AC517" s="766"/>
      <c r="AD517" s="766"/>
      <c r="AE517" s="766"/>
      <c r="AF517" s="766"/>
      <c r="AG517" s="766"/>
      <c r="BB517" s="647"/>
      <c r="BC517" s="658"/>
      <c r="BD517" s="757"/>
      <c r="BE517" s="659"/>
    </row>
    <row r="518" spans="1:57" s="64" customFormat="1" ht="14.45" customHeight="1" outlineLevel="1" x14ac:dyDescent="0.25">
      <c r="A518" s="1393"/>
      <c r="B518" s="157"/>
      <c r="C518" s="385"/>
      <c r="D518" s="3589"/>
      <c r="E518" s="3721"/>
      <c r="F518" s="3647" t="str">
        <f t="shared" si="60"/>
        <v>CAC - SEER 17 ER2: SF</v>
      </c>
      <c r="G518" s="3648"/>
      <c r="H518" s="3649"/>
      <c r="I518" s="3056"/>
      <c r="J518" s="2725"/>
      <c r="K518" s="163"/>
      <c r="L518" s="2718" t="s">
        <v>3674</v>
      </c>
      <c r="M518" s="385"/>
      <c r="N518" s="1746"/>
      <c r="O518" s="385"/>
      <c r="P518" s="157"/>
      <c r="Q518" s="157"/>
      <c r="R518" s="157"/>
      <c r="S518" s="157"/>
      <c r="T518" s="157"/>
      <c r="U518" s="157"/>
      <c r="V518" s="3589"/>
      <c r="W518" s="766"/>
      <c r="X518" s="766"/>
      <c r="Y518" s="766"/>
      <c r="Z518" s="2426"/>
      <c r="AA518" s="2426"/>
      <c r="AB518" s="2657"/>
      <c r="AC518" s="766"/>
      <c r="AD518" s="766"/>
      <c r="AE518" s="766"/>
      <c r="AF518" s="766"/>
      <c r="AG518" s="766"/>
      <c r="BB518" s="647"/>
      <c r="BC518" s="658"/>
      <c r="BD518" s="757"/>
      <c r="BE518" s="659"/>
    </row>
    <row r="519" spans="1:57" s="64" customFormat="1" ht="14.45" customHeight="1" outlineLevel="1" x14ac:dyDescent="0.25">
      <c r="A519" s="1393"/>
      <c r="B519" s="157"/>
      <c r="C519" s="385"/>
      <c r="D519" s="3589"/>
      <c r="E519" s="3721"/>
      <c r="F519" s="3647" t="str">
        <f t="shared" si="60"/>
        <v>CAC - SEER 17 ROF: SF</v>
      </c>
      <c r="G519" s="3648"/>
      <c r="H519" s="3649"/>
      <c r="I519" s="3056"/>
      <c r="J519" s="2725"/>
      <c r="K519" s="163"/>
      <c r="L519" s="3204" t="s">
        <v>1089</v>
      </c>
      <c r="M519" s="385"/>
      <c r="N519" s="1746"/>
      <c r="O519" s="385"/>
      <c r="P519" s="157"/>
      <c r="Q519" s="157"/>
      <c r="R519" s="157"/>
      <c r="S519" s="157"/>
      <c r="T519" s="157"/>
      <c r="U519" s="157"/>
      <c r="V519" s="3589"/>
      <c r="W519" s="766"/>
      <c r="X519" s="766"/>
      <c r="Y519" s="766"/>
      <c r="Z519" s="2426"/>
      <c r="AA519" s="2426"/>
      <c r="AB519" s="2657"/>
      <c r="AC519" s="766"/>
      <c r="AD519" s="766"/>
      <c r="AE519" s="766"/>
      <c r="AF519" s="766"/>
      <c r="AG519" s="766"/>
      <c r="BB519" s="647"/>
      <c r="BC519" s="658"/>
      <c r="BD519" s="757"/>
      <c r="BE519" s="659"/>
    </row>
    <row r="520" spans="1:57" s="64" customFormat="1" ht="14.45" customHeight="1" outlineLevel="1" x14ac:dyDescent="0.25">
      <c r="A520" s="1393"/>
      <c r="B520" s="157"/>
      <c r="C520" s="385"/>
      <c r="D520" s="3589"/>
      <c r="E520" s="3721"/>
      <c r="F520" s="3647" t="str">
        <f t="shared" si="60"/>
        <v>CAC - SEER 17 ER1: MF</v>
      </c>
      <c r="G520" s="3648"/>
      <c r="H520" s="3649"/>
      <c r="I520" s="3056"/>
      <c r="J520" s="2725">
        <v>6.9280914499938051</v>
      </c>
      <c r="K520" s="163"/>
      <c r="L520" s="2718" t="s">
        <v>3674</v>
      </c>
      <c r="M520" s="385"/>
      <c r="N520" s="1746"/>
      <c r="O520" s="385"/>
      <c r="P520" s="157"/>
      <c r="Q520" s="157"/>
      <c r="R520" s="157"/>
      <c r="S520" s="157"/>
      <c r="T520" s="157"/>
      <c r="U520" s="157"/>
      <c r="V520" s="3589"/>
      <c r="W520" s="766">
        <v>8.1999999999999993</v>
      </c>
      <c r="X520" s="765">
        <v>8.33</v>
      </c>
      <c r="Y520" s="766">
        <v>8.33</v>
      </c>
      <c r="Z520" s="2426">
        <v>8.33</v>
      </c>
      <c r="AA520" s="2426">
        <v>8.33</v>
      </c>
      <c r="AB520" s="2658">
        <v>6.9280914499938051</v>
      </c>
      <c r="AC520" s="766"/>
      <c r="AD520" s="766"/>
      <c r="AE520" s="766"/>
      <c r="AF520" s="766"/>
      <c r="AG520" s="766"/>
      <c r="BB520" s="647"/>
      <c r="BC520" s="658"/>
      <c r="BD520" s="757"/>
      <c r="BE520" s="659"/>
    </row>
    <row r="521" spans="1:57" s="64" customFormat="1" ht="14.45" customHeight="1" outlineLevel="1" x14ac:dyDescent="0.25">
      <c r="A521" s="1393"/>
      <c r="B521" s="157"/>
      <c r="C521" s="385"/>
      <c r="D521" s="3589"/>
      <c r="E521" s="3721"/>
      <c r="F521" s="3647" t="str">
        <f t="shared" si="60"/>
        <v>CAC - SEER 17 ER2: MF</v>
      </c>
      <c r="G521" s="3648"/>
      <c r="H521" s="3649"/>
      <c r="I521" s="3056"/>
      <c r="J521" s="2725"/>
      <c r="K521" s="163"/>
      <c r="L521" s="2718" t="s">
        <v>3674</v>
      </c>
      <c r="M521" s="385"/>
      <c r="N521" s="1746"/>
      <c r="O521" s="385"/>
      <c r="P521" s="157"/>
      <c r="Q521" s="157"/>
      <c r="R521" s="157"/>
      <c r="S521" s="157"/>
      <c r="T521" s="157"/>
      <c r="U521" s="157"/>
      <c r="V521" s="3589"/>
      <c r="W521" s="766"/>
      <c r="X521" s="766"/>
      <c r="Y521" s="766"/>
      <c r="Z521" s="2426"/>
      <c r="AA521" s="2426"/>
      <c r="AB521" s="2657"/>
      <c r="AC521" s="766"/>
      <c r="AD521" s="766"/>
      <c r="AE521" s="766"/>
      <c r="AF521" s="766"/>
      <c r="AG521" s="766"/>
      <c r="BB521" s="647"/>
      <c r="BC521" s="658"/>
      <c r="BD521" s="757"/>
      <c r="BE521" s="659"/>
    </row>
    <row r="522" spans="1:57" s="64" customFormat="1" ht="14.45" customHeight="1" outlineLevel="1" x14ac:dyDescent="0.25">
      <c r="A522" s="1393"/>
      <c r="B522" s="157"/>
      <c r="C522" s="385"/>
      <c r="D522" s="3589"/>
      <c r="E522" s="3721"/>
      <c r="F522" s="3647" t="str">
        <f t="shared" si="60"/>
        <v>CAC - SEER 17 ER1: MF_CompE</v>
      </c>
      <c r="G522" s="3648"/>
      <c r="H522" s="3649"/>
      <c r="I522" s="778"/>
      <c r="J522" s="2725">
        <v>8.33</v>
      </c>
      <c r="K522" s="3205"/>
      <c r="L522" s="3204" t="s">
        <v>1089</v>
      </c>
      <c r="M522" s="385"/>
      <c r="N522" s="1746"/>
      <c r="O522" s="385"/>
      <c r="P522" s="157"/>
      <c r="Q522" s="157"/>
      <c r="R522" s="157"/>
      <c r="S522" s="157"/>
      <c r="T522" s="157"/>
      <c r="U522" s="157"/>
      <c r="V522" s="3589"/>
      <c r="W522" s="778"/>
      <c r="X522" s="778"/>
      <c r="Y522" s="778">
        <v>8.33</v>
      </c>
      <c r="Z522" s="778">
        <v>8.33</v>
      </c>
      <c r="AA522" s="778">
        <v>8.33</v>
      </c>
      <c r="AB522" s="2657">
        <v>8.33</v>
      </c>
      <c r="AC522" s="778"/>
      <c r="AD522" s="778"/>
      <c r="AE522" s="778"/>
      <c r="AF522" s="778"/>
      <c r="AG522" s="778"/>
      <c r="BB522" s="647"/>
      <c r="BC522" s="658"/>
      <c r="BD522" s="757"/>
      <c r="BE522" s="659"/>
    </row>
    <row r="523" spans="1:57" s="64" customFormat="1" ht="14.45" customHeight="1" outlineLevel="1" x14ac:dyDescent="0.25">
      <c r="A523" s="1393"/>
      <c r="B523" s="157"/>
      <c r="C523" s="385"/>
      <c r="D523" s="3589"/>
      <c r="E523" s="3721"/>
      <c r="F523" s="3647" t="str">
        <f t="shared" si="60"/>
        <v>CAC - SEER 17 ER2: MF_CompE</v>
      </c>
      <c r="G523" s="3648"/>
      <c r="H523" s="3649"/>
      <c r="I523" s="778"/>
      <c r="J523" s="3198"/>
      <c r="K523" s="3205"/>
      <c r="L523" s="3204" t="s">
        <v>1089</v>
      </c>
      <c r="M523" s="385"/>
      <c r="N523" s="1746"/>
      <c r="O523" s="385"/>
      <c r="P523" s="157"/>
      <c r="Q523" s="157"/>
      <c r="R523" s="157"/>
      <c r="S523" s="157"/>
      <c r="T523" s="157"/>
      <c r="U523" s="157"/>
      <c r="V523" s="3589"/>
      <c r="W523" s="778"/>
      <c r="X523" s="778"/>
      <c r="Y523" s="778"/>
      <c r="Z523" s="778"/>
      <c r="AA523" s="778"/>
      <c r="AB523" s="2659"/>
      <c r="AC523" s="778"/>
      <c r="AD523" s="778"/>
      <c r="AE523" s="778"/>
      <c r="AF523" s="778"/>
      <c r="AG523" s="778"/>
      <c r="BB523" s="647"/>
      <c r="BC523" s="658"/>
      <c r="BD523" s="757"/>
      <c r="BE523" s="659"/>
    </row>
    <row r="524" spans="1:57" s="64" customFormat="1" ht="15" customHeight="1" outlineLevel="1" x14ac:dyDescent="0.25">
      <c r="A524" s="1393"/>
      <c r="B524" s="157"/>
      <c r="C524" s="385"/>
      <c r="D524" s="3589"/>
      <c r="E524" s="3721"/>
      <c r="F524" s="3647" t="str">
        <f t="shared" si="60"/>
        <v>CAC - SEER 17 ROF: MF</v>
      </c>
      <c r="G524" s="3648"/>
      <c r="H524" s="3649"/>
      <c r="I524" s="3056"/>
      <c r="J524" s="2725"/>
      <c r="K524" s="163"/>
      <c r="L524" s="3204" t="s">
        <v>1089</v>
      </c>
      <c r="M524" s="385"/>
      <c r="N524" s="1746"/>
      <c r="O524" s="385"/>
      <c r="P524" s="157"/>
      <c r="Q524" s="157"/>
      <c r="R524" s="157"/>
      <c r="S524" s="157"/>
      <c r="T524" s="157"/>
      <c r="U524" s="157"/>
      <c r="V524" s="3589"/>
      <c r="W524" s="778"/>
      <c r="X524" s="2178"/>
      <c r="Y524" s="2178"/>
      <c r="Z524" s="2426"/>
      <c r="AA524" s="2426"/>
      <c r="AB524" s="2657"/>
      <c r="AC524" s="2178"/>
      <c r="AD524" s="2178"/>
      <c r="AE524" s="2178"/>
      <c r="AF524" s="2178"/>
      <c r="AG524" s="2178"/>
      <c r="BB524" s="647"/>
      <c r="BC524" s="658"/>
      <c r="BD524" s="757"/>
      <c r="BE524" s="659"/>
    </row>
    <row r="525" spans="1:57" s="64" customFormat="1" outlineLevel="1" x14ac:dyDescent="0.25">
      <c r="A525" s="1393"/>
      <c r="B525" s="157"/>
      <c r="C525" s="385"/>
      <c r="D525" s="3590"/>
      <c r="E525" s="3572"/>
      <c r="F525" s="3647" t="str">
        <f t="shared" si="60"/>
        <v>CAC - SEER 17 ROF: MF_CompE</v>
      </c>
      <c r="G525" s="3648"/>
      <c r="H525" s="3649"/>
      <c r="I525" s="3056"/>
      <c r="J525" s="2725"/>
      <c r="K525" s="163"/>
      <c r="L525" s="3204" t="s">
        <v>1089</v>
      </c>
      <c r="M525" s="385"/>
      <c r="N525" s="1746"/>
      <c r="O525" s="385"/>
      <c r="P525" s="157"/>
      <c r="Q525" s="157"/>
      <c r="R525" s="157"/>
      <c r="S525" s="157"/>
      <c r="T525" s="157"/>
      <c r="U525" s="157"/>
      <c r="V525" s="3590"/>
      <c r="W525" s="2178"/>
      <c r="X525" s="2178"/>
      <c r="Y525" s="2178"/>
      <c r="Z525" s="2178"/>
      <c r="AA525" s="2426"/>
      <c r="AB525" s="2657"/>
      <c r="AC525" s="2178"/>
      <c r="AD525" s="2178"/>
      <c r="AE525" s="2178"/>
      <c r="AF525" s="2178"/>
      <c r="AG525" s="2178"/>
      <c r="BB525" s="647"/>
      <c r="BC525" s="658"/>
      <c r="BD525" s="757"/>
      <c r="BE525" s="659"/>
    </row>
    <row r="526" spans="1:57" s="64" customFormat="1" ht="14.45" customHeight="1" outlineLevel="1" x14ac:dyDescent="0.25">
      <c r="A526" s="1393"/>
      <c r="B526" s="157"/>
      <c r="C526" s="385"/>
      <c r="D526" s="3787"/>
      <c r="E526" s="3785"/>
      <c r="F526" s="3659" t="str">
        <f t="shared" si="60"/>
        <v>CAC - SEER 18 ER1: SF</v>
      </c>
      <c r="G526" s="3660"/>
      <c r="H526" s="3661"/>
      <c r="I526" s="3056"/>
      <c r="J526" s="2725">
        <v>8.33</v>
      </c>
      <c r="K526" s="163"/>
      <c r="L526" s="3204" t="s">
        <v>1089</v>
      </c>
      <c r="M526" s="385"/>
      <c r="N526" s="1746"/>
      <c r="O526" s="385"/>
      <c r="P526" s="157"/>
      <c r="Q526" s="157"/>
      <c r="R526" s="157"/>
      <c r="S526" s="157"/>
      <c r="T526" s="157"/>
      <c r="U526" s="157"/>
      <c r="V526" s="3590"/>
      <c r="W526" s="781"/>
      <c r="X526" s="786"/>
      <c r="Y526" s="781"/>
      <c r="Z526" s="786">
        <v>8.33</v>
      </c>
      <c r="AA526" s="781">
        <v>8.33</v>
      </c>
      <c r="AB526" s="2657">
        <v>8.33</v>
      </c>
      <c r="AC526" s="781"/>
      <c r="AD526" s="781"/>
      <c r="AE526" s="781"/>
      <c r="AF526" s="781"/>
      <c r="AG526" s="781"/>
      <c r="BB526" s="647"/>
      <c r="BC526" s="658"/>
      <c r="BD526" s="757"/>
      <c r="BE526" s="659"/>
    </row>
    <row r="527" spans="1:57" s="64" customFormat="1" ht="14.45" customHeight="1" outlineLevel="1" x14ac:dyDescent="0.25">
      <c r="A527" s="1393"/>
      <c r="B527" s="157"/>
      <c r="C527" s="385"/>
      <c r="D527" s="3787"/>
      <c r="E527" s="3785"/>
      <c r="F527" s="3659" t="str">
        <f t="shared" si="60"/>
        <v>CAC - SEER 18 ER2: SF</v>
      </c>
      <c r="G527" s="3660"/>
      <c r="H527" s="3661"/>
      <c r="I527" s="3056"/>
      <c r="J527" s="2725"/>
      <c r="K527" s="163"/>
      <c r="L527" s="3204" t="s">
        <v>1089</v>
      </c>
      <c r="M527" s="385"/>
      <c r="N527" s="1746"/>
      <c r="O527" s="385"/>
      <c r="P527" s="157"/>
      <c r="Q527" s="157"/>
      <c r="R527" s="157"/>
      <c r="S527" s="157"/>
      <c r="T527" s="157"/>
      <c r="U527" s="157"/>
      <c r="V527" s="3590"/>
      <c r="W527" s="2125"/>
      <c r="X527" s="2125"/>
      <c r="Y527" s="2125"/>
      <c r="Z527" s="765"/>
      <c r="AA527" s="2426"/>
      <c r="AB527" s="2657"/>
      <c r="AC527" s="2125"/>
      <c r="AD527" s="2125"/>
      <c r="AE527" s="2125"/>
      <c r="AF527" s="2125"/>
      <c r="AG527" s="2125"/>
      <c r="BB527" s="647"/>
      <c r="BC527" s="658"/>
      <c r="BD527" s="757"/>
      <c r="BE527" s="659"/>
    </row>
    <row r="528" spans="1:57" s="64" customFormat="1" ht="14.45" customHeight="1" outlineLevel="1" x14ac:dyDescent="0.25">
      <c r="A528" s="1393"/>
      <c r="B528" s="157"/>
      <c r="C528" s="385"/>
      <c r="D528" s="3787"/>
      <c r="E528" s="3785"/>
      <c r="F528" s="3659" t="str">
        <f t="shared" si="60"/>
        <v>CAC - SEER 18 ROF: SF</v>
      </c>
      <c r="G528" s="3660"/>
      <c r="H528" s="3661"/>
      <c r="I528" s="3056"/>
      <c r="J528" s="3198"/>
      <c r="K528" s="163"/>
      <c r="L528" s="3204" t="s">
        <v>1089</v>
      </c>
      <c r="M528" s="385"/>
      <c r="N528" s="1746"/>
      <c r="O528" s="385"/>
      <c r="P528" s="157"/>
      <c r="Q528" s="157"/>
      <c r="R528" s="157"/>
      <c r="S528" s="157"/>
      <c r="T528" s="157"/>
      <c r="U528" s="157"/>
      <c r="V528" s="3590"/>
      <c r="W528" s="2125"/>
      <c r="X528" s="778"/>
      <c r="Y528" s="778"/>
      <c r="Z528" s="765"/>
      <c r="AA528" s="2426"/>
      <c r="AB528" s="2659"/>
      <c r="AC528" s="2125"/>
      <c r="AD528" s="2125"/>
      <c r="AE528" s="2125"/>
      <c r="AF528" s="2125"/>
      <c r="AG528" s="2125"/>
      <c r="BB528" s="647"/>
      <c r="BC528" s="658"/>
      <c r="BD528" s="757"/>
      <c r="BE528" s="659"/>
    </row>
    <row r="529" spans="1:57" s="64" customFormat="1" outlineLevel="1" x14ac:dyDescent="0.25">
      <c r="A529" s="1393"/>
      <c r="B529" s="157"/>
      <c r="C529" s="385"/>
      <c r="D529" s="3787"/>
      <c r="E529" s="3785"/>
      <c r="F529" s="3647" t="str">
        <f t="shared" si="60"/>
        <v>CAC - SEER 18 ER1: MF</v>
      </c>
      <c r="G529" s="3648"/>
      <c r="H529" s="3649"/>
      <c r="I529" s="3056"/>
      <c r="J529" s="2725">
        <v>8.33</v>
      </c>
      <c r="K529" s="163"/>
      <c r="L529" s="3204" t="s">
        <v>1089</v>
      </c>
      <c r="M529" s="385"/>
      <c r="N529" s="1746"/>
      <c r="O529" s="385"/>
      <c r="P529" s="157"/>
      <c r="Q529" s="157"/>
      <c r="R529" s="157"/>
      <c r="S529" s="157"/>
      <c r="T529" s="157"/>
      <c r="U529" s="157"/>
      <c r="V529" s="3590"/>
      <c r="W529" s="2125"/>
      <c r="X529" s="765"/>
      <c r="Y529" s="2125"/>
      <c r="Z529" s="765">
        <v>8.33</v>
      </c>
      <c r="AA529" s="2426">
        <v>8.33</v>
      </c>
      <c r="AB529" s="2657">
        <v>8.33</v>
      </c>
      <c r="AC529" s="2125"/>
      <c r="AD529" s="2125"/>
      <c r="AE529" s="2125"/>
      <c r="AF529" s="2125"/>
      <c r="AG529" s="2125"/>
      <c r="BB529" s="647"/>
      <c r="BC529" s="658"/>
      <c r="BD529" s="757"/>
      <c r="BE529" s="659"/>
    </row>
    <row r="530" spans="1:57" s="64" customFormat="1" outlineLevel="1" x14ac:dyDescent="0.25">
      <c r="A530" s="1393"/>
      <c r="B530" s="157"/>
      <c r="C530" s="385"/>
      <c r="D530" s="3787"/>
      <c r="E530" s="3785"/>
      <c r="F530" s="3647" t="str">
        <f t="shared" ref="F530:F593" si="61">F458</f>
        <v>CAC - SEER 18 ER2: MF</v>
      </c>
      <c r="G530" s="3648"/>
      <c r="H530" s="3649"/>
      <c r="I530" s="3056"/>
      <c r="J530" s="2725"/>
      <c r="K530" s="163"/>
      <c r="L530" s="3204" t="s">
        <v>1089</v>
      </c>
      <c r="M530" s="385"/>
      <c r="N530" s="1746"/>
      <c r="O530" s="385"/>
      <c r="P530" s="157"/>
      <c r="Q530" s="157"/>
      <c r="R530" s="157"/>
      <c r="S530" s="157"/>
      <c r="T530" s="157"/>
      <c r="U530" s="157"/>
      <c r="V530" s="3590"/>
      <c r="W530" s="2125"/>
      <c r="X530" s="2125"/>
      <c r="Y530" s="2125"/>
      <c r="Z530" s="765"/>
      <c r="AA530" s="2426"/>
      <c r="AB530" s="2657"/>
      <c r="AC530" s="2125"/>
      <c r="AD530" s="2125"/>
      <c r="AE530" s="2125"/>
      <c r="AF530" s="2125"/>
      <c r="AG530" s="2125"/>
      <c r="BB530" s="647"/>
      <c r="BC530" s="658"/>
      <c r="BD530" s="757"/>
      <c r="BE530" s="659"/>
    </row>
    <row r="531" spans="1:57" s="64" customFormat="1" outlineLevel="1" x14ac:dyDescent="0.25">
      <c r="A531" s="1393"/>
      <c r="B531" s="157"/>
      <c r="C531" s="385"/>
      <c r="D531" s="3787"/>
      <c r="E531" s="3785"/>
      <c r="F531" s="3647" t="str">
        <f t="shared" si="61"/>
        <v>CAC - SEER 18 ER1: MF_CompE</v>
      </c>
      <c r="G531" s="3648"/>
      <c r="H531" s="3649"/>
      <c r="I531" s="3056"/>
      <c r="J531" s="2725">
        <v>8.33</v>
      </c>
      <c r="K531" s="163"/>
      <c r="L531" s="3204" t="s">
        <v>1089</v>
      </c>
      <c r="M531" s="385"/>
      <c r="N531" s="1746"/>
      <c r="O531" s="385"/>
      <c r="P531" s="157"/>
      <c r="Q531" s="157"/>
      <c r="R531" s="157"/>
      <c r="S531" s="157"/>
      <c r="T531" s="157"/>
      <c r="U531" s="157"/>
      <c r="V531" s="3590"/>
      <c r="W531" s="2125"/>
      <c r="X531" s="2125"/>
      <c r="Y531" s="2125"/>
      <c r="Z531" s="765">
        <v>8.33</v>
      </c>
      <c r="AA531" s="2426">
        <v>8.33</v>
      </c>
      <c r="AB531" s="2657">
        <v>8.33</v>
      </c>
      <c r="AC531" s="2125"/>
      <c r="AD531" s="2125"/>
      <c r="AE531" s="2125"/>
      <c r="AF531" s="2125"/>
      <c r="AG531" s="2125"/>
      <c r="BB531" s="647"/>
      <c r="BC531" s="658"/>
      <c r="BD531" s="757"/>
      <c r="BE531" s="659"/>
    </row>
    <row r="532" spans="1:57" s="64" customFormat="1" outlineLevel="1" x14ac:dyDescent="0.25">
      <c r="A532" s="1393"/>
      <c r="B532" s="157"/>
      <c r="C532" s="385"/>
      <c r="D532" s="3787"/>
      <c r="E532" s="3785"/>
      <c r="F532" s="3647" t="str">
        <f t="shared" si="61"/>
        <v>CAC - SEER 18 ER2: MF_CompE</v>
      </c>
      <c r="G532" s="3648"/>
      <c r="H532" s="3649"/>
      <c r="I532" s="3056"/>
      <c r="J532" s="2725"/>
      <c r="K532" s="163"/>
      <c r="L532" s="3204" t="s">
        <v>1089</v>
      </c>
      <c r="M532" s="385"/>
      <c r="N532" s="1746"/>
      <c r="O532" s="385"/>
      <c r="P532" s="157"/>
      <c r="Q532" s="157"/>
      <c r="R532" s="157"/>
      <c r="S532" s="157"/>
      <c r="T532" s="157"/>
      <c r="U532" s="157"/>
      <c r="V532" s="3590"/>
      <c r="W532" s="2125"/>
      <c r="X532" s="2125"/>
      <c r="Y532" s="2125"/>
      <c r="Z532" s="765"/>
      <c r="AA532" s="2426"/>
      <c r="AB532" s="2657"/>
      <c r="AC532" s="2125"/>
      <c r="AD532" s="2125"/>
      <c r="AE532" s="2125"/>
      <c r="AF532" s="2125"/>
      <c r="AG532" s="2125"/>
      <c r="BB532" s="647"/>
      <c r="BC532" s="658"/>
      <c r="BD532" s="757"/>
      <c r="BE532" s="659"/>
    </row>
    <row r="533" spans="1:57" s="64" customFormat="1" outlineLevel="1" x14ac:dyDescent="0.25">
      <c r="A533" s="1393"/>
      <c r="B533" s="157"/>
      <c r="C533" s="385"/>
      <c r="D533" s="3787"/>
      <c r="E533" s="3785"/>
      <c r="F533" s="3647" t="str">
        <f t="shared" si="61"/>
        <v>CAC - SEER 18 ROF: MF</v>
      </c>
      <c r="G533" s="3648"/>
      <c r="H533" s="3649"/>
      <c r="I533" s="3056"/>
      <c r="J533" s="2725"/>
      <c r="K533" s="163"/>
      <c r="L533" s="3204" t="s">
        <v>1089</v>
      </c>
      <c r="M533" s="385"/>
      <c r="N533" s="1746"/>
      <c r="O533" s="385"/>
      <c r="P533" s="157"/>
      <c r="Q533" s="157"/>
      <c r="R533" s="157"/>
      <c r="S533" s="157"/>
      <c r="T533" s="157"/>
      <c r="U533" s="157"/>
      <c r="V533" s="3590"/>
      <c r="W533" s="2125"/>
      <c r="X533" s="2125"/>
      <c r="Y533" s="2125"/>
      <c r="Z533" s="765"/>
      <c r="AA533" s="2426"/>
      <c r="AB533" s="2657"/>
      <c r="AC533" s="2125"/>
      <c r="AD533" s="2125"/>
      <c r="AE533" s="2125"/>
      <c r="AF533" s="2125"/>
      <c r="AG533" s="2125"/>
      <c r="BB533" s="647"/>
      <c r="BC533" s="658"/>
      <c r="BD533" s="757"/>
      <c r="BE533" s="659"/>
    </row>
    <row r="534" spans="1:57" s="64" customFormat="1" outlineLevel="1" x14ac:dyDescent="0.25">
      <c r="A534" s="1393"/>
      <c r="B534" s="157"/>
      <c r="C534" s="385"/>
      <c r="D534" s="3787"/>
      <c r="E534" s="3785"/>
      <c r="F534" s="3647" t="str">
        <f t="shared" si="61"/>
        <v>CAC - SEER 18 ROF: MF_CompE</v>
      </c>
      <c r="G534" s="3648"/>
      <c r="H534" s="3649"/>
      <c r="I534" s="3056"/>
      <c r="J534" s="2725"/>
      <c r="K534" s="163"/>
      <c r="L534" s="3204" t="s">
        <v>1089</v>
      </c>
      <c r="M534" s="385"/>
      <c r="N534" s="1746"/>
      <c r="O534" s="385"/>
      <c r="P534" s="157"/>
      <c r="Q534" s="157"/>
      <c r="R534" s="157"/>
      <c r="S534" s="157"/>
      <c r="T534" s="157"/>
      <c r="U534" s="157"/>
      <c r="V534" s="3590"/>
      <c r="W534" s="2125"/>
      <c r="X534" s="2125"/>
      <c r="Y534" s="2125"/>
      <c r="Z534" s="765"/>
      <c r="AA534" s="2426"/>
      <c r="AB534" s="2657"/>
      <c r="AC534" s="2125"/>
      <c r="AD534" s="2125"/>
      <c r="AE534" s="2125"/>
      <c r="AF534" s="2125"/>
      <c r="AG534" s="2125"/>
      <c r="BB534" s="647"/>
      <c r="BC534" s="658"/>
      <c r="BD534" s="757"/>
      <c r="BE534" s="659"/>
    </row>
    <row r="535" spans="1:57" s="64" customFormat="1" outlineLevel="1" x14ac:dyDescent="0.25">
      <c r="A535" s="1393"/>
      <c r="B535" s="157"/>
      <c r="C535" s="385"/>
      <c r="D535" s="3787"/>
      <c r="E535" s="3785"/>
      <c r="F535" s="3647" t="str">
        <f t="shared" si="61"/>
        <v>CAC - SEER 19 ER1: SF</v>
      </c>
      <c r="G535" s="3648"/>
      <c r="H535" s="3649"/>
      <c r="I535" s="3056"/>
      <c r="J535" s="2725">
        <v>8.33</v>
      </c>
      <c r="K535" s="163"/>
      <c r="L535" s="3204" t="s">
        <v>1089</v>
      </c>
      <c r="M535" s="385"/>
      <c r="N535" s="1746"/>
      <c r="O535" s="385"/>
      <c r="P535" s="157"/>
      <c r="Q535" s="157"/>
      <c r="R535" s="157"/>
      <c r="S535" s="157"/>
      <c r="T535" s="157"/>
      <c r="U535" s="157"/>
      <c r="V535" s="3590"/>
      <c r="W535" s="2125"/>
      <c r="X535" s="765"/>
      <c r="Y535" s="2125"/>
      <c r="Z535" s="765">
        <v>8.33</v>
      </c>
      <c r="AA535" s="2426">
        <v>8.33</v>
      </c>
      <c r="AB535" s="2657">
        <v>8.33</v>
      </c>
      <c r="AC535" s="2125"/>
      <c r="AD535" s="2125"/>
      <c r="AE535" s="2125"/>
      <c r="AF535" s="2125"/>
      <c r="AG535" s="2125"/>
      <c r="BB535" s="647"/>
      <c r="BC535" s="658"/>
      <c r="BD535" s="757"/>
      <c r="BE535" s="659"/>
    </row>
    <row r="536" spans="1:57" s="64" customFormat="1" outlineLevel="1" x14ac:dyDescent="0.25">
      <c r="A536" s="1393"/>
      <c r="B536" s="157"/>
      <c r="C536" s="385"/>
      <c r="D536" s="3787"/>
      <c r="E536" s="3785"/>
      <c r="F536" s="3647" t="str">
        <f t="shared" si="61"/>
        <v>CAC - SEER 19 ER2: SF</v>
      </c>
      <c r="G536" s="3648"/>
      <c r="H536" s="3649"/>
      <c r="I536" s="3056"/>
      <c r="J536" s="2725"/>
      <c r="K536" s="163"/>
      <c r="L536" s="3204" t="s">
        <v>1089</v>
      </c>
      <c r="M536" s="385"/>
      <c r="N536" s="1746"/>
      <c r="O536" s="385"/>
      <c r="P536" s="157"/>
      <c r="Q536" s="157"/>
      <c r="R536" s="157"/>
      <c r="S536" s="157"/>
      <c r="T536" s="157"/>
      <c r="U536" s="157"/>
      <c r="V536" s="3590"/>
      <c r="W536" s="2125"/>
      <c r="X536" s="2125"/>
      <c r="Y536" s="2125"/>
      <c r="Z536" s="765"/>
      <c r="AA536" s="2426"/>
      <c r="AB536" s="2657"/>
      <c r="AC536" s="2125"/>
      <c r="AD536" s="2125"/>
      <c r="AE536" s="2125"/>
      <c r="AF536" s="2125"/>
      <c r="AG536" s="2125"/>
      <c r="BB536" s="647"/>
      <c r="BC536" s="658"/>
      <c r="BD536" s="757"/>
      <c r="BE536" s="659"/>
    </row>
    <row r="537" spans="1:57" s="64" customFormat="1" outlineLevel="1" x14ac:dyDescent="0.25">
      <c r="A537" s="1393"/>
      <c r="B537" s="157"/>
      <c r="C537" s="385"/>
      <c r="D537" s="3787"/>
      <c r="E537" s="3785"/>
      <c r="F537" s="3647" t="str">
        <f t="shared" si="61"/>
        <v>CAC - SEER 19 ROF: SF</v>
      </c>
      <c r="G537" s="3648"/>
      <c r="H537" s="3649"/>
      <c r="I537" s="3056"/>
      <c r="J537" s="2725"/>
      <c r="K537" s="163"/>
      <c r="L537" s="3204" t="s">
        <v>1089</v>
      </c>
      <c r="M537" s="385"/>
      <c r="N537" s="1746"/>
      <c r="O537" s="385"/>
      <c r="P537" s="157"/>
      <c r="Q537" s="157"/>
      <c r="R537" s="157"/>
      <c r="S537" s="157"/>
      <c r="T537" s="157"/>
      <c r="U537" s="157"/>
      <c r="V537" s="3590"/>
      <c r="W537" s="2125"/>
      <c r="X537" s="2125"/>
      <c r="Y537" s="2125"/>
      <c r="Z537" s="765"/>
      <c r="AA537" s="2426"/>
      <c r="AB537" s="2657"/>
      <c r="AC537" s="2125"/>
      <c r="AD537" s="2125"/>
      <c r="AE537" s="2125"/>
      <c r="AF537" s="2125"/>
      <c r="AG537" s="2125"/>
      <c r="BB537" s="647"/>
      <c r="BC537" s="658"/>
      <c r="BD537" s="757"/>
      <c r="BE537" s="659"/>
    </row>
    <row r="538" spans="1:57" s="64" customFormat="1" outlineLevel="1" x14ac:dyDescent="0.25">
      <c r="A538" s="1393"/>
      <c r="B538" s="157"/>
      <c r="C538" s="385"/>
      <c r="D538" s="3787"/>
      <c r="E538" s="3785"/>
      <c r="F538" s="3647" t="str">
        <f t="shared" si="61"/>
        <v>CAC - SEER 19 ER1: MF</v>
      </c>
      <c r="G538" s="3648"/>
      <c r="H538" s="3649"/>
      <c r="I538" s="3056"/>
      <c r="J538" s="2725">
        <v>8.33</v>
      </c>
      <c r="K538" s="163"/>
      <c r="L538" s="3204" t="s">
        <v>1089</v>
      </c>
      <c r="M538" s="385"/>
      <c r="N538" s="1746"/>
      <c r="O538" s="385"/>
      <c r="P538" s="157"/>
      <c r="Q538" s="157"/>
      <c r="R538" s="157"/>
      <c r="S538" s="157"/>
      <c r="T538" s="157"/>
      <c r="U538" s="157"/>
      <c r="V538" s="3590"/>
      <c r="W538" s="2125"/>
      <c r="X538" s="765"/>
      <c r="Y538" s="2125"/>
      <c r="Z538" s="765">
        <v>8.33</v>
      </c>
      <c r="AA538" s="2426">
        <v>8.33</v>
      </c>
      <c r="AB538" s="2657">
        <v>8.33</v>
      </c>
      <c r="AC538" s="2125"/>
      <c r="AD538" s="2125"/>
      <c r="AE538" s="2125"/>
      <c r="AF538" s="2125"/>
      <c r="AG538" s="2125"/>
      <c r="BB538" s="647"/>
      <c r="BC538" s="658"/>
      <c r="BD538" s="757"/>
      <c r="BE538" s="659"/>
    </row>
    <row r="539" spans="1:57" s="64" customFormat="1" outlineLevel="1" x14ac:dyDescent="0.25">
      <c r="A539" s="1393"/>
      <c r="B539" s="157"/>
      <c r="C539" s="385"/>
      <c r="D539" s="3787"/>
      <c r="E539" s="3785"/>
      <c r="F539" s="3647" t="str">
        <f t="shared" si="61"/>
        <v>CAC - SEER 19 ER2: MF</v>
      </c>
      <c r="G539" s="3648"/>
      <c r="H539" s="3649"/>
      <c r="I539" s="3056"/>
      <c r="J539" s="2725"/>
      <c r="K539" s="163"/>
      <c r="L539" s="3204" t="s">
        <v>1089</v>
      </c>
      <c r="M539" s="385"/>
      <c r="N539" s="1746"/>
      <c r="O539" s="385"/>
      <c r="P539" s="157"/>
      <c r="Q539" s="157"/>
      <c r="R539" s="157"/>
      <c r="S539" s="157"/>
      <c r="T539" s="157"/>
      <c r="U539" s="157"/>
      <c r="V539" s="3590"/>
      <c r="W539" s="2125"/>
      <c r="X539" s="2125"/>
      <c r="Y539" s="2125"/>
      <c r="Z539" s="765"/>
      <c r="AA539" s="2426"/>
      <c r="AB539" s="2657"/>
      <c r="AC539" s="2125"/>
      <c r="AD539" s="2125"/>
      <c r="AE539" s="2125"/>
      <c r="AF539" s="2125"/>
      <c r="AG539" s="2125"/>
      <c r="BB539" s="647"/>
      <c r="BC539" s="658"/>
      <c r="BD539" s="757"/>
      <c r="BE539" s="659"/>
    </row>
    <row r="540" spans="1:57" s="64" customFormat="1" outlineLevel="1" x14ac:dyDescent="0.25">
      <c r="A540" s="1393"/>
      <c r="B540" s="157"/>
      <c r="C540" s="385"/>
      <c r="D540" s="3787"/>
      <c r="E540" s="3785"/>
      <c r="F540" s="3647" t="str">
        <f t="shared" si="61"/>
        <v>CAC - SEER 19 ER1: MF_CompE</v>
      </c>
      <c r="G540" s="3648"/>
      <c r="H540" s="3649"/>
      <c r="I540" s="3056"/>
      <c r="J540" s="2725">
        <v>8.33</v>
      </c>
      <c r="K540" s="163"/>
      <c r="L540" s="3204" t="s">
        <v>1089</v>
      </c>
      <c r="M540" s="385"/>
      <c r="N540" s="1746"/>
      <c r="O540" s="385"/>
      <c r="P540" s="157"/>
      <c r="Q540" s="157"/>
      <c r="R540" s="157"/>
      <c r="S540" s="157"/>
      <c r="T540" s="157"/>
      <c r="U540" s="157"/>
      <c r="V540" s="3590"/>
      <c r="W540" s="2125"/>
      <c r="X540" s="2125"/>
      <c r="Y540" s="2125"/>
      <c r="Z540" s="765">
        <v>8.33</v>
      </c>
      <c r="AA540" s="2426">
        <v>8.33</v>
      </c>
      <c r="AB540" s="2657">
        <v>8.33</v>
      </c>
      <c r="AC540" s="2125"/>
      <c r="AD540" s="2125"/>
      <c r="AE540" s="2125"/>
      <c r="AF540" s="2125"/>
      <c r="AG540" s="2125"/>
      <c r="BB540" s="647"/>
      <c r="BC540" s="658"/>
      <c r="BD540" s="757"/>
      <c r="BE540" s="659"/>
    </row>
    <row r="541" spans="1:57" s="64" customFormat="1" outlineLevel="1" x14ac:dyDescent="0.25">
      <c r="A541" s="1393"/>
      <c r="B541" s="157"/>
      <c r="C541" s="385"/>
      <c r="D541" s="3787"/>
      <c r="E541" s="3785"/>
      <c r="F541" s="3647" t="str">
        <f t="shared" si="61"/>
        <v>CAC - SEER 19 ER2: MF_CompE</v>
      </c>
      <c r="G541" s="3648"/>
      <c r="H541" s="3649"/>
      <c r="I541" s="3056"/>
      <c r="J541" s="2725"/>
      <c r="K541" s="163"/>
      <c r="L541" s="3204" t="s">
        <v>1089</v>
      </c>
      <c r="M541" s="385"/>
      <c r="N541" s="1746"/>
      <c r="O541" s="385"/>
      <c r="P541" s="157"/>
      <c r="Q541" s="157"/>
      <c r="R541" s="157"/>
      <c r="S541" s="157"/>
      <c r="T541" s="157"/>
      <c r="U541" s="157"/>
      <c r="V541" s="3590"/>
      <c r="W541" s="2125"/>
      <c r="X541" s="2125"/>
      <c r="Y541" s="2125"/>
      <c r="Z541" s="765"/>
      <c r="AA541" s="2426"/>
      <c r="AB541" s="2657"/>
      <c r="AC541" s="2125"/>
      <c r="AD541" s="2125"/>
      <c r="AE541" s="2125"/>
      <c r="AF541" s="2125"/>
      <c r="AG541" s="2125"/>
      <c r="BB541" s="647"/>
      <c r="BC541" s="658"/>
      <c r="BD541" s="757"/>
      <c r="BE541" s="659"/>
    </row>
    <row r="542" spans="1:57" s="64" customFormat="1" outlineLevel="1" x14ac:dyDescent="0.25">
      <c r="A542" s="1393"/>
      <c r="B542" s="157"/>
      <c r="C542" s="385"/>
      <c r="D542" s="3787"/>
      <c r="E542" s="3785"/>
      <c r="F542" s="3647" t="str">
        <f t="shared" si="61"/>
        <v>CAC - SEER 19 ROF: MF</v>
      </c>
      <c r="G542" s="3648"/>
      <c r="H542" s="3649"/>
      <c r="I542" s="3056"/>
      <c r="J542" s="2725"/>
      <c r="K542" s="163"/>
      <c r="L542" s="3204" t="s">
        <v>1089</v>
      </c>
      <c r="M542" s="385"/>
      <c r="N542" s="1746"/>
      <c r="O542" s="385"/>
      <c r="P542" s="157"/>
      <c r="Q542" s="157"/>
      <c r="R542" s="157"/>
      <c r="S542" s="157"/>
      <c r="T542" s="157"/>
      <c r="U542" s="157"/>
      <c r="V542" s="3590"/>
      <c r="W542" s="2125"/>
      <c r="X542" s="2125"/>
      <c r="Y542" s="2125"/>
      <c r="Z542" s="765"/>
      <c r="AA542" s="2426"/>
      <c r="AB542" s="2657"/>
      <c r="AC542" s="2125"/>
      <c r="AD542" s="2125"/>
      <c r="AE542" s="2125"/>
      <c r="AF542" s="2125"/>
      <c r="AG542" s="2125"/>
      <c r="BB542" s="647"/>
      <c r="BC542" s="658"/>
      <c r="BD542" s="757"/>
      <c r="BE542" s="659"/>
    </row>
    <row r="543" spans="1:57" s="64" customFormat="1" outlineLevel="1" x14ac:dyDescent="0.25">
      <c r="A543" s="1393"/>
      <c r="B543" s="157"/>
      <c r="C543" s="385"/>
      <c r="D543" s="3787"/>
      <c r="E543" s="3785"/>
      <c r="F543" s="3647" t="str">
        <f t="shared" si="61"/>
        <v>CAC - SEER 19 ROF: MF_CompE</v>
      </c>
      <c r="G543" s="3648"/>
      <c r="H543" s="3649"/>
      <c r="I543" s="3056"/>
      <c r="J543" s="2725"/>
      <c r="K543" s="163"/>
      <c r="L543" s="3204" t="s">
        <v>1089</v>
      </c>
      <c r="M543" s="385"/>
      <c r="N543" s="1746"/>
      <c r="O543" s="385"/>
      <c r="P543" s="157"/>
      <c r="Q543" s="157"/>
      <c r="R543" s="157"/>
      <c r="S543" s="157"/>
      <c r="T543" s="157"/>
      <c r="U543" s="157"/>
      <c r="V543" s="3590"/>
      <c r="W543" s="2125"/>
      <c r="X543" s="2125"/>
      <c r="Y543" s="2125"/>
      <c r="Z543" s="765"/>
      <c r="AA543" s="2426"/>
      <c r="AB543" s="2657"/>
      <c r="AC543" s="2125"/>
      <c r="AD543" s="2125"/>
      <c r="AE543" s="2125"/>
      <c r="AF543" s="2125"/>
      <c r="AG543" s="2125"/>
      <c r="BB543" s="647"/>
      <c r="BC543" s="658"/>
      <c r="BD543" s="757"/>
      <c r="BE543" s="659"/>
    </row>
    <row r="544" spans="1:57" s="64" customFormat="1" outlineLevel="1" x14ac:dyDescent="0.25">
      <c r="A544" s="1393"/>
      <c r="B544" s="157"/>
      <c r="C544" s="385"/>
      <c r="D544" s="3787"/>
      <c r="E544" s="3785"/>
      <c r="F544" s="3647" t="str">
        <f t="shared" si="61"/>
        <v>CAC - SEER 20 ER1: SF</v>
      </c>
      <c r="G544" s="3648"/>
      <c r="H544" s="3649"/>
      <c r="I544" s="3056"/>
      <c r="J544" s="2725">
        <v>8.33</v>
      </c>
      <c r="K544" s="163"/>
      <c r="L544" s="3204" t="s">
        <v>1089</v>
      </c>
      <c r="M544" s="385"/>
      <c r="N544" s="1746"/>
      <c r="O544" s="385"/>
      <c r="P544" s="157"/>
      <c r="Q544" s="157"/>
      <c r="R544" s="157"/>
      <c r="S544" s="157"/>
      <c r="T544" s="157"/>
      <c r="U544" s="157"/>
      <c r="V544" s="3590"/>
      <c r="W544" s="2125"/>
      <c r="X544" s="765"/>
      <c r="Y544" s="2125"/>
      <c r="Z544" s="765">
        <v>8.33</v>
      </c>
      <c r="AA544" s="2426">
        <v>8.33</v>
      </c>
      <c r="AB544" s="2657">
        <v>8.33</v>
      </c>
      <c r="AC544" s="2125"/>
      <c r="AD544" s="2125"/>
      <c r="AE544" s="2125"/>
      <c r="AF544" s="2125"/>
      <c r="AG544" s="2125"/>
      <c r="BB544" s="647"/>
      <c r="BC544" s="658"/>
      <c r="BD544" s="757"/>
      <c r="BE544" s="659"/>
    </row>
    <row r="545" spans="1:57" s="64" customFormat="1" outlineLevel="1" x14ac:dyDescent="0.25">
      <c r="A545" s="1393"/>
      <c r="B545" s="157"/>
      <c r="C545" s="385"/>
      <c r="D545" s="3787"/>
      <c r="E545" s="3785"/>
      <c r="F545" s="3647" t="str">
        <f t="shared" si="61"/>
        <v>CAC - SEER 20 ER2: SF</v>
      </c>
      <c r="G545" s="3648"/>
      <c r="H545" s="3649"/>
      <c r="I545" s="3056"/>
      <c r="J545" s="2725"/>
      <c r="K545" s="163"/>
      <c r="L545" s="3204" t="s">
        <v>1089</v>
      </c>
      <c r="M545" s="385"/>
      <c r="N545" s="1746"/>
      <c r="O545" s="385"/>
      <c r="P545" s="157"/>
      <c r="Q545" s="157"/>
      <c r="R545" s="157"/>
      <c r="S545" s="157"/>
      <c r="T545" s="157"/>
      <c r="U545" s="157"/>
      <c r="V545" s="3590"/>
      <c r="W545" s="2125"/>
      <c r="X545" s="2125"/>
      <c r="Y545" s="2125"/>
      <c r="Z545" s="765"/>
      <c r="AA545" s="2426"/>
      <c r="AB545" s="2657"/>
      <c r="AC545" s="2125"/>
      <c r="AD545" s="2125"/>
      <c r="AE545" s="2125"/>
      <c r="AF545" s="2125"/>
      <c r="AG545" s="2125"/>
      <c r="BB545" s="647"/>
      <c r="BC545" s="658"/>
      <c r="BD545" s="757"/>
      <c r="BE545" s="659"/>
    </row>
    <row r="546" spans="1:57" s="64" customFormat="1" outlineLevel="1" x14ac:dyDescent="0.25">
      <c r="A546" s="1393"/>
      <c r="B546" s="157"/>
      <c r="C546" s="385"/>
      <c r="D546" s="3787"/>
      <c r="E546" s="3785"/>
      <c r="F546" s="3647" t="str">
        <f t="shared" si="61"/>
        <v>CAC - SEER 20 ROF: SF</v>
      </c>
      <c r="G546" s="3648"/>
      <c r="H546" s="3649"/>
      <c r="I546" s="3056"/>
      <c r="J546" s="2725"/>
      <c r="K546" s="163"/>
      <c r="L546" s="3204" t="s">
        <v>1089</v>
      </c>
      <c r="M546" s="385"/>
      <c r="N546" s="1746"/>
      <c r="O546" s="385"/>
      <c r="P546" s="157"/>
      <c r="Q546" s="157"/>
      <c r="R546" s="157"/>
      <c r="S546" s="157"/>
      <c r="T546" s="157"/>
      <c r="U546" s="157"/>
      <c r="V546" s="3590"/>
      <c r="W546" s="2125"/>
      <c r="X546" s="2125"/>
      <c r="Y546" s="2125"/>
      <c r="Z546" s="765"/>
      <c r="AA546" s="2426"/>
      <c r="AB546" s="2657"/>
      <c r="AC546" s="2125"/>
      <c r="AD546" s="2125"/>
      <c r="AE546" s="2125"/>
      <c r="AF546" s="2125"/>
      <c r="AG546" s="2125"/>
      <c r="BB546" s="647"/>
      <c r="BC546" s="658"/>
      <c r="BD546" s="757"/>
      <c r="BE546" s="659"/>
    </row>
    <row r="547" spans="1:57" s="64" customFormat="1" outlineLevel="1" x14ac:dyDescent="0.25">
      <c r="A547" s="1393"/>
      <c r="B547" s="157"/>
      <c r="C547" s="385"/>
      <c r="D547" s="3787"/>
      <c r="E547" s="3785"/>
      <c r="F547" s="3647" t="str">
        <f t="shared" si="61"/>
        <v>CAC - SEER 20 ER1: MF</v>
      </c>
      <c r="G547" s="3648"/>
      <c r="H547" s="3649"/>
      <c r="I547" s="3056"/>
      <c r="J547" s="2725">
        <v>8.33</v>
      </c>
      <c r="K547" s="163"/>
      <c r="L547" s="3204" t="s">
        <v>1089</v>
      </c>
      <c r="M547" s="385"/>
      <c r="N547" s="1746"/>
      <c r="O547" s="385"/>
      <c r="P547" s="157"/>
      <c r="Q547" s="157"/>
      <c r="R547" s="157"/>
      <c r="S547" s="157"/>
      <c r="T547" s="157"/>
      <c r="U547" s="157"/>
      <c r="V547" s="3590"/>
      <c r="W547" s="2125"/>
      <c r="X547" s="765"/>
      <c r="Y547" s="2125"/>
      <c r="Z547" s="765">
        <v>8.33</v>
      </c>
      <c r="AA547" s="2426">
        <v>8.33</v>
      </c>
      <c r="AB547" s="2657">
        <v>8.33</v>
      </c>
      <c r="AC547" s="2125"/>
      <c r="AD547" s="2125"/>
      <c r="AE547" s="2125"/>
      <c r="AF547" s="2125"/>
      <c r="AG547" s="2125"/>
      <c r="BB547" s="647"/>
      <c r="BC547" s="658"/>
      <c r="BD547" s="757"/>
      <c r="BE547" s="659"/>
    </row>
    <row r="548" spans="1:57" s="64" customFormat="1" outlineLevel="1" x14ac:dyDescent="0.25">
      <c r="A548" s="1393"/>
      <c r="B548" s="157"/>
      <c r="C548" s="385"/>
      <c r="D548" s="3787"/>
      <c r="E548" s="3785"/>
      <c r="F548" s="3647" t="str">
        <f t="shared" si="61"/>
        <v>CAC - SEER 20 ER2: MF</v>
      </c>
      <c r="G548" s="3648"/>
      <c r="H548" s="3649"/>
      <c r="I548" s="3056"/>
      <c r="J548" s="2725"/>
      <c r="K548" s="163"/>
      <c r="L548" s="3204" t="s">
        <v>1089</v>
      </c>
      <c r="M548" s="385"/>
      <c r="N548" s="1746"/>
      <c r="O548" s="385"/>
      <c r="P548" s="157"/>
      <c r="Q548" s="157"/>
      <c r="R548" s="157"/>
      <c r="S548" s="157"/>
      <c r="T548" s="157"/>
      <c r="U548" s="157"/>
      <c r="V548" s="3590"/>
      <c r="W548" s="2125"/>
      <c r="X548" s="2125"/>
      <c r="Y548" s="2125"/>
      <c r="Z548" s="765"/>
      <c r="AA548" s="2426"/>
      <c r="AB548" s="2657"/>
      <c r="AC548" s="2125"/>
      <c r="AD548" s="2125"/>
      <c r="AE548" s="2125"/>
      <c r="AF548" s="2125"/>
      <c r="AG548" s="2125"/>
      <c r="BB548" s="647"/>
      <c r="BC548" s="658"/>
      <c r="BD548" s="757"/>
      <c r="BE548" s="659"/>
    </row>
    <row r="549" spans="1:57" s="64" customFormat="1" outlineLevel="1" x14ac:dyDescent="0.25">
      <c r="A549" s="1393"/>
      <c r="B549" s="157"/>
      <c r="C549" s="385"/>
      <c r="D549" s="3787"/>
      <c r="E549" s="3785"/>
      <c r="F549" s="3647" t="str">
        <f t="shared" si="61"/>
        <v>CAC - SEER 20 ER1: MF_CompE</v>
      </c>
      <c r="G549" s="3648"/>
      <c r="H549" s="3649"/>
      <c r="I549" s="3056"/>
      <c r="J549" s="2725">
        <v>8.33</v>
      </c>
      <c r="K549" s="163"/>
      <c r="L549" s="3204" t="s">
        <v>1089</v>
      </c>
      <c r="M549" s="385"/>
      <c r="N549" s="1746"/>
      <c r="O549" s="385"/>
      <c r="P549" s="157"/>
      <c r="Q549" s="157"/>
      <c r="R549" s="157"/>
      <c r="S549" s="157"/>
      <c r="T549" s="157"/>
      <c r="U549" s="157"/>
      <c r="V549" s="3590"/>
      <c r="W549" s="2125"/>
      <c r="X549" s="2125"/>
      <c r="Y549" s="2125"/>
      <c r="Z549" s="765">
        <v>8.33</v>
      </c>
      <c r="AA549" s="2426">
        <v>8.33</v>
      </c>
      <c r="AB549" s="2657">
        <v>8.33</v>
      </c>
      <c r="AC549" s="2125"/>
      <c r="AD549" s="2125"/>
      <c r="AE549" s="2125"/>
      <c r="AF549" s="2125"/>
      <c r="AG549" s="2125"/>
      <c r="BB549" s="647"/>
      <c r="BC549" s="658"/>
      <c r="BD549" s="757"/>
      <c r="BE549" s="659"/>
    </row>
    <row r="550" spans="1:57" s="64" customFormat="1" outlineLevel="1" x14ac:dyDescent="0.25">
      <c r="A550" s="1393"/>
      <c r="B550" s="157"/>
      <c r="C550" s="385"/>
      <c r="D550" s="3787"/>
      <c r="E550" s="3785"/>
      <c r="F550" s="3647" t="str">
        <f t="shared" si="61"/>
        <v>CAC - SEER 20 ER2: MF_CompE</v>
      </c>
      <c r="G550" s="3648"/>
      <c r="H550" s="3649"/>
      <c r="I550" s="3056"/>
      <c r="J550" s="2725"/>
      <c r="K550" s="163"/>
      <c r="L550" s="3204" t="s">
        <v>1089</v>
      </c>
      <c r="M550" s="385"/>
      <c r="N550" s="1746"/>
      <c r="O550" s="385"/>
      <c r="P550" s="157"/>
      <c r="Q550" s="157"/>
      <c r="R550" s="157"/>
      <c r="S550" s="157"/>
      <c r="T550" s="157"/>
      <c r="U550" s="157"/>
      <c r="V550" s="3590"/>
      <c r="W550" s="2125"/>
      <c r="X550" s="2125"/>
      <c r="Y550" s="2125"/>
      <c r="Z550" s="765"/>
      <c r="AA550" s="2426"/>
      <c r="AB550" s="2657"/>
      <c r="AC550" s="2125"/>
      <c r="AD550" s="2125"/>
      <c r="AE550" s="2125"/>
      <c r="AF550" s="2125"/>
      <c r="AG550" s="2125"/>
      <c r="BB550" s="647"/>
      <c r="BC550" s="658"/>
      <c r="BD550" s="757"/>
      <c r="BE550" s="659"/>
    </row>
    <row r="551" spans="1:57" s="64" customFormat="1" outlineLevel="1" x14ac:dyDescent="0.25">
      <c r="A551" s="1393"/>
      <c r="B551" s="157"/>
      <c r="C551" s="385"/>
      <c r="D551" s="3787"/>
      <c r="E551" s="3785"/>
      <c r="F551" s="3647" t="str">
        <f t="shared" si="61"/>
        <v>CAC - SEER 20 ROF: MF</v>
      </c>
      <c r="G551" s="3648"/>
      <c r="H551" s="3649"/>
      <c r="I551" s="3056"/>
      <c r="J551" s="2725"/>
      <c r="K551" s="163"/>
      <c r="L551" s="3204" t="s">
        <v>1089</v>
      </c>
      <c r="M551" s="385"/>
      <c r="N551" s="1746"/>
      <c r="O551" s="385"/>
      <c r="P551" s="157"/>
      <c r="Q551" s="157"/>
      <c r="R551" s="157"/>
      <c r="S551" s="157"/>
      <c r="T551" s="157"/>
      <c r="U551" s="157"/>
      <c r="V551" s="3590"/>
      <c r="W551" s="2125"/>
      <c r="X551" s="2125"/>
      <c r="Y551" s="2125"/>
      <c r="Z551" s="765"/>
      <c r="AA551" s="2426"/>
      <c r="AB551" s="2657"/>
      <c r="AC551" s="2125"/>
      <c r="AD551" s="2125"/>
      <c r="AE551" s="2125"/>
      <c r="AF551" s="2125"/>
      <c r="AG551" s="2125"/>
      <c r="BB551" s="647"/>
      <c r="BC551" s="658"/>
      <c r="BD551" s="757"/>
      <c r="BE551" s="659"/>
    </row>
    <row r="552" spans="1:57" s="64" customFormat="1" outlineLevel="1" x14ac:dyDescent="0.25">
      <c r="A552" s="1393"/>
      <c r="B552" s="157"/>
      <c r="C552" s="385"/>
      <c r="D552" s="3787"/>
      <c r="E552" s="3785"/>
      <c r="F552" s="3647" t="str">
        <f t="shared" si="61"/>
        <v>CAC - SEER 20 ROF: MF_CompE</v>
      </c>
      <c r="G552" s="3648"/>
      <c r="H552" s="3649"/>
      <c r="I552" s="3056"/>
      <c r="J552" s="2725"/>
      <c r="K552" s="163"/>
      <c r="L552" s="3204" t="s">
        <v>1089</v>
      </c>
      <c r="M552" s="385"/>
      <c r="N552" s="1746"/>
      <c r="O552" s="385"/>
      <c r="P552" s="157"/>
      <c r="Q552" s="157"/>
      <c r="R552" s="157"/>
      <c r="S552" s="157"/>
      <c r="T552" s="157"/>
      <c r="U552" s="157"/>
      <c r="V552" s="3590"/>
      <c r="W552" s="2125"/>
      <c r="X552" s="2125"/>
      <c r="Y552" s="2125"/>
      <c r="Z552" s="765"/>
      <c r="AA552" s="2426"/>
      <c r="AB552" s="2657"/>
      <c r="AC552" s="2125"/>
      <c r="AD552" s="2125"/>
      <c r="AE552" s="2125"/>
      <c r="AF552" s="2125"/>
      <c r="AG552" s="2125"/>
      <c r="BB552" s="647"/>
      <c r="BC552" s="658"/>
      <c r="BD552" s="757"/>
      <c r="BE552" s="659"/>
    </row>
    <row r="553" spans="1:57" s="64" customFormat="1" outlineLevel="1" x14ac:dyDescent="0.25">
      <c r="A553" s="1393"/>
      <c r="B553" s="157"/>
      <c r="C553" s="385"/>
      <c r="D553" s="3787"/>
      <c r="E553" s="3785"/>
      <c r="F553" s="3647" t="str">
        <f t="shared" si="61"/>
        <v>CAC - SEER 21+ ER1: SF</v>
      </c>
      <c r="G553" s="3648"/>
      <c r="H553" s="3649"/>
      <c r="I553" s="3056"/>
      <c r="J553" s="2725">
        <v>8.33</v>
      </c>
      <c r="K553" s="163"/>
      <c r="L553" s="3204" t="s">
        <v>1089</v>
      </c>
      <c r="M553" s="385"/>
      <c r="N553" s="1746"/>
      <c r="O553" s="385"/>
      <c r="P553" s="157"/>
      <c r="Q553" s="157"/>
      <c r="R553" s="157"/>
      <c r="S553" s="157"/>
      <c r="T553" s="157"/>
      <c r="U553" s="157"/>
      <c r="V553" s="3590"/>
      <c r="W553" s="2125"/>
      <c r="X553" s="765"/>
      <c r="Y553" s="2125"/>
      <c r="Z553" s="765">
        <v>8.33</v>
      </c>
      <c r="AA553" s="2426">
        <v>8.33</v>
      </c>
      <c r="AB553" s="2657">
        <v>8.33</v>
      </c>
      <c r="AC553" s="2125"/>
      <c r="AD553" s="2125"/>
      <c r="AE553" s="2125"/>
      <c r="AF553" s="2125"/>
      <c r="AG553" s="2125"/>
      <c r="BB553" s="647"/>
      <c r="BC553" s="658"/>
      <c r="BD553" s="757"/>
      <c r="BE553" s="659"/>
    </row>
    <row r="554" spans="1:57" s="64" customFormat="1" ht="14.45" customHeight="1" outlineLevel="1" x14ac:dyDescent="0.25">
      <c r="A554" s="1393"/>
      <c r="B554" s="157"/>
      <c r="C554" s="385"/>
      <c r="D554" s="3787"/>
      <c r="E554" s="3785"/>
      <c r="F554" s="3647" t="str">
        <f t="shared" si="61"/>
        <v>CAC - SEER 21+ ER2: SF</v>
      </c>
      <c r="G554" s="3648"/>
      <c r="H554" s="3649"/>
      <c r="I554" s="3056"/>
      <c r="J554" s="2725"/>
      <c r="K554" s="163"/>
      <c r="L554" s="3204" t="s">
        <v>1089</v>
      </c>
      <c r="M554" s="385"/>
      <c r="N554" s="1746"/>
      <c r="O554" s="385"/>
      <c r="P554" s="157"/>
      <c r="Q554" s="157"/>
      <c r="R554" s="157"/>
      <c r="S554" s="157"/>
      <c r="T554" s="157"/>
      <c r="U554" s="157"/>
      <c r="V554" s="3590"/>
      <c r="W554" s="2125"/>
      <c r="X554" s="2125"/>
      <c r="Y554" s="2125"/>
      <c r="Z554" s="765"/>
      <c r="AA554" s="2426"/>
      <c r="AB554" s="2657"/>
      <c r="AC554" s="2125"/>
      <c r="AD554" s="2125"/>
      <c r="AE554" s="2125"/>
      <c r="AF554" s="2125"/>
      <c r="AG554" s="2125"/>
      <c r="BB554" s="647"/>
      <c r="BC554" s="658"/>
      <c r="BD554" s="757"/>
      <c r="BE554" s="659"/>
    </row>
    <row r="555" spans="1:57" s="64" customFormat="1" ht="14.45" customHeight="1" outlineLevel="1" x14ac:dyDescent="0.25">
      <c r="A555" s="1393"/>
      <c r="B555" s="157"/>
      <c r="C555" s="385"/>
      <c r="D555" s="3787"/>
      <c r="E555" s="3785"/>
      <c r="F555" s="3647" t="str">
        <f t="shared" si="61"/>
        <v>CAC - SEER 21+ ROF: SF</v>
      </c>
      <c r="G555" s="3648"/>
      <c r="H555" s="3649"/>
      <c r="I555" s="3056"/>
      <c r="J555" s="2725"/>
      <c r="K555" s="163"/>
      <c r="L555" s="3204" t="s">
        <v>1089</v>
      </c>
      <c r="M555" s="385"/>
      <c r="N555" s="1746"/>
      <c r="O555" s="385"/>
      <c r="P555" s="157"/>
      <c r="Q555" s="157"/>
      <c r="R555" s="157"/>
      <c r="S555" s="157"/>
      <c r="T555" s="157"/>
      <c r="U555" s="157"/>
      <c r="V555" s="3590"/>
      <c r="W555" s="2125"/>
      <c r="X555" s="2125"/>
      <c r="Y555" s="2125"/>
      <c r="Z555" s="765"/>
      <c r="AA555" s="2426"/>
      <c r="AB555" s="2657"/>
      <c r="AC555" s="2125"/>
      <c r="AD555" s="2125"/>
      <c r="AE555" s="2125"/>
      <c r="AF555" s="2125"/>
      <c r="AG555" s="2125"/>
      <c r="BB555" s="647"/>
      <c r="BC555" s="658"/>
      <c r="BD555" s="757"/>
      <c r="BE555" s="659"/>
    </row>
    <row r="556" spans="1:57" s="64" customFormat="1" ht="14.45" customHeight="1" outlineLevel="1" x14ac:dyDescent="0.25">
      <c r="A556" s="1393"/>
      <c r="B556" s="157"/>
      <c r="C556" s="385"/>
      <c r="D556" s="3787"/>
      <c r="E556" s="3785"/>
      <c r="F556" s="3647" t="str">
        <f t="shared" si="61"/>
        <v>CAC - SEER 21+ ER1: MF</v>
      </c>
      <c r="G556" s="3648"/>
      <c r="H556" s="3649"/>
      <c r="I556" s="3056"/>
      <c r="J556" s="2725">
        <v>8.33</v>
      </c>
      <c r="K556" s="163"/>
      <c r="L556" s="3204" t="s">
        <v>1089</v>
      </c>
      <c r="M556" s="385"/>
      <c r="N556" s="1746"/>
      <c r="O556" s="385"/>
      <c r="P556" s="157"/>
      <c r="Q556" s="157"/>
      <c r="R556" s="157"/>
      <c r="S556" s="157"/>
      <c r="T556" s="157"/>
      <c r="U556" s="157"/>
      <c r="V556" s="3590"/>
      <c r="W556" s="2125"/>
      <c r="X556" s="765"/>
      <c r="Y556" s="2125"/>
      <c r="Z556" s="765">
        <v>8.33</v>
      </c>
      <c r="AA556" s="2426">
        <v>8.33</v>
      </c>
      <c r="AB556" s="2657">
        <v>8.33</v>
      </c>
      <c r="AC556" s="2125"/>
      <c r="AD556" s="2125"/>
      <c r="AE556" s="2125"/>
      <c r="AF556" s="2125"/>
      <c r="AG556" s="2125"/>
      <c r="BB556" s="647"/>
      <c r="BC556" s="658"/>
      <c r="BD556" s="757"/>
      <c r="BE556" s="659"/>
    </row>
    <row r="557" spans="1:57" s="64" customFormat="1" ht="14.45" customHeight="1" outlineLevel="1" x14ac:dyDescent="0.25">
      <c r="A557" s="1393"/>
      <c r="B557" s="157"/>
      <c r="C557" s="385"/>
      <c r="D557" s="3787"/>
      <c r="E557" s="3785"/>
      <c r="F557" s="3647" t="str">
        <f t="shared" si="61"/>
        <v>CAC - SEER 21+ ER2: MF</v>
      </c>
      <c r="G557" s="3648"/>
      <c r="H557" s="3649"/>
      <c r="I557" s="3056"/>
      <c r="J557" s="2725"/>
      <c r="K557" s="163"/>
      <c r="L557" s="3204" t="s">
        <v>1089</v>
      </c>
      <c r="M557" s="385"/>
      <c r="N557" s="1746"/>
      <c r="O557" s="385"/>
      <c r="P557" s="157"/>
      <c r="Q557" s="157"/>
      <c r="R557" s="157"/>
      <c r="S557" s="157"/>
      <c r="T557" s="157"/>
      <c r="U557" s="157"/>
      <c r="V557" s="3590"/>
      <c r="W557" s="2125"/>
      <c r="X557" s="2125"/>
      <c r="Y557" s="2125"/>
      <c r="Z557" s="765"/>
      <c r="AA557" s="2426"/>
      <c r="AB557" s="2657"/>
      <c r="AC557" s="2125"/>
      <c r="AD557" s="2125"/>
      <c r="AE557" s="2125"/>
      <c r="AF557" s="2125"/>
      <c r="AG557" s="2125"/>
      <c r="BB557" s="647"/>
      <c r="BC557" s="658"/>
      <c r="BD557" s="757"/>
      <c r="BE557" s="659"/>
    </row>
    <row r="558" spans="1:57" s="64" customFormat="1" ht="14.45" customHeight="1" outlineLevel="1" x14ac:dyDescent="0.25">
      <c r="A558" s="1393"/>
      <c r="B558" s="157"/>
      <c r="C558" s="385"/>
      <c r="D558" s="3787"/>
      <c r="E558" s="3785"/>
      <c r="F558" s="3647" t="str">
        <f t="shared" si="61"/>
        <v>CAC - SEER 21+ ER1: MF_CompE</v>
      </c>
      <c r="G558" s="3648"/>
      <c r="H558" s="3649"/>
      <c r="I558" s="778"/>
      <c r="J558" s="2725">
        <v>8.33</v>
      </c>
      <c r="K558" s="3205"/>
      <c r="L558" s="3204" t="s">
        <v>1089</v>
      </c>
      <c r="M558" s="385"/>
      <c r="N558" s="1746"/>
      <c r="O558" s="385"/>
      <c r="P558" s="157"/>
      <c r="Q558" s="157"/>
      <c r="R558" s="157"/>
      <c r="S558" s="157"/>
      <c r="T558" s="157"/>
      <c r="U558" s="157"/>
      <c r="V558" s="3590"/>
      <c r="W558" s="2178"/>
      <c r="X558" s="778"/>
      <c r="Y558" s="778"/>
      <c r="Z558" s="777">
        <v>8.33</v>
      </c>
      <c r="AA558" s="778">
        <v>8.33</v>
      </c>
      <c r="AB558" s="2657">
        <v>8.33</v>
      </c>
      <c r="AC558" s="778"/>
      <c r="AD558" s="778"/>
      <c r="AE558" s="778"/>
      <c r="AF558" s="778"/>
      <c r="AG558" s="778"/>
      <c r="BB558" s="647"/>
      <c r="BC558" s="658"/>
      <c r="BD558" s="757"/>
      <c r="BE558" s="659"/>
    </row>
    <row r="559" spans="1:57" s="64" customFormat="1" ht="14.45" customHeight="1" outlineLevel="1" x14ac:dyDescent="0.25">
      <c r="A559" s="1393"/>
      <c r="B559" s="157"/>
      <c r="C559" s="385"/>
      <c r="D559" s="3787"/>
      <c r="E559" s="3785"/>
      <c r="F559" s="3647" t="str">
        <f t="shared" si="61"/>
        <v>CAC - SEER 21+ ER2: MF_CompE</v>
      </c>
      <c r="G559" s="3648"/>
      <c r="H559" s="3649"/>
      <c r="I559" s="778"/>
      <c r="J559" s="3198"/>
      <c r="K559" s="3205"/>
      <c r="L559" s="3204" t="s">
        <v>1089</v>
      </c>
      <c r="M559" s="385"/>
      <c r="N559" s="1746"/>
      <c r="O559" s="385"/>
      <c r="P559" s="157"/>
      <c r="Q559" s="157"/>
      <c r="R559" s="157"/>
      <c r="S559" s="157"/>
      <c r="T559" s="157"/>
      <c r="U559" s="157"/>
      <c r="V559" s="3590"/>
      <c r="W559" s="2178"/>
      <c r="X559" s="778"/>
      <c r="Y559" s="778"/>
      <c r="Z559" s="777"/>
      <c r="AA559" s="778"/>
      <c r="AB559" s="2659"/>
      <c r="AC559" s="778"/>
      <c r="AD559" s="778"/>
      <c r="AE559" s="778"/>
      <c r="AF559" s="778"/>
      <c r="AG559" s="778"/>
      <c r="BB559" s="647"/>
      <c r="BC559" s="658"/>
      <c r="BD559" s="757"/>
      <c r="BE559" s="659"/>
    </row>
    <row r="560" spans="1:57" s="64" customFormat="1" ht="15" customHeight="1" outlineLevel="1" x14ac:dyDescent="0.25">
      <c r="A560" s="1393"/>
      <c r="B560" s="157"/>
      <c r="C560" s="385"/>
      <c r="D560" s="3787"/>
      <c r="E560" s="3785"/>
      <c r="F560" s="3647" t="str">
        <f t="shared" si="61"/>
        <v>CAC - SEER 21+ ROF: MF</v>
      </c>
      <c r="G560" s="3648"/>
      <c r="H560" s="3649"/>
      <c r="I560" s="3056"/>
      <c r="J560" s="2725"/>
      <c r="K560" s="163"/>
      <c r="L560" s="3204" t="s">
        <v>1089</v>
      </c>
      <c r="M560" s="385"/>
      <c r="N560" s="1746"/>
      <c r="O560" s="385"/>
      <c r="P560" s="157"/>
      <c r="Q560" s="157"/>
      <c r="R560" s="157"/>
      <c r="S560" s="157"/>
      <c r="T560" s="157"/>
      <c r="U560" s="157"/>
      <c r="V560" s="3590"/>
      <c r="W560" s="2178"/>
      <c r="X560" s="2125"/>
      <c r="Y560" s="2125"/>
      <c r="Z560" s="765"/>
      <c r="AA560" s="2426"/>
      <c r="AB560" s="2657"/>
      <c r="AC560" s="2125"/>
      <c r="AD560" s="2125"/>
      <c r="AE560" s="2125"/>
      <c r="AF560" s="2125"/>
      <c r="AG560" s="2125"/>
      <c r="BB560" s="647"/>
      <c r="BC560" s="658"/>
      <c r="BD560" s="757"/>
      <c r="BE560" s="659"/>
    </row>
    <row r="561" spans="1:57" s="64" customFormat="1" ht="15.75" outlineLevel="1" thickBot="1" x14ac:dyDescent="0.3">
      <c r="A561" s="1393"/>
      <c r="B561" s="157"/>
      <c r="C561" s="385"/>
      <c r="D561" s="3788"/>
      <c r="E561" s="3786"/>
      <c r="F561" s="3647" t="str">
        <f t="shared" si="61"/>
        <v>CAC - SEER 21+ ROF: MF_CompE</v>
      </c>
      <c r="G561" s="3648"/>
      <c r="H561" s="3649"/>
      <c r="I561" s="780"/>
      <c r="J561" s="3206"/>
      <c r="K561" s="3207"/>
      <c r="L561" s="3208" t="s">
        <v>1089</v>
      </c>
      <c r="M561" s="385"/>
      <c r="N561" s="1746"/>
      <c r="O561" s="385"/>
      <c r="P561" s="157"/>
      <c r="Q561" s="157"/>
      <c r="R561" s="157"/>
      <c r="S561" s="157"/>
      <c r="T561" s="157"/>
      <c r="U561" s="157"/>
      <c r="V561" s="3591"/>
      <c r="W561" s="2178"/>
      <c r="X561" s="2127"/>
      <c r="Y561" s="2127"/>
      <c r="Z561" s="846"/>
      <c r="AA561" s="2127"/>
      <c r="AB561" s="2661"/>
      <c r="AC561" s="2127"/>
      <c r="AD561" s="2127"/>
      <c r="AE561" s="2127"/>
      <c r="AF561" s="2127"/>
      <c r="AG561" s="2127"/>
      <c r="BB561" s="647"/>
      <c r="BC561" s="658"/>
      <c r="BD561" s="757"/>
      <c r="BE561" s="659"/>
    </row>
    <row r="562" spans="1:57" s="512" customFormat="1" ht="14.45" customHeight="1" outlineLevel="1" x14ac:dyDescent="0.25">
      <c r="A562" s="2462"/>
      <c r="B562" s="413"/>
      <c r="C562" s="385"/>
      <c r="D562" s="3588" t="s">
        <v>722</v>
      </c>
      <c r="E562" s="3720" t="s">
        <v>1203</v>
      </c>
      <c r="F562" s="3654" t="str">
        <f t="shared" si="61"/>
        <v>CAC - SEER 14 ER1: SF</v>
      </c>
      <c r="G562" s="3655"/>
      <c r="H562" s="3656"/>
      <c r="I562" s="3209"/>
      <c r="J562" s="793">
        <v>1</v>
      </c>
      <c r="K562" s="3210"/>
      <c r="L562" s="3211"/>
      <c r="M562" s="385"/>
      <c r="N562" s="1746"/>
      <c r="O562" s="385"/>
      <c r="P562" s="413"/>
      <c r="Q562" s="413"/>
      <c r="R562" s="413"/>
      <c r="S562" s="413"/>
      <c r="T562" s="413"/>
      <c r="U562" s="413"/>
      <c r="V562" s="3588" t="str">
        <f>D562</f>
        <v>HF</v>
      </c>
      <c r="W562" s="793">
        <v>1</v>
      </c>
      <c r="X562" s="793">
        <f>W562</f>
        <v>1</v>
      </c>
      <c r="Y562" s="793">
        <v>1</v>
      </c>
      <c r="Z562" s="793">
        <v>1</v>
      </c>
      <c r="AA562" s="793">
        <v>1</v>
      </c>
      <c r="AB562" s="793">
        <v>1</v>
      </c>
      <c r="AC562" s="793"/>
      <c r="AD562" s="793"/>
      <c r="AE562" s="793"/>
      <c r="AF562" s="793"/>
      <c r="AG562" s="793"/>
      <c r="BB562" s="794"/>
      <c r="BC562" s="658"/>
      <c r="BD562" s="757"/>
      <c r="BE562" s="659"/>
    </row>
    <row r="563" spans="1:57" s="512" customFormat="1" ht="14.45" customHeight="1" outlineLevel="1" x14ac:dyDescent="0.25">
      <c r="A563" s="2462"/>
      <c r="B563" s="413"/>
      <c r="C563" s="385"/>
      <c r="D563" s="3589"/>
      <c r="E563" s="3721"/>
      <c r="F563" s="3659" t="str">
        <f t="shared" si="61"/>
        <v>CAC - SEER 14 ER2: SF</v>
      </c>
      <c r="G563" s="3660"/>
      <c r="H563" s="3661"/>
      <c r="I563" s="3212"/>
      <c r="J563" s="795">
        <v>1</v>
      </c>
      <c r="K563" s="3213"/>
      <c r="L563" s="3214"/>
      <c r="M563" s="385"/>
      <c r="N563" s="1746"/>
      <c r="O563" s="385"/>
      <c r="P563" s="413"/>
      <c r="Q563" s="413"/>
      <c r="R563" s="413"/>
      <c r="S563" s="413"/>
      <c r="T563" s="413"/>
      <c r="U563" s="413"/>
      <c r="V563" s="3589"/>
      <c r="W563" s="795">
        <v>1</v>
      </c>
      <c r="X563" s="795">
        <f>W563</f>
        <v>1</v>
      </c>
      <c r="Y563" s="795">
        <v>1</v>
      </c>
      <c r="Z563" s="795">
        <v>1</v>
      </c>
      <c r="AA563" s="795">
        <v>1</v>
      </c>
      <c r="AB563" s="795">
        <v>1</v>
      </c>
      <c r="AC563" s="795"/>
      <c r="AD563" s="795"/>
      <c r="AE563" s="795"/>
      <c r="AF563" s="795"/>
      <c r="AG563" s="795"/>
      <c r="BB563" s="794"/>
      <c r="BC563" s="658"/>
      <c r="BD563" s="757"/>
      <c r="BE563" s="659"/>
    </row>
    <row r="564" spans="1:57" s="512" customFormat="1" ht="14.45" customHeight="1" outlineLevel="1" x14ac:dyDescent="0.25">
      <c r="A564" s="2462"/>
      <c r="B564" s="413"/>
      <c r="C564" s="385"/>
      <c r="D564" s="3589"/>
      <c r="E564" s="3721"/>
      <c r="F564" s="3659" t="str">
        <f t="shared" si="61"/>
        <v>CAC - SEER 14 ROF: SF</v>
      </c>
      <c r="G564" s="3660"/>
      <c r="H564" s="3661"/>
      <c r="I564" s="3212"/>
      <c r="J564" s="795">
        <v>1</v>
      </c>
      <c r="K564" s="3213"/>
      <c r="L564" s="3214"/>
      <c r="M564" s="385"/>
      <c r="N564" s="1746"/>
      <c r="O564" s="385"/>
      <c r="P564" s="413"/>
      <c r="Q564" s="413"/>
      <c r="R564" s="413"/>
      <c r="S564" s="413"/>
      <c r="T564" s="413"/>
      <c r="U564" s="413"/>
      <c r="V564" s="3589"/>
      <c r="W564" s="795">
        <v>1</v>
      </c>
      <c r="X564" s="795">
        <f>W564</f>
        <v>1</v>
      </c>
      <c r="Y564" s="795">
        <v>1</v>
      </c>
      <c r="Z564" s="795">
        <v>1</v>
      </c>
      <c r="AA564" s="795">
        <v>1</v>
      </c>
      <c r="AB564" s="795">
        <v>1</v>
      </c>
      <c r="AC564" s="795"/>
      <c r="AD564" s="795"/>
      <c r="AE564" s="795"/>
      <c r="AF564" s="795"/>
      <c r="AG564" s="795"/>
      <c r="BB564" s="794"/>
      <c r="BC564" s="658"/>
      <c r="BD564" s="757"/>
      <c r="BE564" s="659"/>
    </row>
    <row r="565" spans="1:57" s="512" customFormat="1" ht="14.45" customHeight="1" outlineLevel="1" x14ac:dyDescent="0.25">
      <c r="A565" s="2462"/>
      <c r="B565" s="413"/>
      <c r="C565" s="385"/>
      <c r="D565" s="3589"/>
      <c r="E565" s="3721"/>
      <c r="F565" s="3647" t="str">
        <f t="shared" si="61"/>
        <v>CAC - SEER 14 ER1: MF</v>
      </c>
      <c r="G565" s="3648"/>
      <c r="H565" s="3649"/>
      <c r="I565" s="3212"/>
      <c r="J565" s="795">
        <v>1</v>
      </c>
      <c r="K565" s="3213"/>
      <c r="L565" s="3214"/>
      <c r="M565" s="385"/>
      <c r="N565" s="1746"/>
      <c r="O565" s="385"/>
      <c r="P565" s="413"/>
      <c r="Q565" s="413"/>
      <c r="R565" s="413"/>
      <c r="S565" s="413"/>
      <c r="T565" s="413"/>
      <c r="U565" s="413"/>
      <c r="V565" s="3589"/>
      <c r="W565" s="795">
        <v>0.65</v>
      </c>
      <c r="X565" s="796">
        <v>1</v>
      </c>
      <c r="Y565" s="795">
        <v>1</v>
      </c>
      <c r="Z565" s="795">
        <v>1</v>
      </c>
      <c r="AA565" s="795">
        <v>1</v>
      </c>
      <c r="AB565" s="795">
        <v>1</v>
      </c>
      <c r="AC565" s="795"/>
      <c r="AD565" s="795"/>
      <c r="AE565" s="795"/>
      <c r="AF565" s="795"/>
      <c r="AG565" s="795"/>
      <c r="BB565" s="794"/>
      <c r="BC565" s="658"/>
      <c r="BD565" s="757"/>
      <c r="BE565" s="659"/>
    </row>
    <row r="566" spans="1:57" s="512" customFormat="1" ht="14.45" customHeight="1" outlineLevel="1" x14ac:dyDescent="0.25">
      <c r="A566" s="2462"/>
      <c r="B566" s="413"/>
      <c r="C566" s="385"/>
      <c r="D566" s="3589"/>
      <c r="E566" s="3721"/>
      <c r="F566" s="3647" t="str">
        <f t="shared" si="61"/>
        <v>CAC - SEER 14 ER2: MF</v>
      </c>
      <c r="G566" s="3648"/>
      <c r="H566" s="3649"/>
      <c r="I566" s="3212"/>
      <c r="J566" s="795">
        <v>1</v>
      </c>
      <c r="K566" s="3213"/>
      <c r="L566" s="3214"/>
      <c r="M566" s="385"/>
      <c r="N566" s="1746"/>
      <c r="O566" s="385"/>
      <c r="P566" s="413"/>
      <c r="Q566" s="413"/>
      <c r="R566" s="413"/>
      <c r="S566" s="413"/>
      <c r="T566" s="413"/>
      <c r="U566" s="413"/>
      <c r="V566" s="3589"/>
      <c r="W566" s="795">
        <v>0.65</v>
      </c>
      <c r="X566" s="796">
        <v>1</v>
      </c>
      <c r="Y566" s="795">
        <v>1</v>
      </c>
      <c r="Z566" s="795">
        <v>1</v>
      </c>
      <c r="AA566" s="795">
        <v>1</v>
      </c>
      <c r="AB566" s="795">
        <v>1</v>
      </c>
      <c r="AC566" s="795"/>
      <c r="AD566" s="795"/>
      <c r="AE566" s="795"/>
      <c r="AF566" s="795"/>
      <c r="AG566" s="795"/>
      <c r="BB566" s="794"/>
      <c r="BC566" s="658"/>
      <c r="BD566" s="757"/>
      <c r="BE566" s="659"/>
    </row>
    <row r="567" spans="1:57" s="512" customFormat="1" ht="14.45" customHeight="1" outlineLevel="1" x14ac:dyDescent="0.25">
      <c r="A567" s="2462"/>
      <c r="B567" s="413"/>
      <c r="C567" s="385"/>
      <c r="D567" s="3589"/>
      <c r="E567" s="3721"/>
      <c r="F567" s="3647" t="str">
        <f t="shared" si="61"/>
        <v>CAC - SEER 14 ER1: MF_CompE</v>
      </c>
      <c r="G567" s="3648"/>
      <c r="H567" s="3649"/>
      <c r="I567" s="3212"/>
      <c r="J567" s="795">
        <v>1</v>
      </c>
      <c r="K567" s="3213"/>
      <c r="L567" s="3214"/>
      <c r="M567" s="385"/>
      <c r="N567" s="1746"/>
      <c r="O567" s="385"/>
      <c r="P567" s="413"/>
      <c r="Q567" s="413"/>
      <c r="R567" s="413"/>
      <c r="S567" s="413"/>
      <c r="T567" s="413"/>
      <c r="U567" s="413"/>
      <c r="V567" s="3589"/>
      <c r="W567" s="795"/>
      <c r="X567" s="796"/>
      <c r="Y567" s="795">
        <v>1</v>
      </c>
      <c r="Z567" s="795">
        <v>1</v>
      </c>
      <c r="AA567" s="795">
        <v>1</v>
      </c>
      <c r="AB567" s="795">
        <v>1</v>
      </c>
      <c r="AC567" s="795"/>
      <c r="AD567" s="795"/>
      <c r="AE567" s="795"/>
      <c r="AF567" s="795"/>
      <c r="AG567" s="795"/>
      <c r="BB567" s="794"/>
      <c r="BC567" s="658"/>
      <c r="BD567" s="757"/>
      <c r="BE567" s="659"/>
    </row>
    <row r="568" spans="1:57" s="512" customFormat="1" ht="14.45" customHeight="1" outlineLevel="1" x14ac:dyDescent="0.25">
      <c r="A568" s="2462"/>
      <c r="B568" s="413"/>
      <c r="C568" s="385"/>
      <c r="D568" s="3589"/>
      <c r="E568" s="3721"/>
      <c r="F568" s="3647" t="str">
        <f t="shared" si="61"/>
        <v>CAC - SEER 14 ER2: MF_CompE</v>
      </c>
      <c r="G568" s="3648"/>
      <c r="H568" s="3649"/>
      <c r="I568" s="3212"/>
      <c r="J568" s="795">
        <v>1</v>
      </c>
      <c r="K568" s="3213"/>
      <c r="L568" s="3214"/>
      <c r="M568" s="385"/>
      <c r="N568" s="1746"/>
      <c r="O568" s="385"/>
      <c r="P568" s="413"/>
      <c r="Q568" s="413"/>
      <c r="R568" s="413"/>
      <c r="S568" s="413"/>
      <c r="T568" s="413"/>
      <c r="U568" s="413"/>
      <c r="V568" s="3589"/>
      <c r="W568" s="795"/>
      <c r="X568" s="796"/>
      <c r="Y568" s="795">
        <v>1</v>
      </c>
      <c r="Z568" s="795">
        <v>1</v>
      </c>
      <c r="AA568" s="795">
        <v>1</v>
      </c>
      <c r="AB568" s="795">
        <v>1</v>
      </c>
      <c r="AC568" s="795"/>
      <c r="AD568" s="795"/>
      <c r="AE568" s="795"/>
      <c r="AF568" s="795"/>
      <c r="AG568" s="795"/>
      <c r="BB568" s="794"/>
      <c r="BC568" s="658"/>
      <c r="BD568" s="757"/>
      <c r="BE568" s="659"/>
    </row>
    <row r="569" spans="1:57" s="512" customFormat="1" ht="14.45" customHeight="1" outlineLevel="1" x14ac:dyDescent="0.25">
      <c r="A569" s="2462"/>
      <c r="B569" s="413"/>
      <c r="C569" s="385"/>
      <c r="D569" s="3589"/>
      <c r="E569" s="3721"/>
      <c r="F569" s="3647" t="str">
        <f t="shared" si="61"/>
        <v>CAC - SEER 14 ROF: MF</v>
      </c>
      <c r="G569" s="3648"/>
      <c r="H569" s="3649"/>
      <c r="I569" s="3212"/>
      <c r="J569" s="795">
        <v>1</v>
      </c>
      <c r="K569" s="3213"/>
      <c r="L569" s="3214"/>
      <c r="M569" s="385"/>
      <c r="N569" s="1746"/>
      <c r="O569" s="385"/>
      <c r="P569" s="413"/>
      <c r="Q569" s="413"/>
      <c r="R569" s="413"/>
      <c r="S569" s="413"/>
      <c r="T569" s="413"/>
      <c r="U569" s="413"/>
      <c r="V569" s="3589"/>
      <c r="W569" s="795">
        <v>0.65</v>
      </c>
      <c r="X569" s="796">
        <v>1</v>
      </c>
      <c r="Y569" s="795">
        <v>1</v>
      </c>
      <c r="Z569" s="795">
        <v>1</v>
      </c>
      <c r="AA569" s="795">
        <v>1</v>
      </c>
      <c r="AB569" s="795">
        <v>1</v>
      </c>
      <c r="AC569" s="795"/>
      <c r="AD569" s="795"/>
      <c r="AE569" s="795"/>
      <c r="AF569" s="795"/>
      <c r="AG569" s="795"/>
      <c r="BB569" s="794"/>
      <c r="BC569" s="658"/>
      <c r="BD569" s="757"/>
      <c r="BE569" s="659"/>
    </row>
    <row r="570" spans="1:57" s="512" customFormat="1" ht="14.45" customHeight="1" outlineLevel="1" x14ac:dyDescent="0.25">
      <c r="A570" s="2462"/>
      <c r="B570" s="413"/>
      <c r="C570" s="385"/>
      <c r="D570" s="3589"/>
      <c r="E570" s="3721"/>
      <c r="F570" s="3647" t="str">
        <f t="shared" si="61"/>
        <v>CAC - SEER 14 ROF: MF_CompE</v>
      </c>
      <c r="G570" s="3648"/>
      <c r="H570" s="3649"/>
      <c r="I570" s="3212"/>
      <c r="J570" s="795">
        <v>1</v>
      </c>
      <c r="K570" s="3213"/>
      <c r="L570" s="3214"/>
      <c r="M570" s="385"/>
      <c r="N570" s="1746"/>
      <c r="O570" s="385"/>
      <c r="P570" s="413"/>
      <c r="Q570" s="413"/>
      <c r="R570" s="413"/>
      <c r="S570" s="413"/>
      <c r="T570" s="413"/>
      <c r="U570" s="413"/>
      <c r="V570" s="3589"/>
      <c r="W570" s="795"/>
      <c r="X570" s="796"/>
      <c r="Y570" s="795">
        <v>1</v>
      </c>
      <c r="Z570" s="795">
        <v>1</v>
      </c>
      <c r="AA570" s="795">
        <v>1</v>
      </c>
      <c r="AB570" s="795">
        <v>1</v>
      </c>
      <c r="AC570" s="795"/>
      <c r="AD570" s="795"/>
      <c r="AE570" s="795"/>
      <c r="AF570" s="795"/>
      <c r="AG570" s="795"/>
      <c r="BB570" s="794"/>
      <c r="BC570" s="658"/>
      <c r="BD570" s="757"/>
      <c r="BE570" s="659"/>
    </row>
    <row r="571" spans="1:57" s="512" customFormat="1" ht="14.45" customHeight="1" outlineLevel="1" x14ac:dyDescent="0.25">
      <c r="A571" s="2462"/>
      <c r="B571" s="413"/>
      <c r="C571" s="385"/>
      <c r="D571" s="3589"/>
      <c r="E571" s="3721"/>
      <c r="F571" s="3647" t="str">
        <f t="shared" si="61"/>
        <v>CAC - SEER 15 ER1: SF</v>
      </c>
      <c r="G571" s="3648"/>
      <c r="H571" s="3649"/>
      <c r="I571" s="3212"/>
      <c r="J571" s="795">
        <v>1</v>
      </c>
      <c r="K571" s="3213"/>
      <c r="L571" s="3214"/>
      <c r="M571" s="385"/>
      <c r="N571" s="1746"/>
      <c r="O571" s="385"/>
      <c r="P571" s="413"/>
      <c r="Q571" s="413"/>
      <c r="R571" s="413"/>
      <c r="S571" s="413"/>
      <c r="T571" s="413"/>
      <c r="U571" s="413"/>
      <c r="V571" s="3589"/>
      <c r="W571" s="795">
        <v>1</v>
      </c>
      <c r="X571" s="795">
        <f>W571</f>
        <v>1</v>
      </c>
      <c r="Y571" s="795">
        <v>1</v>
      </c>
      <c r="Z571" s="795">
        <v>1</v>
      </c>
      <c r="AA571" s="795">
        <v>1</v>
      </c>
      <c r="AB571" s="795">
        <v>1</v>
      </c>
      <c r="AC571" s="795"/>
      <c r="AD571" s="795"/>
      <c r="AE571" s="795"/>
      <c r="AF571" s="795"/>
      <c r="AG571" s="795"/>
      <c r="BB571" s="794"/>
      <c r="BC571" s="658"/>
      <c r="BD571" s="757"/>
      <c r="BE571" s="659"/>
    </row>
    <row r="572" spans="1:57" s="512" customFormat="1" ht="14.45" customHeight="1" outlineLevel="1" x14ac:dyDescent="0.25">
      <c r="A572" s="2462"/>
      <c r="B572" s="413"/>
      <c r="C572" s="385"/>
      <c r="D572" s="3589"/>
      <c r="E572" s="3721"/>
      <c r="F572" s="3647" t="str">
        <f t="shared" si="61"/>
        <v>CAC - SEER 15 ER2: SF</v>
      </c>
      <c r="G572" s="3648"/>
      <c r="H572" s="3649"/>
      <c r="I572" s="3212"/>
      <c r="J572" s="795">
        <v>1</v>
      </c>
      <c r="K572" s="3213"/>
      <c r="L572" s="3214"/>
      <c r="M572" s="385"/>
      <c r="N572" s="1746"/>
      <c r="O572" s="385"/>
      <c r="P572" s="413"/>
      <c r="Q572" s="413"/>
      <c r="R572" s="413"/>
      <c r="S572" s="413"/>
      <c r="T572" s="413"/>
      <c r="U572" s="413"/>
      <c r="V572" s="3589"/>
      <c r="W572" s="795">
        <v>1</v>
      </c>
      <c r="X572" s="795">
        <f>W572</f>
        <v>1</v>
      </c>
      <c r="Y572" s="795">
        <v>1</v>
      </c>
      <c r="Z572" s="795">
        <v>1</v>
      </c>
      <c r="AA572" s="795">
        <v>1</v>
      </c>
      <c r="AB572" s="795">
        <v>1</v>
      </c>
      <c r="AC572" s="795"/>
      <c r="AD572" s="795"/>
      <c r="AE572" s="795"/>
      <c r="AF572" s="795"/>
      <c r="AG572" s="795"/>
      <c r="BB572" s="794"/>
      <c r="BC572" s="658"/>
      <c r="BD572" s="757"/>
      <c r="BE572" s="659"/>
    </row>
    <row r="573" spans="1:57" s="512" customFormat="1" ht="14.45" customHeight="1" outlineLevel="1" x14ac:dyDescent="0.25">
      <c r="A573" s="2462"/>
      <c r="B573" s="413"/>
      <c r="C573" s="385"/>
      <c r="D573" s="3589"/>
      <c r="E573" s="3721"/>
      <c r="F573" s="3647" t="str">
        <f t="shared" si="61"/>
        <v>CAC - SEER 15 ROF: SF</v>
      </c>
      <c r="G573" s="3648"/>
      <c r="H573" s="3649"/>
      <c r="I573" s="3212"/>
      <c r="J573" s="795">
        <v>1</v>
      </c>
      <c r="K573" s="3213"/>
      <c r="L573" s="3214"/>
      <c r="M573" s="385"/>
      <c r="N573" s="1746"/>
      <c r="O573" s="385"/>
      <c r="P573" s="413"/>
      <c r="Q573" s="413"/>
      <c r="R573" s="413"/>
      <c r="S573" s="413"/>
      <c r="T573" s="413"/>
      <c r="U573" s="413"/>
      <c r="V573" s="3589"/>
      <c r="W573" s="795">
        <v>1</v>
      </c>
      <c r="X573" s="795">
        <f>W573</f>
        <v>1</v>
      </c>
      <c r="Y573" s="795">
        <v>1</v>
      </c>
      <c r="Z573" s="795">
        <v>1</v>
      </c>
      <c r="AA573" s="795">
        <v>1</v>
      </c>
      <c r="AB573" s="795">
        <v>1</v>
      </c>
      <c r="AC573" s="795"/>
      <c r="AD573" s="795"/>
      <c r="AE573" s="795"/>
      <c r="AF573" s="795"/>
      <c r="AG573" s="795"/>
      <c r="BB573" s="794"/>
      <c r="BC573" s="658"/>
      <c r="BD573" s="757"/>
      <c r="BE573" s="659"/>
    </row>
    <row r="574" spans="1:57" s="512" customFormat="1" ht="14.45" customHeight="1" outlineLevel="1" x14ac:dyDescent="0.25">
      <c r="A574" s="2462"/>
      <c r="B574" s="413"/>
      <c r="C574" s="385"/>
      <c r="D574" s="3589"/>
      <c r="E574" s="3721"/>
      <c r="F574" s="3647" t="str">
        <f t="shared" si="61"/>
        <v>CAC - SEER 15 ER1: MF</v>
      </c>
      <c r="G574" s="3648"/>
      <c r="H574" s="3649"/>
      <c r="I574" s="3212"/>
      <c r="J574" s="795">
        <v>1</v>
      </c>
      <c r="K574" s="3213"/>
      <c r="L574" s="3214"/>
      <c r="M574" s="385"/>
      <c r="N574" s="1746"/>
      <c r="O574" s="385"/>
      <c r="P574" s="413"/>
      <c r="Q574" s="413"/>
      <c r="R574" s="413"/>
      <c r="S574" s="413"/>
      <c r="T574" s="413"/>
      <c r="U574" s="413"/>
      <c r="V574" s="3589"/>
      <c r="W574" s="795">
        <v>0.65</v>
      </c>
      <c r="X574" s="796">
        <v>1</v>
      </c>
      <c r="Y574" s="795">
        <v>1</v>
      </c>
      <c r="Z574" s="795">
        <v>1</v>
      </c>
      <c r="AA574" s="795">
        <v>1</v>
      </c>
      <c r="AB574" s="795">
        <v>1</v>
      </c>
      <c r="AC574" s="795"/>
      <c r="AD574" s="795"/>
      <c r="AE574" s="795"/>
      <c r="AF574" s="795"/>
      <c r="AG574" s="795"/>
      <c r="BB574" s="794"/>
      <c r="BC574" s="658"/>
      <c r="BD574" s="757"/>
      <c r="BE574" s="659"/>
    </row>
    <row r="575" spans="1:57" s="512" customFormat="1" ht="14.45" customHeight="1" outlineLevel="1" x14ac:dyDescent="0.25">
      <c r="A575" s="2462"/>
      <c r="B575" s="413"/>
      <c r="C575" s="385"/>
      <c r="D575" s="3589"/>
      <c r="E575" s="3721"/>
      <c r="F575" s="3647" t="str">
        <f t="shared" si="61"/>
        <v>CAC - SEER 15 ER2: MF</v>
      </c>
      <c r="G575" s="3648"/>
      <c r="H575" s="3649"/>
      <c r="I575" s="3212"/>
      <c r="J575" s="795">
        <v>1</v>
      </c>
      <c r="K575" s="3213"/>
      <c r="L575" s="3214"/>
      <c r="M575" s="385"/>
      <c r="N575" s="1746"/>
      <c r="O575" s="385"/>
      <c r="P575" s="413"/>
      <c r="Q575" s="413"/>
      <c r="R575" s="413"/>
      <c r="S575" s="413"/>
      <c r="T575" s="413"/>
      <c r="U575" s="413"/>
      <c r="V575" s="3589"/>
      <c r="W575" s="795">
        <v>0.65</v>
      </c>
      <c r="X575" s="796">
        <v>1</v>
      </c>
      <c r="Y575" s="795">
        <v>1</v>
      </c>
      <c r="Z575" s="795">
        <v>1</v>
      </c>
      <c r="AA575" s="795">
        <v>1</v>
      </c>
      <c r="AB575" s="795">
        <v>1</v>
      </c>
      <c r="AC575" s="795"/>
      <c r="AD575" s="795"/>
      <c r="AE575" s="795"/>
      <c r="AF575" s="795"/>
      <c r="AG575" s="795"/>
      <c r="BB575" s="794"/>
      <c r="BC575" s="658"/>
      <c r="BD575" s="757"/>
      <c r="BE575" s="659"/>
    </row>
    <row r="576" spans="1:57" s="512" customFormat="1" ht="14.45" customHeight="1" outlineLevel="1" x14ac:dyDescent="0.25">
      <c r="A576" s="2462"/>
      <c r="B576" s="413"/>
      <c r="C576" s="385"/>
      <c r="D576" s="3589"/>
      <c r="E576" s="3721"/>
      <c r="F576" s="3647" t="str">
        <f t="shared" si="61"/>
        <v>CAC - SEER 15 ER1: MF_CompE</v>
      </c>
      <c r="G576" s="3648"/>
      <c r="H576" s="3649"/>
      <c r="I576" s="3212"/>
      <c r="J576" s="795">
        <v>1</v>
      </c>
      <c r="K576" s="3213"/>
      <c r="L576" s="3214"/>
      <c r="M576" s="385"/>
      <c r="N576" s="1746"/>
      <c r="O576" s="385"/>
      <c r="P576" s="413"/>
      <c r="Q576" s="413"/>
      <c r="R576" s="413"/>
      <c r="S576" s="413"/>
      <c r="T576" s="413"/>
      <c r="U576" s="413"/>
      <c r="V576" s="3589"/>
      <c r="W576" s="795"/>
      <c r="X576" s="796"/>
      <c r="Y576" s="795">
        <v>1</v>
      </c>
      <c r="Z576" s="795">
        <v>1</v>
      </c>
      <c r="AA576" s="795">
        <v>1</v>
      </c>
      <c r="AB576" s="795">
        <v>1</v>
      </c>
      <c r="AC576" s="795"/>
      <c r="AD576" s="795"/>
      <c r="AE576" s="795"/>
      <c r="AF576" s="795"/>
      <c r="AG576" s="795"/>
      <c r="BB576" s="794"/>
      <c r="BC576" s="658"/>
      <c r="BD576" s="757"/>
      <c r="BE576" s="659"/>
    </row>
    <row r="577" spans="1:57" s="512" customFormat="1" ht="14.45" customHeight="1" outlineLevel="1" x14ac:dyDescent="0.25">
      <c r="A577" s="2462"/>
      <c r="B577" s="413"/>
      <c r="C577" s="385"/>
      <c r="D577" s="3589"/>
      <c r="E577" s="3721"/>
      <c r="F577" s="3647" t="str">
        <f t="shared" si="61"/>
        <v>CAC - SEER 15 ER2: MF_CompE</v>
      </c>
      <c r="G577" s="3648"/>
      <c r="H577" s="3649"/>
      <c r="I577" s="3212"/>
      <c r="J577" s="795">
        <v>1</v>
      </c>
      <c r="K577" s="3213"/>
      <c r="L577" s="3214"/>
      <c r="M577" s="385"/>
      <c r="N577" s="1746"/>
      <c r="O577" s="385"/>
      <c r="P577" s="413"/>
      <c r="Q577" s="413"/>
      <c r="R577" s="413"/>
      <c r="S577" s="413"/>
      <c r="T577" s="413"/>
      <c r="U577" s="413"/>
      <c r="V577" s="3589"/>
      <c r="W577" s="795"/>
      <c r="X577" s="796"/>
      <c r="Y577" s="795">
        <v>1</v>
      </c>
      <c r="Z577" s="795">
        <v>1</v>
      </c>
      <c r="AA577" s="795">
        <v>1</v>
      </c>
      <c r="AB577" s="795">
        <v>1</v>
      </c>
      <c r="AC577" s="795"/>
      <c r="AD577" s="795"/>
      <c r="AE577" s="795"/>
      <c r="AF577" s="795"/>
      <c r="AG577" s="795"/>
      <c r="BB577" s="794"/>
      <c r="BC577" s="658"/>
      <c r="BD577" s="757"/>
      <c r="BE577" s="659"/>
    </row>
    <row r="578" spans="1:57" s="512" customFormat="1" ht="14.45" customHeight="1" outlineLevel="1" x14ac:dyDescent="0.25">
      <c r="A578" s="2462"/>
      <c r="B578" s="413"/>
      <c r="C578" s="385"/>
      <c r="D578" s="3589"/>
      <c r="E578" s="3721"/>
      <c r="F578" s="3647" t="str">
        <f t="shared" si="61"/>
        <v>CAC - SEER 15 ROF: MF</v>
      </c>
      <c r="G578" s="3648"/>
      <c r="H578" s="3649"/>
      <c r="I578" s="3212"/>
      <c r="J578" s="795">
        <v>1</v>
      </c>
      <c r="K578" s="3213"/>
      <c r="L578" s="3214"/>
      <c r="M578" s="385"/>
      <c r="N578" s="1746"/>
      <c r="O578" s="385"/>
      <c r="P578" s="413"/>
      <c r="Q578" s="413"/>
      <c r="R578" s="413"/>
      <c r="S578" s="413"/>
      <c r="T578" s="413"/>
      <c r="U578" s="413"/>
      <c r="V578" s="3589"/>
      <c r="W578" s="795">
        <v>0.65</v>
      </c>
      <c r="X578" s="796">
        <v>1</v>
      </c>
      <c r="Y578" s="795">
        <v>1</v>
      </c>
      <c r="Z578" s="795">
        <v>1</v>
      </c>
      <c r="AA578" s="795">
        <v>1</v>
      </c>
      <c r="AB578" s="795">
        <v>1</v>
      </c>
      <c r="AC578" s="795"/>
      <c r="AD578" s="795"/>
      <c r="AE578" s="795"/>
      <c r="AF578" s="795"/>
      <c r="AG578" s="795"/>
      <c r="BB578" s="794"/>
      <c r="BC578" s="658"/>
      <c r="BD578" s="757"/>
      <c r="BE578" s="659"/>
    </row>
    <row r="579" spans="1:57" s="512" customFormat="1" ht="14.45" customHeight="1" outlineLevel="1" x14ac:dyDescent="0.25">
      <c r="A579" s="2462"/>
      <c r="B579" s="413"/>
      <c r="C579" s="385"/>
      <c r="D579" s="3589"/>
      <c r="E579" s="3721"/>
      <c r="F579" s="3647" t="str">
        <f t="shared" si="61"/>
        <v>CAC - SEER 15 ROF: MF_CompE</v>
      </c>
      <c r="G579" s="3648"/>
      <c r="H579" s="3649"/>
      <c r="I579" s="3212"/>
      <c r="J579" s="795">
        <v>1</v>
      </c>
      <c r="K579" s="3213"/>
      <c r="L579" s="3214"/>
      <c r="M579" s="385"/>
      <c r="N579" s="1746"/>
      <c r="O579" s="385"/>
      <c r="P579" s="413"/>
      <c r="Q579" s="413"/>
      <c r="R579" s="413"/>
      <c r="S579" s="413"/>
      <c r="T579" s="413"/>
      <c r="U579" s="413"/>
      <c r="V579" s="3589"/>
      <c r="W579" s="795"/>
      <c r="X579" s="796"/>
      <c r="Y579" s="795">
        <v>1</v>
      </c>
      <c r="Z579" s="795">
        <v>1</v>
      </c>
      <c r="AA579" s="795">
        <v>1</v>
      </c>
      <c r="AB579" s="795">
        <v>1</v>
      </c>
      <c r="AC579" s="795"/>
      <c r="AD579" s="795"/>
      <c r="AE579" s="795"/>
      <c r="AF579" s="795"/>
      <c r="AG579" s="795"/>
      <c r="BB579" s="794"/>
      <c r="BC579" s="658"/>
      <c r="BD579" s="757"/>
      <c r="BE579" s="659"/>
    </row>
    <row r="580" spans="1:57" s="512" customFormat="1" ht="14.45" customHeight="1" outlineLevel="1" x14ac:dyDescent="0.25">
      <c r="A580" s="2462"/>
      <c r="B580" s="413"/>
      <c r="C580" s="385"/>
      <c r="D580" s="3589"/>
      <c r="E580" s="3721"/>
      <c r="F580" s="3647" t="str">
        <f t="shared" si="61"/>
        <v>CAC - SEER 16 ER1: SF</v>
      </c>
      <c r="G580" s="3648"/>
      <c r="H580" s="3649"/>
      <c r="I580" s="3212"/>
      <c r="J580" s="795">
        <v>1</v>
      </c>
      <c r="K580" s="3213"/>
      <c r="L580" s="3214"/>
      <c r="M580" s="385"/>
      <c r="N580" s="1746"/>
      <c r="O580" s="385"/>
      <c r="P580" s="413"/>
      <c r="Q580" s="413"/>
      <c r="R580" s="413"/>
      <c r="S580" s="413"/>
      <c r="T580" s="413"/>
      <c r="U580" s="413"/>
      <c r="V580" s="3589"/>
      <c r="W580" s="795">
        <v>1</v>
      </c>
      <c r="X580" s="795">
        <f>W580</f>
        <v>1</v>
      </c>
      <c r="Y580" s="795">
        <v>1</v>
      </c>
      <c r="Z580" s="795">
        <v>1</v>
      </c>
      <c r="AA580" s="795">
        <v>1</v>
      </c>
      <c r="AB580" s="795">
        <v>1</v>
      </c>
      <c r="AC580" s="795"/>
      <c r="AD580" s="795"/>
      <c r="AE580" s="795"/>
      <c r="AF580" s="795"/>
      <c r="AG580" s="795"/>
      <c r="BB580" s="794"/>
      <c r="BC580" s="658"/>
      <c r="BD580" s="757"/>
      <c r="BE580" s="659"/>
    </row>
    <row r="581" spans="1:57" s="512" customFormat="1" ht="14.45" customHeight="1" outlineLevel="1" x14ac:dyDescent="0.25">
      <c r="A581" s="2462"/>
      <c r="B581" s="413"/>
      <c r="C581" s="385"/>
      <c r="D581" s="3589"/>
      <c r="E581" s="3721"/>
      <c r="F581" s="3647" t="str">
        <f t="shared" si="61"/>
        <v>CAC - SEER 16 ER2: SF</v>
      </c>
      <c r="G581" s="3648"/>
      <c r="H581" s="3649"/>
      <c r="I581" s="3212"/>
      <c r="J581" s="795">
        <v>1</v>
      </c>
      <c r="K581" s="3213"/>
      <c r="L581" s="3214"/>
      <c r="M581" s="385"/>
      <c r="N581" s="1746"/>
      <c r="O581" s="385"/>
      <c r="P581" s="413"/>
      <c r="Q581" s="413"/>
      <c r="R581" s="413"/>
      <c r="S581" s="413"/>
      <c r="T581" s="413"/>
      <c r="U581" s="413"/>
      <c r="V581" s="3589"/>
      <c r="W581" s="795">
        <v>1</v>
      </c>
      <c r="X581" s="795">
        <f>W581</f>
        <v>1</v>
      </c>
      <c r="Y581" s="795">
        <v>1</v>
      </c>
      <c r="Z581" s="795">
        <v>1</v>
      </c>
      <c r="AA581" s="795">
        <v>1</v>
      </c>
      <c r="AB581" s="795">
        <v>1</v>
      </c>
      <c r="AC581" s="795"/>
      <c r="AD581" s="795"/>
      <c r="AE581" s="795"/>
      <c r="AF581" s="795"/>
      <c r="AG581" s="795"/>
      <c r="BB581" s="794"/>
      <c r="BC581" s="658"/>
      <c r="BD581" s="757"/>
      <c r="BE581" s="659"/>
    </row>
    <row r="582" spans="1:57" s="512" customFormat="1" ht="14.45" customHeight="1" outlineLevel="1" x14ac:dyDescent="0.25">
      <c r="A582" s="2462"/>
      <c r="B582" s="413"/>
      <c r="C582" s="385"/>
      <c r="D582" s="3589"/>
      <c r="E582" s="3721"/>
      <c r="F582" s="3647" t="str">
        <f t="shared" si="61"/>
        <v>CAC - SEER 16 ROF: SF</v>
      </c>
      <c r="G582" s="3648"/>
      <c r="H582" s="3649"/>
      <c r="I582" s="3212"/>
      <c r="J582" s="795">
        <v>1</v>
      </c>
      <c r="K582" s="3213"/>
      <c r="L582" s="3214"/>
      <c r="M582" s="385"/>
      <c r="N582" s="1746"/>
      <c r="O582" s="385"/>
      <c r="P582" s="413"/>
      <c r="Q582" s="413"/>
      <c r="R582" s="413"/>
      <c r="S582" s="413"/>
      <c r="T582" s="413"/>
      <c r="U582" s="413"/>
      <c r="V582" s="3589"/>
      <c r="W582" s="795">
        <v>1</v>
      </c>
      <c r="X582" s="795">
        <f>W582</f>
        <v>1</v>
      </c>
      <c r="Y582" s="795">
        <v>1</v>
      </c>
      <c r="Z582" s="795">
        <v>1</v>
      </c>
      <c r="AA582" s="795">
        <v>1</v>
      </c>
      <c r="AB582" s="795">
        <v>1</v>
      </c>
      <c r="AC582" s="795"/>
      <c r="AD582" s="795"/>
      <c r="AE582" s="795"/>
      <c r="AF582" s="795"/>
      <c r="AG582" s="795"/>
      <c r="BB582" s="794"/>
      <c r="BC582" s="658"/>
      <c r="BD582" s="757"/>
      <c r="BE582" s="659"/>
    </row>
    <row r="583" spans="1:57" s="512" customFormat="1" ht="14.45" customHeight="1" outlineLevel="1" x14ac:dyDescent="0.25">
      <c r="A583" s="2462"/>
      <c r="B583" s="413"/>
      <c r="C583" s="385"/>
      <c r="D583" s="3589"/>
      <c r="E583" s="3721"/>
      <c r="F583" s="3647" t="str">
        <f t="shared" si="61"/>
        <v>CAC - SEER 16 ER1: MF</v>
      </c>
      <c r="G583" s="3648"/>
      <c r="H583" s="3649"/>
      <c r="I583" s="3212"/>
      <c r="J583" s="795">
        <v>1</v>
      </c>
      <c r="K583" s="3213"/>
      <c r="L583" s="3214"/>
      <c r="M583" s="385"/>
      <c r="N583" s="1746"/>
      <c r="O583" s="385"/>
      <c r="P583" s="413"/>
      <c r="Q583" s="413"/>
      <c r="R583" s="413"/>
      <c r="S583" s="413"/>
      <c r="T583" s="413"/>
      <c r="U583" s="413"/>
      <c r="V583" s="3589"/>
      <c r="W583" s="795">
        <v>0.65</v>
      </c>
      <c r="X583" s="796">
        <v>1</v>
      </c>
      <c r="Y583" s="795">
        <v>1</v>
      </c>
      <c r="Z583" s="795">
        <v>1</v>
      </c>
      <c r="AA583" s="795">
        <v>1</v>
      </c>
      <c r="AB583" s="795">
        <v>1</v>
      </c>
      <c r="AC583" s="795"/>
      <c r="AD583" s="795"/>
      <c r="AE583" s="795"/>
      <c r="AF583" s="795"/>
      <c r="AG583" s="795"/>
      <c r="BB583" s="794"/>
      <c r="BC583" s="658"/>
      <c r="BD583" s="757"/>
      <c r="BE583" s="659"/>
    </row>
    <row r="584" spans="1:57" s="512" customFormat="1" ht="14.45" customHeight="1" outlineLevel="1" x14ac:dyDescent="0.25">
      <c r="A584" s="2462"/>
      <c r="B584" s="413"/>
      <c r="C584" s="385"/>
      <c r="D584" s="3589"/>
      <c r="E584" s="3721"/>
      <c r="F584" s="3647" t="str">
        <f t="shared" si="61"/>
        <v>CAC - SEER 16 ER2: MF</v>
      </c>
      <c r="G584" s="3648"/>
      <c r="H584" s="3649"/>
      <c r="I584" s="3212"/>
      <c r="J584" s="795">
        <v>1</v>
      </c>
      <c r="K584" s="3213"/>
      <c r="L584" s="3214"/>
      <c r="M584" s="385"/>
      <c r="N584" s="1746"/>
      <c r="O584" s="385"/>
      <c r="P584" s="413"/>
      <c r="Q584" s="413"/>
      <c r="R584" s="413"/>
      <c r="S584" s="413"/>
      <c r="T584" s="413"/>
      <c r="U584" s="413"/>
      <c r="V584" s="3589"/>
      <c r="W584" s="795">
        <v>0.65</v>
      </c>
      <c r="X584" s="796">
        <v>1</v>
      </c>
      <c r="Y584" s="795">
        <v>1</v>
      </c>
      <c r="Z584" s="795">
        <v>1</v>
      </c>
      <c r="AA584" s="795">
        <v>1</v>
      </c>
      <c r="AB584" s="795">
        <v>1</v>
      </c>
      <c r="AC584" s="795"/>
      <c r="AD584" s="795"/>
      <c r="AE584" s="795"/>
      <c r="AF584" s="795"/>
      <c r="AG584" s="795"/>
      <c r="BB584" s="794"/>
      <c r="BC584" s="658"/>
      <c r="BD584" s="757"/>
      <c r="BE584" s="659"/>
    </row>
    <row r="585" spans="1:57" s="512" customFormat="1" ht="14.45" customHeight="1" outlineLevel="1" x14ac:dyDescent="0.25">
      <c r="A585" s="2462"/>
      <c r="B585" s="413"/>
      <c r="C585" s="385"/>
      <c r="D585" s="3589"/>
      <c r="E585" s="3721"/>
      <c r="F585" s="3647" t="str">
        <f t="shared" si="61"/>
        <v>CAC - SEER 16 ER1: MF_CompE</v>
      </c>
      <c r="G585" s="3648"/>
      <c r="H585" s="3649"/>
      <c r="I585" s="3212"/>
      <c r="J585" s="795">
        <v>1</v>
      </c>
      <c r="K585" s="3213"/>
      <c r="L585" s="3214"/>
      <c r="M585" s="385"/>
      <c r="N585" s="1746"/>
      <c r="O585" s="385"/>
      <c r="P585" s="413"/>
      <c r="Q585" s="413"/>
      <c r="R585" s="413"/>
      <c r="S585" s="413"/>
      <c r="T585" s="413"/>
      <c r="U585" s="413"/>
      <c r="V585" s="3589"/>
      <c r="W585" s="795"/>
      <c r="X585" s="796"/>
      <c r="Y585" s="795">
        <v>1</v>
      </c>
      <c r="Z585" s="795">
        <v>1</v>
      </c>
      <c r="AA585" s="795">
        <v>1</v>
      </c>
      <c r="AB585" s="795">
        <v>1</v>
      </c>
      <c r="AC585" s="795"/>
      <c r="AD585" s="795"/>
      <c r="AE585" s="795"/>
      <c r="AF585" s="795"/>
      <c r="AG585" s="795"/>
      <c r="BB585" s="794"/>
      <c r="BC585" s="658"/>
      <c r="BD585" s="757"/>
      <c r="BE585" s="659"/>
    </row>
    <row r="586" spans="1:57" s="512" customFormat="1" ht="14.45" customHeight="1" outlineLevel="1" x14ac:dyDescent="0.25">
      <c r="A586" s="2462"/>
      <c r="B586" s="413"/>
      <c r="C586" s="385"/>
      <c r="D586" s="3589"/>
      <c r="E586" s="3721"/>
      <c r="F586" s="3647" t="str">
        <f t="shared" si="61"/>
        <v>CAC - SEER 16 ER2: MF_CompE</v>
      </c>
      <c r="G586" s="3648"/>
      <c r="H586" s="3649"/>
      <c r="I586" s="3212"/>
      <c r="J586" s="795">
        <v>1</v>
      </c>
      <c r="K586" s="3213"/>
      <c r="L586" s="3214"/>
      <c r="M586" s="385"/>
      <c r="N586" s="1746"/>
      <c r="O586" s="385"/>
      <c r="P586" s="413"/>
      <c r="Q586" s="413"/>
      <c r="R586" s="413"/>
      <c r="S586" s="413"/>
      <c r="T586" s="413"/>
      <c r="U586" s="413"/>
      <c r="V586" s="3589"/>
      <c r="W586" s="795"/>
      <c r="X586" s="796"/>
      <c r="Y586" s="795">
        <v>1</v>
      </c>
      <c r="Z586" s="795">
        <v>1</v>
      </c>
      <c r="AA586" s="795">
        <v>1</v>
      </c>
      <c r="AB586" s="795">
        <v>1</v>
      </c>
      <c r="AC586" s="795"/>
      <c r="AD586" s="795"/>
      <c r="AE586" s="795"/>
      <c r="AF586" s="795"/>
      <c r="AG586" s="795"/>
      <c r="BB586" s="794"/>
      <c r="BC586" s="658"/>
      <c r="BD586" s="757"/>
      <c r="BE586" s="659"/>
    </row>
    <row r="587" spans="1:57" s="512" customFormat="1" ht="14.45" customHeight="1" outlineLevel="1" x14ac:dyDescent="0.25">
      <c r="A587" s="2462"/>
      <c r="B587" s="413"/>
      <c r="C587" s="385"/>
      <c r="D587" s="3589"/>
      <c r="E587" s="3721"/>
      <c r="F587" s="3647" t="str">
        <f t="shared" si="61"/>
        <v>CAC - SEER 16 ROF: MF</v>
      </c>
      <c r="G587" s="3648"/>
      <c r="H587" s="3649"/>
      <c r="I587" s="3212"/>
      <c r="J587" s="795">
        <v>1</v>
      </c>
      <c r="K587" s="3213"/>
      <c r="L587" s="3214"/>
      <c r="M587" s="385"/>
      <c r="N587" s="1746"/>
      <c r="O587" s="385"/>
      <c r="P587" s="413"/>
      <c r="Q587" s="413"/>
      <c r="R587" s="413"/>
      <c r="S587" s="413"/>
      <c r="T587" s="413"/>
      <c r="U587" s="413"/>
      <c r="V587" s="3589"/>
      <c r="W587" s="795">
        <v>0.65</v>
      </c>
      <c r="X587" s="796">
        <v>1</v>
      </c>
      <c r="Y587" s="795">
        <v>1</v>
      </c>
      <c r="Z587" s="795">
        <v>1</v>
      </c>
      <c r="AA587" s="795">
        <v>1</v>
      </c>
      <c r="AB587" s="795">
        <v>1</v>
      </c>
      <c r="AC587" s="795"/>
      <c r="AD587" s="795"/>
      <c r="AE587" s="795"/>
      <c r="AF587" s="795"/>
      <c r="AG587" s="795"/>
      <c r="BB587" s="794"/>
      <c r="BC587" s="658"/>
      <c r="BD587" s="757"/>
      <c r="BE587" s="659"/>
    </row>
    <row r="588" spans="1:57" s="512" customFormat="1" ht="14.45" customHeight="1" outlineLevel="1" x14ac:dyDescent="0.25">
      <c r="A588" s="2462"/>
      <c r="B588" s="413"/>
      <c r="C588" s="385"/>
      <c r="D588" s="3589"/>
      <c r="E588" s="3721"/>
      <c r="F588" s="3647" t="str">
        <f t="shared" si="61"/>
        <v>CAC - SEER 16 ROF: MF_CompE</v>
      </c>
      <c r="G588" s="3648"/>
      <c r="H588" s="3649"/>
      <c r="I588" s="3212"/>
      <c r="J588" s="795">
        <v>1</v>
      </c>
      <c r="K588" s="3213"/>
      <c r="L588" s="3214"/>
      <c r="M588" s="385"/>
      <c r="N588" s="1746"/>
      <c r="O588" s="385"/>
      <c r="P588" s="413"/>
      <c r="Q588" s="413"/>
      <c r="R588" s="413"/>
      <c r="S588" s="413"/>
      <c r="T588" s="413"/>
      <c r="U588" s="413"/>
      <c r="V588" s="3589"/>
      <c r="W588" s="795"/>
      <c r="X588" s="796"/>
      <c r="Y588" s="795">
        <v>1</v>
      </c>
      <c r="Z588" s="795">
        <v>1</v>
      </c>
      <c r="AA588" s="795">
        <v>1</v>
      </c>
      <c r="AB588" s="795">
        <v>1</v>
      </c>
      <c r="AC588" s="795"/>
      <c r="AD588" s="795"/>
      <c r="AE588" s="795"/>
      <c r="AF588" s="795"/>
      <c r="AG588" s="795"/>
      <c r="BB588" s="794"/>
      <c r="BC588" s="658"/>
      <c r="BD588" s="757"/>
      <c r="BE588" s="659"/>
    </row>
    <row r="589" spans="1:57" s="512" customFormat="1" ht="14.45" customHeight="1" outlineLevel="1" x14ac:dyDescent="0.25">
      <c r="A589" s="2462"/>
      <c r="B589" s="413"/>
      <c r="C589" s="385"/>
      <c r="D589" s="3589"/>
      <c r="E589" s="3721"/>
      <c r="F589" s="3647" t="str">
        <f t="shared" si="61"/>
        <v>CAC - SEER 17 ER1: SF</v>
      </c>
      <c r="G589" s="3648"/>
      <c r="H589" s="3649"/>
      <c r="I589" s="3212"/>
      <c r="J589" s="795">
        <v>1</v>
      </c>
      <c r="K589" s="3213"/>
      <c r="L589" s="3214"/>
      <c r="M589" s="385"/>
      <c r="N589" s="1746"/>
      <c r="O589" s="385"/>
      <c r="P589" s="413"/>
      <c r="Q589" s="413"/>
      <c r="R589" s="413"/>
      <c r="S589" s="413"/>
      <c r="T589" s="413"/>
      <c r="U589" s="413"/>
      <c r="V589" s="3589"/>
      <c r="W589" s="795">
        <v>1</v>
      </c>
      <c r="X589" s="795">
        <f>W589</f>
        <v>1</v>
      </c>
      <c r="Y589" s="795">
        <v>1</v>
      </c>
      <c r="Z589" s="795">
        <v>1</v>
      </c>
      <c r="AA589" s="795">
        <v>1</v>
      </c>
      <c r="AB589" s="795">
        <v>1</v>
      </c>
      <c r="AC589" s="795"/>
      <c r="AD589" s="795"/>
      <c r="AE589" s="795"/>
      <c r="AF589" s="795"/>
      <c r="AG589" s="795"/>
      <c r="BB589" s="794"/>
      <c r="BC589" s="658"/>
      <c r="BD589" s="757"/>
      <c r="BE589" s="659"/>
    </row>
    <row r="590" spans="1:57" s="512" customFormat="1" ht="14.45" customHeight="1" outlineLevel="1" x14ac:dyDescent="0.25">
      <c r="A590" s="2462"/>
      <c r="B590" s="413"/>
      <c r="C590" s="385"/>
      <c r="D590" s="3589"/>
      <c r="E590" s="3721"/>
      <c r="F590" s="3647" t="str">
        <f t="shared" si="61"/>
        <v>CAC - SEER 17 ER2: SF</v>
      </c>
      <c r="G590" s="3648"/>
      <c r="H590" s="3649"/>
      <c r="I590" s="3212"/>
      <c r="J590" s="795">
        <v>1</v>
      </c>
      <c r="K590" s="3213"/>
      <c r="L590" s="3214"/>
      <c r="M590" s="385"/>
      <c r="N590" s="1746"/>
      <c r="O590" s="385"/>
      <c r="P590" s="413"/>
      <c r="Q590" s="413"/>
      <c r="R590" s="413"/>
      <c r="S590" s="413"/>
      <c r="T590" s="413"/>
      <c r="U590" s="413"/>
      <c r="V590" s="3589"/>
      <c r="W590" s="795">
        <v>1</v>
      </c>
      <c r="X590" s="795">
        <f>W590</f>
        <v>1</v>
      </c>
      <c r="Y590" s="795">
        <v>1</v>
      </c>
      <c r="Z590" s="795">
        <v>1</v>
      </c>
      <c r="AA590" s="795">
        <v>1</v>
      </c>
      <c r="AB590" s="795">
        <v>1</v>
      </c>
      <c r="AC590" s="795"/>
      <c r="AD590" s="795"/>
      <c r="AE590" s="795"/>
      <c r="AF590" s="795"/>
      <c r="AG590" s="795"/>
      <c r="BB590" s="794"/>
      <c r="BC590" s="658"/>
      <c r="BD590" s="757"/>
      <c r="BE590" s="659"/>
    </row>
    <row r="591" spans="1:57" s="512" customFormat="1" ht="14.45" customHeight="1" outlineLevel="1" x14ac:dyDescent="0.25">
      <c r="A591" s="2462"/>
      <c r="B591" s="413"/>
      <c r="C591" s="385"/>
      <c r="D591" s="3589"/>
      <c r="E591" s="3721"/>
      <c r="F591" s="3647" t="str">
        <f t="shared" si="61"/>
        <v>CAC - SEER 17 ROF: SF</v>
      </c>
      <c r="G591" s="3648"/>
      <c r="H591" s="3649"/>
      <c r="I591" s="3212"/>
      <c r="J591" s="795">
        <v>1</v>
      </c>
      <c r="K591" s="3213"/>
      <c r="L591" s="3214"/>
      <c r="M591" s="385"/>
      <c r="N591" s="1746"/>
      <c r="O591" s="385"/>
      <c r="P591" s="413"/>
      <c r="Q591" s="413"/>
      <c r="R591" s="413"/>
      <c r="S591" s="413"/>
      <c r="T591" s="413"/>
      <c r="U591" s="413"/>
      <c r="V591" s="3589"/>
      <c r="W591" s="795">
        <v>1</v>
      </c>
      <c r="X591" s="795">
        <f>W591</f>
        <v>1</v>
      </c>
      <c r="Y591" s="795">
        <v>1</v>
      </c>
      <c r="Z591" s="795">
        <v>1</v>
      </c>
      <c r="AA591" s="795">
        <v>1</v>
      </c>
      <c r="AB591" s="795">
        <v>1</v>
      </c>
      <c r="AC591" s="795"/>
      <c r="AD591" s="795"/>
      <c r="AE591" s="795"/>
      <c r="AF591" s="795"/>
      <c r="AG591" s="795"/>
      <c r="BB591" s="794"/>
      <c r="BC591" s="658"/>
      <c r="BD591" s="757"/>
      <c r="BE591" s="659"/>
    </row>
    <row r="592" spans="1:57" s="512" customFormat="1" ht="14.45" customHeight="1" outlineLevel="1" x14ac:dyDescent="0.25">
      <c r="A592" s="2462"/>
      <c r="B592" s="413"/>
      <c r="C592" s="385"/>
      <c r="D592" s="3589"/>
      <c r="E592" s="3721"/>
      <c r="F592" s="3647" t="str">
        <f t="shared" si="61"/>
        <v>CAC - SEER 17 ER1: MF</v>
      </c>
      <c r="G592" s="3648"/>
      <c r="H592" s="3649"/>
      <c r="I592" s="3212"/>
      <c r="J592" s="795">
        <v>1</v>
      </c>
      <c r="K592" s="3213"/>
      <c r="L592" s="3214"/>
      <c r="M592" s="385"/>
      <c r="N592" s="1746"/>
      <c r="O592" s="385"/>
      <c r="P592" s="413"/>
      <c r="Q592" s="413"/>
      <c r="R592" s="413"/>
      <c r="S592" s="413"/>
      <c r="T592" s="413"/>
      <c r="U592" s="413"/>
      <c r="V592" s="3589"/>
      <c r="W592" s="795">
        <v>0.65</v>
      </c>
      <c r="X592" s="796">
        <v>1</v>
      </c>
      <c r="Y592" s="795">
        <v>1</v>
      </c>
      <c r="Z592" s="795">
        <v>1</v>
      </c>
      <c r="AA592" s="795">
        <v>1</v>
      </c>
      <c r="AB592" s="795">
        <v>1</v>
      </c>
      <c r="AC592" s="795"/>
      <c r="AD592" s="795"/>
      <c r="AE592" s="795"/>
      <c r="AF592" s="795"/>
      <c r="AG592" s="795"/>
      <c r="BB592" s="794"/>
      <c r="BC592" s="658"/>
      <c r="BD592" s="757"/>
      <c r="BE592" s="659"/>
    </row>
    <row r="593" spans="1:57" s="512" customFormat="1" ht="14.45" customHeight="1" outlineLevel="1" x14ac:dyDescent="0.25">
      <c r="A593" s="2462"/>
      <c r="B593" s="413"/>
      <c r="C593" s="385"/>
      <c r="D593" s="3589"/>
      <c r="E593" s="3721"/>
      <c r="F593" s="3647" t="str">
        <f t="shared" si="61"/>
        <v>CAC - SEER 17 ER2: MF</v>
      </c>
      <c r="G593" s="3648"/>
      <c r="H593" s="3649"/>
      <c r="I593" s="3212"/>
      <c r="J593" s="795">
        <v>1</v>
      </c>
      <c r="K593" s="3213"/>
      <c r="L593" s="3214"/>
      <c r="M593" s="385"/>
      <c r="N593" s="1746"/>
      <c r="O593" s="385"/>
      <c r="P593" s="413"/>
      <c r="Q593" s="413"/>
      <c r="R593" s="413"/>
      <c r="S593" s="413"/>
      <c r="T593" s="413"/>
      <c r="U593" s="413"/>
      <c r="V593" s="3589"/>
      <c r="W593" s="795">
        <v>0.65</v>
      </c>
      <c r="X593" s="796">
        <v>1</v>
      </c>
      <c r="Y593" s="795">
        <v>1</v>
      </c>
      <c r="Z593" s="795">
        <v>1</v>
      </c>
      <c r="AA593" s="795">
        <v>1</v>
      </c>
      <c r="AB593" s="795">
        <v>1</v>
      </c>
      <c r="AC593" s="795"/>
      <c r="AD593" s="795"/>
      <c r="AE593" s="795"/>
      <c r="AF593" s="795"/>
      <c r="AG593" s="795"/>
      <c r="BB593" s="794"/>
      <c r="BC593" s="658"/>
      <c r="BD593" s="757"/>
      <c r="BE593" s="659"/>
    </row>
    <row r="594" spans="1:57" s="512" customFormat="1" ht="14.45" customHeight="1" outlineLevel="1" x14ac:dyDescent="0.25">
      <c r="A594" s="2462"/>
      <c r="B594" s="413"/>
      <c r="C594" s="385"/>
      <c r="D594" s="3589"/>
      <c r="E594" s="3721"/>
      <c r="F594" s="3647" t="str">
        <f t="shared" ref="F594:F633" si="62">F522</f>
        <v>CAC - SEER 17 ER1: MF_CompE</v>
      </c>
      <c r="G594" s="3648"/>
      <c r="H594" s="3649"/>
      <c r="I594" s="797"/>
      <c r="J594" s="795">
        <v>1</v>
      </c>
      <c r="K594" s="3215"/>
      <c r="L594" s="3216"/>
      <c r="M594" s="385"/>
      <c r="N594" s="1746"/>
      <c r="O594" s="385"/>
      <c r="P594" s="413"/>
      <c r="Q594" s="413"/>
      <c r="R594" s="413"/>
      <c r="S594" s="413"/>
      <c r="T594" s="413"/>
      <c r="U594" s="413"/>
      <c r="V594" s="3589"/>
      <c r="W594" s="798"/>
      <c r="X594" s="796"/>
      <c r="Y594" s="795">
        <v>1</v>
      </c>
      <c r="Z594" s="795">
        <v>1</v>
      </c>
      <c r="AA594" s="795">
        <v>1</v>
      </c>
      <c r="AB594" s="795">
        <v>1</v>
      </c>
      <c r="AC594" s="798"/>
      <c r="AD594" s="798"/>
      <c r="AE594" s="798"/>
      <c r="AF594" s="798"/>
      <c r="AG594" s="798"/>
      <c r="BB594" s="794"/>
      <c r="BC594" s="658"/>
      <c r="BD594" s="757"/>
      <c r="BE594" s="659"/>
    </row>
    <row r="595" spans="1:57" s="512" customFormat="1" ht="14.45" customHeight="1" outlineLevel="1" x14ac:dyDescent="0.25">
      <c r="A595" s="2462"/>
      <c r="B595" s="413"/>
      <c r="C595" s="385"/>
      <c r="D595" s="3589"/>
      <c r="E595" s="3721"/>
      <c r="F595" s="3647" t="str">
        <f t="shared" si="62"/>
        <v>CAC - SEER 17 ER2: MF_CompE</v>
      </c>
      <c r="G595" s="3648"/>
      <c r="H595" s="3649"/>
      <c r="I595" s="797"/>
      <c r="J595" s="795">
        <v>1</v>
      </c>
      <c r="K595" s="3215"/>
      <c r="L595" s="3216"/>
      <c r="M595" s="385"/>
      <c r="N595" s="1746"/>
      <c r="O595" s="385"/>
      <c r="P595" s="413"/>
      <c r="Q595" s="413"/>
      <c r="R595" s="413"/>
      <c r="S595" s="413"/>
      <c r="T595" s="413"/>
      <c r="U595" s="413"/>
      <c r="V595" s="3589"/>
      <c r="W595" s="798"/>
      <c r="X595" s="796"/>
      <c r="Y595" s="795">
        <v>1</v>
      </c>
      <c r="Z595" s="795">
        <v>1</v>
      </c>
      <c r="AA595" s="795">
        <v>1</v>
      </c>
      <c r="AB595" s="795">
        <v>1</v>
      </c>
      <c r="AC595" s="798"/>
      <c r="AD595" s="798"/>
      <c r="AE595" s="798"/>
      <c r="AF595" s="798"/>
      <c r="AG595" s="798"/>
      <c r="BB595" s="794"/>
      <c r="BC595" s="658"/>
      <c r="BD595" s="757"/>
      <c r="BE595" s="659"/>
    </row>
    <row r="596" spans="1:57" s="512" customFormat="1" ht="14.45" customHeight="1" outlineLevel="1" x14ac:dyDescent="0.25">
      <c r="A596" s="2462"/>
      <c r="B596" s="413"/>
      <c r="C596" s="385"/>
      <c r="D596" s="3589"/>
      <c r="E596" s="3721"/>
      <c r="F596" s="3647" t="str">
        <f t="shared" si="62"/>
        <v>CAC - SEER 17 ROF: MF</v>
      </c>
      <c r="G596" s="3648"/>
      <c r="H596" s="3649"/>
      <c r="I596" s="3212"/>
      <c r="J596" s="795">
        <v>1</v>
      </c>
      <c r="K596" s="3213"/>
      <c r="L596" s="3214"/>
      <c r="M596" s="385"/>
      <c r="N596" s="1746"/>
      <c r="O596" s="385"/>
      <c r="P596" s="413"/>
      <c r="Q596" s="413"/>
      <c r="R596" s="413"/>
      <c r="S596" s="413"/>
      <c r="T596" s="413"/>
      <c r="U596" s="413"/>
      <c r="V596" s="3589"/>
      <c r="W596" s="795">
        <v>0.65</v>
      </c>
      <c r="X596" s="796">
        <v>1</v>
      </c>
      <c r="Y596" s="795">
        <v>1</v>
      </c>
      <c r="Z596" s="795">
        <v>1</v>
      </c>
      <c r="AA596" s="795">
        <v>1</v>
      </c>
      <c r="AB596" s="795">
        <v>1</v>
      </c>
      <c r="AC596" s="795"/>
      <c r="AD596" s="795"/>
      <c r="AE596" s="795"/>
      <c r="AF596" s="795"/>
      <c r="AG596" s="795"/>
      <c r="BB596" s="794"/>
      <c r="BC596" s="658"/>
      <c r="BD596" s="757"/>
      <c r="BE596" s="659"/>
    </row>
    <row r="597" spans="1:57" s="512" customFormat="1" ht="14.45" customHeight="1" outlineLevel="1" x14ac:dyDescent="0.25">
      <c r="A597" s="2462"/>
      <c r="B597" s="413"/>
      <c r="C597" s="385"/>
      <c r="D597" s="3590"/>
      <c r="E597" s="3572"/>
      <c r="F597" s="3647" t="str">
        <f t="shared" si="62"/>
        <v>CAC - SEER 17 ROF: MF_CompE</v>
      </c>
      <c r="G597" s="3648"/>
      <c r="H597" s="3649"/>
      <c r="I597" s="3212"/>
      <c r="J597" s="795">
        <v>1</v>
      </c>
      <c r="K597" s="3213"/>
      <c r="L597" s="3214"/>
      <c r="M597" s="385"/>
      <c r="N597" s="1746"/>
      <c r="O597" s="385"/>
      <c r="P597" s="413"/>
      <c r="Q597" s="413"/>
      <c r="R597" s="413"/>
      <c r="S597" s="413"/>
      <c r="T597" s="413"/>
      <c r="U597" s="413"/>
      <c r="V597" s="3590"/>
      <c r="W597" s="801"/>
      <c r="X597" s="800"/>
      <c r="Y597" s="801">
        <v>1</v>
      </c>
      <c r="Z597" s="801">
        <v>1</v>
      </c>
      <c r="AA597" s="801">
        <v>1</v>
      </c>
      <c r="AB597" s="801">
        <v>1</v>
      </c>
      <c r="AC597" s="801"/>
      <c r="AD597" s="801"/>
      <c r="AE597" s="801"/>
      <c r="AF597" s="801"/>
      <c r="AG597" s="801"/>
      <c r="BB597" s="794"/>
      <c r="BC597" s="658"/>
      <c r="BD597" s="757"/>
      <c r="BE597" s="659"/>
    </row>
    <row r="598" spans="1:57" s="512" customFormat="1" ht="14.45" customHeight="1" outlineLevel="1" x14ac:dyDescent="0.25">
      <c r="A598" s="2462"/>
      <c r="B598" s="413"/>
      <c r="C598" s="385"/>
      <c r="D598" s="3787"/>
      <c r="E598" s="3785"/>
      <c r="F598" s="3659" t="str">
        <f t="shared" si="62"/>
        <v>CAC - SEER 18 ER1: SF</v>
      </c>
      <c r="G598" s="3660"/>
      <c r="H598" s="3661"/>
      <c r="I598" s="3212"/>
      <c r="J598" s="795">
        <v>1</v>
      </c>
      <c r="K598" s="3213"/>
      <c r="L598" s="3214"/>
      <c r="M598" s="385"/>
      <c r="N598" s="1746"/>
      <c r="O598" s="385"/>
      <c r="P598" s="413"/>
      <c r="Q598" s="413"/>
      <c r="R598" s="413"/>
      <c r="S598" s="413"/>
      <c r="T598" s="413"/>
      <c r="U598" s="413"/>
      <c r="V598" s="3590"/>
      <c r="W598" s="801"/>
      <c r="X598" s="801"/>
      <c r="Y598" s="801"/>
      <c r="Z598" s="800">
        <v>1</v>
      </c>
      <c r="AA598" s="801">
        <v>1</v>
      </c>
      <c r="AB598" s="801">
        <v>1</v>
      </c>
      <c r="AC598" s="801"/>
      <c r="AD598" s="801"/>
      <c r="AE598" s="801"/>
      <c r="AF598" s="801"/>
      <c r="AG598" s="801"/>
      <c r="BB598" s="794"/>
      <c r="BC598" s="658"/>
      <c r="BD598" s="757"/>
      <c r="BE598" s="659"/>
    </row>
    <row r="599" spans="1:57" s="512" customFormat="1" ht="14.45" customHeight="1" outlineLevel="1" x14ac:dyDescent="0.25">
      <c r="A599" s="2462"/>
      <c r="B599" s="413"/>
      <c r="C599" s="385"/>
      <c r="D599" s="3787"/>
      <c r="E599" s="3785"/>
      <c r="F599" s="3659" t="str">
        <f t="shared" si="62"/>
        <v>CAC - SEER 18 ER2: SF</v>
      </c>
      <c r="G599" s="3660"/>
      <c r="H599" s="3661"/>
      <c r="I599" s="3212"/>
      <c r="J599" s="795">
        <v>1</v>
      </c>
      <c r="K599" s="3213"/>
      <c r="L599" s="3214"/>
      <c r="M599" s="385"/>
      <c r="N599" s="1746"/>
      <c r="O599" s="385"/>
      <c r="P599" s="413"/>
      <c r="Q599" s="413"/>
      <c r="R599" s="413"/>
      <c r="S599" s="413"/>
      <c r="T599" s="413"/>
      <c r="U599" s="413"/>
      <c r="V599" s="3590"/>
      <c r="W599" s="795"/>
      <c r="X599" s="795"/>
      <c r="Y599" s="795"/>
      <c r="Z599" s="796">
        <v>1</v>
      </c>
      <c r="AA599" s="795">
        <v>1</v>
      </c>
      <c r="AB599" s="795">
        <v>1</v>
      </c>
      <c r="AC599" s="795"/>
      <c r="AD599" s="795"/>
      <c r="AE599" s="795"/>
      <c r="AF599" s="795"/>
      <c r="AG599" s="795"/>
      <c r="BB599" s="794"/>
      <c r="BC599" s="658"/>
      <c r="BD599" s="757"/>
      <c r="BE599" s="659"/>
    </row>
    <row r="600" spans="1:57" s="512" customFormat="1" ht="14.45" customHeight="1" outlineLevel="1" x14ac:dyDescent="0.25">
      <c r="A600" s="2462"/>
      <c r="B600" s="413"/>
      <c r="C600" s="385"/>
      <c r="D600" s="3787"/>
      <c r="E600" s="3785"/>
      <c r="F600" s="3659" t="str">
        <f t="shared" si="62"/>
        <v>CAC - SEER 18 ROF: SF</v>
      </c>
      <c r="G600" s="3660"/>
      <c r="H600" s="3661"/>
      <c r="I600" s="3212"/>
      <c r="J600" s="795">
        <v>1</v>
      </c>
      <c r="K600" s="3213"/>
      <c r="L600" s="3214"/>
      <c r="M600" s="385"/>
      <c r="N600" s="1746"/>
      <c r="O600" s="385"/>
      <c r="P600" s="413"/>
      <c r="Q600" s="413"/>
      <c r="R600" s="413"/>
      <c r="S600" s="413"/>
      <c r="T600" s="413"/>
      <c r="U600" s="413"/>
      <c r="V600" s="3590"/>
      <c r="W600" s="795"/>
      <c r="X600" s="795"/>
      <c r="Y600" s="795"/>
      <c r="Z600" s="796">
        <v>1</v>
      </c>
      <c r="AA600" s="795">
        <v>1</v>
      </c>
      <c r="AB600" s="795">
        <v>1</v>
      </c>
      <c r="AC600" s="795"/>
      <c r="AD600" s="795"/>
      <c r="AE600" s="795"/>
      <c r="AF600" s="795"/>
      <c r="AG600" s="795"/>
      <c r="BB600" s="794"/>
      <c r="BC600" s="658"/>
      <c r="BD600" s="757"/>
      <c r="BE600" s="659"/>
    </row>
    <row r="601" spans="1:57" s="512" customFormat="1" ht="14.45" customHeight="1" outlineLevel="1" x14ac:dyDescent="0.25">
      <c r="A601" s="2462"/>
      <c r="B601" s="413"/>
      <c r="C601" s="385"/>
      <c r="D601" s="3787"/>
      <c r="E601" s="3785"/>
      <c r="F601" s="3647" t="str">
        <f t="shared" si="62"/>
        <v>CAC - SEER 18 ER1: MF</v>
      </c>
      <c r="G601" s="3648"/>
      <c r="H601" s="3649"/>
      <c r="I601" s="3212"/>
      <c r="J601" s="795">
        <v>1</v>
      </c>
      <c r="K601" s="3213"/>
      <c r="L601" s="3214"/>
      <c r="M601" s="385"/>
      <c r="N601" s="1746"/>
      <c r="O601" s="385"/>
      <c r="P601" s="413"/>
      <c r="Q601" s="413"/>
      <c r="R601" s="413"/>
      <c r="S601" s="413"/>
      <c r="T601" s="413"/>
      <c r="U601" s="413"/>
      <c r="V601" s="3590"/>
      <c r="W601" s="795"/>
      <c r="X601" s="796"/>
      <c r="Y601" s="795"/>
      <c r="Z601" s="796">
        <v>1</v>
      </c>
      <c r="AA601" s="795">
        <v>1</v>
      </c>
      <c r="AB601" s="795">
        <v>1</v>
      </c>
      <c r="AC601" s="795"/>
      <c r="AD601" s="795"/>
      <c r="AE601" s="795"/>
      <c r="AF601" s="795"/>
      <c r="AG601" s="795"/>
      <c r="BB601" s="794"/>
      <c r="BC601" s="658"/>
      <c r="BD601" s="757"/>
      <c r="BE601" s="659"/>
    </row>
    <row r="602" spans="1:57" s="512" customFormat="1" ht="14.45" customHeight="1" outlineLevel="1" x14ac:dyDescent="0.25">
      <c r="A602" s="2462"/>
      <c r="B602" s="413"/>
      <c r="C602" s="385"/>
      <c r="D602" s="3787"/>
      <c r="E602" s="3785"/>
      <c r="F602" s="3647" t="str">
        <f t="shared" si="62"/>
        <v>CAC - SEER 18 ER2: MF</v>
      </c>
      <c r="G602" s="3648"/>
      <c r="H602" s="3649"/>
      <c r="I602" s="3212"/>
      <c r="J602" s="795">
        <v>1</v>
      </c>
      <c r="K602" s="3213"/>
      <c r="L602" s="3214"/>
      <c r="M602" s="385"/>
      <c r="N602" s="1746"/>
      <c r="O602" s="385"/>
      <c r="P602" s="413"/>
      <c r="Q602" s="413"/>
      <c r="R602" s="413"/>
      <c r="S602" s="413"/>
      <c r="T602" s="413"/>
      <c r="U602" s="413"/>
      <c r="V602" s="3590"/>
      <c r="W602" s="795"/>
      <c r="X602" s="796"/>
      <c r="Y602" s="795"/>
      <c r="Z602" s="796">
        <v>1</v>
      </c>
      <c r="AA602" s="795">
        <v>1</v>
      </c>
      <c r="AB602" s="795">
        <v>1</v>
      </c>
      <c r="AC602" s="795"/>
      <c r="AD602" s="795"/>
      <c r="AE602" s="795"/>
      <c r="AF602" s="795"/>
      <c r="AG602" s="795"/>
      <c r="BB602" s="794"/>
      <c r="BC602" s="658"/>
      <c r="BD602" s="757"/>
      <c r="BE602" s="659"/>
    </row>
    <row r="603" spans="1:57" s="512" customFormat="1" ht="14.45" customHeight="1" outlineLevel="1" x14ac:dyDescent="0.25">
      <c r="A603" s="2462"/>
      <c r="B603" s="413"/>
      <c r="C603" s="385"/>
      <c r="D603" s="3787"/>
      <c r="E603" s="3785"/>
      <c r="F603" s="3647" t="str">
        <f t="shared" si="62"/>
        <v>CAC - SEER 18 ER1: MF_CompE</v>
      </c>
      <c r="G603" s="3648"/>
      <c r="H603" s="3649"/>
      <c r="I603" s="3212"/>
      <c r="J603" s="795">
        <v>1</v>
      </c>
      <c r="K603" s="3213"/>
      <c r="L603" s="3214"/>
      <c r="M603" s="385"/>
      <c r="N603" s="1746"/>
      <c r="O603" s="385"/>
      <c r="P603" s="413"/>
      <c r="Q603" s="413"/>
      <c r="R603" s="413"/>
      <c r="S603" s="413"/>
      <c r="T603" s="413"/>
      <c r="U603" s="413"/>
      <c r="V603" s="3590"/>
      <c r="W603" s="795"/>
      <c r="X603" s="796"/>
      <c r="Y603" s="795"/>
      <c r="Z603" s="796">
        <v>1</v>
      </c>
      <c r="AA603" s="795">
        <v>1</v>
      </c>
      <c r="AB603" s="795">
        <v>1</v>
      </c>
      <c r="AC603" s="795"/>
      <c r="AD603" s="795"/>
      <c r="AE603" s="795"/>
      <c r="AF603" s="795"/>
      <c r="AG603" s="795"/>
      <c r="BB603" s="794"/>
      <c r="BC603" s="658"/>
      <c r="BD603" s="757"/>
      <c r="BE603" s="659"/>
    </row>
    <row r="604" spans="1:57" s="512" customFormat="1" ht="14.45" customHeight="1" outlineLevel="1" x14ac:dyDescent="0.25">
      <c r="A604" s="2462"/>
      <c r="B604" s="413"/>
      <c r="C604" s="385"/>
      <c r="D604" s="3787"/>
      <c r="E604" s="3785"/>
      <c r="F604" s="3647" t="str">
        <f t="shared" si="62"/>
        <v>CAC - SEER 18 ER2: MF_CompE</v>
      </c>
      <c r="G604" s="3648"/>
      <c r="H604" s="3649"/>
      <c r="I604" s="3212"/>
      <c r="J604" s="795">
        <v>1</v>
      </c>
      <c r="K604" s="3213"/>
      <c r="L604" s="3214"/>
      <c r="M604" s="385"/>
      <c r="N604" s="1746"/>
      <c r="O604" s="385"/>
      <c r="P604" s="413"/>
      <c r="Q604" s="413"/>
      <c r="R604" s="413"/>
      <c r="S604" s="413"/>
      <c r="T604" s="413"/>
      <c r="U604" s="413"/>
      <c r="V604" s="3590"/>
      <c r="W604" s="795"/>
      <c r="X604" s="796"/>
      <c r="Y604" s="795"/>
      <c r="Z604" s="796">
        <v>1</v>
      </c>
      <c r="AA604" s="795">
        <v>1</v>
      </c>
      <c r="AB604" s="795">
        <v>1</v>
      </c>
      <c r="AC604" s="795"/>
      <c r="AD604" s="795"/>
      <c r="AE604" s="795"/>
      <c r="AF604" s="795"/>
      <c r="AG604" s="795"/>
      <c r="BB604" s="794"/>
      <c r="BC604" s="658"/>
      <c r="BD604" s="757"/>
      <c r="BE604" s="659"/>
    </row>
    <row r="605" spans="1:57" s="512" customFormat="1" ht="14.45" customHeight="1" outlineLevel="1" x14ac:dyDescent="0.25">
      <c r="A605" s="2462"/>
      <c r="B605" s="413"/>
      <c r="C605" s="385"/>
      <c r="D605" s="3787"/>
      <c r="E605" s="3785"/>
      <c r="F605" s="3647" t="str">
        <f t="shared" si="62"/>
        <v>CAC - SEER 18 ROF: MF</v>
      </c>
      <c r="G605" s="3648"/>
      <c r="H605" s="3649"/>
      <c r="I605" s="3212"/>
      <c r="J605" s="795">
        <v>1</v>
      </c>
      <c r="K605" s="3213"/>
      <c r="L605" s="3214"/>
      <c r="M605" s="385"/>
      <c r="N605" s="1746"/>
      <c r="O605" s="385"/>
      <c r="P605" s="413"/>
      <c r="Q605" s="413"/>
      <c r="R605" s="413"/>
      <c r="S605" s="413"/>
      <c r="T605" s="413"/>
      <c r="U605" s="413"/>
      <c r="V605" s="3590"/>
      <c r="W605" s="795"/>
      <c r="X605" s="796"/>
      <c r="Y605" s="795"/>
      <c r="Z605" s="796">
        <v>1</v>
      </c>
      <c r="AA605" s="795">
        <v>1</v>
      </c>
      <c r="AB605" s="795">
        <v>1</v>
      </c>
      <c r="AC605" s="795"/>
      <c r="AD605" s="795"/>
      <c r="AE605" s="795"/>
      <c r="AF605" s="795"/>
      <c r="AG605" s="795"/>
      <c r="BB605" s="794"/>
      <c r="BC605" s="658"/>
      <c r="BD605" s="757"/>
      <c r="BE605" s="659"/>
    </row>
    <row r="606" spans="1:57" s="512" customFormat="1" ht="14.45" customHeight="1" outlineLevel="1" x14ac:dyDescent="0.25">
      <c r="A606" s="2462"/>
      <c r="B606" s="413"/>
      <c r="C606" s="385"/>
      <c r="D606" s="3787"/>
      <c r="E606" s="3785"/>
      <c r="F606" s="3647" t="str">
        <f t="shared" si="62"/>
        <v>CAC - SEER 18 ROF: MF_CompE</v>
      </c>
      <c r="G606" s="3648"/>
      <c r="H606" s="3649"/>
      <c r="I606" s="3212"/>
      <c r="J606" s="795">
        <v>1</v>
      </c>
      <c r="K606" s="3213"/>
      <c r="L606" s="3214"/>
      <c r="M606" s="385"/>
      <c r="N606" s="1746"/>
      <c r="O606" s="385"/>
      <c r="P606" s="413"/>
      <c r="Q606" s="413"/>
      <c r="R606" s="413"/>
      <c r="S606" s="413"/>
      <c r="T606" s="413"/>
      <c r="U606" s="413"/>
      <c r="V606" s="3590"/>
      <c r="W606" s="795"/>
      <c r="X606" s="796"/>
      <c r="Y606" s="795"/>
      <c r="Z606" s="796">
        <v>1</v>
      </c>
      <c r="AA606" s="795">
        <v>1</v>
      </c>
      <c r="AB606" s="795">
        <v>1</v>
      </c>
      <c r="AC606" s="795"/>
      <c r="AD606" s="795"/>
      <c r="AE606" s="795"/>
      <c r="AF606" s="795"/>
      <c r="AG606" s="795"/>
      <c r="BB606" s="794"/>
      <c r="BC606" s="658"/>
      <c r="BD606" s="757"/>
      <c r="BE606" s="659"/>
    </row>
    <row r="607" spans="1:57" s="512" customFormat="1" ht="14.45" customHeight="1" outlineLevel="1" x14ac:dyDescent="0.25">
      <c r="A607" s="2462"/>
      <c r="B607" s="413"/>
      <c r="C607" s="385"/>
      <c r="D607" s="3787"/>
      <c r="E607" s="3785"/>
      <c r="F607" s="3647" t="str">
        <f t="shared" si="62"/>
        <v>CAC - SEER 19 ER1: SF</v>
      </c>
      <c r="G607" s="3648"/>
      <c r="H607" s="3649"/>
      <c r="I607" s="3212"/>
      <c r="J607" s="795">
        <v>1</v>
      </c>
      <c r="K607" s="3213"/>
      <c r="L607" s="3214"/>
      <c r="M607" s="385"/>
      <c r="N607" s="1746"/>
      <c r="O607" s="385"/>
      <c r="P607" s="413"/>
      <c r="Q607" s="413"/>
      <c r="R607" s="413"/>
      <c r="S607" s="413"/>
      <c r="T607" s="413"/>
      <c r="U607" s="413"/>
      <c r="V607" s="3590"/>
      <c r="W607" s="795"/>
      <c r="X607" s="795"/>
      <c r="Y607" s="795"/>
      <c r="Z607" s="796">
        <v>1</v>
      </c>
      <c r="AA607" s="795">
        <v>1</v>
      </c>
      <c r="AB607" s="795">
        <v>1</v>
      </c>
      <c r="AC607" s="795"/>
      <c r="AD607" s="795"/>
      <c r="AE607" s="795"/>
      <c r="AF607" s="795"/>
      <c r="AG607" s="795"/>
      <c r="BB607" s="794"/>
      <c r="BC607" s="658"/>
      <c r="BD607" s="757"/>
      <c r="BE607" s="659"/>
    </row>
    <row r="608" spans="1:57" s="512" customFormat="1" ht="14.45" customHeight="1" outlineLevel="1" x14ac:dyDescent="0.25">
      <c r="A608" s="2462"/>
      <c r="B608" s="413"/>
      <c r="C608" s="385"/>
      <c r="D608" s="3787"/>
      <c r="E608" s="3785"/>
      <c r="F608" s="3647" t="str">
        <f t="shared" si="62"/>
        <v>CAC - SEER 19 ER2: SF</v>
      </c>
      <c r="G608" s="3648"/>
      <c r="H608" s="3649"/>
      <c r="I608" s="3212"/>
      <c r="J608" s="795">
        <v>1</v>
      </c>
      <c r="K608" s="3213"/>
      <c r="L608" s="3214"/>
      <c r="M608" s="385"/>
      <c r="N608" s="1746"/>
      <c r="O608" s="385"/>
      <c r="P608" s="413"/>
      <c r="Q608" s="413"/>
      <c r="R608" s="413"/>
      <c r="S608" s="413"/>
      <c r="T608" s="413"/>
      <c r="U608" s="413"/>
      <c r="V608" s="3590"/>
      <c r="W608" s="795"/>
      <c r="X608" s="795"/>
      <c r="Y608" s="795"/>
      <c r="Z608" s="796">
        <v>1</v>
      </c>
      <c r="AA608" s="795">
        <v>1</v>
      </c>
      <c r="AB608" s="795">
        <v>1</v>
      </c>
      <c r="AC608" s="795"/>
      <c r="AD608" s="795"/>
      <c r="AE608" s="795"/>
      <c r="AF608" s="795"/>
      <c r="AG608" s="795"/>
      <c r="BB608" s="794"/>
      <c r="BC608" s="658"/>
      <c r="BD608" s="757"/>
      <c r="BE608" s="659"/>
    </row>
    <row r="609" spans="1:57" s="512" customFormat="1" ht="14.45" customHeight="1" outlineLevel="1" x14ac:dyDescent="0.25">
      <c r="A609" s="2462"/>
      <c r="B609" s="413"/>
      <c r="C609" s="385"/>
      <c r="D609" s="3787"/>
      <c r="E609" s="3785"/>
      <c r="F609" s="3647" t="str">
        <f t="shared" si="62"/>
        <v>CAC - SEER 19 ROF: SF</v>
      </c>
      <c r="G609" s="3648"/>
      <c r="H609" s="3649"/>
      <c r="I609" s="3212"/>
      <c r="J609" s="795">
        <v>1</v>
      </c>
      <c r="K609" s="3213"/>
      <c r="L609" s="3214"/>
      <c r="M609" s="385"/>
      <c r="N609" s="1746"/>
      <c r="O609" s="385"/>
      <c r="P609" s="413"/>
      <c r="Q609" s="413"/>
      <c r="R609" s="413"/>
      <c r="S609" s="413"/>
      <c r="T609" s="413"/>
      <c r="U609" s="413"/>
      <c r="V609" s="3590"/>
      <c r="W609" s="795"/>
      <c r="X609" s="795"/>
      <c r="Y609" s="795"/>
      <c r="Z609" s="796">
        <v>1</v>
      </c>
      <c r="AA609" s="795">
        <v>1</v>
      </c>
      <c r="AB609" s="795">
        <v>1</v>
      </c>
      <c r="AC609" s="795"/>
      <c r="AD609" s="795"/>
      <c r="AE609" s="795"/>
      <c r="AF609" s="795"/>
      <c r="AG609" s="795"/>
      <c r="BB609" s="794"/>
      <c r="BC609" s="658"/>
      <c r="BD609" s="757"/>
      <c r="BE609" s="659"/>
    </row>
    <row r="610" spans="1:57" s="512" customFormat="1" ht="14.45" customHeight="1" outlineLevel="1" x14ac:dyDescent="0.25">
      <c r="A610" s="2462"/>
      <c r="B610" s="413"/>
      <c r="C610" s="385"/>
      <c r="D610" s="3787"/>
      <c r="E610" s="3785"/>
      <c r="F610" s="3647" t="str">
        <f t="shared" si="62"/>
        <v>CAC - SEER 19 ER1: MF</v>
      </c>
      <c r="G610" s="3648"/>
      <c r="H610" s="3649"/>
      <c r="I610" s="3212"/>
      <c r="J610" s="795">
        <v>1</v>
      </c>
      <c r="K610" s="3213"/>
      <c r="L610" s="3214"/>
      <c r="M610" s="385"/>
      <c r="N610" s="1746"/>
      <c r="O610" s="385"/>
      <c r="P610" s="413"/>
      <c r="Q610" s="413"/>
      <c r="R610" s="413"/>
      <c r="S610" s="413"/>
      <c r="T610" s="413"/>
      <c r="U610" s="413"/>
      <c r="V610" s="3590"/>
      <c r="W610" s="795"/>
      <c r="X610" s="796"/>
      <c r="Y610" s="795"/>
      <c r="Z610" s="796">
        <v>1</v>
      </c>
      <c r="AA610" s="795">
        <v>1</v>
      </c>
      <c r="AB610" s="795">
        <v>1</v>
      </c>
      <c r="AC610" s="795"/>
      <c r="AD610" s="795"/>
      <c r="AE610" s="795"/>
      <c r="AF610" s="795"/>
      <c r="AG610" s="795"/>
      <c r="BB610" s="794"/>
      <c r="BC610" s="658"/>
      <c r="BD610" s="757"/>
      <c r="BE610" s="659"/>
    </row>
    <row r="611" spans="1:57" s="512" customFormat="1" ht="14.45" customHeight="1" outlineLevel="1" x14ac:dyDescent="0.25">
      <c r="A611" s="2462"/>
      <c r="B611" s="413"/>
      <c r="C611" s="385"/>
      <c r="D611" s="3787"/>
      <c r="E611" s="3785"/>
      <c r="F611" s="3647" t="str">
        <f t="shared" si="62"/>
        <v>CAC - SEER 19 ER2: MF</v>
      </c>
      <c r="G611" s="3648"/>
      <c r="H611" s="3649"/>
      <c r="I611" s="3212"/>
      <c r="J611" s="795">
        <v>1</v>
      </c>
      <c r="K611" s="3213"/>
      <c r="L611" s="3214"/>
      <c r="M611" s="385"/>
      <c r="N611" s="1746"/>
      <c r="O611" s="385"/>
      <c r="P611" s="413"/>
      <c r="Q611" s="413"/>
      <c r="R611" s="413"/>
      <c r="S611" s="413"/>
      <c r="T611" s="413"/>
      <c r="U611" s="413"/>
      <c r="V611" s="3590"/>
      <c r="W611" s="795"/>
      <c r="X611" s="796"/>
      <c r="Y611" s="795"/>
      <c r="Z611" s="796">
        <v>1</v>
      </c>
      <c r="AA611" s="795">
        <v>1</v>
      </c>
      <c r="AB611" s="795">
        <v>1</v>
      </c>
      <c r="AC611" s="795"/>
      <c r="AD611" s="795"/>
      <c r="AE611" s="795"/>
      <c r="AF611" s="795"/>
      <c r="AG611" s="795"/>
      <c r="BB611" s="794"/>
      <c r="BC611" s="658"/>
      <c r="BD611" s="757"/>
      <c r="BE611" s="659"/>
    </row>
    <row r="612" spans="1:57" s="512" customFormat="1" ht="14.45" customHeight="1" outlineLevel="1" x14ac:dyDescent="0.25">
      <c r="A612" s="2462"/>
      <c r="B612" s="413"/>
      <c r="C612" s="385"/>
      <c r="D612" s="3787"/>
      <c r="E612" s="3785"/>
      <c r="F612" s="3647" t="str">
        <f t="shared" si="62"/>
        <v>CAC - SEER 19 ER1: MF_CompE</v>
      </c>
      <c r="G612" s="3648"/>
      <c r="H612" s="3649"/>
      <c r="I612" s="3212"/>
      <c r="J612" s="795">
        <v>1</v>
      </c>
      <c r="K612" s="3213"/>
      <c r="L612" s="3214"/>
      <c r="M612" s="385"/>
      <c r="N612" s="1746"/>
      <c r="O612" s="385"/>
      <c r="P612" s="413"/>
      <c r="Q612" s="413"/>
      <c r="R612" s="413"/>
      <c r="S612" s="413"/>
      <c r="T612" s="413"/>
      <c r="U612" s="413"/>
      <c r="V612" s="3590"/>
      <c r="W612" s="795"/>
      <c r="X612" s="796"/>
      <c r="Y612" s="795"/>
      <c r="Z612" s="796">
        <v>1</v>
      </c>
      <c r="AA612" s="795">
        <v>1</v>
      </c>
      <c r="AB612" s="795">
        <v>1</v>
      </c>
      <c r="AC612" s="795"/>
      <c r="AD612" s="795"/>
      <c r="AE612" s="795"/>
      <c r="AF612" s="795"/>
      <c r="AG612" s="795"/>
      <c r="BB612" s="794"/>
      <c r="BC612" s="658"/>
      <c r="BD612" s="757"/>
      <c r="BE612" s="659"/>
    </row>
    <row r="613" spans="1:57" s="512" customFormat="1" ht="14.45" customHeight="1" outlineLevel="1" x14ac:dyDescent="0.25">
      <c r="A613" s="2462"/>
      <c r="B613" s="413"/>
      <c r="C613" s="385"/>
      <c r="D613" s="3787"/>
      <c r="E613" s="3785"/>
      <c r="F613" s="3647" t="str">
        <f t="shared" si="62"/>
        <v>CAC - SEER 19 ER2: MF_CompE</v>
      </c>
      <c r="G613" s="3648"/>
      <c r="H613" s="3649"/>
      <c r="I613" s="3212"/>
      <c r="J613" s="795">
        <v>1</v>
      </c>
      <c r="K613" s="3213"/>
      <c r="L613" s="3214"/>
      <c r="M613" s="385"/>
      <c r="N613" s="1746"/>
      <c r="O613" s="385"/>
      <c r="P613" s="413"/>
      <c r="Q613" s="413"/>
      <c r="R613" s="413"/>
      <c r="S613" s="413"/>
      <c r="T613" s="413"/>
      <c r="U613" s="413"/>
      <c r="V613" s="3590"/>
      <c r="W613" s="795"/>
      <c r="X613" s="796"/>
      <c r="Y613" s="795"/>
      <c r="Z613" s="796">
        <v>1</v>
      </c>
      <c r="AA613" s="795">
        <v>1</v>
      </c>
      <c r="AB613" s="795">
        <v>1</v>
      </c>
      <c r="AC613" s="795"/>
      <c r="AD613" s="795"/>
      <c r="AE613" s="795"/>
      <c r="AF613" s="795"/>
      <c r="AG613" s="795"/>
      <c r="BB613" s="794"/>
      <c r="BC613" s="658"/>
      <c r="BD613" s="757"/>
      <c r="BE613" s="659"/>
    </row>
    <row r="614" spans="1:57" s="512" customFormat="1" ht="14.45" customHeight="1" outlineLevel="1" x14ac:dyDescent="0.25">
      <c r="A614" s="2462"/>
      <c r="B614" s="413"/>
      <c r="C614" s="385"/>
      <c r="D614" s="3787"/>
      <c r="E614" s="3785"/>
      <c r="F614" s="3647" t="str">
        <f t="shared" si="62"/>
        <v>CAC - SEER 19 ROF: MF</v>
      </c>
      <c r="G614" s="3648"/>
      <c r="H614" s="3649"/>
      <c r="I614" s="3212"/>
      <c r="J614" s="795">
        <v>1</v>
      </c>
      <c r="K614" s="3213"/>
      <c r="L614" s="3214"/>
      <c r="M614" s="385"/>
      <c r="N614" s="1746"/>
      <c r="O614" s="385"/>
      <c r="P614" s="413"/>
      <c r="Q614" s="413"/>
      <c r="R614" s="413"/>
      <c r="S614" s="413"/>
      <c r="T614" s="413"/>
      <c r="U614" s="413"/>
      <c r="V614" s="3590"/>
      <c r="W614" s="795"/>
      <c r="X614" s="796"/>
      <c r="Y614" s="795"/>
      <c r="Z614" s="796">
        <v>1</v>
      </c>
      <c r="AA614" s="795">
        <v>1</v>
      </c>
      <c r="AB614" s="795">
        <v>1</v>
      </c>
      <c r="AC614" s="795"/>
      <c r="AD614" s="795"/>
      <c r="AE614" s="795"/>
      <c r="AF614" s="795"/>
      <c r="AG614" s="795"/>
      <c r="BB614" s="794"/>
      <c r="BC614" s="658"/>
      <c r="BD614" s="757"/>
      <c r="BE614" s="659"/>
    </row>
    <row r="615" spans="1:57" s="512" customFormat="1" ht="14.45" customHeight="1" outlineLevel="1" x14ac:dyDescent="0.25">
      <c r="A615" s="2462"/>
      <c r="B615" s="413"/>
      <c r="C615" s="385"/>
      <c r="D615" s="3787"/>
      <c r="E615" s="3785"/>
      <c r="F615" s="3647" t="str">
        <f t="shared" si="62"/>
        <v>CAC - SEER 19 ROF: MF_CompE</v>
      </c>
      <c r="G615" s="3648"/>
      <c r="H615" s="3649"/>
      <c r="I615" s="3212"/>
      <c r="J615" s="795">
        <v>1</v>
      </c>
      <c r="K615" s="3213"/>
      <c r="L615" s="3214"/>
      <c r="M615" s="385"/>
      <c r="N615" s="1746"/>
      <c r="O615" s="385"/>
      <c r="P615" s="413"/>
      <c r="Q615" s="413"/>
      <c r="R615" s="413"/>
      <c r="S615" s="413"/>
      <c r="T615" s="413"/>
      <c r="U615" s="413"/>
      <c r="V615" s="3590"/>
      <c r="W615" s="795"/>
      <c r="X615" s="796"/>
      <c r="Y615" s="795"/>
      <c r="Z615" s="796">
        <v>1</v>
      </c>
      <c r="AA615" s="795">
        <v>1</v>
      </c>
      <c r="AB615" s="795">
        <v>1</v>
      </c>
      <c r="AC615" s="795"/>
      <c r="AD615" s="795"/>
      <c r="AE615" s="795"/>
      <c r="AF615" s="795"/>
      <c r="AG615" s="795"/>
      <c r="BB615" s="794"/>
      <c r="BC615" s="658"/>
      <c r="BD615" s="757"/>
      <c r="BE615" s="659"/>
    </row>
    <row r="616" spans="1:57" s="512" customFormat="1" ht="14.45" customHeight="1" outlineLevel="1" x14ac:dyDescent="0.25">
      <c r="A616" s="2462"/>
      <c r="B616" s="413"/>
      <c r="C616" s="385"/>
      <c r="D616" s="3787"/>
      <c r="E616" s="3785"/>
      <c r="F616" s="3647" t="str">
        <f t="shared" si="62"/>
        <v>CAC - SEER 20 ER1: SF</v>
      </c>
      <c r="G616" s="3648"/>
      <c r="H616" s="3649"/>
      <c r="I616" s="3212"/>
      <c r="J616" s="795">
        <v>1</v>
      </c>
      <c r="K616" s="3213"/>
      <c r="L616" s="3214"/>
      <c r="M616" s="385"/>
      <c r="N616" s="1746"/>
      <c r="O616" s="385"/>
      <c r="P616" s="413"/>
      <c r="Q616" s="413"/>
      <c r="R616" s="413"/>
      <c r="S616" s="413"/>
      <c r="T616" s="413"/>
      <c r="U616" s="413"/>
      <c r="V616" s="3590"/>
      <c r="W616" s="795"/>
      <c r="X616" s="795"/>
      <c r="Y616" s="795"/>
      <c r="Z616" s="796">
        <v>1</v>
      </c>
      <c r="AA616" s="795">
        <v>1</v>
      </c>
      <c r="AB616" s="795">
        <v>1</v>
      </c>
      <c r="AC616" s="795"/>
      <c r="AD616" s="795"/>
      <c r="AE616" s="795"/>
      <c r="AF616" s="795"/>
      <c r="AG616" s="795"/>
      <c r="BB616" s="794"/>
      <c r="BC616" s="658"/>
      <c r="BD616" s="757"/>
      <c r="BE616" s="659"/>
    </row>
    <row r="617" spans="1:57" s="512" customFormat="1" ht="14.45" customHeight="1" outlineLevel="1" x14ac:dyDescent="0.25">
      <c r="A617" s="2462"/>
      <c r="B617" s="413"/>
      <c r="C617" s="385"/>
      <c r="D617" s="3787"/>
      <c r="E617" s="3785"/>
      <c r="F617" s="3647" t="str">
        <f t="shared" si="62"/>
        <v>CAC - SEER 20 ER2: SF</v>
      </c>
      <c r="G617" s="3648"/>
      <c r="H617" s="3649"/>
      <c r="I617" s="3212"/>
      <c r="J617" s="795">
        <v>1</v>
      </c>
      <c r="K617" s="3213"/>
      <c r="L617" s="3214"/>
      <c r="M617" s="385"/>
      <c r="N617" s="1746"/>
      <c r="O617" s="385"/>
      <c r="P617" s="413"/>
      <c r="Q617" s="413"/>
      <c r="R617" s="413"/>
      <c r="S617" s="413"/>
      <c r="T617" s="413"/>
      <c r="U617" s="413"/>
      <c r="V617" s="3590"/>
      <c r="W617" s="795"/>
      <c r="X617" s="795"/>
      <c r="Y617" s="795"/>
      <c r="Z617" s="796">
        <v>1</v>
      </c>
      <c r="AA617" s="795">
        <v>1</v>
      </c>
      <c r="AB617" s="795">
        <v>1</v>
      </c>
      <c r="AC617" s="795"/>
      <c r="AD617" s="795"/>
      <c r="AE617" s="795"/>
      <c r="AF617" s="795"/>
      <c r="AG617" s="795"/>
      <c r="BB617" s="794"/>
      <c r="BC617" s="658"/>
      <c r="BD617" s="757"/>
      <c r="BE617" s="659"/>
    </row>
    <row r="618" spans="1:57" s="512" customFormat="1" ht="14.45" customHeight="1" outlineLevel="1" x14ac:dyDescent="0.25">
      <c r="A618" s="2462"/>
      <c r="B618" s="413"/>
      <c r="C618" s="385"/>
      <c r="D618" s="3787"/>
      <c r="E618" s="3785"/>
      <c r="F618" s="3647" t="str">
        <f t="shared" si="62"/>
        <v>CAC - SEER 20 ROF: SF</v>
      </c>
      <c r="G618" s="3648"/>
      <c r="H618" s="3649"/>
      <c r="I618" s="3212"/>
      <c r="J618" s="795">
        <v>1</v>
      </c>
      <c r="K618" s="3213"/>
      <c r="L618" s="3214"/>
      <c r="M618" s="385"/>
      <c r="N618" s="1746"/>
      <c r="O618" s="385"/>
      <c r="P618" s="413"/>
      <c r="Q618" s="413"/>
      <c r="R618" s="413"/>
      <c r="S618" s="413"/>
      <c r="T618" s="413"/>
      <c r="U618" s="413"/>
      <c r="V618" s="3590"/>
      <c r="W618" s="795"/>
      <c r="X618" s="795"/>
      <c r="Y618" s="795"/>
      <c r="Z618" s="796">
        <v>1</v>
      </c>
      <c r="AA618" s="795">
        <v>1</v>
      </c>
      <c r="AB618" s="795">
        <v>1</v>
      </c>
      <c r="AC618" s="795"/>
      <c r="AD618" s="795"/>
      <c r="AE618" s="795"/>
      <c r="AF618" s="795"/>
      <c r="AG618" s="795"/>
      <c r="BB618" s="794"/>
      <c r="BC618" s="658"/>
      <c r="BD618" s="757"/>
      <c r="BE618" s="659"/>
    </row>
    <row r="619" spans="1:57" s="512" customFormat="1" ht="14.45" customHeight="1" outlineLevel="1" x14ac:dyDescent="0.25">
      <c r="A619" s="2462"/>
      <c r="B619" s="413"/>
      <c r="C619" s="385"/>
      <c r="D619" s="3787"/>
      <c r="E619" s="3785"/>
      <c r="F619" s="3647" t="str">
        <f t="shared" si="62"/>
        <v>CAC - SEER 20 ER1: MF</v>
      </c>
      <c r="G619" s="3648"/>
      <c r="H619" s="3649"/>
      <c r="I619" s="3212"/>
      <c r="J619" s="795">
        <v>1</v>
      </c>
      <c r="K619" s="3213"/>
      <c r="L619" s="3214"/>
      <c r="M619" s="385"/>
      <c r="N619" s="1746"/>
      <c r="O619" s="385"/>
      <c r="P619" s="413"/>
      <c r="Q619" s="413"/>
      <c r="R619" s="413"/>
      <c r="S619" s="413"/>
      <c r="T619" s="413"/>
      <c r="U619" s="413"/>
      <c r="V619" s="3590"/>
      <c r="W619" s="795"/>
      <c r="X619" s="796"/>
      <c r="Y619" s="795"/>
      <c r="Z619" s="796">
        <v>1</v>
      </c>
      <c r="AA619" s="795">
        <v>1</v>
      </c>
      <c r="AB619" s="795">
        <v>1</v>
      </c>
      <c r="AC619" s="795"/>
      <c r="AD619" s="795"/>
      <c r="AE619" s="795"/>
      <c r="AF619" s="795"/>
      <c r="AG619" s="795"/>
      <c r="BB619" s="794"/>
      <c r="BC619" s="658"/>
      <c r="BD619" s="757"/>
      <c r="BE619" s="659"/>
    </row>
    <row r="620" spans="1:57" s="512" customFormat="1" ht="14.45" customHeight="1" outlineLevel="1" x14ac:dyDescent="0.25">
      <c r="A620" s="2462"/>
      <c r="B620" s="413"/>
      <c r="C620" s="385"/>
      <c r="D620" s="3787"/>
      <c r="E620" s="3785"/>
      <c r="F620" s="3647" t="str">
        <f t="shared" si="62"/>
        <v>CAC - SEER 20 ER2: MF</v>
      </c>
      <c r="G620" s="3648"/>
      <c r="H620" s="3649"/>
      <c r="I620" s="3212"/>
      <c r="J620" s="795">
        <v>1</v>
      </c>
      <c r="K620" s="3213"/>
      <c r="L620" s="3214"/>
      <c r="M620" s="385"/>
      <c r="N620" s="1746"/>
      <c r="O620" s="385"/>
      <c r="P620" s="413"/>
      <c r="Q620" s="413"/>
      <c r="R620" s="413"/>
      <c r="S620" s="413"/>
      <c r="T620" s="413"/>
      <c r="U620" s="413"/>
      <c r="V620" s="3590"/>
      <c r="W620" s="795"/>
      <c r="X620" s="796"/>
      <c r="Y620" s="795"/>
      <c r="Z620" s="796">
        <v>1</v>
      </c>
      <c r="AA620" s="795">
        <v>1</v>
      </c>
      <c r="AB620" s="795">
        <v>1</v>
      </c>
      <c r="AC620" s="795"/>
      <c r="AD620" s="795"/>
      <c r="AE620" s="795"/>
      <c r="AF620" s="795"/>
      <c r="AG620" s="795"/>
      <c r="BB620" s="794"/>
      <c r="BC620" s="658"/>
      <c r="BD620" s="757"/>
      <c r="BE620" s="659"/>
    </row>
    <row r="621" spans="1:57" s="512" customFormat="1" ht="14.45" customHeight="1" outlineLevel="1" x14ac:dyDescent="0.25">
      <c r="A621" s="2462"/>
      <c r="B621" s="413"/>
      <c r="C621" s="385"/>
      <c r="D621" s="3787"/>
      <c r="E621" s="3785"/>
      <c r="F621" s="3647" t="str">
        <f t="shared" si="62"/>
        <v>CAC - SEER 20 ER1: MF_CompE</v>
      </c>
      <c r="G621" s="3648"/>
      <c r="H621" s="3649"/>
      <c r="I621" s="3212"/>
      <c r="J621" s="795">
        <v>1</v>
      </c>
      <c r="K621" s="3213"/>
      <c r="L621" s="3214"/>
      <c r="M621" s="385"/>
      <c r="N621" s="1746"/>
      <c r="O621" s="385"/>
      <c r="P621" s="413"/>
      <c r="Q621" s="413"/>
      <c r="R621" s="413"/>
      <c r="S621" s="413"/>
      <c r="T621" s="413"/>
      <c r="U621" s="413"/>
      <c r="V621" s="3590"/>
      <c r="W621" s="795"/>
      <c r="X621" s="796"/>
      <c r="Y621" s="795"/>
      <c r="Z621" s="796">
        <v>1</v>
      </c>
      <c r="AA621" s="795">
        <v>1</v>
      </c>
      <c r="AB621" s="795">
        <v>1</v>
      </c>
      <c r="AC621" s="795"/>
      <c r="AD621" s="795"/>
      <c r="AE621" s="795"/>
      <c r="AF621" s="795"/>
      <c r="AG621" s="795"/>
      <c r="BB621" s="794"/>
      <c r="BC621" s="658"/>
      <c r="BD621" s="757"/>
      <c r="BE621" s="659"/>
    </row>
    <row r="622" spans="1:57" s="512" customFormat="1" ht="14.45" customHeight="1" outlineLevel="1" x14ac:dyDescent="0.25">
      <c r="A622" s="2462"/>
      <c r="B622" s="413"/>
      <c r="C622" s="385"/>
      <c r="D622" s="3787"/>
      <c r="E622" s="3785"/>
      <c r="F622" s="3647" t="str">
        <f t="shared" si="62"/>
        <v>CAC - SEER 20 ER2: MF_CompE</v>
      </c>
      <c r="G622" s="3648"/>
      <c r="H622" s="3649"/>
      <c r="I622" s="3212"/>
      <c r="J622" s="795">
        <v>1</v>
      </c>
      <c r="K622" s="3213"/>
      <c r="L622" s="3214"/>
      <c r="M622" s="385"/>
      <c r="N622" s="1746"/>
      <c r="O622" s="385"/>
      <c r="P622" s="413"/>
      <c r="Q622" s="413"/>
      <c r="R622" s="413"/>
      <c r="S622" s="413"/>
      <c r="T622" s="413"/>
      <c r="U622" s="413"/>
      <c r="V622" s="3590"/>
      <c r="W622" s="795"/>
      <c r="X622" s="796"/>
      <c r="Y622" s="795"/>
      <c r="Z622" s="796">
        <v>1</v>
      </c>
      <c r="AA622" s="795">
        <v>1</v>
      </c>
      <c r="AB622" s="795">
        <v>1</v>
      </c>
      <c r="AC622" s="795"/>
      <c r="AD622" s="795"/>
      <c r="AE622" s="795"/>
      <c r="AF622" s="795"/>
      <c r="AG622" s="795"/>
      <c r="BB622" s="794"/>
      <c r="BC622" s="658"/>
      <c r="BD622" s="757"/>
      <c r="BE622" s="659"/>
    </row>
    <row r="623" spans="1:57" s="512" customFormat="1" ht="14.45" customHeight="1" outlineLevel="1" x14ac:dyDescent="0.25">
      <c r="A623" s="2462"/>
      <c r="B623" s="413"/>
      <c r="C623" s="385"/>
      <c r="D623" s="3787"/>
      <c r="E623" s="3785"/>
      <c r="F623" s="3647" t="str">
        <f t="shared" si="62"/>
        <v>CAC - SEER 20 ROF: MF</v>
      </c>
      <c r="G623" s="3648"/>
      <c r="H623" s="3649"/>
      <c r="I623" s="3212"/>
      <c r="J623" s="795">
        <v>1</v>
      </c>
      <c r="K623" s="3213"/>
      <c r="L623" s="3214"/>
      <c r="M623" s="385"/>
      <c r="N623" s="1746"/>
      <c r="O623" s="385"/>
      <c r="P623" s="413"/>
      <c r="Q623" s="413"/>
      <c r="R623" s="413"/>
      <c r="S623" s="413"/>
      <c r="T623" s="413"/>
      <c r="U623" s="413"/>
      <c r="V623" s="3590"/>
      <c r="W623" s="795"/>
      <c r="X623" s="796"/>
      <c r="Y623" s="795"/>
      <c r="Z623" s="796">
        <v>1</v>
      </c>
      <c r="AA623" s="795">
        <v>1</v>
      </c>
      <c r="AB623" s="795">
        <v>1</v>
      </c>
      <c r="AC623" s="795"/>
      <c r="AD623" s="795"/>
      <c r="AE623" s="795"/>
      <c r="AF623" s="795"/>
      <c r="AG623" s="795"/>
      <c r="BB623" s="794"/>
      <c r="BC623" s="658"/>
      <c r="BD623" s="757"/>
      <c r="BE623" s="659"/>
    </row>
    <row r="624" spans="1:57" s="512" customFormat="1" ht="14.45" customHeight="1" outlineLevel="1" x14ac:dyDescent="0.25">
      <c r="A624" s="2462"/>
      <c r="B624" s="413"/>
      <c r="C624" s="385"/>
      <c r="D624" s="3787"/>
      <c r="E624" s="3785"/>
      <c r="F624" s="3647" t="str">
        <f t="shared" si="62"/>
        <v>CAC - SEER 20 ROF: MF_CompE</v>
      </c>
      <c r="G624" s="3648"/>
      <c r="H624" s="3649"/>
      <c r="I624" s="3212"/>
      <c r="J624" s="795">
        <v>1</v>
      </c>
      <c r="K624" s="3213"/>
      <c r="L624" s="3214"/>
      <c r="M624" s="385"/>
      <c r="N624" s="1746"/>
      <c r="O624" s="385"/>
      <c r="P624" s="413"/>
      <c r="Q624" s="413"/>
      <c r="R624" s="413"/>
      <c r="S624" s="413"/>
      <c r="T624" s="413"/>
      <c r="U624" s="413"/>
      <c r="V624" s="3590"/>
      <c r="W624" s="795"/>
      <c r="X624" s="796"/>
      <c r="Y624" s="795"/>
      <c r="Z624" s="796">
        <v>1</v>
      </c>
      <c r="AA624" s="795">
        <v>1</v>
      </c>
      <c r="AB624" s="795">
        <v>1</v>
      </c>
      <c r="AC624" s="795"/>
      <c r="AD624" s="795"/>
      <c r="AE624" s="795"/>
      <c r="AF624" s="795"/>
      <c r="AG624" s="795"/>
      <c r="BB624" s="794"/>
      <c r="BC624" s="658"/>
      <c r="BD624" s="757"/>
      <c r="BE624" s="659"/>
    </row>
    <row r="625" spans="1:57" s="512" customFormat="1" ht="14.45" customHeight="1" outlineLevel="1" x14ac:dyDescent="0.25">
      <c r="A625" s="2462"/>
      <c r="B625" s="413"/>
      <c r="C625" s="385"/>
      <c r="D625" s="3787"/>
      <c r="E625" s="3785"/>
      <c r="F625" s="3647" t="str">
        <f t="shared" si="62"/>
        <v>CAC - SEER 21+ ER1: SF</v>
      </c>
      <c r="G625" s="3648"/>
      <c r="H625" s="3649"/>
      <c r="I625" s="3212"/>
      <c r="J625" s="795">
        <v>1</v>
      </c>
      <c r="K625" s="3213"/>
      <c r="L625" s="3214"/>
      <c r="M625" s="385"/>
      <c r="N625" s="1746"/>
      <c r="O625" s="385"/>
      <c r="P625" s="413"/>
      <c r="Q625" s="413"/>
      <c r="R625" s="413"/>
      <c r="S625" s="413"/>
      <c r="T625" s="413"/>
      <c r="U625" s="413"/>
      <c r="V625" s="3590"/>
      <c r="W625" s="795"/>
      <c r="X625" s="795"/>
      <c r="Y625" s="795"/>
      <c r="Z625" s="796">
        <v>1</v>
      </c>
      <c r="AA625" s="795">
        <v>1</v>
      </c>
      <c r="AB625" s="795">
        <v>1</v>
      </c>
      <c r="AC625" s="795"/>
      <c r="AD625" s="795"/>
      <c r="AE625" s="795"/>
      <c r="AF625" s="795"/>
      <c r="AG625" s="795"/>
      <c r="BB625" s="794"/>
      <c r="BC625" s="658"/>
      <c r="BD625" s="757"/>
      <c r="BE625" s="659"/>
    </row>
    <row r="626" spans="1:57" s="512" customFormat="1" ht="14.45" customHeight="1" outlineLevel="1" x14ac:dyDescent="0.25">
      <c r="A626" s="2462"/>
      <c r="B626" s="413"/>
      <c r="C626" s="385"/>
      <c r="D626" s="3787"/>
      <c r="E626" s="3785"/>
      <c r="F626" s="3647" t="str">
        <f t="shared" si="62"/>
        <v>CAC - SEER 21+ ER2: SF</v>
      </c>
      <c r="G626" s="3648"/>
      <c r="H626" s="3649"/>
      <c r="I626" s="3212"/>
      <c r="J626" s="795">
        <v>1</v>
      </c>
      <c r="K626" s="3213"/>
      <c r="L626" s="3214"/>
      <c r="M626" s="385"/>
      <c r="N626" s="1746"/>
      <c r="O626" s="385"/>
      <c r="P626" s="413"/>
      <c r="Q626" s="413"/>
      <c r="R626" s="413"/>
      <c r="S626" s="413"/>
      <c r="T626" s="413"/>
      <c r="U626" s="413"/>
      <c r="V626" s="3590"/>
      <c r="W626" s="795"/>
      <c r="X626" s="795"/>
      <c r="Y626" s="795"/>
      <c r="Z626" s="796">
        <v>1</v>
      </c>
      <c r="AA626" s="795">
        <v>1</v>
      </c>
      <c r="AB626" s="795">
        <v>1</v>
      </c>
      <c r="AC626" s="795"/>
      <c r="AD626" s="795"/>
      <c r="AE626" s="795"/>
      <c r="AF626" s="795"/>
      <c r="AG626" s="795"/>
      <c r="BB626" s="794"/>
      <c r="BC626" s="658"/>
      <c r="BD626" s="757"/>
      <c r="BE626" s="659"/>
    </row>
    <row r="627" spans="1:57" s="512" customFormat="1" ht="14.45" customHeight="1" outlineLevel="1" x14ac:dyDescent="0.25">
      <c r="A627" s="2462"/>
      <c r="B627" s="413"/>
      <c r="C627" s="385"/>
      <c r="D627" s="3787"/>
      <c r="E627" s="3785"/>
      <c r="F627" s="3647" t="str">
        <f t="shared" si="62"/>
        <v>CAC - SEER 21+ ROF: SF</v>
      </c>
      <c r="G627" s="3648"/>
      <c r="H627" s="3649"/>
      <c r="I627" s="3212"/>
      <c r="J627" s="795">
        <v>1</v>
      </c>
      <c r="K627" s="3213"/>
      <c r="L627" s="3214"/>
      <c r="M627" s="385"/>
      <c r="N627" s="1746"/>
      <c r="O627" s="385"/>
      <c r="P627" s="413"/>
      <c r="Q627" s="413"/>
      <c r="R627" s="413"/>
      <c r="S627" s="413"/>
      <c r="T627" s="413"/>
      <c r="U627" s="413"/>
      <c r="V627" s="3590"/>
      <c r="W627" s="795"/>
      <c r="X627" s="795"/>
      <c r="Y627" s="795"/>
      <c r="Z627" s="796">
        <v>1</v>
      </c>
      <c r="AA627" s="795">
        <v>1</v>
      </c>
      <c r="AB627" s="795">
        <v>1</v>
      </c>
      <c r="AC627" s="795"/>
      <c r="AD627" s="795"/>
      <c r="AE627" s="795"/>
      <c r="AF627" s="795"/>
      <c r="AG627" s="795"/>
      <c r="BB627" s="794"/>
      <c r="BC627" s="658"/>
      <c r="BD627" s="757"/>
      <c r="BE627" s="659"/>
    </row>
    <row r="628" spans="1:57" s="512" customFormat="1" ht="14.45" customHeight="1" outlineLevel="1" x14ac:dyDescent="0.25">
      <c r="A628" s="2462"/>
      <c r="B628" s="413"/>
      <c r="C628" s="385"/>
      <c r="D628" s="3787"/>
      <c r="E628" s="3785"/>
      <c r="F628" s="3647" t="str">
        <f t="shared" si="62"/>
        <v>CAC - SEER 21+ ER1: MF</v>
      </c>
      <c r="G628" s="3648"/>
      <c r="H628" s="3649"/>
      <c r="I628" s="3212"/>
      <c r="J628" s="795">
        <v>1</v>
      </c>
      <c r="K628" s="3213"/>
      <c r="L628" s="3214"/>
      <c r="M628" s="385"/>
      <c r="N628" s="1746"/>
      <c r="O628" s="385"/>
      <c r="P628" s="413"/>
      <c r="Q628" s="413"/>
      <c r="R628" s="413"/>
      <c r="S628" s="413"/>
      <c r="T628" s="413"/>
      <c r="U628" s="413"/>
      <c r="V628" s="3590"/>
      <c r="W628" s="795"/>
      <c r="X628" s="796"/>
      <c r="Y628" s="795"/>
      <c r="Z628" s="796">
        <v>1</v>
      </c>
      <c r="AA628" s="795">
        <v>1</v>
      </c>
      <c r="AB628" s="795">
        <v>1</v>
      </c>
      <c r="AC628" s="795"/>
      <c r="AD628" s="795"/>
      <c r="AE628" s="795"/>
      <c r="AF628" s="795"/>
      <c r="AG628" s="795"/>
      <c r="BB628" s="794"/>
      <c r="BC628" s="658"/>
      <c r="BD628" s="757"/>
      <c r="BE628" s="659"/>
    </row>
    <row r="629" spans="1:57" s="512" customFormat="1" ht="14.45" customHeight="1" outlineLevel="1" x14ac:dyDescent="0.25">
      <c r="A629" s="2462"/>
      <c r="B629" s="413"/>
      <c r="C629" s="385"/>
      <c r="D629" s="3787"/>
      <c r="E629" s="3785"/>
      <c r="F629" s="3647" t="str">
        <f t="shared" si="62"/>
        <v>CAC - SEER 21+ ER2: MF</v>
      </c>
      <c r="G629" s="3648"/>
      <c r="H629" s="3649"/>
      <c r="I629" s="3212"/>
      <c r="J629" s="795">
        <v>1</v>
      </c>
      <c r="K629" s="3213"/>
      <c r="L629" s="3214"/>
      <c r="M629" s="385"/>
      <c r="N629" s="1746"/>
      <c r="O629" s="385"/>
      <c r="P629" s="413"/>
      <c r="Q629" s="413"/>
      <c r="R629" s="413"/>
      <c r="S629" s="413"/>
      <c r="T629" s="413"/>
      <c r="U629" s="413"/>
      <c r="V629" s="3590"/>
      <c r="W629" s="795"/>
      <c r="X629" s="796"/>
      <c r="Y629" s="795"/>
      <c r="Z629" s="796">
        <v>1</v>
      </c>
      <c r="AA629" s="795">
        <v>1</v>
      </c>
      <c r="AB629" s="795">
        <v>1</v>
      </c>
      <c r="AC629" s="795"/>
      <c r="AD629" s="795"/>
      <c r="AE629" s="795"/>
      <c r="AF629" s="795"/>
      <c r="AG629" s="795"/>
      <c r="BB629" s="794"/>
      <c r="BC629" s="658"/>
      <c r="BD629" s="757"/>
      <c r="BE629" s="659"/>
    </row>
    <row r="630" spans="1:57" s="512" customFormat="1" ht="14.45" customHeight="1" outlineLevel="1" x14ac:dyDescent="0.25">
      <c r="A630" s="2462"/>
      <c r="B630" s="413"/>
      <c r="C630" s="385"/>
      <c r="D630" s="3787"/>
      <c r="E630" s="3785"/>
      <c r="F630" s="3647" t="str">
        <f t="shared" si="62"/>
        <v>CAC - SEER 21+ ER1: MF_CompE</v>
      </c>
      <c r="G630" s="3648"/>
      <c r="H630" s="3649"/>
      <c r="I630" s="797"/>
      <c r="J630" s="795">
        <v>1</v>
      </c>
      <c r="K630" s="3215"/>
      <c r="L630" s="3216"/>
      <c r="M630" s="385"/>
      <c r="N630" s="1746"/>
      <c r="O630" s="385"/>
      <c r="P630" s="413"/>
      <c r="Q630" s="413"/>
      <c r="R630" s="413"/>
      <c r="S630" s="413"/>
      <c r="T630" s="413"/>
      <c r="U630" s="413"/>
      <c r="V630" s="3590"/>
      <c r="W630" s="798"/>
      <c r="X630" s="796"/>
      <c r="Y630" s="795"/>
      <c r="Z630" s="2220">
        <v>1</v>
      </c>
      <c r="AA630" s="798">
        <v>1</v>
      </c>
      <c r="AB630" s="798">
        <v>1</v>
      </c>
      <c r="AC630" s="798"/>
      <c r="AD630" s="798"/>
      <c r="AE630" s="798"/>
      <c r="AF630" s="798"/>
      <c r="AG630" s="798"/>
      <c r="BB630" s="794"/>
      <c r="BC630" s="658"/>
      <c r="BD630" s="757"/>
      <c r="BE630" s="659"/>
    </row>
    <row r="631" spans="1:57" s="512" customFormat="1" ht="14.45" customHeight="1" outlineLevel="1" x14ac:dyDescent="0.25">
      <c r="A631" s="2462"/>
      <c r="B631" s="413"/>
      <c r="C631" s="385"/>
      <c r="D631" s="3787"/>
      <c r="E631" s="3785"/>
      <c r="F631" s="3647" t="str">
        <f t="shared" si="62"/>
        <v>CAC - SEER 21+ ER2: MF_CompE</v>
      </c>
      <c r="G631" s="3648"/>
      <c r="H631" s="3649"/>
      <c r="I631" s="797"/>
      <c r="J631" s="795">
        <v>1</v>
      </c>
      <c r="K631" s="3215"/>
      <c r="L631" s="3216"/>
      <c r="M631" s="385"/>
      <c r="N631" s="1746"/>
      <c r="O631" s="385"/>
      <c r="P631" s="413"/>
      <c r="Q631" s="413"/>
      <c r="R631" s="413"/>
      <c r="S631" s="413"/>
      <c r="T631" s="413"/>
      <c r="U631" s="413"/>
      <c r="V631" s="3590"/>
      <c r="W631" s="798"/>
      <c r="X631" s="796"/>
      <c r="Y631" s="795"/>
      <c r="Z631" s="2220">
        <v>1</v>
      </c>
      <c r="AA631" s="798">
        <v>1</v>
      </c>
      <c r="AB631" s="798">
        <v>1</v>
      </c>
      <c r="AC631" s="798"/>
      <c r="AD631" s="798"/>
      <c r="AE631" s="798"/>
      <c r="AF631" s="798"/>
      <c r="AG631" s="798"/>
      <c r="BB631" s="794"/>
      <c r="BC631" s="658"/>
      <c r="BD631" s="757"/>
      <c r="BE631" s="659"/>
    </row>
    <row r="632" spans="1:57" s="512" customFormat="1" ht="14.45" customHeight="1" outlineLevel="1" x14ac:dyDescent="0.25">
      <c r="A632" s="2462"/>
      <c r="B632" s="413"/>
      <c r="C632" s="385"/>
      <c r="D632" s="3787"/>
      <c r="E632" s="3785"/>
      <c r="F632" s="3647" t="str">
        <f t="shared" si="62"/>
        <v>CAC - SEER 21+ ROF: MF</v>
      </c>
      <c r="G632" s="3648"/>
      <c r="H632" s="3649"/>
      <c r="I632" s="3212"/>
      <c r="J632" s="795">
        <v>1</v>
      </c>
      <c r="K632" s="3213"/>
      <c r="L632" s="3214"/>
      <c r="M632" s="385"/>
      <c r="N632" s="1746"/>
      <c r="O632" s="385"/>
      <c r="P632" s="413"/>
      <c r="Q632" s="413"/>
      <c r="R632" s="413"/>
      <c r="S632" s="413"/>
      <c r="T632" s="413"/>
      <c r="U632" s="413"/>
      <c r="V632" s="3590"/>
      <c r="W632" s="795"/>
      <c r="X632" s="796"/>
      <c r="Y632" s="795"/>
      <c r="Z632" s="796">
        <v>1</v>
      </c>
      <c r="AA632" s="795">
        <v>1</v>
      </c>
      <c r="AB632" s="795">
        <v>1</v>
      </c>
      <c r="AC632" s="795"/>
      <c r="AD632" s="795"/>
      <c r="AE632" s="795"/>
      <c r="AF632" s="795"/>
      <c r="AG632" s="795"/>
      <c r="BB632" s="794"/>
      <c r="BC632" s="658"/>
      <c r="BD632" s="757"/>
      <c r="BE632" s="659"/>
    </row>
    <row r="633" spans="1:57" s="512" customFormat="1" ht="14.45" customHeight="1" outlineLevel="1" thickBot="1" x14ac:dyDescent="0.3">
      <c r="A633" s="2462"/>
      <c r="B633" s="413"/>
      <c r="C633" s="385"/>
      <c r="D633" s="3788"/>
      <c r="E633" s="3786"/>
      <c r="F633" s="3782" t="str">
        <f t="shared" si="62"/>
        <v>CAC - SEER 21+ ROF: MF_CompE</v>
      </c>
      <c r="G633" s="3783"/>
      <c r="H633" s="3784"/>
      <c r="I633" s="3217"/>
      <c r="J633" s="3218">
        <v>1</v>
      </c>
      <c r="K633" s="3219"/>
      <c r="L633" s="3220"/>
      <c r="M633" s="385"/>
      <c r="N633" s="1746"/>
      <c r="O633" s="385"/>
      <c r="P633" s="413"/>
      <c r="Q633" s="413"/>
      <c r="R633" s="413"/>
      <c r="S633" s="413"/>
      <c r="T633" s="413"/>
      <c r="U633" s="413"/>
      <c r="V633" s="3591"/>
      <c r="W633" s="2648"/>
      <c r="X633" s="2649"/>
      <c r="Y633" s="2648"/>
      <c r="Z633" s="2649">
        <v>1</v>
      </c>
      <c r="AA633" s="2648">
        <v>1</v>
      </c>
      <c r="AB633" s="2648">
        <v>1</v>
      </c>
      <c r="AC633" s="2648"/>
      <c r="AD633" s="2648"/>
      <c r="AE633" s="2648"/>
      <c r="AF633" s="2648"/>
      <c r="AG633" s="2648"/>
      <c r="BB633" s="794"/>
      <c r="BC633" s="658"/>
      <c r="BD633" s="757"/>
      <c r="BE633" s="659"/>
    </row>
    <row r="634" spans="1:57" s="512" customFormat="1" ht="14.45" customHeight="1" outlineLevel="1" thickBot="1" x14ac:dyDescent="0.3">
      <c r="A634" s="2462"/>
      <c r="B634" s="413"/>
      <c r="C634" s="385"/>
      <c r="D634" s="2646" t="s">
        <v>75</v>
      </c>
      <c r="E634" s="2647" t="s">
        <v>3614</v>
      </c>
      <c r="F634" s="3789" t="s">
        <v>591</v>
      </c>
      <c r="G634" s="3790"/>
      <c r="H634" s="3791"/>
      <c r="I634" s="3221"/>
      <c r="J634" s="3222">
        <v>1</v>
      </c>
      <c r="K634" s="3201"/>
      <c r="L634" s="3223" t="s">
        <v>3649</v>
      </c>
      <c r="M634" s="385"/>
      <c r="N634" s="1746"/>
      <c r="O634" s="385"/>
      <c r="P634" s="413"/>
      <c r="Q634" s="413"/>
      <c r="R634" s="413"/>
      <c r="S634" s="413"/>
      <c r="T634" s="413"/>
      <c r="U634" s="413"/>
      <c r="V634" s="3058" t="s">
        <v>75</v>
      </c>
      <c r="W634" s="799"/>
      <c r="X634" s="800"/>
      <c r="Y634" s="801"/>
      <c r="Z634" s="2221"/>
      <c r="AA634" s="799"/>
      <c r="AB634" s="2221">
        <v>1</v>
      </c>
      <c r="AC634" s="799"/>
      <c r="AD634" s="799"/>
      <c r="AE634" s="799"/>
      <c r="AF634" s="799"/>
      <c r="AG634" s="799"/>
      <c r="BB634" s="794"/>
      <c r="BC634" s="658"/>
      <c r="BD634" s="757"/>
      <c r="BE634" s="659"/>
    </row>
    <row r="635" spans="1:57" s="512" customFormat="1" ht="14.45" customHeight="1" outlineLevel="1" x14ac:dyDescent="0.25">
      <c r="A635" s="2462"/>
      <c r="B635" s="413"/>
      <c r="C635" s="385"/>
      <c r="D635" s="3588" t="str">
        <f>J117</f>
        <v>EUL</v>
      </c>
      <c r="E635" s="3720" t="str">
        <f>E88</f>
        <v>End of Useful Life</v>
      </c>
      <c r="F635" s="3665" t="str">
        <f t="shared" ref="F635:F666" si="63">F562</f>
        <v>CAC - SEER 14 ER1: SF</v>
      </c>
      <c r="G635" s="3666"/>
      <c r="H635" s="3667"/>
      <c r="I635" s="2198"/>
      <c r="J635" s="2207">
        <v>6</v>
      </c>
      <c r="K635" s="2199"/>
      <c r="L635" s="2200"/>
      <c r="M635" s="385"/>
      <c r="N635" s="1746"/>
      <c r="O635" s="385"/>
      <c r="P635" s="413"/>
      <c r="Q635" s="413"/>
      <c r="R635" s="413"/>
      <c r="S635" s="413"/>
      <c r="T635" s="413"/>
      <c r="U635" s="413"/>
      <c r="V635" s="3588" t="str">
        <f>D635</f>
        <v>EUL</v>
      </c>
      <c r="W635" s="802">
        <v>6</v>
      </c>
      <c r="X635" s="802">
        <v>6</v>
      </c>
      <c r="Y635" s="802">
        <v>6</v>
      </c>
      <c r="Z635" s="802">
        <v>6</v>
      </c>
      <c r="AA635" s="802">
        <v>6</v>
      </c>
      <c r="AB635" s="802">
        <v>6</v>
      </c>
      <c r="AC635" s="802"/>
      <c r="AD635" s="802"/>
      <c r="AE635" s="802"/>
      <c r="AF635" s="802"/>
      <c r="AG635" s="802"/>
      <c r="BB635" s="794"/>
      <c r="BC635" s="658"/>
      <c r="BD635" s="757"/>
      <c r="BE635" s="659"/>
    </row>
    <row r="636" spans="1:57" s="512" customFormat="1" ht="14.45" customHeight="1" outlineLevel="1" x14ac:dyDescent="0.25">
      <c r="A636" s="2462"/>
      <c r="B636" s="413"/>
      <c r="C636" s="385"/>
      <c r="D636" s="3589"/>
      <c r="E636" s="3721"/>
      <c r="F636" s="3668" t="str">
        <f t="shared" si="63"/>
        <v>CAC - SEER 14 ER2: SF</v>
      </c>
      <c r="G636" s="3669"/>
      <c r="H636" s="3670"/>
      <c r="I636" s="2201"/>
      <c r="J636" s="2208">
        <v>12</v>
      </c>
      <c r="K636" s="2202"/>
      <c r="L636" s="2203"/>
      <c r="M636" s="385"/>
      <c r="N636" s="1746"/>
      <c r="O636" s="385"/>
      <c r="P636" s="413"/>
      <c r="Q636" s="413"/>
      <c r="R636" s="413"/>
      <c r="S636" s="413"/>
      <c r="T636" s="413"/>
      <c r="U636" s="413"/>
      <c r="V636" s="3589"/>
      <c r="W636" s="803">
        <v>12</v>
      </c>
      <c r="X636" s="803">
        <v>12</v>
      </c>
      <c r="Y636" s="803">
        <v>12</v>
      </c>
      <c r="Z636" s="803">
        <v>12</v>
      </c>
      <c r="AA636" s="803">
        <v>12</v>
      </c>
      <c r="AB636" s="803">
        <v>12</v>
      </c>
      <c r="AC636" s="803"/>
      <c r="AD636" s="803"/>
      <c r="AE636" s="803"/>
      <c r="AF636" s="803"/>
      <c r="AG636" s="803"/>
      <c r="BB636" s="794"/>
      <c r="BC636" s="658"/>
      <c r="BD636" s="757"/>
      <c r="BE636" s="659"/>
    </row>
    <row r="637" spans="1:57" s="512" customFormat="1" ht="14.45" customHeight="1" outlineLevel="1" x14ac:dyDescent="0.25">
      <c r="A637" s="2462"/>
      <c r="B637" s="413"/>
      <c r="C637" s="385"/>
      <c r="D637" s="3589"/>
      <c r="E637" s="3721"/>
      <c r="F637" s="3668" t="str">
        <f t="shared" si="63"/>
        <v>CAC - SEER 14 ROF: SF</v>
      </c>
      <c r="G637" s="3669"/>
      <c r="H637" s="3670"/>
      <c r="I637" s="2201"/>
      <c r="J637" s="2208">
        <v>18</v>
      </c>
      <c r="K637" s="2202"/>
      <c r="L637" s="2203"/>
      <c r="M637" s="385"/>
      <c r="N637" s="1746"/>
      <c r="O637" s="385"/>
      <c r="P637" s="413"/>
      <c r="Q637" s="413"/>
      <c r="R637" s="413"/>
      <c r="S637" s="413"/>
      <c r="T637" s="413"/>
      <c r="U637" s="413"/>
      <c r="V637" s="3589"/>
      <c r="W637" s="803">
        <v>18</v>
      </c>
      <c r="X637" s="803">
        <v>18</v>
      </c>
      <c r="Y637" s="803">
        <v>18</v>
      </c>
      <c r="Z637" s="803">
        <v>18</v>
      </c>
      <c r="AA637" s="803">
        <v>18</v>
      </c>
      <c r="AB637" s="803">
        <v>18</v>
      </c>
      <c r="AC637" s="803"/>
      <c r="AD637" s="803"/>
      <c r="AE637" s="803"/>
      <c r="AF637" s="803"/>
      <c r="AG637" s="803"/>
      <c r="BB637" s="794"/>
      <c r="BC637" s="658"/>
      <c r="BD637" s="757"/>
      <c r="BE637" s="659"/>
    </row>
    <row r="638" spans="1:57" s="512" customFormat="1" ht="14.45" customHeight="1" outlineLevel="1" x14ac:dyDescent="0.25">
      <c r="A638" s="2462"/>
      <c r="B638" s="413"/>
      <c r="C638" s="385"/>
      <c r="D638" s="3589"/>
      <c r="E638" s="3721"/>
      <c r="F638" s="3631" t="str">
        <f t="shared" si="63"/>
        <v>CAC - SEER 14 ER1: MF</v>
      </c>
      <c r="G638" s="3632"/>
      <c r="H638" s="3633"/>
      <c r="I638" s="2201"/>
      <c r="J638" s="2208">
        <v>6</v>
      </c>
      <c r="K638" s="2202"/>
      <c r="L638" s="2203"/>
      <c r="M638" s="385"/>
      <c r="N638" s="1746"/>
      <c r="O638" s="385"/>
      <c r="P638" s="413"/>
      <c r="Q638" s="413"/>
      <c r="R638" s="413"/>
      <c r="S638" s="413"/>
      <c r="T638" s="413"/>
      <c r="U638" s="413"/>
      <c r="V638" s="3589"/>
      <c r="W638" s="803">
        <v>6</v>
      </c>
      <c r="X638" s="803">
        <v>6</v>
      </c>
      <c r="Y638" s="803">
        <v>6</v>
      </c>
      <c r="Z638" s="803">
        <v>6</v>
      </c>
      <c r="AA638" s="803">
        <v>6</v>
      </c>
      <c r="AB638" s="803">
        <v>6</v>
      </c>
      <c r="AC638" s="803"/>
      <c r="AD638" s="803"/>
      <c r="AE638" s="803"/>
      <c r="AF638" s="803"/>
      <c r="AG638" s="803"/>
      <c r="BB638" s="794"/>
      <c r="BC638" s="658"/>
      <c r="BD638" s="757"/>
      <c r="BE638" s="659"/>
    </row>
    <row r="639" spans="1:57" s="512" customFormat="1" ht="14.45" customHeight="1" outlineLevel="1" x14ac:dyDescent="0.25">
      <c r="A639" s="2462"/>
      <c r="B639" s="413"/>
      <c r="C639" s="385"/>
      <c r="D639" s="3589"/>
      <c r="E639" s="3721"/>
      <c r="F639" s="3631" t="str">
        <f t="shared" si="63"/>
        <v>CAC - SEER 14 ER2: MF</v>
      </c>
      <c r="G639" s="3632"/>
      <c r="H639" s="3633"/>
      <c r="I639" s="2201"/>
      <c r="J639" s="2208">
        <v>12</v>
      </c>
      <c r="K639" s="2202"/>
      <c r="L639" s="2203"/>
      <c r="M639" s="385"/>
      <c r="N639" s="1746"/>
      <c r="O639" s="385"/>
      <c r="P639" s="413"/>
      <c r="Q639" s="413"/>
      <c r="R639" s="413"/>
      <c r="S639" s="413"/>
      <c r="T639" s="413"/>
      <c r="U639" s="413"/>
      <c r="V639" s="3589"/>
      <c r="W639" s="803">
        <v>12</v>
      </c>
      <c r="X639" s="803">
        <v>12</v>
      </c>
      <c r="Y639" s="803">
        <v>12</v>
      </c>
      <c r="Z639" s="803">
        <v>12</v>
      </c>
      <c r="AA639" s="803">
        <v>12</v>
      </c>
      <c r="AB639" s="803">
        <v>12</v>
      </c>
      <c r="AC639" s="803"/>
      <c r="AD639" s="803"/>
      <c r="AE639" s="803"/>
      <c r="AF639" s="803"/>
      <c r="AG639" s="803"/>
      <c r="BB639" s="794"/>
      <c r="BC639" s="658"/>
      <c r="BD639" s="757"/>
      <c r="BE639" s="659"/>
    </row>
    <row r="640" spans="1:57" s="512" customFormat="1" ht="14.45" customHeight="1" outlineLevel="1" x14ac:dyDescent="0.25">
      <c r="A640" s="2462"/>
      <c r="B640" s="413"/>
      <c r="C640" s="385"/>
      <c r="D640" s="3589"/>
      <c r="E640" s="3721"/>
      <c r="F640" s="3631" t="str">
        <f t="shared" si="63"/>
        <v>CAC - SEER 14 ER1: MF_CompE</v>
      </c>
      <c r="G640" s="3632"/>
      <c r="H640" s="3633"/>
      <c r="I640" s="2201"/>
      <c r="J640" s="2208">
        <v>6</v>
      </c>
      <c r="K640" s="2202"/>
      <c r="L640" s="2203"/>
      <c r="M640" s="385"/>
      <c r="N640" s="1746"/>
      <c r="O640" s="385"/>
      <c r="P640" s="413"/>
      <c r="Q640" s="413"/>
      <c r="R640" s="413"/>
      <c r="S640" s="413"/>
      <c r="T640" s="413"/>
      <c r="U640" s="413"/>
      <c r="V640" s="3589"/>
      <c r="W640" s="803"/>
      <c r="X640" s="803"/>
      <c r="Y640" s="803">
        <v>6</v>
      </c>
      <c r="Z640" s="803">
        <v>6</v>
      </c>
      <c r="AA640" s="803">
        <v>6</v>
      </c>
      <c r="AB640" s="803">
        <v>6</v>
      </c>
      <c r="AC640" s="803"/>
      <c r="AD640" s="803"/>
      <c r="AE640" s="803"/>
      <c r="AF640" s="803"/>
      <c r="AG640" s="803"/>
      <c r="BB640" s="794"/>
      <c r="BC640" s="658"/>
      <c r="BD640" s="757"/>
      <c r="BE640" s="659"/>
    </row>
    <row r="641" spans="1:57" s="512" customFormat="1" ht="14.45" customHeight="1" outlineLevel="1" x14ac:dyDescent="0.25">
      <c r="A641" s="2462"/>
      <c r="B641" s="413"/>
      <c r="C641" s="385"/>
      <c r="D641" s="3589"/>
      <c r="E641" s="3721"/>
      <c r="F641" s="3631" t="str">
        <f t="shared" si="63"/>
        <v>CAC - SEER 14 ER2: MF_CompE</v>
      </c>
      <c r="G641" s="3632"/>
      <c r="H641" s="3633"/>
      <c r="I641" s="2201"/>
      <c r="J641" s="2208">
        <v>12</v>
      </c>
      <c r="K641" s="2202"/>
      <c r="L641" s="2203"/>
      <c r="M641" s="385"/>
      <c r="N641" s="1746"/>
      <c r="O641" s="385"/>
      <c r="P641" s="413"/>
      <c r="Q641" s="413"/>
      <c r="R641" s="413"/>
      <c r="S641" s="413"/>
      <c r="T641" s="413"/>
      <c r="U641" s="413"/>
      <c r="V641" s="3589"/>
      <c r="W641" s="803"/>
      <c r="X641" s="803"/>
      <c r="Y641" s="803">
        <v>12</v>
      </c>
      <c r="Z641" s="803">
        <v>12</v>
      </c>
      <c r="AA641" s="803">
        <v>12</v>
      </c>
      <c r="AB641" s="803">
        <v>12</v>
      </c>
      <c r="AC641" s="803"/>
      <c r="AD641" s="803"/>
      <c r="AE641" s="803"/>
      <c r="AF641" s="803"/>
      <c r="AG641" s="803"/>
      <c r="BB641" s="794"/>
      <c r="BC641" s="658"/>
      <c r="BD641" s="757"/>
      <c r="BE641" s="659"/>
    </row>
    <row r="642" spans="1:57" s="512" customFormat="1" ht="14.45" customHeight="1" outlineLevel="1" x14ac:dyDescent="0.25">
      <c r="A642" s="2462"/>
      <c r="B642" s="413"/>
      <c r="C642" s="385"/>
      <c r="D642" s="3589"/>
      <c r="E642" s="3721"/>
      <c r="F642" s="3631" t="str">
        <f t="shared" si="63"/>
        <v>CAC - SEER 14 ROF: MF</v>
      </c>
      <c r="G642" s="3632"/>
      <c r="H642" s="3633"/>
      <c r="I642" s="2201"/>
      <c r="J642" s="2208">
        <v>18</v>
      </c>
      <c r="K642" s="2202"/>
      <c r="L642" s="2203"/>
      <c r="M642" s="385"/>
      <c r="N642" s="1746"/>
      <c r="O642" s="385"/>
      <c r="P642" s="413"/>
      <c r="Q642" s="413"/>
      <c r="R642" s="413"/>
      <c r="S642" s="413"/>
      <c r="T642" s="413"/>
      <c r="U642" s="413"/>
      <c r="V642" s="3589"/>
      <c r="W642" s="803">
        <v>16</v>
      </c>
      <c r="X642" s="803">
        <v>16</v>
      </c>
      <c r="Y642" s="804">
        <v>18</v>
      </c>
      <c r="Z642" s="803">
        <v>18</v>
      </c>
      <c r="AA642" s="803">
        <v>18</v>
      </c>
      <c r="AB642" s="803">
        <v>18</v>
      </c>
      <c r="AC642" s="803"/>
      <c r="AD642" s="803"/>
      <c r="AE642" s="803"/>
      <c r="AF642" s="803"/>
      <c r="AG642" s="803"/>
      <c r="BB642" s="794"/>
      <c r="BC642" s="658"/>
      <c r="BD642" s="757"/>
      <c r="BE642" s="659"/>
    </row>
    <row r="643" spans="1:57" s="512" customFormat="1" ht="14.45" customHeight="1" outlineLevel="1" x14ac:dyDescent="0.25">
      <c r="A643" s="2462"/>
      <c r="B643" s="413"/>
      <c r="C643" s="385"/>
      <c r="D643" s="3589"/>
      <c r="E643" s="3721"/>
      <c r="F643" s="3631" t="str">
        <f t="shared" si="63"/>
        <v>CAC - SEER 14 ROF: MF_CompE</v>
      </c>
      <c r="G643" s="3632"/>
      <c r="H643" s="3633"/>
      <c r="I643" s="2201"/>
      <c r="J643" s="2208">
        <v>18</v>
      </c>
      <c r="K643" s="2202"/>
      <c r="L643" s="2203"/>
      <c r="M643" s="385"/>
      <c r="N643" s="1746"/>
      <c r="O643" s="385"/>
      <c r="P643" s="413"/>
      <c r="Q643" s="413"/>
      <c r="R643" s="413"/>
      <c r="S643" s="413"/>
      <c r="T643" s="413"/>
      <c r="U643" s="413"/>
      <c r="V643" s="3589"/>
      <c r="W643" s="803"/>
      <c r="X643" s="803"/>
      <c r="Y643" s="803">
        <v>18</v>
      </c>
      <c r="Z643" s="803">
        <v>18</v>
      </c>
      <c r="AA643" s="803">
        <v>18</v>
      </c>
      <c r="AB643" s="803">
        <v>18</v>
      </c>
      <c r="AC643" s="803"/>
      <c r="AD643" s="803"/>
      <c r="AE643" s="803"/>
      <c r="AF643" s="803"/>
      <c r="AG643" s="803"/>
      <c r="BB643" s="794"/>
      <c r="BC643" s="658"/>
      <c r="BD643" s="757"/>
      <c r="BE643" s="659"/>
    </row>
    <row r="644" spans="1:57" s="512" customFormat="1" ht="14.45" customHeight="1" outlineLevel="1" x14ac:dyDescent="0.25">
      <c r="A644" s="2462"/>
      <c r="B644" s="413"/>
      <c r="C644" s="385"/>
      <c r="D644" s="3589"/>
      <c r="E644" s="3721"/>
      <c r="F644" s="3631" t="str">
        <f t="shared" si="63"/>
        <v>CAC - SEER 15 ER1: SF</v>
      </c>
      <c r="G644" s="3632"/>
      <c r="H644" s="3633"/>
      <c r="I644" s="2201"/>
      <c r="J644" s="2208">
        <v>6</v>
      </c>
      <c r="K644" s="2202"/>
      <c r="L644" s="2203"/>
      <c r="M644" s="385"/>
      <c r="N644" s="1746"/>
      <c r="O644" s="385"/>
      <c r="P644" s="413"/>
      <c r="Q644" s="413"/>
      <c r="R644" s="413"/>
      <c r="S644" s="413"/>
      <c r="T644" s="413"/>
      <c r="U644" s="413"/>
      <c r="V644" s="3589"/>
      <c r="W644" s="803">
        <v>6</v>
      </c>
      <c r="X644" s="803">
        <v>6</v>
      </c>
      <c r="Y644" s="803">
        <v>6</v>
      </c>
      <c r="Z644" s="803">
        <v>6</v>
      </c>
      <c r="AA644" s="803">
        <v>6</v>
      </c>
      <c r="AB644" s="803">
        <v>6</v>
      </c>
      <c r="AC644" s="803"/>
      <c r="AD644" s="803"/>
      <c r="AE644" s="803"/>
      <c r="AF644" s="803"/>
      <c r="AG644" s="803"/>
      <c r="BB644" s="794"/>
      <c r="BC644" s="658"/>
      <c r="BD644" s="757"/>
      <c r="BE644" s="659"/>
    </row>
    <row r="645" spans="1:57" s="512" customFormat="1" ht="14.45" customHeight="1" outlineLevel="1" x14ac:dyDescent="0.25">
      <c r="A645" s="2462"/>
      <c r="B645" s="413"/>
      <c r="C645" s="385"/>
      <c r="D645" s="3589"/>
      <c r="E645" s="3721"/>
      <c r="F645" s="3631" t="str">
        <f t="shared" si="63"/>
        <v>CAC - SEER 15 ER2: SF</v>
      </c>
      <c r="G645" s="3632"/>
      <c r="H645" s="3633"/>
      <c r="I645" s="2201"/>
      <c r="J645" s="2208">
        <v>12</v>
      </c>
      <c r="K645" s="2202"/>
      <c r="L645" s="2203"/>
      <c r="M645" s="385"/>
      <c r="N645" s="1746"/>
      <c r="O645" s="385"/>
      <c r="P645" s="413"/>
      <c r="Q645" s="413"/>
      <c r="R645" s="413"/>
      <c r="S645" s="413"/>
      <c r="T645" s="413"/>
      <c r="U645" s="413"/>
      <c r="V645" s="3589"/>
      <c r="W645" s="803">
        <v>12</v>
      </c>
      <c r="X645" s="803">
        <v>12</v>
      </c>
      <c r="Y645" s="803">
        <v>12</v>
      </c>
      <c r="Z645" s="803">
        <v>12</v>
      </c>
      <c r="AA645" s="803">
        <v>12</v>
      </c>
      <c r="AB645" s="803">
        <v>12</v>
      </c>
      <c r="AC645" s="803"/>
      <c r="AD645" s="803"/>
      <c r="AE645" s="803"/>
      <c r="AF645" s="803"/>
      <c r="AG645" s="803"/>
      <c r="BB645" s="794"/>
      <c r="BC645" s="658"/>
      <c r="BD645" s="757"/>
      <c r="BE645" s="659"/>
    </row>
    <row r="646" spans="1:57" s="512" customFormat="1" ht="14.45" customHeight="1" outlineLevel="1" x14ac:dyDescent="0.25">
      <c r="A646" s="2462"/>
      <c r="B646" s="413"/>
      <c r="C646" s="385"/>
      <c r="D646" s="3589"/>
      <c r="E646" s="3721"/>
      <c r="F646" s="3631" t="str">
        <f t="shared" si="63"/>
        <v>CAC - SEER 15 ROF: SF</v>
      </c>
      <c r="G646" s="3632"/>
      <c r="H646" s="3633"/>
      <c r="I646" s="2201"/>
      <c r="J646" s="2208">
        <v>18</v>
      </c>
      <c r="K646" s="2202"/>
      <c r="L646" s="2203"/>
      <c r="M646" s="385"/>
      <c r="N646" s="1746"/>
      <c r="O646" s="385"/>
      <c r="P646" s="413"/>
      <c r="Q646" s="413"/>
      <c r="R646" s="413"/>
      <c r="S646" s="413"/>
      <c r="T646" s="413"/>
      <c r="U646" s="413"/>
      <c r="V646" s="3589"/>
      <c r="W646" s="803">
        <v>18</v>
      </c>
      <c r="X646" s="803">
        <v>18</v>
      </c>
      <c r="Y646" s="803">
        <v>18</v>
      </c>
      <c r="Z646" s="803">
        <v>18</v>
      </c>
      <c r="AA646" s="803">
        <v>18</v>
      </c>
      <c r="AB646" s="803">
        <v>18</v>
      </c>
      <c r="AC646" s="803"/>
      <c r="AD646" s="803"/>
      <c r="AE646" s="803"/>
      <c r="AF646" s="803"/>
      <c r="AG646" s="803"/>
      <c r="BB646" s="794"/>
      <c r="BC646" s="658"/>
      <c r="BD646" s="757"/>
      <c r="BE646" s="659"/>
    </row>
    <row r="647" spans="1:57" s="512" customFormat="1" ht="14.45" customHeight="1" outlineLevel="1" x14ac:dyDescent="0.25">
      <c r="A647" s="2462"/>
      <c r="B647" s="413"/>
      <c r="C647" s="385"/>
      <c r="D647" s="3589"/>
      <c r="E647" s="3721"/>
      <c r="F647" s="3631" t="str">
        <f t="shared" si="63"/>
        <v>CAC - SEER 15 ER1: MF</v>
      </c>
      <c r="G647" s="3632"/>
      <c r="H647" s="3633"/>
      <c r="I647" s="2201"/>
      <c r="J647" s="2208">
        <v>6</v>
      </c>
      <c r="K647" s="2202"/>
      <c r="L647" s="2203"/>
      <c r="M647" s="385"/>
      <c r="N647" s="1746"/>
      <c r="O647" s="385"/>
      <c r="P647" s="413"/>
      <c r="Q647" s="413"/>
      <c r="R647" s="413"/>
      <c r="S647" s="413"/>
      <c r="T647" s="413"/>
      <c r="U647" s="413"/>
      <c r="V647" s="3589"/>
      <c r="W647" s="803">
        <v>6</v>
      </c>
      <c r="X647" s="803">
        <v>6</v>
      </c>
      <c r="Y647" s="803">
        <v>6</v>
      </c>
      <c r="Z647" s="803">
        <v>6</v>
      </c>
      <c r="AA647" s="803">
        <v>6</v>
      </c>
      <c r="AB647" s="803">
        <v>6</v>
      </c>
      <c r="AC647" s="803"/>
      <c r="AD647" s="803"/>
      <c r="AE647" s="803"/>
      <c r="AF647" s="803"/>
      <c r="AG647" s="803"/>
      <c r="BB647" s="794"/>
      <c r="BC647" s="658"/>
      <c r="BD647" s="757"/>
      <c r="BE647" s="659"/>
    </row>
    <row r="648" spans="1:57" s="512" customFormat="1" ht="14.45" customHeight="1" outlineLevel="1" x14ac:dyDescent="0.25">
      <c r="A648" s="2462"/>
      <c r="B648" s="413"/>
      <c r="C648" s="385"/>
      <c r="D648" s="3589"/>
      <c r="E648" s="3721"/>
      <c r="F648" s="3631" t="str">
        <f t="shared" si="63"/>
        <v>CAC - SEER 15 ER2: MF</v>
      </c>
      <c r="G648" s="3632"/>
      <c r="H648" s="3633"/>
      <c r="I648" s="2201"/>
      <c r="J648" s="2208">
        <v>12</v>
      </c>
      <c r="K648" s="2202"/>
      <c r="L648" s="2203"/>
      <c r="M648" s="385"/>
      <c r="N648" s="1746"/>
      <c r="O648" s="385"/>
      <c r="P648" s="413"/>
      <c r="Q648" s="413"/>
      <c r="R648" s="413"/>
      <c r="S648" s="413"/>
      <c r="T648" s="413"/>
      <c r="U648" s="413"/>
      <c r="V648" s="3589"/>
      <c r="W648" s="803">
        <v>12</v>
      </c>
      <c r="X648" s="803">
        <v>12</v>
      </c>
      <c r="Y648" s="803">
        <v>12</v>
      </c>
      <c r="Z648" s="803">
        <v>12</v>
      </c>
      <c r="AA648" s="803">
        <v>12</v>
      </c>
      <c r="AB648" s="803">
        <v>12</v>
      </c>
      <c r="AC648" s="803"/>
      <c r="AD648" s="803"/>
      <c r="AE648" s="803"/>
      <c r="AF648" s="803"/>
      <c r="AG648" s="803"/>
      <c r="BB648" s="794"/>
      <c r="BC648" s="658"/>
      <c r="BD648" s="757"/>
      <c r="BE648" s="659"/>
    </row>
    <row r="649" spans="1:57" s="512" customFormat="1" ht="14.45" customHeight="1" outlineLevel="1" x14ac:dyDescent="0.25">
      <c r="A649" s="2462"/>
      <c r="B649" s="413"/>
      <c r="C649" s="385"/>
      <c r="D649" s="3589"/>
      <c r="E649" s="3721"/>
      <c r="F649" s="3631" t="str">
        <f t="shared" si="63"/>
        <v>CAC - SEER 15 ER1: MF_CompE</v>
      </c>
      <c r="G649" s="3632"/>
      <c r="H649" s="3633"/>
      <c r="I649" s="2201"/>
      <c r="J649" s="2208">
        <v>6</v>
      </c>
      <c r="K649" s="2202"/>
      <c r="L649" s="2203"/>
      <c r="M649" s="385"/>
      <c r="N649" s="1746"/>
      <c r="O649" s="385"/>
      <c r="P649" s="413"/>
      <c r="Q649" s="413"/>
      <c r="R649" s="413"/>
      <c r="S649" s="413"/>
      <c r="T649" s="413"/>
      <c r="U649" s="413"/>
      <c r="V649" s="3589"/>
      <c r="W649" s="803"/>
      <c r="X649" s="803"/>
      <c r="Y649" s="803">
        <v>6</v>
      </c>
      <c r="Z649" s="803">
        <v>6</v>
      </c>
      <c r="AA649" s="803">
        <v>6</v>
      </c>
      <c r="AB649" s="803">
        <v>6</v>
      </c>
      <c r="AC649" s="803"/>
      <c r="AD649" s="803"/>
      <c r="AE649" s="803"/>
      <c r="AF649" s="803"/>
      <c r="AG649" s="803"/>
      <c r="BB649" s="794"/>
      <c r="BC649" s="658"/>
      <c r="BD649" s="757"/>
      <c r="BE649" s="659"/>
    </row>
    <row r="650" spans="1:57" s="512" customFormat="1" ht="14.45" customHeight="1" outlineLevel="1" x14ac:dyDescent="0.25">
      <c r="A650" s="2462"/>
      <c r="B650" s="413"/>
      <c r="C650" s="385"/>
      <c r="D650" s="3589"/>
      <c r="E650" s="3721"/>
      <c r="F650" s="3631" t="str">
        <f t="shared" si="63"/>
        <v>CAC - SEER 15 ER2: MF_CompE</v>
      </c>
      <c r="G650" s="3632"/>
      <c r="H650" s="3633"/>
      <c r="I650" s="2201"/>
      <c r="J650" s="2208">
        <v>12</v>
      </c>
      <c r="K650" s="2202"/>
      <c r="L650" s="2203"/>
      <c r="M650" s="385"/>
      <c r="N650" s="1746"/>
      <c r="O650" s="385"/>
      <c r="P650" s="413"/>
      <c r="Q650" s="413"/>
      <c r="R650" s="413"/>
      <c r="S650" s="413"/>
      <c r="T650" s="413"/>
      <c r="U650" s="413"/>
      <c r="V650" s="3589"/>
      <c r="W650" s="803"/>
      <c r="X650" s="803"/>
      <c r="Y650" s="803">
        <v>12</v>
      </c>
      <c r="Z650" s="803">
        <v>12</v>
      </c>
      <c r="AA650" s="803">
        <v>12</v>
      </c>
      <c r="AB650" s="803">
        <v>12</v>
      </c>
      <c r="AC650" s="803"/>
      <c r="AD650" s="803"/>
      <c r="AE650" s="803"/>
      <c r="AF650" s="803"/>
      <c r="AG650" s="803"/>
      <c r="BB650" s="794"/>
      <c r="BC650" s="658"/>
      <c r="BD650" s="757"/>
      <c r="BE650" s="659"/>
    </row>
    <row r="651" spans="1:57" s="512" customFormat="1" ht="14.45" customHeight="1" outlineLevel="1" x14ac:dyDescent="0.25">
      <c r="A651" s="2462"/>
      <c r="B651" s="413"/>
      <c r="C651" s="385"/>
      <c r="D651" s="3589"/>
      <c r="E651" s="3721"/>
      <c r="F651" s="3631" t="str">
        <f t="shared" si="63"/>
        <v>CAC - SEER 15 ROF: MF</v>
      </c>
      <c r="G651" s="3632"/>
      <c r="H651" s="3633"/>
      <c r="I651" s="2201"/>
      <c r="J651" s="2208">
        <v>18</v>
      </c>
      <c r="K651" s="2202"/>
      <c r="L651" s="2203"/>
      <c r="M651" s="385"/>
      <c r="N651" s="1746"/>
      <c r="O651" s="385"/>
      <c r="P651" s="413"/>
      <c r="Q651" s="413"/>
      <c r="R651" s="413"/>
      <c r="S651" s="413"/>
      <c r="T651" s="413"/>
      <c r="U651" s="413"/>
      <c r="V651" s="3589"/>
      <c r="W651" s="803">
        <v>18</v>
      </c>
      <c r="X651" s="803">
        <v>18</v>
      </c>
      <c r="Y651" s="803">
        <v>18</v>
      </c>
      <c r="Z651" s="803">
        <v>18</v>
      </c>
      <c r="AA651" s="803">
        <v>18</v>
      </c>
      <c r="AB651" s="803">
        <v>18</v>
      </c>
      <c r="AC651" s="803"/>
      <c r="AD651" s="803"/>
      <c r="AE651" s="803"/>
      <c r="AF651" s="803"/>
      <c r="AG651" s="803"/>
      <c r="BB651" s="794"/>
      <c r="BC651" s="658"/>
      <c r="BD651" s="757"/>
      <c r="BE651" s="659"/>
    </row>
    <row r="652" spans="1:57" s="512" customFormat="1" ht="14.45" customHeight="1" outlineLevel="1" x14ac:dyDescent="0.25">
      <c r="A652" s="2462"/>
      <c r="B652" s="413"/>
      <c r="C652" s="385"/>
      <c r="D652" s="3589"/>
      <c r="E652" s="3721"/>
      <c r="F652" s="3631" t="str">
        <f t="shared" si="63"/>
        <v>CAC - SEER 15 ROF: MF_CompE</v>
      </c>
      <c r="G652" s="3632"/>
      <c r="H652" s="3633"/>
      <c r="I652" s="2201"/>
      <c r="J652" s="2208">
        <v>18</v>
      </c>
      <c r="K652" s="2202"/>
      <c r="L652" s="2203"/>
      <c r="M652" s="385"/>
      <c r="N652" s="1746"/>
      <c r="O652" s="385"/>
      <c r="P652" s="413"/>
      <c r="Q652" s="413"/>
      <c r="R652" s="413"/>
      <c r="S652" s="413"/>
      <c r="T652" s="413"/>
      <c r="U652" s="413"/>
      <c r="V652" s="3589"/>
      <c r="W652" s="803"/>
      <c r="X652" s="803"/>
      <c r="Y652" s="803">
        <v>18</v>
      </c>
      <c r="Z652" s="803">
        <v>18</v>
      </c>
      <c r="AA652" s="803">
        <v>18</v>
      </c>
      <c r="AB652" s="803">
        <v>18</v>
      </c>
      <c r="AC652" s="803"/>
      <c r="AD652" s="803"/>
      <c r="AE652" s="803"/>
      <c r="AF652" s="803"/>
      <c r="AG652" s="803"/>
      <c r="BB652" s="794"/>
      <c r="BC652" s="658"/>
      <c r="BD652" s="757"/>
      <c r="BE652" s="659"/>
    </row>
    <row r="653" spans="1:57" s="512" customFormat="1" ht="14.45" customHeight="1" outlineLevel="1" x14ac:dyDescent="0.25">
      <c r="A653" s="2462"/>
      <c r="B653" s="413"/>
      <c r="C653" s="385"/>
      <c r="D653" s="3589"/>
      <c r="E653" s="3721"/>
      <c r="F653" s="3631" t="str">
        <f t="shared" si="63"/>
        <v>CAC - SEER 16 ER1: SF</v>
      </c>
      <c r="G653" s="3632"/>
      <c r="H653" s="3633"/>
      <c r="I653" s="2201"/>
      <c r="J653" s="2208">
        <v>6</v>
      </c>
      <c r="K653" s="2202"/>
      <c r="L653" s="2203"/>
      <c r="M653" s="385"/>
      <c r="N653" s="1746"/>
      <c r="O653" s="385"/>
      <c r="P653" s="413"/>
      <c r="Q653" s="413"/>
      <c r="R653" s="413"/>
      <c r="S653" s="413"/>
      <c r="T653" s="413"/>
      <c r="U653" s="413"/>
      <c r="V653" s="3589"/>
      <c r="W653" s="803">
        <v>6</v>
      </c>
      <c r="X653" s="803">
        <v>6</v>
      </c>
      <c r="Y653" s="803">
        <v>6</v>
      </c>
      <c r="Z653" s="803">
        <v>6</v>
      </c>
      <c r="AA653" s="803">
        <v>6</v>
      </c>
      <c r="AB653" s="803">
        <v>6</v>
      </c>
      <c r="AC653" s="803"/>
      <c r="AD653" s="803"/>
      <c r="AE653" s="803"/>
      <c r="AF653" s="803"/>
      <c r="AG653" s="803"/>
      <c r="BB653" s="794"/>
      <c r="BC653" s="658"/>
      <c r="BD653" s="757"/>
      <c r="BE653" s="659"/>
    </row>
    <row r="654" spans="1:57" s="512" customFormat="1" ht="14.45" customHeight="1" outlineLevel="1" x14ac:dyDescent="0.25">
      <c r="A654" s="2462"/>
      <c r="B654" s="413"/>
      <c r="C654" s="385"/>
      <c r="D654" s="3589"/>
      <c r="E654" s="3721"/>
      <c r="F654" s="3631" t="str">
        <f t="shared" si="63"/>
        <v>CAC - SEER 16 ER2: SF</v>
      </c>
      <c r="G654" s="3632"/>
      <c r="H654" s="3633"/>
      <c r="I654" s="2201"/>
      <c r="J654" s="2208">
        <v>12</v>
      </c>
      <c r="K654" s="2202"/>
      <c r="L654" s="2203"/>
      <c r="M654" s="385"/>
      <c r="N654" s="1746"/>
      <c r="O654" s="385"/>
      <c r="P654" s="413"/>
      <c r="Q654" s="413"/>
      <c r="R654" s="413"/>
      <c r="S654" s="413"/>
      <c r="T654" s="413"/>
      <c r="U654" s="413"/>
      <c r="V654" s="3589"/>
      <c r="W654" s="803">
        <v>12</v>
      </c>
      <c r="X654" s="803">
        <v>12</v>
      </c>
      <c r="Y654" s="803">
        <v>12</v>
      </c>
      <c r="Z654" s="803">
        <v>12</v>
      </c>
      <c r="AA654" s="803">
        <v>12</v>
      </c>
      <c r="AB654" s="803">
        <v>12</v>
      </c>
      <c r="AC654" s="803"/>
      <c r="AD654" s="803"/>
      <c r="AE654" s="803"/>
      <c r="AF654" s="803"/>
      <c r="AG654" s="803"/>
      <c r="BB654" s="794"/>
      <c r="BC654" s="658"/>
      <c r="BD654" s="757"/>
      <c r="BE654" s="659"/>
    </row>
    <row r="655" spans="1:57" s="512" customFormat="1" ht="14.45" customHeight="1" outlineLevel="1" x14ac:dyDescent="0.25">
      <c r="A655" s="2462"/>
      <c r="B655" s="413"/>
      <c r="C655" s="385"/>
      <c r="D655" s="3589"/>
      <c r="E655" s="3721"/>
      <c r="F655" s="3631" t="str">
        <f t="shared" si="63"/>
        <v>CAC - SEER 16 ROF: SF</v>
      </c>
      <c r="G655" s="3632"/>
      <c r="H655" s="3633"/>
      <c r="I655" s="2201"/>
      <c r="J655" s="2208">
        <v>18</v>
      </c>
      <c r="K655" s="2202"/>
      <c r="L655" s="2203"/>
      <c r="M655" s="385"/>
      <c r="N655" s="1746"/>
      <c r="O655" s="385"/>
      <c r="P655" s="413"/>
      <c r="Q655" s="413"/>
      <c r="R655" s="413"/>
      <c r="S655" s="413"/>
      <c r="T655" s="413"/>
      <c r="U655" s="413"/>
      <c r="V655" s="3589"/>
      <c r="W655" s="803">
        <v>18</v>
      </c>
      <c r="X655" s="803">
        <v>18</v>
      </c>
      <c r="Y655" s="803">
        <v>18</v>
      </c>
      <c r="Z655" s="803">
        <v>18</v>
      </c>
      <c r="AA655" s="803">
        <v>18</v>
      </c>
      <c r="AB655" s="803">
        <v>18</v>
      </c>
      <c r="AC655" s="803"/>
      <c r="AD655" s="803"/>
      <c r="AE655" s="803"/>
      <c r="AF655" s="803"/>
      <c r="AG655" s="803"/>
      <c r="BB655" s="794"/>
      <c r="BC655" s="658"/>
      <c r="BD655" s="757"/>
      <c r="BE655" s="659"/>
    </row>
    <row r="656" spans="1:57" s="512" customFormat="1" ht="14.45" customHeight="1" outlineLevel="1" x14ac:dyDescent="0.25">
      <c r="A656" s="2462"/>
      <c r="B656" s="413"/>
      <c r="C656" s="385"/>
      <c r="D656" s="3589"/>
      <c r="E656" s="3721"/>
      <c r="F656" s="3631" t="str">
        <f t="shared" si="63"/>
        <v>CAC - SEER 16 ER1: MF</v>
      </c>
      <c r="G656" s="3632"/>
      <c r="H656" s="3633"/>
      <c r="I656" s="2201"/>
      <c r="J656" s="2208">
        <v>6</v>
      </c>
      <c r="K656" s="2202"/>
      <c r="L656" s="2203"/>
      <c r="M656" s="385"/>
      <c r="N656" s="1746"/>
      <c r="O656" s="385"/>
      <c r="P656" s="413"/>
      <c r="Q656" s="413"/>
      <c r="R656" s="413"/>
      <c r="S656" s="413"/>
      <c r="T656" s="413"/>
      <c r="U656" s="413"/>
      <c r="V656" s="3589"/>
      <c r="W656" s="803">
        <v>6</v>
      </c>
      <c r="X656" s="803">
        <v>6</v>
      </c>
      <c r="Y656" s="803">
        <v>6</v>
      </c>
      <c r="Z656" s="803">
        <v>6</v>
      </c>
      <c r="AA656" s="803">
        <v>6</v>
      </c>
      <c r="AB656" s="803">
        <v>6</v>
      </c>
      <c r="AC656" s="803"/>
      <c r="AD656" s="803"/>
      <c r="AE656" s="803"/>
      <c r="AF656" s="803"/>
      <c r="AG656" s="803"/>
      <c r="BB656" s="794"/>
      <c r="BC656" s="658"/>
      <c r="BD656" s="757"/>
      <c r="BE656" s="659"/>
    </row>
    <row r="657" spans="1:57" s="512" customFormat="1" ht="14.45" customHeight="1" outlineLevel="1" x14ac:dyDescent="0.25">
      <c r="A657" s="2462"/>
      <c r="B657" s="413"/>
      <c r="C657" s="385"/>
      <c r="D657" s="3589"/>
      <c r="E657" s="3721"/>
      <c r="F657" s="3631" t="str">
        <f t="shared" si="63"/>
        <v>CAC - SEER 16 ER2: MF</v>
      </c>
      <c r="G657" s="3632"/>
      <c r="H657" s="3633"/>
      <c r="I657" s="2201"/>
      <c r="J657" s="2208">
        <v>12</v>
      </c>
      <c r="K657" s="2202"/>
      <c r="L657" s="2203"/>
      <c r="M657" s="385"/>
      <c r="N657" s="1746"/>
      <c r="O657" s="385"/>
      <c r="P657" s="413"/>
      <c r="Q657" s="413"/>
      <c r="R657" s="413"/>
      <c r="S657" s="413"/>
      <c r="T657" s="413"/>
      <c r="U657" s="413"/>
      <c r="V657" s="3589"/>
      <c r="W657" s="803">
        <v>12</v>
      </c>
      <c r="X657" s="803">
        <v>12</v>
      </c>
      <c r="Y657" s="803">
        <v>12</v>
      </c>
      <c r="Z657" s="803">
        <v>12</v>
      </c>
      <c r="AA657" s="803">
        <v>12</v>
      </c>
      <c r="AB657" s="803">
        <v>12</v>
      </c>
      <c r="AC657" s="803"/>
      <c r="AD657" s="803"/>
      <c r="AE657" s="803"/>
      <c r="AF657" s="803"/>
      <c r="AG657" s="803"/>
      <c r="BB657" s="794"/>
      <c r="BC657" s="658"/>
      <c r="BD657" s="757"/>
      <c r="BE657" s="659"/>
    </row>
    <row r="658" spans="1:57" s="512" customFormat="1" ht="14.45" customHeight="1" outlineLevel="1" x14ac:dyDescent="0.25">
      <c r="A658" s="2462"/>
      <c r="B658" s="413"/>
      <c r="C658" s="385"/>
      <c r="D658" s="3589"/>
      <c r="E658" s="3721"/>
      <c r="F658" s="3631" t="str">
        <f t="shared" si="63"/>
        <v>CAC - SEER 16 ER1: MF_CompE</v>
      </c>
      <c r="G658" s="3632"/>
      <c r="H658" s="3633"/>
      <c r="I658" s="2201"/>
      <c r="J658" s="2208">
        <v>6</v>
      </c>
      <c r="K658" s="2202"/>
      <c r="L658" s="2203"/>
      <c r="M658" s="385"/>
      <c r="N658" s="1746"/>
      <c r="O658" s="385"/>
      <c r="P658" s="413"/>
      <c r="Q658" s="413"/>
      <c r="R658" s="413"/>
      <c r="S658" s="413"/>
      <c r="T658" s="413"/>
      <c r="U658" s="413"/>
      <c r="V658" s="3589"/>
      <c r="W658" s="803"/>
      <c r="X658" s="803"/>
      <c r="Y658" s="803">
        <v>6</v>
      </c>
      <c r="Z658" s="803">
        <v>6</v>
      </c>
      <c r="AA658" s="803">
        <v>6</v>
      </c>
      <c r="AB658" s="803">
        <v>6</v>
      </c>
      <c r="AC658" s="803"/>
      <c r="AD658" s="803"/>
      <c r="AE658" s="803"/>
      <c r="AF658" s="803"/>
      <c r="AG658" s="803"/>
      <c r="BB658" s="794"/>
      <c r="BC658" s="658"/>
      <c r="BD658" s="757"/>
      <c r="BE658" s="659"/>
    </row>
    <row r="659" spans="1:57" s="512" customFormat="1" ht="14.45" customHeight="1" outlineLevel="1" x14ac:dyDescent="0.25">
      <c r="A659" s="2462"/>
      <c r="B659" s="413"/>
      <c r="C659" s="385"/>
      <c r="D659" s="3589"/>
      <c r="E659" s="3721"/>
      <c r="F659" s="3631" t="str">
        <f t="shared" si="63"/>
        <v>CAC - SEER 16 ER2: MF_CompE</v>
      </c>
      <c r="G659" s="3632"/>
      <c r="H659" s="3633"/>
      <c r="I659" s="2201"/>
      <c r="J659" s="2208">
        <v>12</v>
      </c>
      <c r="K659" s="2202"/>
      <c r="L659" s="2203"/>
      <c r="M659" s="385"/>
      <c r="N659" s="1746"/>
      <c r="O659" s="385"/>
      <c r="P659" s="413"/>
      <c r="Q659" s="413"/>
      <c r="R659" s="413"/>
      <c r="S659" s="413"/>
      <c r="T659" s="413"/>
      <c r="U659" s="413"/>
      <c r="V659" s="3589"/>
      <c r="W659" s="803"/>
      <c r="X659" s="803"/>
      <c r="Y659" s="803">
        <v>12</v>
      </c>
      <c r="Z659" s="803">
        <v>12</v>
      </c>
      <c r="AA659" s="803">
        <v>12</v>
      </c>
      <c r="AB659" s="803">
        <v>12</v>
      </c>
      <c r="AC659" s="803"/>
      <c r="AD659" s="803"/>
      <c r="AE659" s="803"/>
      <c r="AF659" s="803"/>
      <c r="AG659" s="803"/>
      <c r="BB659" s="794"/>
      <c r="BC659" s="658"/>
      <c r="BD659" s="757"/>
      <c r="BE659" s="659"/>
    </row>
    <row r="660" spans="1:57" s="512" customFormat="1" ht="14.45" customHeight="1" outlineLevel="1" x14ac:dyDescent="0.25">
      <c r="A660" s="2462"/>
      <c r="B660" s="413"/>
      <c r="C660" s="385"/>
      <c r="D660" s="3589"/>
      <c r="E660" s="3721"/>
      <c r="F660" s="3631" t="str">
        <f t="shared" si="63"/>
        <v>CAC - SEER 16 ROF: MF</v>
      </c>
      <c r="G660" s="3632"/>
      <c r="H660" s="3633"/>
      <c r="I660" s="2201"/>
      <c r="J660" s="2208">
        <v>18</v>
      </c>
      <c r="K660" s="2202"/>
      <c r="L660" s="2203"/>
      <c r="M660" s="385"/>
      <c r="N660" s="1746"/>
      <c r="O660" s="385"/>
      <c r="P660" s="413"/>
      <c r="Q660" s="413"/>
      <c r="R660" s="413"/>
      <c r="S660" s="413"/>
      <c r="T660" s="413"/>
      <c r="U660" s="413"/>
      <c r="V660" s="3589"/>
      <c r="W660" s="803">
        <v>18</v>
      </c>
      <c r="X660" s="803">
        <v>18</v>
      </c>
      <c r="Y660" s="803">
        <v>18</v>
      </c>
      <c r="Z660" s="803">
        <v>18</v>
      </c>
      <c r="AA660" s="803">
        <v>18</v>
      </c>
      <c r="AB660" s="803">
        <v>18</v>
      </c>
      <c r="AC660" s="803"/>
      <c r="AD660" s="803"/>
      <c r="AE660" s="803"/>
      <c r="AF660" s="803"/>
      <c r="AG660" s="803"/>
      <c r="BB660" s="794"/>
      <c r="BC660" s="658"/>
      <c r="BD660" s="757"/>
      <c r="BE660" s="659"/>
    </row>
    <row r="661" spans="1:57" s="512" customFormat="1" ht="14.45" customHeight="1" outlineLevel="1" x14ac:dyDescent="0.25">
      <c r="A661" s="2462"/>
      <c r="B661" s="413"/>
      <c r="C661" s="385"/>
      <c r="D661" s="3589"/>
      <c r="E661" s="3721"/>
      <c r="F661" s="3631" t="str">
        <f t="shared" si="63"/>
        <v>CAC - SEER 16 ROF: MF_CompE</v>
      </c>
      <c r="G661" s="3632"/>
      <c r="H661" s="3633"/>
      <c r="I661" s="2201"/>
      <c r="J661" s="2208">
        <v>18</v>
      </c>
      <c r="K661" s="2202"/>
      <c r="L661" s="2203"/>
      <c r="M661" s="385"/>
      <c r="N661" s="1746"/>
      <c r="O661" s="385"/>
      <c r="P661" s="413"/>
      <c r="Q661" s="413"/>
      <c r="R661" s="413"/>
      <c r="S661" s="413"/>
      <c r="T661" s="413"/>
      <c r="U661" s="413"/>
      <c r="V661" s="3589"/>
      <c r="W661" s="803"/>
      <c r="X661" s="803"/>
      <c r="Y661" s="803">
        <v>18</v>
      </c>
      <c r="Z661" s="803">
        <v>18</v>
      </c>
      <c r="AA661" s="803">
        <v>18</v>
      </c>
      <c r="AB661" s="803">
        <v>18</v>
      </c>
      <c r="AC661" s="803"/>
      <c r="AD661" s="803"/>
      <c r="AE661" s="803"/>
      <c r="AF661" s="803"/>
      <c r="AG661" s="803"/>
      <c r="BB661" s="794"/>
      <c r="BC661" s="658"/>
      <c r="BD661" s="757"/>
      <c r="BE661" s="659"/>
    </row>
    <row r="662" spans="1:57" s="512" customFormat="1" ht="14.45" customHeight="1" outlineLevel="1" x14ac:dyDescent="0.25">
      <c r="A662" s="2462"/>
      <c r="B662" s="413"/>
      <c r="C662" s="385"/>
      <c r="D662" s="3589"/>
      <c r="E662" s="3721"/>
      <c r="F662" s="3631" t="str">
        <f t="shared" si="63"/>
        <v>CAC - SEER 17 ER1: SF</v>
      </c>
      <c r="G662" s="3632"/>
      <c r="H662" s="3633"/>
      <c r="I662" s="2201"/>
      <c r="J662" s="2208">
        <v>6</v>
      </c>
      <c r="K662" s="2202"/>
      <c r="L662" s="2203"/>
      <c r="M662" s="385"/>
      <c r="N662" s="1746"/>
      <c r="O662" s="385"/>
      <c r="P662" s="413"/>
      <c r="Q662" s="413"/>
      <c r="R662" s="413"/>
      <c r="S662" s="413"/>
      <c r="T662" s="413"/>
      <c r="U662" s="413"/>
      <c r="V662" s="3589"/>
      <c r="W662" s="803">
        <v>6</v>
      </c>
      <c r="X662" s="803">
        <v>6</v>
      </c>
      <c r="Y662" s="803">
        <v>6</v>
      </c>
      <c r="Z662" s="803">
        <v>6</v>
      </c>
      <c r="AA662" s="803">
        <v>6</v>
      </c>
      <c r="AB662" s="803">
        <v>6</v>
      </c>
      <c r="AC662" s="803"/>
      <c r="AD662" s="803"/>
      <c r="AE662" s="803"/>
      <c r="AF662" s="803"/>
      <c r="AG662" s="803"/>
      <c r="BB662" s="794"/>
      <c r="BC662" s="658"/>
      <c r="BD662" s="757"/>
      <c r="BE662" s="659"/>
    </row>
    <row r="663" spans="1:57" s="512" customFormat="1" ht="14.45" customHeight="1" outlineLevel="1" x14ac:dyDescent="0.25">
      <c r="A663" s="2462"/>
      <c r="B663" s="413"/>
      <c r="C663" s="385"/>
      <c r="D663" s="3589"/>
      <c r="E663" s="3721"/>
      <c r="F663" s="3631" t="str">
        <f t="shared" si="63"/>
        <v>CAC - SEER 17 ER2: SF</v>
      </c>
      <c r="G663" s="3632"/>
      <c r="H663" s="3633"/>
      <c r="I663" s="2201"/>
      <c r="J663" s="2208">
        <v>12</v>
      </c>
      <c r="K663" s="2202"/>
      <c r="L663" s="2203"/>
      <c r="M663" s="385"/>
      <c r="N663" s="1746"/>
      <c r="O663" s="385"/>
      <c r="P663" s="413"/>
      <c r="Q663" s="413"/>
      <c r="R663" s="413"/>
      <c r="S663" s="413"/>
      <c r="T663" s="413"/>
      <c r="U663" s="413"/>
      <c r="V663" s="3589"/>
      <c r="W663" s="803">
        <v>12</v>
      </c>
      <c r="X663" s="803">
        <v>12</v>
      </c>
      <c r="Y663" s="803">
        <v>12</v>
      </c>
      <c r="Z663" s="803">
        <v>12</v>
      </c>
      <c r="AA663" s="803">
        <v>12</v>
      </c>
      <c r="AB663" s="803">
        <v>12</v>
      </c>
      <c r="AC663" s="803"/>
      <c r="AD663" s="803"/>
      <c r="AE663" s="803"/>
      <c r="AF663" s="803"/>
      <c r="AG663" s="803"/>
      <c r="BB663" s="794"/>
      <c r="BC663" s="658"/>
      <c r="BD663" s="757"/>
      <c r="BE663" s="659"/>
    </row>
    <row r="664" spans="1:57" s="512" customFormat="1" ht="14.45" customHeight="1" outlineLevel="1" x14ac:dyDescent="0.25">
      <c r="A664" s="2462"/>
      <c r="B664" s="413"/>
      <c r="C664" s="385"/>
      <c r="D664" s="3589"/>
      <c r="E664" s="3721"/>
      <c r="F664" s="3631" t="str">
        <f t="shared" si="63"/>
        <v>CAC - SEER 17 ROF: SF</v>
      </c>
      <c r="G664" s="3632"/>
      <c r="H664" s="3633"/>
      <c r="I664" s="2201"/>
      <c r="J664" s="2208">
        <v>18</v>
      </c>
      <c r="K664" s="2202"/>
      <c r="L664" s="2203"/>
      <c r="M664" s="385"/>
      <c r="N664" s="1746"/>
      <c r="O664" s="385"/>
      <c r="P664" s="413"/>
      <c r="Q664" s="413"/>
      <c r="R664" s="413"/>
      <c r="S664" s="413"/>
      <c r="T664" s="413"/>
      <c r="U664" s="413"/>
      <c r="V664" s="3589"/>
      <c r="W664" s="803">
        <v>18</v>
      </c>
      <c r="X664" s="803">
        <v>18</v>
      </c>
      <c r="Y664" s="803">
        <v>18</v>
      </c>
      <c r="Z664" s="803">
        <v>18</v>
      </c>
      <c r="AA664" s="803">
        <v>18</v>
      </c>
      <c r="AB664" s="803">
        <v>18</v>
      </c>
      <c r="AC664" s="803"/>
      <c r="AD664" s="803"/>
      <c r="AE664" s="803"/>
      <c r="AF664" s="803"/>
      <c r="AG664" s="803"/>
      <c r="BB664" s="794"/>
      <c r="BC664" s="658"/>
      <c r="BD664" s="757"/>
      <c r="BE664" s="659"/>
    </row>
    <row r="665" spans="1:57" s="512" customFormat="1" ht="14.45" customHeight="1" outlineLevel="1" x14ac:dyDescent="0.25">
      <c r="A665" s="2462"/>
      <c r="B665" s="413"/>
      <c r="C665" s="385"/>
      <c r="D665" s="3589"/>
      <c r="E665" s="3721"/>
      <c r="F665" s="3631" t="str">
        <f t="shared" si="63"/>
        <v>CAC - SEER 17 ER1: MF</v>
      </c>
      <c r="G665" s="3632"/>
      <c r="H665" s="3633"/>
      <c r="I665" s="2201"/>
      <c r="J665" s="2208">
        <v>6</v>
      </c>
      <c r="K665" s="2202"/>
      <c r="L665" s="2203"/>
      <c r="M665" s="385"/>
      <c r="N665" s="1746"/>
      <c r="O665" s="385"/>
      <c r="P665" s="413"/>
      <c r="Q665" s="413"/>
      <c r="R665" s="413"/>
      <c r="S665" s="413"/>
      <c r="T665" s="413"/>
      <c r="U665" s="413"/>
      <c r="V665" s="3589"/>
      <c r="W665" s="803">
        <v>6</v>
      </c>
      <c r="X665" s="803">
        <v>6</v>
      </c>
      <c r="Y665" s="803">
        <v>6</v>
      </c>
      <c r="Z665" s="803">
        <v>6</v>
      </c>
      <c r="AA665" s="803">
        <v>6</v>
      </c>
      <c r="AB665" s="803">
        <v>6</v>
      </c>
      <c r="AC665" s="803"/>
      <c r="AD665" s="803"/>
      <c r="AE665" s="803"/>
      <c r="AF665" s="803"/>
      <c r="AG665" s="803"/>
      <c r="BB665" s="794"/>
      <c r="BC665" s="658"/>
      <c r="BD665" s="757"/>
      <c r="BE665" s="659"/>
    </row>
    <row r="666" spans="1:57" s="512" customFormat="1" ht="14.45" customHeight="1" outlineLevel="1" x14ac:dyDescent="0.25">
      <c r="A666" s="2462"/>
      <c r="B666" s="413"/>
      <c r="C666" s="385"/>
      <c r="D666" s="3589"/>
      <c r="E666" s="3721"/>
      <c r="F666" s="3631" t="str">
        <f t="shared" si="63"/>
        <v>CAC - SEER 17 ER2: MF</v>
      </c>
      <c r="G666" s="3632"/>
      <c r="H666" s="3633"/>
      <c r="I666" s="2201"/>
      <c r="J666" s="2208">
        <v>12</v>
      </c>
      <c r="K666" s="2202"/>
      <c r="L666" s="2203"/>
      <c r="M666" s="385"/>
      <c r="N666" s="1746"/>
      <c r="O666" s="385"/>
      <c r="P666" s="413"/>
      <c r="Q666" s="413"/>
      <c r="R666" s="413"/>
      <c r="S666" s="413"/>
      <c r="T666" s="413"/>
      <c r="U666" s="413"/>
      <c r="V666" s="3589"/>
      <c r="W666" s="803">
        <v>12</v>
      </c>
      <c r="X666" s="803">
        <v>12</v>
      </c>
      <c r="Y666" s="803">
        <v>12</v>
      </c>
      <c r="Z666" s="803">
        <v>12</v>
      </c>
      <c r="AA666" s="803">
        <v>12</v>
      </c>
      <c r="AB666" s="803">
        <v>12</v>
      </c>
      <c r="AC666" s="803"/>
      <c r="AD666" s="803"/>
      <c r="AE666" s="803"/>
      <c r="AF666" s="803"/>
      <c r="AG666" s="803"/>
      <c r="BB666" s="794"/>
      <c r="BC666" s="658"/>
      <c r="BD666" s="757"/>
      <c r="BE666" s="659"/>
    </row>
    <row r="667" spans="1:57" s="512" customFormat="1" ht="14.45" customHeight="1" outlineLevel="1" x14ac:dyDescent="0.25">
      <c r="A667" s="2462"/>
      <c r="B667" s="413"/>
      <c r="C667" s="385"/>
      <c r="D667" s="3589"/>
      <c r="E667" s="3721"/>
      <c r="F667" s="3631" t="str">
        <f t="shared" ref="F667:F698" si="64">F594</f>
        <v>CAC - SEER 17 ER1: MF_CompE</v>
      </c>
      <c r="G667" s="3632"/>
      <c r="H667" s="3633"/>
      <c r="I667" s="2204"/>
      <c r="J667" s="2208">
        <v>6</v>
      </c>
      <c r="K667" s="2205"/>
      <c r="L667" s="2206"/>
      <c r="M667" s="385"/>
      <c r="N667" s="1746"/>
      <c r="O667" s="385"/>
      <c r="P667" s="413"/>
      <c r="Q667" s="413"/>
      <c r="R667" s="413"/>
      <c r="S667" s="413"/>
      <c r="T667" s="413"/>
      <c r="U667" s="413"/>
      <c r="V667" s="3589"/>
      <c r="W667" s="805"/>
      <c r="X667" s="805"/>
      <c r="Y667" s="805">
        <v>6</v>
      </c>
      <c r="Z667" s="805">
        <v>6</v>
      </c>
      <c r="AA667" s="805">
        <v>6</v>
      </c>
      <c r="AB667" s="805">
        <v>6</v>
      </c>
      <c r="AC667" s="805"/>
      <c r="AD667" s="805"/>
      <c r="AE667" s="805"/>
      <c r="AF667" s="805"/>
      <c r="AG667" s="805"/>
      <c r="BB667" s="794"/>
      <c r="BC667" s="658"/>
      <c r="BD667" s="757"/>
      <c r="BE667" s="659"/>
    </row>
    <row r="668" spans="1:57" s="512" customFormat="1" ht="14.45" customHeight="1" outlineLevel="1" x14ac:dyDescent="0.25">
      <c r="A668" s="2462"/>
      <c r="B668" s="413"/>
      <c r="C668" s="385"/>
      <c r="D668" s="3589"/>
      <c r="E668" s="3721"/>
      <c r="F668" s="3631" t="str">
        <f t="shared" si="64"/>
        <v>CAC - SEER 17 ER2: MF_CompE</v>
      </c>
      <c r="G668" s="3632"/>
      <c r="H668" s="3633"/>
      <c r="I668" s="2204"/>
      <c r="J668" s="2208">
        <v>12</v>
      </c>
      <c r="K668" s="2205"/>
      <c r="L668" s="2206"/>
      <c r="M668" s="385"/>
      <c r="N668" s="1746"/>
      <c r="O668" s="385"/>
      <c r="P668" s="413"/>
      <c r="Q668" s="413"/>
      <c r="R668" s="413"/>
      <c r="S668" s="413"/>
      <c r="T668" s="413"/>
      <c r="U668" s="413"/>
      <c r="V668" s="3589"/>
      <c r="W668" s="805"/>
      <c r="X668" s="805"/>
      <c r="Y668" s="805">
        <v>12</v>
      </c>
      <c r="Z668" s="805">
        <v>12</v>
      </c>
      <c r="AA668" s="805">
        <v>12</v>
      </c>
      <c r="AB668" s="805">
        <v>12</v>
      </c>
      <c r="AC668" s="805"/>
      <c r="AD668" s="805"/>
      <c r="AE668" s="805"/>
      <c r="AF668" s="805"/>
      <c r="AG668" s="805"/>
      <c r="BB668" s="794"/>
      <c r="BC668" s="658"/>
      <c r="BD668" s="757"/>
      <c r="BE668" s="659"/>
    </row>
    <row r="669" spans="1:57" s="512" customFormat="1" ht="14.45" customHeight="1" outlineLevel="1" x14ac:dyDescent="0.25">
      <c r="A669" s="2462"/>
      <c r="B669" s="413"/>
      <c r="C669" s="385"/>
      <c r="D669" s="3589"/>
      <c r="E669" s="3721"/>
      <c r="F669" s="3631" t="str">
        <f t="shared" si="64"/>
        <v>CAC - SEER 17 ROF: MF</v>
      </c>
      <c r="G669" s="3632"/>
      <c r="H669" s="3633"/>
      <c r="I669" s="2201"/>
      <c r="J669" s="2208">
        <v>18</v>
      </c>
      <c r="K669" s="2202"/>
      <c r="L669" s="2203"/>
      <c r="M669" s="385"/>
      <c r="N669" s="1746"/>
      <c r="O669" s="385"/>
      <c r="P669" s="413"/>
      <c r="Q669" s="413"/>
      <c r="R669" s="413"/>
      <c r="S669" s="413"/>
      <c r="T669" s="413"/>
      <c r="U669" s="413"/>
      <c r="V669" s="3589"/>
      <c r="W669" s="805">
        <v>18</v>
      </c>
      <c r="X669" s="805">
        <v>18</v>
      </c>
      <c r="Y669" s="805">
        <v>18</v>
      </c>
      <c r="Z669" s="805">
        <v>18</v>
      </c>
      <c r="AA669" s="805">
        <v>18</v>
      </c>
      <c r="AB669" s="805">
        <v>18</v>
      </c>
      <c r="AC669" s="805"/>
      <c r="AD669" s="805"/>
      <c r="AE669" s="805"/>
      <c r="AF669" s="805"/>
      <c r="AG669" s="805"/>
      <c r="BB669" s="794"/>
      <c r="BC669" s="658"/>
      <c r="BD669" s="757"/>
      <c r="BE669" s="659"/>
    </row>
    <row r="670" spans="1:57" s="512" customFormat="1" ht="14.45" customHeight="1" outlineLevel="1" x14ac:dyDescent="0.25">
      <c r="A670" s="2462"/>
      <c r="B670" s="413"/>
      <c r="C670" s="385"/>
      <c r="D670" s="3590"/>
      <c r="E670" s="3572"/>
      <c r="F670" s="3631" t="str">
        <f t="shared" si="64"/>
        <v>CAC - SEER 17 ROF: MF_CompE</v>
      </c>
      <c r="G670" s="3632"/>
      <c r="H670" s="3633"/>
      <c r="I670" s="2201"/>
      <c r="J670" s="2208">
        <v>18</v>
      </c>
      <c r="K670" s="2202"/>
      <c r="L670" s="2203"/>
      <c r="M670" s="385"/>
      <c r="N670" s="1746"/>
      <c r="O670" s="385"/>
      <c r="P670" s="413"/>
      <c r="Q670" s="413"/>
      <c r="R670" s="413"/>
      <c r="S670" s="413"/>
      <c r="T670" s="413"/>
      <c r="U670" s="413"/>
      <c r="V670" s="3590"/>
      <c r="W670" s="803"/>
      <c r="X670" s="803"/>
      <c r="Y670" s="803">
        <v>18</v>
      </c>
      <c r="Z670" s="803">
        <v>18</v>
      </c>
      <c r="AA670" s="803">
        <v>18</v>
      </c>
      <c r="AB670" s="803">
        <v>18</v>
      </c>
      <c r="AC670" s="803"/>
      <c r="AD670" s="803"/>
      <c r="AE670" s="803"/>
      <c r="AF670" s="803"/>
      <c r="AG670" s="803"/>
      <c r="BB670" s="794"/>
      <c r="BC670" s="658"/>
      <c r="BD670" s="757"/>
      <c r="BE670" s="659"/>
    </row>
    <row r="671" spans="1:57" s="512" customFormat="1" ht="14.45" customHeight="1" outlineLevel="1" x14ac:dyDescent="0.25">
      <c r="A671" s="2462"/>
      <c r="B671" s="413"/>
      <c r="C671" s="385"/>
      <c r="D671" s="3787"/>
      <c r="E671" s="3785"/>
      <c r="F671" s="3668" t="str">
        <f t="shared" si="64"/>
        <v>CAC - SEER 18 ER1: SF</v>
      </c>
      <c r="G671" s="3669"/>
      <c r="H671" s="3670"/>
      <c r="I671" s="2201"/>
      <c r="J671" s="2208">
        <v>6</v>
      </c>
      <c r="K671" s="2202"/>
      <c r="L671" s="2203"/>
      <c r="M671" s="385"/>
      <c r="N671" s="1746"/>
      <c r="O671" s="385"/>
      <c r="P671" s="413"/>
      <c r="Q671" s="413"/>
      <c r="R671" s="413"/>
      <c r="S671" s="413"/>
      <c r="T671" s="413"/>
      <c r="U671" s="413"/>
      <c r="V671" s="3590"/>
      <c r="W671" s="2224"/>
      <c r="X671" s="2224"/>
      <c r="Y671" s="2224"/>
      <c r="Z671" s="2225">
        <v>6</v>
      </c>
      <c r="AA671" s="2224">
        <v>6</v>
      </c>
      <c r="AB671" s="2224">
        <v>6</v>
      </c>
      <c r="AC671" s="2224"/>
      <c r="AD671" s="2224"/>
      <c r="AE671" s="2224"/>
      <c r="AF671" s="2224"/>
      <c r="AG671" s="2224"/>
      <c r="BB671" s="794"/>
      <c r="BC671" s="658"/>
      <c r="BD671" s="757"/>
      <c r="BE671" s="659"/>
    </row>
    <row r="672" spans="1:57" s="512" customFormat="1" ht="14.45" customHeight="1" outlineLevel="1" x14ac:dyDescent="0.25">
      <c r="A672" s="2462"/>
      <c r="B672" s="413"/>
      <c r="C672" s="385"/>
      <c r="D672" s="3787"/>
      <c r="E672" s="3785"/>
      <c r="F672" s="3668" t="str">
        <f t="shared" si="64"/>
        <v>CAC - SEER 18 ER2: SF</v>
      </c>
      <c r="G672" s="3669"/>
      <c r="H672" s="3670"/>
      <c r="I672" s="2201"/>
      <c r="J672" s="2208">
        <v>12</v>
      </c>
      <c r="K672" s="2202"/>
      <c r="L672" s="2203"/>
      <c r="M672" s="385"/>
      <c r="N672" s="1746"/>
      <c r="O672" s="385"/>
      <c r="P672" s="413"/>
      <c r="Q672" s="413"/>
      <c r="R672" s="413"/>
      <c r="S672" s="413"/>
      <c r="T672" s="413"/>
      <c r="U672" s="413"/>
      <c r="V672" s="3590"/>
      <c r="W672" s="803"/>
      <c r="X672" s="803"/>
      <c r="Y672" s="803"/>
      <c r="Z672" s="804">
        <v>12</v>
      </c>
      <c r="AA672" s="803">
        <v>12</v>
      </c>
      <c r="AB672" s="803">
        <v>12</v>
      </c>
      <c r="AC672" s="803"/>
      <c r="AD672" s="803"/>
      <c r="AE672" s="803"/>
      <c r="AF672" s="803"/>
      <c r="AG672" s="803"/>
      <c r="BB672" s="794"/>
      <c r="BC672" s="658"/>
      <c r="BD672" s="757"/>
      <c r="BE672" s="659"/>
    </row>
    <row r="673" spans="1:57" s="512" customFormat="1" ht="14.45" customHeight="1" outlineLevel="1" x14ac:dyDescent="0.25">
      <c r="A673" s="2462"/>
      <c r="B673" s="413"/>
      <c r="C673" s="385"/>
      <c r="D673" s="3787"/>
      <c r="E673" s="3785"/>
      <c r="F673" s="3668" t="str">
        <f t="shared" si="64"/>
        <v>CAC - SEER 18 ROF: SF</v>
      </c>
      <c r="G673" s="3669"/>
      <c r="H673" s="3670"/>
      <c r="I673" s="2201"/>
      <c r="J673" s="2208">
        <v>18</v>
      </c>
      <c r="K673" s="2202"/>
      <c r="L673" s="2203"/>
      <c r="M673" s="385"/>
      <c r="N673" s="1746"/>
      <c r="O673" s="385"/>
      <c r="P673" s="413"/>
      <c r="Q673" s="413"/>
      <c r="R673" s="413"/>
      <c r="S673" s="413"/>
      <c r="T673" s="413"/>
      <c r="U673" s="413"/>
      <c r="V673" s="3590"/>
      <c r="W673" s="803"/>
      <c r="X673" s="803"/>
      <c r="Y673" s="803"/>
      <c r="Z673" s="804">
        <v>18</v>
      </c>
      <c r="AA673" s="803">
        <v>18</v>
      </c>
      <c r="AB673" s="803">
        <v>18</v>
      </c>
      <c r="AC673" s="803"/>
      <c r="AD673" s="803"/>
      <c r="AE673" s="803"/>
      <c r="AF673" s="803"/>
      <c r="AG673" s="803"/>
      <c r="BB673" s="794"/>
      <c r="BC673" s="658"/>
      <c r="BD673" s="757"/>
      <c r="BE673" s="659"/>
    </row>
    <row r="674" spans="1:57" s="512" customFormat="1" ht="14.45" customHeight="1" outlineLevel="1" x14ac:dyDescent="0.25">
      <c r="A674" s="2462"/>
      <c r="B674" s="413"/>
      <c r="C674" s="385"/>
      <c r="D674" s="3787"/>
      <c r="E674" s="3785"/>
      <c r="F674" s="3631" t="str">
        <f t="shared" si="64"/>
        <v>CAC - SEER 18 ER1: MF</v>
      </c>
      <c r="G674" s="3632"/>
      <c r="H674" s="3633"/>
      <c r="I674" s="2201"/>
      <c r="J674" s="2208">
        <v>6</v>
      </c>
      <c r="K674" s="2202"/>
      <c r="L674" s="2203"/>
      <c r="M674" s="385"/>
      <c r="N674" s="1746"/>
      <c r="O674" s="385"/>
      <c r="P674" s="413"/>
      <c r="Q674" s="413"/>
      <c r="R674" s="413"/>
      <c r="S674" s="413"/>
      <c r="T674" s="413"/>
      <c r="U674" s="413"/>
      <c r="V674" s="3590"/>
      <c r="W674" s="803"/>
      <c r="X674" s="803"/>
      <c r="Y674" s="803"/>
      <c r="Z674" s="804">
        <v>6</v>
      </c>
      <c r="AA674" s="803">
        <v>6</v>
      </c>
      <c r="AB674" s="803">
        <v>6</v>
      </c>
      <c r="AC674" s="803"/>
      <c r="AD674" s="803"/>
      <c r="AE674" s="803"/>
      <c r="AF674" s="803"/>
      <c r="AG674" s="803"/>
      <c r="BB674" s="794"/>
      <c r="BC674" s="658"/>
      <c r="BD674" s="757"/>
      <c r="BE674" s="659"/>
    </row>
    <row r="675" spans="1:57" s="512" customFormat="1" ht="14.45" customHeight="1" outlineLevel="1" x14ac:dyDescent="0.25">
      <c r="A675" s="2462"/>
      <c r="B675" s="413"/>
      <c r="C675" s="385"/>
      <c r="D675" s="3787"/>
      <c r="E675" s="3785"/>
      <c r="F675" s="3631" t="str">
        <f t="shared" si="64"/>
        <v>CAC - SEER 18 ER2: MF</v>
      </c>
      <c r="G675" s="3632"/>
      <c r="H675" s="3633"/>
      <c r="I675" s="2201"/>
      <c r="J675" s="2208">
        <v>12</v>
      </c>
      <c r="K675" s="2202"/>
      <c r="L675" s="2203"/>
      <c r="M675" s="385"/>
      <c r="N675" s="1746"/>
      <c r="O675" s="385"/>
      <c r="P675" s="413"/>
      <c r="Q675" s="413"/>
      <c r="R675" s="413"/>
      <c r="S675" s="413"/>
      <c r="T675" s="413"/>
      <c r="U675" s="413"/>
      <c r="V675" s="3590"/>
      <c r="W675" s="803"/>
      <c r="X675" s="803"/>
      <c r="Y675" s="803"/>
      <c r="Z675" s="804">
        <v>12</v>
      </c>
      <c r="AA675" s="803">
        <v>12</v>
      </c>
      <c r="AB675" s="803">
        <v>12</v>
      </c>
      <c r="AC675" s="803"/>
      <c r="AD675" s="803"/>
      <c r="AE675" s="803"/>
      <c r="AF675" s="803"/>
      <c r="AG675" s="803"/>
      <c r="BB675" s="794"/>
      <c r="BC675" s="658"/>
      <c r="BD675" s="757"/>
      <c r="BE675" s="659"/>
    </row>
    <row r="676" spans="1:57" s="512" customFormat="1" ht="14.45" customHeight="1" outlineLevel="1" x14ac:dyDescent="0.25">
      <c r="A676" s="2462"/>
      <c r="B676" s="413"/>
      <c r="C676" s="385"/>
      <c r="D676" s="3787"/>
      <c r="E676" s="3785"/>
      <c r="F676" s="3631" t="str">
        <f t="shared" si="64"/>
        <v>CAC - SEER 18 ER1: MF_CompE</v>
      </c>
      <c r="G676" s="3632"/>
      <c r="H676" s="3633"/>
      <c r="I676" s="2201"/>
      <c r="J676" s="2208">
        <v>6</v>
      </c>
      <c r="K676" s="2202"/>
      <c r="L676" s="2203"/>
      <c r="M676" s="385"/>
      <c r="N676" s="1746"/>
      <c r="O676" s="385"/>
      <c r="P676" s="413"/>
      <c r="Q676" s="413"/>
      <c r="R676" s="413"/>
      <c r="S676" s="413"/>
      <c r="T676" s="413"/>
      <c r="U676" s="413"/>
      <c r="V676" s="3590"/>
      <c r="W676" s="803"/>
      <c r="X676" s="803"/>
      <c r="Y676" s="803"/>
      <c r="Z676" s="804">
        <v>6</v>
      </c>
      <c r="AA676" s="803">
        <v>6</v>
      </c>
      <c r="AB676" s="803">
        <v>6</v>
      </c>
      <c r="AC676" s="803"/>
      <c r="AD676" s="803"/>
      <c r="AE676" s="803"/>
      <c r="AF676" s="803"/>
      <c r="AG676" s="803"/>
      <c r="BB676" s="794"/>
      <c r="BC676" s="658"/>
      <c r="BD676" s="757"/>
      <c r="BE676" s="659"/>
    </row>
    <row r="677" spans="1:57" s="512" customFormat="1" ht="14.45" customHeight="1" outlineLevel="1" x14ac:dyDescent="0.25">
      <c r="A677" s="2462"/>
      <c r="B677" s="413"/>
      <c r="C677" s="385"/>
      <c r="D677" s="3787"/>
      <c r="E677" s="3785"/>
      <c r="F677" s="3631" t="str">
        <f t="shared" si="64"/>
        <v>CAC - SEER 18 ER2: MF_CompE</v>
      </c>
      <c r="G677" s="3632"/>
      <c r="H677" s="3633"/>
      <c r="I677" s="2201"/>
      <c r="J677" s="2208">
        <v>12</v>
      </c>
      <c r="K677" s="2202"/>
      <c r="L677" s="2203"/>
      <c r="M677" s="385"/>
      <c r="N677" s="1746"/>
      <c r="O677" s="385"/>
      <c r="P677" s="413"/>
      <c r="Q677" s="413"/>
      <c r="R677" s="413"/>
      <c r="S677" s="413"/>
      <c r="T677" s="413"/>
      <c r="U677" s="413"/>
      <c r="V677" s="3590"/>
      <c r="W677" s="803"/>
      <c r="X677" s="803"/>
      <c r="Y677" s="803"/>
      <c r="Z677" s="804">
        <v>12</v>
      </c>
      <c r="AA677" s="803">
        <v>12</v>
      </c>
      <c r="AB677" s="803">
        <v>12</v>
      </c>
      <c r="AC677" s="803"/>
      <c r="AD677" s="803"/>
      <c r="AE677" s="803"/>
      <c r="AF677" s="803"/>
      <c r="AG677" s="803"/>
      <c r="BB677" s="794"/>
      <c r="BC677" s="658"/>
      <c r="BD677" s="757"/>
      <c r="BE677" s="659"/>
    </row>
    <row r="678" spans="1:57" s="512" customFormat="1" ht="14.45" customHeight="1" outlineLevel="1" x14ac:dyDescent="0.25">
      <c r="A678" s="2462"/>
      <c r="B678" s="413"/>
      <c r="C678" s="385"/>
      <c r="D678" s="3787"/>
      <c r="E678" s="3785"/>
      <c r="F678" s="3631" t="str">
        <f t="shared" si="64"/>
        <v>CAC - SEER 18 ROF: MF</v>
      </c>
      <c r="G678" s="3632"/>
      <c r="H678" s="3633"/>
      <c r="I678" s="2201"/>
      <c r="J678" s="2208">
        <v>18</v>
      </c>
      <c r="K678" s="2202"/>
      <c r="L678" s="2203"/>
      <c r="M678" s="385"/>
      <c r="N678" s="1746"/>
      <c r="O678" s="385"/>
      <c r="P678" s="413"/>
      <c r="Q678" s="413"/>
      <c r="R678" s="413"/>
      <c r="S678" s="413"/>
      <c r="T678" s="413"/>
      <c r="U678" s="413"/>
      <c r="V678" s="3590"/>
      <c r="W678" s="803"/>
      <c r="X678" s="803"/>
      <c r="Y678" s="804"/>
      <c r="Z678" s="804">
        <v>18</v>
      </c>
      <c r="AA678" s="803">
        <v>18</v>
      </c>
      <c r="AB678" s="803">
        <v>18</v>
      </c>
      <c r="AC678" s="803"/>
      <c r="AD678" s="803"/>
      <c r="AE678" s="803"/>
      <c r="AF678" s="803"/>
      <c r="AG678" s="803"/>
      <c r="BB678" s="794"/>
      <c r="BC678" s="658"/>
      <c r="BD678" s="757"/>
      <c r="BE678" s="659"/>
    </row>
    <row r="679" spans="1:57" s="512" customFormat="1" ht="14.45" customHeight="1" outlineLevel="1" x14ac:dyDescent="0.25">
      <c r="A679" s="2462"/>
      <c r="B679" s="413"/>
      <c r="C679" s="385"/>
      <c r="D679" s="3787"/>
      <c r="E679" s="3785"/>
      <c r="F679" s="3631" t="str">
        <f t="shared" si="64"/>
        <v>CAC - SEER 18 ROF: MF_CompE</v>
      </c>
      <c r="G679" s="3632"/>
      <c r="H679" s="3633"/>
      <c r="I679" s="2201"/>
      <c r="J679" s="2208">
        <v>18</v>
      </c>
      <c r="K679" s="2202"/>
      <c r="L679" s="2203"/>
      <c r="M679" s="385"/>
      <c r="N679" s="1746"/>
      <c r="O679" s="385"/>
      <c r="P679" s="413"/>
      <c r="Q679" s="413"/>
      <c r="R679" s="413"/>
      <c r="S679" s="413"/>
      <c r="T679" s="413"/>
      <c r="U679" s="413"/>
      <c r="V679" s="3590"/>
      <c r="W679" s="803"/>
      <c r="X679" s="803"/>
      <c r="Y679" s="803"/>
      <c r="Z679" s="804">
        <v>18</v>
      </c>
      <c r="AA679" s="803">
        <v>18</v>
      </c>
      <c r="AB679" s="803">
        <v>18</v>
      </c>
      <c r="AC679" s="803"/>
      <c r="AD679" s="803"/>
      <c r="AE679" s="803"/>
      <c r="AF679" s="803"/>
      <c r="AG679" s="803"/>
      <c r="BB679" s="794"/>
      <c r="BC679" s="658"/>
      <c r="BD679" s="757"/>
      <c r="BE679" s="659"/>
    </row>
    <row r="680" spans="1:57" s="512" customFormat="1" ht="14.45" customHeight="1" outlineLevel="1" x14ac:dyDescent="0.25">
      <c r="A680" s="2462"/>
      <c r="B680" s="413"/>
      <c r="C680" s="385"/>
      <c r="D680" s="3787"/>
      <c r="E680" s="3785"/>
      <c r="F680" s="3631" t="str">
        <f t="shared" si="64"/>
        <v>CAC - SEER 19 ER1: SF</v>
      </c>
      <c r="G680" s="3632"/>
      <c r="H680" s="3633"/>
      <c r="I680" s="2201"/>
      <c r="J680" s="2208">
        <v>6</v>
      </c>
      <c r="K680" s="2202"/>
      <c r="L680" s="2203"/>
      <c r="M680" s="385"/>
      <c r="N680" s="1746"/>
      <c r="O680" s="385"/>
      <c r="P680" s="413"/>
      <c r="Q680" s="413"/>
      <c r="R680" s="413"/>
      <c r="S680" s="413"/>
      <c r="T680" s="413"/>
      <c r="U680" s="413"/>
      <c r="V680" s="3590"/>
      <c r="W680" s="803"/>
      <c r="X680" s="803"/>
      <c r="Y680" s="803"/>
      <c r="Z680" s="804">
        <v>6</v>
      </c>
      <c r="AA680" s="803">
        <v>6</v>
      </c>
      <c r="AB680" s="803">
        <v>6</v>
      </c>
      <c r="AC680" s="803"/>
      <c r="AD680" s="803"/>
      <c r="AE680" s="803"/>
      <c r="AF680" s="803"/>
      <c r="AG680" s="803"/>
      <c r="BB680" s="794"/>
      <c r="BC680" s="658"/>
      <c r="BD680" s="757"/>
      <c r="BE680" s="659"/>
    </row>
    <row r="681" spans="1:57" s="512" customFormat="1" ht="14.45" customHeight="1" outlineLevel="1" x14ac:dyDescent="0.25">
      <c r="A681" s="2462"/>
      <c r="B681" s="413"/>
      <c r="C681" s="385"/>
      <c r="D681" s="3787"/>
      <c r="E681" s="3785"/>
      <c r="F681" s="3631" t="str">
        <f t="shared" si="64"/>
        <v>CAC - SEER 19 ER2: SF</v>
      </c>
      <c r="G681" s="3632"/>
      <c r="H681" s="3633"/>
      <c r="I681" s="2201"/>
      <c r="J681" s="2208">
        <v>12</v>
      </c>
      <c r="K681" s="2202"/>
      <c r="L681" s="2203"/>
      <c r="M681" s="385"/>
      <c r="N681" s="1746"/>
      <c r="O681" s="385"/>
      <c r="P681" s="413"/>
      <c r="Q681" s="413"/>
      <c r="R681" s="413"/>
      <c r="S681" s="413"/>
      <c r="T681" s="413"/>
      <c r="U681" s="413"/>
      <c r="V681" s="3590"/>
      <c r="W681" s="803"/>
      <c r="X681" s="803"/>
      <c r="Y681" s="803"/>
      <c r="Z681" s="804">
        <v>12</v>
      </c>
      <c r="AA681" s="803">
        <v>12</v>
      </c>
      <c r="AB681" s="803">
        <v>12</v>
      </c>
      <c r="AC681" s="803"/>
      <c r="AD681" s="803"/>
      <c r="AE681" s="803"/>
      <c r="AF681" s="803"/>
      <c r="AG681" s="803"/>
      <c r="BB681" s="794"/>
      <c r="BC681" s="658"/>
      <c r="BD681" s="757"/>
      <c r="BE681" s="659"/>
    </row>
    <row r="682" spans="1:57" s="512" customFormat="1" ht="14.45" customHeight="1" outlineLevel="1" x14ac:dyDescent="0.25">
      <c r="A682" s="2462"/>
      <c r="B682" s="413"/>
      <c r="C682" s="385"/>
      <c r="D682" s="3787"/>
      <c r="E682" s="3785"/>
      <c r="F682" s="3631" t="str">
        <f t="shared" si="64"/>
        <v>CAC - SEER 19 ROF: SF</v>
      </c>
      <c r="G682" s="3632"/>
      <c r="H682" s="3633"/>
      <c r="I682" s="2201"/>
      <c r="J682" s="2208">
        <v>18</v>
      </c>
      <c r="K682" s="2202"/>
      <c r="L682" s="2203"/>
      <c r="M682" s="385"/>
      <c r="N682" s="1746"/>
      <c r="O682" s="385"/>
      <c r="P682" s="413"/>
      <c r="Q682" s="413"/>
      <c r="R682" s="413"/>
      <c r="S682" s="413"/>
      <c r="T682" s="413"/>
      <c r="U682" s="413"/>
      <c r="V682" s="3590"/>
      <c r="W682" s="803"/>
      <c r="X682" s="803"/>
      <c r="Y682" s="803"/>
      <c r="Z682" s="804">
        <v>18</v>
      </c>
      <c r="AA682" s="803">
        <v>18</v>
      </c>
      <c r="AB682" s="803">
        <v>18</v>
      </c>
      <c r="AC682" s="803"/>
      <c r="AD682" s="803"/>
      <c r="AE682" s="803"/>
      <c r="AF682" s="803"/>
      <c r="AG682" s="803"/>
      <c r="BB682" s="794"/>
      <c r="BC682" s="658"/>
      <c r="BD682" s="757"/>
      <c r="BE682" s="659"/>
    </row>
    <row r="683" spans="1:57" s="512" customFormat="1" ht="14.45" customHeight="1" outlineLevel="1" x14ac:dyDescent="0.25">
      <c r="A683" s="2462"/>
      <c r="B683" s="413"/>
      <c r="C683" s="385"/>
      <c r="D683" s="3787"/>
      <c r="E683" s="3785"/>
      <c r="F683" s="3631" t="str">
        <f t="shared" si="64"/>
        <v>CAC - SEER 19 ER1: MF</v>
      </c>
      <c r="G683" s="3632"/>
      <c r="H683" s="3633"/>
      <c r="I683" s="2201"/>
      <c r="J683" s="2208">
        <v>6</v>
      </c>
      <c r="K683" s="2202"/>
      <c r="L683" s="2203"/>
      <c r="M683" s="385"/>
      <c r="N683" s="1746"/>
      <c r="O683" s="385"/>
      <c r="P683" s="413"/>
      <c r="Q683" s="413"/>
      <c r="R683" s="413"/>
      <c r="S683" s="413"/>
      <c r="T683" s="413"/>
      <c r="U683" s="413"/>
      <c r="V683" s="3590"/>
      <c r="W683" s="803"/>
      <c r="X683" s="803"/>
      <c r="Y683" s="803"/>
      <c r="Z683" s="804">
        <v>6</v>
      </c>
      <c r="AA683" s="803">
        <v>6</v>
      </c>
      <c r="AB683" s="803">
        <v>6</v>
      </c>
      <c r="AC683" s="803"/>
      <c r="AD683" s="803"/>
      <c r="AE683" s="803"/>
      <c r="AF683" s="803"/>
      <c r="AG683" s="803"/>
      <c r="BB683" s="794"/>
      <c r="BC683" s="658"/>
      <c r="BD683" s="757"/>
      <c r="BE683" s="659"/>
    </row>
    <row r="684" spans="1:57" s="512" customFormat="1" ht="14.45" customHeight="1" outlineLevel="1" x14ac:dyDescent="0.25">
      <c r="A684" s="2462"/>
      <c r="B684" s="413"/>
      <c r="C684" s="385"/>
      <c r="D684" s="3787"/>
      <c r="E684" s="3785"/>
      <c r="F684" s="3631" t="str">
        <f t="shared" si="64"/>
        <v>CAC - SEER 19 ER2: MF</v>
      </c>
      <c r="G684" s="3632"/>
      <c r="H684" s="3633"/>
      <c r="I684" s="2201"/>
      <c r="J684" s="2208">
        <v>12</v>
      </c>
      <c r="K684" s="2202"/>
      <c r="L684" s="2203"/>
      <c r="M684" s="385"/>
      <c r="N684" s="1746"/>
      <c r="O684" s="385"/>
      <c r="P684" s="413"/>
      <c r="Q684" s="413"/>
      <c r="R684" s="413"/>
      <c r="S684" s="413"/>
      <c r="T684" s="413"/>
      <c r="U684" s="413"/>
      <c r="V684" s="3590"/>
      <c r="W684" s="803"/>
      <c r="X684" s="803"/>
      <c r="Y684" s="803"/>
      <c r="Z684" s="804">
        <v>12</v>
      </c>
      <c r="AA684" s="803">
        <v>12</v>
      </c>
      <c r="AB684" s="803">
        <v>12</v>
      </c>
      <c r="AC684" s="803"/>
      <c r="AD684" s="803"/>
      <c r="AE684" s="803"/>
      <c r="AF684" s="803"/>
      <c r="AG684" s="803"/>
      <c r="BB684" s="794"/>
      <c r="BC684" s="658"/>
      <c r="BD684" s="757"/>
      <c r="BE684" s="659"/>
    </row>
    <row r="685" spans="1:57" s="512" customFormat="1" ht="14.45" customHeight="1" outlineLevel="1" x14ac:dyDescent="0.25">
      <c r="A685" s="2462"/>
      <c r="B685" s="413"/>
      <c r="C685" s="385"/>
      <c r="D685" s="3787"/>
      <c r="E685" s="3785"/>
      <c r="F685" s="3631" t="str">
        <f t="shared" si="64"/>
        <v>CAC - SEER 19 ER1: MF_CompE</v>
      </c>
      <c r="G685" s="3632"/>
      <c r="H685" s="3633"/>
      <c r="I685" s="2201"/>
      <c r="J685" s="2208">
        <v>6</v>
      </c>
      <c r="K685" s="2202"/>
      <c r="L685" s="2203"/>
      <c r="M685" s="385"/>
      <c r="N685" s="1746"/>
      <c r="O685" s="385"/>
      <c r="P685" s="413"/>
      <c r="Q685" s="413"/>
      <c r="R685" s="413"/>
      <c r="S685" s="413"/>
      <c r="T685" s="413"/>
      <c r="U685" s="413"/>
      <c r="V685" s="3590"/>
      <c r="W685" s="803"/>
      <c r="X685" s="803"/>
      <c r="Y685" s="803"/>
      <c r="Z685" s="804">
        <v>6</v>
      </c>
      <c r="AA685" s="803">
        <v>6</v>
      </c>
      <c r="AB685" s="803">
        <v>6</v>
      </c>
      <c r="AC685" s="803"/>
      <c r="AD685" s="803"/>
      <c r="AE685" s="803"/>
      <c r="AF685" s="803"/>
      <c r="AG685" s="803"/>
      <c r="BB685" s="794"/>
      <c r="BC685" s="658"/>
      <c r="BD685" s="757"/>
      <c r="BE685" s="659"/>
    </row>
    <row r="686" spans="1:57" s="512" customFormat="1" ht="14.45" customHeight="1" outlineLevel="1" x14ac:dyDescent="0.25">
      <c r="A686" s="2462"/>
      <c r="B686" s="413"/>
      <c r="C686" s="385"/>
      <c r="D686" s="3787"/>
      <c r="E686" s="3785"/>
      <c r="F686" s="3631" t="str">
        <f t="shared" si="64"/>
        <v>CAC - SEER 19 ER2: MF_CompE</v>
      </c>
      <c r="G686" s="3632"/>
      <c r="H686" s="3633"/>
      <c r="I686" s="2201"/>
      <c r="J686" s="2208">
        <v>12</v>
      </c>
      <c r="K686" s="2202"/>
      <c r="L686" s="2203"/>
      <c r="M686" s="385"/>
      <c r="N686" s="1746"/>
      <c r="O686" s="385"/>
      <c r="P686" s="413"/>
      <c r="Q686" s="413"/>
      <c r="R686" s="413"/>
      <c r="S686" s="413"/>
      <c r="T686" s="413"/>
      <c r="U686" s="413"/>
      <c r="V686" s="3590"/>
      <c r="W686" s="803"/>
      <c r="X686" s="803"/>
      <c r="Y686" s="803"/>
      <c r="Z686" s="804">
        <v>12</v>
      </c>
      <c r="AA686" s="803">
        <v>12</v>
      </c>
      <c r="AB686" s="803">
        <v>12</v>
      </c>
      <c r="AC686" s="803"/>
      <c r="AD686" s="803"/>
      <c r="AE686" s="803"/>
      <c r="AF686" s="803"/>
      <c r="AG686" s="803"/>
      <c r="BB686" s="794"/>
      <c r="BC686" s="658"/>
      <c r="BD686" s="757"/>
      <c r="BE686" s="659"/>
    </row>
    <row r="687" spans="1:57" s="512" customFormat="1" ht="14.45" customHeight="1" outlineLevel="1" x14ac:dyDescent="0.25">
      <c r="A687" s="2462"/>
      <c r="B687" s="413"/>
      <c r="C687" s="385"/>
      <c r="D687" s="3787"/>
      <c r="E687" s="3785"/>
      <c r="F687" s="3631" t="str">
        <f t="shared" si="64"/>
        <v>CAC - SEER 19 ROF: MF</v>
      </c>
      <c r="G687" s="3632"/>
      <c r="H687" s="3633"/>
      <c r="I687" s="2201"/>
      <c r="J687" s="2208">
        <v>18</v>
      </c>
      <c r="K687" s="2202"/>
      <c r="L687" s="2203"/>
      <c r="M687" s="385"/>
      <c r="N687" s="1746"/>
      <c r="O687" s="385"/>
      <c r="P687" s="413"/>
      <c r="Q687" s="413"/>
      <c r="R687" s="413"/>
      <c r="S687" s="413"/>
      <c r="T687" s="413"/>
      <c r="U687" s="413"/>
      <c r="V687" s="3590"/>
      <c r="W687" s="803"/>
      <c r="X687" s="803"/>
      <c r="Y687" s="803"/>
      <c r="Z687" s="804">
        <v>18</v>
      </c>
      <c r="AA687" s="803">
        <v>18</v>
      </c>
      <c r="AB687" s="803">
        <v>18</v>
      </c>
      <c r="AC687" s="803"/>
      <c r="AD687" s="803"/>
      <c r="AE687" s="803"/>
      <c r="AF687" s="803"/>
      <c r="AG687" s="803"/>
      <c r="BB687" s="794"/>
      <c r="BC687" s="658"/>
      <c r="BD687" s="757"/>
      <c r="BE687" s="659"/>
    </row>
    <row r="688" spans="1:57" s="512" customFormat="1" ht="14.45" customHeight="1" outlineLevel="1" x14ac:dyDescent="0.25">
      <c r="A688" s="2462"/>
      <c r="B688" s="413"/>
      <c r="C688" s="385"/>
      <c r="D688" s="3787"/>
      <c r="E688" s="3785"/>
      <c r="F688" s="3631" t="str">
        <f t="shared" si="64"/>
        <v>CAC - SEER 19 ROF: MF_CompE</v>
      </c>
      <c r="G688" s="3632"/>
      <c r="H688" s="3633"/>
      <c r="I688" s="2201"/>
      <c r="J688" s="2208">
        <v>18</v>
      </c>
      <c r="K688" s="2202"/>
      <c r="L688" s="2203"/>
      <c r="M688" s="385"/>
      <c r="N688" s="1746"/>
      <c r="O688" s="385"/>
      <c r="P688" s="413"/>
      <c r="Q688" s="413"/>
      <c r="R688" s="413"/>
      <c r="S688" s="413"/>
      <c r="T688" s="413"/>
      <c r="U688" s="413"/>
      <c r="V688" s="3590"/>
      <c r="W688" s="803"/>
      <c r="X688" s="803"/>
      <c r="Y688" s="803"/>
      <c r="Z688" s="804">
        <v>18</v>
      </c>
      <c r="AA688" s="803">
        <v>18</v>
      </c>
      <c r="AB688" s="803">
        <v>18</v>
      </c>
      <c r="AC688" s="803"/>
      <c r="AD688" s="803"/>
      <c r="AE688" s="803"/>
      <c r="AF688" s="803"/>
      <c r="AG688" s="803"/>
      <c r="BB688" s="794"/>
      <c r="BC688" s="658"/>
      <c r="BD688" s="757"/>
      <c r="BE688" s="659"/>
    </row>
    <row r="689" spans="1:57" s="512" customFormat="1" ht="14.45" customHeight="1" outlineLevel="1" x14ac:dyDescent="0.25">
      <c r="A689" s="2462"/>
      <c r="B689" s="413"/>
      <c r="C689" s="385"/>
      <c r="D689" s="3787"/>
      <c r="E689" s="3785"/>
      <c r="F689" s="3631" t="str">
        <f t="shared" si="64"/>
        <v>CAC - SEER 20 ER1: SF</v>
      </c>
      <c r="G689" s="3632"/>
      <c r="H689" s="3633"/>
      <c r="I689" s="2201"/>
      <c r="J689" s="2208">
        <v>6</v>
      </c>
      <c r="K689" s="2202"/>
      <c r="L689" s="2203"/>
      <c r="M689" s="385"/>
      <c r="N689" s="1746"/>
      <c r="O689" s="385"/>
      <c r="P689" s="413"/>
      <c r="Q689" s="413"/>
      <c r="R689" s="413"/>
      <c r="S689" s="413"/>
      <c r="T689" s="413"/>
      <c r="U689" s="413"/>
      <c r="V689" s="3590"/>
      <c r="W689" s="803"/>
      <c r="X689" s="803"/>
      <c r="Y689" s="803"/>
      <c r="Z689" s="804">
        <v>6</v>
      </c>
      <c r="AA689" s="803">
        <v>6</v>
      </c>
      <c r="AB689" s="803">
        <v>6</v>
      </c>
      <c r="AC689" s="803"/>
      <c r="AD689" s="803"/>
      <c r="AE689" s="803"/>
      <c r="AF689" s="803"/>
      <c r="AG689" s="803"/>
      <c r="BB689" s="794"/>
      <c r="BC689" s="658"/>
      <c r="BD689" s="757"/>
      <c r="BE689" s="659"/>
    </row>
    <row r="690" spans="1:57" s="512" customFormat="1" ht="14.45" customHeight="1" outlineLevel="1" x14ac:dyDescent="0.25">
      <c r="A690" s="2462"/>
      <c r="B690" s="413"/>
      <c r="C690" s="385"/>
      <c r="D690" s="3787"/>
      <c r="E690" s="3785"/>
      <c r="F690" s="3631" t="str">
        <f t="shared" si="64"/>
        <v>CAC - SEER 20 ER2: SF</v>
      </c>
      <c r="G690" s="3632"/>
      <c r="H690" s="3633"/>
      <c r="I690" s="2201"/>
      <c r="J690" s="2208">
        <v>12</v>
      </c>
      <c r="K690" s="2202"/>
      <c r="L690" s="2203"/>
      <c r="M690" s="385"/>
      <c r="N690" s="1746"/>
      <c r="O690" s="385"/>
      <c r="P690" s="413"/>
      <c r="Q690" s="413"/>
      <c r="R690" s="413"/>
      <c r="S690" s="413"/>
      <c r="T690" s="413"/>
      <c r="U690" s="413"/>
      <c r="V690" s="3590"/>
      <c r="W690" s="803"/>
      <c r="X690" s="803"/>
      <c r="Y690" s="803"/>
      <c r="Z690" s="804">
        <v>12</v>
      </c>
      <c r="AA690" s="803">
        <v>12</v>
      </c>
      <c r="AB690" s="803">
        <v>12</v>
      </c>
      <c r="AC690" s="803"/>
      <c r="AD690" s="803"/>
      <c r="AE690" s="803"/>
      <c r="AF690" s="803"/>
      <c r="AG690" s="803"/>
      <c r="BB690" s="794"/>
      <c r="BC690" s="658"/>
      <c r="BD690" s="757"/>
      <c r="BE690" s="659"/>
    </row>
    <row r="691" spans="1:57" s="512" customFormat="1" ht="14.45" customHeight="1" outlineLevel="1" x14ac:dyDescent="0.25">
      <c r="A691" s="2462"/>
      <c r="B691" s="413"/>
      <c r="C691" s="385"/>
      <c r="D691" s="3787"/>
      <c r="E691" s="3785"/>
      <c r="F691" s="3631" t="str">
        <f t="shared" si="64"/>
        <v>CAC - SEER 20 ROF: SF</v>
      </c>
      <c r="G691" s="3632"/>
      <c r="H691" s="3633"/>
      <c r="I691" s="2201"/>
      <c r="J691" s="2208">
        <v>18</v>
      </c>
      <c r="K691" s="2202"/>
      <c r="L691" s="2203"/>
      <c r="M691" s="385"/>
      <c r="N691" s="1746"/>
      <c r="O691" s="385"/>
      <c r="P691" s="413"/>
      <c r="Q691" s="413"/>
      <c r="R691" s="413"/>
      <c r="S691" s="413"/>
      <c r="T691" s="413"/>
      <c r="U691" s="413"/>
      <c r="V691" s="3590"/>
      <c r="W691" s="803"/>
      <c r="X691" s="803"/>
      <c r="Y691" s="803"/>
      <c r="Z691" s="804">
        <v>18</v>
      </c>
      <c r="AA691" s="803">
        <v>18</v>
      </c>
      <c r="AB691" s="803">
        <v>18</v>
      </c>
      <c r="AC691" s="803"/>
      <c r="AD691" s="803"/>
      <c r="AE691" s="803"/>
      <c r="AF691" s="803"/>
      <c r="AG691" s="803"/>
      <c r="BB691" s="794"/>
      <c r="BC691" s="658"/>
      <c r="BD691" s="757"/>
      <c r="BE691" s="659"/>
    </row>
    <row r="692" spans="1:57" s="512" customFormat="1" ht="14.45" customHeight="1" outlineLevel="1" x14ac:dyDescent="0.25">
      <c r="A692" s="2462"/>
      <c r="B692" s="413"/>
      <c r="C692" s="385"/>
      <c r="D692" s="3787"/>
      <c r="E692" s="3785"/>
      <c r="F692" s="3631" t="str">
        <f t="shared" si="64"/>
        <v>CAC - SEER 20 ER1: MF</v>
      </c>
      <c r="G692" s="3632"/>
      <c r="H692" s="3633"/>
      <c r="I692" s="2201"/>
      <c r="J692" s="2208">
        <v>6</v>
      </c>
      <c r="K692" s="2202"/>
      <c r="L692" s="2203"/>
      <c r="M692" s="385"/>
      <c r="N692" s="1746"/>
      <c r="O692" s="385"/>
      <c r="P692" s="413"/>
      <c r="Q692" s="413"/>
      <c r="R692" s="413"/>
      <c r="S692" s="413"/>
      <c r="T692" s="413"/>
      <c r="U692" s="413"/>
      <c r="V692" s="3590"/>
      <c r="W692" s="803"/>
      <c r="X692" s="803"/>
      <c r="Y692" s="803"/>
      <c r="Z692" s="804">
        <v>6</v>
      </c>
      <c r="AA692" s="803">
        <v>6</v>
      </c>
      <c r="AB692" s="803">
        <v>6</v>
      </c>
      <c r="AC692" s="803"/>
      <c r="AD692" s="803"/>
      <c r="AE692" s="803"/>
      <c r="AF692" s="803"/>
      <c r="AG692" s="803"/>
      <c r="BB692" s="794"/>
      <c r="BC692" s="658"/>
      <c r="BD692" s="757"/>
      <c r="BE692" s="659"/>
    </row>
    <row r="693" spans="1:57" s="512" customFormat="1" ht="14.45" customHeight="1" outlineLevel="1" x14ac:dyDescent="0.25">
      <c r="A693" s="2462"/>
      <c r="B693" s="413"/>
      <c r="C693" s="385"/>
      <c r="D693" s="3787"/>
      <c r="E693" s="3785"/>
      <c r="F693" s="3631" t="str">
        <f t="shared" si="64"/>
        <v>CAC - SEER 20 ER2: MF</v>
      </c>
      <c r="G693" s="3632"/>
      <c r="H693" s="3633"/>
      <c r="I693" s="2201"/>
      <c r="J693" s="2208">
        <v>12</v>
      </c>
      <c r="K693" s="2202"/>
      <c r="L693" s="2203"/>
      <c r="M693" s="385"/>
      <c r="N693" s="1746"/>
      <c r="O693" s="385"/>
      <c r="P693" s="413"/>
      <c r="Q693" s="413"/>
      <c r="R693" s="413"/>
      <c r="S693" s="413"/>
      <c r="T693" s="413"/>
      <c r="U693" s="413"/>
      <c r="V693" s="3590"/>
      <c r="W693" s="803"/>
      <c r="X693" s="803"/>
      <c r="Y693" s="803"/>
      <c r="Z693" s="804">
        <v>12</v>
      </c>
      <c r="AA693" s="803">
        <v>12</v>
      </c>
      <c r="AB693" s="803">
        <v>12</v>
      </c>
      <c r="AC693" s="803"/>
      <c r="AD693" s="803"/>
      <c r="AE693" s="803"/>
      <c r="AF693" s="803"/>
      <c r="AG693" s="803"/>
      <c r="BB693" s="794"/>
      <c r="BC693" s="658"/>
      <c r="BD693" s="757"/>
      <c r="BE693" s="659"/>
    </row>
    <row r="694" spans="1:57" s="512" customFormat="1" ht="14.45" customHeight="1" outlineLevel="1" x14ac:dyDescent="0.25">
      <c r="A694" s="2462"/>
      <c r="B694" s="413"/>
      <c r="C694" s="385"/>
      <c r="D694" s="3787"/>
      <c r="E694" s="3785"/>
      <c r="F694" s="3631" t="str">
        <f t="shared" si="64"/>
        <v>CAC - SEER 20 ER1: MF_CompE</v>
      </c>
      <c r="G694" s="3632"/>
      <c r="H694" s="3633"/>
      <c r="I694" s="2201"/>
      <c r="J694" s="2208">
        <v>6</v>
      </c>
      <c r="K694" s="2202"/>
      <c r="L694" s="2203"/>
      <c r="M694" s="385"/>
      <c r="N694" s="1746"/>
      <c r="O694" s="385"/>
      <c r="P694" s="413"/>
      <c r="Q694" s="413"/>
      <c r="R694" s="413"/>
      <c r="S694" s="413"/>
      <c r="T694" s="413"/>
      <c r="U694" s="413"/>
      <c r="V694" s="3590"/>
      <c r="W694" s="803"/>
      <c r="X694" s="803"/>
      <c r="Y694" s="803"/>
      <c r="Z694" s="804">
        <v>6</v>
      </c>
      <c r="AA694" s="803">
        <v>6</v>
      </c>
      <c r="AB694" s="803">
        <v>6</v>
      </c>
      <c r="AC694" s="803"/>
      <c r="AD694" s="803"/>
      <c r="AE694" s="803"/>
      <c r="AF694" s="803"/>
      <c r="AG694" s="803"/>
      <c r="BB694" s="794"/>
      <c r="BC694" s="658"/>
      <c r="BD694" s="757"/>
      <c r="BE694" s="659"/>
    </row>
    <row r="695" spans="1:57" s="512" customFormat="1" ht="14.45" customHeight="1" outlineLevel="1" x14ac:dyDescent="0.25">
      <c r="A695" s="2462"/>
      <c r="B695" s="413"/>
      <c r="C695" s="385"/>
      <c r="D695" s="3787"/>
      <c r="E695" s="3785"/>
      <c r="F695" s="3631" t="str">
        <f t="shared" si="64"/>
        <v>CAC - SEER 20 ER2: MF_CompE</v>
      </c>
      <c r="G695" s="3632"/>
      <c r="H695" s="3633"/>
      <c r="I695" s="2201"/>
      <c r="J695" s="2208">
        <v>12</v>
      </c>
      <c r="K695" s="2202"/>
      <c r="L695" s="2203"/>
      <c r="M695" s="385"/>
      <c r="N695" s="1746"/>
      <c r="O695" s="385"/>
      <c r="P695" s="413"/>
      <c r="Q695" s="413"/>
      <c r="R695" s="413"/>
      <c r="S695" s="413"/>
      <c r="T695" s="413"/>
      <c r="U695" s="413"/>
      <c r="V695" s="3590"/>
      <c r="W695" s="803"/>
      <c r="X695" s="803"/>
      <c r="Y695" s="803"/>
      <c r="Z695" s="804">
        <v>12</v>
      </c>
      <c r="AA695" s="803">
        <v>12</v>
      </c>
      <c r="AB695" s="803">
        <v>12</v>
      </c>
      <c r="AC695" s="803"/>
      <c r="AD695" s="803"/>
      <c r="AE695" s="803"/>
      <c r="AF695" s="803"/>
      <c r="AG695" s="803"/>
      <c r="BB695" s="794"/>
      <c r="BC695" s="658"/>
      <c r="BD695" s="757"/>
      <c r="BE695" s="659"/>
    </row>
    <row r="696" spans="1:57" s="512" customFormat="1" ht="14.45" customHeight="1" outlineLevel="1" x14ac:dyDescent="0.25">
      <c r="A696" s="2462"/>
      <c r="B696" s="413"/>
      <c r="C696" s="385"/>
      <c r="D696" s="3787"/>
      <c r="E696" s="3785"/>
      <c r="F696" s="3631" t="str">
        <f t="shared" si="64"/>
        <v>CAC - SEER 20 ROF: MF</v>
      </c>
      <c r="G696" s="3632"/>
      <c r="H696" s="3633"/>
      <c r="I696" s="2201"/>
      <c r="J696" s="2208">
        <v>18</v>
      </c>
      <c r="K696" s="2202"/>
      <c r="L696" s="2203"/>
      <c r="M696" s="385"/>
      <c r="N696" s="1746"/>
      <c r="O696" s="385"/>
      <c r="P696" s="413"/>
      <c r="Q696" s="413"/>
      <c r="R696" s="413"/>
      <c r="S696" s="413"/>
      <c r="T696" s="413"/>
      <c r="U696" s="413"/>
      <c r="V696" s="3590"/>
      <c r="W696" s="803"/>
      <c r="X696" s="803"/>
      <c r="Y696" s="803"/>
      <c r="Z696" s="804">
        <v>18</v>
      </c>
      <c r="AA696" s="803">
        <v>18</v>
      </c>
      <c r="AB696" s="803">
        <v>18</v>
      </c>
      <c r="AC696" s="803"/>
      <c r="AD696" s="803"/>
      <c r="AE696" s="803"/>
      <c r="AF696" s="803"/>
      <c r="AG696" s="803"/>
      <c r="BB696" s="794"/>
      <c r="BC696" s="658"/>
      <c r="BD696" s="757"/>
      <c r="BE696" s="659"/>
    </row>
    <row r="697" spans="1:57" s="512" customFormat="1" ht="14.45" customHeight="1" outlineLevel="1" x14ac:dyDescent="0.25">
      <c r="A697" s="2462"/>
      <c r="B697" s="413"/>
      <c r="C697" s="385"/>
      <c r="D697" s="3787"/>
      <c r="E697" s="3785"/>
      <c r="F697" s="3631" t="str">
        <f t="shared" si="64"/>
        <v>CAC - SEER 20 ROF: MF_CompE</v>
      </c>
      <c r="G697" s="3632"/>
      <c r="H697" s="3633"/>
      <c r="I697" s="2201"/>
      <c r="J697" s="2208">
        <v>18</v>
      </c>
      <c r="K697" s="2202"/>
      <c r="L697" s="2203"/>
      <c r="M697" s="385"/>
      <c r="N697" s="1746"/>
      <c r="O697" s="385"/>
      <c r="P697" s="413"/>
      <c r="Q697" s="413"/>
      <c r="R697" s="413"/>
      <c r="S697" s="413"/>
      <c r="T697" s="413"/>
      <c r="U697" s="413"/>
      <c r="V697" s="3590"/>
      <c r="W697" s="803"/>
      <c r="X697" s="803"/>
      <c r="Y697" s="803"/>
      <c r="Z697" s="804">
        <v>18</v>
      </c>
      <c r="AA697" s="803">
        <v>18</v>
      </c>
      <c r="AB697" s="803">
        <v>18</v>
      </c>
      <c r="AC697" s="803"/>
      <c r="AD697" s="803"/>
      <c r="AE697" s="803"/>
      <c r="AF697" s="803"/>
      <c r="AG697" s="803"/>
      <c r="BB697" s="794"/>
      <c r="BC697" s="658"/>
      <c r="BD697" s="757"/>
      <c r="BE697" s="659"/>
    </row>
    <row r="698" spans="1:57" s="512" customFormat="1" ht="14.45" customHeight="1" outlineLevel="1" x14ac:dyDescent="0.25">
      <c r="A698" s="2462"/>
      <c r="B698" s="413"/>
      <c r="C698" s="385"/>
      <c r="D698" s="3787"/>
      <c r="E698" s="3785"/>
      <c r="F698" s="3631" t="str">
        <f t="shared" si="64"/>
        <v>CAC - SEER 21+ ER1: SF</v>
      </c>
      <c r="G698" s="3632"/>
      <c r="H698" s="3633"/>
      <c r="I698" s="2201"/>
      <c r="J698" s="2208">
        <v>6</v>
      </c>
      <c r="K698" s="2202"/>
      <c r="L698" s="2203"/>
      <c r="M698" s="385"/>
      <c r="N698" s="1746"/>
      <c r="O698" s="385"/>
      <c r="P698" s="413"/>
      <c r="Q698" s="413"/>
      <c r="R698" s="413"/>
      <c r="S698" s="413"/>
      <c r="T698" s="413"/>
      <c r="U698" s="413"/>
      <c r="V698" s="3590"/>
      <c r="W698" s="803"/>
      <c r="X698" s="803"/>
      <c r="Y698" s="803"/>
      <c r="Z698" s="804">
        <v>6</v>
      </c>
      <c r="AA698" s="803">
        <v>6</v>
      </c>
      <c r="AB698" s="803">
        <v>6</v>
      </c>
      <c r="AC698" s="803"/>
      <c r="AD698" s="803"/>
      <c r="AE698" s="803"/>
      <c r="AF698" s="803"/>
      <c r="AG698" s="803"/>
      <c r="BB698" s="794"/>
      <c r="BC698" s="658"/>
      <c r="BD698" s="757"/>
      <c r="BE698" s="659"/>
    </row>
    <row r="699" spans="1:57" s="512" customFormat="1" ht="14.45" customHeight="1" outlineLevel="1" x14ac:dyDescent="0.25">
      <c r="A699" s="2462"/>
      <c r="B699" s="413"/>
      <c r="C699" s="385"/>
      <c r="D699" s="3787"/>
      <c r="E699" s="3785"/>
      <c r="F699" s="3631" t="str">
        <f t="shared" ref="F699:F706" si="65">F626</f>
        <v>CAC - SEER 21+ ER2: SF</v>
      </c>
      <c r="G699" s="3632"/>
      <c r="H699" s="3633"/>
      <c r="I699" s="2201"/>
      <c r="J699" s="2208">
        <v>12</v>
      </c>
      <c r="K699" s="2202"/>
      <c r="L699" s="2203"/>
      <c r="M699" s="385"/>
      <c r="N699" s="1746"/>
      <c r="O699" s="385"/>
      <c r="P699" s="413"/>
      <c r="Q699" s="413"/>
      <c r="R699" s="413"/>
      <c r="S699" s="413"/>
      <c r="T699" s="413"/>
      <c r="U699" s="413"/>
      <c r="V699" s="3590"/>
      <c r="W699" s="803"/>
      <c r="X699" s="803"/>
      <c r="Y699" s="803"/>
      <c r="Z699" s="804">
        <v>12</v>
      </c>
      <c r="AA699" s="803">
        <v>12</v>
      </c>
      <c r="AB699" s="803">
        <v>12</v>
      </c>
      <c r="AC699" s="803"/>
      <c r="AD699" s="803"/>
      <c r="AE699" s="803"/>
      <c r="AF699" s="803"/>
      <c r="AG699" s="803"/>
      <c r="BB699" s="794"/>
      <c r="BC699" s="658"/>
      <c r="BD699" s="757"/>
      <c r="BE699" s="659"/>
    </row>
    <row r="700" spans="1:57" s="512" customFormat="1" ht="14.45" customHeight="1" outlineLevel="1" x14ac:dyDescent="0.25">
      <c r="A700" s="2462"/>
      <c r="B700" s="413"/>
      <c r="C700" s="385"/>
      <c r="D700" s="3787"/>
      <c r="E700" s="3785"/>
      <c r="F700" s="3631" t="str">
        <f t="shared" si="65"/>
        <v>CAC - SEER 21+ ROF: SF</v>
      </c>
      <c r="G700" s="3632"/>
      <c r="H700" s="3633"/>
      <c r="I700" s="2201"/>
      <c r="J700" s="2208">
        <v>18</v>
      </c>
      <c r="K700" s="2202"/>
      <c r="L700" s="2203"/>
      <c r="M700" s="385"/>
      <c r="N700" s="1746"/>
      <c r="O700" s="385"/>
      <c r="P700" s="413"/>
      <c r="Q700" s="413"/>
      <c r="R700" s="413"/>
      <c r="S700" s="413"/>
      <c r="T700" s="413"/>
      <c r="U700" s="413"/>
      <c r="V700" s="3590"/>
      <c r="W700" s="803"/>
      <c r="X700" s="803"/>
      <c r="Y700" s="803"/>
      <c r="Z700" s="804">
        <v>18</v>
      </c>
      <c r="AA700" s="803">
        <v>18</v>
      </c>
      <c r="AB700" s="803">
        <v>18</v>
      </c>
      <c r="AC700" s="803"/>
      <c r="AD700" s="803"/>
      <c r="AE700" s="803"/>
      <c r="AF700" s="803"/>
      <c r="AG700" s="803"/>
      <c r="BB700" s="794"/>
      <c r="BC700" s="658"/>
      <c r="BD700" s="757"/>
      <c r="BE700" s="659"/>
    </row>
    <row r="701" spans="1:57" s="512" customFormat="1" ht="14.45" customHeight="1" outlineLevel="1" x14ac:dyDescent="0.25">
      <c r="A701" s="2462"/>
      <c r="B701" s="413"/>
      <c r="C701" s="385"/>
      <c r="D701" s="3787"/>
      <c r="E701" s="3785"/>
      <c r="F701" s="3631" t="str">
        <f t="shared" si="65"/>
        <v>CAC - SEER 21+ ER1: MF</v>
      </c>
      <c r="G701" s="3632"/>
      <c r="H701" s="3633"/>
      <c r="I701" s="2201"/>
      <c r="J701" s="2208">
        <v>6</v>
      </c>
      <c r="K701" s="2202"/>
      <c r="L701" s="2203"/>
      <c r="M701" s="385"/>
      <c r="N701" s="1746"/>
      <c r="O701" s="385"/>
      <c r="P701" s="413"/>
      <c r="Q701" s="413"/>
      <c r="R701" s="413"/>
      <c r="S701" s="413"/>
      <c r="T701" s="413"/>
      <c r="U701" s="413"/>
      <c r="V701" s="3590"/>
      <c r="W701" s="803"/>
      <c r="X701" s="803"/>
      <c r="Y701" s="803"/>
      <c r="Z701" s="804">
        <v>6</v>
      </c>
      <c r="AA701" s="803">
        <v>6</v>
      </c>
      <c r="AB701" s="803">
        <v>6</v>
      </c>
      <c r="AC701" s="803"/>
      <c r="AD701" s="803"/>
      <c r="AE701" s="803"/>
      <c r="AF701" s="803"/>
      <c r="AG701" s="803"/>
      <c r="BB701" s="794"/>
      <c r="BC701" s="658"/>
      <c r="BD701" s="757"/>
      <c r="BE701" s="659"/>
    </row>
    <row r="702" spans="1:57" s="512" customFormat="1" ht="14.45" customHeight="1" outlineLevel="1" x14ac:dyDescent="0.25">
      <c r="A702" s="2462"/>
      <c r="B702" s="413"/>
      <c r="C702" s="385"/>
      <c r="D702" s="3787"/>
      <c r="E702" s="3785"/>
      <c r="F702" s="3631" t="str">
        <f t="shared" si="65"/>
        <v>CAC - SEER 21+ ER2: MF</v>
      </c>
      <c r="G702" s="3632"/>
      <c r="H702" s="3633"/>
      <c r="I702" s="2201"/>
      <c r="J702" s="2208">
        <v>12</v>
      </c>
      <c r="K702" s="2202"/>
      <c r="L702" s="2203"/>
      <c r="M702" s="385"/>
      <c r="N702" s="1746"/>
      <c r="O702" s="385"/>
      <c r="P702" s="413"/>
      <c r="Q702" s="413"/>
      <c r="R702" s="413"/>
      <c r="S702" s="413"/>
      <c r="T702" s="413"/>
      <c r="U702" s="413"/>
      <c r="V702" s="3590"/>
      <c r="W702" s="803"/>
      <c r="X702" s="803"/>
      <c r="Y702" s="803"/>
      <c r="Z702" s="804">
        <v>12</v>
      </c>
      <c r="AA702" s="803">
        <v>12</v>
      </c>
      <c r="AB702" s="803">
        <v>12</v>
      </c>
      <c r="AC702" s="803"/>
      <c r="AD702" s="803"/>
      <c r="AE702" s="803"/>
      <c r="AF702" s="803"/>
      <c r="AG702" s="803"/>
      <c r="BB702" s="794"/>
      <c r="BC702" s="658"/>
      <c r="BD702" s="757"/>
      <c r="BE702" s="659"/>
    </row>
    <row r="703" spans="1:57" s="512" customFormat="1" ht="14.45" customHeight="1" outlineLevel="1" x14ac:dyDescent="0.25">
      <c r="A703" s="2462"/>
      <c r="B703" s="413"/>
      <c r="C703" s="385"/>
      <c r="D703" s="3787"/>
      <c r="E703" s="3785"/>
      <c r="F703" s="3631" t="str">
        <f t="shared" si="65"/>
        <v>CAC - SEER 21+ ER1: MF_CompE</v>
      </c>
      <c r="G703" s="3632"/>
      <c r="H703" s="3633"/>
      <c r="I703" s="2204"/>
      <c r="J703" s="2208">
        <v>6</v>
      </c>
      <c r="K703" s="2205"/>
      <c r="L703" s="2206"/>
      <c r="M703" s="385"/>
      <c r="N703" s="1746"/>
      <c r="O703" s="385"/>
      <c r="P703" s="413"/>
      <c r="Q703" s="413"/>
      <c r="R703" s="413"/>
      <c r="S703" s="413"/>
      <c r="T703" s="413"/>
      <c r="U703" s="413"/>
      <c r="V703" s="3590"/>
      <c r="W703" s="805"/>
      <c r="X703" s="805"/>
      <c r="Y703" s="805"/>
      <c r="Z703" s="2222">
        <v>6</v>
      </c>
      <c r="AA703" s="805">
        <v>6</v>
      </c>
      <c r="AB703" s="805">
        <v>6</v>
      </c>
      <c r="AC703" s="805"/>
      <c r="AD703" s="805"/>
      <c r="AE703" s="805"/>
      <c r="AF703" s="805"/>
      <c r="AG703" s="805"/>
      <c r="BB703" s="794"/>
      <c r="BC703" s="658"/>
      <c r="BD703" s="757"/>
      <c r="BE703" s="659"/>
    </row>
    <row r="704" spans="1:57" s="512" customFormat="1" ht="14.45" customHeight="1" outlineLevel="1" x14ac:dyDescent="0.25">
      <c r="A704" s="2462"/>
      <c r="B704" s="413"/>
      <c r="C704" s="385"/>
      <c r="D704" s="3787"/>
      <c r="E704" s="3785"/>
      <c r="F704" s="3631" t="str">
        <f t="shared" si="65"/>
        <v>CAC - SEER 21+ ER2: MF_CompE</v>
      </c>
      <c r="G704" s="3632"/>
      <c r="H704" s="3633"/>
      <c r="I704" s="2204"/>
      <c r="J704" s="2208">
        <v>12</v>
      </c>
      <c r="K704" s="2205"/>
      <c r="L704" s="2206"/>
      <c r="M704" s="385"/>
      <c r="N704" s="1746"/>
      <c r="O704" s="385"/>
      <c r="P704" s="413"/>
      <c r="Q704" s="413"/>
      <c r="R704" s="413"/>
      <c r="S704" s="413"/>
      <c r="T704" s="413"/>
      <c r="U704" s="413"/>
      <c r="V704" s="3590"/>
      <c r="W704" s="805"/>
      <c r="X704" s="805"/>
      <c r="Y704" s="805"/>
      <c r="Z704" s="2222">
        <v>12</v>
      </c>
      <c r="AA704" s="805">
        <v>12</v>
      </c>
      <c r="AB704" s="805">
        <v>12</v>
      </c>
      <c r="AC704" s="805"/>
      <c r="AD704" s="805"/>
      <c r="AE704" s="805"/>
      <c r="AF704" s="805"/>
      <c r="AG704" s="805"/>
      <c r="BB704" s="794"/>
      <c r="BC704" s="658"/>
      <c r="BD704" s="757"/>
      <c r="BE704" s="659"/>
    </row>
    <row r="705" spans="1:57" s="512" customFormat="1" ht="14.45" customHeight="1" outlineLevel="1" x14ac:dyDescent="0.25">
      <c r="A705" s="2462"/>
      <c r="B705" s="413"/>
      <c r="C705" s="385"/>
      <c r="D705" s="3787"/>
      <c r="E705" s="3785"/>
      <c r="F705" s="3631" t="str">
        <f t="shared" si="65"/>
        <v>CAC - SEER 21+ ROF: MF</v>
      </c>
      <c r="G705" s="3632"/>
      <c r="H705" s="3633"/>
      <c r="I705" s="2201"/>
      <c r="J705" s="2208">
        <v>18</v>
      </c>
      <c r="K705" s="2202"/>
      <c r="L705" s="2203"/>
      <c r="M705" s="385"/>
      <c r="N705" s="1746"/>
      <c r="O705" s="385"/>
      <c r="P705" s="413"/>
      <c r="Q705" s="413"/>
      <c r="R705" s="413"/>
      <c r="S705" s="413"/>
      <c r="T705" s="413"/>
      <c r="U705" s="413"/>
      <c r="V705" s="3590"/>
      <c r="W705" s="805"/>
      <c r="X705" s="805"/>
      <c r="Y705" s="805"/>
      <c r="Z705" s="2222">
        <v>18</v>
      </c>
      <c r="AA705" s="805">
        <v>18</v>
      </c>
      <c r="AB705" s="805">
        <v>18</v>
      </c>
      <c r="AC705" s="805"/>
      <c r="AD705" s="805"/>
      <c r="AE705" s="805"/>
      <c r="AF705" s="805"/>
      <c r="AG705" s="805"/>
      <c r="BB705" s="794"/>
      <c r="BC705" s="658"/>
      <c r="BD705" s="757"/>
      <c r="BE705" s="659"/>
    </row>
    <row r="706" spans="1:57" s="512" customFormat="1" ht="14.45" customHeight="1" outlineLevel="1" thickBot="1" x14ac:dyDescent="0.3">
      <c r="A706" s="2462"/>
      <c r="B706" s="413"/>
      <c r="C706" s="385"/>
      <c r="D706" s="3788"/>
      <c r="E706" s="3786"/>
      <c r="F706" s="3631" t="str">
        <f t="shared" si="65"/>
        <v>CAC - SEER 21+ ROF: MF_CompE</v>
      </c>
      <c r="G706" s="3632"/>
      <c r="H706" s="3633"/>
      <c r="I706" s="2209"/>
      <c r="J706" s="2210">
        <v>18</v>
      </c>
      <c r="K706" s="2211"/>
      <c r="L706" s="2212"/>
      <c r="M706" s="385"/>
      <c r="N706" s="1746"/>
      <c r="O706" s="385"/>
      <c r="P706" s="413"/>
      <c r="Q706" s="413"/>
      <c r="R706" s="413"/>
      <c r="S706" s="413"/>
      <c r="T706" s="413"/>
      <c r="U706" s="413"/>
      <c r="V706" s="3591"/>
      <c r="W706" s="806"/>
      <c r="X706" s="806"/>
      <c r="Y706" s="806"/>
      <c r="Z706" s="2223">
        <v>18</v>
      </c>
      <c r="AA706" s="806">
        <v>18</v>
      </c>
      <c r="AB706" s="806">
        <v>18</v>
      </c>
      <c r="AC706" s="806"/>
      <c r="AD706" s="806"/>
      <c r="AE706" s="806"/>
      <c r="AF706" s="806"/>
      <c r="AG706" s="806"/>
      <c r="BB706" s="794"/>
      <c r="BC706" s="658"/>
      <c r="BD706" s="757"/>
      <c r="BE706" s="659"/>
    </row>
    <row r="707" spans="1:57" s="512" customFormat="1" ht="14.45" customHeight="1" outlineLevel="1" x14ac:dyDescent="0.25">
      <c r="A707" s="2462"/>
      <c r="B707" s="413"/>
      <c r="C707" s="385"/>
      <c r="D707" s="3638" t="str">
        <f>K117</f>
        <v>Inc. Cost</v>
      </c>
      <c r="E707" s="3588" t="str">
        <f>E100</f>
        <v>Incremental Cost ($)</v>
      </c>
      <c r="F707" s="3665" t="str">
        <f t="shared" ref="F707:F722" si="66">F635</f>
        <v>CAC - SEER 14 ER1: SF</v>
      </c>
      <c r="G707" s="3666"/>
      <c r="H707" s="3667"/>
      <c r="I707" s="2198"/>
      <c r="J707" s="2213">
        <f>(($R$215/3*K707)+$R$202)-(($Q$215/3*K707)/((1+$R$217)^($R$218-1)))*J562</f>
        <v>444.07830140084025</v>
      </c>
      <c r="K707" s="2196">
        <f t="shared" ref="K707:K738" si="67">K274*J562</f>
        <v>2.98</v>
      </c>
      <c r="L707" s="2200"/>
      <c r="M707" s="385"/>
      <c r="N707" s="1746"/>
      <c r="O707" s="385"/>
      <c r="P707" s="413"/>
      <c r="Q707" s="413"/>
      <c r="R707" s="413"/>
      <c r="S707" s="413"/>
      <c r="T707" s="413"/>
      <c r="U707" s="413"/>
      <c r="V707" s="3588" t="str">
        <f>D707</f>
        <v>Inc. Cost</v>
      </c>
      <c r="W707" s="2231">
        <v>637.14870909240062</v>
      </c>
      <c r="X707" s="2232">
        <f>$Q$202*(X$274/12000)*X$562</f>
        <v>1363.5290126904986</v>
      </c>
      <c r="Y707" s="2232">
        <v>578.51488884773289</v>
      </c>
      <c r="Z707" s="2233">
        <v>444.07830140084025</v>
      </c>
      <c r="AA707" s="2231">
        <v>444.07830140084025</v>
      </c>
      <c r="AB707" s="2231">
        <v>444.07830140084025</v>
      </c>
      <c r="AC707" s="2231"/>
      <c r="AD707" s="2231"/>
      <c r="AE707" s="2231"/>
      <c r="AF707" s="2231"/>
      <c r="AG707" s="2231"/>
      <c r="BB707" s="794"/>
      <c r="BC707" s="658"/>
      <c r="BD707" s="757"/>
      <c r="BE707" s="659"/>
    </row>
    <row r="708" spans="1:57" s="512" customFormat="1" ht="14.45" customHeight="1" outlineLevel="1" x14ac:dyDescent="0.25">
      <c r="A708" s="2462"/>
      <c r="B708" s="413"/>
      <c r="C708" s="385"/>
      <c r="D708" s="3676"/>
      <c r="E708" s="3589"/>
      <c r="F708" s="3668" t="str">
        <f t="shared" si="66"/>
        <v>CAC - SEER 14 ER2: SF</v>
      </c>
      <c r="G708" s="3669"/>
      <c r="H708" s="3670"/>
      <c r="I708" s="2201"/>
      <c r="J708" s="2214"/>
      <c r="K708" s="1351">
        <f t="shared" si="67"/>
        <v>2.98</v>
      </c>
      <c r="L708" s="2203"/>
      <c r="M708" s="385"/>
      <c r="N708" s="1746"/>
      <c r="O708" s="385"/>
      <c r="P708" s="413"/>
      <c r="Q708" s="413"/>
      <c r="R708" s="413"/>
      <c r="S708" s="413"/>
      <c r="T708" s="413"/>
      <c r="U708" s="413"/>
      <c r="V708" s="3589"/>
      <c r="W708" s="744"/>
      <c r="X708" s="2234"/>
      <c r="Y708" s="2235"/>
      <c r="Z708" s="2153"/>
      <c r="AA708" s="744"/>
      <c r="AB708" s="744"/>
      <c r="AC708" s="744"/>
      <c r="AD708" s="744"/>
      <c r="AE708" s="744"/>
      <c r="AF708" s="744"/>
      <c r="AG708" s="744"/>
      <c r="BB708" s="794"/>
      <c r="BC708" s="658"/>
      <c r="BD708" s="757"/>
      <c r="BE708" s="659"/>
    </row>
    <row r="709" spans="1:57" s="512" customFormat="1" ht="14.45" customHeight="1" outlineLevel="1" x14ac:dyDescent="0.25">
      <c r="A709" s="2462"/>
      <c r="B709" s="413"/>
      <c r="C709" s="385"/>
      <c r="D709" s="3676"/>
      <c r="E709" s="3589"/>
      <c r="F709" s="3668" t="str">
        <f t="shared" si="66"/>
        <v>CAC - SEER 14 ROF: SF</v>
      </c>
      <c r="G709" s="3669"/>
      <c r="H709" s="3670"/>
      <c r="I709" s="2201"/>
      <c r="J709" s="2215"/>
      <c r="K709" s="1351">
        <f t="shared" si="67"/>
        <v>2.97</v>
      </c>
      <c r="L709" s="2203"/>
      <c r="M709" s="385"/>
      <c r="N709" s="1746"/>
      <c r="O709" s="385"/>
      <c r="P709" s="413"/>
      <c r="Q709" s="413"/>
      <c r="R709" s="413"/>
      <c r="S709" s="413"/>
      <c r="T709" s="413"/>
      <c r="U709" s="413"/>
      <c r="V709" s="3589"/>
      <c r="W709" s="744"/>
      <c r="X709" s="809"/>
      <c r="Y709" s="810"/>
      <c r="Z709" s="2153"/>
      <c r="AA709" s="744"/>
      <c r="AB709" s="744"/>
      <c r="AC709" s="744"/>
      <c r="AD709" s="744"/>
      <c r="AE709" s="744"/>
      <c r="AF709" s="744"/>
      <c r="AG709" s="744"/>
      <c r="BB709" s="794"/>
      <c r="BC709" s="658"/>
      <c r="BD709" s="757"/>
      <c r="BE709" s="659"/>
    </row>
    <row r="710" spans="1:57" s="512" customFormat="1" ht="14.45" customHeight="1" outlineLevel="1" x14ac:dyDescent="0.25">
      <c r="A710" s="2462"/>
      <c r="B710" s="413"/>
      <c r="C710" s="385"/>
      <c r="D710" s="3676"/>
      <c r="E710" s="3589"/>
      <c r="F710" s="3631" t="str">
        <f t="shared" si="66"/>
        <v>CAC - SEER 14 ER1: MF</v>
      </c>
      <c r="G710" s="3632"/>
      <c r="H710" s="3633"/>
      <c r="I710" s="2201"/>
      <c r="J710" s="2215">
        <f>(($R$215/3*K710)+$R$202)-(($Q$215/3*K710)/((1+$R$217)^$R$218))*J565</f>
        <v>388.26502607230418</v>
      </c>
      <c r="K710" s="1351">
        <f t="shared" si="67"/>
        <v>2</v>
      </c>
      <c r="L710" s="2203"/>
      <c r="M710" s="385"/>
      <c r="N710" s="1746"/>
      <c r="O710" s="385"/>
      <c r="P710" s="413"/>
      <c r="Q710" s="413"/>
      <c r="R710" s="413"/>
      <c r="S710" s="413"/>
      <c r="T710" s="413"/>
      <c r="U710" s="413"/>
      <c r="V710" s="3589"/>
      <c r="W710" s="744">
        <v>637.14870909240062</v>
      </c>
      <c r="X710" s="810">
        <f>(X$277/12000)*$Q$202*X$565</f>
        <v>894.11738537081874</v>
      </c>
      <c r="Y710" s="810">
        <v>388.26502607230418</v>
      </c>
      <c r="Z710" s="2153">
        <v>388.26502607230418</v>
      </c>
      <c r="AA710" s="744">
        <v>388.26502607230418</v>
      </c>
      <c r="AB710" s="744">
        <v>388.26502607230418</v>
      </c>
      <c r="AC710" s="744"/>
      <c r="AD710" s="744"/>
      <c r="AE710" s="744"/>
      <c r="AF710" s="744"/>
      <c r="AG710" s="744"/>
      <c r="BB710" s="794"/>
      <c r="BC710" s="658"/>
      <c r="BD710" s="757"/>
      <c r="BE710" s="659"/>
    </row>
    <row r="711" spans="1:57" s="512" customFormat="1" ht="14.45" customHeight="1" outlineLevel="1" x14ac:dyDescent="0.25">
      <c r="A711" s="2462"/>
      <c r="B711" s="413"/>
      <c r="C711" s="385"/>
      <c r="D711" s="3676"/>
      <c r="E711" s="3589"/>
      <c r="F711" s="3631" t="str">
        <f t="shared" si="66"/>
        <v>CAC - SEER 14 ER2: MF</v>
      </c>
      <c r="G711" s="3632"/>
      <c r="H711" s="3633"/>
      <c r="I711" s="2201"/>
      <c r="J711" s="2215"/>
      <c r="K711" s="1351">
        <f t="shared" si="67"/>
        <v>2</v>
      </c>
      <c r="L711" s="2203"/>
      <c r="M711" s="385"/>
      <c r="N711" s="1746"/>
      <c r="O711" s="385"/>
      <c r="P711" s="413"/>
      <c r="Q711" s="413"/>
      <c r="R711" s="413"/>
      <c r="S711" s="413"/>
      <c r="T711" s="413"/>
      <c r="U711" s="413"/>
      <c r="V711" s="3589"/>
      <c r="W711" s="744"/>
      <c r="X711" s="809"/>
      <c r="Y711" s="810"/>
      <c r="Z711" s="2153"/>
      <c r="AA711" s="744"/>
      <c r="AB711" s="744"/>
      <c r="AC711" s="744"/>
      <c r="AD711" s="744"/>
      <c r="AE711" s="744"/>
      <c r="AF711" s="744"/>
      <c r="AG711" s="744"/>
      <c r="BB711" s="794"/>
      <c r="BC711" s="658"/>
      <c r="BD711" s="757"/>
      <c r="BE711" s="659"/>
    </row>
    <row r="712" spans="1:57" s="512" customFormat="1" ht="14.45" customHeight="1" outlineLevel="1" x14ac:dyDescent="0.25">
      <c r="A712" s="2462"/>
      <c r="B712" s="413"/>
      <c r="C712" s="385"/>
      <c r="D712" s="3676"/>
      <c r="E712" s="3589"/>
      <c r="F712" s="3631" t="str">
        <f t="shared" si="66"/>
        <v>CAC - SEER 14 ER1: MF_CompE</v>
      </c>
      <c r="G712" s="3632"/>
      <c r="H712" s="3633"/>
      <c r="I712" s="2201"/>
      <c r="J712" s="2215">
        <f>(($R$215/3*K712)+$R$202)-(($Q$215/3*K712)/((1+$R$217)^($R$218-1)))*J567</f>
        <v>298.03912845693981</v>
      </c>
      <c r="K712" s="1351">
        <f t="shared" si="67"/>
        <v>2</v>
      </c>
      <c r="L712" s="2203"/>
      <c r="M712" s="385"/>
      <c r="N712" s="1746"/>
      <c r="O712" s="385"/>
      <c r="P712" s="413"/>
      <c r="Q712" s="413"/>
      <c r="R712" s="413"/>
      <c r="S712" s="413"/>
      <c r="T712" s="413"/>
      <c r="U712" s="413"/>
      <c r="V712" s="3589"/>
      <c r="W712" s="744"/>
      <c r="X712" s="809"/>
      <c r="Y712" s="810">
        <v>388.26502607230418</v>
      </c>
      <c r="Z712" s="2153">
        <v>298.03912845693981</v>
      </c>
      <c r="AA712" s="744">
        <v>298.03912845693981</v>
      </c>
      <c r="AB712" s="744">
        <v>298.03912845693981</v>
      </c>
      <c r="AC712" s="744"/>
      <c r="AD712" s="744"/>
      <c r="AE712" s="744"/>
      <c r="AF712" s="744"/>
      <c r="AG712" s="744"/>
      <c r="BB712" s="794"/>
      <c r="BC712" s="658"/>
      <c r="BD712" s="757"/>
      <c r="BE712" s="659"/>
    </row>
    <row r="713" spans="1:57" s="512" customFormat="1" ht="14.45" customHeight="1" outlineLevel="1" x14ac:dyDescent="0.25">
      <c r="A713" s="2462"/>
      <c r="B713" s="413"/>
      <c r="C713" s="385"/>
      <c r="D713" s="3676"/>
      <c r="E713" s="3589"/>
      <c r="F713" s="3631" t="str">
        <f t="shared" si="66"/>
        <v>CAC - SEER 14 ER2: MF_CompE</v>
      </c>
      <c r="G713" s="3632"/>
      <c r="H713" s="3633"/>
      <c r="I713" s="2201"/>
      <c r="J713" s="2215"/>
      <c r="K713" s="1351">
        <f t="shared" si="67"/>
        <v>2</v>
      </c>
      <c r="L713" s="2203"/>
      <c r="M713" s="385"/>
      <c r="N713" s="1746"/>
      <c r="O713" s="385"/>
      <c r="P713" s="413"/>
      <c r="Q713" s="413"/>
      <c r="R713" s="413"/>
      <c r="S713" s="413"/>
      <c r="T713" s="413"/>
      <c r="U713" s="413"/>
      <c r="V713" s="3589"/>
      <c r="W713" s="744"/>
      <c r="X713" s="809"/>
      <c r="Y713" s="810"/>
      <c r="Z713" s="2153"/>
      <c r="AA713" s="744"/>
      <c r="AB713" s="744"/>
      <c r="AC713" s="744"/>
      <c r="AD713" s="744"/>
      <c r="AE713" s="744"/>
      <c r="AF713" s="744"/>
      <c r="AG713" s="744"/>
      <c r="BB713" s="794"/>
      <c r="BC713" s="658"/>
      <c r="BD713" s="757"/>
      <c r="BE713" s="659"/>
    </row>
    <row r="714" spans="1:57" s="512" customFormat="1" ht="14.25" customHeight="1" outlineLevel="1" x14ac:dyDescent="0.25">
      <c r="A714" s="2462"/>
      <c r="B714" s="413"/>
      <c r="C714" s="385"/>
      <c r="D714" s="3676"/>
      <c r="E714" s="3589"/>
      <c r="F714" s="3631" t="str">
        <f t="shared" si="66"/>
        <v>CAC - SEER 14 ROF: MF</v>
      </c>
      <c r="G714" s="3632"/>
      <c r="H714" s="3633"/>
      <c r="I714" s="2201"/>
      <c r="J714" s="2215">
        <f>$R$202*J569</f>
        <v>0</v>
      </c>
      <c r="K714" s="1351">
        <f t="shared" si="67"/>
        <v>2</v>
      </c>
      <c r="L714" s="2203"/>
      <c r="M714" s="385"/>
      <c r="N714" s="1746"/>
      <c r="O714" s="385"/>
      <c r="P714" s="413"/>
      <c r="Q714" s="413"/>
      <c r="R714" s="413"/>
      <c r="S714" s="413"/>
      <c r="T714" s="413"/>
      <c r="U714" s="413"/>
      <c r="V714" s="3589"/>
      <c r="W714" s="744"/>
      <c r="X714" s="809"/>
      <c r="Y714" s="810">
        <v>0</v>
      </c>
      <c r="Z714" s="2153">
        <v>0</v>
      </c>
      <c r="AA714" s="744">
        <v>0</v>
      </c>
      <c r="AB714" s="744">
        <v>0</v>
      </c>
      <c r="AC714" s="744"/>
      <c r="AD714" s="744"/>
      <c r="AE714" s="744"/>
      <c r="AF714" s="744"/>
      <c r="AG714" s="744"/>
      <c r="BB714" s="794"/>
      <c r="BC714" s="658"/>
      <c r="BD714" s="757"/>
      <c r="BE714" s="659"/>
    </row>
    <row r="715" spans="1:57" s="512" customFormat="1" ht="14.25" customHeight="1" outlineLevel="1" x14ac:dyDescent="0.25">
      <c r="A715" s="2462"/>
      <c r="B715" s="413"/>
      <c r="C715" s="385"/>
      <c r="D715" s="3676"/>
      <c r="E715" s="3589"/>
      <c r="F715" s="3631" t="str">
        <f t="shared" si="66"/>
        <v>CAC - SEER 14 ROF: MF_CompE</v>
      </c>
      <c r="G715" s="3632"/>
      <c r="H715" s="3633"/>
      <c r="I715" s="2201"/>
      <c r="J715" s="2215">
        <f>$R$202*J570</f>
        <v>0</v>
      </c>
      <c r="K715" s="1351">
        <f t="shared" si="67"/>
        <v>2</v>
      </c>
      <c r="L715" s="2203"/>
      <c r="M715" s="385"/>
      <c r="N715" s="1746"/>
      <c r="O715" s="385"/>
      <c r="P715" s="413"/>
      <c r="Q715" s="413"/>
      <c r="R715" s="413"/>
      <c r="S715" s="413"/>
      <c r="T715" s="413"/>
      <c r="U715" s="413"/>
      <c r="V715" s="3589"/>
      <c r="W715" s="744"/>
      <c r="X715" s="809"/>
      <c r="Y715" s="810">
        <v>0</v>
      </c>
      <c r="Z715" s="2153">
        <v>0</v>
      </c>
      <c r="AA715" s="744">
        <v>0</v>
      </c>
      <c r="AB715" s="744">
        <v>0</v>
      </c>
      <c r="AC715" s="744"/>
      <c r="AD715" s="744"/>
      <c r="AE715" s="744"/>
      <c r="AF715" s="744"/>
      <c r="AG715" s="744"/>
      <c r="BB715" s="794"/>
      <c r="BC715" s="658"/>
      <c r="BD715" s="757"/>
      <c r="BE715" s="659"/>
    </row>
    <row r="716" spans="1:57" s="512" customFormat="1" ht="14.45" customHeight="1" outlineLevel="1" x14ac:dyDescent="0.25">
      <c r="A716" s="2462"/>
      <c r="B716" s="413"/>
      <c r="C716" s="385"/>
      <c r="D716" s="3676"/>
      <c r="E716" s="3589"/>
      <c r="F716" s="3631" t="str">
        <f t="shared" si="66"/>
        <v>CAC - SEER 15 ER1: SF</v>
      </c>
      <c r="G716" s="3632"/>
      <c r="H716" s="3633"/>
      <c r="I716" s="2201"/>
      <c r="J716" s="2215">
        <f>(($R$215/3*K716)+$R$203)-(($Q$215/3*K716)/((1+$R$217)^($R$218-1)))*J571</f>
        <v>592.20372478594982</v>
      </c>
      <c r="K716" s="1351">
        <f t="shared" si="67"/>
        <v>3.2492627883650962</v>
      </c>
      <c r="L716" s="2203"/>
      <c r="M716" s="385"/>
      <c r="N716" s="1746"/>
      <c r="O716" s="385"/>
      <c r="P716" s="413"/>
      <c r="Q716" s="413"/>
      <c r="R716" s="413"/>
      <c r="S716" s="413"/>
      <c r="T716" s="413"/>
      <c r="U716" s="413"/>
      <c r="V716" s="3589"/>
      <c r="W716" s="744">
        <v>1057.263580001641</v>
      </c>
      <c r="X716" s="810">
        <f>$Q$203*(X$283/12000)*X$571</f>
        <v>1692.9290126904984</v>
      </c>
      <c r="Y716" s="810">
        <v>742.81331762821719</v>
      </c>
      <c r="Z716" s="2153">
        <v>595.29397502709662</v>
      </c>
      <c r="AA716" s="744">
        <v>595.29397502709662</v>
      </c>
      <c r="AB716" s="744">
        <v>595.29397502709662</v>
      </c>
      <c r="AC716" s="744"/>
      <c r="AD716" s="744"/>
      <c r="AE716" s="744"/>
      <c r="AF716" s="744"/>
      <c r="AG716" s="744"/>
      <c r="BB716" s="794"/>
      <c r="BC716" s="658"/>
      <c r="BD716" s="757"/>
      <c r="BE716" s="659"/>
    </row>
    <row r="717" spans="1:57" s="512" customFormat="1" ht="14.45" customHeight="1" outlineLevel="1" x14ac:dyDescent="0.25">
      <c r="A717" s="2462"/>
      <c r="B717" s="413"/>
      <c r="C717" s="385"/>
      <c r="D717" s="3676"/>
      <c r="E717" s="3589"/>
      <c r="F717" s="3631" t="str">
        <f t="shared" si="66"/>
        <v>CAC - SEER 15 ER2: SF</v>
      </c>
      <c r="G717" s="3632"/>
      <c r="H717" s="3633"/>
      <c r="I717" s="2201"/>
      <c r="J717" s="2215"/>
      <c r="K717" s="1351">
        <f t="shared" si="67"/>
        <v>3.2492627883650962</v>
      </c>
      <c r="L717" s="2203"/>
      <c r="M717" s="385"/>
      <c r="N717" s="1746"/>
      <c r="O717" s="385"/>
      <c r="P717" s="413"/>
      <c r="Q717" s="413"/>
      <c r="R717" s="413"/>
      <c r="S717" s="413"/>
      <c r="T717" s="413"/>
      <c r="U717" s="413"/>
      <c r="V717" s="3589"/>
      <c r="W717" s="744"/>
      <c r="X717" s="809"/>
      <c r="Y717" s="810"/>
      <c r="Z717" s="2153"/>
      <c r="AA717" s="744"/>
      <c r="AB717" s="744"/>
      <c r="AC717" s="744"/>
      <c r="AD717" s="744"/>
      <c r="AE717" s="744"/>
      <c r="AF717" s="744"/>
      <c r="AG717" s="744"/>
      <c r="BB717" s="794"/>
      <c r="BC717" s="658"/>
      <c r="BD717" s="757"/>
      <c r="BE717" s="659"/>
    </row>
    <row r="718" spans="1:57" s="512" customFormat="1" ht="14.45" customHeight="1" outlineLevel="1" x14ac:dyDescent="0.25">
      <c r="A718" s="2462"/>
      <c r="B718" s="413"/>
      <c r="C718" s="385"/>
      <c r="D718" s="3676"/>
      <c r="E718" s="3589"/>
      <c r="F718" s="3631" t="str">
        <f t="shared" si="66"/>
        <v>CAC - SEER 15 ROF: SF</v>
      </c>
      <c r="G718" s="3632"/>
      <c r="H718" s="3633"/>
      <c r="I718" s="2201"/>
      <c r="J718" s="2215">
        <f>$R$203*J573</f>
        <v>108</v>
      </c>
      <c r="K718" s="1351">
        <f t="shared" si="67"/>
        <v>3.3199369085173505</v>
      </c>
      <c r="L718" s="2203"/>
      <c r="M718" s="385"/>
      <c r="N718" s="1746"/>
      <c r="O718" s="385"/>
      <c r="P718" s="413"/>
      <c r="Q718" s="413"/>
      <c r="R718" s="413"/>
      <c r="S718" s="413"/>
      <c r="T718" s="413"/>
      <c r="U718" s="413"/>
      <c r="V718" s="3589"/>
      <c r="W718" s="744">
        <v>324</v>
      </c>
      <c r="X718" s="810">
        <f>(X$277/12000)*$R$203*X$573</f>
        <v>216</v>
      </c>
      <c r="Y718" s="810">
        <v>108</v>
      </c>
      <c r="Z718" s="2153">
        <v>108</v>
      </c>
      <c r="AA718" s="744">
        <v>108</v>
      </c>
      <c r="AB718" s="744">
        <v>108</v>
      </c>
      <c r="AC718" s="744"/>
      <c r="AD718" s="744"/>
      <c r="AE718" s="744"/>
      <c r="AF718" s="744"/>
      <c r="AG718" s="744"/>
      <c r="BB718" s="794"/>
      <c r="BC718" s="658"/>
      <c r="BD718" s="757"/>
      <c r="BE718" s="659"/>
    </row>
    <row r="719" spans="1:57" s="512" customFormat="1" ht="14.45" customHeight="1" outlineLevel="1" x14ac:dyDescent="0.25">
      <c r="A719" s="2462"/>
      <c r="B719" s="413"/>
      <c r="C719" s="385"/>
      <c r="D719" s="3676"/>
      <c r="E719" s="3589"/>
      <c r="F719" s="3631" t="str">
        <f t="shared" si="66"/>
        <v>CAC - SEER 15 ER1: MF</v>
      </c>
      <c r="G719" s="3632"/>
      <c r="H719" s="3633"/>
      <c r="I719" s="2201"/>
      <c r="J719" s="2215">
        <f>(($R$215/3*K719)+$R$203)-(($Q$215/3*K719)/((1+$R$217)^($R$218-1)))*J574</f>
        <v>454.55712611272088</v>
      </c>
      <c r="K719" s="1351">
        <f t="shared" si="67"/>
        <v>2.3255813953488373</v>
      </c>
      <c r="L719" s="2203"/>
      <c r="M719" s="385"/>
      <c r="N719" s="1746"/>
      <c r="O719" s="385"/>
      <c r="P719" s="413"/>
      <c r="Q719" s="413"/>
      <c r="R719" s="413"/>
      <c r="S719" s="413"/>
      <c r="T719" s="413"/>
      <c r="U719" s="413"/>
      <c r="V719" s="3589"/>
      <c r="W719" s="744">
        <v>1057.263580001641</v>
      </c>
      <c r="X719" s="810">
        <f>(X$286/12000)*$Q$203*X$574</f>
        <v>1120.7791377594842</v>
      </c>
      <c r="Y719" s="810">
        <v>496.26502607230418</v>
      </c>
      <c r="Z719" s="2153">
        <v>406.03912845693981</v>
      </c>
      <c r="AA719" s="744">
        <v>406.03912845693981</v>
      </c>
      <c r="AB719" s="744">
        <v>406.03912845693981</v>
      </c>
      <c r="AC719" s="744"/>
      <c r="AD719" s="744"/>
      <c r="AE719" s="744"/>
      <c r="AF719" s="744"/>
      <c r="AG719" s="744"/>
      <c r="BB719" s="794"/>
      <c r="BC719" s="658"/>
      <c r="BD719" s="757"/>
      <c r="BE719" s="659"/>
    </row>
    <row r="720" spans="1:57" s="512" customFormat="1" ht="14.45" customHeight="1" outlineLevel="1" x14ac:dyDescent="0.25">
      <c r="A720" s="2462"/>
      <c r="B720" s="413"/>
      <c r="C720" s="385"/>
      <c r="D720" s="3676"/>
      <c r="E720" s="3589"/>
      <c r="F720" s="3631" t="str">
        <f t="shared" si="66"/>
        <v>CAC - SEER 15 ER2: MF</v>
      </c>
      <c r="G720" s="3632"/>
      <c r="H720" s="3633"/>
      <c r="I720" s="2201"/>
      <c r="J720" s="2215"/>
      <c r="K720" s="1351">
        <f t="shared" si="67"/>
        <v>2.3255813953488373</v>
      </c>
      <c r="L720" s="2203"/>
      <c r="M720" s="385"/>
      <c r="N720" s="1746"/>
      <c r="O720" s="385"/>
      <c r="P720" s="413"/>
      <c r="Q720" s="413"/>
      <c r="R720" s="413"/>
      <c r="S720" s="413"/>
      <c r="T720" s="413"/>
      <c r="U720" s="413"/>
      <c r="V720" s="3589"/>
      <c r="W720" s="744"/>
      <c r="X720" s="809"/>
      <c r="Y720" s="810"/>
      <c r="Z720" s="2153"/>
      <c r="AA720" s="744"/>
      <c r="AB720" s="744"/>
      <c r="AC720" s="744"/>
      <c r="AD720" s="744"/>
      <c r="AE720" s="744"/>
      <c r="AF720" s="744"/>
      <c r="AG720" s="744"/>
      <c r="BB720" s="794"/>
      <c r="BC720" s="658"/>
      <c r="BD720" s="757"/>
      <c r="BE720" s="659"/>
    </row>
    <row r="721" spans="1:57" s="512" customFormat="1" ht="14.45" customHeight="1" outlineLevel="1" x14ac:dyDescent="0.25">
      <c r="A721" s="2462"/>
      <c r="B721" s="413"/>
      <c r="C721" s="385"/>
      <c r="D721" s="3676"/>
      <c r="E721" s="3589"/>
      <c r="F721" s="3631" t="str">
        <f t="shared" si="66"/>
        <v>CAC - SEER 15 ER1: MF_CompE</v>
      </c>
      <c r="G721" s="3632"/>
      <c r="H721" s="3633"/>
      <c r="I721" s="2201"/>
      <c r="J721" s="2215">
        <f>(($R$215/3*K721)+$R$203)-(($Q$215/3*K721)/((1+$R$217)^($R$218-1)))*J576</f>
        <v>406.03912845693981</v>
      </c>
      <c r="K721" s="1351">
        <f t="shared" si="67"/>
        <v>2</v>
      </c>
      <c r="L721" s="2203"/>
      <c r="M721" s="385"/>
      <c r="N721" s="1746"/>
      <c r="O721" s="385"/>
      <c r="P721" s="413"/>
      <c r="Q721" s="413"/>
      <c r="R721" s="413"/>
      <c r="S721" s="413"/>
      <c r="T721" s="413"/>
      <c r="U721" s="413"/>
      <c r="V721" s="3589"/>
      <c r="W721" s="744"/>
      <c r="X721" s="809"/>
      <c r="Y721" s="810">
        <v>496.26502607230418</v>
      </c>
      <c r="Z721" s="2153">
        <v>406.03912845693981</v>
      </c>
      <c r="AA721" s="744">
        <v>406.03912845693981</v>
      </c>
      <c r="AB721" s="744">
        <v>406.03912845693981</v>
      </c>
      <c r="AC721" s="744"/>
      <c r="AD721" s="744"/>
      <c r="AE721" s="744"/>
      <c r="AF721" s="744"/>
      <c r="AG721" s="744"/>
      <c r="BB721" s="794"/>
      <c r="BC721" s="658"/>
      <c r="BD721" s="757"/>
      <c r="BE721" s="659"/>
    </row>
    <row r="722" spans="1:57" s="512" customFormat="1" ht="14.45" customHeight="1" outlineLevel="1" x14ac:dyDescent="0.25">
      <c r="A722" s="2462"/>
      <c r="B722" s="413"/>
      <c r="C722" s="385"/>
      <c r="D722" s="3676"/>
      <c r="E722" s="3589"/>
      <c r="F722" s="3631" t="str">
        <f t="shared" si="66"/>
        <v>CAC - SEER 15 ER2: MF_CompE</v>
      </c>
      <c r="G722" s="3632"/>
      <c r="H722" s="3633"/>
      <c r="I722" s="2201"/>
      <c r="J722" s="2215"/>
      <c r="K722" s="1351">
        <f t="shared" si="67"/>
        <v>2</v>
      </c>
      <c r="L722" s="2203"/>
      <c r="M722" s="385"/>
      <c r="N722" s="1746"/>
      <c r="O722" s="385"/>
      <c r="P722" s="413"/>
      <c r="Q722" s="413"/>
      <c r="R722" s="413"/>
      <c r="S722" s="413"/>
      <c r="T722" s="413"/>
      <c r="U722" s="413"/>
      <c r="V722" s="3589"/>
      <c r="W722" s="744"/>
      <c r="X722" s="809"/>
      <c r="Y722" s="810"/>
      <c r="Z722" s="2153"/>
      <c r="AA722" s="744"/>
      <c r="AB722" s="744"/>
      <c r="AC722" s="744"/>
      <c r="AD722" s="744"/>
      <c r="AE722" s="744"/>
      <c r="AF722" s="744"/>
      <c r="AG722" s="744"/>
      <c r="BB722" s="794"/>
      <c r="BC722" s="658"/>
      <c r="BD722" s="757"/>
      <c r="BE722" s="659"/>
    </row>
    <row r="723" spans="1:57" s="512" customFormat="1" ht="14.25" customHeight="1" outlineLevel="1" x14ac:dyDescent="0.25">
      <c r="A723" s="2462"/>
      <c r="B723" s="413"/>
      <c r="C723" s="385"/>
      <c r="D723" s="3676"/>
      <c r="E723" s="3589"/>
      <c r="F723" s="3631" t="str">
        <f t="shared" ref="F723:F778" si="68">F651</f>
        <v>CAC - SEER 15 ROF: MF</v>
      </c>
      <c r="G723" s="3632"/>
      <c r="H723" s="3633"/>
      <c r="I723" s="2201"/>
      <c r="J723" s="2215">
        <f>$R$203*J578</f>
        <v>108</v>
      </c>
      <c r="K723" s="1351">
        <f t="shared" si="67"/>
        <v>2.0833333333333335</v>
      </c>
      <c r="L723" s="2203"/>
      <c r="M723" s="385"/>
      <c r="N723" s="1746"/>
      <c r="O723" s="385"/>
      <c r="P723" s="413"/>
      <c r="Q723" s="413"/>
      <c r="R723" s="413"/>
      <c r="S723" s="413"/>
      <c r="T723" s="413"/>
      <c r="U723" s="413"/>
      <c r="V723" s="3589"/>
      <c r="W723" s="744">
        <v>324</v>
      </c>
      <c r="X723" s="810">
        <f>(X$290/12000)*$R$203*X$578</f>
        <v>218.0745</v>
      </c>
      <c r="Y723" s="810">
        <v>108</v>
      </c>
      <c r="Z723" s="2153">
        <v>108</v>
      </c>
      <c r="AA723" s="744">
        <v>108</v>
      </c>
      <c r="AB723" s="744">
        <v>108</v>
      </c>
      <c r="AC723" s="744"/>
      <c r="AD723" s="744"/>
      <c r="AE723" s="744"/>
      <c r="AF723" s="744"/>
      <c r="AG723" s="744"/>
      <c r="BB723" s="794"/>
      <c r="BC723" s="658"/>
      <c r="BD723" s="757"/>
      <c r="BE723" s="659"/>
    </row>
    <row r="724" spans="1:57" s="512" customFormat="1" ht="14.25" customHeight="1" outlineLevel="1" x14ac:dyDescent="0.25">
      <c r="A724" s="2462"/>
      <c r="B724" s="413"/>
      <c r="C724" s="385"/>
      <c r="D724" s="3676"/>
      <c r="E724" s="3589"/>
      <c r="F724" s="3631" t="str">
        <f t="shared" si="68"/>
        <v>CAC - SEER 15 ROF: MF_CompE</v>
      </c>
      <c r="G724" s="3632"/>
      <c r="H724" s="3633"/>
      <c r="I724" s="2201"/>
      <c r="J724" s="2215">
        <f>$R$203*J579</f>
        <v>108</v>
      </c>
      <c r="K724" s="1351">
        <f t="shared" si="67"/>
        <v>2</v>
      </c>
      <c r="L724" s="2203"/>
      <c r="M724" s="385"/>
      <c r="N724" s="1746"/>
      <c r="O724" s="385"/>
      <c r="P724" s="413"/>
      <c r="Q724" s="413"/>
      <c r="R724" s="413"/>
      <c r="S724" s="413"/>
      <c r="T724" s="413"/>
      <c r="U724" s="413"/>
      <c r="V724" s="3589"/>
      <c r="W724" s="744"/>
      <c r="X724" s="810"/>
      <c r="Y724" s="810">
        <v>108</v>
      </c>
      <c r="Z724" s="2153">
        <v>108</v>
      </c>
      <c r="AA724" s="744">
        <v>108</v>
      </c>
      <c r="AB724" s="744">
        <v>108</v>
      </c>
      <c r="AC724" s="744"/>
      <c r="AD724" s="744"/>
      <c r="AE724" s="744"/>
      <c r="AF724" s="744"/>
      <c r="AG724" s="744"/>
      <c r="BB724" s="794"/>
      <c r="BC724" s="658"/>
      <c r="BD724" s="757"/>
      <c r="BE724" s="659"/>
    </row>
    <row r="725" spans="1:57" s="512" customFormat="1" ht="14.45" customHeight="1" outlineLevel="1" x14ac:dyDescent="0.25">
      <c r="A725" s="2462"/>
      <c r="B725" s="413"/>
      <c r="C725" s="385"/>
      <c r="D725" s="3676"/>
      <c r="E725" s="3589"/>
      <c r="F725" s="3631" t="str">
        <f t="shared" si="68"/>
        <v>CAC - SEER 16 ER1: SF</v>
      </c>
      <c r="G725" s="3632"/>
      <c r="H725" s="3633"/>
      <c r="I725" s="2201"/>
      <c r="J725" s="2215">
        <f>(($R$215/3*K725)+$R$204)-(($Q$215/3*K725)/((1+$R$217)^($R$218-1)))*J580</f>
        <v>664.7666390953168</v>
      </c>
      <c r="K725" s="1351">
        <f t="shared" si="67"/>
        <v>2.9779085812850363</v>
      </c>
      <c r="L725" s="2203"/>
      <c r="M725" s="385"/>
      <c r="N725" s="1746"/>
      <c r="O725" s="385"/>
      <c r="P725" s="413"/>
      <c r="Q725" s="413"/>
      <c r="R725" s="413"/>
      <c r="S725" s="413"/>
      <c r="T725" s="413"/>
      <c r="U725" s="413"/>
      <c r="V725" s="3589"/>
      <c r="W725" s="744">
        <v>1343.486999395481</v>
      </c>
      <c r="X725" s="810">
        <f>$Q$204*(X$292/12000)*X$580</f>
        <v>2037.5790126904985</v>
      </c>
      <c r="Y725" s="810">
        <v>815.0454898906255</v>
      </c>
      <c r="Z725" s="2153">
        <v>676.9998665391181</v>
      </c>
      <c r="AA725" s="744">
        <v>676.9998665391181</v>
      </c>
      <c r="AB725" s="744">
        <v>676.9998665391181</v>
      </c>
      <c r="AC725" s="744"/>
      <c r="AD725" s="744"/>
      <c r="AE725" s="744"/>
      <c r="AF725" s="744"/>
      <c r="AG725" s="744"/>
      <c r="BB725" s="794"/>
      <c r="BC725" s="658"/>
      <c r="BD725" s="757"/>
      <c r="BE725" s="659"/>
    </row>
    <row r="726" spans="1:57" s="512" customFormat="1" ht="14.45" customHeight="1" outlineLevel="1" x14ac:dyDescent="0.25">
      <c r="A726" s="2462"/>
      <c r="B726" s="413"/>
      <c r="C726" s="385"/>
      <c r="D726" s="3676"/>
      <c r="E726" s="3589"/>
      <c r="F726" s="3631" t="str">
        <f t="shared" si="68"/>
        <v>CAC - SEER 16 ER2: SF</v>
      </c>
      <c r="G726" s="3632"/>
      <c r="H726" s="3633"/>
      <c r="I726" s="2201"/>
      <c r="J726" s="2215"/>
      <c r="K726" s="1351">
        <f t="shared" si="67"/>
        <v>2.9779085812850363</v>
      </c>
      <c r="L726" s="2203"/>
      <c r="M726" s="385"/>
      <c r="N726" s="1746"/>
      <c r="O726" s="385"/>
      <c r="P726" s="413"/>
      <c r="Q726" s="413"/>
      <c r="R726" s="413"/>
      <c r="S726" s="413"/>
      <c r="T726" s="413"/>
      <c r="U726" s="413"/>
      <c r="V726" s="3589"/>
      <c r="W726" s="744"/>
      <c r="X726" s="809"/>
      <c r="Y726" s="810"/>
      <c r="Z726" s="2153"/>
      <c r="AA726" s="744"/>
      <c r="AB726" s="744"/>
      <c r="AC726" s="744"/>
      <c r="AD726" s="744"/>
      <c r="AE726" s="744"/>
      <c r="AF726" s="744"/>
      <c r="AG726" s="744"/>
      <c r="BB726" s="794"/>
      <c r="BC726" s="658"/>
      <c r="BD726" s="757"/>
      <c r="BE726" s="659"/>
    </row>
    <row r="727" spans="1:57" s="512" customFormat="1" ht="14.45" customHeight="1" outlineLevel="1" x14ac:dyDescent="0.25">
      <c r="A727" s="2462"/>
      <c r="B727" s="413"/>
      <c r="C727" s="385"/>
      <c r="D727" s="3676"/>
      <c r="E727" s="3589"/>
      <c r="F727" s="3631" t="str">
        <f t="shared" si="68"/>
        <v>CAC - SEER 16 ROF: SF</v>
      </c>
      <c r="G727" s="3632"/>
      <c r="H727" s="3633"/>
      <c r="I727" s="2201"/>
      <c r="J727" s="2215">
        <f>$R$204*J582</f>
        <v>221</v>
      </c>
      <c r="K727" s="1351">
        <f t="shared" si="67"/>
        <v>3.0162082514734774</v>
      </c>
      <c r="L727" s="2203"/>
      <c r="M727" s="385"/>
      <c r="N727" s="1746"/>
      <c r="O727" s="385"/>
      <c r="P727" s="413"/>
      <c r="Q727" s="413"/>
      <c r="R727" s="413"/>
      <c r="S727" s="413"/>
      <c r="T727" s="413"/>
      <c r="U727" s="413"/>
      <c r="V727" s="3589"/>
      <c r="W727" s="508">
        <v>640.9</v>
      </c>
      <c r="X727" s="810">
        <f>(X$294/12000)*$R$204*X$582</f>
        <v>674.05</v>
      </c>
      <c r="Y727" s="810">
        <v>221</v>
      </c>
      <c r="Z727" s="763">
        <v>221</v>
      </c>
      <c r="AA727" s="508">
        <v>221</v>
      </c>
      <c r="AB727" s="508">
        <v>221</v>
      </c>
      <c r="AC727" s="508"/>
      <c r="AD727" s="508"/>
      <c r="AE727" s="508"/>
      <c r="AF727" s="508"/>
      <c r="AG727" s="508"/>
      <c r="BB727" s="794"/>
      <c r="BC727" s="658"/>
      <c r="BD727" s="757"/>
      <c r="BE727" s="659"/>
    </row>
    <row r="728" spans="1:57" s="512" customFormat="1" ht="14.45" customHeight="1" outlineLevel="1" x14ac:dyDescent="0.25">
      <c r="A728" s="2462"/>
      <c r="B728" s="413"/>
      <c r="C728" s="385"/>
      <c r="D728" s="3676"/>
      <c r="E728" s="3589"/>
      <c r="F728" s="3631" t="str">
        <f t="shared" si="68"/>
        <v>CAC - SEER 16 ER1: MF</v>
      </c>
      <c r="G728" s="3632"/>
      <c r="H728" s="3633"/>
      <c r="I728" s="2201"/>
      <c r="J728" s="2215">
        <f>(($R$215/3*K728)+$R$204)-(($Q$215/3*K728)/((1+$R$217)^($R$218-1)))*J583</f>
        <v>604.19316515892251</v>
      </c>
      <c r="K728" s="1351">
        <f t="shared" si="67"/>
        <v>2.5714285714285716</v>
      </c>
      <c r="L728" s="2203"/>
      <c r="M728" s="385"/>
      <c r="N728" s="1746"/>
      <c r="O728" s="385"/>
      <c r="P728" s="413"/>
      <c r="Q728" s="413"/>
      <c r="R728" s="413"/>
      <c r="S728" s="413"/>
      <c r="T728" s="413"/>
      <c r="U728" s="413"/>
      <c r="V728" s="3589"/>
      <c r="W728" s="744">
        <v>1343.486999395481</v>
      </c>
      <c r="X728" s="810">
        <f>(X$295/12000)*$Q$204*X$583</f>
        <v>1361.7819734814832</v>
      </c>
      <c r="Y728" s="810">
        <v>609.26502607230441</v>
      </c>
      <c r="Z728" s="2153">
        <v>519.03912845694003</v>
      </c>
      <c r="AA728" s="744">
        <v>519.03912845694003</v>
      </c>
      <c r="AB728" s="744">
        <v>519.03912845694003</v>
      </c>
      <c r="AC728" s="744"/>
      <c r="AD728" s="744"/>
      <c r="AE728" s="744"/>
      <c r="AF728" s="744"/>
      <c r="AG728" s="744"/>
      <c r="BB728" s="794"/>
      <c r="BC728" s="658"/>
      <c r="BD728" s="757"/>
      <c r="BE728" s="659"/>
    </row>
    <row r="729" spans="1:57" s="512" customFormat="1" ht="14.45" customHeight="1" outlineLevel="1" x14ac:dyDescent="0.25">
      <c r="A729" s="2462"/>
      <c r="B729" s="413"/>
      <c r="C729" s="385"/>
      <c r="D729" s="3676"/>
      <c r="E729" s="3589"/>
      <c r="F729" s="3631" t="str">
        <f t="shared" si="68"/>
        <v>CAC - SEER 16 ER2: MF</v>
      </c>
      <c r="G729" s="3632"/>
      <c r="H729" s="3633"/>
      <c r="I729" s="2201"/>
      <c r="J729" s="2215"/>
      <c r="K729" s="1351">
        <f t="shared" si="67"/>
        <v>2.5714285714285716</v>
      </c>
      <c r="L729" s="2203"/>
      <c r="M729" s="385"/>
      <c r="N729" s="1746"/>
      <c r="O729" s="385"/>
      <c r="P729" s="413"/>
      <c r="Q729" s="413"/>
      <c r="R729" s="413"/>
      <c r="S729" s="413"/>
      <c r="T729" s="413"/>
      <c r="U729" s="413"/>
      <c r="V729" s="3589"/>
      <c r="W729" s="744"/>
      <c r="X729" s="809"/>
      <c r="Y729" s="810"/>
      <c r="Z729" s="2153"/>
      <c r="AA729" s="744"/>
      <c r="AB729" s="744"/>
      <c r="AC729" s="744"/>
      <c r="AD729" s="744"/>
      <c r="AE729" s="744"/>
      <c r="AF729" s="744"/>
      <c r="AG729" s="744"/>
      <c r="BB729" s="794"/>
      <c r="BC729" s="658"/>
      <c r="BD729" s="757"/>
      <c r="BE729" s="659"/>
    </row>
    <row r="730" spans="1:57" s="512" customFormat="1" ht="14.45" customHeight="1" outlineLevel="1" x14ac:dyDescent="0.25">
      <c r="A730" s="2462"/>
      <c r="B730" s="413"/>
      <c r="C730" s="385"/>
      <c r="D730" s="3676"/>
      <c r="E730" s="3589"/>
      <c r="F730" s="3631" t="str">
        <f t="shared" si="68"/>
        <v>CAC - SEER 16 ER1: MF_CompE</v>
      </c>
      <c r="G730" s="3632"/>
      <c r="H730" s="3633"/>
      <c r="I730" s="2201"/>
      <c r="J730" s="2215">
        <f>(($R$215/3*K730)+$R$204)-(($Q$215/3*K730)/((1+$R$217)^($R$218-1)))*J585</f>
        <v>519.03912845694003</v>
      </c>
      <c r="K730" s="1351">
        <f t="shared" si="67"/>
        <v>2</v>
      </c>
      <c r="L730" s="2203"/>
      <c r="M730" s="385"/>
      <c r="N730" s="1746"/>
      <c r="O730" s="385"/>
      <c r="P730" s="413"/>
      <c r="Q730" s="413"/>
      <c r="R730" s="413"/>
      <c r="S730" s="413"/>
      <c r="T730" s="413"/>
      <c r="U730" s="413"/>
      <c r="V730" s="3589"/>
      <c r="W730" s="744"/>
      <c r="X730" s="809"/>
      <c r="Y730" s="810">
        <v>609.26502607230441</v>
      </c>
      <c r="Z730" s="2153">
        <v>519.03912845694003</v>
      </c>
      <c r="AA730" s="744">
        <v>519.03912845694003</v>
      </c>
      <c r="AB730" s="744">
        <v>519.03912845694003</v>
      </c>
      <c r="AC730" s="744"/>
      <c r="AD730" s="744"/>
      <c r="AE730" s="744"/>
      <c r="AF730" s="744"/>
      <c r="AG730" s="744"/>
      <c r="BB730" s="794"/>
      <c r="BC730" s="658"/>
      <c r="BD730" s="757"/>
      <c r="BE730" s="659"/>
    </row>
    <row r="731" spans="1:57" s="512" customFormat="1" ht="14.45" customHeight="1" outlineLevel="1" x14ac:dyDescent="0.25">
      <c r="A731" s="2462"/>
      <c r="B731" s="413"/>
      <c r="C731" s="385"/>
      <c r="D731" s="3676"/>
      <c r="E731" s="3589"/>
      <c r="F731" s="3631" t="str">
        <f t="shared" si="68"/>
        <v>CAC - SEER 16 ER2: MF_CompE</v>
      </c>
      <c r="G731" s="3632"/>
      <c r="H731" s="3633"/>
      <c r="I731" s="2201"/>
      <c r="J731" s="2215"/>
      <c r="K731" s="1351">
        <f t="shared" si="67"/>
        <v>2</v>
      </c>
      <c r="L731" s="2203"/>
      <c r="M731" s="385"/>
      <c r="N731" s="1746"/>
      <c r="O731" s="385"/>
      <c r="P731" s="413"/>
      <c r="Q731" s="413"/>
      <c r="R731" s="413"/>
      <c r="S731" s="413"/>
      <c r="T731" s="413"/>
      <c r="U731" s="413"/>
      <c r="V731" s="3589"/>
      <c r="W731" s="744"/>
      <c r="X731" s="809"/>
      <c r="Y731" s="810"/>
      <c r="Z731" s="2153"/>
      <c r="AA731" s="744"/>
      <c r="AB731" s="744"/>
      <c r="AC731" s="744"/>
      <c r="AD731" s="744"/>
      <c r="AE731" s="744"/>
      <c r="AF731" s="744"/>
      <c r="AG731" s="744"/>
      <c r="BB731" s="794"/>
      <c r="BC731" s="658"/>
      <c r="BD731" s="757"/>
      <c r="BE731" s="659"/>
    </row>
    <row r="732" spans="1:57" s="512" customFormat="1" ht="14.45" customHeight="1" outlineLevel="1" x14ac:dyDescent="0.25">
      <c r="A732" s="2462"/>
      <c r="B732" s="413"/>
      <c r="C732" s="385"/>
      <c r="D732" s="3676"/>
      <c r="E732" s="3589"/>
      <c r="F732" s="3631" t="str">
        <f t="shared" si="68"/>
        <v>CAC - SEER 16 ROF: MF</v>
      </c>
      <c r="G732" s="3632"/>
      <c r="H732" s="3633"/>
      <c r="I732" s="2201"/>
      <c r="J732" s="2215">
        <f>$R$204*J587</f>
        <v>221</v>
      </c>
      <c r="K732" s="1351">
        <f t="shared" si="67"/>
        <v>2.7142857142857144</v>
      </c>
      <c r="L732" s="2203"/>
      <c r="M732" s="385"/>
      <c r="N732" s="1746"/>
      <c r="O732" s="385"/>
      <c r="P732" s="413"/>
      <c r="Q732" s="413"/>
      <c r="R732" s="413"/>
      <c r="S732" s="413"/>
      <c r="T732" s="413"/>
      <c r="U732" s="413"/>
      <c r="V732" s="3589"/>
      <c r="W732" s="508">
        <v>640.9</v>
      </c>
      <c r="X732" s="810">
        <f>(X$299/12000)*$R$204*X$587</f>
        <v>450.4900833333333</v>
      </c>
      <c r="Y732" s="810">
        <v>221</v>
      </c>
      <c r="Z732" s="763">
        <v>221</v>
      </c>
      <c r="AA732" s="508">
        <v>221</v>
      </c>
      <c r="AB732" s="508">
        <v>221</v>
      </c>
      <c r="AC732" s="508"/>
      <c r="AD732" s="508"/>
      <c r="AE732" s="508"/>
      <c r="AF732" s="508"/>
      <c r="AG732" s="508"/>
      <c r="BB732" s="794"/>
      <c r="BC732" s="658"/>
      <c r="BD732" s="757"/>
      <c r="BE732" s="659"/>
    </row>
    <row r="733" spans="1:57" s="512" customFormat="1" ht="14.45" customHeight="1" outlineLevel="1" x14ac:dyDescent="0.25">
      <c r="A733" s="2462"/>
      <c r="B733" s="413"/>
      <c r="C733" s="385"/>
      <c r="D733" s="3676"/>
      <c r="E733" s="3589"/>
      <c r="F733" s="3631" t="str">
        <f t="shared" si="68"/>
        <v>CAC - SEER 16 ROF: MF_CompE</v>
      </c>
      <c r="G733" s="3632"/>
      <c r="H733" s="3633"/>
      <c r="I733" s="2201"/>
      <c r="J733" s="2215">
        <f>$R$204*J588</f>
        <v>221</v>
      </c>
      <c r="K733" s="1351">
        <f t="shared" si="67"/>
        <v>2</v>
      </c>
      <c r="L733" s="2203"/>
      <c r="M733" s="385"/>
      <c r="N733" s="1746"/>
      <c r="O733" s="385"/>
      <c r="P733" s="413"/>
      <c r="Q733" s="413"/>
      <c r="R733" s="413"/>
      <c r="S733" s="413"/>
      <c r="T733" s="413"/>
      <c r="U733" s="413"/>
      <c r="V733" s="3589"/>
      <c r="W733" s="508"/>
      <c r="X733" s="810"/>
      <c r="Y733" s="810">
        <v>221</v>
      </c>
      <c r="Z733" s="763">
        <v>221</v>
      </c>
      <c r="AA733" s="508">
        <v>221</v>
      </c>
      <c r="AB733" s="508">
        <v>221</v>
      </c>
      <c r="AC733" s="508"/>
      <c r="AD733" s="508"/>
      <c r="AE733" s="508"/>
      <c r="AF733" s="508"/>
      <c r="AG733" s="508"/>
      <c r="BB733" s="794"/>
      <c r="BC733" s="658"/>
      <c r="BD733" s="757"/>
      <c r="BE733" s="659"/>
    </row>
    <row r="734" spans="1:57" s="512" customFormat="1" ht="14.45" customHeight="1" outlineLevel="1" x14ac:dyDescent="0.25">
      <c r="A734" s="2462"/>
      <c r="B734" s="413"/>
      <c r="C734" s="385"/>
      <c r="D734" s="3676"/>
      <c r="E734" s="3589"/>
      <c r="F734" s="3631" t="str">
        <f t="shared" si="68"/>
        <v>CAC - SEER 17 ER1: SF</v>
      </c>
      <c r="G734" s="3632"/>
      <c r="H734" s="3633"/>
      <c r="I734" s="2201"/>
      <c r="J734" s="2215">
        <f>(($R$215/3*K734)+$R$205)-(($Q$215/3*K734)/((1+$R$217)^($R$218-1)))*J589</f>
        <v>1079.1877052374916</v>
      </c>
      <c r="K734" s="1351">
        <f t="shared" si="67"/>
        <v>3.0813920817369094</v>
      </c>
      <c r="L734" s="2203"/>
      <c r="M734" s="385"/>
      <c r="N734" s="1746"/>
      <c r="O734" s="385"/>
      <c r="P734" s="413"/>
      <c r="Q734" s="413"/>
      <c r="R734" s="413"/>
      <c r="S734" s="413"/>
      <c r="T734" s="413"/>
      <c r="U734" s="413"/>
      <c r="V734" s="3589"/>
      <c r="W734" s="744">
        <v>1910.786999395481</v>
      </c>
      <c r="X734" s="810">
        <f>$Q$205*(X$305/12000)*X$589</f>
        <v>3307.881947324769</v>
      </c>
      <c r="Y734" s="810">
        <v>998.0454898906255</v>
      </c>
      <c r="Z734" s="2153">
        <v>1075.9998665391181</v>
      </c>
      <c r="AA734" s="744">
        <v>1075.9998665391181</v>
      </c>
      <c r="AB734" s="744">
        <v>1075.9998665391181</v>
      </c>
      <c r="AC734" s="744"/>
      <c r="AD734" s="744"/>
      <c r="AE734" s="744"/>
      <c r="AF734" s="744"/>
      <c r="AG734" s="744"/>
      <c r="BB734" s="794"/>
      <c r="BC734" s="658"/>
      <c r="BD734" s="757"/>
      <c r="BE734" s="659"/>
    </row>
    <row r="735" spans="1:57" s="512" customFormat="1" ht="14.45" customHeight="1" outlineLevel="1" x14ac:dyDescent="0.25">
      <c r="A735" s="2462"/>
      <c r="B735" s="413"/>
      <c r="C735" s="385"/>
      <c r="D735" s="3676"/>
      <c r="E735" s="3589"/>
      <c r="F735" s="3631" t="str">
        <f t="shared" si="68"/>
        <v>CAC - SEER 17 ER2: SF</v>
      </c>
      <c r="G735" s="3632"/>
      <c r="H735" s="3633"/>
      <c r="I735" s="2201"/>
      <c r="J735" s="2215"/>
      <c r="K735" s="1351">
        <f t="shared" si="67"/>
        <v>3.0813920817369094</v>
      </c>
      <c r="L735" s="2203"/>
      <c r="M735" s="385"/>
      <c r="N735" s="1746"/>
      <c r="O735" s="385"/>
      <c r="P735" s="413"/>
      <c r="Q735" s="413"/>
      <c r="R735" s="413"/>
      <c r="S735" s="413"/>
      <c r="T735" s="413"/>
      <c r="U735" s="413"/>
      <c r="V735" s="3589"/>
      <c r="W735" s="744"/>
      <c r="X735" s="809"/>
      <c r="Y735" s="810"/>
      <c r="Z735" s="2153"/>
      <c r="AA735" s="744"/>
      <c r="AB735" s="744"/>
      <c r="AC735" s="744"/>
      <c r="AD735" s="744"/>
      <c r="AE735" s="744"/>
      <c r="AF735" s="744"/>
      <c r="AG735" s="744"/>
      <c r="BB735" s="794"/>
      <c r="BC735" s="658"/>
      <c r="BD735" s="757"/>
      <c r="BE735" s="659"/>
    </row>
    <row r="736" spans="1:57" s="512" customFormat="1" ht="14.45" customHeight="1" outlineLevel="1" x14ac:dyDescent="0.25">
      <c r="A736" s="2462"/>
      <c r="B736" s="413"/>
      <c r="C736" s="385"/>
      <c r="D736" s="3676"/>
      <c r="E736" s="3589"/>
      <c r="F736" s="3631" t="str">
        <f t="shared" si="68"/>
        <v>CAC - SEER 17 ROF: SF</v>
      </c>
      <c r="G736" s="3632"/>
      <c r="H736" s="3633"/>
      <c r="I736" s="2201"/>
      <c r="J736" s="2215">
        <f>$R$205*J591</f>
        <v>620</v>
      </c>
      <c r="K736" s="1351">
        <f t="shared" si="67"/>
        <v>3.2006802721088436</v>
      </c>
      <c r="L736" s="2203"/>
      <c r="M736" s="385"/>
      <c r="N736" s="1746"/>
      <c r="O736" s="385"/>
      <c r="P736" s="413"/>
      <c r="Q736" s="413"/>
      <c r="R736" s="413"/>
      <c r="S736" s="413"/>
      <c r="T736" s="413"/>
      <c r="U736" s="413"/>
      <c r="V736" s="3589"/>
      <c r="W736" s="744">
        <v>1171.5999999999999</v>
      </c>
      <c r="X736" s="810">
        <f>(X$308/12000)*$R$205*X$591</f>
        <v>1798</v>
      </c>
      <c r="Y736" s="810">
        <v>404</v>
      </c>
      <c r="Z736" s="2153">
        <v>620</v>
      </c>
      <c r="AA736" s="744">
        <v>620</v>
      </c>
      <c r="AB736" s="744">
        <v>620</v>
      </c>
      <c r="AC736" s="744"/>
      <c r="AD736" s="744"/>
      <c r="AE736" s="744"/>
      <c r="AF736" s="744"/>
      <c r="AG736" s="744"/>
      <c r="BB736" s="794"/>
      <c r="BC736" s="658"/>
      <c r="BD736" s="757"/>
      <c r="BE736" s="659"/>
    </row>
    <row r="737" spans="1:57" s="512" customFormat="1" ht="14.45" customHeight="1" outlineLevel="1" x14ac:dyDescent="0.25">
      <c r="A737" s="2462"/>
      <c r="B737" s="413"/>
      <c r="C737" s="385"/>
      <c r="D737" s="3676"/>
      <c r="E737" s="3589"/>
      <c r="F737" s="3631" t="str">
        <f t="shared" si="68"/>
        <v>CAC - SEER 17 ER1: MF</v>
      </c>
      <c r="G737" s="3632"/>
      <c r="H737" s="3633"/>
      <c r="I737" s="2201"/>
      <c r="J737" s="2215">
        <f>(($R$215/3*K737)+$R$205)-(($Q$215/3*K737)/((1+$R$217)^($R$218-1)))*J592</f>
        <v>985.77529401533502</v>
      </c>
      <c r="K737" s="1351">
        <f t="shared" si="67"/>
        <v>2.4545454545454546</v>
      </c>
      <c r="L737" s="2203"/>
      <c r="M737" s="385"/>
      <c r="N737" s="1746"/>
      <c r="O737" s="385"/>
      <c r="P737" s="413"/>
      <c r="Q737" s="413"/>
      <c r="R737" s="413"/>
      <c r="S737" s="413"/>
      <c r="T737" s="413"/>
      <c r="U737" s="413"/>
      <c r="V737" s="3589"/>
      <c r="W737" s="744">
        <v>1910.786999395481</v>
      </c>
      <c r="X737" s="810">
        <f>(X$304/12000)*$Q$205*X$592</f>
        <v>3307.881947324769</v>
      </c>
      <c r="Y737" s="810">
        <v>792.26502607230441</v>
      </c>
      <c r="Z737" s="2153">
        <v>918.03912845694003</v>
      </c>
      <c r="AA737" s="744">
        <v>918.03912845694003</v>
      </c>
      <c r="AB737" s="744">
        <v>918.03912845694003</v>
      </c>
      <c r="AC737" s="744"/>
      <c r="AD737" s="744"/>
      <c r="AE737" s="744"/>
      <c r="AF737" s="744"/>
      <c r="AG737" s="744"/>
      <c r="BB737" s="794"/>
      <c r="BC737" s="658"/>
      <c r="BD737" s="757"/>
      <c r="BE737" s="659"/>
    </row>
    <row r="738" spans="1:57" s="512" customFormat="1" ht="14.45" customHeight="1" outlineLevel="1" x14ac:dyDescent="0.25">
      <c r="A738" s="2462"/>
      <c r="B738" s="413"/>
      <c r="C738" s="385"/>
      <c r="D738" s="3676"/>
      <c r="E738" s="3589"/>
      <c r="F738" s="3631" t="str">
        <f t="shared" si="68"/>
        <v>CAC - SEER 17 ER2: MF</v>
      </c>
      <c r="G738" s="3632"/>
      <c r="H738" s="3633"/>
      <c r="I738" s="2201"/>
      <c r="J738" s="2215"/>
      <c r="K738" s="1351">
        <f t="shared" si="67"/>
        <v>2.4545454545454546</v>
      </c>
      <c r="L738" s="2203"/>
      <c r="M738" s="385"/>
      <c r="N738" s="1746"/>
      <c r="O738" s="385"/>
      <c r="P738" s="413"/>
      <c r="Q738" s="413"/>
      <c r="R738" s="413"/>
      <c r="S738" s="413"/>
      <c r="T738" s="413"/>
      <c r="U738" s="413"/>
      <c r="V738" s="3589"/>
      <c r="W738" s="744"/>
      <c r="X738" s="809"/>
      <c r="Y738" s="810"/>
      <c r="Z738" s="2153"/>
      <c r="AA738" s="744"/>
      <c r="AB738" s="744"/>
      <c r="AC738" s="744"/>
      <c r="AD738" s="744"/>
      <c r="AE738" s="744"/>
      <c r="AF738" s="744"/>
      <c r="AG738" s="744"/>
      <c r="BB738" s="794"/>
      <c r="BC738" s="658"/>
      <c r="BD738" s="757"/>
      <c r="BE738" s="659"/>
    </row>
    <row r="739" spans="1:57" s="512" customFormat="1" ht="14.45" customHeight="1" outlineLevel="1" x14ac:dyDescent="0.25">
      <c r="A739" s="2462"/>
      <c r="B739" s="413"/>
      <c r="C739" s="385"/>
      <c r="D739" s="3676"/>
      <c r="E739" s="3589"/>
      <c r="F739" s="3631" t="str">
        <f t="shared" si="68"/>
        <v>CAC - SEER 17 ER1: MF_CompE</v>
      </c>
      <c r="G739" s="3632"/>
      <c r="H739" s="3633"/>
      <c r="I739" s="2204"/>
      <c r="J739" s="2215">
        <f>(($R$215/3*K739)+$R$205)-(($Q$215/3*K739)/((1+$R$217)^($R$218-1)))*J594</f>
        <v>918.03912845694003</v>
      </c>
      <c r="K739" s="1351">
        <f t="shared" ref="K739:K770" si="69">K306*J594</f>
        <v>2</v>
      </c>
      <c r="L739" s="2206"/>
      <c r="M739" s="385"/>
      <c r="N739" s="1746"/>
      <c r="O739" s="385"/>
      <c r="P739" s="413"/>
      <c r="Q739" s="413"/>
      <c r="R739" s="413"/>
      <c r="S739" s="413"/>
      <c r="T739" s="413"/>
      <c r="U739" s="413"/>
      <c r="V739" s="3589"/>
      <c r="W739" s="811"/>
      <c r="X739" s="812"/>
      <c r="Y739" s="813">
        <v>792.26502607230441</v>
      </c>
      <c r="Z739" s="2226">
        <v>918.03912845694003</v>
      </c>
      <c r="AA739" s="811">
        <v>918.03912845694003</v>
      </c>
      <c r="AB739" s="811">
        <v>918.03912845694003</v>
      </c>
      <c r="AC739" s="811"/>
      <c r="AD739" s="811"/>
      <c r="AE739" s="811"/>
      <c r="AF739" s="811"/>
      <c r="AG739" s="811"/>
      <c r="BB739" s="794"/>
      <c r="BC739" s="658"/>
      <c r="BD739" s="757"/>
      <c r="BE739" s="659"/>
    </row>
    <row r="740" spans="1:57" s="512" customFormat="1" ht="14.45" customHeight="1" outlineLevel="1" x14ac:dyDescent="0.25">
      <c r="A740" s="2462"/>
      <c r="B740" s="413"/>
      <c r="C740" s="385"/>
      <c r="D740" s="3676"/>
      <c r="E740" s="3589"/>
      <c r="F740" s="3631" t="str">
        <f t="shared" si="68"/>
        <v>CAC - SEER 17 ER2: MF_CompE</v>
      </c>
      <c r="G740" s="3632"/>
      <c r="H740" s="3633"/>
      <c r="I740" s="2204"/>
      <c r="J740" s="2216"/>
      <c r="K740" s="1351">
        <f t="shared" si="69"/>
        <v>2</v>
      </c>
      <c r="L740" s="2206"/>
      <c r="M740" s="385"/>
      <c r="N740" s="1746"/>
      <c r="O740" s="385"/>
      <c r="P740" s="413"/>
      <c r="Q740" s="413"/>
      <c r="R740" s="413"/>
      <c r="S740" s="413"/>
      <c r="T740" s="413"/>
      <c r="U740" s="413"/>
      <c r="V740" s="3589"/>
      <c r="W740" s="811"/>
      <c r="X740" s="812"/>
      <c r="Y740" s="813"/>
      <c r="Z740" s="2226"/>
      <c r="AA740" s="811"/>
      <c r="AB740" s="811"/>
      <c r="AC740" s="811"/>
      <c r="AD740" s="811"/>
      <c r="AE740" s="811"/>
      <c r="AF740" s="811"/>
      <c r="AG740" s="811"/>
      <c r="BB740" s="794"/>
      <c r="BC740" s="658"/>
      <c r="BD740" s="757"/>
      <c r="BE740" s="659"/>
    </row>
    <row r="741" spans="1:57" s="512" customFormat="1" ht="14.45" customHeight="1" outlineLevel="1" x14ac:dyDescent="0.25">
      <c r="A741" s="2462"/>
      <c r="B741" s="413"/>
      <c r="C741" s="385"/>
      <c r="D741" s="3676"/>
      <c r="E741" s="3589"/>
      <c r="F741" s="3631" t="str">
        <f t="shared" si="68"/>
        <v>CAC - SEER 17 ROF: MF</v>
      </c>
      <c r="G741" s="3632"/>
      <c r="H741" s="3633"/>
      <c r="I741" s="2204"/>
      <c r="J741" s="2215">
        <f>$R$205*J596</f>
        <v>620</v>
      </c>
      <c r="K741" s="1351">
        <f t="shared" si="69"/>
        <v>4</v>
      </c>
      <c r="L741" s="2206"/>
      <c r="M741" s="385"/>
      <c r="N741" s="1746"/>
      <c r="O741" s="385"/>
      <c r="P741" s="413"/>
      <c r="Q741" s="413"/>
      <c r="R741" s="413"/>
      <c r="S741" s="413"/>
      <c r="T741" s="413"/>
      <c r="U741" s="413"/>
      <c r="V741" s="3589"/>
      <c r="W741" s="811">
        <v>1171.5999999999999</v>
      </c>
      <c r="X741" s="813">
        <f>(X$308/12000)*$R$205*X$596</f>
        <v>1798</v>
      </c>
      <c r="Y741" s="813">
        <v>404</v>
      </c>
      <c r="Z741" s="2226">
        <v>620</v>
      </c>
      <c r="AA741" s="811">
        <v>620</v>
      </c>
      <c r="AB741" s="811">
        <v>620</v>
      </c>
      <c r="AC741" s="811"/>
      <c r="AD741" s="811"/>
      <c r="AE741" s="811"/>
      <c r="AF741" s="811"/>
      <c r="AG741" s="811"/>
      <c r="BB741" s="794"/>
      <c r="BC741" s="658"/>
      <c r="BD741" s="757"/>
      <c r="BE741" s="659"/>
    </row>
    <row r="742" spans="1:57" s="512" customFormat="1" ht="14.45" customHeight="1" outlineLevel="1" x14ac:dyDescent="0.25">
      <c r="A742" s="2462"/>
      <c r="B742" s="413"/>
      <c r="C742" s="385"/>
      <c r="D742" s="3677"/>
      <c r="E742" s="3590"/>
      <c r="F742" s="3631" t="str">
        <f t="shared" si="68"/>
        <v>CAC - SEER 17 ROF: MF_CompE</v>
      </c>
      <c r="G742" s="3632"/>
      <c r="H742" s="3633"/>
      <c r="I742" s="2201"/>
      <c r="J742" s="2215">
        <f>$R$205*J597</f>
        <v>620</v>
      </c>
      <c r="K742" s="1351">
        <f t="shared" si="69"/>
        <v>2</v>
      </c>
      <c r="L742" s="2203"/>
      <c r="M742" s="385"/>
      <c r="N742" s="1746"/>
      <c r="O742" s="385"/>
      <c r="P742" s="413"/>
      <c r="Q742" s="413"/>
      <c r="R742" s="413"/>
      <c r="S742" s="413"/>
      <c r="T742" s="413"/>
      <c r="U742" s="413"/>
      <c r="V742" s="3590"/>
      <c r="W742" s="744"/>
      <c r="X742" s="810"/>
      <c r="Y742" s="810">
        <v>404</v>
      </c>
      <c r="Z742" s="2153">
        <v>620</v>
      </c>
      <c r="AA742" s="744">
        <v>620</v>
      </c>
      <c r="AB742" s="744">
        <v>620</v>
      </c>
      <c r="AC742" s="744"/>
      <c r="AD742" s="744"/>
      <c r="AE742" s="744"/>
      <c r="AF742" s="744"/>
      <c r="AG742" s="744"/>
      <c r="BB742" s="794"/>
      <c r="BC742" s="658"/>
      <c r="BD742" s="757"/>
      <c r="BE742" s="659"/>
    </row>
    <row r="743" spans="1:57" s="512" customFormat="1" ht="14.45" customHeight="1" outlineLevel="1" x14ac:dyDescent="0.25">
      <c r="A743" s="2462"/>
      <c r="B743" s="413"/>
      <c r="C743" s="385"/>
      <c r="D743" s="3639"/>
      <c r="E743" s="3787"/>
      <c r="F743" s="3668" t="str">
        <f t="shared" si="68"/>
        <v>CAC - SEER 18 ER1: SF</v>
      </c>
      <c r="G743" s="3669"/>
      <c r="H743" s="3670"/>
      <c r="I743" s="2201"/>
      <c r="J743" s="2215">
        <f>(($R$215/3*K743)+$R$206)-(($Q$215/3*K743)/((1+$R$217)^($R$218-1)))*J598</f>
        <v>1273.7253593520768</v>
      </c>
      <c r="K743" s="1351">
        <f t="shared" si="69"/>
        <v>3</v>
      </c>
      <c r="L743" s="2203"/>
      <c r="M743" s="385"/>
      <c r="N743" s="1746"/>
      <c r="O743" s="385"/>
      <c r="P743" s="413"/>
      <c r="Q743" s="413"/>
      <c r="R743" s="413"/>
      <c r="S743" s="413"/>
      <c r="T743" s="413"/>
      <c r="U743" s="413"/>
      <c r="V743" s="3590"/>
      <c r="W743" s="807"/>
      <c r="X743" s="808"/>
      <c r="Y743" s="808"/>
      <c r="Z743" s="2230">
        <v>1273.7253593520768</v>
      </c>
      <c r="AA743" s="1770">
        <v>1273.7253593520768</v>
      </c>
      <c r="AB743" s="1770">
        <v>1273.7253593520768</v>
      </c>
      <c r="AC743" s="807"/>
      <c r="AD743" s="807"/>
      <c r="AE743" s="807"/>
      <c r="AF743" s="807"/>
      <c r="AG743" s="807"/>
      <c r="BB743" s="794"/>
      <c r="BC743" s="658"/>
      <c r="BD743" s="757"/>
      <c r="BE743" s="659"/>
    </row>
    <row r="744" spans="1:57" s="512" customFormat="1" ht="14.45" customHeight="1" outlineLevel="1" x14ac:dyDescent="0.25">
      <c r="A744" s="2462"/>
      <c r="B744" s="413"/>
      <c r="C744" s="385"/>
      <c r="D744" s="3639"/>
      <c r="E744" s="3787"/>
      <c r="F744" s="3668" t="str">
        <f t="shared" si="68"/>
        <v>CAC - SEER 18 ER2: SF</v>
      </c>
      <c r="G744" s="3669"/>
      <c r="H744" s="3670"/>
      <c r="I744" s="2201"/>
      <c r="J744" s="2214"/>
      <c r="K744" s="1351">
        <f t="shared" si="69"/>
        <v>3</v>
      </c>
      <c r="L744" s="2203"/>
      <c r="M744" s="385"/>
      <c r="N744" s="1746"/>
      <c r="O744" s="385"/>
      <c r="P744" s="413"/>
      <c r="Q744" s="413"/>
      <c r="R744" s="413"/>
      <c r="S744" s="413"/>
      <c r="T744" s="413"/>
      <c r="U744" s="413"/>
      <c r="V744" s="3590"/>
      <c r="W744" s="744"/>
      <c r="X744" s="809"/>
      <c r="Y744" s="810"/>
      <c r="Z744" s="2227"/>
      <c r="AA744" s="2639"/>
      <c r="AB744" s="2639"/>
      <c r="AC744" s="744"/>
      <c r="AD744" s="744"/>
      <c r="AE744" s="744"/>
      <c r="AF744" s="744"/>
      <c r="AG744" s="744"/>
      <c r="BB744" s="794"/>
      <c r="BC744" s="658"/>
      <c r="BD744" s="757"/>
      <c r="BE744" s="659"/>
    </row>
    <row r="745" spans="1:57" s="512" customFormat="1" ht="14.45" customHeight="1" outlineLevel="1" x14ac:dyDescent="0.25">
      <c r="A745" s="2462"/>
      <c r="B745" s="413"/>
      <c r="C745" s="385"/>
      <c r="D745" s="3639"/>
      <c r="E745" s="3787"/>
      <c r="F745" s="3668" t="str">
        <f t="shared" si="68"/>
        <v>CAC - SEER 18 ROF: SF</v>
      </c>
      <c r="G745" s="3669"/>
      <c r="H745" s="3670"/>
      <c r="I745" s="2201"/>
      <c r="J745" s="2215">
        <f>$R$206*J600</f>
        <v>826.66666666666708</v>
      </c>
      <c r="K745" s="1351">
        <f t="shared" si="69"/>
        <v>3</v>
      </c>
      <c r="L745" s="2203"/>
      <c r="M745" s="385"/>
      <c r="N745" s="1746"/>
      <c r="O745" s="385"/>
      <c r="P745" s="413"/>
      <c r="Q745" s="413"/>
      <c r="R745" s="413"/>
      <c r="S745" s="413"/>
      <c r="T745" s="413"/>
      <c r="U745" s="413"/>
      <c r="V745" s="3590"/>
      <c r="W745" s="744"/>
      <c r="X745" s="809"/>
      <c r="Y745" s="810"/>
      <c r="Z745" s="763">
        <v>826.66666666666708</v>
      </c>
      <c r="AA745" s="508">
        <v>826.66666666666708</v>
      </c>
      <c r="AB745" s="508">
        <v>826.66666666666708</v>
      </c>
      <c r="AC745" s="744"/>
      <c r="AD745" s="744"/>
      <c r="AE745" s="744"/>
      <c r="AF745" s="744"/>
      <c r="AG745" s="744"/>
      <c r="BB745" s="794"/>
      <c r="BC745" s="658"/>
      <c r="BD745" s="757"/>
      <c r="BE745" s="659"/>
    </row>
    <row r="746" spans="1:57" s="512" customFormat="1" ht="14.45" customHeight="1" outlineLevel="1" x14ac:dyDescent="0.25">
      <c r="A746" s="2462"/>
      <c r="B746" s="413"/>
      <c r="C746" s="385"/>
      <c r="D746" s="3639"/>
      <c r="E746" s="3787"/>
      <c r="F746" s="3631" t="str">
        <f t="shared" si="68"/>
        <v>CAC - SEER 18 ER1: MF</v>
      </c>
      <c r="G746" s="3632"/>
      <c r="H746" s="3633"/>
      <c r="I746" s="2201"/>
      <c r="J746" s="2215">
        <f>(($R$215/3*K746)+$R$206)-(($Q$215/3*K746)/((1+$R$217)^$R$218))*J601</f>
        <v>1214.9316927389714</v>
      </c>
      <c r="K746" s="1351">
        <f t="shared" si="69"/>
        <v>2</v>
      </c>
      <c r="L746" s="2203"/>
      <c r="M746" s="385"/>
      <c r="N746" s="1746"/>
      <c r="O746" s="385"/>
      <c r="P746" s="413"/>
      <c r="Q746" s="413"/>
      <c r="R746" s="413"/>
      <c r="S746" s="413"/>
      <c r="T746" s="413"/>
      <c r="U746" s="413"/>
      <c r="V746" s="3590"/>
      <c r="W746" s="744"/>
      <c r="X746" s="810"/>
      <c r="Y746" s="810"/>
      <c r="Z746" s="763">
        <v>1214.9316927389714</v>
      </c>
      <c r="AA746" s="508">
        <v>1214.9316927389714</v>
      </c>
      <c r="AB746" s="508">
        <v>1214.9316927389714</v>
      </c>
      <c r="AC746" s="744"/>
      <c r="AD746" s="744"/>
      <c r="AE746" s="744"/>
      <c r="AF746" s="744"/>
      <c r="AG746" s="744"/>
      <c r="BB746" s="794"/>
      <c r="BC746" s="658"/>
      <c r="BD746" s="757"/>
      <c r="BE746" s="659"/>
    </row>
    <row r="747" spans="1:57" s="512" customFormat="1" ht="14.45" customHeight="1" outlineLevel="1" x14ac:dyDescent="0.25">
      <c r="A747" s="2462"/>
      <c r="B747" s="413"/>
      <c r="C747" s="385"/>
      <c r="D747" s="3639"/>
      <c r="E747" s="3787"/>
      <c r="F747" s="3631" t="str">
        <f t="shared" si="68"/>
        <v>CAC - SEER 18 ER2: MF</v>
      </c>
      <c r="G747" s="3632"/>
      <c r="H747" s="3633"/>
      <c r="I747" s="2201"/>
      <c r="J747" s="2215"/>
      <c r="K747" s="1351">
        <f t="shared" si="69"/>
        <v>2</v>
      </c>
      <c r="L747" s="2203"/>
      <c r="M747" s="385"/>
      <c r="N747" s="1746"/>
      <c r="O747" s="385"/>
      <c r="P747" s="413"/>
      <c r="Q747" s="413"/>
      <c r="R747" s="413"/>
      <c r="S747" s="413"/>
      <c r="T747" s="413"/>
      <c r="U747" s="413"/>
      <c r="V747" s="3590"/>
      <c r="W747" s="744"/>
      <c r="X747" s="809"/>
      <c r="Y747" s="810"/>
      <c r="Z747" s="763"/>
      <c r="AA747" s="508"/>
      <c r="AB747" s="508"/>
      <c r="AC747" s="744"/>
      <c r="AD747" s="744"/>
      <c r="AE747" s="744"/>
      <c r="AF747" s="744"/>
      <c r="AG747" s="744"/>
      <c r="BB747" s="794"/>
      <c r="BC747" s="658"/>
      <c r="BD747" s="757"/>
      <c r="BE747" s="659"/>
    </row>
    <row r="748" spans="1:57" s="512" customFormat="1" ht="14.45" customHeight="1" outlineLevel="1" x14ac:dyDescent="0.25">
      <c r="A748" s="2462"/>
      <c r="B748" s="413"/>
      <c r="C748" s="385"/>
      <c r="D748" s="3639"/>
      <c r="E748" s="3787"/>
      <c r="F748" s="3631" t="str">
        <f t="shared" si="68"/>
        <v>CAC - SEER 18 ER1: MF_CompE</v>
      </c>
      <c r="G748" s="3632"/>
      <c r="H748" s="3633"/>
      <c r="I748" s="2201"/>
      <c r="J748" s="2215">
        <f>(($R$215/3*K748)+$R$206)-(($Q$215/3*K748)/((1+$R$217)^($R$218-1)))*J603</f>
        <v>1124.705795123607</v>
      </c>
      <c r="K748" s="1351">
        <f t="shared" si="69"/>
        <v>2</v>
      </c>
      <c r="L748" s="2203"/>
      <c r="M748" s="385"/>
      <c r="N748" s="1746"/>
      <c r="O748" s="385"/>
      <c r="P748" s="413"/>
      <c r="Q748" s="413"/>
      <c r="R748" s="413"/>
      <c r="S748" s="413"/>
      <c r="T748" s="413"/>
      <c r="U748" s="413"/>
      <c r="V748" s="3590"/>
      <c r="W748" s="744"/>
      <c r="X748" s="809"/>
      <c r="Y748" s="810"/>
      <c r="Z748" s="763">
        <v>1124.705795123607</v>
      </c>
      <c r="AA748" s="508">
        <v>1124.705795123607</v>
      </c>
      <c r="AB748" s="508">
        <v>1124.705795123607</v>
      </c>
      <c r="AC748" s="744"/>
      <c r="AD748" s="744"/>
      <c r="AE748" s="744"/>
      <c r="AF748" s="744"/>
      <c r="AG748" s="744"/>
      <c r="BB748" s="794"/>
      <c r="BC748" s="658"/>
      <c r="BD748" s="757"/>
      <c r="BE748" s="659"/>
    </row>
    <row r="749" spans="1:57" s="512" customFormat="1" ht="14.45" customHeight="1" outlineLevel="1" x14ac:dyDescent="0.25">
      <c r="A749" s="2462"/>
      <c r="B749" s="413"/>
      <c r="C749" s="385"/>
      <c r="D749" s="3639"/>
      <c r="E749" s="3787"/>
      <c r="F749" s="3631" t="str">
        <f t="shared" si="68"/>
        <v>CAC - SEER 18 ER2: MF_CompE</v>
      </c>
      <c r="G749" s="3632"/>
      <c r="H749" s="3633"/>
      <c r="I749" s="2201"/>
      <c r="J749" s="2215"/>
      <c r="K749" s="1351">
        <f t="shared" si="69"/>
        <v>2</v>
      </c>
      <c r="L749" s="2203"/>
      <c r="M749" s="385"/>
      <c r="N749" s="1746"/>
      <c r="O749" s="385"/>
      <c r="P749" s="413"/>
      <c r="Q749" s="413"/>
      <c r="R749" s="413"/>
      <c r="S749" s="413"/>
      <c r="T749" s="413"/>
      <c r="U749" s="413"/>
      <c r="V749" s="3590"/>
      <c r="W749" s="744"/>
      <c r="X749" s="809"/>
      <c r="Y749" s="810"/>
      <c r="Z749" s="763"/>
      <c r="AA749" s="508"/>
      <c r="AB749" s="508"/>
      <c r="AC749" s="744"/>
      <c r="AD749" s="744"/>
      <c r="AE749" s="744"/>
      <c r="AF749" s="744"/>
      <c r="AG749" s="744"/>
      <c r="BB749" s="794"/>
      <c r="BC749" s="658"/>
      <c r="BD749" s="757"/>
      <c r="BE749" s="659"/>
    </row>
    <row r="750" spans="1:57" s="512" customFormat="1" ht="14.25" customHeight="1" outlineLevel="1" x14ac:dyDescent="0.25">
      <c r="A750" s="2462"/>
      <c r="B750" s="413"/>
      <c r="C750" s="385"/>
      <c r="D750" s="3639"/>
      <c r="E750" s="3787"/>
      <c r="F750" s="3631" t="str">
        <f t="shared" si="68"/>
        <v>CAC - SEER 18 ROF: MF</v>
      </c>
      <c r="G750" s="3632"/>
      <c r="H750" s="3633"/>
      <c r="I750" s="2201"/>
      <c r="J750" s="2215">
        <f>$R$206*J605</f>
        <v>826.66666666666708</v>
      </c>
      <c r="K750" s="1351">
        <f t="shared" si="69"/>
        <v>2</v>
      </c>
      <c r="L750" s="2203"/>
      <c r="M750" s="385"/>
      <c r="N750" s="1746"/>
      <c r="O750" s="385"/>
      <c r="P750" s="413"/>
      <c r="Q750" s="413"/>
      <c r="R750" s="413"/>
      <c r="S750" s="413"/>
      <c r="T750" s="413"/>
      <c r="U750" s="413"/>
      <c r="V750" s="3590"/>
      <c r="W750" s="744"/>
      <c r="X750" s="809"/>
      <c r="Y750" s="810"/>
      <c r="Z750" s="763">
        <v>826.66666666666708</v>
      </c>
      <c r="AA750" s="508">
        <v>826.66666666666708</v>
      </c>
      <c r="AB750" s="508">
        <v>826.66666666666708</v>
      </c>
      <c r="AC750" s="744"/>
      <c r="AD750" s="744"/>
      <c r="AE750" s="744"/>
      <c r="AF750" s="744"/>
      <c r="AG750" s="744"/>
      <c r="BB750" s="794"/>
      <c r="BC750" s="658"/>
      <c r="BD750" s="757"/>
      <c r="BE750" s="659"/>
    </row>
    <row r="751" spans="1:57" s="512" customFormat="1" ht="14.25" customHeight="1" outlineLevel="1" x14ac:dyDescent="0.25">
      <c r="A751" s="2462"/>
      <c r="B751" s="413"/>
      <c r="C751" s="385"/>
      <c r="D751" s="3639"/>
      <c r="E751" s="3787"/>
      <c r="F751" s="3631" t="str">
        <f t="shared" si="68"/>
        <v>CAC - SEER 18 ROF: MF_CompE</v>
      </c>
      <c r="G751" s="3632"/>
      <c r="H751" s="3633"/>
      <c r="I751" s="2201"/>
      <c r="J751" s="2215">
        <f>$R$206*J606</f>
        <v>826.66666666666708</v>
      </c>
      <c r="K751" s="1351">
        <f t="shared" si="69"/>
        <v>2</v>
      </c>
      <c r="L751" s="2203"/>
      <c r="M751" s="385"/>
      <c r="N751" s="1746"/>
      <c r="O751" s="385"/>
      <c r="P751" s="413"/>
      <c r="Q751" s="413"/>
      <c r="R751" s="413"/>
      <c r="S751" s="413"/>
      <c r="T751" s="413"/>
      <c r="U751" s="413"/>
      <c r="V751" s="3590"/>
      <c r="W751" s="744"/>
      <c r="X751" s="809"/>
      <c r="Y751" s="810"/>
      <c r="Z751" s="763">
        <v>826.66666666666708</v>
      </c>
      <c r="AA751" s="508">
        <v>826.66666666666708</v>
      </c>
      <c r="AB751" s="508">
        <v>826.66666666666708</v>
      </c>
      <c r="AC751" s="744"/>
      <c r="AD751" s="744"/>
      <c r="AE751" s="744"/>
      <c r="AF751" s="744"/>
      <c r="AG751" s="744"/>
      <c r="BB751" s="794"/>
      <c r="BC751" s="658"/>
      <c r="BD751" s="757"/>
      <c r="BE751" s="659"/>
    </row>
    <row r="752" spans="1:57" s="512" customFormat="1" ht="14.45" customHeight="1" outlineLevel="1" x14ac:dyDescent="0.25">
      <c r="A752" s="2462"/>
      <c r="B752" s="413"/>
      <c r="C752" s="385"/>
      <c r="D752" s="3639"/>
      <c r="E752" s="3787"/>
      <c r="F752" s="3631" t="str">
        <f t="shared" si="68"/>
        <v>CAC - SEER 19 ER1: SF</v>
      </c>
      <c r="G752" s="3632"/>
      <c r="H752" s="3633"/>
      <c r="I752" s="2201"/>
      <c r="J752" s="2215">
        <f>(($R$215/3*K752)+$R$207)-(($Q$215/3*K752)/((1+$R$217)^($R$218-1)))*J607</f>
        <v>1480.3920260187429</v>
      </c>
      <c r="K752" s="1351">
        <f t="shared" si="69"/>
        <v>3</v>
      </c>
      <c r="L752" s="2203"/>
      <c r="M752" s="385"/>
      <c r="N752" s="1746"/>
      <c r="O752" s="385"/>
      <c r="P752" s="413"/>
      <c r="Q752" s="413"/>
      <c r="R752" s="413"/>
      <c r="S752" s="413"/>
      <c r="T752" s="413"/>
      <c r="U752" s="413"/>
      <c r="V752" s="3590"/>
      <c r="W752" s="744"/>
      <c r="X752" s="810"/>
      <c r="Y752" s="810"/>
      <c r="Z752" s="763">
        <v>1480.3920260187429</v>
      </c>
      <c r="AA752" s="508">
        <v>1480.3920260187429</v>
      </c>
      <c r="AB752" s="508">
        <v>1480.3920260187429</v>
      </c>
      <c r="AC752" s="744"/>
      <c r="AD752" s="744"/>
      <c r="AE752" s="744"/>
      <c r="AF752" s="744"/>
      <c r="AG752" s="744"/>
      <c r="BB752" s="794"/>
      <c r="BC752" s="658"/>
      <c r="BD752" s="757"/>
      <c r="BE752" s="659"/>
    </row>
    <row r="753" spans="1:57" s="512" customFormat="1" ht="14.45" customHeight="1" outlineLevel="1" x14ac:dyDescent="0.25">
      <c r="A753" s="2462"/>
      <c r="B753" s="413"/>
      <c r="C753" s="385"/>
      <c r="D753" s="3639"/>
      <c r="E753" s="3787"/>
      <c r="F753" s="3631" t="str">
        <f t="shared" si="68"/>
        <v>CAC - SEER 19 ER2: SF</v>
      </c>
      <c r="G753" s="3632"/>
      <c r="H753" s="3633"/>
      <c r="I753" s="2201"/>
      <c r="J753" s="2215"/>
      <c r="K753" s="1351">
        <f t="shared" si="69"/>
        <v>3</v>
      </c>
      <c r="L753" s="2203"/>
      <c r="M753" s="385"/>
      <c r="N753" s="1746"/>
      <c r="O753" s="385"/>
      <c r="P753" s="413"/>
      <c r="Q753" s="413"/>
      <c r="R753" s="413"/>
      <c r="S753" s="413"/>
      <c r="T753" s="413"/>
      <c r="U753" s="413"/>
      <c r="V753" s="3590"/>
      <c r="W753" s="744"/>
      <c r="X753" s="809"/>
      <c r="Y753" s="810"/>
      <c r="Z753" s="763"/>
      <c r="AA753" s="508"/>
      <c r="AB753" s="508"/>
      <c r="AC753" s="744"/>
      <c r="AD753" s="744"/>
      <c r="AE753" s="744"/>
      <c r="AF753" s="744"/>
      <c r="AG753" s="744"/>
      <c r="BB753" s="794"/>
      <c r="BC753" s="658"/>
      <c r="BD753" s="757"/>
      <c r="BE753" s="659"/>
    </row>
    <row r="754" spans="1:57" s="512" customFormat="1" ht="14.45" customHeight="1" outlineLevel="1" x14ac:dyDescent="0.25">
      <c r="A754" s="2462"/>
      <c r="B754" s="413"/>
      <c r="C754" s="385"/>
      <c r="D754" s="3639"/>
      <c r="E754" s="3787"/>
      <c r="F754" s="3631" t="str">
        <f t="shared" si="68"/>
        <v>CAC - SEER 19 ROF: SF</v>
      </c>
      <c r="G754" s="3632"/>
      <c r="H754" s="3633"/>
      <c r="I754" s="2201"/>
      <c r="J754" s="2215">
        <f>$R$207*J609</f>
        <v>1033.3333333333328</v>
      </c>
      <c r="K754" s="1351">
        <f t="shared" si="69"/>
        <v>3</v>
      </c>
      <c r="L754" s="2203"/>
      <c r="M754" s="385"/>
      <c r="N754" s="1746"/>
      <c r="O754" s="385"/>
      <c r="P754" s="413"/>
      <c r="Q754" s="413"/>
      <c r="R754" s="413"/>
      <c r="S754" s="413"/>
      <c r="T754" s="413"/>
      <c r="U754" s="413"/>
      <c r="V754" s="3590"/>
      <c r="W754" s="744"/>
      <c r="X754" s="810"/>
      <c r="Y754" s="810"/>
      <c r="Z754" s="763">
        <v>1033.3333333333328</v>
      </c>
      <c r="AA754" s="508">
        <v>1033.3333333333328</v>
      </c>
      <c r="AB754" s="508">
        <v>1033.3333333333328</v>
      </c>
      <c r="AC754" s="744"/>
      <c r="AD754" s="744"/>
      <c r="AE754" s="744"/>
      <c r="AF754" s="744"/>
      <c r="AG754" s="744"/>
      <c r="BB754" s="794"/>
      <c r="BC754" s="658"/>
      <c r="BD754" s="757"/>
      <c r="BE754" s="659"/>
    </row>
    <row r="755" spans="1:57" s="512" customFormat="1" ht="14.45" customHeight="1" outlineLevel="1" x14ac:dyDescent="0.25">
      <c r="A755" s="2462"/>
      <c r="B755" s="413"/>
      <c r="C755" s="385"/>
      <c r="D755" s="3639"/>
      <c r="E755" s="3787"/>
      <c r="F755" s="3631" t="str">
        <f t="shared" si="68"/>
        <v>CAC - SEER 19 ER1: MF</v>
      </c>
      <c r="G755" s="3632"/>
      <c r="H755" s="3633"/>
      <c r="I755" s="2201"/>
      <c r="J755" s="2215">
        <f>(($R$215/3*K755)+$R$207)-(($Q$215/3*K755)/((1+$R$217)^($R$218-1)))*J610</f>
        <v>1331.3724617902726</v>
      </c>
      <c r="K755" s="1351">
        <f t="shared" si="69"/>
        <v>2</v>
      </c>
      <c r="L755" s="2203"/>
      <c r="M755" s="385"/>
      <c r="N755" s="1746"/>
      <c r="O755" s="385"/>
      <c r="P755" s="413"/>
      <c r="Q755" s="413"/>
      <c r="R755" s="413"/>
      <c r="S755" s="413"/>
      <c r="T755" s="413"/>
      <c r="U755" s="413"/>
      <c r="V755" s="3590"/>
      <c r="W755" s="744"/>
      <c r="X755" s="810"/>
      <c r="Y755" s="810"/>
      <c r="Z755" s="763">
        <v>1331.3724617902726</v>
      </c>
      <c r="AA755" s="508">
        <v>1331.3724617902726</v>
      </c>
      <c r="AB755" s="508">
        <v>1331.3724617902726</v>
      </c>
      <c r="AC755" s="744"/>
      <c r="AD755" s="744"/>
      <c r="AE755" s="744"/>
      <c r="AF755" s="744"/>
      <c r="AG755" s="744"/>
      <c r="BB755" s="794"/>
      <c r="BC755" s="658"/>
      <c r="BD755" s="757"/>
      <c r="BE755" s="659"/>
    </row>
    <row r="756" spans="1:57" s="512" customFormat="1" ht="14.45" customHeight="1" outlineLevel="1" x14ac:dyDescent="0.25">
      <c r="A756" s="2462"/>
      <c r="B756" s="413"/>
      <c r="C756" s="385"/>
      <c r="D756" s="3639"/>
      <c r="E756" s="3787"/>
      <c r="F756" s="3631" t="str">
        <f t="shared" si="68"/>
        <v>CAC - SEER 19 ER2: MF</v>
      </c>
      <c r="G756" s="3632"/>
      <c r="H756" s="3633"/>
      <c r="I756" s="2201"/>
      <c r="J756" s="2215"/>
      <c r="K756" s="1351">
        <f t="shared" si="69"/>
        <v>2</v>
      </c>
      <c r="L756" s="2203"/>
      <c r="M756" s="385"/>
      <c r="N756" s="1746"/>
      <c r="O756" s="385"/>
      <c r="P756" s="413"/>
      <c r="Q756" s="413"/>
      <c r="R756" s="413"/>
      <c r="S756" s="413"/>
      <c r="T756" s="413"/>
      <c r="U756" s="413"/>
      <c r="V756" s="3590"/>
      <c r="W756" s="744"/>
      <c r="X756" s="809"/>
      <c r="Y756" s="810"/>
      <c r="Z756" s="763"/>
      <c r="AA756" s="508"/>
      <c r="AB756" s="508"/>
      <c r="AC756" s="744"/>
      <c r="AD756" s="744"/>
      <c r="AE756" s="744"/>
      <c r="AF756" s="744"/>
      <c r="AG756" s="744"/>
      <c r="BB756" s="794"/>
      <c r="BC756" s="658"/>
      <c r="BD756" s="757"/>
      <c r="BE756" s="659"/>
    </row>
    <row r="757" spans="1:57" s="512" customFormat="1" ht="14.45" customHeight="1" outlineLevel="1" x14ac:dyDescent="0.25">
      <c r="A757" s="2462"/>
      <c r="B757" s="413"/>
      <c r="C757" s="385"/>
      <c r="D757" s="3639"/>
      <c r="E757" s="3787"/>
      <c r="F757" s="3631" t="str">
        <f t="shared" si="68"/>
        <v>CAC - SEER 19 ER1: MF_CompE</v>
      </c>
      <c r="G757" s="3632"/>
      <c r="H757" s="3633"/>
      <c r="I757" s="2201"/>
      <c r="J757" s="2215">
        <f>(($R$215/3*K757)+$R$207)-(($Q$215/3*K757)/((1+$R$217)^($R$218-1)))*J612</f>
        <v>1331.3724617902726</v>
      </c>
      <c r="K757" s="1351">
        <f t="shared" si="69"/>
        <v>2</v>
      </c>
      <c r="L757" s="2203"/>
      <c r="M757" s="385"/>
      <c r="N757" s="1746"/>
      <c r="O757" s="385"/>
      <c r="P757" s="413"/>
      <c r="Q757" s="413"/>
      <c r="R757" s="413"/>
      <c r="S757" s="413"/>
      <c r="T757" s="413"/>
      <c r="U757" s="413"/>
      <c r="V757" s="3590"/>
      <c r="W757" s="744"/>
      <c r="X757" s="809"/>
      <c r="Y757" s="810"/>
      <c r="Z757" s="763">
        <v>1331.3724617902726</v>
      </c>
      <c r="AA757" s="508">
        <v>1331.3724617902726</v>
      </c>
      <c r="AB757" s="508">
        <v>1331.3724617902726</v>
      </c>
      <c r="AC757" s="744"/>
      <c r="AD757" s="744"/>
      <c r="AE757" s="744"/>
      <c r="AF757" s="744"/>
      <c r="AG757" s="744"/>
      <c r="BB757" s="794"/>
      <c r="BC757" s="658"/>
      <c r="BD757" s="757"/>
      <c r="BE757" s="659"/>
    </row>
    <row r="758" spans="1:57" s="512" customFormat="1" ht="14.45" customHeight="1" outlineLevel="1" x14ac:dyDescent="0.25">
      <c r="A758" s="2462"/>
      <c r="B758" s="413"/>
      <c r="C758" s="385"/>
      <c r="D758" s="3639"/>
      <c r="E758" s="3787"/>
      <c r="F758" s="3631" t="str">
        <f t="shared" si="68"/>
        <v>CAC - SEER 19 ER2: MF_CompE</v>
      </c>
      <c r="G758" s="3632"/>
      <c r="H758" s="3633"/>
      <c r="I758" s="2201"/>
      <c r="J758" s="2215"/>
      <c r="K758" s="1351">
        <f t="shared" si="69"/>
        <v>2</v>
      </c>
      <c r="L758" s="2203"/>
      <c r="M758" s="385"/>
      <c r="N758" s="1746"/>
      <c r="O758" s="385"/>
      <c r="P758" s="413"/>
      <c r="Q758" s="413"/>
      <c r="R758" s="413"/>
      <c r="S758" s="413"/>
      <c r="T758" s="413"/>
      <c r="U758" s="413"/>
      <c r="V758" s="3590"/>
      <c r="W758" s="744"/>
      <c r="X758" s="809"/>
      <c r="Y758" s="810"/>
      <c r="Z758" s="763"/>
      <c r="AA758" s="508"/>
      <c r="AB758" s="508"/>
      <c r="AC758" s="744"/>
      <c r="AD758" s="744"/>
      <c r="AE758" s="744"/>
      <c r="AF758" s="744"/>
      <c r="AG758" s="744"/>
      <c r="BB758" s="794"/>
      <c r="BC758" s="658"/>
      <c r="BD758" s="757"/>
      <c r="BE758" s="659"/>
    </row>
    <row r="759" spans="1:57" s="512" customFormat="1" ht="14.25" customHeight="1" outlineLevel="1" x14ac:dyDescent="0.25">
      <c r="A759" s="2462"/>
      <c r="B759" s="413"/>
      <c r="C759" s="385"/>
      <c r="D759" s="3639"/>
      <c r="E759" s="3787"/>
      <c r="F759" s="3631" t="str">
        <f t="shared" si="68"/>
        <v>CAC - SEER 19 ROF: MF</v>
      </c>
      <c r="G759" s="3632"/>
      <c r="H759" s="3633"/>
      <c r="I759" s="2201"/>
      <c r="J759" s="2215">
        <f>$R$207*J614</f>
        <v>1033.3333333333328</v>
      </c>
      <c r="K759" s="1351">
        <f t="shared" si="69"/>
        <v>2</v>
      </c>
      <c r="L759" s="2203"/>
      <c r="M759" s="385"/>
      <c r="N759" s="1746"/>
      <c r="O759" s="385"/>
      <c r="P759" s="413"/>
      <c r="Q759" s="413"/>
      <c r="R759" s="413"/>
      <c r="S759" s="413"/>
      <c r="T759" s="413"/>
      <c r="U759" s="413"/>
      <c r="V759" s="3590"/>
      <c r="W759" s="744"/>
      <c r="X759" s="810"/>
      <c r="Y759" s="810"/>
      <c r="Z759" s="763">
        <v>1033.3333333333328</v>
      </c>
      <c r="AA759" s="508">
        <v>1033.3333333333328</v>
      </c>
      <c r="AB759" s="508">
        <v>1033.3333333333328</v>
      </c>
      <c r="AC759" s="744"/>
      <c r="AD759" s="744"/>
      <c r="AE759" s="744"/>
      <c r="AF759" s="744"/>
      <c r="AG759" s="744"/>
      <c r="BB759" s="794"/>
      <c r="BC759" s="658"/>
      <c r="BD759" s="757"/>
      <c r="BE759" s="659"/>
    </row>
    <row r="760" spans="1:57" s="512" customFormat="1" ht="14.25" customHeight="1" outlineLevel="1" x14ac:dyDescent="0.25">
      <c r="A760" s="2462"/>
      <c r="B760" s="413"/>
      <c r="C760" s="385"/>
      <c r="D760" s="3639"/>
      <c r="E760" s="3787"/>
      <c r="F760" s="3631" t="str">
        <f t="shared" si="68"/>
        <v>CAC - SEER 19 ROF: MF_CompE</v>
      </c>
      <c r="G760" s="3632"/>
      <c r="H760" s="3633"/>
      <c r="I760" s="2201"/>
      <c r="J760" s="2215">
        <f>$R$207*J615</f>
        <v>1033.3333333333328</v>
      </c>
      <c r="K760" s="1351">
        <f t="shared" si="69"/>
        <v>2</v>
      </c>
      <c r="L760" s="2203"/>
      <c r="M760" s="385"/>
      <c r="N760" s="1746"/>
      <c r="O760" s="385"/>
      <c r="P760" s="413"/>
      <c r="Q760" s="413"/>
      <c r="R760" s="413"/>
      <c r="S760" s="413"/>
      <c r="T760" s="413"/>
      <c r="U760" s="413"/>
      <c r="V760" s="3590"/>
      <c r="W760" s="744"/>
      <c r="X760" s="810"/>
      <c r="Y760" s="810"/>
      <c r="Z760" s="763">
        <v>1033.3333333333328</v>
      </c>
      <c r="AA760" s="508">
        <v>1033.3333333333328</v>
      </c>
      <c r="AB760" s="508">
        <v>1033.3333333333328</v>
      </c>
      <c r="AC760" s="744"/>
      <c r="AD760" s="744"/>
      <c r="AE760" s="744"/>
      <c r="AF760" s="744"/>
      <c r="AG760" s="744"/>
      <c r="BB760" s="794"/>
      <c r="BC760" s="658"/>
      <c r="BD760" s="757"/>
      <c r="BE760" s="659"/>
    </row>
    <row r="761" spans="1:57" s="512" customFormat="1" ht="14.45" customHeight="1" outlineLevel="1" x14ac:dyDescent="0.25">
      <c r="A761" s="2462"/>
      <c r="B761" s="413"/>
      <c r="C761" s="385"/>
      <c r="D761" s="3639"/>
      <c r="E761" s="3787"/>
      <c r="F761" s="3631" t="str">
        <f t="shared" si="68"/>
        <v>CAC - SEER 20 ER1: SF</v>
      </c>
      <c r="G761" s="3632"/>
      <c r="H761" s="3633"/>
      <c r="I761" s="2201"/>
      <c r="J761" s="2215">
        <f>(($R$215/3*K761)+$R$208)-(($Q$215/3*K761)/((1+$R$217)^($R$218-1)))*J616</f>
        <v>1687.0586926854098</v>
      </c>
      <c r="K761" s="1351">
        <f t="shared" si="69"/>
        <v>3</v>
      </c>
      <c r="L761" s="2203"/>
      <c r="M761" s="385"/>
      <c r="N761" s="1746"/>
      <c r="O761" s="385"/>
      <c r="P761" s="413"/>
      <c r="Q761" s="413"/>
      <c r="R761" s="413"/>
      <c r="S761" s="413"/>
      <c r="T761" s="413"/>
      <c r="U761" s="413"/>
      <c r="V761" s="3590"/>
      <c r="W761" s="744"/>
      <c r="X761" s="810"/>
      <c r="Y761" s="810"/>
      <c r="Z761" s="763">
        <v>1687.0586926854098</v>
      </c>
      <c r="AA761" s="508">
        <v>1687.0586926854098</v>
      </c>
      <c r="AB761" s="508">
        <v>1687.0586926854098</v>
      </c>
      <c r="AC761" s="744"/>
      <c r="AD761" s="744"/>
      <c r="AE761" s="744"/>
      <c r="AF761" s="744"/>
      <c r="AG761" s="744"/>
      <c r="BB761" s="794"/>
      <c r="BC761" s="658"/>
      <c r="BD761" s="757"/>
      <c r="BE761" s="659"/>
    </row>
    <row r="762" spans="1:57" s="512" customFormat="1" ht="14.45" customHeight="1" outlineLevel="1" x14ac:dyDescent="0.25">
      <c r="A762" s="2462"/>
      <c r="B762" s="413"/>
      <c r="C762" s="385"/>
      <c r="D762" s="3639"/>
      <c r="E762" s="3787"/>
      <c r="F762" s="3631" t="str">
        <f t="shared" si="68"/>
        <v>CAC - SEER 20 ER2: SF</v>
      </c>
      <c r="G762" s="3632"/>
      <c r="H762" s="3633"/>
      <c r="I762" s="2201"/>
      <c r="J762" s="2215"/>
      <c r="K762" s="1351">
        <f t="shared" si="69"/>
        <v>3</v>
      </c>
      <c r="L762" s="2203"/>
      <c r="M762" s="385"/>
      <c r="N762" s="1746"/>
      <c r="O762" s="385"/>
      <c r="P762" s="413"/>
      <c r="Q762" s="413"/>
      <c r="R762" s="413"/>
      <c r="S762" s="413"/>
      <c r="T762" s="413"/>
      <c r="U762" s="413"/>
      <c r="V762" s="3590"/>
      <c r="W762" s="744"/>
      <c r="X762" s="809"/>
      <c r="Y762" s="810"/>
      <c r="Z762" s="763"/>
      <c r="AA762" s="508"/>
      <c r="AB762" s="508"/>
      <c r="AC762" s="744"/>
      <c r="AD762" s="744"/>
      <c r="AE762" s="744"/>
      <c r="AF762" s="744"/>
      <c r="AG762" s="744"/>
      <c r="BB762" s="794"/>
      <c r="BC762" s="658"/>
      <c r="BD762" s="757"/>
      <c r="BE762" s="659"/>
    </row>
    <row r="763" spans="1:57" s="512" customFormat="1" ht="14.45" customHeight="1" outlineLevel="1" x14ac:dyDescent="0.25">
      <c r="A763" s="2462"/>
      <c r="B763" s="413"/>
      <c r="C763" s="385"/>
      <c r="D763" s="3639"/>
      <c r="E763" s="3787"/>
      <c r="F763" s="3631" t="str">
        <f t="shared" si="68"/>
        <v>CAC - SEER 20 ROF: SF</v>
      </c>
      <c r="G763" s="3632"/>
      <c r="H763" s="3633"/>
      <c r="I763" s="2201"/>
      <c r="J763" s="2215">
        <f>$R$208*J618</f>
        <v>1239.9999999999995</v>
      </c>
      <c r="K763" s="1351">
        <f t="shared" si="69"/>
        <v>3</v>
      </c>
      <c r="L763" s="2203"/>
      <c r="M763" s="385"/>
      <c r="N763" s="1746"/>
      <c r="O763" s="385"/>
      <c r="P763" s="413"/>
      <c r="Q763" s="413"/>
      <c r="R763" s="413"/>
      <c r="S763" s="413"/>
      <c r="T763" s="413"/>
      <c r="U763" s="413"/>
      <c r="V763" s="3590"/>
      <c r="W763" s="508"/>
      <c r="X763" s="810"/>
      <c r="Y763" s="810"/>
      <c r="Z763" s="763">
        <v>1239.9999999999995</v>
      </c>
      <c r="AA763" s="508">
        <v>1239.9999999999995</v>
      </c>
      <c r="AB763" s="508">
        <v>1239.9999999999995</v>
      </c>
      <c r="AC763" s="508"/>
      <c r="AD763" s="508"/>
      <c r="AE763" s="508"/>
      <c r="AF763" s="508"/>
      <c r="AG763" s="508"/>
      <c r="BB763" s="794"/>
      <c r="BC763" s="658"/>
      <c r="BD763" s="757"/>
      <c r="BE763" s="659"/>
    </row>
    <row r="764" spans="1:57" s="512" customFormat="1" ht="14.45" customHeight="1" outlineLevel="1" x14ac:dyDescent="0.25">
      <c r="A764" s="2462"/>
      <c r="B764" s="413"/>
      <c r="C764" s="385"/>
      <c r="D764" s="3639"/>
      <c r="E764" s="3787"/>
      <c r="F764" s="3631" t="str">
        <f t="shared" si="68"/>
        <v>CAC - SEER 20 ER1: MF</v>
      </c>
      <c r="G764" s="3632"/>
      <c r="H764" s="3633"/>
      <c r="I764" s="2201"/>
      <c r="J764" s="2215">
        <f>(($R$215/3*K764)+$R$208)-(($Q$215/3*K764)/((1+$R$217)^($R$218-1)))*J619</f>
        <v>1538.0391284569391</v>
      </c>
      <c r="K764" s="1351">
        <f t="shared" si="69"/>
        <v>2</v>
      </c>
      <c r="L764" s="2203"/>
      <c r="M764" s="385"/>
      <c r="N764" s="1746"/>
      <c r="O764" s="385"/>
      <c r="P764" s="413"/>
      <c r="Q764" s="413"/>
      <c r="R764" s="413"/>
      <c r="S764" s="413"/>
      <c r="T764" s="413"/>
      <c r="U764" s="413"/>
      <c r="V764" s="3590"/>
      <c r="W764" s="744"/>
      <c r="X764" s="810"/>
      <c r="Y764" s="810"/>
      <c r="Z764" s="763">
        <v>1538.0391284569391</v>
      </c>
      <c r="AA764" s="508">
        <v>1538.0391284569391</v>
      </c>
      <c r="AB764" s="508">
        <v>1538.0391284569391</v>
      </c>
      <c r="AC764" s="744"/>
      <c r="AD764" s="744"/>
      <c r="AE764" s="744"/>
      <c r="AF764" s="744"/>
      <c r="AG764" s="744"/>
      <c r="BB764" s="794"/>
      <c r="BC764" s="658"/>
      <c r="BD764" s="757"/>
      <c r="BE764" s="659"/>
    </row>
    <row r="765" spans="1:57" s="512" customFormat="1" ht="14.45" customHeight="1" outlineLevel="1" x14ac:dyDescent="0.25">
      <c r="A765" s="2462"/>
      <c r="B765" s="413"/>
      <c r="C765" s="385"/>
      <c r="D765" s="3639"/>
      <c r="E765" s="3787"/>
      <c r="F765" s="3631" t="str">
        <f t="shared" si="68"/>
        <v>CAC - SEER 20 ER2: MF</v>
      </c>
      <c r="G765" s="3632"/>
      <c r="H765" s="3633"/>
      <c r="I765" s="2201"/>
      <c r="J765" s="2215"/>
      <c r="K765" s="1351">
        <f t="shared" si="69"/>
        <v>2</v>
      </c>
      <c r="L765" s="2203"/>
      <c r="M765" s="385"/>
      <c r="N765" s="1746"/>
      <c r="O765" s="385"/>
      <c r="P765" s="413"/>
      <c r="Q765" s="413"/>
      <c r="R765" s="413"/>
      <c r="S765" s="413"/>
      <c r="T765" s="413"/>
      <c r="U765" s="413"/>
      <c r="V765" s="3590"/>
      <c r="W765" s="744"/>
      <c r="X765" s="809"/>
      <c r="Y765" s="810"/>
      <c r="Z765" s="763"/>
      <c r="AA765" s="508"/>
      <c r="AB765" s="508"/>
      <c r="AC765" s="744"/>
      <c r="AD765" s="744"/>
      <c r="AE765" s="744"/>
      <c r="AF765" s="744"/>
      <c r="AG765" s="744"/>
      <c r="BB765" s="794"/>
      <c r="BC765" s="658"/>
      <c r="BD765" s="757"/>
      <c r="BE765" s="659"/>
    </row>
    <row r="766" spans="1:57" s="512" customFormat="1" ht="14.45" customHeight="1" outlineLevel="1" x14ac:dyDescent="0.25">
      <c r="A766" s="2462"/>
      <c r="B766" s="413"/>
      <c r="C766" s="385"/>
      <c r="D766" s="3639"/>
      <c r="E766" s="3787"/>
      <c r="F766" s="3631" t="str">
        <f t="shared" si="68"/>
        <v>CAC - SEER 20 ER1: MF_CompE</v>
      </c>
      <c r="G766" s="3632"/>
      <c r="H766" s="3633"/>
      <c r="I766" s="2201"/>
      <c r="J766" s="2215">
        <f>(($R$215/3*K766)+$R$208)-(($Q$215/3*K766)/((1+$R$217)^($R$218-1)))*J621</f>
        <v>1538.0391284569391</v>
      </c>
      <c r="K766" s="1351">
        <f t="shared" si="69"/>
        <v>2</v>
      </c>
      <c r="L766" s="2203"/>
      <c r="M766" s="385"/>
      <c r="N766" s="1746"/>
      <c r="O766" s="385"/>
      <c r="P766" s="413"/>
      <c r="Q766" s="413"/>
      <c r="R766" s="413"/>
      <c r="S766" s="413"/>
      <c r="T766" s="413"/>
      <c r="U766" s="413"/>
      <c r="V766" s="3590"/>
      <c r="W766" s="744"/>
      <c r="X766" s="809"/>
      <c r="Y766" s="810"/>
      <c r="Z766" s="763">
        <v>1538.0391284569391</v>
      </c>
      <c r="AA766" s="508">
        <v>1538.0391284569391</v>
      </c>
      <c r="AB766" s="508">
        <v>1538.0391284569391</v>
      </c>
      <c r="AC766" s="744"/>
      <c r="AD766" s="744"/>
      <c r="AE766" s="744"/>
      <c r="AF766" s="744"/>
      <c r="AG766" s="744"/>
      <c r="BB766" s="794"/>
      <c r="BC766" s="658"/>
      <c r="BD766" s="757"/>
      <c r="BE766" s="659"/>
    </row>
    <row r="767" spans="1:57" s="512" customFormat="1" ht="14.45" customHeight="1" outlineLevel="1" x14ac:dyDescent="0.25">
      <c r="A767" s="2462"/>
      <c r="B767" s="413"/>
      <c r="C767" s="385"/>
      <c r="D767" s="3639"/>
      <c r="E767" s="3787"/>
      <c r="F767" s="3631" t="str">
        <f t="shared" si="68"/>
        <v>CAC - SEER 20 ER2: MF_CompE</v>
      </c>
      <c r="G767" s="3632"/>
      <c r="H767" s="3633"/>
      <c r="I767" s="2201"/>
      <c r="J767" s="2215"/>
      <c r="K767" s="1351">
        <f t="shared" si="69"/>
        <v>2</v>
      </c>
      <c r="L767" s="2203"/>
      <c r="M767" s="385"/>
      <c r="N767" s="1746"/>
      <c r="O767" s="385"/>
      <c r="P767" s="413"/>
      <c r="Q767" s="413"/>
      <c r="R767" s="413"/>
      <c r="S767" s="413"/>
      <c r="T767" s="413"/>
      <c r="U767" s="413"/>
      <c r="V767" s="3590"/>
      <c r="W767" s="744"/>
      <c r="X767" s="809"/>
      <c r="Y767" s="810"/>
      <c r="Z767" s="763"/>
      <c r="AA767" s="508"/>
      <c r="AB767" s="508"/>
      <c r="AC767" s="744"/>
      <c r="AD767" s="744"/>
      <c r="AE767" s="744"/>
      <c r="AF767" s="744"/>
      <c r="AG767" s="744"/>
      <c r="BB767" s="794"/>
      <c r="BC767" s="658"/>
      <c r="BD767" s="757"/>
      <c r="BE767" s="659"/>
    </row>
    <row r="768" spans="1:57" s="512" customFormat="1" ht="14.45" customHeight="1" outlineLevel="1" x14ac:dyDescent="0.25">
      <c r="A768" s="2462"/>
      <c r="B768" s="413"/>
      <c r="C768" s="385"/>
      <c r="D768" s="3639"/>
      <c r="E768" s="3787"/>
      <c r="F768" s="3631" t="str">
        <f t="shared" si="68"/>
        <v>CAC - SEER 20 ROF: MF</v>
      </c>
      <c r="G768" s="3632"/>
      <c r="H768" s="3633"/>
      <c r="I768" s="2201"/>
      <c r="J768" s="2215">
        <f>$R$208*J623</f>
        <v>1239.9999999999995</v>
      </c>
      <c r="K768" s="1351">
        <f t="shared" si="69"/>
        <v>2</v>
      </c>
      <c r="L768" s="2203"/>
      <c r="M768" s="385"/>
      <c r="N768" s="1746"/>
      <c r="O768" s="385"/>
      <c r="P768" s="413"/>
      <c r="Q768" s="413"/>
      <c r="R768" s="413"/>
      <c r="S768" s="413"/>
      <c r="T768" s="413"/>
      <c r="U768" s="413"/>
      <c r="V768" s="3590"/>
      <c r="W768" s="508"/>
      <c r="X768" s="810"/>
      <c r="Y768" s="810"/>
      <c r="Z768" s="763">
        <v>1239.9999999999995</v>
      </c>
      <c r="AA768" s="508">
        <v>1239.9999999999995</v>
      </c>
      <c r="AB768" s="508">
        <v>1239.9999999999995</v>
      </c>
      <c r="AC768" s="508"/>
      <c r="AD768" s="508"/>
      <c r="AE768" s="508"/>
      <c r="AF768" s="508"/>
      <c r="AG768" s="508"/>
      <c r="BB768" s="794"/>
      <c r="BC768" s="658"/>
      <c r="BD768" s="757"/>
      <c r="BE768" s="659"/>
    </row>
    <row r="769" spans="1:57" s="512" customFormat="1" ht="14.45" customHeight="1" outlineLevel="1" x14ac:dyDescent="0.25">
      <c r="A769" s="2462"/>
      <c r="B769" s="413"/>
      <c r="C769" s="385"/>
      <c r="D769" s="3639"/>
      <c r="E769" s="3787"/>
      <c r="F769" s="3631" t="str">
        <f t="shared" si="68"/>
        <v>CAC - SEER 20 ROF: MF_CompE</v>
      </c>
      <c r="G769" s="3632"/>
      <c r="H769" s="3633"/>
      <c r="I769" s="2201"/>
      <c r="J769" s="2215">
        <f>$R$208*J624</f>
        <v>1239.9999999999995</v>
      </c>
      <c r="K769" s="1351">
        <f t="shared" si="69"/>
        <v>2</v>
      </c>
      <c r="L769" s="2203"/>
      <c r="M769" s="385"/>
      <c r="N769" s="1746"/>
      <c r="O769" s="385"/>
      <c r="P769" s="413"/>
      <c r="Q769" s="413"/>
      <c r="R769" s="413"/>
      <c r="S769" s="413"/>
      <c r="T769" s="413"/>
      <c r="U769" s="413"/>
      <c r="V769" s="3590"/>
      <c r="W769" s="508"/>
      <c r="X769" s="810"/>
      <c r="Y769" s="810"/>
      <c r="Z769" s="763">
        <v>1239.9999999999995</v>
      </c>
      <c r="AA769" s="508">
        <v>1239.9999999999995</v>
      </c>
      <c r="AB769" s="508">
        <v>1239.9999999999995</v>
      </c>
      <c r="AC769" s="508"/>
      <c r="AD769" s="508"/>
      <c r="AE769" s="508"/>
      <c r="AF769" s="508"/>
      <c r="AG769" s="508"/>
      <c r="BB769" s="794"/>
      <c r="BC769" s="658"/>
      <c r="BD769" s="757"/>
      <c r="BE769" s="659"/>
    </row>
    <row r="770" spans="1:57" s="512" customFormat="1" ht="14.45" customHeight="1" outlineLevel="1" x14ac:dyDescent="0.25">
      <c r="A770" s="2462"/>
      <c r="B770" s="413"/>
      <c r="C770" s="385"/>
      <c r="D770" s="3639"/>
      <c r="E770" s="3787"/>
      <c r="F770" s="3631" t="str">
        <f t="shared" si="68"/>
        <v>CAC - SEER 21+ ER1: SF</v>
      </c>
      <c r="G770" s="3632"/>
      <c r="H770" s="3633"/>
      <c r="I770" s="2201"/>
      <c r="J770" s="2215">
        <f>(($R$215/3*K770)+$R$209)-(($Q$215/3*K770)/((1+$R$217)^($R$218-1)))*J625</f>
        <v>1893.7253593520759</v>
      </c>
      <c r="K770" s="1351">
        <f t="shared" si="69"/>
        <v>3</v>
      </c>
      <c r="L770" s="2203"/>
      <c r="M770" s="385"/>
      <c r="N770" s="1746"/>
      <c r="O770" s="385"/>
      <c r="P770" s="413"/>
      <c r="Q770" s="413"/>
      <c r="R770" s="413"/>
      <c r="S770" s="413"/>
      <c r="T770" s="413"/>
      <c r="U770" s="413"/>
      <c r="V770" s="3590"/>
      <c r="W770" s="744"/>
      <c r="X770" s="810"/>
      <c r="Y770" s="810"/>
      <c r="Z770" s="763">
        <v>1893.7253593520759</v>
      </c>
      <c r="AA770" s="508">
        <v>1893.7253593520759</v>
      </c>
      <c r="AB770" s="508">
        <v>1893.7253593520759</v>
      </c>
      <c r="AC770" s="744"/>
      <c r="AD770" s="744"/>
      <c r="AE770" s="744"/>
      <c r="AF770" s="744"/>
      <c r="AG770" s="744"/>
      <c r="BB770" s="794"/>
      <c r="BC770" s="658"/>
      <c r="BD770" s="757"/>
      <c r="BE770" s="659"/>
    </row>
    <row r="771" spans="1:57" s="512" customFormat="1" ht="14.45" customHeight="1" outlineLevel="1" x14ac:dyDescent="0.25">
      <c r="A771" s="2462"/>
      <c r="B771" s="413"/>
      <c r="C771" s="385"/>
      <c r="D771" s="3639"/>
      <c r="E771" s="3787"/>
      <c r="F771" s="3631" t="str">
        <f t="shared" si="68"/>
        <v>CAC - SEER 21+ ER2: SF</v>
      </c>
      <c r="G771" s="3632"/>
      <c r="H771" s="3633"/>
      <c r="I771" s="2201"/>
      <c r="J771" s="2215"/>
      <c r="K771" s="1351">
        <f t="shared" ref="K771:K778" si="70">K338*J626</f>
        <v>3</v>
      </c>
      <c r="L771" s="2203"/>
      <c r="M771" s="385"/>
      <c r="N771" s="1746"/>
      <c r="O771" s="385"/>
      <c r="P771" s="413"/>
      <c r="Q771" s="413"/>
      <c r="R771" s="413"/>
      <c r="S771" s="413"/>
      <c r="T771" s="413"/>
      <c r="U771" s="413"/>
      <c r="V771" s="3590"/>
      <c r="W771" s="744"/>
      <c r="X771" s="809"/>
      <c r="Y771" s="810"/>
      <c r="Z771" s="763"/>
      <c r="AA771" s="508"/>
      <c r="AB771" s="508"/>
      <c r="AC771" s="744"/>
      <c r="AD771" s="744"/>
      <c r="AE771" s="744"/>
      <c r="AF771" s="744"/>
      <c r="AG771" s="744"/>
      <c r="BB771" s="794"/>
      <c r="BC771" s="658"/>
      <c r="BD771" s="757"/>
      <c r="BE771" s="659"/>
    </row>
    <row r="772" spans="1:57" s="512" customFormat="1" ht="14.45" customHeight="1" outlineLevel="1" x14ac:dyDescent="0.25">
      <c r="A772" s="2462"/>
      <c r="B772" s="413"/>
      <c r="C772" s="385"/>
      <c r="D772" s="3639"/>
      <c r="E772" s="3787"/>
      <c r="F772" s="3631" t="str">
        <f t="shared" si="68"/>
        <v>CAC - SEER 21+ ROF: SF</v>
      </c>
      <c r="G772" s="3632"/>
      <c r="H772" s="3633"/>
      <c r="I772" s="2201"/>
      <c r="J772" s="2215">
        <f>$R$209*J627</f>
        <v>1446.6666666666663</v>
      </c>
      <c r="K772" s="1351">
        <f t="shared" si="70"/>
        <v>3</v>
      </c>
      <c r="L772" s="2203"/>
      <c r="M772" s="385"/>
      <c r="N772" s="1746"/>
      <c r="O772" s="385"/>
      <c r="P772" s="413"/>
      <c r="Q772" s="413"/>
      <c r="R772" s="413"/>
      <c r="S772" s="413"/>
      <c r="T772" s="413"/>
      <c r="U772" s="413"/>
      <c r="V772" s="3590"/>
      <c r="W772" s="744"/>
      <c r="X772" s="810"/>
      <c r="Y772" s="810"/>
      <c r="Z772" s="763">
        <v>1446.6666666666663</v>
      </c>
      <c r="AA772" s="508">
        <v>1446.6666666666663</v>
      </c>
      <c r="AB772" s="508">
        <v>1446.6666666666663</v>
      </c>
      <c r="AC772" s="744"/>
      <c r="AD772" s="744"/>
      <c r="AE772" s="744"/>
      <c r="AF772" s="744"/>
      <c r="AG772" s="744"/>
      <c r="BB772" s="794"/>
      <c r="BC772" s="658"/>
      <c r="BD772" s="757"/>
      <c r="BE772" s="659"/>
    </row>
    <row r="773" spans="1:57" s="512" customFormat="1" ht="14.45" customHeight="1" outlineLevel="1" x14ac:dyDescent="0.25">
      <c r="A773" s="2462"/>
      <c r="B773" s="413"/>
      <c r="C773" s="385"/>
      <c r="D773" s="3639"/>
      <c r="E773" s="3787"/>
      <c r="F773" s="3631" t="str">
        <f t="shared" si="68"/>
        <v>CAC - SEER 21+ ER1: MF</v>
      </c>
      <c r="G773" s="3632"/>
      <c r="H773" s="3633"/>
      <c r="I773" s="2201"/>
      <c r="J773" s="2215">
        <f>(($R$215/3*K773)+$R$209)-(($Q$215/3*K773)/((1+$R$217)^($R$218-1)))*J628</f>
        <v>1744.7057951236061</v>
      </c>
      <c r="K773" s="1351">
        <f t="shared" si="70"/>
        <v>2</v>
      </c>
      <c r="L773" s="2203"/>
      <c r="M773" s="385"/>
      <c r="N773" s="1746"/>
      <c r="O773" s="385"/>
      <c r="P773" s="413"/>
      <c r="Q773" s="413"/>
      <c r="R773" s="413"/>
      <c r="S773" s="413"/>
      <c r="T773" s="413"/>
      <c r="U773" s="413"/>
      <c r="V773" s="3590"/>
      <c r="W773" s="744"/>
      <c r="X773" s="810"/>
      <c r="Y773" s="810"/>
      <c r="Z773" s="763">
        <v>1744.7057951236061</v>
      </c>
      <c r="AA773" s="508">
        <v>1744.7057951236061</v>
      </c>
      <c r="AB773" s="508">
        <v>1744.7057951236061</v>
      </c>
      <c r="AC773" s="744"/>
      <c r="AD773" s="744"/>
      <c r="AE773" s="744"/>
      <c r="AF773" s="744"/>
      <c r="AG773" s="744"/>
      <c r="BB773" s="794"/>
      <c r="BC773" s="658"/>
      <c r="BD773" s="757"/>
      <c r="BE773" s="659"/>
    </row>
    <row r="774" spans="1:57" s="512" customFormat="1" ht="14.45" customHeight="1" outlineLevel="1" x14ac:dyDescent="0.25">
      <c r="A774" s="2462"/>
      <c r="B774" s="413"/>
      <c r="C774" s="385"/>
      <c r="D774" s="3639"/>
      <c r="E774" s="3787"/>
      <c r="F774" s="3631" t="str">
        <f t="shared" si="68"/>
        <v>CAC - SEER 21+ ER2: MF</v>
      </c>
      <c r="G774" s="3632"/>
      <c r="H774" s="3633"/>
      <c r="I774" s="2201"/>
      <c r="J774" s="2215"/>
      <c r="K774" s="1351">
        <f t="shared" si="70"/>
        <v>2</v>
      </c>
      <c r="L774" s="2203"/>
      <c r="M774" s="385"/>
      <c r="N774" s="1746"/>
      <c r="O774" s="385"/>
      <c r="P774" s="413"/>
      <c r="Q774" s="413"/>
      <c r="R774" s="413"/>
      <c r="S774" s="413"/>
      <c r="T774" s="413"/>
      <c r="U774" s="413"/>
      <c r="V774" s="3590"/>
      <c r="W774" s="744"/>
      <c r="X774" s="809"/>
      <c r="Y774" s="810"/>
      <c r="Z774" s="763"/>
      <c r="AA774" s="508"/>
      <c r="AB774" s="508"/>
      <c r="AC774" s="744"/>
      <c r="AD774" s="744"/>
      <c r="AE774" s="744"/>
      <c r="AF774" s="744"/>
      <c r="AG774" s="744"/>
      <c r="BB774" s="794"/>
      <c r="BC774" s="658"/>
      <c r="BD774" s="757"/>
      <c r="BE774" s="659"/>
    </row>
    <row r="775" spans="1:57" s="512" customFormat="1" ht="14.45" customHeight="1" outlineLevel="1" x14ac:dyDescent="0.25">
      <c r="A775" s="2462"/>
      <c r="B775" s="413"/>
      <c r="C775" s="385"/>
      <c r="D775" s="3639"/>
      <c r="E775" s="3787"/>
      <c r="F775" s="3631" t="str">
        <f t="shared" si="68"/>
        <v>CAC - SEER 21+ ER1: MF_CompE</v>
      </c>
      <c r="G775" s="3632"/>
      <c r="H775" s="3633"/>
      <c r="I775" s="2204"/>
      <c r="J775" s="2215">
        <f>(($R$215/3*K775)+$R$209)-(($Q$215/3*K775)/((1+$R$217)^($R$218-1)))*J630</f>
        <v>1744.7057951236061</v>
      </c>
      <c r="K775" s="1351">
        <f t="shared" si="70"/>
        <v>2</v>
      </c>
      <c r="L775" s="2206"/>
      <c r="M775" s="385"/>
      <c r="N775" s="1746"/>
      <c r="O775" s="385"/>
      <c r="P775" s="413"/>
      <c r="Q775" s="413"/>
      <c r="R775" s="413"/>
      <c r="S775" s="413"/>
      <c r="T775" s="413"/>
      <c r="U775" s="413"/>
      <c r="V775" s="3590"/>
      <c r="W775" s="811"/>
      <c r="X775" s="812"/>
      <c r="Y775" s="813"/>
      <c r="Z775" s="763">
        <v>1744.7057951236061</v>
      </c>
      <c r="AA775" s="508">
        <v>1744.7057951236061</v>
      </c>
      <c r="AB775" s="508">
        <v>1744.7057951236061</v>
      </c>
      <c r="AC775" s="811"/>
      <c r="AD775" s="811"/>
      <c r="AE775" s="811"/>
      <c r="AF775" s="811"/>
      <c r="AG775" s="811"/>
      <c r="BB775" s="794"/>
      <c r="BC775" s="658"/>
      <c r="BD775" s="757"/>
      <c r="BE775" s="659"/>
    </row>
    <row r="776" spans="1:57" s="512" customFormat="1" ht="14.45" customHeight="1" outlineLevel="1" x14ac:dyDescent="0.25">
      <c r="A776" s="2462"/>
      <c r="B776" s="413"/>
      <c r="C776" s="385"/>
      <c r="D776" s="3639"/>
      <c r="E776" s="3787"/>
      <c r="F776" s="3631" t="str">
        <f t="shared" si="68"/>
        <v>CAC - SEER 21+ ER2: MF_CompE</v>
      </c>
      <c r="G776" s="3632"/>
      <c r="H776" s="3633"/>
      <c r="I776" s="2204"/>
      <c r="J776" s="2216"/>
      <c r="K776" s="1351">
        <f t="shared" si="70"/>
        <v>2</v>
      </c>
      <c r="L776" s="2206"/>
      <c r="M776" s="385"/>
      <c r="N776" s="1746"/>
      <c r="O776" s="385"/>
      <c r="P776" s="413"/>
      <c r="Q776" s="413"/>
      <c r="R776" s="413"/>
      <c r="S776" s="413"/>
      <c r="T776" s="413"/>
      <c r="U776" s="413"/>
      <c r="V776" s="3590"/>
      <c r="W776" s="811"/>
      <c r="X776" s="812"/>
      <c r="Y776" s="813"/>
      <c r="Z776" s="2228"/>
      <c r="AA776" s="824"/>
      <c r="AB776" s="824"/>
      <c r="AC776" s="811"/>
      <c r="AD776" s="811"/>
      <c r="AE776" s="811"/>
      <c r="AF776" s="811"/>
      <c r="AG776" s="811"/>
      <c r="BB776" s="794"/>
      <c r="BC776" s="658"/>
      <c r="BD776" s="757"/>
      <c r="BE776" s="659"/>
    </row>
    <row r="777" spans="1:57" s="512" customFormat="1" ht="14.45" customHeight="1" outlineLevel="1" x14ac:dyDescent="0.25">
      <c r="A777" s="2462"/>
      <c r="B777" s="413"/>
      <c r="C777" s="385"/>
      <c r="D777" s="3639"/>
      <c r="E777" s="3787"/>
      <c r="F777" s="3631" t="str">
        <f t="shared" si="68"/>
        <v>CAC - SEER 21+ ROF: MF</v>
      </c>
      <c r="G777" s="3632"/>
      <c r="H777" s="3633"/>
      <c r="I777" s="2204"/>
      <c r="J777" s="2215">
        <f>$R$209*J632</f>
        <v>1446.6666666666663</v>
      </c>
      <c r="K777" s="1351">
        <f t="shared" si="70"/>
        <v>2</v>
      </c>
      <c r="L777" s="2206"/>
      <c r="M777" s="385"/>
      <c r="N777" s="1746"/>
      <c r="O777" s="385"/>
      <c r="P777" s="413"/>
      <c r="Q777" s="413"/>
      <c r="R777" s="413"/>
      <c r="S777" s="413"/>
      <c r="T777" s="413"/>
      <c r="U777" s="413"/>
      <c r="V777" s="3590"/>
      <c r="W777" s="811"/>
      <c r="X777" s="813"/>
      <c r="Y777" s="813"/>
      <c r="Z777" s="763">
        <v>1446.6666666666663</v>
      </c>
      <c r="AA777" s="508">
        <v>1446.6666666666663</v>
      </c>
      <c r="AB777" s="508">
        <v>1446.6666666666663</v>
      </c>
      <c r="AC777" s="811"/>
      <c r="AD777" s="811"/>
      <c r="AE777" s="811"/>
      <c r="AF777" s="811"/>
      <c r="AG777" s="811"/>
      <c r="BB777" s="794"/>
      <c r="BC777" s="658"/>
      <c r="BD777" s="757"/>
      <c r="BE777" s="659"/>
    </row>
    <row r="778" spans="1:57" s="512" customFormat="1" ht="14.45" customHeight="1" outlineLevel="1" thickBot="1" x14ac:dyDescent="0.3">
      <c r="A778" s="2462"/>
      <c r="B778" s="413"/>
      <c r="C778" s="385"/>
      <c r="D778" s="3640"/>
      <c r="E778" s="3788"/>
      <c r="F778" s="3673" t="str">
        <f t="shared" si="68"/>
        <v>CAC - SEER 21+ ROF: MF_CompE</v>
      </c>
      <c r="G778" s="3674"/>
      <c r="H778" s="3675"/>
      <c r="I778" s="2217"/>
      <c r="J778" s="2218">
        <f>$R$209*J633</f>
        <v>1446.6666666666663</v>
      </c>
      <c r="K778" s="2197">
        <f t="shared" si="70"/>
        <v>2</v>
      </c>
      <c r="L778" s="2219"/>
      <c r="M778" s="385"/>
      <c r="N778" s="1746"/>
      <c r="O778" s="385"/>
      <c r="P778" s="413"/>
      <c r="Q778" s="413"/>
      <c r="R778" s="413"/>
      <c r="S778" s="413"/>
      <c r="T778" s="413"/>
      <c r="U778" s="413"/>
      <c r="V778" s="3591"/>
      <c r="W778" s="814"/>
      <c r="X778" s="815"/>
      <c r="Y778" s="815"/>
      <c r="Z778" s="2229">
        <v>1446.6666666666663</v>
      </c>
      <c r="AA778" s="2640">
        <v>1446.6666666666663</v>
      </c>
      <c r="AB778" s="2640">
        <v>1446.6666666666663</v>
      </c>
      <c r="AC778" s="814"/>
      <c r="AD778" s="814"/>
      <c r="AE778" s="814"/>
      <c r="AF778" s="814"/>
      <c r="AG778" s="814"/>
      <c r="BB778" s="794"/>
      <c r="BC778" s="658"/>
      <c r="BD778" s="757"/>
      <c r="BE778" s="659"/>
    </row>
    <row r="779" spans="1:57" x14ac:dyDescent="0.25">
      <c r="I779" s="157" t="s">
        <v>1204</v>
      </c>
      <c r="L779" s="385"/>
      <c r="M779" s="385"/>
      <c r="N779" s="385"/>
      <c r="O779" s="385"/>
      <c r="P779" s="385"/>
      <c r="Q779" s="385"/>
      <c r="W779" s="64"/>
      <c r="X779" s="64"/>
      <c r="Y779" s="64"/>
      <c r="Z779" s="64"/>
      <c r="BC779" s="658"/>
      <c r="BD779" s="757"/>
      <c r="BE779" s="659"/>
    </row>
    <row r="780" spans="1:57" x14ac:dyDescent="0.25">
      <c r="H780" s="385"/>
      <c r="I780" s="385"/>
      <c r="J780" s="385"/>
      <c r="K780" s="385"/>
      <c r="L780" s="385"/>
      <c r="M780" s="385"/>
      <c r="BC780" s="658"/>
      <c r="BD780" s="757"/>
      <c r="BE780" s="659"/>
    </row>
    <row r="781" spans="1:57" s="64" customFormat="1" x14ac:dyDescent="0.25">
      <c r="A781" s="1393"/>
      <c r="B781" s="1404" t="s">
        <v>3224</v>
      </c>
      <c r="C781" s="816"/>
      <c r="D781" s="1405"/>
      <c r="E781" s="1405"/>
      <c r="F781" s="1405"/>
      <c r="G781" s="1405"/>
      <c r="H781" s="1405"/>
      <c r="I781" s="1405"/>
      <c r="J781" s="1405"/>
      <c r="K781" s="1405"/>
      <c r="L781" s="1405"/>
      <c r="M781" s="1405"/>
      <c r="N781" s="1754"/>
      <c r="O781" s="1754"/>
      <c r="P781" s="1754"/>
      <c r="Q781" s="1755"/>
      <c r="R781" s="157"/>
      <c r="S781" s="157"/>
      <c r="T781" s="157"/>
      <c r="U781" s="157"/>
      <c r="V781" s="3350" t="str">
        <f>B781</f>
        <v>Ductless Heat Pumps and Air Conditioners</v>
      </c>
      <c r="W781" s="3351"/>
      <c r="X781" s="3351"/>
      <c r="Y781" s="3351"/>
      <c r="Z781" s="3351"/>
      <c r="AA781" s="3351"/>
      <c r="AB781" s="3351"/>
      <c r="AC781" s="3354"/>
      <c r="AD781" s="3354"/>
      <c r="AE781" s="3354"/>
      <c r="AF781" s="3354"/>
      <c r="AG781" s="3354"/>
      <c r="AH781" s="3355"/>
      <c r="BB781" s="647"/>
      <c r="BC781" s="658"/>
      <c r="BD781" s="757"/>
      <c r="BE781" s="659"/>
    </row>
    <row r="782" spans="1:57" s="64" customFormat="1" x14ac:dyDescent="0.25">
      <c r="A782" s="1393"/>
      <c r="B782" s="157"/>
      <c r="C782" s="385"/>
      <c r="D782" s="386" t="s">
        <v>1120</v>
      </c>
      <c r="E782" s="386"/>
      <c r="F782" s="157"/>
      <c r="G782" s="386"/>
      <c r="H782" s="385"/>
      <c r="I782" s="385"/>
      <c r="J782" s="385"/>
      <c r="K782" s="385"/>
      <c r="L782" s="385"/>
      <c r="M782" s="385"/>
      <c r="N782" s="157"/>
      <c r="O782" s="157"/>
      <c r="P782" s="157"/>
      <c r="Q782" s="157"/>
      <c r="R782" s="157"/>
      <c r="S782" s="157"/>
      <c r="T782" s="157"/>
      <c r="U782" s="157"/>
      <c r="V782" s="157"/>
      <c r="BB782" s="647"/>
      <c r="BC782" s="658"/>
      <c r="BD782" s="757"/>
      <c r="BE782" s="659"/>
    </row>
    <row r="783" spans="1:57" s="64" customFormat="1" ht="30" x14ac:dyDescent="0.25">
      <c r="A783" s="1393"/>
      <c r="B783" s="157"/>
      <c r="C783" s="1420" t="s">
        <v>17</v>
      </c>
      <c r="D783" s="1420" t="s">
        <v>616</v>
      </c>
      <c r="E783" s="1420" t="s">
        <v>19</v>
      </c>
      <c r="F783" s="1420" t="s">
        <v>20</v>
      </c>
      <c r="G783" s="1420" t="s">
        <v>21</v>
      </c>
      <c r="H783" s="1420" t="s">
        <v>22</v>
      </c>
      <c r="I783" s="1420" t="s">
        <v>23</v>
      </c>
      <c r="J783" s="1444" t="s">
        <v>24</v>
      </c>
      <c r="K783" s="1420" t="s">
        <v>25</v>
      </c>
      <c r="L783" s="1420" t="s">
        <v>1121</v>
      </c>
      <c r="M783" s="157"/>
      <c r="N783" s="157"/>
      <c r="O783" s="157"/>
      <c r="P783" s="157"/>
      <c r="Q783" s="157"/>
      <c r="R783" s="277"/>
      <c r="S783" s="277"/>
      <c r="T783" s="277"/>
      <c r="U783" s="277"/>
      <c r="V783" s="623" t="s">
        <v>27</v>
      </c>
      <c r="W783" s="2284">
        <f>W$6</f>
        <v>43252</v>
      </c>
      <c r="X783" s="2284">
        <f t="shared" ref="X783:AG783" si="71">X$6</f>
        <v>43465</v>
      </c>
      <c r="Y783" s="2284">
        <f t="shared" si="71"/>
        <v>43800</v>
      </c>
      <c r="Z783" s="2284">
        <f t="shared" si="71"/>
        <v>43862</v>
      </c>
      <c r="AA783" s="2284">
        <f t="shared" si="71"/>
        <v>44013</v>
      </c>
      <c r="AB783" s="2284">
        <f t="shared" si="71"/>
        <v>44166</v>
      </c>
      <c r="AC783" s="2284" t="str">
        <f t="shared" si="71"/>
        <v>-</v>
      </c>
      <c r="AD783" s="2284" t="str">
        <f t="shared" si="71"/>
        <v>-</v>
      </c>
      <c r="AE783" s="2284" t="str">
        <f t="shared" si="71"/>
        <v>-</v>
      </c>
      <c r="AF783" s="2284" t="str">
        <f t="shared" si="71"/>
        <v>-</v>
      </c>
      <c r="AG783" s="2284" t="str">
        <f t="shared" si="71"/>
        <v>-</v>
      </c>
      <c r="BB783" s="93" t="str">
        <f>$BB$6</f>
        <v>TRC (2020)</v>
      </c>
      <c r="BC783" s="93" t="str">
        <f>$BC$6</f>
        <v>Benefit Lookup</v>
      </c>
      <c r="BD783" s="741" t="str">
        <f>$BD$6</f>
        <v>Benefits (2019 $)</v>
      </c>
      <c r="BE783" s="279" t="str">
        <f>$BE$6</f>
        <v>Incremental Cost (2019 $)</v>
      </c>
    </row>
    <row r="784" spans="1:57" s="64" customFormat="1" x14ac:dyDescent="0.25">
      <c r="A784" s="1393" t="str">
        <f t="shared" ref="A784:A834" si="72">C784&amp;G784</f>
        <v>351200_2019_12_Cooling RES</v>
      </c>
      <c r="B784" s="157"/>
      <c r="C784" s="1670" t="s">
        <v>1205</v>
      </c>
      <c r="D784" s="1658" t="s">
        <v>740</v>
      </c>
      <c r="E784" s="742" t="s">
        <v>1206</v>
      </c>
      <c r="F784" s="2582">
        <f>ROUND((($J$959*$J$980*(1/$J$1022-1/$J$1043))/1000)*$J$1064*$J$1115,2)</f>
        <v>1320.98</v>
      </c>
      <c r="G784" s="1756" t="s">
        <v>690</v>
      </c>
      <c r="H784" s="202">
        <f>VLOOKUP(G784,'CP FACTORS'!$A$3:$B$38, 2, FALSE)</f>
        <v>9.4741810000000004E-4</v>
      </c>
      <c r="I784" s="1757">
        <f>ROUND(F784*H784,6)</f>
        <v>1.25152</v>
      </c>
      <c r="J784" s="3095">
        <f t="shared" ref="J784:J802" si="73">J1116</f>
        <v>6</v>
      </c>
      <c r="K784" s="508">
        <f t="shared" ref="K784:K802" si="74">J1150</f>
        <v>1231.1592671062349</v>
      </c>
      <c r="L784" s="285">
        <f>K960</f>
        <v>1.3125</v>
      </c>
      <c r="M784" s="1758"/>
      <c r="N784" s="157"/>
      <c r="O784" s="157"/>
      <c r="P784" s="157"/>
      <c r="Q784" s="157"/>
      <c r="R784" s="1627"/>
      <c r="S784" s="277"/>
      <c r="T784" s="277"/>
      <c r="U784" s="277"/>
      <c r="V784" s="2309" t="s">
        <v>20</v>
      </c>
      <c r="W784" s="817">
        <v>2022.4940476190473</v>
      </c>
      <c r="X784" s="746">
        <v>1807.7600345274061</v>
      </c>
      <c r="Y784" s="818">
        <v>1320.98</v>
      </c>
      <c r="Z784" s="2641">
        <v>1320.98</v>
      </c>
      <c r="AA784" s="2641">
        <v>1320.98</v>
      </c>
      <c r="AB784" s="2458">
        <v>1320.98</v>
      </c>
      <c r="AC784" s="63"/>
      <c r="AD784" s="63"/>
      <c r="AE784" s="63"/>
      <c r="AF784" s="63"/>
      <c r="AG784" s="63"/>
      <c r="AH784" s="211"/>
      <c r="AI784" s="211"/>
      <c r="BB784" s="288">
        <f>(BD784+BD785)/(BE784+BE785)</f>
        <v>1.0536928432039632</v>
      </c>
      <c r="BC784" s="742" t="str">
        <f t="shared" ref="BC784:BC834" si="75">CONCATENATE(G784," ",J784," Year EUL")</f>
        <v>Cooling RES 6 Year EUL</v>
      </c>
      <c r="BD784" s="749">
        <f>(INDEX('Avoided Cost Benefits'!$C$4:$C$857,MATCH(BC784,'Avoided Cost Benefits'!$A$4:$A$857,0)))*F784</f>
        <v>768.12894955388606</v>
      </c>
      <c r="BE784" s="69">
        <f t="shared" ref="BE784:BE834" si="76">K784/(1.0595^(2020-2019))</f>
        <v>1162.0191289346246</v>
      </c>
    </row>
    <row r="785" spans="1:57" s="64" customFormat="1" x14ac:dyDescent="0.25">
      <c r="A785" s="1393" t="str">
        <f t="shared" si="72"/>
        <v>351200_2019_12_Cooling RES ER2</v>
      </c>
      <c r="B785" s="157"/>
      <c r="C785" s="1670" t="s">
        <v>1205</v>
      </c>
      <c r="D785" s="1734" t="s">
        <v>740</v>
      </c>
      <c r="E785" s="750" t="s">
        <v>1207</v>
      </c>
      <c r="F785" s="2582">
        <f>ROUND((($J$959*$J$980*(1/$J$1001-1/$J$1043))/1000)*$J$1065*$J$1115,2)</f>
        <v>385.92</v>
      </c>
      <c r="G785" s="1756" t="s">
        <v>1125</v>
      </c>
      <c r="H785" s="202">
        <f>VLOOKUP(G785,'CP FACTORS'!$A$3:$B$38, 2, FALSE)</f>
        <v>9.4741810000000004E-4</v>
      </c>
      <c r="I785" s="1757">
        <f t="shared" ref="I785:I834" si="77">ROUND(F785*H785,6)</f>
        <v>0.36562800000000001</v>
      </c>
      <c r="J785" s="3095">
        <f t="shared" si="73"/>
        <v>12</v>
      </c>
      <c r="K785" s="508">
        <f t="shared" si="74"/>
        <v>0</v>
      </c>
      <c r="L785" s="285"/>
      <c r="M785" s="1758"/>
      <c r="N785" s="157"/>
      <c r="O785" s="157"/>
      <c r="P785" s="157"/>
      <c r="Q785" s="157"/>
      <c r="R785" s="1627"/>
      <c r="S785" s="277"/>
      <c r="T785" s="277"/>
      <c r="U785" s="277"/>
      <c r="V785" s="2309" t="s">
        <v>20</v>
      </c>
      <c r="W785" s="817">
        <v>572.25082417582416</v>
      </c>
      <c r="X785" s="746">
        <v>528.13366090103261</v>
      </c>
      <c r="Y785" s="818">
        <v>385.92</v>
      </c>
      <c r="Z785" s="2641">
        <v>385.92</v>
      </c>
      <c r="AA785" s="2641">
        <v>385.92</v>
      </c>
      <c r="AB785" s="2458">
        <v>385.92</v>
      </c>
      <c r="AC785" s="63"/>
      <c r="AD785" s="63"/>
      <c r="AE785" s="63"/>
      <c r="AF785" s="63"/>
      <c r="AG785" s="63"/>
      <c r="AH785" s="211"/>
      <c r="AI785" s="211"/>
      <c r="BB785" s="291"/>
      <c r="BC785" s="750" t="str">
        <f t="shared" si="75"/>
        <v>Cooling RES ER2 12 Year EUL</v>
      </c>
      <c r="BD785" s="752">
        <f>(INDEX('Avoided Cost Benefits'!$C$4:$C$857,MATCH(BC785,'Avoided Cost Benefits'!$A$4:$A$857,0)))*F785</f>
        <v>456.28229027063122</v>
      </c>
      <c r="BE785" s="73">
        <f t="shared" si="76"/>
        <v>0</v>
      </c>
    </row>
    <row r="786" spans="1:57" s="64" customFormat="1" x14ac:dyDescent="0.25">
      <c r="A786" s="1393" t="str">
        <f t="shared" si="72"/>
        <v>351250_2019_12_Cooling RES</v>
      </c>
      <c r="B786" s="157"/>
      <c r="C786" s="1670" t="s">
        <v>1208</v>
      </c>
      <c r="D786" s="1734" t="s">
        <v>740</v>
      </c>
      <c r="E786" s="2174" t="s">
        <v>1209</v>
      </c>
      <c r="F786" s="2582">
        <f>ROUND((($J$960*$J$981*(1/$J$1002-1/$J$1044))/1000)*$J$1066*$J$1115,2)</f>
        <v>332.95</v>
      </c>
      <c r="G786" s="380" t="s">
        <v>690</v>
      </c>
      <c r="H786" s="202">
        <f>VLOOKUP(G786,'CP FACTORS'!$A$3:$B$38, 2, FALSE)</f>
        <v>9.4741810000000004E-4</v>
      </c>
      <c r="I786" s="1757">
        <f t="shared" si="77"/>
        <v>0.31544299999999997</v>
      </c>
      <c r="J786" s="3095">
        <f t="shared" si="73"/>
        <v>18</v>
      </c>
      <c r="K786" s="508">
        <f t="shared" si="74"/>
        <v>336</v>
      </c>
      <c r="L786" s="285">
        <f>K960</f>
        <v>1.3125</v>
      </c>
      <c r="M786" s="1758"/>
      <c r="N786" s="1759"/>
      <c r="O786" s="157"/>
      <c r="P786" s="157"/>
      <c r="Q786" s="157"/>
      <c r="R786" s="1627"/>
      <c r="S786" s="277"/>
      <c r="T786" s="277"/>
      <c r="U786" s="277"/>
      <c r="V786" s="2309" t="s">
        <v>20</v>
      </c>
      <c r="W786" s="817">
        <v>1875.936507936508</v>
      </c>
      <c r="X786" s="746">
        <v>1807.7600345274061</v>
      </c>
      <c r="Y786" s="818">
        <v>1320.98</v>
      </c>
      <c r="Z786" s="2641">
        <v>1320.98</v>
      </c>
      <c r="AA786" s="2641">
        <v>1320.98</v>
      </c>
      <c r="AB786" s="2164">
        <v>332.95</v>
      </c>
      <c r="AC786" s="63"/>
      <c r="AD786" s="63"/>
      <c r="AE786" s="63"/>
      <c r="AF786" s="63"/>
      <c r="AG786" s="63"/>
      <c r="AH786" s="211"/>
      <c r="AI786" s="211"/>
      <c r="BB786" s="2236">
        <f>(BD786)/(BE786)</f>
        <v>1.8517908389406215</v>
      </c>
      <c r="BC786" s="388" t="str">
        <f t="shared" si="75"/>
        <v>Cooling RES 18 Year EUL</v>
      </c>
      <c r="BD786" s="752">
        <f>(INDEX('Avoided Cost Benefits'!$C$4:$C$857,MATCH(BC786,'Avoided Cost Benefits'!$A$4:$A$857,0)))*F786</f>
        <v>587.25976581788461</v>
      </c>
      <c r="BE786" s="73">
        <f t="shared" si="76"/>
        <v>317.13072203869746</v>
      </c>
    </row>
    <row r="787" spans="1:57" s="64" customFormat="1" x14ac:dyDescent="0.25">
      <c r="A787" s="1393" t="str">
        <f t="shared" si="72"/>
        <v>351300_2019_12_Cooling RES</v>
      </c>
      <c r="B787" s="157"/>
      <c r="C787" s="1670" t="s">
        <v>1210</v>
      </c>
      <c r="D787" s="1734" t="s">
        <v>740</v>
      </c>
      <c r="E787" s="742" t="s">
        <v>1211</v>
      </c>
      <c r="F787" s="2582">
        <f>ROUND((($J$961*$J$982*(1/$J$1003-1/$J$1045))/1000)*$J$1067*$J$1115,2)</f>
        <v>214.85</v>
      </c>
      <c r="G787" s="380" t="s">
        <v>690</v>
      </c>
      <c r="H787" s="202">
        <f>VLOOKUP(G787,'CP FACTORS'!$A$3:$B$38, 2, FALSE)</f>
        <v>9.4741810000000004E-4</v>
      </c>
      <c r="I787" s="1757">
        <f t="shared" si="77"/>
        <v>0.20355300000000001</v>
      </c>
      <c r="J787" s="3095">
        <f t="shared" si="73"/>
        <v>18</v>
      </c>
      <c r="K787" s="508">
        <f t="shared" si="74"/>
        <v>336</v>
      </c>
      <c r="L787" s="285">
        <f>K961</f>
        <v>1.5</v>
      </c>
      <c r="M787" s="1758"/>
      <c r="N787" s="1759"/>
      <c r="O787" s="157"/>
      <c r="P787" s="157"/>
      <c r="Q787" s="157"/>
      <c r="R787" s="1627"/>
      <c r="S787" s="277"/>
      <c r="T787" s="277"/>
      <c r="U787" s="277"/>
      <c r="V787" s="2309" t="s">
        <v>20</v>
      </c>
      <c r="W787" s="817">
        <v>548.43293798712307</v>
      </c>
      <c r="X787" s="746">
        <v>528.13366090103261</v>
      </c>
      <c r="Y787" s="820">
        <v>214.85</v>
      </c>
      <c r="Z787" s="2642">
        <v>214.85</v>
      </c>
      <c r="AA787" s="2642">
        <v>214.85</v>
      </c>
      <c r="AB787" s="2458">
        <v>214.85</v>
      </c>
      <c r="AC787" s="63"/>
      <c r="AD787" s="63"/>
      <c r="AE787" s="63"/>
      <c r="AF787" s="63"/>
      <c r="AG787" s="63"/>
      <c r="AH787" s="211"/>
      <c r="AI787" s="211"/>
      <c r="BB787" s="293">
        <f>(BD787+BD788)/(BE787+BE788)</f>
        <v>1.9436425810497631</v>
      </c>
      <c r="BC787" s="742" t="str">
        <f t="shared" si="75"/>
        <v>Cooling RES 18 Year EUL</v>
      </c>
      <c r="BD787" s="752">
        <f>(INDEX('Avoided Cost Benefits'!$C$4:$C$857,MATCH(BC787,'Avoided Cost Benefits'!$A$4:$A$857,0)))*F787</f>
        <v>378.95407924905396</v>
      </c>
      <c r="BE787" s="73">
        <f t="shared" si="76"/>
        <v>317.13072203869746</v>
      </c>
    </row>
    <row r="788" spans="1:57" s="64" customFormat="1" x14ac:dyDescent="0.25">
      <c r="A788" s="1393" t="str">
        <f t="shared" si="72"/>
        <v>351300_2019_12_Heating RES</v>
      </c>
      <c r="B788" s="157"/>
      <c r="C788" s="1670" t="s">
        <v>1210</v>
      </c>
      <c r="D788" s="1734" t="s">
        <v>740</v>
      </c>
      <c r="E788" s="750" t="s">
        <v>1211</v>
      </c>
      <c r="F788" s="2582">
        <f>ROUND((($J$856*$J$877*(1/$J$898-1/$J$940))/1000)*$J$1068*$J$1115,2)</f>
        <v>513.91</v>
      </c>
      <c r="G788" s="380" t="s">
        <v>691</v>
      </c>
      <c r="H788" s="202">
        <f>VLOOKUP(G788,'CP FACTORS'!$A$3:$B$38, 2, FALSE)</f>
        <v>0</v>
      </c>
      <c r="I788" s="1757">
        <f t="shared" si="77"/>
        <v>0</v>
      </c>
      <c r="J788" s="3095">
        <f t="shared" si="73"/>
        <v>18</v>
      </c>
      <c r="K788" s="508">
        <f t="shared" si="74"/>
        <v>0</v>
      </c>
      <c r="L788" s="285"/>
      <c r="M788" s="1758"/>
      <c r="N788" s="1759"/>
      <c r="O788" s="157"/>
      <c r="P788" s="157"/>
      <c r="Q788" s="157"/>
      <c r="R788" s="1627"/>
      <c r="S788" s="277"/>
      <c r="T788" s="277"/>
      <c r="U788" s="277"/>
      <c r="V788" s="2309" t="s">
        <v>20</v>
      </c>
      <c r="W788" s="817">
        <v>1059.3684210526314</v>
      </c>
      <c r="X788" s="746">
        <v>905.10385245195232</v>
      </c>
      <c r="Y788" s="820">
        <v>513.91</v>
      </c>
      <c r="Z788" s="2642">
        <v>513.91</v>
      </c>
      <c r="AA788" s="2642">
        <v>513.91</v>
      </c>
      <c r="AB788" s="2458">
        <v>513.91</v>
      </c>
      <c r="AC788" s="63"/>
      <c r="AD788" s="63"/>
      <c r="AE788" s="63"/>
      <c r="AF788" s="63"/>
      <c r="AG788" s="63"/>
      <c r="AH788" s="211"/>
      <c r="AI788" s="211"/>
      <c r="BB788" s="291"/>
      <c r="BC788" s="750" t="str">
        <f t="shared" si="75"/>
        <v>Heating RES 18 Year EUL</v>
      </c>
      <c r="BD788" s="752">
        <f>(INDEX('Avoided Cost Benefits'!$C$4:$C$857,MATCH(BC788,'Avoided Cost Benefits'!$A$4:$A$857,0)))*F788</f>
        <v>237.43469586441489</v>
      </c>
      <c r="BE788" s="73">
        <f t="shared" si="76"/>
        <v>0</v>
      </c>
    </row>
    <row r="789" spans="1:57" s="64" customFormat="1" x14ac:dyDescent="0.25">
      <c r="A789" s="1393" t="str">
        <f t="shared" si="72"/>
        <v>351350_2019_12_Cooling RES</v>
      </c>
      <c r="B789" s="157"/>
      <c r="C789" s="1670" t="s">
        <v>1212</v>
      </c>
      <c r="D789" s="1734" t="s">
        <v>740</v>
      </c>
      <c r="E789" s="742" t="s">
        <v>1213</v>
      </c>
      <c r="F789" s="2582">
        <f>ROUND((($J$962*$J$983*(1/$J$1004-1/$J$1046))/1000)*$J$1069*$J$1115,2)</f>
        <v>312.66000000000003</v>
      </c>
      <c r="G789" s="380" t="s">
        <v>690</v>
      </c>
      <c r="H789" s="202">
        <f>VLOOKUP(G789,'CP FACTORS'!$A$3:$B$38, 2, FALSE)</f>
        <v>9.4741810000000004E-4</v>
      </c>
      <c r="I789" s="1757">
        <f t="shared" si="77"/>
        <v>0.29621999999999998</v>
      </c>
      <c r="J789" s="3095">
        <f t="shared" si="73"/>
        <v>18</v>
      </c>
      <c r="K789" s="508">
        <f t="shared" si="74"/>
        <v>336</v>
      </c>
      <c r="L789" s="285">
        <f>K959</f>
        <v>1.5</v>
      </c>
      <c r="M789" s="1758"/>
      <c r="N789" s="1759"/>
      <c r="O789" s="157"/>
      <c r="P789" s="157"/>
      <c r="Q789" s="157"/>
      <c r="R789" s="1627"/>
      <c r="S789" s="277"/>
      <c r="T789" s="277"/>
      <c r="U789" s="277"/>
      <c r="V789" s="2309" t="s">
        <v>20</v>
      </c>
      <c r="W789" s="817">
        <v>548.43293798712307</v>
      </c>
      <c r="X789" s="746">
        <v>528.13366090103261</v>
      </c>
      <c r="Y789" s="820">
        <v>214.85</v>
      </c>
      <c r="Z789" s="2642">
        <v>214.85</v>
      </c>
      <c r="AA789" s="2642">
        <v>214.85</v>
      </c>
      <c r="AB789" s="2164">
        <v>312.66000000000003</v>
      </c>
      <c r="AC789" s="63"/>
      <c r="AD789" s="63"/>
      <c r="AE789" s="63"/>
      <c r="AF789" s="63"/>
      <c r="AG789" s="63"/>
      <c r="AH789" s="211"/>
      <c r="AI789" s="211"/>
      <c r="BB789" s="293">
        <f>(BD789+BD790)/(BE789+BE790)</f>
        <v>2.5918777306338989</v>
      </c>
      <c r="BC789" s="742" t="str">
        <f t="shared" si="75"/>
        <v>Cooling RES 18 Year EUL</v>
      </c>
      <c r="BD789" s="752">
        <f>(INDEX('Avoided Cost Benefits'!$C$4:$C$857,MATCH(BC789,'Avoided Cost Benefits'!$A$4:$A$857,0)))*F789</f>
        <v>551.47210806613555</v>
      </c>
      <c r="BE789" s="73">
        <f t="shared" si="76"/>
        <v>317.13072203869746</v>
      </c>
    </row>
    <row r="790" spans="1:57" s="64" customFormat="1" x14ac:dyDescent="0.25">
      <c r="A790" s="1393" t="str">
        <f t="shared" si="72"/>
        <v>351350_2019_12_Heating RES</v>
      </c>
      <c r="B790" s="157"/>
      <c r="C790" s="1670" t="s">
        <v>1212</v>
      </c>
      <c r="D790" s="1734" t="s">
        <v>740</v>
      </c>
      <c r="E790" s="750" t="s">
        <v>1213</v>
      </c>
      <c r="F790" s="2582">
        <f>ROUND((($J$857*$J$878*(1/$J$899-1/$J$941))/1000)*$J$1070*$J$1115,2)</f>
        <v>585.46</v>
      </c>
      <c r="G790" s="380" t="s">
        <v>691</v>
      </c>
      <c r="H790" s="202">
        <f>VLOOKUP(G790,'CP FACTORS'!$A$3:$B$38, 2, FALSE)</f>
        <v>0</v>
      </c>
      <c r="I790" s="1757">
        <f t="shared" si="77"/>
        <v>0</v>
      </c>
      <c r="J790" s="3095">
        <f t="shared" si="73"/>
        <v>18</v>
      </c>
      <c r="K790" s="508">
        <f t="shared" si="74"/>
        <v>0</v>
      </c>
      <c r="L790" s="285"/>
      <c r="M790" s="1758"/>
      <c r="N790" s="1759"/>
      <c r="O790" s="157"/>
      <c r="P790" s="157"/>
      <c r="Q790" s="157"/>
      <c r="R790" s="1627"/>
      <c r="S790" s="277"/>
      <c r="T790" s="277"/>
      <c r="U790" s="277"/>
      <c r="V790" s="2309" t="s">
        <v>20</v>
      </c>
      <c r="W790" s="817">
        <v>1059.3684210526314</v>
      </c>
      <c r="X790" s="746">
        <v>905.10385245195232</v>
      </c>
      <c r="Y790" s="820">
        <v>513.91</v>
      </c>
      <c r="Z790" s="2642">
        <v>513.91</v>
      </c>
      <c r="AA790" s="2642">
        <v>513.91</v>
      </c>
      <c r="AB790" s="2164">
        <v>585.46</v>
      </c>
      <c r="AC790" s="63"/>
      <c r="AD790" s="63"/>
      <c r="AE790" s="63"/>
      <c r="AF790" s="63"/>
      <c r="AG790" s="63"/>
      <c r="AH790" s="211"/>
      <c r="AI790" s="211"/>
      <c r="BB790" s="291"/>
      <c r="BC790" s="750" t="str">
        <f t="shared" si="75"/>
        <v>Heating RES 18 Year EUL</v>
      </c>
      <c r="BD790" s="752">
        <f>(INDEX('Avoided Cost Benefits'!$C$4:$C$857,MATCH(BC790,'Avoided Cost Benefits'!$A$4:$A$857,0)))*F790</f>
        <v>270.49194808581342</v>
      </c>
      <c r="BE790" s="73">
        <f t="shared" si="76"/>
        <v>0</v>
      </c>
    </row>
    <row r="791" spans="1:57" s="64" customFormat="1" x14ac:dyDescent="0.25">
      <c r="A791" s="1393" t="str">
        <f t="shared" si="72"/>
        <v>351400_2019_12_Cooling RES</v>
      </c>
      <c r="B791" s="157"/>
      <c r="C791" s="1670" t="s">
        <v>1214</v>
      </c>
      <c r="D791" s="1734" t="s">
        <v>740</v>
      </c>
      <c r="E791" s="742" t="s">
        <v>1215</v>
      </c>
      <c r="F791" s="2582">
        <f>ROUND((($J$963*$J$984*(1/$J$1026-1/$J$1047))/1000)*$J$1071*$J$1115,2)</f>
        <v>1039.47</v>
      </c>
      <c r="G791" s="380" t="s">
        <v>690</v>
      </c>
      <c r="H791" s="202">
        <f>VLOOKUP(G791,'CP FACTORS'!$A$3:$B$38, 2, FALSE)</f>
        <v>9.4741810000000004E-4</v>
      </c>
      <c r="I791" s="1757">
        <f t="shared" si="77"/>
        <v>0.98481300000000005</v>
      </c>
      <c r="J791" s="3095">
        <f t="shared" si="73"/>
        <v>6</v>
      </c>
      <c r="K791" s="508">
        <f t="shared" si="74"/>
        <v>2504.17</v>
      </c>
      <c r="L791" s="285">
        <f>K963</f>
        <v>1.57</v>
      </c>
      <c r="M791" s="1758"/>
      <c r="N791" s="1759"/>
      <c r="O791" s="157"/>
      <c r="P791" s="157"/>
      <c r="Q791" s="157"/>
      <c r="R791" s="1627"/>
      <c r="S791" s="277"/>
      <c r="T791" s="277"/>
      <c r="U791" s="277"/>
      <c r="V791" s="2309" t="s">
        <v>20</v>
      </c>
      <c r="W791" s="817">
        <v>1495.1911764705883</v>
      </c>
      <c r="X791" s="746">
        <v>1625.1970093173225</v>
      </c>
      <c r="Y791" s="820">
        <v>1175.8</v>
      </c>
      <c r="Z791" s="2642">
        <v>1175.8</v>
      </c>
      <c r="AA791" s="2642">
        <v>1175.8</v>
      </c>
      <c r="AB791" s="2164">
        <v>1039.47</v>
      </c>
      <c r="AC791" s="63"/>
      <c r="AD791" s="63"/>
      <c r="AE791" s="63"/>
      <c r="AF791" s="63"/>
      <c r="AG791" s="63"/>
      <c r="AH791" s="211"/>
      <c r="AI791" s="211"/>
      <c r="BB791" s="293">
        <f>(BD791+BD792+BD793+BD794)/(BE791+BE792+BE793+BE794)</f>
        <v>1.1620742350001005</v>
      </c>
      <c r="BC791" s="742" t="str">
        <f t="shared" si="75"/>
        <v>Cooling RES 6 Year EUL</v>
      </c>
      <c r="BD791" s="752">
        <f>(INDEX('Avoided Cost Benefits'!$C$4:$C$857,MATCH(BC791,'Avoided Cost Benefits'!$A$4:$A$857,0)))*F791</f>
        <v>604.43534284605209</v>
      </c>
      <c r="BE791" s="73">
        <f t="shared" si="76"/>
        <v>2363.5394053798959</v>
      </c>
    </row>
    <row r="792" spans="1:57" s="64" customFormat="1" x14ac:dyDescent="0.25">
      <c r="A792" s="1393" t="str">
        <f t="shared" si="72"/>
        <v>351400_2019_12_Heating RES</v>
      </c>
      <c r="B792" s="157"/>
      <c r="C792" s="1670" t="s">
        <v>1214</v>
      </c>
      <c r="D792" s="1734" t="s">
        <v>740</v>
      </c>
      <c r="E792" s="821" t="s">
        <v>1215</v>
      </c>
      <c r="F792" s="2582">
        <f>ROUND((($J$858*$J$879*(1/$J$921-1/$J$942))/1000)*$J$1072*$J$1115,2)</f>
        <v>3646.53</v>
      </c>
      <c r="G792" s="380" t="s">
        <v>691</v>
      </c>
      <c r="H792" s="202">
        <f>VLOOKUP(G792,'CP FACTORS'!$A$3:$B$38, 2, FALSE)</f>
        <v>0</v>
      </c>
      <c r="I792" s="1757">
        <f t="shared" si="77"/>
        <v>0</v>
      </c>
      <c r="J792" s="3095">
        <f t="shared" si="73"/>
        <v>6</v>
      </c>
      <c r="K792" s="508">
        <f t="shared" si="74"/>
        <v>0</v>
      </c>
      <c r="L792" s="285"/>
      <c r="M792" s="1758"/>
      <c r="N792" s="1759"/>
      <c r="O792" s="157"/>
      <c r="P792" s="157"/>
      <c r="Q792" s="157"/>
      <c r="R792" s="1627"/>
      <c r="S792" s="277"/>
      <c r="T792" s="277"/>
      <c r="U792" s="277"/>
      <c r="V792" s="2309" t="s">
        <v>20</v>
      </c>
      <c r="W792" s="817">
        <v>5217.8997805633207</v>
      </c>
      <c r="X792" s="746">
        <v>5513.3467827124387</v>
      </c>
      <c r="Y792" s="820">
        <v>3822.23</v>
      </c>
      <c r="Z792" s="2642">
        <v>3822.23</v>
      </c>
      <c r="AA792" s="2642">
        <v>3822.23</v>
      </c>
      <c r="AB792" s="2164">
        <v>3646.53</v>
      </c>
      <c r="AC792" s="63"/>
      <c r="AD792" s="63"/>
      <c r="AE792" s="63"/>
      <c r="AF792" s="63"/>
      <c r="AG792" s="63"/>
      <c r="AH792" s="211"/>
      <c r="AI792" s="211"/>
      <c r="BB792" s="822"/>
      <c r="BC792" s="821" t="str">
        <f t="shared" si="75"/>
        <v>Heating RES 6 Year EUL</v>
      </c>
      <c r="BD792" s="752">
        <f>(INDEX('Avoided Cost Benefits'!$C$4:$C$857,MATCH(BC792,'Avoided Cost Benefits'!$A$4:$A$857,0)))*F792</f>
        <v>606.54011313802982</v>
      </c>
      <c r="BE792" s="73">
        <f t="shared" si="76"/>
        <v>0</v>
      </c>
    </row>
    <row r="793" spans="1:57" s="64" customFormat="1" x14ac:dyDescent="0.25">
      <c r="A793" s="1393" t="str">
        <f t="shared" si="72"/>
        <v>351400_2019_12_Cooling RES ER2</v>
      </c>
      <c r="B793" s="157"/>
      <c r="C793" s="1670" t="s">
        <v>1214</v>
      </c>
      <c r="D793" s="1734" t="s">
        <v>740</v>
      </c>
      <c r="E793" s="821" t="s">
        <v>1216</v>
      </c>
      <c r="F793" s="2582">
        <f>ROUND(((J$963*J$984*(1/J$1005-1/J$1047))/1000)*J$1073*$J$1115,2)</f>
        <v>386.88</v>
      </c>
      <c r="G793" s="1756" t="s">
        <v>1125</v>
      </c>
      <c r="H793" s="202">
        <f>VLOOKUP(G793,'CP FACTORS'!$A$3:$B$38, 2, FALSE)</f>
        <v>9.4741810000000004E-4</v>
      </c>
      <c r="I793" s="1757">
        <f t="shared" si="77"/>
        <v>0.366537</v>
      </c>
      <c r="J793" s="3095">
        <f t="shared" si="73"/>
        <v>12</v>
      </c>
      <c r="K793" s="508">
        <f t="shared" si="74"/>
        <v>0</v>
      </c>
      <c r="L793" s="285"/>
      <c r="M793" s="1758"/>
      <c r="N793" s="1759"/>
      <c r="O793" s="157"/>
      <c r="P793" s="157"/>
      <c r="Q793" s="157"/>
      <c r="R793" s="1627"/>
      <c r="S793" s="277"/>
      <c r="T793" s="277"/>
      <c r="U793" s="277"/>
      <c r="V793" s="2309" t="s">
        <v>20</v>
      </c>
      <c r="W793" s="817">
        <v>471.26538461538468</v>
      </c>
      <c r="X793" s="746">
        <v>528.13366090103261</v>
      </c>
      <c r="Y793" s="820">
        <v>374.15</v>
      </c>
      <c r="Z793" s="2642">
        <v>374.15</v>
      </c>
      <c r="AA793" s="2642">
        <v>374.15</v>
      </c>
      <c r="AB793" s="2164">
        <v>386.88</v>
      </c>
      <c r="AC793" s="63"/>
      <c r="AD793" s="63"/>
      <c r="AE793" s="63"/>
      <c r="AF793" s="63"/>
      <c r="AG793" s="63"/>
      <c r="AH793" s="211"/>
      <c r="AI793" s="211"/>
      <c r="BB793" s="822"/>
      <c r="BC793" s="821" t="str">
        <f t="shared" si="75"/>
        <v>Cooling RES ER2 12 Year EUL</v>
      </c>
      <c r="BD793" s="752">
        <f>(INDEX('Avoided Cost Benefits'!$C$4:$C$857,MATCH(BC793,'Avoided Cost Benefits'!$A$4:$A$857,0)))*F793</f>
        <v>457.41732084344375</v>
      </c>
      <c r="BE793" s="73">
        <f t="shared" si="76"/>
        <v>0</v>
      </c>
    </row>
    <row r="794" spans="1:57" s="64" customFormat="1" x14ac:dyDescent="0.25">
      <c r="A794" s="1393" t="str">
        <f t="shared" si="72"/>
        <v>351400_2019_12_Heating RES ER2</v>
      </c>
      <c r="B794" s="157"/>
      <c r="C794" s="1670" t="s">
        <v>1214</v>
      </c>
      <c r="D794" s="1734" t="s">
        <v>740</v>
      </c>
      <c r="E794" s="750" t="s">
        <v>1216</v>
      </c>
      <c r="F794" s="2582">
        <f>ROUND((($J$858*$J$879*(1/$J$900-1/$J$942))/1000)*$J$1074*$J$1115,2)</f>
        <v>3646.53</v>
      </c>
      <c r="G794" s="119" t="s">
        <v>1217</v>
      </c>
      <c r="H794" s="202">
        <f>VLOOKUP(G794,'CP FACTORS'!$A$3:$B$38, 2, FALSE)</f>
        <v>0</v>
      </c>
      <c r="I794" s="1757">
        <f t="shared" si="77"/>
        <v>0</v>
      </c>
      <c r="J794" s="3095">
        <f t="shared" si="73"/>
        <v>12</v>
      </c>
      <c r="K794" s="508">
        <f t="shared" si="74"/>
        <v>0</v>
      </c>
      <c r="L794" s="285"/>
      <c r="M794" s="1758"/>
      <c r="N794" s="1759"/>
      <c r="O794" s="157"/>
      <c r="P794" s="157"/>
      <c r="Q794" s="157"/>
      <c r="R794" s="1627"/>
      <c r="S794" s="277"/>
      <c r="T794" s="277"/>
      <c r="U794" s="277"/>
      <c r="V794" s="2309" t="s">
        <v>20</v>
      </c>
      <c r="W794" s="817">
        <v>1115.8974358974356</v>
      </c>
      <c r="X794" s="746">
        <v>5517.9756069759478</v>
      </c>
      <c r="Y794" s="820">
        <v>3822.23</v>
      </c>
      <c r="Z794" s="2642">
        <v>3822.23</v>
      </c>
      <c r="AA794" s="2642">
        <v>3822.23</v>
      </c>
      <c r="AB794" s="2164">
        <v>3646.53</v>
      </c>
      <c r="AC794" s="63"/>
      <c r="AD794" s="63"/>
      <c r="AE794" s="63"/>
      <c r="AF794" s="63"/>
      <c r="AG794" s="63"/>
      <c r="AH794" s="211"/>
      <c r="AI794" s="211"/>
      <c r="BB794" s="822"/>
      <c r="BC794" s="750" t="str">
        <f t="shared" si="75"/>
        <v>Heating RES ER2 12 Year EUL</v>
      </c>
      <c r="BD794" s="752">
        <f>(INDEX('Avoided Cost Benefits'!$C$4:$C$857,MATCH(BC794,'Avoided Cost Benefits'!$A$4:$A$857,0)))*F794</f>
        <v>1078.2154695719096</v>
      </c>
      <c r="BE794" s="73">
        <f t="shared" si="76"/>
        <v>0</v>
      </c>
    </row>
    <row r="795" spans="1:57" s="64" customFormat="1" x14ac:dyDescent="0.25">
      <c r="A795" s="1393" t="str">
        <f t="shared" si="72"/>
        <v>351450_2019_12_Cooling RES</v>
      </c>
      <c r="B795" s="157"/>
      <c r="C795" s="1670" t="s">
        <v>1218</v>
      </c>
      <c r="D795" s="1734" t="s">
        <v>740</v>
      </c>
      <c r="E795" s="742" t="s">
        <v>1219</v>
      </c>
      <c r="F795" s="2582">
        <f>ROUND((($J$964*$J$985*(1/$J$1006-1/$J$1048))/1000)*$J$1075*$J$1115,2)</f>
        <v>345.19</v>
      </c>
      <c r="G795" s="380" t="s">
        <v>690</v>
      </c>
      <c r="H795" s="202">
        <f>VLOOKUP(G795,'CP FACTORS'!$A$3:$B$38, 2, FALSE)</f>
        <v>9.4741810000000004E-4</v>
      </c>
      <c r="I795" s="1757">
        <f t="shared" si="77"/>
        <v>0.32703900000000002</v>
      </c>
      <c r="J795" s="3095">
        <f t="shared" si="73"/>
        <v>18</v>
      </c>
      <c r="K795" s="508">
        <f t="shared" si="74"/>
        <v>336</v>
      </c>
      <c r="L795" s="285">
        <f>K964</f>
        <v>1.6</v>
      </c>
      <c r="M795" s="1758"/>
      <c r="N795" s="1759"/>
      <c r="O795" s="157"/>
      <c r="P795" s="157"/>
      <c r="Q795" s="157"/>
      <c r="R795" s="1627"/>
      <c r="S795" s="277"/>
      <c r="T795" s="277"/>
      <c r="U795" s="277"/>
      <c r="V795" s="2309" t="s">
        <v>20</v>
      </c>
      <c r="W795" s="817">
        <v>447.12649572649582</v>
      </c>
      <c r="X795" s="746">
        <v>528.13366090103261</v>
      </c>
      <c r="Y795" s="820">
        <v>335.42</v>
      </c>
      <c r="Z795" s="2642">
        <v>335.42</v>
      </c>
      <c r="AA795" s="2642">
        <v>335.42</v>
      </c>
      <c r="AB795" s="2164">
        <v>345.19</v>
      </c>
      <c r="AC795" s="63"/>
      <c r="AD795" s="63"/>
      <c r="AE795" s="63"/>
      <c r="AF795" s="63"/>
      <c r="AG795" s="63"/>
      <c r="AH795" s="211"/>
      <c r="AI795" s="211"/>
      <c r="BB795" s="293">
        <f>(BD795+BD796)/(BE795+BE796)</f>
        <v>7.8203962658928186</v>
      </c>
      <c r="BC795" s="742" t="str">
        <f t="shared" si="75"/>
        <v>Cooling RES 18 Year EUL</v>
      </c>
      <c r="BD795" s="752">
        <f>(INDEX('Avoided Cost Benefits'!$C$4:$C$857,MATCH(BC795,'Avoided Cost Benefits'!$A$4:$A$857,0)))*F795</f>
        <v>608.84877177556871</v>
      </c>
      <c r="BE795" s="73">
        <f t="shared" si="76"/>
        <v>317.13072203869746</v>
      </c>
    </row>
    <row r="796" spans="1:57" s="64" customFormat="1" x14ac:dyDescent="0.25">
      <c r="A796" s="1393" t="str">
        <f t="shared" si="72"/>
        <v>351450_2019_12_Heating RES</v>
      </c>
      <c r="B796" s="157"/>
      <c r="C796" s="1670" t="s">
        <v>1218</v>
      </c>
      <c r="D796" s="1734" t="s">
        <v>740</v>
      </c>
      <c r="E796" s="750" t="s">
        <v>1219</v>
      </c>
      <c r="F796" s="2582">
        <f xml:space="preserve"> ROUND((($J$859*$J$880*(1/$J$901-1/$J$943))/1000)*$J$1076*$J$1115,2)</f>
        <v>4050.16</v>
      </c>
      <c r="G796" s="380" t="s">
        <v>691</v>
      </c>
      <c r="H796" s="202">
        <f>VLOOKUP(G796,'CP FACTORS'!$A$3:$B$38, 2, FALSE)</f>
        <v>0</v>
      </c>
      <c r="I796" s="1757">
        <f t="shared" si="77"/>
        <v>0</v>
      </c>
      <c r="J796" s="3095">
        <f t="shared" si="73"/>
        <v>18</v>
      </c>
      <c r="K796" s="508">
        <f t="shared" si="74"/>
        <v>0</v>
      </c>
      <c r="L796" s="285"/>
      <c r="M796" s="1758"/>
      <c r="N796" s="1759"/>
      <c r="O796" s="157"/>
      <c r="P796" s="157"/>
      <c r="Q796" s="157"/>
      <c r="R796" s="1627"/>
      <c r="S796" s="277"/>
      <c r="T796" s="277"/>
      <c r="U796" s="277"/>
      <c r="V796" s="2309" t="s">
        <v>20</v>
      </c>
      <c r="W796" s="817">
        <v>1070.7301587301586</v>
      </c>
      <c r="X796" s="746">
        <v>5517.9756069759478</v>
      </c>
      <c r="Y796" s="820">
        <v>4077.05</v>
      </c>
      <c r="Z796" s="2642">
        <v>4077.05</v>
      </c>
      <c r="AA796" s="2642">
        <v>4077.05</v>
      </c>
      <c r="AB796" s="2164">
        <v>4050.16</v>
      </c>
      <c r="AC796" s="63"/>
      <c r="AD796" s="63"/>
      <c r="AE796" s="63"/>
      <c r="AF796" s="63"/>
      <c r="AG796" s="63"/>
      <c r="AH796" s="211"/>
      <c r="AI796" s="211"/>
      <c r="BB796" s="291"/>
      <c r="BC796" s="750" t="str">
        <f t="shared" si="75"/>
        <v>Heating RES 18 Year EUL</v>
      </c>
      <c r="BD796" s="752">
        <f>(INDEX('Avoided Cost Benefits'!$C$4:$C$857,MATCH(BC796,'Avoided Cost Benefits'!$A$4:$A$857,0)))*F796</f>
        <v>1871.2391426557542</v>
      </c>
      <c r="BE796" s="73">
        <f t="shared" si="76"/>
        <v>0</v>
      </c>
    </row>
    <row r="797" spans="1:57" s="64" customFormat="1" x14ac:dyDescent="0.25">
      <c r="A797" s="1393" t="str">
        <f t="shared" si="72"/>
        <v>351500_2019_12_Cooling RES</v>
      </c>
      <c r="B797" s="157"/>
      <c r="C797" s="1670" t="s">
        <v>1220</v>
      </c>
      <c r="D797" s="1734" t="s">
        <v>740</v>
      </c>
      <c r="E797" s="742" t="s">
        <v>1221</v>
      </c>
      <c r="F797" s="2582">
        <f>ROUND((($J$965*$J$986*(1/$J$1028-1/$J$1049))/1000)*$J$1077*$J$1115,2)</f>
        <v>779.12</v>
      </c>
      <c r="G797" s="380" t="s">
        <v>690</v>
      </c>
      <c r="H797" s="202">
        <f>VLOOKUP(G797,'CP FACTORS'!$A$3:$B$38, 2, FALSE)</f>
        <v>9.4741810000000004E-4</v>
      </c>
      <c r="I797" s="1757">
        <f t="shared" si="77"/>
        <v>0.73815200000000003</v>
      </c>
      <c r="J797" s="3095">
        <f t="shared" si="73"/>
        <v>6</v>
      </c>
      <c r="K797" s="508">
        <f t="shared" si="74"/>
        <v>648.60319098531227</v>
      </c>
      <c r="L797" s="285">
        <f>K965</f>
        <v>1.28125</v>
      </c>
      <c r="M797" s="1758"/>
      <c r="N797" s="1759"/>
      <c r="O797" s="157"/>
      <c r="P797" s="157"/>
      <c r="Q797" s="157"/>
      <c r="R797" s="1627"/>
      <c r="S797" s="277"/>
      <c r="T797" s="277"/>
      <c r="U797" s="277"/>
      <c r="V797" s="2309" t="s">
        <v>20</v>
      </c>
      <c r="W797" s="817">
        <v>1625.9591194968555</v>
      </c>
      <c r="X797" s="746">
        <v>1497.4028916702637</v>
      </c>
      <c r="Y797" s="820">
        <v>1164.32</v>
      </c>
      <c r="Z797" s="2642">
        <v>1164.32</v>
      </c>
      <c r="AA797" s="2642">
        <v>1164.32</v>
      </c>
      <c r="AB797" s="2164">
        <v>779.12</v>
      </c>
      <c r="AC797" s="63"/>
      <c r="AD797" s="63"/>
      <c r="AE797" s="63"/>
      <c r="AF797" s="63"/>
      <c r="AG797" s="63"/>
      <c r="AH797" s="211"/>
      <c r="AI797" s="211"/>
      <c r="BB797" s="293">
        <f>(BD797+BD798+BD799+BD800)/(BE797+BE798+BE799+BE800)</f>
        <v>1.8692976167059803</v>
      </c>
      <c r="BC797" s="742" t="str">
        <f t="shared" si="75"/>
        <v>Cooling RES 6 Year EUL</v>
      </c>
      <c r="BD797" s="752">
        <f>(INDEX('Avoided Cost Benefits'!$C$4:$C$857,MATCH(BC797,'Avoided Cost Benefits'!$A$4:$A$857,0)))*F797</f>
        <v>453.04594102592296</v>
      </c>
      <c r="BE797" s="73">
        <f t="shared" si="76"/>
        <v>612.17856629099788</v>
      </c>
    </row>
    <row r="798" spans="1:57" s="64" customFormat="1" x14ac:dyDescent="0.25">
      <c r="A798" s="1393" t="str">
        <f t="shared" si="72"/>
        <v>351500_2019_12_Heating RES</v>
      </c>
      <c r="B798" s="157"/>
      <c r="C798" s="1670" t="s">
        <v>1220</v>
      </c>
      <c r="D798" s="1734" t="s">
        <v>740</v>
      </c>
      <c r="E798" s="821" t="s">
        <v>1221</v>
      </c>
      <c r="F798" s="2582">
        <f xml:space="preserve"> ROUND((($J$860*$J$881*(1/$J$923-1/$J$944))/1000)*$J$1078*$J$1115,2)</f>
        <v>1021.3</v>
      </c>
      <c r="G798" s="380" t="s">
        <v>691</v>
      </c>
      <c r="H798" s="202">
        <f>VLOOKUP(G798,'CP FACTORS'!$A$3:$B$38, 2, FALSE)</f>
        <v>0</v>
      </c>
      <c r="I798" s="1757">
        <f t="shared" si="77"/>
        <v>0</v>
      </c>
      <c r="J798" s="3095">
        <f t="shared" si="73"/>
        <v>6</v>
      </c>
      <c r="K798" s="508">
        <f t="shared" si="74"/>
        <v>0</v>
      </c>
      <c r="L798" s="285"/>
      <c r="M798" s="1758"/>
      <c r="N798" s="1759"/>
      <c r="O798" s="157"/>
      <c r="P798" s="157"/>
      <c r="Q798" s="157"/>
      <c r="R798" s="1627"/>
      <c r="S798" s="277"/>
      <c r="T798" s="277"/>
      <c r="U798" s="277"/>
      <c r="V798" s="2309" t="s">
        <v>20</v>
      </c>
      <c r="W798" s="817">
        <v>2932.947368421052</v>
      </c>
      <c r="X798" s="746">
        <v>2571.2014134275614</v>
      </c>
      <c r="Y798" s="820">
        <v>1944.18</v>
      </c>
      <c r="Z798" s="2642">
        <v>1944.18</v>
      </c>
      <c r="AA798" s="2642">
        <v>1944.18</v>
      </c>
      <c r="AB798" s="2164">
        <v>1021.3</v>
      </c>
      <c r="AC798" s="63"/>
      <c r="AD798" s="63"/>
      <c r="AE798" s="63"/>
      <c r="AF798" s="63"/>
      <c r="AG798" s="63"/>
      <c r="AH798" s="211"/>
      <c r="AI798" s="211"/>
      <c r="BB798" s="822"/>
      <c r="BC798" s="821" t="str">
        <f t="shared" si="75"/>
        <v>Heating RES 6 Year EUL</v>
      </c>
      <c r="BD798" s="752">
        <f>(INDEX('Avoided Cost Benefits'!$C$4:$C$857,MATCH(BC798,'Avoided Cost Benefits'!$A$4:$A$857,0)))*F798</f>
        <v>169.87640785839409</v>
      </c>
      <c r="BE798" s="73">
        <f t="shared" si="76"/>
        <v>0</v>
      </c>
    </row>
    <row r="799" spans="1:57" s="64" customFormat="1" x14ac:dyDescent="0.25">
      <c r="A799" s="1393" t="str">
        <f t="shared" si="72"/>
        <v>351500_2019_12_Cooling RES ER2</v>
      </c>
      <c r="B799" s="157"/>
      <c r="C799" s="1670" t="s">
        <v>1220</v>
      </c>
      <c r="D799" s="1734" t="s">
        <v>740</v>
      </c>
      <c r="E799" s="821" t="s">
        <v>1222</v>
      </c>
      <c r="F799" s="2582">
        <f>ROUND((($J$965*$J$986*(1/$J$1007-1/$J$1049))/1000)*$J$1079*$J$1115,2)</f>
        <v>312.22000000000003</v>
      </c>
      <c r="G799" s="1756" t="s">
        <v>1125</v>
      </c>
      <c r="H799" s="202">
        <f>VLOOKUP(G799,'CP FACTORS'!$A$3:$B$38, 2, FALSE)</f>
        <v>9.4741810000000004E-4</v>
      </c>
      <c r="I799" s="1757">
        <f t="shared" si="77"/>
        <v>0.29580299999999998</v>
      </c>
      <c r="J799" s="3095">
        <f t="shared" si="73"/>
        <v>12</v>
      </c>
      <c r="K799" s="508">
        <f t="shared" si="74"/>
        <v>0</v>
      </c>
      <c r="L799" s="285"/>
      <c r="M799" s="1758"/>
      <c r="N799" s="1759"/>
      <c r="O799" s="157"/>
      <c r="P799" s="157"/>
      <c r="Q799" s="157"/>
      <c r="R799" s="1627"/>
      <c r="S799" s="277"/>
      <c r="T799" s="277"/>
      <c r="U799" s="277"/>
      <c r="V799" s="2309" t="s">
        <v>20</v>
      </c>
      <c r="W799" s="817">
        <v>527.45399129172722</v>
      </c>
      <c r="X799" s="746">
        <v>528.13366090103261</v>
      </c>
      <c r="Y799" s="820">
        <v>456.05</v>
      </c>
      <c r="Z799" s="2642">
        <v>456.05</v>
      </c>
      <c r="AA799" s="2642">
        <v>456.05</v>
      </c>
      <c r="AB799" s="2164">
        <v>312.22000000000003</v>
      </c>
      <c r="AC799" s="63"/>
      <c r="AD799" s="63"/>
      <c r="AE799" s="63"/>
      <c r="AF799" s="63"/>
      <c r="AG799" s="63"/>
      <c r="AH799" s="211"/>
      <c r="AI799" s="211"/>
      <c r="BB799" s="822"/>
      <c r="BC799" s="821" t="str">
        <f t="shared" si="75"/>
        <v>Cooling RES ER2 12 Year EUL</v>
      </c>
      <c r="BD799" s="752">
        <f>(INDEX('Avoided Cost Benefits'!$C$4:$C$857,MATCH(BC799,'Avoided Cost Benefits'!$A$4:$A$857,0)))*F799</f>
        <v>369.14504733700375</v>
      </c>
      <c r="BE799" s="73">
        <f t="shared" si="76"/>
        <v>0</v>
      </c>
    </row>
    <row r="800" spans="1:57" s="64" customFormat="1" x14ac:dyDescent="0.25">
      <c r="A800" s="1393" t="str">
        <f t="shared" si="72"/>
        <v>351500_2019_12_Heating RES ER2</v>
      </c>
      <c r="B800" s="157"/>
      <c r="C800" s="1760" t="s">
        <v>1220</v>
      </c>
      <c r="D800" s="1761" t="s">
        <v>740</v>
      </c>
      <c r="E800" s="821" t="s">
        <v>1222</v>
      </c>
      <c r="F800" s="2582">
        <f>ROUND((($J$860*$J$881*(1/$J$902-1/$J$944))/1000)*$J$1080*$J$1115,2)</f>
        <v>515</v>
      </c>
      <c r="G800" s="1762" t="s">
        <v>1217</v>
      </c>
      <c r="H800" s="1763">
        <f>VLOOKUP(G800,'CP FACTORS'!$A$3:$B$38, 2, FALSE)</f>
        <v>0</v>
      </c>
      <c r="I800" s="1764">
        <f t="shared" si="77"/>
        <v>0</v>
      </c>
      <c r="J800" s="823">
        <f t="shared" si="73"/>
        <v>12</v>
      </c>
      <c r="K800" s="824">
        <f t="shared" si="74"/>
        <v>0</v>
      </c>
      <c r="L800" s="1765"/>
      <c r="M800" s="1758"/>
      <c r="N800" s="1759"/>
      <c r="O800" s="157"/>
      <c r="P800" s="157"/>
      <c r="Q800" s="157"/>
      <c r="R800" s="1627"/>
      <c r="S800" s="157"/>
      <c r="T800" s="157"/>
      <c r="U800" s="157"/>
      <c r="V800" s="2309" t="s">
        <v>20</v>
      </c>
      <c r="W800" s="817">
        <v>1286.375939849624</v>
      </c>
      <c r="X800" s="746">
        <v>1713.6026292330328</v>
      </c>
      <c r="Y800" s="820">
        <v>1351.43</v>
      </c>
      <c r="Z800" s="2642">
        <v>1351.43</v>
      </c>
      <c r="AA800" s="2642">
        <v>1351.43</v>
      </c>
      <c r="AB800" s="2164">
        <v>515</v>
      </c>
      <c r="AC800" s="63"/>
      <c r="AD800" s="63"/>
      <c r="AE800" s="63"/>
      <c r="AF800" s="63"/>
      <c r="AG800" s="63"/>
      <c r="AH800" s="211"/>
      <c r="AI800" s="211"/>
      <c r="BB800" s="822"/>
      <c r="BC800" s="750" t="str">
        <f t="shared" si="75"/>
        <v>Heating RES ER2 12 Year EUL</v>
      </c>
      <c r="BD800" s="752">
        <f>(INDEX('Avoided Cost Benefits'!$C$4:$C$857,MATCH(BC800,'Avoided Cost Benefits'!$A$4:$A$857,0)))*F800</f>
        <v>152.27653874492555</v>
      </c>
      <c r="BE800" s="73">
        <f t="shared" si="76"/>
        <v>0</v>
      </c>
    </row>
    <row r="801" spans="1:57" s="64" customFormat="1" x14ac:dyDescent="0.25">
      <c r="A801" s="1393" t="str">
        <f t="shared" si="72"/>
        <v>351550_2019_12_Cooling RES</v>
      </c>
      <c r="B801" s="157"/>
      <c r="C801" s="1670" t="s">
        <v>1223</v>
      </c>
      <c r="D801" s="1734" t="s">
        <v>742</v>
      </c>
      <c r="E801" s="2424" t="s">
        <v>1224</v>
      </c>
      <c r="F801" s="2582">
        <f>ROUND((($J$966*$J$987*(1/$J$1029-1/$J$1050))/1000)*$J$1081*$J$1115,2)</f>
        <v>1320.98</v>
      </c>
      <c r="G801" s="1756" t="s">
        <v>690</v>
      </c>
      <c r="H801" s="202">
        <f>VLOOKUP(G801,'CP FACTORS'!$A$3:$B$38, 2, FALSE)</f>
        <v>9.4741810000000004E-4</v>
      </c>
      <c r="I801" s="1757">
        <f t="shared" si="77"/>
        <v>1.25152</v>
      </c>
      <c r="J801" s="3095">
        <f t="shared" si="73"/>
        <v>6</v>
      </c>
      <c r="K801" s="508">
        <f t="shared" si="74"/>
        <v>1231.1592671062349</v>
      </c>
      <c r="L801" s="285">
        <f>K959</f>
        <v>1.5</v>
      </c>
      <c r="M801" s="1623"/>
      <c r="N801" s="1623"/>
      <c r="O801" s="1623"/>
      <c r="P801" s="1623"/>
      <c r="Q801" s="1623"/>
      <c r="R801" s="1766"/>
      <c r="S801" s="1623"/>
      <c r="T801" s="1623"/>
      <c r="U801" s="1623"/>
      <c r="V801" s="2294" t="s">
        <v>20</v>
      </c>
      <c r="W801" s="827">
        <v>1314.6211309523808</v>
      </c>
      <c r="X801" s="828">
        <v>1175.0440224428139</v>
      </c>
      <c r="Y801" s="146">
        <v>1320.98</v>
      </c>
      <c r="Z801" s="143">
        <v>1320.98</v>
      </c>
      <c r="AA801" s="143">
        <v>1320.98</v>
      </c>
      <c r="AB801" s="2458">
        <v>1320.98</v>
      </c>
      <c r="AC801" s="61"/>
      <c r="AD801" s="61"/>
      <c r="AE801" s="61"/>
      <c r="AF801" s="61"/>
      <c r="AG801" s="61"/>
      <c r="AH801" s="829"/>
      <c r="AI801" s="829"/>
      <c r="AJ801" s="826"/>
      <c r="AK801" s="826"/>
      <c r="AL801" s="826"/>
      <c r="AM801" s="826"/>
      <c r="AN801" s="826"/>
      <c r="AO801" s="826"/>
      <c r="BB801" s="293">
        <f>(BD801+BD802)/(BE801+BE802)</f>
        <v>1.0536928432039632</v>
      </c>
      <c r="BC801" s="742" t="str">
        <f t="shared" si="75"/>
        <v>Cooling RES 6 Year EUL</v>
      </c>
      <c r="BD801" s="752">
        <f>(INDEX('Avoided Cost Benefits'!$C$4:$C$857,MATCH(BC801,'Avoided Cost Benefits'!$A$4:$A$857,0)))*F801</f>
        <v>768.12894955388606</v>
      </c>
      <c r="BE801" s="73">
        <f t="shared" si="76"/>
        <v>1162.0191289346246</v>
      </c>
    </row>
    <row r="802" spans="1:57" s="64" customFormat="1" x14ac:dyDescent="0.25">
      <c r="A802" s="1393" t="str">
        <f t="shared" si="72"/>
        <v>351550_2019_12_Cooling RES ER2</v>
      </c>
      <c r="B802" s="157"/>
      <c r="C802" s="1670" t="s">
        <v>1223</v>
      </c>
      <c r="D802" s="1734" t="s">
        <v>742</v>
      </c>
      <c r="E802" s="2424" t="s">
        <v>1225</v>
      </c>
      <c r="F802" s="2582">
        <f>ROUND((($J$966*$J$987*(1/$J$1008-1/$J$1050))/1000)*$J$1082*$J$1115,2)</f>
        <v>385.92</v>
      </c>
      <c r="G802" s="1756" t="s">
        <v>1125</v>
      </c>
      <c r="H802" s="202">
        <f>VLOOKUP(G802,'CP FACTORS'!$A$3:$B$38, 2, FALSE)</f>
        <v>9.4741810000000004E-4</v>
      </c>
      <c r="I802" s="1757">
        <f t="shared" si="77"/>
        <v>0.36562800000000001</v>
      </c>
      <c r="J802" s="3095">
        <f t="shared" si="73"/>
        <v>12</v>
      </c>
      <c r="K802" s="508">
        <f t="shared" si="74"/>
        <v>0</v>
      </c>
      <c r="L802" s="285"/>
      <c r="M802" s="1623"/>
      <c r="N802" s="1623"/>
      <c r="O802" s="1623"/>
      <c r="P802" s="1623"/>
      <c r="Q802" s="1623"/>
      <c r="R802" s="1766"/>
      <c r="S802" s="1623"/>
      <c r="T802" s="1623"/>
      <c r="U802" s="1623"/>
      <c r="V802" s="2294" t="s">
        <v>20</v>
      </c>
      <c r="W802" s="827">
        <v>371.9630357142857</v>
      </c>
      <c r="X802" s="828">
        <v>343.28687958567122</v>
      </c>
      <c r="Y802" s="146">
        <v>385.92</v>
      </c>
      <c r="Z802" s="143">
        <v>385.92</v>
      </c>
      <c r="AA802" s="143">
        <v>385.92</v>
      </c>
      <c r="AB802" s="2458">
        <v>385.92</v>
      </c>
      <c r="AC802" s="61"/>
      <c r="AD802" s="61"/>
      <c r="AE802" s="61"/>
      <c r="AF802" s="61"/>
      <c r="AG802" s="61"/>
      <c r="AH802" s="829"/>
      <c r="AI802" s="829"/>
      <c r="AJ802" s="826"/>
      <c r="AK802" s="826"/>
      <c r="AL802" s="826"/>
      <c r="AM802" s="826"/>
      <c r="AN802" s="826"/>
      <c r="AO802" s="826"/>
      <c r="BB802" s="291"/>
      <c r="BC802" s="750" t="str">
        <f t="shared" si="75"/>
        <v>Cooling RES ER2 12 Year EUL</v>
      </c>
      <c r="BD802" s="752">
        <f>(INDEX('Avoided Cost Benefits'!$C$4:$C$857,MATCH(BC802,'Avoided Cost Benefits'!$A$4:$A$857,0)))*F802</f>
        <v>456.28229027063122</v>
      </c>
      <c r="BE802" s="73">
        <f t="shared" si="76"/>
        <v>0</v>
      </c>
    </row>
    <row r="803" spans="1:57" s="64" customFormat="1" x14ac:dyDescent="0.25">
      <c r="A803" s="1393" t="str">
        <f t="shared" si="72"/>
        <v>351551_2019_12_Cooling RES</v>
      </c>
      <c r="B803" s="648"/>
      <c r="C803" s="1352" t="s">
        <v>1226</v>
      </c>
      <c r="D803" s="1734" t="s">
        <v>737</v>
      </c>
      <c r="E803" s="2424" t="str">
        <f>CONCATENATE(E801, "_CompE")</f>
        <v>Ductless AC - ER1 MF_CompE</v>
      </c>
      <c r="F803" s="2582">
        <f>ROUND((($J$973*$J$994*(1/$J$1036-1/$J$1057))/1000)*$J$1098*$J$1115,2)</f>
        <v>867.48</v>
      </c>
      <c r="G803" s="1756" t="s">
        <v>690</v>
      </c>
      <c r="H803" s="202">
        <f>VLOOKUP(G803,'CP FACTORS'!$A$3:$B$38, 2, FALSE)</f>
        <v>9.4741810000000004E-4</v>
      </c>
      <c r="I803" s="1757">
        <f>ROUND(F803*H803,6)</f>
        <v>0.82186599999999999</v>
      </c>
      <c r="J803" s="3095">
        <f>J801</f>
        <v>6</v>
      </c>
      <c r="K803" s="508">
        <f>K801</f>
        <v>1231.1592671062349</v>
      </c>
      <c r="L803" s="285">
        <f>K973</f>
        <v>1.5</v>
      </c>
      <c r="M803" s="1623"/>
      <c r="N803" s="1623"/>
      <c r="O803" s="1623"/>
      <c r="P803" s="1623"/>
      <c r="Q803" s="1623"/>
      <c r="R803" s="1766"/>
      <c r="S803" s="1623"/>
      <c r="T803" s="1623"/>
      <c r="U803" s="1623"/>
      <c r="V803" s="2294" t="s">
        <v>20</v>
      </c>
      <c r="W803" s="827"/>
      <c r="X803" s="828"/>
      <c r="Y803" s="146">
        <v>1164.95</v>
      </c>
      <c r="Z803" s="143">
        <v>1164.95</v>
      </c>
      <c r="AA803" s="143">
        <v>1164.95</v>
      </c>
      <c r="AB803" s="2164">
        <v>867.48</v>
      </c>
      <c r="AC803" s="61"/>
      <c r="AD803" s="61"/>
      <c r="AE803" s="61"/>
      <c r="AF803" s="61"/>
      <c r="AG803" s="61"/>
      <c r="AH803" s="829"/>
      <c r="AI803" s="829"/>
      <c r="AJ803" s="826"/>
      <c r="AK803" s="826"/>
      <c r="AL803" s="826"/>
      <c r="AM803" s="826"/>
      <c r="AN803" s="826"/>
      <c r="AO803" s="826"/>
      <c r="BB803" s="293">
        <f>(BD803+BD804)/(BE803+BE804)</f>
        <v>0.69195257601948434</v>
      </c>
      <c r="BC803" s="742" t="str">
        <f>CONCATENATE(G803," ",J803," Year EUL")</f>
        <v>Cooling RES 6 Year EUL</v>
      </c>
      <c r="BD803" s="752">
        <f>(INDEX('Avoided Cost Benefits'!$C$4:$C$857,MATCH(BC803,'Avoided Cost Benefits'!$A$4:$A$857,0)))*F803</f>
        <v>504.42588166286021</v>
      </c>
      <c r="BE803" s="73">
        <f>K803/(1.0595^(2020-2019))</f>
        <v>1162.0191289346246</v>
      </c>
    </row>
    <row r="804" spans="1:57" s="64" customFormat="1" x14ac:dyDescent="0.25">
      <c r="A804" s="1393" t="str">
        <f t="shared" si="72"/>
        <v>351551_2019_12_Cooling RES ER2</v>
      </c>
      <c r="B804" s="648"/>
      <c r="C804" s="1768" t="s">
        <v>1226</v>
      </c>
      <c r="D804" s="1769" t="s">
        <v>737</v>
      </c>
      <c r="E804" s="750" t="str">
        <f>CONCATENATE(E802, "_CompE")</f>
        <v>Ductless AC - ER2 MF_CompE</v>
      </c>
      <c r="F804" s="2582">
        <f>ROUND((($J$973*$J$994*(1/$J$1015-1/$J$1057))/1000)*$J$1099*$J$1115,2)</f>
        <v>253.43</v>
      </c>
      <c r="G804" s="2241" t="s">
        <v>1125</v>
      </c>
      <c r="H804" s="1772">
        <f>VLOOKUP(G804,'CP FACTORS'!$A$3:$B$38, 2, FALSE)</f>
        <v>9.4741810000000004E-4</v>
      </c>
      <c r="I804" s="1773">
        <f>ROUND(F804*H804,6)</f>
        <v>0.24010400000000001</v>
      </c>
      <c r="J804" s="451">
        <f>J802</f>
        <v>12</v>
      </c>
      <c r="K804" s="1770">
        <f>K802</f>
        <v>0</v>
      </c>
      <c r="L804" s="1774"/>
      <c r="M804" s="1623"/>
      <c r="N804" s="1623"/>
      <c r="O804" s="1623"/>
      <c r="P804" s="1623"/>
      <c r="Q804" s="1623"/>
      <c r="R804" s="1766"/>
      <c r="S804" s="1623"/>
      <c r="T804" s="1623"/>
      <c r="U804" s="1623"/>
      <c r="V804" s="2294" t="s">
        <v>20</v>
      </c>
      <c r="W804" s="827"/>
      <c r="X804" s="828"/>
      <c r="Y804" s="146">
        <v>340.34</v>
      </c>
      <c r="Z804" s="143">
        <v>340.34</v>
      </c>
      <c r="AA804" s="143">
        <v>340.34</v>
      </c>
      <c r="AB804" s="2164">
        <v>253.43</v>
      </c>
      <c r="AC804" s="61"/>
      <c r="AD804" s="61"/>
      <c r="AE804" s="61"/>
      <c r="AF804" s="61"/>
      <c r="AG804" s="61"/>
      <c r="AH804" s="829"/>
      <c r="AI804" s="829"/>
      <c r="AJ804" s="826"/>
      <c r="AK804" s="826"/>
      <c r="AL804" s="826"/>
      <c r="AM804" s="826"/>
      <c r="AN804" s="826"/>
      <c r="AO804" s="826"/>
      <c r="BB804" s="291"/>
      <c r="BC804" s="750" t="str">
        <f>CONCATENATE(G804," ",J804," Year EUL")</f>
        <v>Cooling RES ER2 12 Year EUL</v>
      </c>
      <c r="BD804" s="752">
        <f>(INDEX('Avoided Cost Benefits'!$C$4:$C$857,MATCH(BC804,'Avoided Cost Benefits'!$A$4:$A$857,0)))*F804</f>
        <v>299.63624798737061</v>
      </c>
      <c r="BE804" s="73">
        <f>K804/(1.0595^(2020-2019))</f>
        <v>0</v>
      </c>
    </row>
    <row r="805" spans="1:57" s="64" customFormat="1" x14ac:dyDescent="0.25">
      <c r="A805" s="1393" t="str">
        <f t="shared" si="72"/>
        <v>351600_2019_12_Cooling RES</v>
      </c>
      <c r="B805" s="157"/>
      <c r="C805" s="1670" t="s">
        <v>1227</v>
      </c>
      <c r="D805" s="1734" t="s">
        <v>742</v>
      </c>
      <c r="E805" s="388" t="s">
        <v>1228</v>
      </c>
      <c r="F805" s="2582">
        <f>ROUND((($J$967*$J$988*(1/$J$1009-1/$J$1051))/1000)*$J$1083*$J$1115,2)</f>
        <v>332.95</v>
      </c>
      <c r="G805" s="380" t="s">
        <v>690</v>
      </c>
      <c r="H805" s="202">
        <f>VLOOKUP(G805,'CP FACTORS'!$A$3:$B$38, 2, FALSE)</f>
        <v>9.4741810000000004E-4</v>
      </c>
      <c r="I805" s="1757">
        <f t="shared" si="77"/>
        <v>0.31544299999999997</v>
      </c>
      <c r="J805" s="3095">
        <f>J1135</f>
        <v>18</v>
      </c>
      <c r="K805" s="508">
        <f>J1169</f>
        <v>336</v>
      </c>
      <c r="L805" s="285">
        <f>K960</f>
        <v>1.3125</v>
      </c>
      <c r="M805" s="1623"/>
      <c r="N805" s="1623"/>
      <c r="O805" s="1623"/>
      <c r="P805" s="1623"/>
      <c r="Q805" s="1623"/>
      <c r="R805" s="1766"/>
      <c r="S805" s="1623"/>
      <c r="T805" s="1623"/>
      <c r="U805" s="1623"/>
      <c r="V805" s="2294" t="s">
        <v>20</v>
      </c>
      <c r="W805" s="827">
        <v>1219.3587301587302</v>
      </c>
      <c r="X805" s="828">
        <v>1175.0440224428139</v>
      </c>
      <c r="Y805" s="146">
        <v>1320.98</v>
      </c>
      <c r="Z805" s="143">
        <v>1320.98</v>
      </c>
      <c r="AA805" s="143">
        <v>1320.98</v>
      </c>
      <c r="AB805" s="2164">
        <v>332.95</v>
      </c>
      <c r="AC805" s="61"/>
      <c r="AD805" s="61"/>
      <c r="AE805" s="61"/>
      <c r="AF805" s="61"/>
      <c r="AG805" s="61"/>
      <c r="AH805" s="829"/>
      <c r="AI805" s="829"/>
      <c r="AJ805" s="826"/>
      <c r="AK805" s="826"/>
      <c r="AL805" s="826"/>
      <c r="AM805" s="826"/>
      <c r="AN805" s="826"/>
      <c r="AO805" s="826"/>
      <c r="BB805" s="2236">
        <f>(BD805)/(BE805)</f>
        <v>1.8517908389406215</v>
      </c>
      <c r="BC805" s="388" t="str">
        <f t="shared" si="75"/>
        <v>Cooling RES 18 Year EUL</v>
      </c>
      <c r="BD805" s="752">
        <f>(INDEX('Avoided Cost Benefits'!$C$4:$C$857,MATCH(BC805,'Avoided Cost Benefits'!$A$4:$A$857,0)))*F805</f>
        <v>587.25976581788461</v>
      </c>
      <c r="BE805" s="73">
        <f t="shared" si="76"/>
        <v>317.13072203869746</v>
      </c>
    </row>
    <row r="806" spans="1:57" s="64" customFormat="1" x14ac:dyDescent="0.25">
      <c r="A806" s="1393" t="str">
        <f t="shared" si="72"/>
        <v>351601_2019_12_Cooling RES</v>
      </c>
      <c r="B806" s="648"/>
      <c r="C806" s="1352" t="s">
        <v>1229</v>
      </c>
      <c r="D806" s="1769" t="s">
        <v>737</v>
      </c>
      <c r="E806" s="388" t="str">
        <f>CONCATENATE(E805, "_CompE")</f>
        <v>Ductless AC - ROF MF_CompE</v>
      </c>
      <c r="F806" s="2582">
        <f>ROUND((($J$974*$J$995*(1/$J$1037-1/$J$1058))/1000)*$J$1100*$J$1115,2)</f>
        <v>755.93</v>
      </c>
      <c r="G806" s="380" t="s">
        <v>690</v>
      </c>
      <c r="H806" s="202">
        <f>VLOOKUP(G806,'CP FACTORS'!$A$3:$B$38, 2, FALSE)</f>
        <v>9.4741810000000004E-4</v>
      </c>
      <c r="I806" s="1757">
        <f>ROUND(F806*H806,6)</f>
        <v>0.71618199999999999</v>
      </c>
      <c r="J806" s="451">
        <f>J805</f>
        <v>18</v>
      </c>
      <c r="K806" s="1770">
        <f>K805</f>
        <v>336</v>
      </c>
      <c r="L806" s="285">
        <f>K974</f>
        <v>1.3125</v>
      </c>
      <c r="M806" s="1623"/>
      <c r="N806" s="1623"/>
      <c r="O806" s="1623"/>
      <c r="P806" s="1623"/>
      <c r="Q806" s="1623"/>
      <c r="R806" s="1766"/>
      <c r="S806" s="1623"/>
      <c r="T806" s="1623"/>
      <c r="U806" s="1623"/>
      <c r="V806" s="2294" t="s">
        <v>20</v>
      </c>
      <c r="W806" s="827"/>
      <c r="X806" s="828"/>
      <c r="Y806" s="146">
        <v>1164.95</v>
      </c>
      <c r="Z806" s="143">
        <v>1164.95</v>
      </c>
      <c r="AA806" s="143">
        <v>1164.95</v>
      </c>
      <c r="AB806" s="2164">
        <v>755.93</v>
      </c>
      <c r="AC806" s="61"/>
      <c r="AD806" s="61"/>
      <c r="AE806" s="61"/>
      <c r="AF806" s="61"/>
      <c r="AG806" s="61"/>
      <c r="AH806" s="829"/>
      <c r="AI806" s="829"/>
      <c r="AJ806" s="826"/>
      <c r="AK806" s="826"/>
      <c r="AL806" s="826"/>
      <c r="AM806" s="826"/>
      <c r="AN806" s="826"/>
      <c r="AO806" s="826"/>
      <c r="BB806" s="2236">
        <f>(BD806)/(BE806)</f>
        <v>4.2043077004967229</v>
      </c>
      <c r="BC806" s="388" t="str">
        <f>CONCATENATE(G806," ",J806," Year EUL")</f>
        <v>Cooling RES 18 Year EUL</v>
      </c>
      <c r="BD806" s="752">
        <f>(INDEX('Avoided Cost Benefits'!$C$4:$C$857,MATCH(BC806,'Avoided Cost Benefits'!$A$4:$A$857,0)))*F806</f>
        <v>1333.3151367313815</v>
      </c>
      <c r="BE806" s="73">
        <f>K806/(1.0595^(2020-2019))</f>
        <v>317.13072203869746</v>
      </c>
    </row>
    <row r="807" spans="1:57" s="64" customFormat="1" x14ac:dyDescent="0.25">
      <c r="A807" s="1393" t="str">
        <f t="shared" si="72"/>
        <v>351650_2019_12_Cooling RES</v>
      </c>
      <c r="B807" s="157"/>
      <c r="C807" s="1670" t="s">
        <v>1230</v>
      </c>
      <c r="D807" s="1734" t="s">
        <v>742</v>
      </c>
      <c r="E807" s="742" t="s">
        <v>1231</v>
      </c>
      <c r="F807" s="2582">
        <f>ROUND((($J$968*$J$989*(1/$J$1010-1/$J$1052))/1000)*$J$1084*$J$1115,2)</f>
        <v>214.85</v>
      </c>
      <c r="G807" s="380" t="s">
        <v>690</v>
      </c>
      <c r="H807" s="202">
        <f>VLOOKUP(G807,'CP FACTORS'!$A$3:$B$38, 2, FALSE)</f>
        <v>9.4741810000000004E-4</v>
      </c>
      <c r="I807" s="1757">
        <f t="shared" si="77"/>
        <v>0.20355300000000001</v>
      </c>
      <c r="J807" s="3095">
        <f>J1136</f>
        <v>18</v>
      </c>
      <c r="K807" s="508">
        <f>J1170</f>
        <v>336</v>
      </c>
      <c r="L807" s="285">
        <f>K961</f>
        <v>1.5</v>
      </c>
      <c r="M807" s="1623"/>
      <c r="N807" s="1623"/>
      <c r="O807" s="1623"/>
      <c r="P807" s="1623"/>
      <c r="Q807" s="1623"/>
      <c r="R807" s="1766"/>
      <c r="S807" s="1623"/>
      <c r="T807" s="1623"/>
      <c r="U807" s="1623"/>
      <c r="V807" s="2294" t="s">
        <v>20</v>
      </c>
      <c r="W807" s="827">
        <v>356.48140969163001</v>
      </c>
      <c r="X807" s="828">
        <v>343.28687958567122</v>
      </c>
      <c r="Y807" s="146">
        <v>214.85</v>
      </c>
      <c r="Z807" s="143">
        <v>214.85</v>
      </c>
      <c r="AA807" s="143">
        <v>214.85</v>
      </c>
      <c r="AB807" s="2458">
        <v>214.85</v>
      </c>
      <c r="AC807" s="61"/>
      <c r="AD807" s="61"/>
      <c r="AE807" s="61"/>
      <c r="AF807" s="61"/>
      <c r="AG807" s="61"/>
      <c r="AH807" s="829"/>
      <c r="AI807" s="829"/>
      <c r="AJ807" s="826"/>
      <c r="AK807" s="826"/>
      <c r="AL807" s="826"/>
      <c r="AM807" s="826"/>
      <c r="AN807" s="826"/>
      <c r="AO807" s="826"/>
      <c r="BB807" s="293">
        <f>(BD807+BD808)/(BE807+BE808)</f>
        <v>1.9436425810497631</v>
      </c>
      <c r="BC807" s="742" t="str">
        <f t="shared" si="75"/>
        <v>Cooling RES 18 Year EUL</v>
      </c>
      <c r="BD807" s="752">
        <f>(INDEX('Avoided Cost Benefits'!$C$4:$C$857,MATCH(BC807,'Avoided Cost Benefits'!$A$4:$A$857,0)))*F807</f>
        <v>378.95407924905396</v>
      </c>
      <c r="BE807" s="73">
        <f t="shared" si="76"/>
        <v>317.13072203869746</v>
      </c>
    </row>
    <row r="808" spans="1:57" s="64" customFormat="1" x14ac:dyDescent="0.25">
      <c r="A808" s="1393" t="str">
        <f t="shared" si="72"/>
        <v>351650_2019_12_Heating RES</v>
      </c>
      <c r="B808" s="157"/>
      <c r="C808" s="1670" t="s">
        <v>1230</v>
      </c>
      <c r="D808" s="1734" t="s">
        <v>742</v>
      </c>
      <c r="E808" s="750" t="s">
        <v>1231</v>
      </c>
      <c r="F808" s="2582">
        <f>ROUND((($J$863*$J$884*(1/$J$905-1/$J$947))/1000)*$J$1085*$J$1115,2)</f>
        <v>513.91</v>
      </c>
      <c r="G808" s="380" t="s">
        <v>691</v>
      </c>
      <c r="H808" s="202">
        <f>VLOOKUP(G808,'CP FACTORS'!$A$3:$B$38, 2, FALSE)</f>
        <v>0</v>
      </c>
      <c r="I808" s="1757">
        <f t="shared" si="77"/>
        <v>0</v>
      </c>
      <c r="J808" s="3095">
        <f>J1137</f>
        <v>18</v>
      </c>
      <c r="K808" s="508">
        <f>J1171</f>
        <v>0</v>
      </c>
      <c r="L808" s="285"/>
      <c r="M808" s="1623"/>
      <c r="N808" s="1623"/>
      <c r="O808" s="1623"/>
      <c r="P808" s="1623"/>
      <c r="Q808" s="1623"/>
      <c r="R808" s="1766"/>
      <c r="S808" s="1623"/>
      <c r="T808" s="1623"/>
      <c r="U808" s="1623"/>
      <c r="V808" s="2294" t="s">
        <v>20</v>
      </c>
      <c r="W808" s="827">
        <v>688.58947368421047</v>
      </c>
      <c r="X808" s="828">
        <v>588.317504093769</v>
      </c>
      <c r="Y808" s="146">
        <v>513.91</v>
      </c>
      <c r="Z808" s="143">
        <v>513.91</v>
      </c>
      <c r="AA808" s="143">
        <v>513.91</v>
      </c>
      <c r="AB808" s="2458">
        <v>513.91</v>
      </c>
      <c r="AC808" s="61"/>
      <c r="AD808" s="61"/>
      <c r="AE808" s="61"/>
      <c r="AF808" s="61"/>
      <c r="AG808" s="61"/>
      <c r="AH808" s="829"/>
      <c r="AI808" s="829"/>
      <c r="AJ808" s="826"/>
      <c r="AK808" s="826"/>
      <c r="AL808" s="826"/>
      <c r="AM808" s="826"/>
      <c r="AN808" s="826"/>
      <c r="AO808" s="826"/>
      <c r="BB808" s="291"/>
      <c r="BC808" s="750" t="str">
        <f t="shared" si="75"/>
        <v>Heating RES 18 Year EUL</v>
      </c>
      <c r="BD808" s="752">
        <f>(INDEX('Avoided Cost Benefits'!$C$4:$C$857,MATCH(BC808,'Avoided Cost Benefits'!$A$4:$A$857,0)))*F808</f>
        <v>237.43469586441489</v>
      </c>
      <c r="BE808" s="73">
        <f t="shared" si="76"/>
        <v>0</v>
      </c>
    </row>
    <row r="809" spans="1:57" s="64" customFormat="1" x14ac:dyDescent="0.25">
      <c r="A809" s="1393" t="str">
        <f t="shared" si="72"/>
        <v>351651_2019_12_Cooling RES</v>
      </c>
      <c r="B809" s="648"/>
      <c r="C809" s="1352" t="s">
        <v>1232</v>
      </c>
      <c r="D809" s="1769" t="s">
        <v>737</v>
      </c>
      <c r="E809" s="742" t="str">
        <f>CONCATENATE(E807, "_CompE")</f>
        <v>Ductless ASHP - ROF MF NC_CompE</v>
      </c>
      <c r="F809" s="2582">
        <f>ROUND((($J$975*$J$996*(1/$J$1017-1/$J$1059))/1000)*$J$1101*$J$1115,2)</f>
        <v>141.09</v>
      </c>
      <c r="G809" s="380" t="s">
        <v>690</v>
      </c>
      <c r="H809" s="202">
        <f>VLOOKUP(G809,'CP FACTORS'!$A$3:$B$38, 2, FALSE)</f>
        <v>9.4741810000000004E-4</v>
      </c>
      <c r="I809" s="1757">
        <f>ROUND(F809*H809,6)</f>
        <v>0.13367100000000001</v>
      </c>
      <c r="J809" s="451">
        <f>J807</f>
        <v>18</v>
      </c>
      <c r="K809" s="1770">
        <f>K807</f>
        <v>336</v>
      </c>
      <c r="L809" s="285">
        <f>K975</f>
        <v>1.5</v>
      </c>
      <c r="M809" s="1623"/>
      <c r="N809" s="1623"/>
      <c r="O809" s="1623"/>
      <c r="P809" s="1623"/>
      <c r="Q809" s="1623"/>
      <c r="R809" s="1766"/>
      <c r="S809" s="1623"/>
      <c r="T809" s="1623"/>
      <c r="U809" s="1623"/>
      <c r="V809" s="2294" t="s">
        <v>20</v>
      </c>
      <c r="W809" s="827">
        <v>356.48140969163001</v>
      </c>
      <c r="X809" s="828"/>
      <c r="Y809" s="146">
        <v>189.47</v>
      </c>
      <c r="Z809" s="143">
        <v>189.47</v>
      </c>
      <c r="AA809" s="143">
        <v>189.47</v>
      </c>
      <c r="AB809" s="2164">
        <v>141.09</v>
      </c>
      <c r="AC809" s="61"/>
      <c r="AD809" s="61"/>
      <c r="AE809" s="61"/>
      <c r="AF809" s="61"/>
      <c r="AG809" s="61"/>
      <c r="AH809" s="829"/>
      <c r="AI809" s="829"/>
      <c r="AJ809" s="826"/>
      <c r="AK809" s="826"/>
      <c r="AL809" s="826"/>
      <c r="AM809" s="826"/>
      <c r="AN809" s="826"/>
      <c r="AO809" s="826"/>
      <c r="BB809" s="293">
        <f>(BD809+BD810)/(BE809+BE810)</f>
        <v>1.0692644605538619</v>
      </c>
      <c r="BC809" s="742" t="str">
        <f>CONCATENATE(G809," ",J809," Year EUL")</f>
        <v>Cooling RES 18 Year EUL</v>
      </c>
      <c r="BD809" s="752">
        <f>(INDEX('Avoided Cost Benefits'!$C$4:$C$857,MATCH(BC809,'Avoided Cost Benefits'!$A$4:$A$857,0)))*F809</f>
        <v>248.85562504653956</v>
      </c>
      <c r="BE809" s="73">
        <f>K809/(1.0595^(2020-2019))</f>
        <v>317.13072203869746</v>
      </c>
    </row>
    <row r="810" spans="1:57" s="64" customFormat="1" x14ac:dyDescent="0.25">
      <c r="A810" s="1393" t="str">
        <f t="shared" si="72"/>
        <v>351651_2019_12_Heating RES</v>
      </c>
      <c r="B810" s="648"/>
      <c r="C810" s="1352" t="s">
        <v>1232</v>
      </c>
      <c r="D810" s="1769" t="s">
        <v>737</v>
      </c>
      <c r="E810" s="750" t="str">
        <f>CONCATENATE(E808, "_CompE")</f>
        <v>Ductless ASHP - ROF MF NC_CompE</v>
      </c>
      <c r="F810" s="2582">
        <f>ROUND((($J$870*$J$891*(1/$J$912-1/$J$954))/1000)*$J$1102*$J$1115,2)</f>
        <v>195.32</v>
      </c>
      <c r="G810" s="380" t="s">
        <v>691</v>
      </c>
      <c r="H810" s="202">
        <f>VLOOKUP(G810,'CP FACTORS'!$A$3:$B$38, 2, FALSE)</f>
        <v>0</v>
      </c>
      <c r="I810" s="1757">
        <f>ROUND(F810*H810,6)</f>
        <v>0</v>
      </c>
      <c r="J810" s="451">
        <f>J808</f>
        <v>18</v>
      </c>
      <c r="K810" s="1770">
        <f>K808</f>
        <v>0</v>
      </c>
      <c r="L810" s="285"/>
      <c r="M810" s="1623"/>
      <c r="N810" s="1623"/>
      <c r="O810" s="1623"/>
      <c r="P810" s="1623"/>
      <c r="Q810" s="1623"/>
      <c r="R810" s="1766"/>
      <c r="S810" s="1623"/>
      <c r="T810" s="1623"/>
      <c r="U810" s="1623"/>
      <c r="V810" s="2294" t="s">
        <v>20</v>
      </c>
      <c r="W810" s="827">
        <v>688.58947368421047</v>
      </c>
      <c r="X810" s="828"/>
      <c r="Y810" s="146">
        <v>236.58</v>
      </c>
      <c r="Z810" s="143">
        <v>236.58</v>
      </c>
      <c r="AA810" s="143">
        <v>236.58</v>
      </c>
      <c r="AB810" s="2164">
        <v>195.32</v>
      </c>
      <c r="AC810" s="61"/>
      <c r="AD810" s="61"/>
      <c r="AE810" s="61"/>
      <c r="AF810" s="61"/>
      <c r="AG810" s="61"/>
      <c r="AH810" s="829"/>
      <c r="AI810" s="829"/>
      <c r="AJ810" s="826"/>
      <c r="AK810" s="826"/>
      <c r="AL810" s="826"/>
      <c r="AM810" s="826"/>
      <c r="AN810" s="826"/>
      <c r="AO810" s="826"/>
      <c r="BB810" s="291"/>
      <c r="BC810" s="750" t="str">
        <f>CONCATENATE(G810," ",J810," Year EUL")</f>
        <v>Heating RES 18 Year EUL</v>
      </c>
      <c r="BD810" s="752">
        <f>(INDEX('Avoided Cost Benefits'!$C$4:$C$857,MATCH(BC810,'Avoided Cost Benefits'!$A$4:$A$857,0)))*F810</f>
        <v>90.240985379224995</v>
      </c>
      <c r="BE810" s="73">
        <f>K810/(1.0595^(2020-2019))</f>
        <v>0</v>
      </c>
    </row>
    <row r="811" spans="1:57" s="64" customFormat="1" x14ac:dyDescent="0.25">
      <c r="A811" s="1393" t="str">
        <f t="shared" si="72"/>
        <v>351700_2019_12_Cooling RES</v>
      </c>
      <c r="B811" s="157"/>
      <c r="C811" s="1670" t="s">
        <v>1233</v>
      </c>
      <c r="D811" s="1734" t="s">
        <v>742</v>
      </c>
      <c r="E811" s="742" t="s">
        <v>1234</v>
      </c>
      <c r="F811" s="2582">
        <f>ROUND((($J$969*$J$990*(1/$J$1011-1/$J$1053))/1000)*$J$1086*$J$1115,2)</f>
        <v>312.66000000000003</v>
      </c>
      <c r="G811" s="380" t="s">
        <v>690</v>
      </c>
      <c r="H811" s="202">
        <f>VLOOKUP(G811,'CP FACTORS'!$A$3:$B$38, 2, FALSE)</f>
        <v>9.4741810000000004E-4</v>
      </c>
      <c r="I811" s="1757">
        <f t="shared" si="77"/>
        <v>0.29621999999999998</v>
      </c>
      <c r="J811" s="3095">
        <f>J1138</f>
        <v>18</v>
      </c>
      <c r="K811" s="508">
        <f>J1172</f>
        <v>336</v>
      </c>
      <c r="L811" s="285">
        <f>K962</f>
        <v>1.5184210526315791</v>
      </c>
      <c r="M811" s="1623"/>
      <c r="N811" s="1623"/>
      <c r="O811" s="1623"/>
      <c r="P811" s="1623"/>
      <c r="Q811" s="1623"/>
      <c r="R811" s="1766"/>
      <c r="S811" s="1623"/>
      <c r="T811" s="1623"/>
      <c r="U811" s="1623"/>
      <c r="V811" s="2294" t="s">
        <v>20</v>
      </c>
      <c r="W811" s="827">
        <v>356.48140969163001</v>
      </c>
      <c r="X811" s="828">
        <v>343.28687958567122</v>
      </c>
      <c r="Y811" s="146">
        <v>214.85</v>
      </c>
      <c r="Z811" s="143">
        <v>214.85</v>
      </c>
      <c r="AA811" s="143">
        <v>214.85</v>
      </c>
      <c r="AB811" s="2164">
        <v>312.66000000000003</v>
      </c>
      <c r="AC811" s="61"/>
      <c r="AD811" s="61"/>
      <c r="AE811" s="61"/>
      <c r="AF811" s="61"/>
      <c r="AG811" s="61"/>
      <c r="AH811" s="829"/>
      <c r="AI811" s="829"/>
      <c r="AJ811" s="826"/>
      <c r="AK811" s="826"/>
      <c r="AL811" s="826"/>
      <c r="AM811" s="826"/>
      <c r="AN811" s="826"/>
      <c r="AO811" s="826"/>
      <c r="BB811" s="293">
        <f>(BD811+BD812)/(BE811+BE812)</f>
        <v>2.5918777306338989</v>
      </c>
      <c r="BC811" s="742" t="str">
        <f t="shared" si="75"/>
        <v>Cooling RES 18 Year EUL</v>
      </c>
      <c r="BD811" s="752">
        <f>(INDEX('Avoided Cost Benefits'!$C$4:$C$857,MATCH(BC811,'Avoided Cost Benefits'!$A$4:$A$857,0)))*F811</f>
        <v>551.47210806613555</v>
      </c>
      <c r="BE811" s="73">
        <f t="shared" si="76"/>
        <v>317.13072203869746</v>
      </c>
    </row>
    <row r="812" spans="1:57" s="64" customFormat="1" x14ac:dyDescent="0.25">
      <c r="A812" s="1393" t="str">
        <f t="shared" si="72"/>
        <v>351700_2019_12_Heating RES</v>
      </c>
      <c r="B812" s="157"/>
      <c r="C812" s="1670" t="s">
        <v>1233</v>
      </c>
      <c r="D812" s="1734" t="s">
        <v>742</v>
      </c>
      <c r="E812" s="750" t="s">
        <v>1234</v>
      </c>
      <c r="F812" s="2582">
        <f>ROUND((($J$864*$J$884*(1/$J$906-1/$J$948))/1000)*$J$1087*$J$1115,2)</f>
        <v>585.46</v>
      </c>
      <c r="G812" s="380" t="s">
        <v>691</v>
      </c>
      <c r="H812" s="202">
        <f>VLOOKUP(G812,'CP FACTORS'!$A$3:$B$38, 2, FALSE)</f>
        <v>0</v>
      </c>
      <c r="I812" s="1757">
        <f t="shared" si="77"/>
        <v>0</v>
      </c>
      <c r="J812" s="3095">
        <f>J1139</f>
        <v>18</v>
      </c>
      <c r="K812" s="508">
        <f>J1173</f>
        <v>0</v>
      </c>
      <c r="L812" s="285"/>
      <c r="M812" s="1623"/>
      <c r="N812" s="1623"/>
      <c r="O812" s="1623"/>
      <c r="P812" s="1623"/>
      <c r="Q812" s="1623"/>
      <c r="R812" s="1766"/>
      <c r="S812" s="1623"/>
      <c r="T812" s="1623"/>
      <c r="U812" s="1623"/>
      <c r="V812" s="2294" t="s">
        <v>20</v>
      </c>
      <c r="W812" s="827">
        <v>688.58947368421047</v>
      </c>
      <c r="X812" s="828">
        <v>588.317504093769</v>
      </c>
      <c r="Y812" s="146">
        <v>513.91</v>
      </c>
      <c r="Z812" s="143">
        <v>513.91</v>
      </c>
      <c r="AA812" s="143">
        <v>513.91</v>
      </c>
      <c r="AB812" s="2164">
        <v>585.46</v>
      </c>
      <c r="AC812" s="61"/>
      <c r="AD812" s="61"/>
      <c r="AE812" s="61"/>
      <c r="AF812" s="61"/>
      <c r="AG812" s="61"/>
      <c r="AH812" s="829"/>
      <c r="AI812" s="829"/>
      <c r="AJ812" s="826"/>
      <c r="AK812" s="826"/>
      <c r="AL812" s="826"/>
      <c r="AM812" s="826"/>
      <c r="AN812" s="826"/>
      <c r="AO812" s="826"/>
      <c r="BB812" s="291"/>
      <c r="BC812" s="750" t="str">
        <f t="shared" si="75"/>
        <v>Heating RES 18 Year EUL</v>
      </c>
      <c r="BD812" s="752">
        <f>(INDEX('Avoided Cost Benefits'!$C$4:$C$857,MATCH(BC812,'Avoided Cost Benefits'!$A$4:$A$857,0)))*F812</f>
        <v>270.49194808581342</v>
      </c>
      <c r="BE812" s="73">
        <f t="shared" si="76"/>
        <v>0</v>
      </c>
    </row>
    <row r="813" spans="1:57" s="64" customFormat="1" x14ac:dyDescent="0.25">
      <c r="A813" s="1393" t="str">
        <f t="shared" si="72"/>
        <v>351701_2019_12_Cooling RES</v>
      </c>
      <c r="B813" s="648"/>
      <c r="C813" s="1352" t="s">
        <v>1235</v>
      </c>
      <c r="D813" s="1769" t="s">
        <v>737</v>
      </c>
      <c r="E813" s="742" t="str">
        <f>CONCATENATE(E811, "_CompE")</f>
        <v>Ductless ASHP - ROF MF_CompE</v>
      </c>
      <c r="F813" s="2582">
        <f>ROUND((($J$976*$J$997*(1/$J$1018-1/$J$1060))/1000)*$J$1103*$J$1115,2)</f>
        <v>205.32</v>
      </c>
      <c r="G813" s="380" t="s">
        <v>690</v>
      </c>
      <c r="H813" s="202">
        <f>VLOOKUP(G813,'CP FACTORS'!$A$3:$B$38, 2, FALSE)</f>
        <v>9.4741810000000004E-4</v>
      </c>
      <c r="I813" s="1757">
        <f>ROUND(F813*H813,6)</f>
        <v>0.194524</v>
      </c>
      <c r="J813" s="451">
        <f>J811</f>
        <v>18</v>
      </c>
      <c r="K813" s="1770">
        <f>K811</f>
        <v>336</v>
      </c>
      <c r="L813" s="285">
        <f>K976</f>
        <v>1.5184210526315791</v>
      </c>
      <c r="M813" s="1623"/>
      <c r="N813" s="1623"/>
      <c r="O813" s="1623"/>
      <c r="P813" s="1623"/>
      <c r="Q813" s="1623"/>
      <c r="R813" s="1766"/>
      <c r="S813" s="1623"/>
      <c r="T813" s="1623"/>
      <c r="U813" s="1623"/>
      <c r="V813" s="2294" t="s">
        <v>20</v>
      </c>
      <c r="W813" s="827"/>
      <c r="X813" s="828"/>
      <c r="Y813" s="146">
        <v>189.47</v>
      </c>
      <c r="Z813" s="143">
        <v>189.47</v>
      </c>
      <c r="AA813" s="143">
        <v>189.47</v>
      </c>
      <c r="AB813" s="2164">
        <v>205.32</v>
      </c>
      <c r="AC813" s="61"/>
      <c r="AD813" s="61"/>
      <c r="AE813" s="61"/>
      <c r="AF813" s="61"/>
      <c r="AG813" s="61"/>
      <c r="AH813" s="829"/>
      <c r="AI813" s="829"/>
      <c r="AJ813" s="826"/>
      <c r="AK813" s="826"/>
      <c r="AL813" s="826"/>
      <c r="AM813" s="826"/>
      <c r="AN813" s="826"/>
      <c r="AO813" s="826"/>
      <c r="BB813" s="293">
        <f>(BD813+BD814)/(BE813+BE814)</f>
        <v>1.4661235357634463</v>
      </c>
      <c r="BC813" s="742" t="str">
        <f>CONCATENATE(G813," ",J813," Year EUL")</f>
        <v>Cooling RES 18 Year EUL</v>
      </c>
      <c r="BD813" s="752">
        <f>(INDEX('Avoided Cost Benefits'!$C$4:$C$857,MATCH(BC813,'Avoided Cost Benefits'!$A$4:$A$857,0)))*F813</f>
        <v>362.1449920940924</v>
      </c>
      <c r="BE813" s="73">
        <f>K813/(1.0595^(2020-2019))</f>
        <v>317.13072203869746</v>
      </c>
    </row>
    <row r="814" spans="1:57" s="64" customFormat="1" x14ac:dyDescent="0.25">
      <c r="A814" s="1393" t="str">
        <f t="shared" si="72"/>
        <v>351701_2019_12_Heating RES</v>
      </c>
      <c r="B814" s="648"/>
      <c r="C814" s="1352" t="s">
        <v>1235</v>
      </c>
      <c r="D814" s="1769" t="s">
        <v>737</v>
      </c>
      <c r="E814" s="750" t="str">
        <f>CONCATENATE(E812, "_CompE")</f>
        <v>Ductless ASHP - ROF MF_CompE</v>
      </c>
      <c r="F814" s="2582">
        <f>ROUND((($J$871*$J$892*(1/$J$913-1/$J$955))/1000)*$J$1104*$J$1115,2)</f>
        <v>222.52</v>
      </c>
      <c r="G814" s="380" t="s">
        <v>691</v>
      </c>
      <c r="H814" s="202">
        <f>VLOOKUP(G814,'CP FACTORS'!$A$3:$B$38, 2, FALSE)</f>
        <v>0</v>
      </c>
      <c r="I814" s="1757">
        <f>ROUND(F814*H814,6)</f>
        <v>0</v>
      </c>
      <c r="J814" s="451">
        <f>J812</f>
        <v>18</v>
      </c>
      <c r="K814" s="1770">
        <f>K812</f>
        <v>0</v>
      </c>
      <c r="L814" s="285"/>
      <c r="M814" s="1623"/>
      <c r="N814" s="1623"/>
      <c r="O814" s="1623"/>
      <c r="P814" s="1623"/>
      <c r="Q814" s="1623"/>
      <c r="R814" s="1766"/>
      <c r="S814" s="1623"/>
      <c r="T814" s="1623"/>
      <c r="U814" s="1623"/>
      <c r="V814" s="2294" t="s">
        <v>20</v>
      </c>
      <c r="W814" s="827"/>
      <c r="X814" s="828"/>
      <c r="Y814" s="146">
        <v>236.58</v>
      </c>
      <c r="Z814" s="143">
        <v>236.58</v>
      </c>
      <c r="AA814" s="143">
        <v>236.58</v>
      </c>
      <c r="AB814" s="2164">
        <v>222.52</v>
      </c>
      <c r="AC814" s="61"/>
      <c r="AD814" s="61"/>
      <c r="AE814" s="61"/>
      <c r="AF814" s="61"/>
      <c r="AG814" s="61"/>
      <c r="AH814" s="829"/>
      <c r="AI814" s="829"/>
      <c r="AJ814" s="826"/>
      <c r="AK814" s="826"/>
      <c r="AL814" s="826"/>
      <c r="AM814" s="826"/>
      <c r="AN814" s="826"/>
      <c r="AO814" s="826"/>
      <c r="BB814" s="291"/>
      <c r="BC814" s="750" t="str">
        <f>CONCATENATE(G814," ",J814," Year EUL")</f>
        <v>Heating RES 18 Year EUL</v>
      </c>
      <c r="BD814" s="752">
        <f>(INDEX('Avoided Cost Benefits'!$C$4:$C$857,MATCH(BC814,'Avoided Cost Benefits'!$A$4:$A$857,0)))*F814</f>
        <v>102.80782340049738</v>
      </c>
      <c r="BE814" s="73">
        <f>K814/(1.0595^(2020-2019))</f>
        <v>0</v>
      </c>
    </row>
    <row r="815" spans="1:57" s="64" customFormat="1" x14ac:dyDescent="0.25">
      <c r="A815" s="1393" t="str">
        <f t="shared" si="72"/>
        <v>351750_2019_12_Cooling RES</v>
      </c>
      <c r="B815" s="157"/>
      <c r="C815" s="1670" t="s">
        <v>1236</v>
      </c>
      <c r="D815" s="1734" t="s">
        <v>742</v>
      </c>
      <c r="E815" s="742" t="s">
        <v>1237</v>
      </c>
      <c r="F815" s="2582">
        <f>ROUND((($J$970*$J$991*(1/$J$1033-1/$J$1054))/1000)*$J$1088*$J$1115,2)</f>
        <v>1039.47</v>
      </c>
      <c r="G815" s="380" t="s">
        <v>690</v>
      </c>
      <c r="H815" s="202">
        <f>VLOOKUP(G815,'CP FACTORS'!$A$3:$B$38, 2, FALSE)</f>
        <v>9.4741810000000004E-4</v>
      </c>
      <c r="I815" s="1757">
        <f t="shared" si="77"/>
        <v>0.98481300000000005</v>
      </c>
      <c r="J815" s="3095">
        <f>J1140</f>
        <v>6</v>
      </c>
      <c r="K815" s="508">
        <f>J1174</f>
        <v>2504.17</v>
      </c>
      <c r="L815" s="285">
        <f>K963</f>
        <v>1.57</v>
      </c>
      <c r="M815" s="1623"/>
      <c r="N815" s="1623"/>
      <c r="O815" s="1623"/>
      <c r="P815" s="1623"/>
      <c r="Q815" s="1623"/>
      <c r="R815" s="1766"/>
      <c r="S815" s="1623"/>
      <c r="T815" s="1623"/>
      <c r="U815" s="1623"/>
      <c r="V815" s="2294" t="s">
        <v>20</v>
      </c>
      <c r="W815" s="827">
        <v>971.87426470588241</v>
      </c>
      <c r="X815" s="828">
        <v>1056.3780560562595</v>
      </c>
      <c r="Y815" s="146">
        <v>1175.8</v>
      </c>
      <c r="Z815" s="143">
        <v>1175.8</v>
      </c>
      <c r="AA815" s="143">
        <v>1175.8</v>
      </c>
      <c r="AB815" s="2164">
        <v>1039.47</v>
      </c>
      <c r="AC815" s="61"/>
      <c r="AD815" s="61"/>
      <c r="AE815" s="61"/>
      <c r="AF815" s="61"/>
      <c r="AG815" s="61"/>
      <c r="AH815" s="829"/>
      <c r="AI815" s="829"/>
      <c r="AJ815" s="826"/>
      <c r="AK815" s="826"/>
      <c r="AL815" s="826"/>
      <c r="AM815" s="826"/>
      <c r="AN815" s="826"/>
      <c r="AO815" s="826"/>
      <c r="BB815" s="293">
        <f>(BD815+BD816+BD817+BD818)/(BE815+BE816+BE817+BE818)</f>
        <v>1.1620742350001005</v>
      </c>
      <c r="BC815" s="742" t="str">
        <f t="shared" si="75"/>
        <v>Cooling RES 6 Year EUL</v>
      </c>
      <c r="BD815" s="752">
        <f>(INDEX('Avoided Cost Benefits'!$C$4:$C$857,MATCH(BC815,'Avoided Cost Benefits'!$A$4:$A$857,0)))*F815</f>
        <v>604.43534284605209</v>
      </c>
      <c r="BE815" s="73">
        <f t="shared" si="76"/>
        <v>2363.5394053798959</v>
      </c>
    </row>
    <row r="816" spans="1:57" s="64" customFormat="1" x14ac:dyDescent="0.25">
      <c r="A816" s="1393" t="str">
        <f t="shared" si="72"/>
        <v>351750_2019_12_Heating RES</v>
      </c>
      <c r="B816" s="157"/>
      <c r="C816" s="1670" t="s">
        <v>1236</v>
      </c>
      <c r="D816" s="1734" t="s">
        <v>742</v>
      </c>
      <c r="E816" s="821" t="s">
        <v>1237</v>
      </c>
      <c r="F816" s="2582">
        <f>ROUND((($J$865*$J$885*(1/$J$928-1/$J$949))/1000)*$J$1089*$J$1115,2)</f>
        <v>3646.53</v>
      </c>
      <c r="G816" s="380" t="s">
        <v>691</v>
      </c>
      <c r="H816" s="202">
        <f>VLOOKUP(G816,'CP FACTORS'!$A$3:$B$38, 2, FALSE)</f>
        <v>0</v>
      </c>
      <c r="I816" s="1757">
        <f t="shared" si="77"/>
        <v>0</v>
      </c>
      <c r="J816" s="3095">
        <f>J1141</f>
        <v>6</v>
      </c>
      <c r="K816" s="508">
        <f>J1175</f>
        <v>0</v>
      </c>
      <c r="L816" s="285"/>
      <c r="M816" s="1623"/>
      <c r="N816" s="1623"/>
      <c r="O816" s="1623"/>
      <c r="P816" s="1623"/>
      <c r="Q816" s="1623"/>
      <c r="R816" s="1766"/>
      <c r="S816" s="1623"/>
      <c r="T816" s="1623"/>
      <c r="U816" s="1623"/>
      <c r="V816" s="2294" t="s">
        <v>20</v>
      </c>
      <c r="W816" s="827">
        <v>3391.6348573661585</v>
      </c>
      <c r="X816" s="828">
        <v>3583.6754087630852</v>
      </c>
      <c r="Y816" s="146">
        <v>3822.23</v>
      </c>
      <c r="Z816" s="143">
        <v>3822.23</v>
      </c>
      <c r="AA816" s="143">
        <v>3822.23</v>
      </c>
      <c r="AB816" s="2164">
        <v>3646.53</v>
      </c>
      <c r="AC816" s="61"/>
      <c r="AD816" s="61"/>
      <c r="AE816" s="61"/>
      <c r="AF816" s="61"/>
      <c r="AG816" s="61"/>
      <c r="AH816" s="829"/>
      <c r="AI816" s="829"/>
      <c r="AJ816" s="826"/>
      <c r="AK816" s="826"/>
      <c r="AL816" s="826"/>
      <c r="AM816" s="826"/>
      <c r="AN816" s="826"/>
      <c r="AO816" s="826"/>
      <c r="BB816" s="822"/>
      <c r="BC816" s="821" t="str">
        <f t="shared" si="75"/>
        <v>Heating RES 6 Year EUL</v>
      </c>
      <c r="BD816" s="752">
        <f>(INDEX('Avoided Cost Benefits'!$C$4:$C$857,MATCH(BC816,'Avoided Cost Benefits'!$A$4:$A$857,0)))*F816</f>
        <v>606.54011313802982</v>
      </c>
      <c r="BE816" s="73">
        <f t="shared" si="76"/>
        <v>0</v>
      </c>
    </row>
    <row r="817" spans="1:57" s="64" customFormat="1" x14ac:dyDescent="0.25">
      <c r="A817" s="1393" t="str">
        <f t="shared" si="72"/>
        <v>351750_2019_12_Cooling RES ER2</v>
      </c>
      <c r="B817" s="157"/>
      <c r="C817" s="1670" t="s">
        <v>1236</v>
      </c>
      <c r="D817" s="1734" t="s">
        <v>742</v>
      </c>
      <c r="E817" s="821" t="s">
        <v>1238</v>
      </c>
      <c r="F817" s="2582">
        <f>ROUND((($J$970*$J$991*(1/$J$1012-1/$J$1054))/1000)*$J$1090*$J$1115,2)</f>
        <v>386.88</v>
      </c>
      <c r="G817" s="1756" t="s">
        <v>1125</v>
      </c>
      <c r="H817" s="202">
        <f>VLOOKUP(G817,'CP FACTORS'!$A$3:$B$38, 2, FALSE)</f>
        <v>9.4741810000000004E-4</v>
      </c>
      <c r="I817" s="1757">
        <f t="shared" si="77"/>
        <v>0.366537</v>
      </c>
      <c r="J817" s="3095">
        <f>J1142</f>
        <v>12</v>
      </c>
      <c r="K817" s="508">
        <f>J1176</f>
        <v>0</v>
      </c>
      <c r="L817" s="285"/>
      <c r="M817" s="1623"/>
      <c r="N817" s="1623"/>
      <c r="O817" s="1623"/>
      <c r="P817" s="1623"/>
      <c r="Q817" s="1623"/>
      <c r="R817" s="1766"/>
      <c r="S817" s="1623"/>
      <c r="T817" s="1623"/>
      <c r="U817" s="1623"/>
      <c r="V817" s="2294" t="s">
        <v>20</v>
      </c>
      <c r="W817" s="827">
        <v>306.32250000000005</v>
      </c>
      <c r="X817" s="828">
        <v>343.28687958567122</v>
      </c>
      <c r="Y817" s="146">
        <v>374.15</v>
      </c>
      <c r="Z817" s="143">
        <v>374.15</v>
      </c>
      <c r="AA817" s="143">
        <v>374.15</v>
      </c>
      <c r="AB817" s="2164">
        <v>386.88</v>
      </c>
      <c r="AC817" s="61"/>
      <c r="AD817" s="61"/>
      <c r="AE817" s="61"/>
      <c r="AF817" s="61"/>
      <c r="AG817" s="61"/>
      <c r="AH817" s="829"/>
      <c r="AI817" s="829"/>
      <c r="AJ817" s="826"/>
      <c r="AK817" s="826"/>
      <c r="AL817" s="826"/>
      <c r="AM817" s="826"/>
      <c r="AN817" s="826"/>
      <c r="AO817" s="826"/>
      <c r="BB817" s="822"/>
      <c r="BC817" s="821" t="str">
        <f t="shared" si="75"/>
        <v>Cooling RES ER2 12 Year EUL</v>
      </c>
      <c r="BD817" s="752">
        <f>(INDEX('Avoided Cost Benefits'!$C$4:$C$857,MATCH(BC817,'Avoided Cost Benefits'!$A$4:$A$857,0)))*F817</f>
        <v>457.41732084344375</v>
      </c>
      <c r="BE817" s="73">
        <f t="shared" si="76"/>
        <v>0</v>
      </c>
    </row>
    <row r="818" spans="1:57" s="64" customFormat="1" x14ac:dyDescent="0.25">
      <c r="A818" s="1393" t="str">
        <f t="shared" si="72"/>
        <v>351750_2019_12_Heating RES ER2</v>
      </c>
      <c r="B818" s="157"/>
      <c r="C818" s="1670" t="s">
        <v>1236</v>
      </c>
      <c r="D818" s="1734" t="s">
        <v>742</v>
      </c>
      <c r="E818" s="750" t="s">
        <v>1238</v>
      </c>
      <c r="F818" s="2582">
        <f>ROUND((($J$865*$J$885*(1/$J$907-1/$J$949))/1000)*$J$1091*$J$1115,2)</f>
        <v>3646.53</v>
      </c>
      <c r="G818" s="119" t="s">
        <v>1217</v>
      </c>
      <c r="H818" s="202">
        <f>VLOOKUP(G818,'CP FACTORS'!$A$3:$B$38, 2, FALSE)</f>
        <v>0</v>
      </c>
      <c r="I818" s="1757">
        <f t="shared" si="77"/>
        <v>0</v>
      </c>
      <c r="J818" s="3095">
        <f>J1143</f>
        <v>12</v>
      </c>
      <c r="K818" s="508">
        <f>J1177</f>
        <v>0</v>
      </c>
      <c r="L818" s="285"/>
      <c r="M818" s="1623"/>
      <c r="N818" s="1623"/>
      <c r="O818" s="1623"/>
      <c r="P818" s="1623"/>
      <c r="Q818" s="1623"/>
      <c r="R818" s="1766"/>
      <c r="S818" s="1623"/>
      <c r="T818" s="1623"/>
      <c r="U818" s="1623"/>
      <c r="V818" s="2294" t="s">
        <v>20</v>
      </c>
      <c r="W818" s="827">
        <v>725.33333333333314</v>
      </c>
      <c r="X818" s="828">
        <v>3586.6841445343662</v>
      </c>
      <c r="Y818" s="146">
        <v>3822.23</v>
      </c>
      <c r="Z818" s="143">
        <v>3822.23</v>
      </c>
      <c r="AA818" s="143">
        <v>3822.23</v>
      </c>
      <c r="AB818" s="2164">
        <v>3646.53</v>
      </c>
      <c r="AC818" s="61"/>
      <c r="AD818" s="61"/>
      <c r="AE818" s="61"/>
      <c r="AF818" s="61"/>
      <c r="AG818" s="61"/>
      <c r="AH818" s="829"/>
      <c r="AI818" s="829"/>
      <c r="AJ818" s="826"/>
      <c r="AK818" s="826"/>
      <c r="AL818" s="826"/>
      <c r="AM818" s="826"/>
      <c r="AN818" s="826"/>
      <c r="AO818" s="826"/>
      <c r="BB818" s="822"/>
      <c r="BC818" s="750" t="str">
        <f t="shared" si="75"/>
        <v>Heating RES ER2 12 Year EUL</v>
      </c>
      <c r="BD818" s="752">
        <f>(INDEX('Avoided Cost Benefits'!$C$4:$C$857,MATCH(BC818,'Avoided Cost Benefits'!$A$4:$A$857,0)))*F818</f>
        <v>1078.2154695719096</v>
      </c>
      <c r="BE818" s="73">
        <f t="shared" si="76"/>
        <v>0</v>
      </c>
    </row>
    <row r="819" spans="1:57" s="64" customFormat="1" x14ac:dyDescent="0.25">
      <c r="A819" s="1393" t="str">
        <f t="shared" si="72"/>
        <v>351751_2019_12_Cooling RES</v>
      </c>
      <c r="B819" s="648"/>
      <c r="C819" s="1352" t="s">
        <v>1239</v>
      </c>
      <c r="D819" s="1769" t="s">
        <v>737</v>
      </c>
      <c r="E819" s="742" t="str">
        <f>CONCATENATE(E815, "_CompE")</f>
        <v>Ductless ASHP Replace Electric Resistance ER1 MF_CompE</v>
      </c>
      <c r="F819" s="2582">
        <f>ROUND((($J$977*$J$998*(1/$J$1040-1/$J$1061))/1000)*$J$1105*$J$1115,2)</f>
        <v>682.61</v>
      </c>
      <c r="G819" s="380" t="s">
        <v>690</v>
      </c>
      <c r="H819" s="202">
        <f>VLOOKUP(G819,'CP FACTORS'!$A$3:$B$38, 2, FALSE)</f>
        <v>9.4741810000000004E-4</v>
      </c>
      <c r="I819" s="1757">
        <f>ROUND(F819*H819,6)</f>
        <v>0.64671699999999999</v>
      </c>
      <c r="J819" s="451">
        <f t="shared" ref="J819:K822" si="78">J815</f>
        <v>6</v>
      </c>
      <c r="K819" s="1770">
        <f t="shared" si="78"/>
        <v>2504.17</v>
      </c>
      <c r="L819" s="285">
        <f>K977</f>
        <v>1.57</v>
      </c>
      <c r="M819" s="1623"/>
      <c r="N819" s="1623"/>
      <c r="O819" s="1623"/>
      <c r="P819" s="1623"/>
      <c r="Q819" s="1623"/>
      <c r="R819" s="1766"/>
      <c r="S819" s="1623"/>
      <c r="T819" s="1623"/>
      <c r="U819" s="1623"/>
      <c r="V819" s="2294" t="s">
        <v>20</v>
      </c>
      <c r="W819" s="827"/>
      <c r="X819" s="828"/>
      <c r="Y819" s="146">
        <v>1036.93</v>
      </c>
      <c r="Z819" s="143">
        <v>1036.93</v>
      </c>
      <c r="AA819" s="143">
        <v>1036.93</v>
      </c>
      <c r="AB819" s="2164">
        <v>682.61</v>
      </c>
      <c r="AC819" s="61"/>
      <c r="AD819" s="61"/>
      <c r="AE819" s="61"/>
      <c r="AF819" s="61"/>
      <c r="AG819" s="61"/>
      <c r="AH819" s="829"/>
      <c r="AI819" s="829"/>
      <c r="AJ819" s="826"/>
      <c r="AK819" s="826"/>
      <c r="AL819" s="826"/>
      <c r="AM819" s="826"/>
      <c r="AN819" s="826"/>
      <c r="AO819" s="826"/>
      <c r="BB819" s="293">
        <f>(BD819+BD820+BD821+BD822)/(BE819+BE820+BE821+BE822)</f>
        <v>0.56594946220628661</v>
      </c>
      <c r="BC819" s="742" t="str">
        <f>CONCATENATE(G819," ",J819," Year EUL")</f>
        <v>Cooling RES 6 Year EUL</v>
      </c>
      <c r="BD819" s="752">
        <f>(INDEX('Avoided Cost Benefits'!$C$4:$C$857,MATCH(BC819,'Avoided Cost Benefits'!$A$4:$A$857,0)))*F819</f>
        <v>396.92690446106542</v>
      </c>
      <c r="BE819" s="73">
        <f>K819/(1.0595^(2020-2019))</f>
        <v>2363.5394053798959</v>
      </c>
    </row>
    <row r="820" spans="1:57" s="64" customFormat="1" x14ac:dyDescent="0.25">
      <c r="A820" s="1393" t="str">
        <f t="shared" si="72"/>
        <v>351751_2019_12_Heating RES</v>
      </c>
      <c r="B820" s="648"/>
      <c r="C820" s="1352" t="s">
        <v>1239</v>
      </c>
      <c r="D820" s="1769" t="s">
        <v>737</v>
      </c>
      <c r="E820" s="821" t="str">
        <f>CONCATENATE(E816, "_CompE")</f>
        <v>Ductless ASHP Replace Electric Resistance ER1 MF_CompE</v>
      </c>
      <c r="F820" s="2582">
        <f>ROUND((($J$872*$J$893*(1/$J$935-1/$J$956))/1000)*$J$1106*$J$1115,2)</f>
        <v>1385.96</v>
      </c>
      <c r="G820" s="380" t="s">
        <v>691</v>
      </c>
      <c r="H820" s="202">
        <f>VLOOKUP(G820,'CP FACTORS'!$A$3:$B$38, 2, FALSE)</f>
        <v>0</v>
      </c>
      <c r="I820" s="1757">
        <f>ROUND(F820*H820,6)</f>
        <v>0</v>
      </c>
      <c r="J820" s="451">
        <f t="shared" si="78"/>
        <v>6</v>
      </c>
      <c r="K820" s="1770">
        <f t="shared" si="78"/>
        <v>0</v>
      </c>
      <c r="L820" s="285"/>
      <c r="M820" s="1623"/>
      <c r="N820" s="1623"/>
      <c r="O820" s="1623"/>
      <c r="P820" s="1623"/>
      <c r="Q820" s="1623"/>
      <c r="R820" s="1766"/>
      <c r="S820" s="1623"/>
      <c r="T820" s="1623"/>
      <c r="U820" s="1623"/>
      <c r="V820" s="2294" t="s">
        <v>20</v>
      </c>
      <c r="W820" s="827"/>
      <c r="X820" s="828"/>
      <c r="Y820" s="146">
        <v>1759.56</v>
      </c>
      <c r="Z820" s="143">
        <v>1759.56</v>
      </c>
      <c r="AA820" s="143">
        <v>1759.56</v>
      </c>
      <c r="AB820" s="2164">
        <v>1385.96</v>
      </c>
      <c r="AC820" s="61"/>
      <c r="AD820" s="61"/>
      <c r="AE820" s="61"/>
      <c r="AF820" s="61"/>
      <c r="AG820" s="61"/>
      <c r="AH820" s="829"/>
      <c r="AI820" s="829"/>
      <c r="AJ820" s="826"/>
      <c r="AK820" s="826"/>
      <c r="AL820" s="826"/>
      <c r="AM820" s="826"/>
      <c r="AN820" s="826"/>
      <c r="AO820" s="826"/>
      <c r="BB820" s="822"/>
      <c r="BC820" s="821" t="str">
        <f>CONCATENATE(G820," ",J820," Year EUL")</f>
        <v>Heating RES 6 Year EUL</v>
      </c>
      <c r="BD820" s="752">
        <f>(INDEX('Avoided Cost Benefits'!$C$4:$C$857,MATCH(BC820,'Avoided Cost Benefits'!$A$4:$A$857,0)))*F820</f>
        <v>230.53158350672661</v>
      </c>
      <c r="BE820" s="73">
        <f>K820/(1.0595^(2020-2019))</f>
        <v>0</v>
      </c>
    </row>
    <row r="821" spans="1:57" s="64" customFormat="1" x14ac:dyDescent="0.25">
      <c r="A821" s="1393" t="str">
        <f t="shared" si="72"/>
        <v>351751_2019_12_Cooling RES ER2</v>
      </c>
      <c r="B821" s="648"/>
      <c r="C821" s="1352" t="s">
        <v>1239</v>
      </c>
      <c r="D821" s="1769" t="s">
        <v>737</v>
      </c>
      <c r="E821" s="821" t="str">
        <f>CONCATENATE(E817, "_CompE")</f>
        <v>Ductless ASHP Replace Electric Resistance ER2 MF_CompE</v>
      </c>
      <c r="F821" s="2582">
        <f>ROUND((($J$977*$J$998*(1/$J$1019-1/$J$1061))/1000)*$J$1107*$J$1115,2)</f>
        <v>254.06</v>
      </c>
      <c r="G821" s="1756" t="s">
        <v>1125</v>
      </c>
      <c r="H821" s="202">
        <f>VLOOKUP(G821,'CP FACTORS'!$A$3:$B$38, 2, FALSE)</f>
        <v>9.4741810000000004E-4</v>
      </c>
      <c r="I821" s="1757">
        <f>ROUND(F821*H821,6)</f>
        <v>0.240701</v>
      </c>
      <c r="J821" s="451">
        <f t="shared" si="78"/>
        <v>12</v>
      </c>
      <c r="K821" s="1770">
        <f t="shared" si="78"/>
        <v>0</v>
      </c>
      <c r="L821" s="285"/>
      <c r="M821" s="1623"/>
      <c r="N821" s="1623"/>
      <c r="O821" s="1623"/>
      <c r="P821" s="1623"/>
      <c r="Q821" s="1623"/>
      <c r="R821" s="1766"/>
      <c r="S821" s="1623"/>
      <c r="T821" s="1623"/>
      <c r="U821" s="1623"/>
      <c r="V821" s="2294" t="s">
        <v>20</v>
      </c>
      <c r="W821" s="827"/>
      <c r="X821" s="828"/>
      <c r="Y821" s="146">
        <v>329.96</v>
      </c>
      <c r="Z821" s="143">
        <v>329.96</v>
      </c>
      <c r="AA821" s="143">
        <v>329.96</v>
      </c>
      <c r="AB821" s="2164">
        <v>254.06</v>
      </c>
      <c r="AC821" s="61"/>
      <c r="AD821" s="61"/>
      <c r="AE821" s="61"/>
      <c r="AF821" s="61"/>
      <c r="AG821" s="61"/>
      <c r="AH821" s="829"/>
      <c r="AI821" s="829"/>
      <c r="AJ821" s="826"/>
      <c r="AK821" s="826"/>
      <c r="AL821" s="826"/>
      <c r="AM821" s="826"/>
      <c r="AN821" s="826"/>
      <c r="AO821" s="826"/>
      <c r="BB821" s="822"/>
      <c r="BC821" s="821" t="str">
        <f>CONCATENATE(G821," ",J821," Year EUL")</f>
        <v>Cooling RES ER2 12 Year EUL</v>
      </c>
      <c r="BD821" s="752">
        <f>(INDEX('Avoided Cost Benefits'!$C$4:$C$857,MATCH(BC821,'Avoided Cost Benefits'!$A$4:$A$857,0)))*F821</f>
        <v>300.38111180077885</v>
      </c>
      <c r="BE821" s="73">
        <f>K821/(1.0595^(2020-2019))</f>
        <v>0</v>
      </c>
    </row>
    <row r="822" spans="1:57" s="64" customFormat="1" x14ac:dyDescent="0.25">
      <c r="A822" s="1393" t="str">
        <f t="shared" si="72"/>
        <v>351751_2019_12_Heating RES ER2</v>
      </c>
      <c r="B822" s="648"/>
      <c r="C822" s="1352" t="s">
        <v>1239</v>
      </c>
      <c r="D822" s="1769" t="s">
        <v>737</v>
      </c>
      <c r="E822" s="750" t="str">
        <f>CONCATENATE(E818, "_CompE")</f>
        <v>Ductless ASHP Replace Electric Resistance ER2 MF_CompE</v>
      </c>
      <c r="F822" s="2582">
        <f>ROUND((($J$872*$J$893*(1/$J$914-1/$J$956))/1000)*$J$1108*$J$1115,2)</f>
        <v>1385.96</v>
      </c>
      <c r="G822" s="119" t="s">
        <v>1217</v>
      </c>
      <c r="H822" s="202">
        <f>VLOOKUP(G822,'CP FACTORS'!$A$3:$B$38, 2, FALSE)</f>
        <v>0</v>
      </c>
      <c r="I822" s="1757">
        <f>ROUND(F822*H822,6)</f>
        <v>0</v>
      </c>
      <c r="J822" s="451">
        <f t="shared" si="78"/>
        <v>12</v>
      </c>
      <c r="K822" s="1770">
        <f t="shared" si="78"/>
        <v>0</v>
      </c>
      <c r="L822" s="285"/>
      <c r="M822" s="1623"/>
      <c r="N822" s="1623"/>
      <c r="O822" s="1623"/>
      <c r="P822" s="1623"/>
      <c r="Q822" s="1623"/>
      <c r="R822" s="1766"/>
      <c r="S822" s="1623"/>
      <c r="T822" s="1623"/>
      <c r="U822" s="1623"/>
      <c r="V822" s="2294" t="s">
        <v>20</v>
      </c>
      <c r="W822" s="827"/>
      <c r="X822" s="828"/>
      <c r="Y822" s="146">
        <v>1759.56</v>
      </c>
      <c r="Z822" s="143">
        <v>1759.56</v>
      </c>
      <c r="AA822" s="143">
        <v>1759.56</v>
      </c>
      <c r="AB822" s="2164">
        <v>1385.96</v>
      </c>
      <c r="AC822" s="61"/>
      <c r="AD822" s="61"/>
      <c r="AE822" s="61"/>
      <c r="AF822" s="61"/>
      <c r="AG822" s="61"/>
      <c r="AH822" s="829"/>
      <c r="AI822" s="829"/>
      <c r="AJ822" s="826"/>
      <c r="AK822" s="826"/>
      <c r="AL822" s="826"/>
      <c r="AM822" s="826"/>
      <c r="AN822" s="826"/>
      <c r="AO822" s="826"/>
      <c r="BB822" s="822"/>
      <c r="BC822" s="750" t="str">
        <f>CONCATENATE(G822," ",J822," Year EUL")</f>
        <v>Heating RES ER2 12 Year EUL</v>
      </c>
      <c r="BD822" s="752">
        <f>(INDEX('Avoided Cost Benefits'!$C$4:$C$857,MATCH(BC822,'Avoided Cost Benefits'!$A$4:$A$857,0)))*F822</f>
        <v>409.80425560954762</v>
      </c>
      <c r="BE822" s="73">
        <f>K822/(1.0595^(2020-2019))</f>
        <v>0</v>
      </c>
    </row>
    <row r="823" spans="1:57" s="64" customFormat="1" x14ac:dyDescent="0.25">
      <c r="A823" s="1393" t="str">
        <f t="shared" si="72"/>
        <v>351800_2019_12_Cooling RES</v>
      </c>
      <c r="B823" s="157"/>
      <c r="C823" s="1670" t="s">
        <v>1240</v>
      </c>
      <c r="D823" s="1734" t="s">
        <v>742</v>
      </c>
      <c r="E823" s="742" t="s">
        <v>1241</v>
      </c>
      <c r="F823" s="2582">
        <f>ROUND((($J$971*$J$992*(1/$J$1013-1/$J$1055))/1000)*$J$1092*$J$1115,2)</f>
        <v>345.19</v>
      </c>
      <c r="G823" s="380" t="s">
        <v>690</v>
      </c>
      <c r="H823" s="202">
        <f>VLOOKUP(G823,'CP FACTORS'!$A$3:$B$38, 2, FALSE)</f>
        <v>9.4741810000000004E-4</v>
      </c>
      <c r="I823" s="1757">
        <f t="shared" si="77"/>
        <v>0.32703900000000002</v>
      </c>
      <c r="J823" s="3095">
        <f>J1144</f>
        <v>18</v>
      </c>
      <c r="K823" s="508">
        <f>J1178</f>
        <v>336</v>
      </c>
      <c r="L823" s="285">
        <f>K964</f>
        <v>1.6</v>
      </c>
      <c r="M823" s="1623"/>
      <c r="N823" s="1623"/>
      <c r="O823" s="1623"/>
      <c r="P823" s="1623"/>
      <c r="Q823" s="1623"/>
      <c r="R823" s="1766"/>
      <c r="S823" s="1623"/>
      <c r="T823" s="1623"/>
      <c r="U823" s="1623"/>
      <c r="V823" s="2294" t="s">
        <v>20</v>
      </c>
      <c r="W823" s="827">
        <v>290.63222222222231</v>
      </c>
      <c r="X823" s="828">
        <v>343.28687958567122</v>
      </c>
      <c r="Y823" s="146">
        <v>335.42</v>
      </c>
      <c r="Z823" s="143">
        <v>335.42</v>
      </c>
      <c r="AA823" s="143">
        <v>335.42</v>
      </c>
      <c r="AB823" s="2164">
        <v>345.19</v>
      </c>
      <c r="AC823" s="61"/>
      <c r="AD823" s="61"/>
      <c r="AE823" s="61"/>
      <c r="AF823" s="61"/>
      <c r="AG823" s="61"/>
      <c r="AH823" s="829"/>
      <c r="AI823" s="829"/>
      <c r="AJ823" s="826"/>
      <c r="AK823" s="826"/>
      <c r="AL823" s="826"/>
      <c r="AM823" s="826"/>
      <c r="AN823" s="826"/>
      <c r="AO823" s="826"/>
      <c r="BB823" s="293">
        <f>(BD823+BD824)/(BE823+BE824)</f>
        <v>7.8203962658928186</v>
      </c>
      <c r="BC823" s="742" t="str">
        <f t="shared" si="75"/>
        <v>Cooling RES 18 Year EUL</v>
      </c>
      <c r="BD823" s="752">
        <f>(INDEX('Avoided Cost Benefits'!$C$4:$C$857,MATCH(BC823,'Avoided Cost Benefits'!$A$4:$A$857,0)))*F823</f>
        <v>608.84877177556871</v>
      </c>
      <c r="BE823" s="73">
        <f t="shared" si="76"/>
        <v>317.13072203869746</v>
      </c>
    </row>
    <row r="824" spans="1:57" s="64" customFormat="1" x14ac:dyDescent="0.25">
      <c r="A824" s="1393" t="str">
        <f t="shared" si="72"/>
        <v>351800_2019_12_Heating RES</v>
      </c>
      <c r="B824" s="157"/>
      <c r="C824" s="1670" t="s">
        <v>1240</v>
      </c>
      <c r="D824" s="1734" t="s">
        <v>742</v>
      </c>
      <c r="E824" s="750" t="s">
        <v>1241</v>
      </c>
      <c r="F824" s="2582">
        <f xml:space="preserve"> ROUND((($J$859*$J$886*(1/$J$908-1/$J$950))/1000)*$J$1093*$J$1115,2)</f>
        <v>4050.16</v>
      </c>
      <c r="G824" s="380" t="s">
        <v>691</v>
      </c>
      <c r="H824" s="202">
        <f>VLOOKUP(G824,'CP FACTORS'!$A$3:$B$38, 2, FALSE)</f>
        <v>0</v>
      </c>
      <c r="I824" s="1757">
        <f t="shared" si="77"/>
        <v>0</v>
      </c>
      <c r="J824" s="3095">
        <f>J1145</f>
        <v>18</v>
      </c>
      <c r="K824" s="508">
        <f>J1179</f>
        <v>0</v>
      </c>
      <c r="L824" s="285"/>
      <c r="M824" s="1623"/>
      <c r="N824" s="1623"/>
      <c r="O824" s="1623"/>
      <c r="P824" s="1623"/>
      <c r="Q824" s="1623"/>
      <c r="R824" s="1766"/>
      <c r="S824" s="1623"/>
      <c r="T824" s="1623"/>
      <c r="U824" s="1623"/>
      <c r="V824" s="2294" t="s">
        <v>20</v>
      </c>
      <c r="W824" s="827">
        <v>695.97460317460309</v>
      </c>
      <c r="X824" s="828">
        <v>3586.6841445343662</v>
      </c>
      <c r="Y824" s="146">
        <v>4077.05</v>
      </c>
      <c r="Z824" s="143">
        <v>4077.05</v>
      </c>
      <c r="AA824" s="143">
        <v>4077.05</v>
      </c>
      <c r="AB824" s="2164">
        <v>4050.16</v>
      </c>
      <c r="AC824" s="61"/>
      <c r="AD824" s="61"/>
      <c r="AE824" s="61"/>
      <c r="AF824" s="61"/>
      <c r="AG824" s="61"/>
      <c r="AH824" s="829"/>
      <c r="AI824" s="829"/>
      <c r="AJ824" s="826"/>
      <c r="AK824" s="826"/>
      <c r="AL824" s="826"/>
      <c r="AM824" s="826"/>
      <c r="AN824" s="826"/>
      <c r="AO824" s="826"/>
      <c r="BB824" s="291"/>
      <c r="BC824" s="750" t="str">
        <f t="shared" si="75"/>
        <v>Heating RES 18 Year EUL</v>
      </c>
      <c r="BD824" s="752">
        <f>(INDEX('Avoided Cost Benefits'!$C$4:$C$857,MATCH(BC824,'Avoided Cost Benefits'!$A$4:$A$857,0)))*F824</f>
        <v>1871.2391426557542</v>
      </c>
      <c r="BE824" s="73">
        <f t="shared" si="76"/>
        <v>0</v>
      </c>
    </row>
    <row r="825" spans="1:57" s="64" customFormat="1" x14ac:dyDescent="0.25">
      <c r="A825" s="1393" t="str">
        <f t="shared" si="72"/>
        <v>351801_2019_12_Cooling RES</v>
      </c>
      <c r="B825" s="648"/>
      <c r="C825" s="1352" t="s">
        <v>1242</v>
      </c>
      <c r="D825" s="1769" t="s">
        <v>737</v>
      </c>
      <c r="E825" s="742" t="str">
        <f>CONCATENATE(E823, "_CompE")</f>
        <v>Ductless ASHP Replace Electric Resistance ROF MF_CompE</v>
      </c>
      <c r="F825" s="2582">
        <f>ROUND((($J$978*$J$999*(1/$J$1020-1/$J$1062))/1000)*$J$1113*$J$1115,2)</f>
        <v>226.68</v>
      </c>
      <c r="G825" s="119" t="s">
        <v>690</v>
      </c>
      <c r="H825" s="202">
        <f>VLOOKUP(G825,'CP FACTORS'!$A$3:$B$38, 2, FALSE)</f>
        <v>9.4741810000000004E-4</v>
      </c>
      <c r="I825" s="1757">
        <f>ROUND(F825*H825,6)</f>
        <v>0.21476100000000001</v>
      </c>
      <c r="J825" s="451">
        <f>J823</f>
        <v>18</v>
      </c>
      <c r="K825" s="1770">
        <f>K823</f>
        <v>336</v>
      </c>
      <c r="L825" s="285">
        <f>K978</f>
        <v>1.6</v>
      </c>
      <c r="M825" s="1623"/>
      <c r="N825" s="1623"/>
      <c r="O825" s="1623"/>
      <c r="P825" s="1623"/>
      <c r="Q825" s="1623"/>
      <c r="R825" s="1766"/>
      <c r="S825" s="1623"/>
      <c r="T825" s="1623"/>
      <c r="U825" s="1623"/>
      <c r="V825" s="2294" t="s">
        <v>20</v>
      </c>
      <c r="W825" s="827"/>
      <c r="X825" s="828"/>
      <c r="Y825" s="146">
        <v>295.8</v>
      </c>
      <c r="Z825" s="143">
        <v>295.8</v>
      </c>
      <c r="AA825" s="143">
        <v>295.8</v>
      </c>
      <c r="AB825" s="2164">
        <v>226.68</v>
      </c>
      <c r="AC825" s="61"/>
      <c r="AD825" s="61"/>
      <c r="AE825" s="61"/>
      <c r="AF825" s="61"/>
      <c r="AG825" s="61"/>
      <c r="AH825" s="829"/>
      <c r="AI825" s="829"/>
      <c r="AJ825" s="826"/>
      <c r="AK825" s="826"/>
      <c r="AL825" s="826"/>
      <c r="AM825" s="826"/>
      <c r="AN825" s="826"/>
      <c r="AO825" s="826"/>
      <c r="BB825" s="293">
        <f>(BD825+BD826)/(BE825+BE826)</f>
        <v>3.5033933215475348</v>
      </c>
      <c r="BC825" s="742" t="str">
        <f>CONCATENATE(G825," ",J825," Year EUL")</f>
        <v>Cooling RES 18 Year EUL</v>
      </c>
      <c r="BD825" s="752">
        <f>(INDEX('Avoided Cost Benefits'!$C$4:$C$857,MATCH(BC825,'Avoided Cost Benefits'!$A$4:$A$857,0)))*F825</f>
        <v>399.81992405946266</v>
      </c>
      <c r="BE825" s="73">
        <f>K825/(1.0595^(2020-2019))</f>
        <v>317.13072203869746</v>
      </c>
    </row>
    <row r="826" spans="1:57" s="64" customFormat="1" x14ac:dyDescent="0.25">
      <c r="A826" s="1393" t="str">
        <f t="shared" si="72"/>
        <v>351801_2019_12_Heating RES</v>
      </c>
      <c r="B826" s="648"/>
      <c r="C826" s="1352" t="s">
        <v>1242</v>
      </c>
      <c r="D826" s="1769" t="s">
        <v>737</v>
      </c>
      <c r="E826" s="750" t="str">
        <f>CONCATENATE(E824, "_CompE")</f>
        <v>Ductless ASHP Replace Electric Resistance ROF MF_CompE</v>
      </c>
      <c r="F826" s="2582">
        <f xml:space="preserve"> ROUND((($J$873*$J$894*(1/$J$915-1/$J$957))/1000)*$J$1110*$J$1115,2)</f>
        <v>1539.37</v>
      </c>
      <c r="G826" s="380" t="s">
        <v>691</v>
      </c>
      <c r="H826" s="202">
        <f>VLOOKUP(G826,'CP FACTORS'!$A$3:$B$38, 2, FALSE)</f>
        <v>0</v>
      </c>
      <c r="I826" s="1757">
        <f>ROUND(F826*H826,6)</f>
        <v>0</v>
      </c>
      <c r="J826" s="451">
        <f>J824</f>
        <v>18</v>
      </c>
      <c r="K826" s="1770">
        <f>K824</f>
        <v>0</v>
      </c>
      <c r="L826" s="285"/>
      <c r="M826" s="1623"/>
      <c r="N826" s="1623"/>
      <c r="O826" s="1623"/>
      <c r="P826" s="1623"/>
      <c r="Q826" s="1623"/>
      <c r="R826" s="1766"/>
      <c r="S826" s="1623"/>
      <c r="T826" s="1623"/>
      <c r="U826" s="1623"/>
      <c r="V826" s="2294" t="s">
        <v>20</v>
      </c>
      <c r="W826" s="827"/>
      <c r="X826" s="828"/>
      <c r="Y826" s="146">
        <v>1876.86</v>
      </c>
      <c r="Z826" s="143">
        <v>1876.86</v>
      </c>
      <c r="AA826" s="143">
        <v>1876.86</v>
      </c>
      <c r="AB826" s="2164">
        <v>1539.37</v>
      </c>
      <c r="AC826" s="61"/>
      <c r="AD826" s="61"/>
      <c r="AE826" s="61"/>
      <c r="AF826" s="61"/>
      <c r="AG826" s="61"/>
      <c r="AH826" s="829"/>
      <c r="AI826" s="829"/>
      <c r="AJ826" s="826"/>
      <c r="AK826" s="826"/>
      <c r="AL826" s="826"/>
      <c r="AM826" s="826"/>
      <c r="AN826" s="826"/>
      <c r="AO826" s="826"/>
      <c r="BB826" s="291"/>
      <c r="BC826" s="750" t="str">
        <f>CONCATENATE(G826," ",J826," Year EUL")</f>
        <v>Heating RES 18 Year EUL</v>
      </c>
      <c r="BD826" s="752">
        <f>(INDEX('Avoided Cost Benefits'!$C$4:$C$857,MATCH(BC826,'Avoided Cost Benefits'!$A$4:$A$857,0)))*F826</f>
        <v>711.2137295884578</v>
      </c>
      <c r="BE826" s="73">
        <f>K826/(1.0595^(2020-2019))</f>
        <v>0</v>
      </c>
    </row>
    <row r="827" spans="1:57" s="64" customFormat="1" x14ac:dyDescent="0.25">
      <c r="A827" s="1393" t="str">
        <f t="shared" si="72"/>
        <v>351850_2019_12_Cooling RES</v>
      </c>
      <c r="B827" s="157"/>
      <c r="C827" s="1670" t="s">
        <v>1243</v>
      </c>
      <c r="D827" s="1734" t="s">
        <v>742</v>
      </c>
      <c r="E827" s="742" t="s">
        <v>1244</v>
      </c>
      <c r="F827" s="2582">
        <f>ROUND((($J$972*$J$993*(1/$J$1035-1/$J$1056))/1000)*$J$1094*$J$1115,2)</f>
        <v>779.12</v>
      </c>
      <c r="G827" s="380" t="s">
        <v>690</v>
      </c>
      <c r="H827" s="202">
        <f>VLOOKUP(G827,'CP FACTORS'!$A$3:$B$38, 2, FALSE)</f>
        <v>9.4741810000000004E-4</v>
      </c>
      <c r="I827" s="1757">
        <f t="shared" si="77"/>
        <v>0.73815200000000003</v>
      </c>
      <c r="J827" s="3095">
        <f>J1146</f>
        <v>6</v>
      </c>
      <c r="K827" s="508">
        <f>J1180</f>
        <v>648.60319098531227</v>
      </c>
      <c r="L827" s="285">
        <f>K965</f>
        <v>1.28125</v>
      </c>
      <c r="M827" s="1623"/>
      <c r="N827" s="1623"/>
      <c r="O827" s="1623"/>
      <c r="P827" s="1623"/>
      <c r="Q827" s="1623"/>
      <c r="R827" s="1766"/>
      <c r="S827" s="1623"/>
      <c r="T827" s="1623"/>
      <c r="U827" s="1623"/>
      <c r="V827" s="2294" t="s">
        <v>20</v>
      </c>
      <c r="W827" s="827">
        <v>1056.873427672956</v>
      </c>
      <c r="X827" s="828">
        <v>973.31187958567136</v>
      </c>
      <c r="Y827" s="146">
        <v>1164.32</v>
      </c>
      <c r="Z827" s="143">
        <v>1164.32</v>
      </c>
      <c r="AA827" s="143">
        <v>1164.32</v>
      </c>
      <c r="AB827" s="2164">
        <v>779.12</v>
      </c>
      <c r="AC827" s="61"/>
      <c r="AD827" s="61"/>
      <c r="AE827" s="61"/>
      <c r="AF827" s="61"/>
      <c r="AG827" s="61"/>
      <c r="AH827" s="829"/>
      <c r="AI827" s="829"/>
      <c r="AJ827" s="826"/>
      <c r="AK827" s="826"/>
      <c r="AL827" s="826"/>
      <c r="AM827" s="826"/>
      <c r="AN827" s="826"/>
      <c r="AO827" s="826"/>
      <c r="BB827" s="293">
        <f>(BD827+BD828+BD829+BD830)/(BE827+BE828+BE829+BE830)</f>
        <v>1.8692976167059803</v>
      </c>
      <c r="BC827" s="742" t="str">
        <f t="shared" si="75"/>
        <v>Cooling RES 6 Year EUL</v>
      </c>
      <c r="BD827" s="752">
        <f>(INDEX('Avoided Cost Benefits'!$C$4:$C$857,MATCH(BC827,'Avoided Cost Benefits'!$A$4:$A$857,0)))*F827</f>
        <v>453.04594102592296</v>
      </c>
      <c r="BE827" s="73">
        <f t="shared" si="76"/>
        <v>612.17856629099788</v>
      </c>
    </row>
    <row r="828" spans="1:57" s="64" customFormat="1" x14ac:dyDescent="0.25">
      <c r="A828" s="1393" t="str">
        <f t="shared" si="72"/>
        <v>351850_2019_12_Heating RES</v>
      </c>
      <c r="B828" s="157"/>
      <c r="C828" s="1670" t="s">
        <v>1243</v>
      </c>
      <c r="D828" s="1734" t="s">
        <v>742</v>
      </c>
      <c r="E828" s="821" t="s">
        <v>1244</v>
      </c>
      <c r="F828" s="2582">
        <f xml:space="preserve"> ROUND((($J$867*$J$887*(1/$J$930-1/$J$951))/1000)*$J$1095*$J$1115,2)</f>
        <v>1021.3</v>
      </c>
      <c r="G828" s="380" t="s">
        <v>691</v>
      </c>
      <c r="H828" s="202">
        <f>VLOOKUP(G828,'CP FACTORS'!$A$3:$B$38, 2, FALSE)</f>
        <v>0</v>
      </c>
      <c r="I828" s="1757">
        <f t="shared" si="77"/>
        <v>0</v>
      </c>
      <c r="J828" s="3095">
        <f>J1147</f>
        <v>6</v>
      </c>
      <c r="K828" s="508">
        <f>J1181</f>
        <v>0</v>
      </c>
      <c r="L828" s="285"/>
      <c r="M828" s="1623"/>
      <c r="N828" s="1623"/>
      <c r="O828" s="1623"/>
      <c r="P828" s="1623"/>
      <c r="Q828" s="1623"/>
      <c r="R828" s="1766"/>
      <c r="S828" s="1623"/>
      <c r="T828" s="1623"/>
      <c r="U828" s="1623"/>
      <c r="V828" s="2294" t="s">
        <v>20</v>
      </c>
      <c r="W828" s="827">
        <v>1906.4157894736838</v>
      </c>
      <c r="X828" s="828">
        <v>1671.2809187279149</v>
      </c>
      <c r="Y828" s="146">
        <v>1944.18</v>
      </c>
      <c r="Z828" s="143">
        <v>1944.18</v>
      </c>
      <c r="AA828" s="143">
        <v>1944.18</v>
      </c>
      <c r="AB828" s="2164">
        <v>1021.3</v>
      </c>
      <c r="AC828" s="61"/>
      <c r="AD828" s="61"/>
      <c r="AE828" s="61"/>
      <c r="AF828" s="61"/>
      <c r="AG828" s="61"/>
      <c r="AH828" s="829"/>
      <c r="AI828" s="829"/>
      <c r="AJ828" s="826"/>
      <c r="AK828" s="826"/>
      <c r="AL828" s="826"/>
      <c r="AM828" s="826"/>
      <c r="AN828" s="826"/>
      <c r="AO828" s="826"/>
      <c r="BB828" s="822"/>
      <c r="BC828" s="821" t="str">
        <f t="shared" si="75"/>
        <v>Heating RES 6 Year EUL</v>
      </c>
      <c r="BD828" s="752">
        <f>(INDEX('Avoided Cost Benefits'!$C$4:$C$857,MATCH(BC828,'Avoided Cost Benefits'!$A$4:$A$857,0)))*F828</f>
        <v>169.87640785839409</v>
      </c>
      <c r="BE828" s="73">
        <f t="shared" si="76"/>
        <v>0</v>
      </c>
    </row>
    <row r="829" spans="1:57" s="64" customFormat="1" x14ac:dyDescent="0.25">
      <c r="A829" s="1393" t="str">
        <f t="shared" si="72"/>
        <v>351850_2019_12_Cooling RES ER2</v>
      </c>
      <c r="B829" s="157"/>
      <c r="C829" s="1670" t="s">
        <v>1243</v>
      </c>
      <c r="D829" s="1734" t="s">
        <v>742</v>
      </c>
      <c r="E829" s="821" t="s">
        <v>1245</v>
      </c>
      <c r="F829" s="2582">
        <f>ROUND((($J$972*$J$993*(1/$J$1014-1/$J$1056))/1000)*$J$1096*$J$1115,2)</f>
        <v>312.22000000000003</v>
      </c>
      <c r="G829" s="1756" t="s">
        <v>1125</v>
      </c>
      <c r="H829" s="202">
        <f>VLOOKUP(G829,'CP FACTORS'!$A$3:$B$38, 2, FALSE)</f>
        <v>9.4741810000000004E-4</v>
      </c>
      <c r="I829" s="1757">
        <f t="shared" si="77"/>
        <v>0.29580299999999998</v>
      </c>
      <c r="J829" s="3095">
        <f>J1148</f>
        <v>12</v>
      </c>
      <c r="K829" s="508">
        <f>J1182</f>
        <v>0</v>
      </c>
      <c r="L829" s="285"/>
      <c r="M829" s="1623"/>
      <c r="N829" s="1623"/>
      <c r="O829" s="1623"/>
      <c r="P829" s="1623"/>
      <c r="Q829" s="1623"/>
      <c r="R829" s="1766"/>
      <c r="S829" s="1623"/>
      <c r="T829" s="1623"/>
      <c r="U829" s="1623"/>
      <c r="V829" s="2294" t="s">
        <v>20</v>
      </c>
      <c r="W829" s="827">
        <v>342.84509433962273</v>
      </c>
      <c r="X829" s="828">
        <v>343.28687958567122</v>
      </c>
      <c r="Y829" s="146">
        <v>456.05</v>
      </c>
      <c r="Z829" s="143">
        <v>456.05</v>
      </c>
      <c r="AA829" s="143">
        <v>456.05</v>
      </c>
      <c r="AB829" s="2164">
        <v>312.22000000000003</v>
      </c>
      <c r="AC829" s="61"/>
      <c r="AD829" s="61"/>
      <c r="AE829" s="61"/>
      <c r="AF829" s="61"/>
      <c r="AG829" s="61"/>
      <c r="AH829" s="829"/>
      <c r="AI829" s="829"/>
      <c r="AJ829" s="826"/>
      <c r="AK829" s="826"/>
      <c r="AL829" s="826"/>
      <c r="AM829" s="826"/>
      <c r="AN829" s="826"/>
      <c r="AO829" s="826"/>
      <c r="BB829" s="822"/>
      <c r="BC829" s="821" t="str">
        <f t="shared" si="75"/>
        <v>Cooling RES ER2 12 Year EUL</v>
      </c>
      <c r="BD829" s="752">
        <f>(INDEX('Avoided Cost Benefits'!$C$4:$C$857,MATCH(BC829,'Avoided Cost Benefits'!$A$4:$A$857,0)))*F829</f>
        <v>369.14504733700375</v>
      </c>
      <c r="BE829" s="73">
        <f t="shared" si="76"/>
        <v>0</v>
      </c>
    </row>
    <row r="830" spans="1:57" s="64" customFormat="1" x14ac:dyDescent="0.25">
      <c r="A830" s="1393" t="str">
        <f t="shared" si="72"/>
        <v>351850_2019_12_Heating RES ER2</v>
      </c>
      <c r="B830" s="648"/>
      <c r="C830" s="1670" t="s">
        <v>1243</v>
      </c>
      <c r="D830" s="1734" t="s">
        <v>742</v>
      </c>
      <c r="E830" s="750" t="s">
        <v>1245</v>
      </c>
      <c r="F830" s="2582">
        <f>ROUND((($J$860*$J$881*(1/$J$902-1/$J$944))/1000)*$J$1097*$J$1115,2)</f>
        <v>515</v>
      </c>
      <c r="G830" s="119" t="s">
        <v>1217</v>
      </c>
      <c r="H830" s="202">
        <f>VLOOKUP(G830,'CP FACTORS'!$A$3:$B$38, 2, FALSE)</f>
        <v>0</v>
      </c>
      <c r="I830" s="1757">
        <f t="shared" si="77"/>
        <v>0</v>
      </c>
      <c r="J830" s="3095">
        <f>J1149</f>
        <v>12</v>
      </c>
      <c r="K830" s="508">
        <f>J1183</f>
        <v>0</v>
      </c>
      <c r="L830" s="285"/>
      <c r="M830" s="1623"/>
      <c r="N830" s="1623"/>
      <c r="O830" s="1623"/>
      <c r="P830" s="1623"/>
      <c r="Q830" s="1623"/>
      <c r="R830" s="1766"/>
      <c r="S830" s="1623"/>
      <c r="T830" s="1623"/>
      <c r="U830" s="1623"/>
      <c r="V830" s="2294" t="s">
        <v>20</v>
      </c>
      <c r="W830" s="827">
        <v>836.1443609022557</v>
      </c>
      <c r="X830" s="828">
        <v>1113.8417090014714</v>
      </c>
      <c r="Y830" s="146">
        <v>1351.43</v>
      </c>
      <c r="Z830" s="143">
        <v>1351.43</v>
      </c>
      <c r="AA830" s="143">
        <v>1351.43</v>
      </c>
      <c r="AB830" s="2164">
        <v>515</v>
      </c>
      <c r="AC830" s="61"/>
      <c r="AD830" s="61"/>
      <c r="AE830" s="61"/>
      <c r="AF830" s="61"/>
      <c r="AG830" s="61"/>
      <c r="AH830" s="829"/>
      <c r="AI830" s="829"/>
      <c r="AJ830" s="826"/>
      <c r="AK830" s="826"/>
      <c r="AL830" s="826"/>
      <c r="AM830" s="826"/>
      <c r="AN830" s="826"/>
      <c r="AO830" s="826"/>
      <c r="BB830" s="822"/>
      <c r="BC830" s="750" t="str">
        <f t="shared" si="75"/>
        <v>Heating RES ER2 12 Year EUL</v>
      </c>
      <c r="BD830" s="752">
        <f>(INDEX('Avoided Cost Benefits'!$C$4:$C$857,MATCH(BC830,'Avoided Cost Benefits'!$A$4:$A$857,0)))*F830</f>
        <v>152.27653874492555</v>
      </c>
      <c r="BE830" s="73">
        <f t="shared" si="76"/>
        <v>0</v>
      </c>
    </row>
    <row r="831" spans="1:57" s="64" customFormat="1" x14ac:dyDescent="0.25">
      <c r="A831" s="1393" t="str">
        <f t="shared" si="72"/>
        <v>351851_2019_12_Cooling RES</v>
      </c>
      <c r="B831" s="648"/>
      <c r="C831" s="1768" t="s">
        <v>1246</v>
      </c>
      <c r="D831" s="1769" t="s">
        <v>737</v>
      </c>
      <c r="E831" s="821" t="str">
        <f>CONCATENATE(E827, "_CompE")</f>
        <v>Ductless ASHP ER1 MF_CompE</v>
      </c>
      <c r="F831" s="2582">
        <f>ROUND((($J$979*$J$1000*(1/$J$1042-1/$J$1063))/1000)*$J$1114*$J$1115,2)</f>
        <v>511.64</v>
      </c>
      <c r="G831" s="1771" t="s">
        <v>690</v>
      </c>
      <c r="H831" s="1772">
        <f>VLOOKUP(G831,'CP FACTORS'!$A$3:$B$38, 2, FALSE)</f>
        <v>9.4741810000000004E-4</v>
      </c>
      <c r="I831" s="1773">
        <f t="shared" si="77"/>
        <v>0.48473699999999997</v>
      </c>
      <c r="J831" s="451">
        <f t="shared" ref="J831:K834" si="79">J827</f>
        <v>6</v>
      </c>
      <c r="K831" s="1770">
        <f t="shared" si="79"/>
        <v>648.60319098531227</v>
      </c>
      <c r="L831" s="1774">
        <f>K979</f>
        <v>1.28125</v>
      </c>
      <c r="M831" s="1623"/>
      <c r="N831" s="1623"/>
      <c r="O831" s="1623"/>
      <c r="P831" s="1623"/>
      <c r="Q831" s="1623"/>
      <c r="R831" s="1766"/>
      <c r="S831" s="1623"/>
      <c r="T831" s="1623"/>
      <c r="U831" s="1623"/>
      <c r="V831" s="2294" t="s">
        <v>20</v>
      </c>
      <c r="W831" s="827"/>
      <c r="X831" s="828"/>
      <c r="Y831" s="146">
        <v>1026.8</v>
      </c>
      <c r="Z831" s="143">
        <v>1026.8</v>
      </c>
      <c r="AA831" s="143">
        <v>1026.8</v>
      </c>
      <c r="AB831" s="2164">
        <v>511.64</v>
      </c>
      <c r="AC831" s="61"/>
      <c r="AD831" s="61"/>
      <c r="AE831" s="61"/>
      <c r="AF831" s="61"/>
      <c r="AG831" s="61"/>
      <c r="AH831" s="829"/>
      <c r="AI831" s="829"/>
      <c r="AJ831" s="826"/>
      <c r="AK831" s="826"/>
      <c r="AL831" s="826"/>
      <c r="AM831" s="826"/>
      <c r="AN831" s="826"/>
      <c r="AO831" s="826"/>
      <c r="BB831" s="293">
        <f>(BD831+BD832+BD833+BD834)/(BE831+BE832+BE833+BE834)</f>
        <v>1.0819799514349249</v>
      </c>
      <c r="BC831" s="742" t="str">
        <f t="shared" si="75"/>
        <v>Cooling RES 6 Year EUL</v>
      </c>
      <c r="BD831" s="752">
        <f>(INDEX('Avoided Cost Benefits'!$C$4:$C$857,MATCH(BC831,'Avoided Cost Benefits'!$A$4:$A$857,0)))*F831</f>
        <v>297.51055712406719</v>
      </c>
      <c r="BE831" s="73">
        <f t="shared" si="76"/>
        <v>612.17856629099788</v>
      </c>
    </row>
    <row r="832" spans="1:57" s="64" customFormat="1" x14ac:dyDescent="0.25">
      <c r="A832" s="1393" t="str">
        <f t="shared" si="72"/>
        <v>351851_2019_12_Heating RES</v>
      </c>
      <c r="B832" s="648"/>
      <c r="C832" s="1352" t="s">
        <v>1246</v>
      </c>
      <c r="D832" s="1769" t="s">
        <v>737</v>
      </c>
      <c r="E832" s="821" t="str">
        <f>CONCATENATE(E828, "_CompE")</f>
        <v>Ductless ASHP ER1 MF_CompE</v>
      </c>
      <c r="F832" s="2582">
        <f xml:space="preserve"> ROUND((($J$874*$J$895*(1/$J$937-1/$J$958))/1000)*$J$1112*$J$1115,2)</f>
        <v>388.17</v>
      </c>
      <c r="G832" s="380" t="s">
        <v>691</v>
      </c>
      <c r="H832" s="202">
        <f>VLOOKUP(G832,'CP FACTORS'!$A$3:$B$38, 2, FALSE)</f>
        <v>0</v>
      </c>
      <c r="I832" s="1757">
        <f t="shared" si="77"/>
        <v>0</v>
      </c>
      <c r="J832" s="451">
        <f t="shared" si="79"/>
        <v>6</v>
      </c>
      <c r="K832" s="1770">
        <f t="shared" si="79"/>
        <v>0</v>
      </c>
      <c r="L832" s="285"/>
      <c r="M832" s="1623"/>
      <c r="N832" s="1623"/>
      <c r="O832" s="1623"/>
      <c r="P832" s="1623"/>
      <c r="Q832" s="1623"/>
      <c r="R832" s="1766"/>
      <c r="S832" s="1623"/>
      <c r="T832" s="1623"/>
      <c r="U832" s="1623"/>
      <c r="V832" s="2294" t="s">
        <v>20</v>
      </c>
      <c r="W832" s="827"/>
      <c r="X832" s="828"/>
      <c r="Y832" s="146">
        <v>895</v>
      </c>
      <c r="Z832" s="143">
        <v>895</v>
      </c>
      <c r="AA832" s="143">
        <v>895</v>
      </c>
      <c r="AB832" s="2164">
        <v>388.17</v>
      </c>
      <c r="AC832" s="61"/>
      <c r="AD832" s="61"/>
      <c r="AE832" s="61"/>
      <c r="AF832" s="61"/>
      <c r="AG832" s="61"/>
      <c r="AH832" s="829"/>
      <c r="AI832" s="829"/>
      <c r="AJ832" s="826"/>
      <c r="AK832" s="826"/>
      <c r="AL832" s="826"/>
      <c r="AM832" s="826"/>
      <c r="AN832" s="826"/>
      <c r="AO832" s="826"/>
      <c r="BB832" s="822"/>
      <c r="BC832" s="821" t="str">
        <f t="shared" si="75"/>
        <v>Heating RES 6 Year EUL</v>
      </c>
      <c r="BD832" s="752">
        <f>(INDEX('Avoided Cost Benefits'!$C$4:$C$857,MATCH(BC832,'Avoided Cost Benefits'!$A$4:$A$857,0)))*F832</f>
        <v>64.565676332510364</v>
      </c>
      <c r="BE832" s="73">
        <f t="shared" si="76"/>
        <v>0</v>
      </c>
    </row>
    <row r="833" spans="1:57" s="64" customFormat="1" x14ac:dyDescent="0.25">
      <c r="A833" s="1393" t="str">
        <f t="shared" si="72"/>
        <v>351851_2019_12_Cooling RES ER2</v>
      </c>
      <c r="B833" s="648"/>
      <c r="C833" s="1352" t="s">
        <v>1246</v>
      </c>
      <c r="D833" s="1769" t="s">
        <v>737</v>
      </c>
      <c r="E833" s="821" t="str">
        <f>CONCATENATE(E829, "_CompE")</f>
        <v>Ductless ASHP ER2 MF_CompE</v>
      </c>
      <c r="F833" s="2582">
        <f>ROUND((($J$979*$J$1000*(1/$J$1021-1/$J$1063))/1000)*$J$1113*$J$1115,2)</f>
        <v>205.03</v>
      </c>
      <c r="G833" s="1756" t="s">
        <v>1125</v>
      </c>
      <c r="H833" s="202">
        <f>VLOOKUP(G833,'CP FACTORS'!$A$3:$B$38, 2, FALSE)</f>
        <v>9.4741810000000004E-4</v>
      </c>
      <c r="I833" s="1757">
        <f t="shared" si="77"/>
        <v>0.194249</v>
      </c>
      <c r="J833" s="451">
        <f t="shared" si="79"/>
        <v>12</v>
      </c>
      <c r="K833" s="1770">
        <f t="shared" si="79"/>
        <v>0</v>
      </c>
      <c r="L833" s="285"/>
      <c r="M833" s="1623"/>
      <c r="N833" s="1623"/>
      <c r="O833" s="1623"/>
      <c r="P833" s="1623"/>
      <c r="Q833" s="1623"/>
      <c r="R833" s="1766"/>
      <c r="S833" s="1623"/>
      <c r="T833" s="1623"/>
      <c r="U833" s="1623"/>
      <c r="V833" s="2294" t="s">
        <v>20</v>
      </c>
      <c r="W833" s="827"/>
      <c r="X833" s="828"/>
      <c r="Y833" s="146">
        <v>402.19</v>
      </c>
      <c r="Z833" s="143">
        <v>402.19</v>
      </c>
      <c r="AA833" s="143">
        <v>402.19</v>
      </c>
      <c r="AB833" s="2164">
        <v>205.03</v>
      </c>
      <c r="AC833" s="61"/>
      <c r="AD833" s="61"/>
      <c r="AE833" s="61"/>
      <c r="AF833" s="61"/>
      <c r="AG833" s="61"/>
      <c r="AH833" s="829"/>
      <c r="AI833" s="829"/>
      <c r="AJ833" s="826"/>
      <c r="AK833" s="826"/>
      <c r="AL833" s="826"/>
      <c r="AM833" s="826"/>
      <c r="AN833" s="826"/>
      <c r="AO833" s="826"/>
      <c r="BB833" s="822"/>
      <c r="BC833" s="821" t="str">
        <f t="shared" si="75"/>
        <v>Cooling RES ER2 12 Year EUL</v>
      </c>
      <c r="BD833" s="752">
        <f>(INDEX('Avoided Cost Benefits'!$C$4:$C$857,MATCH(BC833,'Avoided Cost Benefits'!$A$4:$A$857,0)))*F833</f>
        <v>242.41178994140631</v>
      </c>
      <c r="BE833" s="73">
        <f t="shared" si="76"/>
        <v>0</v>
      </c>
    </row>
    <row r="834" spans="1:57" s="64" customFormat="1" x14ac:dyDescent="0.25">
      <c r="A834" s="1393" t="str">
        <f t="shared" si="72"/>
        <v>351851_2019_12_Heating RES ER2</v>
      </c>
      <c r="B834" s="648"/>
      <c r="C834" s="1352" t="s">
        <v>1246</v>
      </c>
      <c r="D834" s="1769" t="s">
        <v>737</v>
      </c>
      <c r="E834" s="750" t="str">
        <f>CONCATENATE(E830, "_CompE")</f>
        <v>Ductless ASHP ER2 MF_CompE</v>
      </c>
      <c r="F834" s="2582">
        <f>ROUND((($J$874*$J$895*(1/$J$916-1/$J$958))/1000)*$J$1114*$J$1115,2)</f>
        <v>195.74</v>
      </c>
      <c r="G834" s="119" t="s">
        <v>1217</v>
      </c>
      <c r="H834" s="202">
        <f>VLOOKUP(G834,'CP FACTORS'!$A$3:$B$38, 2, FALSE)</f>
        <v>0</v>
      </c>
      <c r="I834" s="1757">
        <f t="shared" si="77"/>
        <v>0</v>
      </c>
      <c r="J834" s="451">
        <f t="shared" si="79"/>
        <v>12</v>
      </c>
      <c r="K834" s="1770">
        <f t="shared" si="79"/>
        <v>0</v>
      </c>
      <c r="L834" s="285"/>
      <c r="M834" s="1623"/>
      <c r="N834" s="1623"/>
      <c r="O834" s="1623"/>
      <c r="P834" s="1623"/>
      <c r="Q834" s="1623"/>
      <c r="R834" s="1766"/>
      <c r="S834" s="1623"/>
      <c r="T834" s="1623"/>
      <c r="U834" s="1623"/>
      <c r="V834" s="2294" t="s">
        <v>20</v>
      </c>
      <c r="W834" s="827"/>
      <c r="X834" s="828"/>
      <c r="Y834" s="146">
        <v>622.13</v>
      </c>
      <c r="Z834" s="143">
        <v>622.13</v>
      </c>
      <c r="AA834" s="143">
        <v>622.13</v>
      </c>
      <c r="AB834" s="2164">
        <v>195.74</v>
      </c>
      <c r="AC834" s="61"/>
      <c r="AD834" s="61"/>
      <c r="AE834" s="61"/>
      <c r="AF834" s="61"/>
      <c r="AG834" s="61"/>
      <c r="AH834" s="829"/>
      <c r="AI834" s="829"/>
      <c r="AJ834" s="826"/>
      <c r="AK834" s="826"/>
      <c r="AL834" s="826"/>
      <c r="AM834" s="826"/>
      <c r="AN834" s="826"/>
      <c r="AO834" s="826"/>
      <c r="BB834" s="832"/>
      <c r="BC834" s="750" t="str">
        <f t="shared" si="75"/>
        <v>Heating RES ER2 12 Year EUL</v>
      </c>
      <c r="BD834" s="756">
        <f>(INDEX('Avoided Cost Benefits'!$C$4:$C$857,MATCH(BC834,'Avoided Cost Benefits'!$A$4:$A$857,0)))*F834</f>
        <v>57.876912027051901</v>
      </c>
      <c r="BE834" s="75">
        <f t="shared" si="76"/>
        <v>0</v>
      </c>
    </row>
    <row r="835" spans="1:57" s="64" customFormat="1" ht="18.75" customHeight="1" outlineLevel="1" x14ac:dyDescent="0.25">
      <c r="A835" s="1393"/>
      <c r="B835" s="157"/>
      <c r="C835" s="385"/>
      <c r="D835" s="386" t="s">
        <v>1247</v>
      </c>
      <c r="E835" s="157"/>
      <c r="F835" s="157"/>
      <c r="G835" s="157"/>
      <c r="H835" s="157"/>
      <c r="I835" s="157"/>
      <c r="J835" s="157"/>
      <c r="K835" s="157"/>
      <c r="L835" s="157"/>
      <c r="M835" s="157"/>
      <c r="N835" s="1759"/>
      <c r="O835" s="157"/>
      <c r="P835" s="157"/>
      <c r="Q835" s="157"/>
      <c r="R835" s="157"/>
      <c r="S835" s="157"/>
      <c r="T835" s="157"/>
      <c r="U835" s="157"/>
      <c r="V835" s="157"/>
      <c r="BB835" s="647"/>
      <c r="BC835" s="658"/>
      <c r="BD835" s="757"/>
    </row>
    <row r="836" spans="1:57" s="64" customFormat="1" outlineLevel="1" x14ac:dyDescent="0.25">
      <c r="A836" s="1393"/>
      <c r="B836" s="157"/>
      <c r="C836" s="385"/>
      <c r="D836" s="920"/>
      <c r="E836" s="157"/>
      <c r="F836" s="157"/>
      <c r="G836" s="157"/>
      <c r="H836" s="157"/>
      <c r="I836" s="157"/>
      <c r="J836" s="157"/>
      <c r="K836" s="157"/>
      <c r="L836" s="157"/>
      <c r="M836" s="157"/>
      <c r="N836" s="1759"/>
      <c r="O836" s="157"/>
      <c r="P836" s="157"/>
      <c r="Q836" s="157"/>
      <c r="R836" s="157"/>
      <c r="S836" s="157"/>
      <c r="T836" s="157"/>
      <c r="U836" s="157"/>
      <c r="V836" s="157"/>
      <c r="BB836" s="647"/>
      <c r="BC836" s="648"/>
      <c r="BD836" s="757"/>
    </row>
    <row r="837" spans="1:57" s="64" customFormat="1" outlineLevel="1" x14ac:dyDescent="0.25">
      <c r="A837" s="1393"/>
      <c r="B837" s="157"/>
      <c r="C837" s="385"/>
      <c r="D837" s="222" t="s">
        <v>571</v>
      </c>
      <c r="E837" s="413"/>
      <c r="F837" s="413"/>
      <c r="G837" s="413"/>
      <c r="H837" s="413"/>
      <c r="I837" s="413"/>
      <c r="J837" s="157"/>
      <c r="K837" s="157"/>
      <c r="L837" s="157"/>
      <c r="M837" s="157"/>
      <c r="N837" s="1759"/>
      <c r="O837" s="157"/>
      <c r="P837" s="157"/>
      <c r="Q837" s="157"/>
      <c r="R837" s="157"/>
      <c r="S837" s="157"/>
      <c r="T837" s="157"/>
      <c r="U837" s="157"/>
      <c r="V837" s="157"/>
      <c r="BB837" s="647"/>
      <c r="BC837" s="648"/>
      <c r="BD837" s="757"/>
    </row>
    <row r="838" spans="1:57" s="64" customFormat="1" outlineLevel="1" x14ac:dyDescent="0.25">
      <c r="A838" s="1393"/>
      <c r="B838" s="157"/>
      <c r="C838" s="385"/>
      <c r="D838" s="386"/>
      <c r="E838" s="413"/>
      <c r="F838" s="413"/>
      <c r="G838" s="413"/>
      <c r="H838" s="413"/>
      <c r="I838" s="413"/>
      <c r="J838" s="157"/>
      <c r="K838" s="157"/>
      <c r="L838" s="157"/>
      <c r="M838" s="157"/>
      <c r="N838" s="1759"/>
      <c r="O838" s="157"/>
      <c r="P838" s="157"/>
      <c r="Q838" s="157"/>
      <c r="R838" s="157"/>
      <c r="S838" s="157"/>
      <c r="T838" s="157"/>
      <c r="U838" s="157"/>
      <c r="V838" s="157"/>
      <c r="BB838" s="647"/>
      <c r="BC838" s="648"/>
      <c r="BD838" s="757"/>
    </row>
    <row r="839" spans="1:57" s="64" customFormat="1" outlineLevel="1" x14ac:dyDescent="0.25">
      <c r="A839" s="1393"/>
      <c r="B839" s="157"/>
      <c r="C839" s="385"/>
      <c r="D839" s="386"/>
      <c r="E839" s="413"/>
      <c r="F839" s="413"/>
      <c r="G839" s="413"/>
      <c r="H839" s="413"/>
      <c r="I839" s="413"/>
      <c r="J839" s="157"/>
      <c r="K839" s="157"/>
      <c r="L839" s="157"/>
      <c r="M839" s="157"/>
      <c r="N839" s="1759"/>
      <c r="O839" s="157"/>
      <c r="P839" s="157"/>
      <c r="Q839" s="157"/>
      <c r="R839" s="157"/>
      <c r="S839" s="157"/>
      <c r="T839" s="157"/>
      <c r="U839" s="157"/>
      <c r="V839" s="157"/>
      <c r="BB839" s="647"/>
      <c r="BC839" s="648"/>
      <c r="BD839" s="757"/>
    </row>
    <row r="840" spans="1:57" s="64" customFormat="1" outlineLevel="1" x14ac:dyDescent="0.25">
      <c r="A840" s="1393"/>
      <c r="B840" s="157"/>
      <c r="C840" s="385"/>
      <c r="D840" s="386"/>
      <c r="E840" s="413"/>
      <c r="F840" s="413"/>
      <c r="G840" s="413"/>
      <c r="H840" s="413"/>
      <c r="I840" s="413"/>
      <c r="J840" s="157"/>
      <c r="K840" s="157"/>
      <c r="L840" s="157"/>
      <c r="M840" s="157"/>
      <c r="N840" s="1759"/>
      <c r="O840" s="157"/>
      <c r="P840" s="157"/>
      <c r="Q840" s="157"/>
      <c r="R840" s="157"/>
      <c r="S840" s="157"/>
      <c r="T840" s="157"/>
      <c r="U840" s="157"/>
      <c r="V840" s="157"/>
      <c r="BB840" s="647"/>
      <c r="BC840" s="648"/>
      <c r="BD840" s="757"/>
    </row>
    <row r="841" spans="1:57" s="64" customFormat="1" outlineLevel="1" x14ac:dyDescent="0.25">
      <c r="A841" s="1393"/>
      <c r="B841" s="157"/>
      <c r="C841" s="385"/>
      <c r="D841" s="386"/>
      <c r="E841" s="413"/>
      <c r="F841" s="413"/>
      <c r="G841" s="413"/>
      <c r="H841" s="413"/>
      <c r="I841" s="413"/>
      <c r="J841" s="157"/>
      <c r="K841" s="157"/>
      <c r="L841" s="157"/>
      <c r="M841" s="157"/>
      <c r="N841" s="1759"/>
      <c r="O841" s="157"/>
      <c r="P841" s="157"/>
      <c r="Q841" s="157"/>
      <c r="R841" s="157"/>
      <c r="S841" s="157"/>
      <c r="T841" s="157"/>
      <c r="U841" s="157"/>
      <c r="V841" s="157"/>
      <c r="BB841" s="647"/>
      <c r="BC841" s="648"/>
      <c r="BD841" s="757"/>
    </row>
    <row r="842" spans="1:57" s="64" customFormat="1" outlineLevel="1" x14ac:dyDescent="0.25">
      <c r="A842" s="1393"/>
      <c r="B842" s="157"/>
      <c r="C842" s="385"/>
      <c r="D842" s="386"/>
      <c r="E842" s="413"/>
      <c r="F842" s="413"/>
      <c r="G842" s="413"/>
      <c r="H842" s="413"/>
      <c r="I842" s="413"/>
      <c r="J842" s="157"/>
      <c r="K842" s="157"/>
      <c r="L842" s="157"/>
      <c r="M842" s="157"/>
      <c r="N842" s="1759"/>
      <c r="O842" s="157"/>
      <c r="P842" s="157"/>
      <c r="Q842" s="157"/>
      <c r="R842" s="157"/>
      <c r="S842" s="157"/>
      <c r="T842" s="157"/>
      <c r="U842" s="157"/>
      <c r="V842" s="157"/>
      <c r="BB842" s="647"/>
      <c r="BC842" s="648"/>
      <c r="BD842" s="757"/>
    </row>
    <row r="843" spans="1:57" s="64" customFormat="1" outlineLevel="1" x14ac:dyDescent="0.25">
      <c r="A843" s="1393"/>
      <c r="B843" s="157"/>
      <c r="C843" s="385"/>
      <c r="D843" s="386" t="s">
        <v>1165</v>
      </c>
      <c r="E843" s="413"/>
      <c r="F843" s="413"/>
      <c r="G843" s="413"/>
      <c r="H843" s="413"/>
      <c r="I843" s="413"/>
      <c r="J843" s="157"/>
      <c r="K843" s="157"/>
      <c r="L843" s="157"/>
      <c r="M843" s="157"/>
      <c r="N843" s="1759"/>
      <c r="O843" s="157"/>
      <c r="P843" s="157"/>
      <c r="Q843" s="157"/>
      <c r="R843" s="157"/>
      <c r="S843" s="157"/>
      <c r="T843" s="157"/>
      <c r="U843" s="157"/>
      <c r="V843" s="157"/>
      <c r="BB843" s="647"/>
      <c r="BC843" s="648"/>
      <c r="BD843" s="757"/>
    </row>
    <row r="844" spans="1:57" s="64" customFormat="1" outlineLevel="1" x14ac:dyDescent="0.25">
      <c r="A844" s="1393"/>
      <c r="B844" s="157"/>
      <c r="C844" s="385"/>
      <c r="D844" s="386"/>
      <c r="E844" s="413"/>
      <c r="F844" s="413"/>
      <c r="G844" s="413"/>
      <c r="H844" s="413"/>
      <c r="I844" s="413"/>
      <c r="J844" s="157"/>
      <c r="K844" s="157"/>
      <c r="L844" s="157"/>
      <c r="M844" s="157"/>
      <c r="N844" s="1759"/>
      <c r="O844" s="157"/>
      <c r="P844" s="157"/>
      <c r="Q844" s="157"/>
      <c r="R844" s="157"/>
      <c r="S844" s="157"/>
      <c r="T844" s="157"/>
      <c r="U844" s="157"/>
      <c r="V844" s="157"/>
      <c r="BB844" s="647"/>
      <c r="BC844" s="648"/>
      <c r="BD844" s="757"/>
    </row>
    <row r="845" spans="1:57" s="64" customFormat="1" outlineLevel="1" x14ac:dyDescent="0.25">
      <c r="A845" s="1393"/>
      <c r="B845" s="157"/>
      <c r="C845" s="385"/>
      <c r="D845" s="386"/>
      <c r="E845" s="413"/>
      <c r="F845" s="413"/>
      <c r="G845" s="413"/>
      <c r="H845" s="413"/>
      <c r="I845" s="413"/>
      <c r="J845" s="157"/>
      <c r="K845" s="157"/>
      <c r="L845" s="157"/>
      <c r="M845" s="157"/>
      <c r="N845" s="1759"/>
      <c r="O845" s="157"/>
      <c r="P845" s="157"/>
      <c r="Q845" s="157"/>
      <c r="R845" s="157"/>
      <c r="S845" s="157"/>
      <c r="T845" s="157"/>
      <c r="U845" s="157"/>
      <c r="V845" s="157"/>
      <c r="BB845" s="647"/>
      <c r="BC845" s="648"/>
      <c r="BD845" s="757"/>
    </row>
    <row r="846" spans="1:57" s="64" customFormat="1" outlineLevel="1" x14ac:dyDescent="0.25">
      <c r="A846" s="1393"/>
      <c r="B846" s="157"/>
      <c r="C846" s="385"/>
      <c r="D846" s="386"/>
      <c r="E846" s="413"/>
      <c r="F846" s="413"/>
      <c r="G846" s="413"/>
      <c r="H846" s="413"/>
      <c r="I846" s="413"/>
      <c r="J846" s="157"/>
      <c r="K846" s="157"/>
      <c r="L846" s="157"/>
      <c r="M846" s="157"/>
      <c r="N846" s="1759"/>
      <c r="O846" s="157"/>
      <c r="P846" s="157"/>
      <c r="Q846" s="157"/>
      <c r="R846" s="157"/>
      <c r="S846" s="157"/>
      <c r="T846" s="157"/>
      <c r="U846" s="157"/>
      <c r="V846" s="157"/>
      <c r="BB846" s="647"/>
      <c r="BC846" s="648"/>
      <c r="BD846" s="757"/>
    </row>
    <row r="847" spans="1:57" s="64" customFormat="1" outlineLevel="1" x14ac:dyDescent="0.25">
      <c r="A847" s="1393"/>
      <c r="B847" s="157"/>
      <c r="C847" s="385"/>
      <c r="D847" s="386"/>
      <c r="E847" s="413"/>
      <c r="F847" s="413"/>
      <c r="G847" s="413"/>
      <c r="H847" s="413"/>
      <c r="I847" s="413"/>
      <c r="J847" s="157"/>
      <c r="K847" s="157"/>
      <c r="L847" s="157"/>
      <c r="M847" s="157"/>
      <c r="N847" s="1759"/>
      <c r="O847" s="157"/>
      <c r="P847" s="157"/>
      <c r="Q847" s="157"/>
      <c r="R847" s="157"/>
      <c r="S847" s="157"/>
      <c r="T847" s="157"/>
      <c r="U847" s="157"/>
      <c r="V847" s="157"/>
      <c r="BB847" s="647"/>
      <c r="BC847" s="648"/>
      <c r="BD847" s="757"/>
    </row>
    <row r="848" spans="1:57" s="64" customFormat="1" outlineLevel="1" x14ac:dyDescent="0.25">
      <c r="A848" s="1393"/>
      <c r="B848" s="157"/>
      <c r="C848" s="385"/>
      <c r="D848" s="386"/>
      <c r="E848" s="413"/>
      <c r="F848" s="413"/>
      <c r="G848" s="413"/>
      <c r="H848" s="413"/>
      <c r="I848" s="413"/>
      <c r="J848" s="157"/>
      <c r="K848" s="157"/>
      <c r="L848" s="157"/>
      <c r="M848" s="157"/>
      <c r="N848" s="1759"/>
      <c r="O848" s="157"/>
      <c r="P848" s="157"/>
      <c r="Q848" s="157"/>
      <c r="R848" s="157"/>
      <c r="S848" s="157"/>
      <c r="T848" s="157"/>
      <c r="U848" s="157"/>
      <c r="V848" s="157"/>
      <c r="BB848" s="647"/>
      <c r="BC848" s="648"/>
      <c r="BD848" s="757"/>
    </row>
    <row r="849" spans="1:56" s="64" customFormat="1" outlineLevel="1" x14ac:dyDescent="0.25">
      <c r="A849" s="1393"/>
      <c r="B849" s="157"/>
      <c r="C849" s="385"/>
      <c r="D849" s="386" t="s">
        <v>1248</v>
      </c>
      <c r="E849" s="413"/>
      <c r="F849" s="413"/>
      <c r="G849" s="413"/>
      <c r="H849" s="413"/>
      <c r="I849" s="413"/>
      <c r="J849" s="157"/>
      <c r="K849" s="157"/>
      <c r="L849" s="157"/>
      <c r="M849" s="157"/>
      <c r="N849" s="1759"/>
      <c r="O849" s="157"/>
      <c r="P849" s="157"/>
      <c r="Q849" s="157"/>
      <c r="R849" s="157"/>
      <c r="S849" s="157"/>
      <c r="T849" s="157"/>
      <c r="U849" s="157"/>
      <c r="V849" s="157"/>
      <c r="BB849" s="647"/>
      <c r="BC849" s="648"/>
      <c r="BD849" s="757"/>
    </row>
    <row r="850" spans="1:56" s="64" customFormat="1" outlineLevel="1" x14ac:dyDescent="0.25">
      <c r="A850" s="1393"/>
      <c r="B850" s="157"/>
      <c r="C850" s="385"/>
      <c r="D850" s="386"/>
      <c r="E850" s="413"/>
      <c r="F850" s="413"/>
      <c r="G850" s="413"/>
      <c r="H850" s="413"/>
      <c r="I850" s="413"/>
      <c r="J850" s="157"/>
      <c r="K850" s="157"/>
      <c r="L850" s="157"/>
      <c r="M850" s="157"/>
      <c r="N850" s="1759"/>
      <c r="O850" s="157"/>
      <c r="P850" s="157"/>
      <c r="Q850" s="157"/>
      <c r="R850" s="157"/>
      <c r="S850" s="157"/>
      <c r="T850" s="157"/>
      <c r="U850" s="157"/>
      <c r="V850" s="157"/>
      <c r="BB850" s="647"/>
      <c r="BC850" s="648"/>
      <c r="BD850" s="757"/>
    </row>
    <row r="851" spans="1:56" s="64" customFormat="1" outlineLevel="1" x14ac:dyDescent="0.25">
      <c r="A851" s="1393"/>
      <c r="B851" s="157"/>
      <c r="C851" s="385"/>
      <c r="D851" s="386"/>
      <c r="E851" s="157"/>
      <c r="F851" s="157"/>
      <c r="G851" s="157"/>
      <c r="H851" s="157"/>
      <c r="I851" s="157"/>
      <c r="J851" s="157"/>
      <c r="K851" s="157"/>
      <c r="L851" s="157"/>
      <c r="M851" s="157"/>
      <c r="N851" s="1759"/>
      <c r="O851" s="157"/>
      <c r="P851" s="157"/>
      <c r="Q851" s="157"/>
      <c r="R851" s="157"/>
      <c r="S851" s="157"/>
      <c r="T851" s="157"/>
      <c r="U851" s="157"/>
      <c r="V851" s="157"/>
      <c r="BB851" s="647"/>
      <c r="BC851" s="648"/>
      <c r="BD851" s="757"/>
    </row>
    <row r="852" spans="1:56" s="64" customFormat="1" outlineLevel="1" x14ac:dyDescent="0.25">
      <c r="A852" s="1393"/>
      <c r="B852" s="157"/>
      <c r="C852" s="385"/>
      <c r="D852" s="386"/>
      <c r="E852" s="157"/>
      <c r="F852" s="157"/>
      <c r="G852" s="157"/>
      <c r="H852" s="157"/>
      <c r="I852" s="157"/>
      <c r="J852" s="157"/>
      <c r="K852" s="157"/>
      <c r="L852" s="157"/>
      <c r="M852" s="157"/>
      <c r="N852" s="1759"/>
      <c r="O852" s="157"/>
      <c r="P852" s="194"/>
      <c r="Q852" s="194"/>
      <c r="R852" s="194"/>
      <c r="S852" s="157"/>
      <c r="T852" s="157"/>
      <c r="U852" s="157"/>
      <c r="V852" s="157"/>
      <c r="BB852" s="647"/>
      <c r="BC852" s="648"/>
      <c r="BD852" s="757"/>
    </row>
    <row r="853" spans="1:56" s="64" customFormat="1" ht="30.75" outlineLevel="1" thickBot="1" x14ac:dyDescent="0.3">
      <c r="A853" s="1393"/>
      <c r="B853" s="277"/>
      <c r="C853" s="385"/>
      <c r="D853" s="440" t="s">
        <v>572</v>
      </c>
      <c r="E853" s="440" t="s">
        <v>573</v>
      </c>
      <c r="F853" s="3594" t="s">
        <v>623</v>
      </c>
      <c r="G853" s="3594"/>
      <c r="H853" s="3594"/>
      <c r="I853" s="1420" t="s">
        <v>17</v>
      </c>
      <c r="J853" s="1420" t="s">
        <v>574</v>
      </c>
      <c r="K853" s="1420" t="s">
        <v>1168</v>
      </c>
      <c r="L853" s="1420" t="s">
        <v>804</v>
      </c>
      <c r="M853" s="375"/>
      <c r="N853" s="277" t="s">
        <v>3653</v>
      </c>
      <c r="O853" s="3235"/>
      <c r="P853" s="3236"/>
      <c r="Q853" s="277"/>
      <c r="R853" s="194"/>
      <c r="S853" s="2137"/>
      <c r="T853" s="157"/>
      <c r="U853" s="157"/>
      <c r="V853" s="623" t="s">
        <v>27</v>
      </c>
      <c r="W853" s="56">
        <v>43252</v>
      </c>
      <c r="X853" s="56">
        <f>$X$6</f>
        <v>43465</v>
      </c>
      <c r="Y853" s="56">
        <f>$Y$6</f>
        <v>43800</v>
      </c>
      <c r="Z853" s="56">
        <f>$Z$6</f>
        <v>43862</v>
      </c>
      <c r="AA853" s="56">
        <f>$AA$6</f>
        <v>44013</v>
      </c>
      <c r="AB853" s="56">
        <f>$AB$6</f>
        <v>44166</v>
      </c>
      <c r="AC853" s="56" t="str">
        <f>$AC$6</f>
        <v>-</v>
      </c>
      <c r="AD853" s="56" t="str">
        <f>$AD$6</f>
        <v>-</v>
      </c>
      <c r="AE853" s="56" t="str">
        <f>$AE$6</f>
        <v>-</v>
      </c>
      <c r="AF853" s="56" t="str">
        <f>$AF$6</f>
        <v>-</v>
      </c>
      <c r="AG853" s="56" t="str">
        <f>$AG$6</f>
        <v>-</v>
      </c>
      <c r="BB853" s="647"/>
      <c r="BC853" s="648"/>
      <c r="BD853" s="757"/>
    </row>
    <row r="854" spans="1:56" s="64" customFormat="1" ht="15" customHeight="1" outlineLevel="1" x14ac:dyDescent="0.25">
      <c r="A854" s="1393"/>
      <c r="B854" s="277"/>
      <c r="C854" s="385"/>
      <c r="D854" s="3638" t="s">
        <v>1249</v>
      </c>
      <c r="E854" s="3588" t="s">
        <v>1250</v>
      </c>
      <c r="F854" s="3679" t="str">
        <f>E784</f>
        <v>Ductless AC - ER1 SF</v>
      </c>
      <c r="G854" s="3679"/>
      <c r="H854" s="3679"/>
      <c r="I854" s="3059"/>
      <c r="J854" s="3068">
        <v>0</v>
      </c>
      <c r="K854" s="2671"/>
      <c r="L854" s="834" t="s">
        <v>1251</v>
      </c>
      <c r="M854" s="1775"/>
      <c r="N854" s="277"/>
      <c r="O854" s="3237" t="s">
        <v>3654</v>
      </c>
      <c r="P854" s="3238">
        <v>1.5</v>
      </c>
      <c r="Q854" s="277" t="s">
        <v>3655</v>
      </c>
      <c r="R854" s="3066"/>
      <c r="S854" s="2137"/>
      <c r="T854" s="157"/>
      <c r="U854" s="157"/>
      <c r="V854" s="3638" t="s">
        <v>1249</v>
      </c>
      <c r="W854" s="760">
        <v>0</v>
      </c>
      <c r="X854" s="760">
        <v>0</v>
      </c>
      <c r="Y854" s="760">
        <v>0</v>
      </c>
      <c r="Z854" s="2428">
        <v>0</v>
      </c>
      <c r="AA854" s="2428">
        <v>0</v>
      </c>
      <c r="AB854" s="2427">
        <v>0</v>
      </c>
      <c r="AC854" s="760"/>
      <c r="AD854" s="760"/>
      <c r="AE854" s="760"/>
      <c r="AF854" s="760"/>
      <c r="AG854" s="835"/>
      <c r="BB854" s="647"/>
      <c r="BC854" s="648"/>
      <c r="BD854" s="757"/>
    </row>
    <row r="855" spans="1:56" s="64" customFormat="1" outlineLevel="1" x14ac:dyDescent="0.25">
      <c r="A855" s="1393"/>
      <c r="B855" s="277"/>
      <c r="C855" s="385"/>
      <c r="D855" s="3676"/>
      <c r="E855" s="3589"/>
      <c r="F855" s="3671" t="str">
        <f>E786</f>
        <v>Ductless AC - ROF SF</v>
      </c>
      <c r="G855" s="3671"/>
      <c r="H855" s="3671"/>
      <c r="I855" s="3055"/>
      <c r="J855" s="3061">
        <v>0</v>
      </c>
      <c r="K855" s="2672"/>
      <c r="L855" s="837" t="s">
        <v>1251</v>
      </c>
      <c r="M855" s="1775"/>
      <c r="N855" s="277"/>
      <c r="O855" s="277"/>
      <c r="P855" s="277"/>
      <c r="Q855" s="277"/>
      <c r="R855" s="3053"/>
      <c r="S855" s="2137"/>
      <c r="T855" s="157"/>
      <c r="U855" s="157"/>
      <c r="V855" s="3676"/>
      <c r="W855" s="766">
        <v>0</v>
      </c>
      <c r="X855" s="766">
        <v>0</v>
      </c>
      <c r="Y855" s="766">
        <v>0</v>
      </c>
      <c r="Z855" s="2426">
        <v>0</v>
      </c>
      <c r="AA855" s="2426">
        <v>0</v>
      </c>
      <c r="AB855" s="2425">
        <v>0</v>
      </c>
      <c r="AC855" s="766"/>
      <c r="AD855" s="766"/>
      <c r="AE855" s="766"/>
      <c r="AF855" s="766"/>
      <c r="AG855" s="782"/>
      <c r="BB855" s="647"/>
      <c r="BC855" s="648"/>
      <c r="BD855" s="757"/>
    </row>
    <row r="856" spans="1:56" s="64" customFormat="1" outlineLevel="1" x14ac:dyDescent="0.25">
      <c r="A856" s="1393"/>
      <c r="B856" s="277"/>
      <c r="C856" s="385"/>
      <c r="D856" s="3676"/>
      <c r="E856" s="3589"/>
      <c r="F856" s="3671" t="str">
        <f>E787</f>
        <v>Ductless ASHP - ROF SF NC</v>
      </c>
      <c r="G856" s="3671"/>
      <c r="H856" s="3671"/>
      <c r="I856" s="3055"/>
      <c r="J856" s="3061">
        <v>18000</v>
      </c>
      <c r="K856" s="2672">
        <f>J856/12000</f>
        <v>1.5</v>
      </c>
      <c r="L856" s="2675" t="s">
        <v>1252</v>
      </c>
      <c r="M856" s="1775"/>
      <c r="N856" s="3483" t="s">
        <v>3229</v>
      </c>
      <c r="O856" s="3772"/>
      <c r="P856" s="3772"/>
      <c r="Q856" s="3484"/>
      <c r="R856" s="2135"/>
      <c r="S856" s="2137"/>
      <c r="T856" s="157"/>
      <c r="U856" s="157"/>
      <c r="V856" s="3676"/>
      <c r="W856" s="766">
        <v>16800</v>
      </c>
      <c r="X856" s="765">
        <f>1.5*12000</f>
        <v>18000</v>
      </c>
      <c r="Y856" s="766">
        <v>18000</v>
      </c>
      <c r="Z856" s="2426">
        <v>18000</v>
      </c>
      <c r="AA856" s="2426">
        <v>18000</v>
      </c>
      <c r="AB856" s="2425">
        <v>18000</v>
      </c>
      <c r="AC856" s="766"/>
      <c r="AD856" s="766"/>
      <c r="AE856" s="766"/>
      <c r="AF856" s="766"/>
      <c r="AG856" s="782"/>
      <c r="BB856" s="647"/>
      <c r="BC856" s="648"/>
      <c r="BD856" s="757"/>
    </row>
    <row r="857" spans="1:56" s="64" customFormat="1" outlineLevel="1" x14ac:dyDescent="0.25">
      <c r="A857" s="1393"/>
      <c r="B857" s="277"/>
      <c r="C857" s="385"/>
      <c r="D857" s="3676"/>
      <c r="E857" s="3589"/>
      <c r="F857" s="3671" t="str">
        <f>E789</f>
        <v>Ductless ASHP - ROF SF</v>
      </c>
      <c r="G857" s="3671"/>
      <c r="H857" s="3671"/>
      <c r="I857" s="3055"/>
      <c r="J857" s="3224">
        <v>18221.05263157895</v>
      </c>
      <c r="K857" s="2672">
        <f>J857/12000</f>
        <v>1.5184210526315791</v>
      </c>
      <c r="L857" s="2718" t="s">
        <v>3674</v>
      </c>
      <c r="M857" s="1753"/>
      <c r="N857" s="3091" t="s">
        <v>3656</v>
      </c>
      <c r="O857" s="923" t="s">
        <v>3230</v>
      </c>
      <c r="P857" s="3002" t="s">
        <v>3223</v>
      </c>
      <c r="Q857" s="3091" t="s">
        <v>624</v>
      </c>
      <c r="R857" s="2135"/>
      <c r="S857" s="2137"/>
      <c r="T857" s="157"/>
      <c r="U857" s="157"/>
      <c r="V857" s="3676"/>
      <c r="W857" s="766">
        <v>16800</v>
      </c>
      <c r="X857" s="765">
        <f>1.5*12000</f>
        <v>18000</v>
      </c>
      <c r="Y857" s="766">
        <v>18000</v>
      </c>
      <c r="Z857" s="2426">
        <v>18000</v>
      </c>
      <c r="AA857" s="2426">
        <v>18000</v>
      </c>
      <c r="AB857" s="2673">
        <v>18221.05263157895</v>
      </c>
      <c r="AC857" s="766"/>
      <c r="AD857" s="766"/>
      <c r="AE857" s="766"/>
      <c r="AF857" s="766"/>
      <c r="AG857" s="782"/>
      <c r="BB857" s="647"/>
      <c r="BC857" s="648"/>
      <c r="BD857" s="757"/>
    </row>
    <row r="858" spans="1:56" s="64" customFormat="1" outlineLevel="1" x14ac:dyDescent="0.25">
      <c r="A858" s="1393"/>
      <c r="B858" s="277"/>
      <c r="C858" s="385"/>
      <c r="D858" s="3676"/>
      <c r="E858" s="3589"/>
      <c r="F858" s="3671" t="str">
        <f>E791</f>
        <v>Ductless ASHP Replace Electric Resistance ER1 SF</v>
      </c>
      <c r="G858" s="3671"/>
      <c r="H858" s="3671"/>
      <c r="I858" s="3055"/>
      <c r="J858" s="3224">
        <v>18840</v>
      </c>
      <c r="K858" s="2672">
        <f>J858/12000</f>
        <v>1.57</v>
      </c>
      <c r="L858" s="2718" t="s">
        <v>3674</v>
      </c>
      <c r="M858" s="1753"/>
      <c r="N858" s="3239" t="s">
        <v>1184</v>
      </c>
      <c r="O858" s="3240"/>
      <c r="P858" s="3241">
        <f>(MIN(2000,P$867)-P872)*K$856</f>
        <v>336</v>
      </c>
      <c r="Q858" s="734" t="s">
        <v>3657</v>
      </c>
      <c r="R858" s="2135"/>
      <c r="S858" s="2137"/>
      <c r="T858" s="157"/>
      <c r="U858" s="157"/>
      <c r="V858" s="3676"/>
      <c r="W858" s="766">
        <v>16800</v>
      </c>
      <c r="X858" s="765">
        <f>1.5*12000</f>
        <v>18000</v>
      </c>
      <c r="Y858" s="766">
        <v>18000</v>
      </c>
      <c r="Z858" s="2426">
        <v>18000</v>
      </c>
      <c r="AA858" s="2426">
        <v>18000</v>
      </c>
      <c r="AB858" s="2673">
        <v>18840</v>
      </c>
      <c r="AC858" s="766"/>
      <c r="AD858" s="766"/>
      <c r="AE858" s="766"/>
      <c r="AF858" s="766"/>
      <c r="AG858" s="782"/>
      <c r="BB858" s="647"/>
      <c r="BC858" s="648"/>
      <c r="BD858" s="757"/>
    </row>
    <row r="859" spans="1:56" s="64" customFormat="1" outlineLevel="1" x14ac:dyDescent="0.25">
      <c r="A859" s="1393"/>
      <c r="B859" s="277"/>
      <c r="C859" s="385"/>
      <c r="D859" s="3676"/>
      <c r="E859" s="3589"/>
      <c r="F859" s="3671" t="str">
        <f>E795</f>
        <v>Ductless ASHP Replace Electric Resistance ROF SF</v>
      </c>
      <c r="G859" s="3671"/>
      <c r="H859" s="3671"/>
      <c r="I859" s="3055"/>
      <c r="J859" s="3224">
        <v>19200</v>
      </c>
      <c r="K859" s="2672">
        <f>J859/12000</f>
        <v>1.6</v>
      </c>
      <c r="L859" s="2718" t="s">
        <v>3674</v>
      </c>
      <c r="M859" s="1753"/>
      <c r="N859" s="3239" t="s">
        <v>3658</v>
      </c>
      <c r="O859" s="3240">
        <f>((P$872*P$854)+P$858)-((O872*P$854)/((1+P$876)^(P$877-1)))</f>
        <v>701.97446749499977</v>
      </c>
      <c r="P859" s="3241"/>
      <c r="Q859" s="734" t="s">
        <v>3659</v>
      </c>
      <c r="R859" s="2135"/>
      <c r="S859" s="2137"/>
      <c r="T859" s="157"/>
      <c r="U859" s="157"/>
      <c r="V859" s="3676"/>
      <c r="W859" s="766">
        <v>19200</v>
      </c>
      <c r="X859" s="765">
        <f>1.5*12000</f>
        <v>18000</v>
      </c>
      <c r="Y859" s="765">
        <v>19200</v>
      </c>
      <c r="Z859" s="2426">
        <v>19200</v>
      </c>
      <c r="AA859" s="2426">
        <v>19200</v>
      </c>
      <c r="AB859" s="2673">
        <v>19200</v>
      </c>
      <c r="AC859" s="766"/>
      <c r="AD859" s="766"/>
      <c r="AE859" s="766"/>
      <c r="AF859" s="766"/>
      <c r="AG859" s="782"/>
      <c r="BB859" s="647"/>
      <c r="BC859" s="648"/>
      <c r="BD859" s="757"/>
    </row>
    <row r="860" spans="1:56" s="64" customFormat="1" outlineLevel="1" x14ac:dyDescent="0.25">
      <c r="A860" s="1393"/>
      <c r="B860" s="277"/>
      <c r="C860" s="385"/>
      <c r="D860" s="3676"/>
      <c r="E860" s="3589"/>
      <c r="F860" s="3671" t="str">
        <f>E797</f>
        <v>Ductless ASHP ER1 SF</v>
      </c>
      <c r="G860" s="3671"/>
      <c r="H860" s="3671"/>
      <c r="I860" s="3055"/>
      <c r="J860" s="3224">
        <v>15375</v>
      </c>
      <c r="K860" s="2672">
        <f>J860/12000</f>
        <v>1.28125</v>
      </c>
      <c r="L860" s="2718" t="s">
        <v>3674</v>
      </c>
      <c r="M860" s="1775"/>
      <c r="N860" s="3239" t="s">
        <v>3660</v>
      </c>
      <c r="O860" s="3240">
        <f>((P$872*P$854)+P$858)-((O873*P$854)/((1+P$876)^(P$877-1)))</f>
        <v>1231.1592671062349</v>
      </c>
      <c r="P860" s="3241"/>
      <c r="Q860" s="734" t="s">
        <v>3659</v>
      </c>
      <c r="R860" s="2135"/>
      <c r="S860" s="2137"/>
      <c r="T860" s="157"/>
      <c r="U860" s="157"/>
      <c r="V860" s="3676"/>
      <c r="W860" s="766">
        <v>20400</v>
      </c>
      <c r="X860" s="765">
        <f>1.5*12000</f>
        <v>18000</v>
      </c>
      <c r="Y860" s="766">
        <v>18000</v>
      </c>
      <c r="Z860" s="2426">
        <v>18000</v>
      </c>
      <c r="AA860" s="2426">
        <v>18000</v>
      </c>
      <c r="AB860" s="2673">
        <v>15375</v>
      </c>
      <c r="AC860" s="766"/>
      <c r="AD860" s="766"/>
      <c r="AE860" s="766"/>
      <c r="AF860" s="766"/>
      <c r="AG860" s="782"/>
      <c r="BB860" s="647"/>
      <c r="BC860" s="648"/>
      <c r="BD860" s="757"/>
    </row>
    <row r="861" spans="1:56" s="64" customFormat="1" outlineLevel="1" x14ac:dyDescent="0.25">
      <c r="A861" s="1393"/>
      <c r="B861" s="277"/>
      <c r="C861" s="1747"/>
      <c r="D861" s="3676"/>
      <c r="E861" s="3589"/>
      <c r="F861" s="3672" t="str">
        <f>E801</f>
        <v>Ductless AC - ER1 MF</v>
      </c>
      <c r="G861" s="3672"/>
      <c r="H861" s="3672"/>
      <c r="I861" s="3055"/>
      <c r="J861" s="2674">
        <f>J854</f>
        <v>0</v>
      </c>
      <c r="K861" s="2672">
        <f t="shared" ref="K861:K874" si="80">J861/12000</f>
        <v>0</v>
      </c>
      <c r="L861" s="3225" t="s">
        <v>1251</v>
      </c>
      <c r="M861" s="1775"/>
      <c r="N861" s="3239" t="s">
        <v>3661</v>
      </c>
      <c r="O861" s="3240">
        <f>((P$872*P$854)+P$858)-((O874*P$854)/((1+P$876)^(P$877-1)))</f>
        <v>2407.5</v>
      </c>
      <c r="P861" s="3241"/>
      <c r="Q861" s="734" t="s">
        <v>3659</v>
      </c>
      <c r="R861" s="2135"/>
      <c r="S861" s="2137"/>
      <c r="T861" s="157"/>
      <c r="U861" s="157"/>
      <c r="V861" s="3676"/>
      <c r="W861" s="766"/>
      <c r="X861" s="766"/>
      <c r="Y861" s="839">
        <v>0</v>
      </c>
      <c r="Z861" s="2425">
        <v>0</v>
      </c>
      <c r="AA861" s="2425">
        <v>0</v>
      </c>
      <c r="AB861" s="2674">
        <v>0</v>
      </c>
      <c r="AC861" s="766"/>
      <c r="AD861" s="766"/>
      <c r="AE861" s="766"/>
      <c r="AF861" s="766"/>
      <c r="AG861" s="782"/>
      <c r="BB861" s="647"/>
      <c r="BC861" s="648"/>
      <c r="BD861" s="757"/>
    </row>
    <row r="862" spans="1:56" s="64" customFormat="1" outlineLevel="1" x14ac:dyDescent="0.25">
      <c r="A862" s="1393"/>
      <c r="B862" s="277"/>
      <c r="C862" s="1747"/>
      <c r="D862" s="3676"/>
      <c r="E862" s="3589"/>
      <c r="F862" s="3672" t="str">
        <f>E805</f>
        <v>Ductless AC - ROF MF</v>
      </c>
      <c r="G862" s="3672"/>
      <c r="H862" s="3672"/>
      <c r="I862" s="3055"/>
      <c r="J862" s="2674">
        <f t="shared" ref="J862:J867" si="81">J855</f>
        <v>0</v>
      </c>
      <c r="K862" s="2672">
        <f t="shared" si="80"/>
        <v>0</v>
      </c>
      <c r="L862" s="2675" t="s">
        <v>1251</v>
      </c>
      <c r="M862" s="1775"/>
      <c r="N862" s="2520"/>
      <c r="O862" s="277"/>
      <c r="P862" s="2581"/>
      <c r="Q862" s="1646"/>
      <c r="R862" s="2135"/>
      <c r="S862" s="2137"/>
      <c r="T862" s="157"/>
      <c r="U862" s="157"/>
      <c r="V862" s="3676"/>
      <c r="W862" s="766"/>
      <c r="X862" s="766"/>
      <c r="Y862" s="839">
        <v>0</v>
      </c>
      <c r="Z862" s="2425">
        <v>0</v>
      </c>
      <c r="AA862" s="2425">
        <v>0</v>
      </c>
      <c r="AB862" s="2674">
        <v>0</v>
      </c>
      <c r="AC862" s="766"/>
      <c r="AD862" s="766"/>
      <c r="AE862" s="766"/>
      <c r="AF862" s="766"/>
      <c r="AG862" s="782"/>
      <c r="BB862" s="647"/>
      <c r="BC862" s="648"/>
      <c r="BD862" s="757"/>
    </row>
    <row r="863" spans="1:56" s="64" customFormat="1" outlineLevel="1" x14ac:dyDescent="0.25">
      <c r="A863" s="1393"/>
      <c r="B863" s="277"/>
      <c r="C863" s="1747"/>
      <c r="D863" s="3676"/>
      <c r="E863" s="3589"/>
      <c r="F863" s="3672" t="str">
        <f>E807</f>
        <v>Ductless ASHP - ROF MF NC</v>
      </c>
      <c r="G863" s="3672"/>
      <c r="H863" s="3672"/>
      <c r="I863" s="3055"/>
      <c r="J863" s="2674">
        <f t="shared" si="81"/>
        <v>18000</v>
      </c>
      <c r="K863" s="2672">
        <f t="shared" si="80"/>
        <v>1.5</v>
      </c>
      <c r="L863" s="2675"/>
      <c r="M863" s="1775"/>
      <c r="N863" s="157"/>
      <c r="O863" s="157"/>
      <c r="P863" s="157"/>
      <c r="Q863" s="928"/>
      <c r="R863" s="2135"/>
      <c r="S863" s="2137"/>
      <c r="T863" s="157"/>
      <c r="U863" s="157"/>
      <c r="V863" s="3676"/>
      <c r="W863" s="766"/>
      <c r="X863" s="766"/>
      <c r="Y863" s="839">
        <v>18000</v>
      </c>
      <c r="Z863" s="2425">
        <v>18000</v>
      </c>
      <c r="AA863" s="2425">
        <v>18000</v>
      </c>
      <c r="AB863" s="2674">
        <v>18000</v>
      </c>
      <c r="AC863" s="766"/>
      <c r="AD863" s="766"/>
      <c r="AE863" s="766"/>
      <c r="AF863" s="766"/>
      <c r="AG863" s="782"/>
      <c r="BB863" s="647"/>
      <c r="BC863" s="648"/>
      <c r="BD863" s="757"/>
    </row>
    <row r="864" spans="1:56" s="64" customFormat="1" outlineLevel="1" x14ac:dyDescent="0.25">
      <c r="A864" s="1393"/>
      <c r="B864" s="277"/>
      <c r="C864" s="1747"/>
      <c r="D864" s="3676"/>
      <c r="E864" s="3589"/>
      <c r="F864" s="3672" t="str">
        <f>E811</f>
        <v>Ductless ASHP - ROF MF</v>
      </c>
      <c r="G864" s="3672"/>
      <c r="H864" s="3672"/>
      <c r="I864" s="3055"/>
      <c r="J864" s="3224">
        <f t="shared" si="81"/>
        <v>18221.05263157895</v>
      </c>
      <c r="K864" s="2672">
        <f t="shared" si="80"/>
        <v>1.5184210526315791</v>
      </c>
      <c r="L864" s="2675" t="s">
        <v>1252</v>
      </c>
      <c r="M864" s="1775"/>
      <c r="N864" s="157"/>
      <c r="O864" s="157"/>
      <c r="P864" s="157"/>
      <c r="Q864" s="157"/>
      <c r="R864" s="2135"/>
      <c r="S864" s="2137"/>
      <c r="T864" s="157"/>
      <c r="U864" s="157"/>
      <c r="V864" s="3676"/>
      <c r="W864" s="766"/>
      <c r="X864" s="766"/>
      <c r="Y864" s="839">
        <v>18000</v>
      </c>
      <c r="Z864" s="2425">
        <v>18000</v>
      </c>
      <c r="AA864" s="2425">
        <v>18000</v>
      </c>
      <c r="AB864" s="2673">
        <v>18221.05263157895</v>
      </c>
      <c r="AC864" s="766"/>
      <c r="AD864" s="766"/>
      <c r="AE864" s="766"/>
      <c r="AF864" s="766"/>
      <c r="AG864" s="782"/>
      <c r="BB864" s="647"/>
      <c r="BC864" s="648"/>
      <c r="BD864" s="757"/>
    </row>
    <row r="865" spans="1:56" s="64" customFormat="1" outlineLevel="1" x14ac:dyDescent="0.25">
      <c r="A865" s="1393"/>
      <c r="B865" s="277"/>
      <c r="C865" s="1747"/>
      <c r="D865" s="3676"/>
      <c r="E865" s="3589"/>
      <c r="F865" s="3672" t="str">
        <f>E815</f>
        <v>Ductless ASHP Replace Electric Resistance ER1 MF</v>
      </c>
      <c r="G865" s="3672"/>
      <c r="H865" s="3672"/>
      <c r="I865" s="3055"/>
      <c r="J865" s="3224">
        <f t="shared" si="81"/>
        <v>18840</v>
      </c>
      <c r="K865" s="2672">
        <f t="shared" si="80"/>
        <v>1.57</v>
      </c>
      <c r="L865" s="2675" t="s">
        <v>1252</v>
      </c>
      <c r="M865" s="1775"/>
      <c r="N865" s="3483" t="s">
        <v>3662</v>
      </c>
      <c r="O865" s="3772"/>
      <c r="P865" s="3772"/>
      <c r="Q865" s="3484"/>
      <c r="R865" s="194"/>
      <c r="S865" s="2137"/>
      <c r="T865" s="157"/>
      <c r="U865" s="157"/>
      <c r="V865" s="3676"/>
      <c r="W865" s="766"/>
      <c r="X865" s="766"/>
      <c r="Y865" s="839">
        <v>18000</v>
      </c>
      <c r="Z865" s="2425">
        <v>18000</v>
      </c>
      <c r="AA865" s="2425">
        <v>18000</v>
      </c>
      <c r="AB865" s="2673">
        <v>18840</v>
      </c>
      <c r="AC865" s="766"/>
      <c r="AD865" s="766"/>
      <c r="AE865" s="766"/>
      <c r="AF865" s="766"/>
      <c r="AG865" s="782"/>
      <c r="BB865" s="647"/>
      <c r="BC865" s="648"/>
      <c r="BD865" s="757"/>
    </row>
    <row r="866" spans="1:56" s="64" customFormat="1" outlineLevel="1" x14ac:dyDescent="0.25">
      <c r="A866" s="1393"/>
      <c r="B866" s="277"/>
      <c r="C866" s="1747"/>
      <c r="D866" s="3676"/>
      <c r="E866" s="3589"/>
      <c r="F866" s="3672" t="str">
        <f>E823</f>
        <v>Ductless ASHP Replace Electric Resistance ROF MF</v>
      </c>
      <c r="G866" s="3672"/>
      <c r="H866" s="3672"/>
      <c r="I866" s="3055"/>
      <c r="J866" s="3224">
        <f t="shared" si="81"/>
        <v>19200</v>
      </c>
      <c r="K866" s="2672">
        <f t="shared" si="80"/>
        <v>1.6</v>
      </c>
      <c r="L866" s="2675" t="s">
        <v>1252</v>
      </c>
      <c r="M866" s="1775"/>
      <c r="N866" s="3091" t="s">
        <v>3663</v>
      </c>
      <c r="O866" s="3091"/>
      <c r="P866" s="3091" t="s">
        <v>3664</v>
      </c>
      <c r="Q866" s="3091" t="s">
        <v>624</v>
      </c>
      <c r="R866" s="194"/>
      <c r="S866" s="2137"/>
      <c r="T866" s="157"/>
      <c r="U866" s="157"/>
      <c r="V866" s="3676"/>
      <c r="W866" s="766"/>
      <c r="X866" s="766"/>
      <c r="Y866" s="839">
        <v>19200</v>
      </c>
      <c r="Z866" s="2425">
        <v>19200</v>
      </c>
      <c r="AA866" s="2425">
        <v>19200</v>
      </c>
      <c r="AB866" s="2673">
        <v>19200</v>
      </c>
      <c r="AC866" s="766"/>
      <c r="AD866" s="766"/>
      <c r="AE866" s="766"/>
      <c r="AF866" s="766"/>
      <c r="AG866" s="782"/>
      <c r="BB866" s="647"/>
      <c r="BC866" s="648"/>
      <c r="BD866" s="757"/>
    </row>
    <row r="867" spans="1:56" s="64" customFormat="1" ht="15" customHeight="1" outlineLevel="1" x14ac:dyDescent="0.25">
      <c r="A867" s="1393"/>
      <c r="B867" s="277"/>
      <c r="C867" s="1747"/>
      <c r="D867" s="3676"/>
      <c r="E867" s="3589"/>
      <c r="F867" s="3672" t="str">
        <f>E827</f>
        <v>Ductless ASHP ER1 MF</v>
      </c>
      <c r="G867" s="3672"/>
      <c r="H867" s="3672"/>
      <c r="I867" s="3055"/>
      <c r="J867" s="3224">
        <f t="shared" si="81"/>
        <v>15375</v>
      </c>
      <c r="K867" s="2672">
        <f t="shared" si="80"/>
        <v>1.28125</v>
      </c>
      <c r="L867" s="2675" t="s">
        <v>1252</v>
      </c>
      <c r="M867" s="1775"/>
      <c r="N867" s="3239" t="s">
        <v>3665</v>
      </c>
      <c r="O867" s="3240"/>
      <c r="P867" s="3241">
        <v>1605</v>
      </c>
      <c r="Q867" s="734" t="s">
        <v>3666</v>
      </c>
      <c r="R867" s="3054"/>
      <c r="S867" s="2137"/>
      <c r="T867" s="157"/>
      <c r="U867" s="157"/>
      <c r="V867" s="3676"/>
      <c r="W867" s="766"/>
      <c r="X867" s="766"/>
      <c r="Y867" s="839">
        <v>18000</v>
      </c>
      <c r="Z867" s="2425">
        <v>18000</v>
      </c>
      <c r="AA867" s="2425">
        <v>18000</v>
      </c>
      <c r="AB867" s="2673">
        <v>15375</v>
      </c>
      <c r="AC867" s="766"/>
      <c r="AD867" s="766"/>
      <c r="AE867" s="766"/>
      <c r="AF867" s="766"/>
      <c r="AG867" s="782"/>
      <c r="BB867" s="647"/>
      <c r="BC867" s="648"/>
      <c r="BD867" s="757"/>
    </row>
    <row r="868" spans="1:56" s="64" customFormat="1" outlineLevel="1" x14ac:dyDescent="0.25">
      <c r="A868" s="1393"/>
      <c r="B868" s="277"/>
      <c r="C868" s="1747"/>
      <c r="D868" s="3677"/>
      <c r="E868" s="3590"/>
      <c r="F868" s="3672" t="str">
        <f>E803</f>
        <v>Ductless AC - ER1 MF_CompE</v>
      </c>
      <c r="G868" s="3672"/>
      <c r="H868" s="3672"/>
      <c r="I868" s="3055"/>
      <c r="J868" s="2674">
        <f>J854</f>
        <v>0</v>
      </c>
      <c r="K868" s="2672">
        <f t="shared" si="80"/>
        <v>0</v>
      </c>
      <c r="L868" s="3225" t="s">
        <v>1251</v>
      </c>
      <c r="M868" s="1775"/>
      <c r="N868" s="3239" t="s">
        <v>3667</v>
      </c>
      <c r="O868" s="3240"/>
      <c r="P868" s="3241">
        <v>1715</v>
      </c>
      <c r="Q868" s="734" t="s">
        <v>3666</v>
      </c>
      <c r="R868" s="1737"/>
      <c r="S868" s="2137"/>
      <c r="T868" s="157"/>
      <c r="U868" s="157"/>
      <c r="V868" s="3677"/>
      <c r="W868" s="766"/>
      <c r="X868" s="766"/>
      <c r="Y868" s="839">
        <v>0</v>
      </c>
      <c r="Z868" s="2425">
        <v>0</v>
      </c>
      <c r="AA868" s="2425">
        <v>0</v>
      </c>
      <c r="AB868" s="2674">
        <v>0</v>
      </c>
      <c r="AC868" s="766"/>
      <c r="AD868" s="766"/>
      <c r="AE868" s="766"/>
      <c r="AF868" s="766"/>
      <c r="AG868" s="782"/>
      <c r="BB868" s="647"/>
      <c r="BC868" s="648"/>
      <c r="BD868" s="757"/>
    </row>
    <row r="869" spans="1:56" s="64" customFormat="1" outlineLevel="1" x14ac:dyDescent="0.25">
      <c r="A869" s="1393"/>
      <c r="B869" s="277"/>
      <c r="C869" s="1747"/>
      <c r="D869" s="3677"/>
      <c r="E869" s="3590"/>
      <c r="F869" s="3672" t="str">
        <f>E806</f>
        <v>Ductless AC - ROF MF_CompE</v>
      </c>
      <c r="G869" s="3672"/>
      <c r="H869" s="3672"/>
      <c r="I869" s="3055"/>
      <c r="J869" s="2674">
        <f t="shared" ref="J869:J874" si="82">J855</f>
        <v>0</v>
      </c>
      <c r="K869" s="2672">
        <f t="shared" si="80"/>
        <v>0</v>
      </c>
      <c r="L869" s="2675" t="s">
        <v>1251</v>
      </c>
      <c r="M869" s="1775"/>
      <c r="N869" s="157"/>
      <c r="O869" s="157"/>
      <c r="P869" s="157"/>
      <c r="Q869" s="157"/>
      <c r="R869" s="2148"/>
      <c r="S869" s="2137"/>
      <c r="T869" s="157"/>
      <c r="U869" s="157"/>
      <c r="V869" s="3677"/>
      <c r="W869" s="766"/>
      <c r="X869" s="766"/>
      <c r="Y869" s="839">
        <v>0</v>
      </c>
      <c r="Z869" s="2425">
        <v>0</v>
      </c>
      <c r="AA869" s="2425">
        <v>0</v>
      </c>
      <c r="AB869" s="2674">
        <v>0</v>
      </c>
      <c r="AC869" s="766"/>
      <c r="AD869" s="766"/>
      <c r="AE869" s="766"/>
      <c r="AF869" s="766"/>
      <c r="AG869" s="782"/>
      <c r="BB869" s="647"/>
      <c r="BC869" s="648"/>
      <c r="BD869" s="757"/>
    </row>
    <row r="870" spans="1:56" s="64" customFormat="1" outlineLevel="1" x14ac:dyDescent="0.25">
      <c r="A870" s="1393"/>
      <c r="B870" s="277"/>
      <c r="C870" s="1747"/>
      <c r="D870" s="3677"/>
      <c r="E870" s="3590"/>
      <c r="F870" s="3672" t="str">
        <f>E809</f>
        <v>Ductless ASHP - ROF MF NC_CompE</v>
      </c>
      <c r="G870" s="3672"/>
      <c r="H870" s="3672"/>
      <c r="I870" s="3055"/>
      <c r="J870" s="2674">
        <f t="shared" si="82"/>
        <v>18000</v>
      </c>
      <c r="K870" s="2672">
        <f t="shared" si="80"/>
        <v>1.5</v>
      </c>
      <c r="L870" s="2675"/>
      <c r="M870" s="1775"/>
      <c r="N870" s="3483" t="s">
        <v>3668</v>
      </c>
      <c r="O870" s="3772"/>
      <c r="P870" s="3772"/>
      <c r="Q870" s="3484"/>
      <c r="R870" s="2150"/>
      <c r="S870" s="2137"/>
      <c r="T870" s="157"/>
      <c r="U870" s="157"/>
      <c r="V870" s="3677"/>
      <c r="W870" s="766"/>
      <c r="X870" s="766"/>
      <c r="Y870" s="839">
        <v>18000</v>
      </c>
      <c r="Z870" s="2425">
        <v>18000</v>
      </c>
      <c r="AA870" s="2425">
        <v>18000</v>
      </c>
      <c r="AB870" s="2674">
        <v>18000</v>
      </c>
      <c r="AC870" s="766"/>
      <c r="AD870" s="766"/>
      <c r="AE870" s="766"/>
      <c r="AF870" s="766"/>
      <c r="AG870" s="782"/>
      <c r="BB870" s="647"/>
      <c r="BC870" s="648"/>
      <c r="BD870" s="757"/>
    </row>
    <row r="871" spans="1:56" s="64" customFormat="1" outlineLevel="1" x14ac:dyDescent="0.25">
      <c r="A871" s="1393"/>
      <c r="B871" s="277"/>
      <c r="C871" s="1747"/>
      <c r="D871" s="3677"/>
      <c r="E871" s="3590"/>
      <c r="F871" s="3672" t="str">
        <f>E813</f>
        <v>Ductless ASHP - ROF MF_CompE</v>
      </c>
      <c r="G871" s="3672"/>
      <c r="H871" s="3672"/>
      <c r="I871" s="3055"/>
      <c r="J871" s="3224">
        <f t="shared" si="82"/>
        <v>18221.05263157895</v>
      </c>
      <c r="K871" s="2672">
        <f t="shared" si="80"/>
        <v>1.5184210526315791</v>
      </c>
      <c r="L871" s="2675" t="s">
        <v>1252</v>
      </c>
      <c r="M871" s="1775"/>
      <c r="N871" s="3091"/>
      <c r="O871" s="3091" t="s">
        <v>3669</v>
      </c>
      <c r="P871" s="3091" t="s">
        <v>1184</v>
      </c>
      <c r="Q871" s="3091" t="s">
        <v>624</v>
      </c>
      <c r="R871" s="2150"/>
      <c r="S871" s="2137"/>
      <c r="T871" s="157"/>
      <c r="U871" s="157"/>
      <c r="V871" s="3677"/>
      <c r="W871" s="766"/>
      <c r="X871" s="766"/>
      <c r="Y871" s="839">
        <v>18000</v>
      </c>
      <c r="Z871" s="2425">
        <v>18000</v>
      </c>
      <c r="AA871" s="2425">
        <v>18000</v>
      </c>
      <c r="AB871" s="2673">
        <v>18221.05263157895</v>
      </c>
      <c r="AC871" s="766"/>
      <c r="AD871" s="766"/>
      <c r="AE871" s="766"/>
      <c r="AF871" s="766"/>
      <c r="AG871" s="782"/>
      <c r="BB871" s="647"/>
      <c r="BC871" s="648"/>
      <c r="BD871" s="757"/>
    </row>
    <row r="872" spans="1:56" s="64" customFormat="1" outlineLevel="1" x14ac:dyDescent="0.25">
      <c r="A872" s="1393"/>
      <c r="B872" s="277"/>
      <c r="C872" s="1747"/>
      <c r="D872" s="3677"/>
      <c r="E872" s="3590"/>
      <c r="F872" s="3672" t="str">
        <f>E819</f>
        <v>Ductless ASHP Replace Electric Resistance ER1 MF_CompE</v>
      </c>
      <c r="G872" s="3672"/>
      <c r="H872" s="3672"/>
      <c r="I872" s="3055"/>
      <c r="J872" s="3224">
        <f t="shared" si="82"/>
        <v>18840</v>
      </c>
      <c r="K872" s="2672">
        <f t="shared" si="80"/>
        <v>1.57</v>
      </c>
      <c r="L872" s="2675" t="s">
        <v>1252</v>
      </c>
      <c r="M872" s="1775"/>
      <c r="N872" s="3239" t="s">
        <v>1499</v>
      </c>
      <c r="O872" s="3241">
        <v>1518</v>
      </c>
      <c r="P872" s="3240">
        <v>1381</v>
      </c>
      <c r="Q872" s="734" t="s">
        <v>3666</v>
      </c>
      <c r="R872" s="194"/>
      <c r="S872" s="2137"/>
      <c r="T872" s="157"/>
      <c r="U872" s="157"/>
      <c r="V872" s="3677"/>
      <c r="W872" s="766"/>
      <c r="X872" s="766"/>
      <c r="Y872" s="839">
        <v>18000</v>
      </c>
      <c r="Z872" s="2425">
        <v>18000</v>
      </c>
      <c r="AA872" s="2425">
        <v>18000</v>
      </c>
      <c r="AB872" s="2673">
        <v>18840</v>
      </c>
      <c r="AC872" s="766"/>
      <c r="AD872" s="766"/>
      <c r="AE872" s="766"/>
      <c r="AF872" s="766"/>
      <c r="AG872" s="782"/>
      <c r="BB872" s="647"/>
      <c r="BC872" s="648"/>
      <c r="BD872" s="757"/>
    </row>
    <row r="873" spans="1:56" s="64" customFormat="1" outlineLevel="1" x14ac:dyDescent="0.25">
      <c r="A873" s="1393"/>
      <c r="B873" s="277"/>
      <c r="C873" s="1747"/>
      <c r="D873" s="3677"/>
      <c r="E873" s="3590"/>
      <c r="F873" s="3672" t="str">
        <f>E825</f>
        <v>Ductless ASHP Replace Electric Resistance ROF MF_CompE</v>
      </c>
      <c r="G873" s="3672"/>
      <c r="H873" s="3672"/>
      <c r="I873" s="3055"/>
      <c r="J873" s="3224">
        <f t="shared" si="82"/>
        <v>19200</v>
      </c>
      <c r="K873" s="2672">
        <f t="shared" si="80"/>
        <v>1.6</v>
      </c>
      <c r="L873" s="2675" t="s">
        <v>1252</v>
      </c>
      <c r="M873" s="1775"/>
      <c r="N873" s="3239" t="s">
        <v>1167</v>
      </c>
      <c r="O873" s="3241">
        <v>1047</v>
      </c>
      <c r="P873" s="3242" t="s">
        <v>859</v>
      </c>
      <c r="Q873" s="734" t="s">
        <v>3670</v>
      </c>
      <c r="R873" s="194"/>
      <c r="S873" s="2137"/>
      <c r="T873" s="157"/>
      <c r="U873" s="157"/>
      <c r="V873" s="3677"/>
      <c r="W873" s="766"/>
      <c r="X873" s="766"/>
      <c r="Y873" s="839">
        <v>19200</v>
      </c>
      <c r="Z873" s="2425">
        <v>19200</v>
      </c>
      <c r="AA873" s="2425">
        <v>19200</v>
      </c>
      <c r="AB873" s="2673">
        <v>19200</v>
      </c>
      <c r="AC873" s="766"/>
      <c r="AD873" s="766"/>
      <c r="AE873" s="766"/>
      <c r="AF873" s="766"/>
      <c r="AG873" s="782"/>
      <c r="BB873" s="647"/>
      <c r="BC873" s="648"/>
      <c r="BD873" s="757"/>
    </row>
    <row r="874" spans="1:56" s="64" customFormat="1" ht="15.75" outlineLevel="1" thickBot="1" x14ac:dyDescent="0.3">
      <c r="A874" s="1393"/>
      <c r="B874" s="277"/>
      <c r="C874" s="1747"/>
      <c r="D874" s="3678"/>
      <c r="E874" s="3591"/>
      <c r="F874" s="3672" t="str">
        <f>E831</f>
        <v>Ductless ASHP ER1 MF_CompE</v>
      </c>
      <c r="G874" s="3672"/>
      <c r="H874" s="3672"/>
      <c r="I874" s="3060"/>
      <c r="J874" s="3224">
        <f t="shared" si="82"/>
        <v>15375</v>
      </c>
      <c r="K874" s="2672">
        <f t="shared" si="80"/>
        <v>1.28125</v>
      </c>
      <c r="L874" s="2675" t="s">
        <v>1252</v>
      </c>
      <c r="M874" s="1775"/>
      <c r="N874" s="3239" t="s">
        <v>3671</v>
      </c>
      <c r="O874" s="3241">
        <v>0</v>
      </c>
      <c r="P874" s="3242" t="s">
        <v>859</v>
      </c>
      <c r="Q874" s="734" t="s">
        <v>3670</v>
      </c>
      <c r="R874" s="194"/>
      <c r="S874" s="277"/>
      <c r="T874" s="157"/>
      <c r="U874" s="157"/>
      <c r="V874" s="3678"/>
      <c r="W874" s="766"/>
      <c r="X874" s="766"/>
      <c r="Y874" s="839">
        <v>18000</v>
      </c>
      <c r="Z874" s="2425">
        <v>18000</v>
      </c>
      <c r="AA874" s="2425">
        <v>18000</v>
      </c>
      <c r="AB874" s="2673">
        <v>15375</v>
      </c>
      <c r="AC874" s="792"/>
      <c r="AD874" s="792"/>
      <c r="AE874" s="792"/>
      <c r="AF874" s="792"/>
      <c r="AG874" s="840"/>
      <c r="BB874" s="647"/>
      <c r="BC874" s="648"/>
      <c r="BD874" s="757"/>
    </row>
    <row r="875" spans="1:56" s="64" customFormat="1" outlineLevel="1" x14ac:dyDescent="0.25">
      <c r="A875" s="1393"/>
      <c r="B875" s="277"/>
      <c r="C875" s="385"/>
      <c r="D875" s="3638" t="s">
        <v>496</v>
      </c>
      <c r="E875" s="3588" t="s">
        <v>1253</v>
      </c>
      <c r="F875" s="3679" t="str">
        <f t="shared" ref="F875:F938" si="83">F854</f>
        <v>Ductless AC - ER1 SF</v>
      </c>
      <c r="G875" s="3679"/>
      <c r="H875" s="3679"/>
      <c r="I875" s="1426"/>
      <c r="J875" s="841">
        <v>0</v>
      </c>
      <c r="K875" s="833"/>
      <c r="L875" s="3691" t="s">
        <v>889</v>
      </c>
      <c r="M875" s="1775"/>
      <c r="N875" s="3239" t="s">
        <v>1116</v>
      </c>
      <c r="O875" s="3243"/>
      <c r="P875" s="735">
        <f>$Q$103</f>
        <v>0.02</v>
      </c>
      <c r="Q875" s="734" t="s">
        <v>1501</v>
      </c>
      <c r="R875" s="194"/>
      <c r="S875" s="277"/>
      <c r="T875" s="157"/>
      <c r="U875" s="157"/>
      <c r="V875" s="3638" t="s">
        <v>496</v>
      </c>
      <c r="W875" s="760">
        <v>0</v>
      </c>
      <c r="X875" s="760">
        <v>0</v>
      </c>
      <c r="Y875" s="841">
        <v>0</v>
      </c>
      <c r="Z875" s="841">
        <v>0</v>
      </c>
      <c r="AA875" s="841">
        <v>0</v>
      </c>
      <c r="AB875" s="841">
        <v>0</v>
      </c>
      <c r="AC875" s="760"/>
      <c r="AD875" s="760"/>
      <c r="AE875" s="760"/>
      <c r="AF875" s="760"/>
      <c r="AG875" s="835"/>
      <c r="BB875" s="647"/>
      <c r="BC875" s="648"/>
      <c r="BD875" s="757"/>
    </row>
    <row r="876" spans="1:56" s="64" customFormat="1" outlineLevel="1" x14ac:dyDescent="0.25">
      <c r="A876" s="1393"/>
      <c r="B876" s="277"/>
      <c r="C876" s="385"/>
      <c r="D876" s="3676"/>
      <c r="E876" s="3589"/>
      <c r="F876" s="3671" t="str">
        <f t="shared" si="83"/>
        <v>Ductless AC - ROF SF</v>
      </c>
      <c r="G876" s="3671"/>
      <c r="H876" s="3671"/>
      <c r="I876" s="1425"/>
      <c r="J876" s="842">
        <v>0</v>
      </c>
      <c r="K876" s="836"/>
      <c r="L876" s="3795"/>
      <c r="M876" s="1775"/>
      <c r="N876" s="3244" t="s">
        <v>1117</v>
      </c>
      <c r="O876" s="3244"/>
      <c r="P876" s="735">
        <f>$Q$104</f>
        <v>5.9499999999999997E-2</v>
      </c>
      <c r="Q876" s="734" t="s">
        <v>1501</v>
      </c>
      <c r="R876" s="277"/>
      <c r="S876" s="277"/>
      <c r="T876" s="157"/>
      <c r="U876" s="157"/>
      <c r="V876" s="3676"/>
      <c r="W876" s="766">
        <v>0</v>
      </c>
      <c r="X876" s="766">
        <v>0</v>
      </c>
      <c r="Y876" s="842">
        <v>0</v>
      </c>
      <c r="Z876" s="842">
        <v>0</v>
      </c>
      <c r="AA876" s="842">
        <v>0</v>
      </c>
      <c r="AB876" s="842">
        <v>0</v>
      </c>
      <c r="AC876" s="766"/>
      <c r="AD876" s="766"/>
      <c r="AE876" s="766"/>
      <c r="AF876" s="766"/>
      <c r="AG876" s="782"/>
      <c r="BB876" s="647"/>
      <c r="BC876" s="648"/>
      <c r="BD876" s="757"/>
    </row>
    <row r="877" spans="1:56" s="64" customFormat="1" outlineLevel="1" x14ac:dyDescent="0.25">
      <c r="A877" s="1393"/>
      <c r="B877" s="277"/>
      <c r="C877" s="385"/>
      <c r="D877" s="3676"/>
      <c r="E877" s="3589"/>
      <c r="F877" s="3671" t="str">
        <f t="shared" si="83"/>
        <v>Ductless ASHP - ROF SF NC</v>
      </c>
      <c r="G877" s="3671"/>
      <c r="H877" s="3671"/>
      <c r="I877" s="1425"/>
      <c r="J877" s="842">
        <v>1034</v>
      </c>
      <c r="K877" s="836"/>
      <c r="L877" s="3795"/>
      <c r="M877" s="1775"/>
      <c r="N877" s="1670" t="s">
        <v>1118</v>
      </c>
      <c r="O877" s="1670"/>
      <c r="P877" s="3245">
        <f>J$118</f>
        <v>6</v>
      </c>
      <c r="Q877" s="734" t="s">
        <v>1502</v>
      </c>
      <c r="R877" s="277"/>
      <c r="S877" s="277"/>
      <c r="T877" s="157"/>
      <c r="U877" s="157"/>
      <c r="V877" s="3676"/>
      <c r="W877" s="766">
        <v>1496</v>
      </c>
      <c r="X877" s="766">
        <v>1496</v>
      </c>
      <c r="Y877" s="843">
        <v>1034</v>
      </c>
      <c r="Z877" s="842">
        <v>1034</v>
      </c>
      <c r="AA877" s="842">
        <v>1034</v>
      </c>
      <c r="AB877" s="842">
        <v>1034</v>
      </c>
      <c r="AC877" s="766"/>
      <c r="AD877" s="766"/>
      <c r="AE877" s="766"/>
      <c r="AF877" s="766"/>
      <c r="AG877" s="782"/>
      <c r="BB877" s="647"/>
      <c r="BC877" s="648"/>
      <c r="BD877" s="757"/>
    </row>
    <row r="878" spans="1:56" s="64" customFormat="1" outlineLevel="1" x14ac:dyDescent="0.25">
      <c r="A878" s="1393"/>
      <c r="B878" s="277"/>
      <c r="C878" s="385"/>
      <c r="D878" s="3676"/>
      <c r="E878" s="3589"/>
      <c r="F878" s="3671" t="str">
        <f t="shared" si="83"/>
        <v>Ductless ASHP - ROF SF</v>
      </c>
      <c r="G878" s="3671"/>
      <c r="H878" s="3671"/>
      <c r="I878" s="1425"/>
      <c r="J878" s="842">
        <v>1034</v>
      </c>
      <c r="K878" s="836"/>
      <c r="L878" s="3795"/>
      <c r="M878" s="1775"/>
      <c r="N878" s="2663"/>
      <c r="O878" s="277"/>
      <c r="P878" s="277"/>
      <c r="Q878" s="277"/>
      <c r="R878" s="277"/>
      <c r="S878" s="277"/>
      <c r="T878" s="157"/>
      <c r="U878" s="157"/>
      <c r="V878" s="3676"/>
      <c r="W878" s="766">
        <v>1496</v>
      </c>
      <c r="X878" s="766">
        <v>1496</v>
      </c>
      <c r="Y878" s="843">
        <v>1034</v>
      </c>
      <c r="Z878" s="842">
        <v>1034</v>
      </c>
      <c r="AA878" s="842">
        <v>1034</v>
      </c>
      <c r="AB878" s="842">
        <v>1034</v>
      </c>
      <c r="AC878" s="766"/>
      <c r="AD878" s="766"/>
      <c r="AE878" s="766"/>
      <c r="AF878" s="766"/>
      <c r="AG878" s="782"/>
      <c r="BB878" s="647"/>
      <c r="BC878" s="648"/>
      <c r="BD878" s="757"/>
    </row>
    <row r="879" spans="1:56" s="64" customFormat="1" outlineLevel="1" x14ac:dyDescent="0.25">
      <c r="A879" s="1393"/>
      <c r="B879" s="277"/>
      <c r="C879" s="385"/>
      <c r="D879" s="3676"/>
      <c r="E879" s="3589"/>
      <c r="F879" s="3671" t="str">
        <f t="shared" si="83"/>
        <v>Ductless ASHP Replace Electric Resistance ER1 SF</v>
      </c>
      <c r="G879" s="3671"/>
      <c r="H879" s="3671"/>
      <c r="I879" s="1425"/>
      <c r="J879" s="842">
        <v>1034</v>
      </c>
      <c r="K879" s="836"/>
      <c r="L879" s="3795"/>
      <c r="M879" s="1775"/>
      <c r="N879" s="1759"/>
      <c r="O879" s="277"/>
      <c r="P879" s="277"/>
      <c r="Q879" s="277"/>
      <c r="R879" s="277"/>
      <c r="S879" s="277"/>
      <c r="T879" s="157"/>
      <c r="U879" s="157"/>
      <c r="V879" s="3676"/>
      <c r="W879" s="766">
        <v>1496</v>
      </c>
      <c r="X879" s="766">
        <v>1496</v>
      </c>
      <c r="Y879" s="843">
        <v>1034</v>
      </c>
      <c r="Z879" s="842">
        <v>1034</v>
      </c>
      <c r="AA879" s="842">
        <v>1034</v>
      </c>
      <c r="AB879" s="842">
        <v>1034</v>
      </c>
      <c r="AC879" s="766"/>
      <c r="AD879" s="766"/>
      <c r="AE879" s="766"/>
      <c r="AF879" s="766"/>
      <c r="AG879" s="782"/>
      <c r="BB879" s="647"/>
      <c r="BC879" s="648"/>
      <c r="BD879" s="757"/>
    </row>
    <row r="880" spans="1:56" s="64" customFormat="1" outlineLevel="1" x14ac:dyDescent="0.25">
      <c r="A880" s="1393"/>
      <c r="B880" s="277"/>
      <c r="C880" s="385"/>
      <c r="D880" s="3676"/>
      <c r="E880" s="3589"/>
      <c r="F880" s="3671" t="str">
        <f t="shared" si="83"/>
        <v>Ductless ASHP Replace Electric Resistance ROF SF</v>
      </c>
      <c r="G880" s="3671"/>
      <c r="H880" s="3671"/>
      <c r="I880" s="1425"/>
      <c r="J880" s="842">
        <v>1034</v>
      </c>
      <c r="K880" s="836"/>
      <c r="L880" s="3795"/>
      <c r="M880" s="1775"/>
      <c r="N880" s="1759"/>
      <c r="O880" s="277"/>
      <c r="P880" s="277"/>
      <c r="Q880" s="277"/>
      <c r="R880" s="277"/>
      <c r="S880" s="277"/>
      <c r="T880" s="157"/>
      <c r="U880" s="157"/>
      <c r="V880" s="3676"/>
      <c r="W880" s="766">
        <v>1496</v>
      </c>
      <c r="X880" s="766">
        <v>1496</v>
      </c>
      <c r="Y880" s="843">
        <v>1034</v>
      </c>
      <c r="Z880" s="842">
        <v>1034</v>
      </c>
      <c r="AA880" s="842">
        <v>1034</v>
      </c>
      <c r="AB880" s="842">
        <v>1034</v>
      </c>
      <c r="AC880" s="766"/>
      <c r="AD880" s="766"/>
      <c r="AE880" s="766"/>
      <c r="AF880" s="766"/>
      <c r="AG880" s="782"/>
      <c r="BB880" s="647"/>
      <c r="BC880" s="648"/>
      <c r="BD880" s="757"/>
    </row>
    <row r="881" spans="1:56" s="64" customFormat="1" outlineLevel="1" x14ac:dyDescent="0.25">
      <c r="A881" s="1393"/>
      <c r="B881" s="277"/>
      <c r="C881" s="385"/>
      <c r="D881" s="3676"/>
      <c r="E881" s="3589"/>
      <c r="F881" s="3671" t="str">
        <f t="shared" si="83"/>
        <v>Ductless ASHP ER1 SF</v>
      </c>
      <c r="G881" s="3671"/>
      <c r="H881" s="3671"/>
      <c r="I881" s="1425"/>
      <c r="J881" s="842">
        <v>1034</v>
      </c>
      <c r="K881" s="836"/>
      <c r="L881" s="3795"/>
      <c r="M881" s="1775"/>
      <c r="N881" s="1759"/>
      <c r="O881" s="277"/>
      <c r="P881" s="277"/>
      <c r="Q881" s="277"/>
      <c r="R881" s="277"/>
      <c r="S881" s="277"/>
      <c r="T881" s="157"/>
      <c r="U881" s="157"/>
      <c r="V881" s="3676"/>
      <c r="W881" s="766">
        <v>1496</v>
      </c>
      <c r="X881" s="766">
        <v>1496</v>
      </c>
      <c r="Y881" s="843">
        <v>1034</v>
      </c>
      <c r="Z881" s="842">
        <v>1034</v>
      </c>
      <c r="AA881" s="842">
        <v>1034</v>
      </c>
      <c r="AB881" s="842">
        <v>1034</v>
      </c>
      <c r="AC881" s="766"/>
      <c r="AD881" s="766"/>
      <c r="AE881" s="766"/>
      <c r="AF881" s="766"/>
      <c r="AG881" s="782"/>
      <c r="BB881" s="647"/>
      <c r="BC881" s="648"/>
      <c r="BD881" s="757"/>
    </row>
    <row r="882" spans="1:56" s="64" customFormat="1" outlineLevel="1" x14ac:dyDescent="0.25">
      <c r="A882" s="1393"/>
      <c r="B882" s="277"/>
      <c r="C882" s="385"/>
      <c r="D882" s="3676"/>
      <c r="E882" s="3589"/>
      <c r="F882" s="3671" t="str">
        <f t="shared" si="83"/>
        <v>Ductless AC - ER1 MF</v>
      </c>
      <c r="G882" s="3671"/>
      <c r="H882" s="3671"/>
      <c r="I882" s="1425"/>
      <c r="J882" s="842">
        <v>0</v>
      </c>
      <c r="K882" s="836"/>
      <c r="L882" s="3795"/>
      <c r="M882" s="1775"/>
      <c r="N882" s="1759"/>
      <c r="O882" s="277"/>
      <c r="P882" s="277"/>
      <c r="Q882" s="277"/>
      <c r="R882" s="277"/>
      <c r="S882" s="277"/>
      <c r="T882" s="157"/>
      <c r="U882" s="157"/>
      <c r="V882" s="3676"/>
      <c r="W882" s="766"/>
      <c r="X882" s="766"/>
      <c r="Y882" s="843">
        <v>0</v>
      </c>
      <c r="Z882" s="842">
        <v>0</v>
      </c>
      <c r="AA882" s="842">
        <v>0</v>
      </c>
      <c r="AB882" s="842">
        <v>0</v>
      </c>
      <c r="AC882" s="766"/>
      <c r="AD882" s="766"/>
      <c r="AE882" s="766"/>
      <c r="AF882" s="766"/>
      <c r="AG882" s="782"/>
      <c r="BB882" s="647"/>
      <c r="BC882" s="648"/>
      <c r="BD882" s="757"/>
    </row>
    <row r="883" spans="1:56" s="64" customFormat="1" outlineLevel="1" x14ac:dyDescent="0.25">
      <c r="A883" s="1393"/>
      <c r="B883" s="277"/>
      <c r="C883" s="385"/>
      <c r="D883" s="3676"/>
      <c r="E883" s="3589"/>
      <c r="F883" s="3671" t="str">
        <f t="shared" si="83"/>
        <v>Ductless AC - ROF MF</v>
      </c>
      <c r="G883" s="3671"/>
      <c r="H883" s="3671"/>
      <c r="I883" s="1425"/>
      <c r="J883" s="842">
        <v>0</v>
      </c>
      <c r="K883" s="836"/>
      <c r="L883" s="3795"/>
      <c r="M883" s="1775"/>
      <c r="N883" s="1759"/>
      <c r="O883" s="277"/>
      <c r="P883" s="277"/>
      <c r="Q883" s="277"/>
      <c r="R883" s="277"/>
      <c r="S883" s="277"/>
      <c r="T883" s="157"/>
      <c r="U883" s="157"/>
      <c r="V883" s="3676"/>
      <c r="W883" s="766"/>
      <c r="X883" s="766"/>
      <c r="Y883" s="843">
        <v>0</v>
      </c>
      <c r="Z883" s="842">
        <v>0</v>
      </c>
      <c r="AA883" s="842">
        <v>0</v>
      </c>
      <c r="AB883" s="842">
        <v>0</v>
      </c>
      <c r="AC883" s="766"/>
      <c r="AD883" s="766"/>
      <c r="AE883" s="766"/>
      <c r="AF883" s="766"/>
      <c r="AG883" s="782"/>
      <c r="BB883" s="647"/>
      <c r="BC883" s="648"/>
      <c r="BD883" s="757"/>
    </row>
    <row r="884" spans="1:56" s="64" customFormat="1" outlineLevel="1" x14ac:dyDescent="0.25">
      <c r="A884" s="1393"/>
      <c r="B884" s="277"/>
      <c r="C884" s="385"/>
      <c r="D884" s="3676"/>
      <c r="E884" s="3589"/>
      <c r="F884" s="3671" t="str">
        <f t="shared" si="83"/>
        <v>Ductless ASHP - ROF MF NC</v>
      </c>
      <c r="G884" s="3671"/>
      <c r="H884" s="3671"/>
      <c r="I884" s="1425"/>
      <c r="J884" s="842">
        <v>1034</v>
      </c>
      <c r="K884" s="836"/>
      <c r="L884" s="3795"/>
      <c r="M884" s="1775"/>
      <c r="N884" s="1759"/>
      <c r="O884" s="277"/>
      <c r="P884" s="277"/>
      <c r="Q884" s="277"/>
      <c r="R884" s="277"/>
      <c r="S884" s="277"/>
      <c r="T884" s="157"/>
      <c r="U884" s="157"/>
      <c r="V884" s="3676"/>
      <c r="W884" s="766"/>
      <c r="X884" s="766"/>
      <c r="Y884" s="843">
        <v>1034</v>
      </c>
      <c r="Z884" s="842">
        <v>1034</v>
      </c>
      <c r="AA884" s="842">
        <v>1034</v>
      </c>
      <c r="AB884" s="842">
        <v>1034</v>
      </c>
      <c r="AC884" s="766"/>
      <c r="AD884" s="766"/>
      <c r="AE884" s="766"/>
      <c r="AF884" s="766"/>
      <c r="AG884" s="782"/>
      <c r="BB884" s="647"/>
      <c r="BC884" s="648"/>
      <c r="BD884" s="757"/>
    </row>
    <row r="885" spans="1:56" s="64" customFormat="1" outlineLevel="1" x14ac:dyDescent="0.25">
      <c r="A885" s="1393"/>
      <c r="B885" s="277"/>
      <c r="C885" s="385"/>
      <c r="D885" s="3676"/>
      <c r="E885" s="3589"/>
      <c r="F885" s="3671" t="str">
        <f t="shared" si="83"/>
        <v>Ductless ASHP - ROF MF</v>
      </c>
      <c r="G885" s="3671"/>
      <c r="H885" s="3671"/>
      <c r="I885" s="1425"/>
      <c r="J885" s="842">
        <v>1034</v>
      </c>
      <c r="K885" s="836"/>
      <c r="L885" s="3795"/>
      <c r="M885" s="1775"/>
      <c r="N885" s="1759"/>
      <c r="O885" s="277"/>
      <c r="P885" s="277"/>
      <c r="Q885" s="277"/>
      <c r="R885" s="277"/>
      <c r="S885" s="277"/>
      <c r="T885" s="157"/>
      <c r="U885" s="157"/>
      <c r="V885" s="3676"/>
      <c r="W885" s="766"/>
      <c r="X885" s="766"/>
      <c r="Y885" s="843">
        <v>1034</v>
      </c>
      <c r="Z885" s="842">
        <v>1034</v>
      </c>
      <c r="AA885" s="842">
        <v>1034</v>
      </c>
      <c r="AB885" s="842">
        <v>1034</v>
      </c>
      <c r="AC885" s="766"/>
      <c r="AD885" s="766"/>
      <c r="AE885" s="766"/>
      <c r="AF885" s="766"/>
      <c r="AG885" s="782"/>
      <c r="BB885" s="647"/>
      <c r="BC885" s="648"/>
      <c r="BD885" s="757"/>
    </row>
    <row r="886" spans="1:56" s="64" customFormat="1" outlineLevel="1" x14ac:dyDescent="0.25">
      <c r="A886" s="1393"/>
      <c r="B886" s="277"/>
      <c r="C886" s="385"/>
      <c r="D886" s="3676"/>
      <c r="E886" s="3589"/>
      <c r="F886" s="3671" t="str">
        <f t="shared" si="83"/>
        <v>Ductless ASHP Replace Electric Resistance ER1 MF</v>
      </c>
      <c r="G886" s="3671"/>
      <c r="H886" s="3671"/>
      <c r="I886" s="1425"/>
      <c r="J886" s="842">
        <v>1034</v>
      </c>
      <c r="K886" s="836"/>
      <c r="L886" s="3795"/>
      <c r="M886" s="1775"/>
      <c r="N886" s="1759"/>
      <c r="O886" s="277"/>
      <c r="P886" s="277"/>
      <c r="Q886" s="277"/>
      <c r="R886" s="277"/>
      <c r="S886" s="277"/>
      <c r="T886" s="157"/>
      <c r="U886" s="157"/>
      <c r="V886" s="3676"/>
      <c r="W886" s="766"/>
      <c r="X886" s="766"/>
      <c r="Y886" s="843">
        <v>1034</v>
      </c>
      <c r="Z886" s="842">
        <v>1034</v>
      </c>
      <c r="AA886" s="842">
        <v>1034</v>
      </c>
      <c r="AB886" s="842">
        <v>1034</v>
      </c>
      <c r="AC886" s="766"/>
      <c r="AD886" s="766"/>
      <c r="AE886" s="766"/>
      <c r="AF886" s="766"/>
      <c r="AG886" s="782"/>
      <c r="BB886" s="647"/>
      <c r="BC886" s="648"/>
      <c r="BD886" s="757"/>
    </row>
    <row r="887" spans="1:56" s="64" customFormat="1" outlineLevel="1" x14ac:dyDescent="0.25">
      <c r="A887" s="1393"/>
      <c r="B887" s="277"/>
      <c r="C887" s="385"/>
      <c r="D887" s="3676"/>
      <c r="E887" s="3589"/>
      <c r="F887" s="3671" t="str">
        <f t="shared" si="83"/>
        <v>Ductless ASHP Replace Electric Resistance ROF MF</v>
      </c>
      <c r="G887" s="3671"/>
      <c r="H887" s="3671"/>
      <c r="I887" s="1425"/>
      <c r="J887" s="842">
        <v>1034</v>
      </c>
      <c r="K887" s="836"/>
      <c r="L887" s="3795"/>
      <c r="M887" s="1775"/>
      <c r="N887" s="1759"/>
      <c r="O887" s="277"/>
      <c r="P887" s="277"/>
      <c r="Q887" s="277"/>
      <c r="R887" s="277"/>
      <c r="S887" s="277"/>
      <c r="T887" s="157"/>
      <c r="U887" s="157"/>
      <c r="V887" s="3676"/>
      <c r="W887" s="766"/>
      <c r="X887" s="766"/>
      <c r="Y887" s="843">
        <v>1034</v>
      </c>
      <c r="Z887" s="842">
        <v>1034</v>
      </c>
      <c r="AA887" s="842">
        <v>1034</v>
      </c>
      <c r="AB887" s="842">
        <v>1034</v>
      </c>
      <c r="AC887" s="766"/>
      <c r="AD887" s="766"/>
      <c r="AE887" s="766"/>
      <c r="AF887" s="766"/>
      <c r="AG887" s="782"/>
      <c r="BB887" s="647"/>
      <c r="BC887" s="648"/>
      <c r="BD887" s="757"/>
    </row>
    <row r="888" spans="1:56" s="64" customFormat="1" outlineLevel="1" x14ac:dyDescent="0.25">
      <c r="A888" s="1393"/>
      <c r="B888" s="277"/>
      <c r="C888" s="385"/>
      <c r="D888" s="3676"/>
      <c r="E888" s="3589"/>
      <c r="F888" s="3671" t="str">
        <f t="shared" si="83"/>
        <v>Ductless ASHP ER1 MF</v>
      </c>
      <c r="G888" s="3671"/>
      <c r="H888" s="3671"/>
      <c r="I888" s="1425"/>
      <c r="J888" s="842">
        <v>1034</v>
      </c>
      <c r="K888" s="836"/>
      <c r="L888" s="3795"/>
      <c r="M888" s="1775"/>
      <c r="N888" s="1759"/>
      <c r="O888" s="277"/>
      <c r="P888" s="277"/>
      <c r="Q888" s="277"/>
      <c r="R888" s="277"/>
      <c r="S888" s="277"/>
      <c r="T888" s="157"/>
      <c r="U888" s="157"/>
      <c r="V888" s="3676"/>
      <c r="W888" s="766"/>
      <c r="X888" s="766"/>
      <c r="Y888" s="843">
        <v>1034</v>
      </c>
      <c r="Z888" s="842">
        <v>1034</v>
      </c>
      <c r="AA888" s="842">
        <v>1034</v>
      </c>
      <c r="AB888" s="842">
        <v>1034</v>
      </c>
      <c r="AC888" s="766"/>
      <c r="AD888" s="766"/>
      <c r="AE888" s="766"/>
      <c r="AF888" s="766"/>
      <c r="AG888" s="782"/>
      <c r="BB888" s="647"/>
      <c r="BC888" s="648"/>
      <c r="BD888" s="757"/>
    </row>
    <row r="889" spans="1:56" s="64" customFormat="1" outlineLevel="1" x14ac:dyDescent="0.25">
      <c r="A889" s="1393"/>
      <c r="B889" s="277"/>
      <c r="C889" s="385"/>
      <c r="D889" s="3677"/>
      <c r="E889" s="3590"/>
      <c r="F889" s="3671" t="str">
        <f t="shared" si="83"/>
        <v>Ductless AC - ER1 MF_CompE</v>
      </c>
      <c r="G889" s="3671"/>
      <c r="H889" s="3671"/>
      <c r="I889" s="1425"/>
      <c r="J889" s="1777">
        <v>0</v>
      </c>
      <c r="K889" s="836"/>
      <c r="L889" s="3795"/>
      <c r="M889" s="1775"/>
      <c r="N889" s="1759"/>
      <c r="O889" s="277"/>
      <c r="P889" s="277"/>
      <c r="Q889" s="277"/>
      <c r="R889" s="277"/>
      <c r="S889" s="277"/>
      <c r="T889" s="157"/>
      <c r="U889" s="157"/>
      <c r="V889" s="3677"/>
      <c r="W889" s="766"/>
      <c r="X889" s="766"/>
      <c r="Y889" s="844">
        <v>0</v>
      </c>
      <c r="Z889" s="1777">
        <v>0</v>
      </c>
      <c r="AA889" s="1777">
        <v>0</v>
      </c>
      <c r="AB889" s="1777">
        <v>0</v>
      </c>
      <c r="AC889" s="766"/>
      <c r="AD889" s="766"/>
      <c r="AE889" s="766"/>
      <c r="AF889" s="766"/>
      <c r="AG889" s="782"/>
      <c r="BB889" s="647"/>
      <c r="BC889" s="648"/>
      <c r="BD889" s="757"/>
    </row>
    <row r="890" spans="1:56" s="64" customFormat="1" outlineLevel="1" x14ac:dyDescent="0.25">
      <c r="A890" s="1393"/>
      <c r="B890" s="277"/>
      <c r="C890" s="385"/>
      <c r="D890" s="3677"/>
      <c r="E890" s="3590"/>
      <c r="F890" s="3671" t="str">
        <f t="shared" si="83"/>
        <v>Ductless AC - ROF MF_CompE</v>
      </c>
      <c r="G890" s="3671"/>
      <c r="H890" s="3671"/>
      <c r="I890" s="1425"/>
      <c r="J890" s="1777">
        <v>0</v>
      </c>
      <c r="K890" s="836"/>
      <c r="L890" s="3795"/>
      <c r="M890" s="1775"/>
      <c r="N890" s="1759"/>
      <c r="O890" s="277"/>
      <c r="P890" s="277"/>
      <c r="Q890" s="277"/>
      <c r="R890" s="277"/>
      <c r="S890" s="277"/>
      <c r="T890" s="157"/>
      <c r="U890" s="157"/>
      <c r="V890" s="3677"/>
      <c r="W890" s="766"/>
      <c r="X890" s="766"/>
      <c r="Y890" s="844">
        <v>0</v>
      </c>
      <c r="Z890" s="1777">
        <v>0</v>
      </c>
      <c r="AA890" s="1777">
        <v>0</v>
      </c>
      <c r="AB890" s="1777">
        <v>0</v>
      </c>
      <c r="AC890" s="766"/>
      <c r="AD890" s="766"/>
      <c r="AE890" s="766"/>
      <c r="AF890" s="766"/>
      <c r="AG890" s="782"/>
      <c r="BB890" s="647"/>
      <c r="BC890" s="648"/>
      <c r="BD890" s="757"/>
    </row>
    <row r="891" spans="1:56" s="64" customFormat="1" outlineLevel="1" x14ac:dyDescent="0.25">
      <c r="A891" s="1393"/>
      <c r="B891" s="277"/>
      <c r="C891" s="385"/>
      <c r="D891" s="3677"/>
      <c r="E891" s="3590"/>
      <c r="F891" s="3671" t="str">
        <f t="shared" si="83"/>
        <v>Ductless ASHP - ROF MF NC_CompE</v>
      </c>
      <c r="G891" s="3671"/>
      <c r="H891" s="3671"/>
      <c r="I891" s="1425"/>
      <c r="J891" s="1777">
        <v>393</v>
      </c>
      <c r="K891" s="836"/>
      <c r="L891" s="3795"/>
      <c r="M891" s="1775"/>
      <c r="N891" s="1759"/>
      <c r="O891" s="277"/>
      <c r="P891" s="277"/>
      <c r="Q891" s="277"/>
      <c r="R891" s="277"/>
      <c r="S891" s="277"/>
      <c r="T891" s="157"/>
      <c r="U891" s="157"/>
      <c r="V891" s="3677"/>
      <c r="W891" s="766"/>
      <c r="X891" s="766"/>
      <c r="Y891" s="844">
        <v>476</v>
      </c>
      <c r="Z891" s="1777">
        <v>476</v>
      </c>
      <c r="AA891" s="1777">
        <v>476</v>
      </c>
      <c r="AB891" s="1777">
        <v>393</v>
      </c>
      <c r="AC891" s="766"/>
      <c r="AD891" s="766"/>
      <c r="AE891" s="766"/>
      <c r="AF891" s="766"/>
      <c r="AG891" s="782"/>
      <c r="BB891" s="647"/>
      <c r="BC891" s="648"/>
      <c r="BD891" s="757"/>
    </row>
    <row r="892" spans="1:56" s="64" customFormat="1" outlineLevel="1" x14ac:dyDescent="0.25">
      <c r="A892" s="1393"/>
      <c r="B892" s="277"/>
      <c r="C892" s="385"/>
      <c r="D892" s="3677"/>
      <c r="E892" s="3590"/>
      <c r="F892" s="3671" t="str">
        <f t="shared" si="83"/>
        <v>Ductless ASHP - ROF MF_CompE</v>
      </c>
      <c r="G892" s="3671"/>
      <c r="H892" s="3671"/>
      <c r="I892" s="1425"/>
      <c r="J892" s="1777">
        <v>393</v>
      </c>
      <c r="K892" s="836"/>
      <c r="L892" s="3795"/>
      <c r="M892" s="1775"/>
      <c r="N892" s="1759"/>
      <c r="O892" s="277"/>
      <c r="P892" s="277"/>
      <c r="Q892" s="277"/>
      <c r="R892" s="277"/>
      <c r="S892" s="277"/>
      <c r="T892" s="157"/>
      <c r="U892" s="157"/>
      <c r="V892" s="3677"/>
      <c r="W892" s="766"/>
      <c r="X892" s="766"/>
      <c r="Y892" s="844">
        <v>476</v>
      </c>
      <c r="Z892" s="1777">
        <v>476</v>
      </c>
      <c r="AA892" s="1777">
        <v>476</v>
      </c>
      <c r="AB892" s="1777">
        <v>393</v>
      </c>
      <c r="AC892" s="766"/>
      <c r="AD892" s="766"/>
      <c r="AE892" s="766"/>
      <c r="AF892" s="766"/>
      <c r="AG892" s="782"/>
      <c r="BB892" s="647"/>
      <c r="BC892" s="648"/>
      <c r="BD892" s="757"/>
    </row>
    <row r="893" spans="1:56" s="64" customFormat="1" outlineLevel="1" x14ac:dyDescent="0.25">
      <c r="A893" s="1393"/>
      <c r="B893" s="277"/>
      <c r="C893" s="385"/>
      <c r="D893" s="3677"/>
      <c r="E893" s="3590"/>
      <c r="F893" s="3671" t="str">
        <f t="shared" si="83"/>
        <v>Ductless ASHP Replace Electric Resistance ER1 MF_CompE</v>
      </c>
      <c r="G893" s="3671"/>
      <c r="H893" s="3671"/>
      <c r="I893" s="1425"/>
      <c r="J893" s="1777">
        <v>393</v>
      </c>
      <c r="K893" s="836"/>
      <c r="L893" s="3795"/>
      <c r="M893" s="1775"/>
      <c r="N893" s="1759"/>
      <c r="O893" s="277"/>
      <c r="P893" s="277"/>
      <c r="Q893" s="277"/>
      <c r="R893" s="277"/>
      <c r="S893" s="277"/>
      <c r="T893" s="157"/>
      <c r="U893" s="157"/>
      <c r="V893" s="3677"/>
      <c r="W893" s="766"/>
      <c r="X893" s="766"/>
      <c r="Y893" s="844">
        <v>476</v>
      </c>
      <c r="Z893" s="1777">
        <v>476</v>
      </c>
      <c r="AA893" s="1777">
        <v>476</v>
      </c>
      <c r="AB893" s="1777">
        <v>393</v>
      </c>
      <c r="AC893" s="766"/>
      <c r="AD893" s="766"/>
      <c r="AE893" s="766"/>
      <c r="AF893" s="766"/>
      <c r="AG893" s="782"/>
      <c r="BB893" s="647"/>
      <c r="BC893" s="648"/>
      <c r="BD893" s="757"/>
    </row>
    <row r="894" spans="1:56" s="64" customFormat="1" outlineLevel="1" x14ac:dyDescent="0.25">
      <c r="A894" s="1393"/>
      <c r="B894" s="277"/>
      <c r="C894" s="385"/>
      <c r="D894" s="3677"/>
      <c r="E894" s="3590"/>
      <c r="F894" s="3671" t="str">
        <f t="shared" si="83"/>
        <v>Ductless ASHP Replace Electric Resistance ROF MF_CompE</v>
      </c>
      <c r="G894" s="3671"/>
      <c r="H894" s="3671"/>
      <c r="I894" s="1425"/>
      <c r="J894" s="1777">
        <v>393</v>
      </c>
      <c r="K894" s="836"/>
      <c r="L894" s="3795"/>
      <c r="M894" s="1775"/>
      <c r="N894" s="1759"/>
      <c r="O894" s="277"/>
      <c r="P894" s="277"/>
      <c r="Q894" s="277"/>
      <c r="R894" s="277"/>
      <c r="S894" s="277"/>
      <c r="T894" s="157"/>
      <c r="U894" s="157"/>
      <c r="V894" s="3677"/>
      <c r="W894" s="766"/>
      <c r="X894" s="766"/>
      <c r="Y894" s="844">
        <v>476</v>
      </c>
      <c r="Z894" s="1777">
        <v>476</v>
      </c>
      <c r="AA894" s="1777">
        <v>476</v>
      </c>
      <c r="AB894" s="1777">
        <v>393</v>
      </c>
      <c r="AC894" s="766"/>
      <c r="AD894" s="766"/>
      <c r="AE894" s="766"/>
      <c r="AF894" s="766"/>
      <c r="AG894" s="782"/>
      <c r="BB894" s="647"/>
      <c r="BC894" s="648"/>
      <c r="BD894" s="757"/>
    </row>
    <row r="895" spans="1:56" s="64" customFormat="1" ht="15.75" outlineLevel="1" thickBot="1" x14ac:dyDescent="0.3">
      <c r="A895" s="1393"/>
      <c r="B895" s="277"/>
      <c r="C895" s="385"/>
      <c r="D895" s="3678"/>
      <c r="E895" s="3591"/>
      <c r="F895" s="3671" t="str">
        <f t="shared" si="83"/>
        <v>Ductless ASHP ER1 MF_CompE</v>
      </c>
      <c r="G895" s="3671"/>
      <c r="H895" s="3671"/>
      <c r="I895" s="863"/>
      <c r="J895" s="1777">
        <v>393</v>
      </c>
      <c r="K895" s="836"/>
      <c r="L895" s="3796"/>
      <c r="M895" s="1775"/>
      <c r="N895" s="1759"/>
      <c r="O895" s="277"/>
      <c r="P895" s="277"/>
      <c r="Q895" s="277"/>
      <c r="R895" s="277"/>
      <c r="S895" s="277"/>
      <c r="T895" s="157"/>
      <c r="U895" s="157"/>
      <c r="V895" s="3678"/>
      <c r="W895" s="766"/>
      <c r="X895" s="766"/>
      <c r="Y895" s="845">
        <v>476</v>
      </c>
      <c r="Z895" s="2643">
        <v>476</v>
      </c>
      <c r="AA895" s="2643">
        <v>476</v>
      </c>
      <c r="AB895" s="1777">
        <v>393</v>
      </c>
      <c r="AC895" s="792"/>
      <c r="AD895" s="792"/>
      <c r="AE895" s="792"/>
      <c r="AF895" s="792"/>
      <c r="AG895" s="840"/>
      <c r="BB895" s="647"/>
      <c r="BC895" s="648"/>
      <c r="BD895" s="757"/>
    </row>
    <row r="896" spans="1:56" s="64" customFormat="1" outlineLevel="1" x14ac:dyDescent="0.25">
      <c r="A896" s="1393"/>
      <c r="B896" s="277"/>
      <c r="C896" s="385"/>
      <c r="D896" s="3638" t="s">
        <v>1254</v>
      </c>
      <c r="E896" s="3588" t="s">
        <v>1255</v>
      </c>
      <c r="F896" s="3679" t="str">
        <f t="shared" si="83"/>
        <v>Ductless AC - ER1 SF</v>
      </c>
      <c r="G896" s="3679"/>
      <c r="H896" s="3679"/>
      <c r="I896" s="1426"/>
      <c r="J896" s="1423">
        <v>0</v>
      </c>
      <c r="K896" s="833"/>
      <c r="L896" s="834"/>
      <c r="M896" s="1775"/>
      <c r="N896" s="1759"/>
      <c r="O896" s="277"/>
      <c r="P896" s="277"/>
      <c r="Q896" s="277"/>
      <c r="R896" s="277"/>
      <c r="S896" s="277"/>
      <c r="T896" s="157"/>
      <c r="U896" s="157"/>
      <c r="V896" s="3638" t="s">
        <v>1254</v>
      </c>
      <c r="W896" s="760">
        <v>0</v>
      </c>
      <c r="X896" s="759">
        <v>0</v>
      </c>
      <c r="Y896" s="760">
        <v>0</v>
      </c>
      <c r="Z896" s="2428">
        <v>0</v>
      </c>
      <c r="AA896" s="2428">
        <v>0</v>
      </c>
      <c r="AB896" s="2427">
        <v>0</v>
      </c>
      <c r="AC896" s="760"/>
      <c r="AD896" s="760"/>
      <c r="AE896" s="760"/>
      <c r="AF896" s="760"/>
      <c r="AG896" s="835"/>
      <c r="BB896" s="647"/>
      <c r="BC896" s="648"/>
      <c r="BD896" s="757"/>
    </row>
    <row r="897" spans="1:56" s="64" customFormat="1" outlineLevel="1" x14ac:dyDescent="0.25">
      <c r="A897" s="1393"/>
      <c r="B897" s="277"/>
      <c r="C897" s="385"/>
      <c r="D897" s="3676"/>
      <c r="E897" s="3589"/>
      <c r="F897" s="3671" t="str">
        <f t="shared" si="83"/>
        <v>Ductless AC - ROF SF</v>
      </c>
      <c r="G897" s="3671"/>
      <c r="H897" s="3671"/>
      <c r="I897" s="1425"/>
      <c r="J897" s="1421">
        <v>0</v>
      </c>
      <c r="K897" s="836"/>
      <c r="L897" s="837"/>
      <c r="M897" s="1775"/>
      <c r="N897" s="1759"/>
      <c r="O897" s="277"/>
      <c r="P897" s="277"/>
      <c r="Q897" s="277"/>
      <c r="R897" s="277"/>
      <c r="S897" s="277"/>
      <c r="T897" s="157"/>
      <c r="U897" s="157"/>
      <c r="V897" s="3676"/>
      <c r="W897" s="766">
        <v>0</v>
      </c>
      <c r="X897" s="765">
        <v>0</v>
      </c>
      <c r="Y897" s="766">
        <v>0</v>
      </c>
      <c r="Z897" s="2426">
        <v>0</v>
      </c>
      <c r="AA897" s="2426">
        <v>0</v>
      </c>
      <c r="AB897" s="2425">
        <v>0</v>
      </c>
      <c r="AC897" s="766"/>
      <c r="AD897" s="766"/>
      <c r="AE897" s="766"/>
      <c r="AF897" s="766"/>
      <c r="AG897" s="782"/>
      <c r="BB897" s="647"/>
      <c r="BC897" s="648"/>
      <c r="BD897" s="757"/>
    </row>
    <row r="898" spans="1:56" s="64" customFormat="1" outlineLevel="1" x14ac:dyDescent="0.25">
      <c r="A898" s="1393"/>
      <c r="B898" s="277"/>
      <c r="C898" s="385"/>
      <c r="D898" s="3676"/>
      <c r="E898" s="3589"/>
      <c r="F898" s="3671" t="str">
        <f t="shared" si="83"/>
        <v>Ductless ASHP - ROF SF NC</v>
      </c>
      <c r="G898" s="3671"/>
      <c r="H898" s="3671"/>
      <c r="I898" s="1425"/>
      <c r="J898" s="1421">
        <v>8.1999999999999993</v>
      </c>
      <c r="K898" s="836"/>
      <c r="L898" s="3680" t="s">
        <v>1508</v>
      </c>
      <c r="M898" s="1775"/>
      <c r="N898" s="1759"/>
      <c r="O898" s="277"/>
      <c r="P898" s="277"/>
      <c r="Q898" s="277"/>
      <c r="R898" s="277"/>
      <c r="S898" s="277"/>
      <c r="T898" s="157"/>
      <c r="U898" s="157"/>
      <c r="V898" s="3676"/>
      <c r="W898" s="766">
        <v>7.7</v>
      </c>
      <c r="X898" s="765">
        <v>8.1999999999999993</v>
      </c>
      <c r="Y898" s="766">
        <v>8.1999999999999993</v>
      </c>
      <c r="Z898" s="2426">
        <v>8.1999999999999993</v>
      </c>
      <c r="AA898" s="2426">
        <v>8.1999999999999993</v>
      </c>
      <c r="AB898" s="2425">
        <v>8.1999999999999993</v>
      </c>
      <c r="AC898" s="766"/>
      <c r="AD898" s="766"/>
      <c r="AE898" s="766"/>
      <c r="AF898" s="766"/>
      <c r="AG898" s="782"/>
      <c r="BB898" s="647"/>
      <c r="BC898" s="648"/>
      <c r="BD898" s="757"/>
    </row>
    <row r="899" spans="1:56" s="64" customFormat="1" outlineLevel="1" x14ac:dyDescent="0.25">
      <c r="A899" s="1393"/>
      <c r="B899" s="277"/>
      <c r="C899" s="385"/>
      <c r="D899" s="3676"/>
      <c r="E899" s="3589"/>
      <c r="F899" s="3671" t="str">
        <f t="shared" si="83"/>
        <v>Ductless ASHP - ROF SF</v>
      </c>
      <c r="G899" s="3671"/>
      <c r="H899" s="3671"/>
      <c r="I899" s="1425"/>
      <c r="J899" s="1421">
        <v>8.1999999999999993</v>
      </c>
      <c r="K899" s="836"/>
      <c r="L899" s="3681"/>
      <c r="M899" s="1753"/>
      <c r="N899" s="1759"/>
      <c r="O899" s="277"/>
      <c r="P899" s="277"/>
      <c r="Q899" s="277"/>
      <c r="R899" s="277"/>
      <c r="S899" s="277"/>
      <c r="T899" s="157"/>
      <c r="U899" s="157"/>
      <c r="V899" s="3676"/>
      <c r="W899" s="766">
        <v>7.7</v>
      </c>
      <c r="X899" s="765">
        <v>8.1999999999999993</v>
      </c>
      <c r="Y899" s="766">
        <v>8.1999999999999993</v>
      </c>
      <c r="Z899" s="2426">
        <v>8.1999999999999993</v>
      </c>
      <c r="AA899" s="2426">
        <v>8.1999999999999993</v>
      </c>
      <c r="AB899" s="2425">
        <v>8.1999999999999993</v>
      </c>
      <c r="AC899" s="766"/>
      <c r="AD899" s="766"/>
      <c r="AE899" s="766"/>
      <c r="AF899" s="766"/>
      <c r="AG899" s="782"/>
      <c r="BB899" s="647"/>
      <c r="BC899" s="648"/>
      <c r="BD899" s="757"/>
    </row>
    <row r="900" spans="1:56" s="64" customFormat="1" outlineLevel="1" x14ac:dyDescent="0.25">
      <c r="A900" s="1393"/>
      <c r="B900" s="277"/>
      <c r="C900" s="385"/>
      <c r="D900" s="3676"/>
      <c r="E900" s="3589"/>
      <c r="F900" s="3671" t="str">
        <f t="shared" si="83"/>
        <v>Ductless ASHP Replace Electric Resistance ER1 SF</v>
      </c>
      <c r="G900" s="3671"/>
      <c r="H900" s="3671"/>
      <c r="I900" s="1425"/>
      <c r="J900" s="1421">
        <v>3.4119999999999999</v>
      </c>
      <c r="K900" s="836"/>
      <c r="L900" s="3681"/>
      <c r="M900" s="1753"/>
      <c r="N900" s="1759"/>
      <c r="O900" s="277"/>
      <c r="P900" s="277"/>
      <c r="Q900" s="277"/>
      <c r="R900" s="277"/>
      <c r="S900" s="277"/>
      <c r="T900" s="157"/>
      <c r="U900" s="157"/>
      <c r="V900" s="3676"/>
      <c r="W900" s="766">
        <v>7.7</v>
      </c>
      <c r="X900" s="765">
        <v>3.41</v>
      </c>
      <c r="Y900" s="766">
        <v>3.4119999999999999</v>
      </c>
      <c r="Z900" s="2426">
        <v>3.4119999999999999</v>
      </c>
      <c r="AA900" s="2426">
        <v>3.4119999999999999</v>
      </c>
      <c r="AB900" s="2425">
        <v>3.4119999999999999</v>
      </c>
      <c r="AC900" s="766"/>
      <c r="AD900" s="766"/>
      <c r="AE900" s="766"/>
      <c r="AF900" s="766"/>
      <c r="AG900" s="782"/>
      <c r="BB900" s="647"/>
      <c r="BC900" s="648"/>
      <c r="BD900" s="757"/>
    </row>
    <row r="901" spans="1:56" s="64" customFormat="1" outlineLevel="1" x14ac:dyDescent="0.25">
      <c r="A901" s="1393"/>
      <c r="B901" s="277"/>
      <c r="C901" s="385"/>
      <c r="D901" s="3676"/>
      <c r="E901" s="3589"/>
      <c r="F901" s="3671" t="str">
        <f t="shared" si="83"/>
        <v>Ductless ASHP Replace Electric Resistance ROF SF</v>
      </c>
      <c r="G901" s="3671"/>
      <c r="H901" s="3671"/>
      <c r="I901" s="1425"/>
      <c r="J901" s="1421">
        <v>3.4119999999999999</v>
      </c>
      <c r="K901" s="836"/>
      <c r="L901" s="3681"/>
      <c r="M901" s="1753"/>
      <c r="N901" s="1759"/>
      <c r="O901" s="277"/>
      <c r="P901" s="277"/>
      <c r="Q901" s="277"/>
      <c r="R901" s="277"/>
      <c r="S901" s="277"/>
      <c r="T901" s="157"/>
      <c r="U901" s="157"/>
      <c r="V901" s="3676"/>
      <c r="W901" s="766">
        <v>7.7</v>
      </c>
      <c r="X901" s="765">
        <v>3.41</v>
      </c>
      <c r="Y901" s="766">
        <v>3.4119999999999999</v>
      </c>
      <c r="Z901" s="2426">
        <v>3.4119999999999999</v>
      </c>
      <c r="AA901" s="2426">
        <v>3.4119999999999999</v>
      </c>
      <c r="AB901" s="2425">
        <v>3.4119999999999999</v>
      </c>
      <c r="AC901" s="766"/>
      <c r="AD901" s="766"/>
      <c r="AE901" s="766"/>
      <c r="AF901" s="766"/>
      <c r="AG901" s="782"/>
      <c r="BB901" s="647"/>
      <c r="BC901" s="648"/>
      <c r="BD901" s="757"/>
    </row>
    <row r="902" spans="1:56" s="64" customFormat="1" outlineLevel="1" x14ac:dyDescent="0.25">
      <c r="A902" s="1393"/>
      <c r="B902" s="277"/>
      <c r="C902" s="385"/>
      <c r="D902" s="3676"/>
      <c r="E902" s="3589"/>
      <c r="F902" s="3671" t="str">
        <f t="shared" si="83"/>
        <v>Ductless ASHP ER1 SF</v>
      </c>
      <c r="G902" s="3671"/>
      <c r="H902" s="3671"/>
      <c r="I902" s="1425"/>
      <c r="J902" s="1421">
        <v>6.58</v>
      </c>
      <c r="K902" s="836"/>
      <c r="L902" s="3682"/>
      <c r="M902" s="1775"/>
      <c r="N902" s="1759"/>
      <c r="O902" s="277"/>
      <c r="P902" s="277"/>
      <c r="Q902" s="277"/>
      <c r="R902" s="277"/>
      <c r="S902" s="277"/>
      <c r="T902" s="157"/>
      <c r="U902" s="157"/>
      <c r="V902" s="3676"/>
      <c r="W902" s="766">
        <v>7.7</v>
      </c>
      <c r="X902" s="765">
        <v>6.58</v>
      </c>
      <c r="Y902" s="766">
        <v>6.58</v>
      </c>
      <c r="Z902" s="2426">
        <v>6.58</v>
      </c>
      <c r="AA902" s="2426">
        <v>6.58</v>
      </c>
      <c r="AB902" s="2425">
        <v>6.58</v>
      </c>
      <c r="AC902" s="766"/>
      <c r="AD902" s="766"/>
      <c r="AE902" s="766"/>
      <c r="AF902" s="766"/>
      <c r="AG902" s="782"/>
      <c r="BB902" s="647"/>
      <c r="BC902" s="648"/>
      <c r="BD902" s="757"/>
    </row>
    <row r="903" spans="1:56" s="64" customFormat="1" outlineLevel="1" x14ac:dyDescent="0.25">
      <c r="A903" s="1393"/>
      <c r="B903" s="277"/>
      <c r="C903" s="385"/>
      <c r="D903" s="3676"/>
      <c r="E903" s="3589"/>
      <c r="F903" s="3671" t="str">
        <f t="shared" si="83"/>
        <v>Ductless AC - ER1 MF</v>
      </c>
      <c r="G903" s="3671"/>
      <c r="H903" s="3671"/>
      <c r="I903" s="1425"/>
      <c r="J903" s="1421">
        <f>J896</f>
        <v>0</v>
      </c>
      <c r="K903" s="836"/>
      <c r="L903" s="837"/>
      <c r="M903" s="1775"/>
      <c r="N903" s="1759"/>
      <c r="O903" s="277"/>
      <c r="P903" s="277"/>
      <c r="Q903" s="277"/>
      <c r="R903" s="277"/>
      <c r="S903" s="277"/>
      <c r="T903" s="157"/>
      <c r="U903" s="157"/>
      <c r="V903" s="3676"/>
      <c r="W903" s="766"/>
      <c r="X903" s="765"/>
      <c r="Y903" s="765">
        <v>0</v>
      </c>
      <c r="Z903" s="2426">
        <v>0</v>
      </c>
      <c r="AA903" s="2426">
        <v>0</v>
      </c>
      <c r="AB903" s="2425">
        <v>0</v>
      </c>
      <c r="AC903" s="766"/>
      <c r="AD903" s="766"/>
      <c r="AE903" s="766"/>
      <c r="AF903" s="766"/>
      <c r="AG903" s="782"/>
      <c r="BB903" s="647"/>
      <c r="BC903" s="648"/>
      <c r="BD903" s="757"/>
    </row>
    <row r="904" spans="1:56" s="64" customFormat="1" outlineLevel="1" x14ac:dyDescent="0.25">
      <c r="A904" s="1393"/>
      <c r="B904" s="277"/>
      <c r="C904" s="385"/>
      <c r="D904" s="3676"/>
      <c r="E904" s="3589"/>
      <c r="F904" s="3671" t="str">
        <f t="shared" si="83"/>
        <v>Ductless AC - ROF MF</v>
      </c>
      <c r="G904" s="3671"/>
      <c r="H904" s="3671"/>
      <c r="I904" s="1425"/>
      <c r="J904" s="1421">
        <f t="shared" ref="J904:J909" si="84">J897</f>
        <v>0</v>
      </c>
      <c r="K904" s="836"/>
      <c r="L904" s="837"/>
      <c r="M904" s="1775"/>
      <c r="N904" s="1759"/>
      <c r="O904" s="277"/>
      <c r="P904" s="277"/>
      <c r="Q904" s="277"/>
      <c r="R904" s="277"/>
      <c r="S904" s="277"/>
      <c r="T904" s="157"/>
      <c r="U904" s="157"/>
      <c r="V904" s="3676"/>
      <c r="W904" s="766"/>
      <c r="X904" s="765"/>
      <c r="Y904" s="765">
        <v>0</v>
      </c>
      <c r="Z904" s="2426">
        <v>0</v>
      </c>
      <c r="AA904" s="2426">
        <v>0</v>
      </c>
      <c r="AB904" s="2425">
        <v>0</v>
      </c>
      <c r="AC904" s="766"/>
      <c r="AD904" s="766"/>
      <c r="AE904" s="766"/>
      <c r="AF904" s="766"/>
      <c r="AG904" s="782"/>
      <c r="BB904" s="647"/>
      <c r="BC904" s="648"/>
      <c r="BD904" s="757"/>
    </row>
    <row r="905" spans="1:56" s="64" customFormat="1" outlineLevel="1" x14ac:dyDescent="0.25">
      <c r="A905" s="1393"/>
      <c r="B905" s="277"/>
      <c r="C905" s="385"/>
      <c r="D905" s="3676"/>
      <c r="E905" s="3589"/>
      <c r="F905" s="3671" t="str">
        <f t="shared" si="83"/>
        <v>Ductless ASHP - ROF MF NC</v>
      </c>
      <c r="G905" s="3671"/>
      <c r="H905" s="3671"/>
      <c r="I905" s="1425"/>
      <c r="J905" s="1421">
        <f t="shared" si="84"/>
        <v>8.1999999999999993</v>
      </c>
      <c r="K905" s="836"/>
      <c r="L905" s="837"/>
      <c r="M905" s="1775"/>
      <c r="N905" s="1759"/>
      <c r="O905" s="277"/>
      <c r="P905" s="277"/>
      <c r="Q905" s="277"/>
      <c r="R905" s="277"/>
      <c r="S905" s="277"/>
      <c r="T905" s="157"/>
      <c r="U905" s="157"/>
      <c r="V905" s="3676"/>
      <c r="W905" s="766"/>
      <c r="X905" s="765"/>
      <c r="Y905" s="765">
        <v>8.1999999999999993</v>
      </c>
      <c r="Z905" s="2426">
        <v>8.1999999999999993</v>
      </c>
      <c r="AA905" s="2426">
        <v>8.1999999999999993</v>
      </c>
      <c r="AB905" s="2425">
        <v>8.1999999999999993</v>
      </c>
      <c r="AC905" s="766"/>
      <c r="AD905" s="766"/>
      <c r="AE905" s="766"/>
      <c r="AF905" s="766"/>
      <c r="AG905" s="782"/>
      <c r="BB905" s="647"/>
      <c r="BC905" s="648"/>
      <c r="BD905" s="757"/>
    </row>
    <row r="906" spans="1:56" s="64" customFormat="1" outlineLevel="1" x14ac:dyDescent="0.25">
      <c r="A906" s="1393"/>
      <c r="B906" s="277"/>
      <c r="C906" s="385"/>
      <c r="D906" s="3676"/>
      <c r="E906" s="3589"/>
      <c r="F906" s="3671" t="str">
        <f t="shared" si="83"/>
        <v>Ductless ASHP - ROF MF</v>
      </c>
      <c r="G906" s="3671"/>
      <c r="H906" s="3671"/>
      <c r="I906" s="1425"/>
      <c r="J906" s="1421">
        <f t="shared" si="84"/>
        <v>8.1999999999999993</v>
      </c>
      <c r="K906" s="836"/>
      <c r="L906" s="837"/>
      <c r="M906" s="1775"/>
      <c r="N906" s="1759"/>
      <c r="O906" s="277"/>
      <c r="P906" s="277"/>
      <c r="Q906" s="277"/>
      <c r="R906" s="277"/>
      <c r="S906" s="277"/>
      <c r="T906" s="157"/>
      <c r="U906" s="157"/>
      <c r="V906" s="3676"/>
      <c r="W906" s="766"/>
      <c r="X906" s="765"/>
      <c r="Y906" s="765">
        <v>8.1999999999999993</v>
      </c>
      <c r="Z906" s="2426">
        <v>8.1999999999999993</v>
      </c>
      <c r="AA906" s="2426">
        <v>8.1999999999999993</v>
      </c>
      <c r="AB906" s="2425">
        <v>8.1999999999999993</v>
      </c>
      <c r="AC906" s="766"/>
      <c r="AD906" s="766"/>
      <c r="AE906" s="766"/>
      <c r="AF906" s="766"/>
      <c r="AG906" s="782"/>
      <c r="BB906" s="647"/>
      <c r="BC906" s="648"/>
      <c r="BD906" s="757"/>
    </row>
    <row r="907" spans="1:56" s="64" customFormat="1" outlineLevel="1" x14ac:dyDescent="0.25">
      <c r="A907" s="1393"/>
      <c r="B907" s="277"/>
      <c r="C907" s="385"/>
      <c r="D907" s="3676"/>
      <c r="E907" s="3589"/>
      <c r="F907" s="3671" t="str">
        <f t="shared" si="83"/>
        <v>Ductless ASHP Replace Electric Resistance ER1 MF</v>
      </c>
      <c r="G907" s="3671"/>
      <c r="H907" s="3671"/>
      <c r="I907" s="1425"/>
      <c r="J907" s="1421">
        <f t="shared" si="84"/>
        <v>3.4119999999999999</v>
      </c>
      <c r="K907" s="836"/>
      <c r="L907" s="837"/>
      <c r="M907" s="1775"/>
      <c r="N907" s="1759"/>
      <c r="O907" s="277"/>
      <c r="P907" s="277"/>
      <c r="Q907" s="277"/>
      <c r="R907" s="277"/>
      <c r="S907" s="277"/>
      <c r="T907" s="157"/>
      <c r="U907" s="157"/>
      <c r="V907" s="3676"/>
      <c r="W907" s="766"/>
      <c r="X907" s="765"/>
      <c r="Y907" s="765">
        <v>3.4119999999999999</v>
      </c>
      <c r="Z907" s="2426">
        <v>3.4119999999999999</v>
      </c>
      <c r="AA907" s="2426">
        <v>3.4119999999999999</v>
      </c>
      <c r="AB907" s="2425">
        <v>3.4119999999999999</v>
      </c>
      <c r="AC907" s="766"/>
      <c r="AD907" s="766"/>
      <c r="AE907" s="766"/>
      <c r="AF907" s="766"/>
      <c r="AG907" s="782"/>
      <c r="BB907" s="647"/>
      <c r="BC907" s="648"/>
      <c r="BD907" s="757"/>
    </row>
    <row r="908" spans="1:56" s="64" customFormat="1" outlineLevel="1" x14ac:dyDescent="0.25">
      <c r="A908" s="1393"/>
      <c r="B908" s="277"/>
      <c r="C908" s="385"/>
      <c r="D908" s="3676"/>
      <c r="E908" s="3589"/>
      <c r="F908" s="3671" t="str">
        <f t="shared" si="83"/>
        <v>Ductless ASHP Replace Electric Resistance ROF MF</v>
      </c>
      <c r="G908" s="3671"/>
      <c r="H908" s="3671"/>
      <c r="I908" s="1425"/>
      <c r="J908" s="1421">
        <f t="shared" si="84"/>
        <v>3.4119999999999999</v>
      </c>
      <c r="K908" s="836"/>
      <c r="L908" s="837"/>
      <c r="M908" s="1775"/>
      <c r="N908" s="1759"/>
      <c r="O908" s="277"/>
      <c r="P908" s="277"/>
      <c r="Q908" s="277"/>
      <c r="R908" s="277"/>
      <c r="S908" s="277"/>
      <c r="T908" s="157"/>
      <c r="U908" s="157"/>
      <c r="V908" s="3676"/>
      <c r="W908" s="766"/>
      <c r="X908" s="765"/>
      <c r="Y908" s="765">
        <v>3.4119999999999999</v>
      </c>
      <c r="Z908" s="2426">
        <v>3.4119999999999999</v>
      </c>
      <c r="AA908" s="2426">
        <v>3.4119999999999999</v>
      </c>
      <c r="AB908" s="2425">
        <v>3.4119999999999999</v>
      </c>
      <c r="AC908" s="766"/>
      <c r="AD908" s="766"/>
      <c r="AE908" s="766"/>
      <c r="AF908" s="766"/>
      <c r="AG908" s="782"/>
      <c r="BB908" s="647"/>
      <c r="BC908" s="648"/>
      <c r="BD908" s="757"/>
    </row>
    <row r="909" spans="1:56" s="64" customFormat="1" outlineLevel="1" x14ac:dyDescent="0.25">
      <c r="A909" s="1393"/>
      <c r="B909" s="277"/>
      <c r="C909" s="385"/>
      <c r="D909" s="3676"/>
      <c r="E909" s="3589"/>
      <c r="F909" s="3671" t="str">
        <f t="shared" si="83"/>
        <v>Ductless ASHP ER1 MF</v>
      </c>
      <c r="G909" s="3671"/>
      <c r="H909" s="3671"/>
      <c r="I909" s="1425"/>
      <c r="J909" s="1421">
        <f t="shared" si="84"/>
        <v>6.58</v>
      </c>
      <c r="K909" s="836"/>
      <c r="L909" s="837"/>
      <c r="M909" s="1775"/>
      <c r="N909" s="1759"/>
      <c r="O909" s="277"/>
      <c r="P909" s="277"/>
      <c r="Q909" s="277"/>
      <c r="R909" s="277"/>
      <c r="S909" s="277"/>
      <c r="T909" s="157"/>
      <c r="U909" s="157"/>
      <c r="V909" s="3676"/>
      <c r="W909" s="766"/>
      <c r="X909" s="765"/>
      <c r="Y909" s="765">
        <v>6.58</v>
      </c>
      <c r="Z909" s="2426">
        <v>6.58</v>
      </c>
      <c r="AA909" s="2426">
        <v>6.58</v>
      </c>
      <c r="AB909" s="2425">
        <v>6.58</v>
      </c>
      <c r="AC909" s="766"/>
      <c r="AD909" s="766"/>
      <c r="AE909" s="766"/>
      <c r="AF909" s="766"/>
      <c r="AG909" s="782"/>
      <c r="BB909" s="647"/>
      <c r="BC909" s="648"/>
      <c r="BD909" s="757"/>
    </row>
    <row r="910" spans="1:56" s="64" customFormat="1" outlineLevel="1" x14ac:dyDescent="0.25">
      <c r="A910" s="1393"/>
      <c r="B910" s="277"/>
      <c r="C910" s="385"/>
      <c r="D910" s="3677"/>
      <c r="E910" s="3590"/>
      <c r="F910" s="3671" t="str">
        <f t="shared" si="83"/>
        <v>Ductless AC - ER1 MF_CompE</v>
      </c>
      <c r="G910" s="3671"/>
      <c r="H910" s="3671"/>
      <c r="I910" s="1425"/>
      <c r="J910" s="1421">
        <f>J896</f>
        <v>0</v>
      </c>
      <c r="K910" s="836"/>
      <c r="L910" s="837"/>
      <c r="M910" s="1775"/>
      <c r="N910" s="1759"/>
      <c r="O910" s="277"/>
      <c r="P910" s="277"/>
      <c r="Q910" s="277"/>
      <c r="R910" s="277"/>
      <c r="S910" s="277"/>
      <c r="T910" s="157"/>
      <c r="U910" s="157"/>
      <c r="V910" s="3677"/>
      <c r="W910" s="766"/>
      <c r="X910" s="765"/>
      <c r="Y910" s="765">
        <v>0</v>
      </c>
      <c r="Z910" s="2426">
        <v>0</v>
      </c>
      <c r="AA910" s="2426">
        <v>0</v>
      </c>
      <c r="AB910" s="2425">
        <v>0</v>
      </c>
      <c r="AC910" s="766"/>
      <c r="AD910" s="766"/>
      <c r="AE910" s="766"/>
      <c r="AF910" s="766"/>
      <c r="AG910" s="782"/>
      <c r="BB910" s="647"/>
      <c r="BC910" s="648"/>
      <c r="BD910" s="757"/>
    </row>
    <row r="911" spans="1:56" s="64" customFormat="1" outlineLevel="1" x14ac:dyDescent="0.25">
      <c r="A911" s="1393"/>
      <c r="B911" s="277"/>
      <c r="C911" s="385"/>
      <c r="D911" s="3677"/>
      <c r="E911" s="3590"/>
      <c r="F911" s="3671" t="str">
        <f t="shared" si="83"/>
        <v>Ductless AC - ROF MF_CompE</v>
      </c>
      <c r="G911" s="3671"/>
      <c r="H911" s="3671"/>
      <c r="I911" s="1425"/>
      <c r="J911" s="1421">
        <f t="shared" ref="J911:J916" si="85">J897</f>
        <v>0</v>
      </c>
      <c r="K911" s="836"/>
      <c r="L911" s="837"/>
      <c r="M911" s="1775"/>
      <c r="N911" s="1759"/>
      <c r="O911" s="277"/>
      <c r="P911" s="277"/>
      <c r="Q911" s="277"/>
      <c r="R911" s="277"/>
      <c r="S911" s="277"/>
      <c r="T911" s="157"/>
      <c r="U911" s="157"/>
      <c r="V911" s="3677"/>
      <c r="W911" s="766"/>
      <c r="X911" s="765"/>
      <c r="Y911" s="765">
        <v>0</v>
      </c>
      <c r="Z911" s="2426">
        <v>0</v>
      </c>
      <c r="AA911" s="2426">
        <v>0</v>
      </c>
      <c r="AB911" s="2425">
        <v>0</v>
      </c>
      <c r="AC911" s="766"/>
      <c r="AD911" s="766"/>
      <c r="AE911" s="766"/>
      <c r="AF911" s="766"/>
      <c r="AG911" s="782"/>
      <c r="BB911" s="647"/>
      <c r="BC911" s="648"/>
      <c r="BD911" s="757"/>
    </row>
    <row r="912" spans="1:56" s="64" customFormat="1" outlineLevel="1" x14ac:dyDescent="0.25">
      <c r="A912" s="1393"/>
      <c r="B912" s="277"/>
      <c r="C912" s="385"/>
      <c r="D912" s="3677"/>
      <c r="E912" s="3590"/>
      <c r="F912" s="3671" t="str">
        <f t="shared" si="83"/>
        <v>Ductless ASHP - ROF MF NC_CompE</v>
      </c>
      <c r="G912" s="3671"/>
      <c r="H912" s="3671"/>
      <c r="I912" s="1425"/>
      <c r="J912" s="1421">
        <f t="shared" si="85"/>
        <v>8.1999999999999993</v>
      </c>
      <c r="K912" s="836"/>
      <c r="L912" s="837"/>
      <c r="M912" s="1775"/>
      <c r="N912" s="1759"/>
      <c r="O912" s="277"/>
      <c r="P912" s="277"/>
      <c r="Q912" s="277"/>
      <c r="R912" s="277"/>
      <c r="S912" s="277"/>
      <c r="T912" s="157"/>
      <c r="U912" s="157"/>
      <c r="V912" s="3677"/>
      <c r="W912" s="766"/>
      <c r="X912" s="765"/>
      <c r="Y912" s="765">
        <v>8.1999999999999993</v>
      </c>
      <c r="Z912" s="2426">
        <v>8.1999999999999993</v>
      </c>
      <c r="AA912" s="2426">
        <v>8.1999999999999993</v>
      </c>
      <c r="AB912" s="2425">
        <v>8.1999999999999993</v>
      </c>
      <c r="AC912" s="766"/>
      <c r="AD912" s="766"/>
      <c r="AE912" s="766"/>
      <c r="AF912" s="766"/>
      <c r="AG912" s="782"/>
      <c r="BB912" s="647"/>
      <c r="BC912" s="648"/>
      <c r="BD912" s="757"/>
    </row>
    <row r="913" spans="1:56" s="64" customFormat="1" outlineLevel="1" x14ac:dyDescent="0.25">
      <c r="A913" s="1393"/>
      <c r="B913" s="277"/>
      <c r="C913" s="385"/>
      <c r="D913" s="3677"/>
      <c r="E913" s="3590"/>
      <c r="F913" s="3671" t="str">
        <f t="shared" si="83"/>
        <v>Ductless ASHP - ROF MF_CompE</v>
      </c>
      <c r="G913" s="3671"/>
      <c r="H913" s="3671"/>
      <c r="I913" s="1425"/>
      <c r="J913" s="1421">
        <f t="shared" si="85"/>
        <v>8.1999999999999993</v>
      </c>
      <c r="K913" s="836"/>
      <c r="L913" s="838"/>
      <c r="M913" s="1775"/>
      <c r="N913" s="1759"/>
      <c r="O913" s="277"/>
      <c r="P913" s="277"/>
      <c r="Q913" s="277"/>
      <c r="R913" s="277"/>
      <c r="S913" s="277"/>
      <c r="T913" s="157"/>
      <c r="U913" s="157"/>
      <c r="V913" s="3677"/>
      <c r="W913" s="766"/>
      <c r="X913" s="765"/>
      <c r="Y913" s="765">
        <v>8.1999999999999993</v>
      </c>
      <c r="Z913" s="2426">
        <v>8.1999999999999993</v>
      </c>
      <c r="AA913" s="2426">
        <v>8.1999999999999993</v>
      </c>
      <c r="AB913" s="2425">
        <v>8.1999999999999993</v>
      </c>
      <c r="AC913" s="766"/>
      <c r="AD913" s="766"/>
      <c r="AE913" s="766"/>
      <c r="AF913" s="766"/>
      <c r="AG913" s="782"/>
      <c r="BB913" s="647"/>
      <c r="BC913" s="648"/>
      <c r="BD913" s="757"/>
    </row>
    <row r="914" spans="1:56" s="64" customFormat="1" outlineLevel="1" x14ac:dyDescent="0.25">
      <c r="A914" s="1393"/>
      <c r="B914" s="277"/>
      <c r="C914" s="385"/>
      <c r="D914" s="3677"/>
      <c r="E914" s="3590"/>
      <c r="F914" s="3671" t="str">
        <f t="shared" si="83"/>
        <v>Ductless ASHP Replace Electric Resistance ER1 MF_CompE</v>
      </c>
      <c r="G914" s="3671"/>
      <c r="H914" s="3671"/>
      <c r="I914" s="1425"/>
      <c r="J914" s="1421">
        <f t="shared" si="85"/>
        <v>3.4119999999999999</v>
      </c>
      <c r="K914" s="836"/>
      <c r="L914" s="838"/>
      <c r="M914" s="1775"/>
      <c r="N914" s="1759"/>
      <c r="O914" s="277"/>
      <c r="P914" s="277"/>
      <c r="Q914" s="277"/>
      <c r="R914" s="277"/>
      <c r="S914" s="277"/>
      <c r="T914" s="157"/>
      <c r="U914" s="157"/>
      <c r="V914" s="3677"/>
      <c r="W914" s="766"/>
      <c r="X914" s="765"/>
      <c r="Y914" s="765">
        <v>3.4119999999999999</v>
      </c>
      <c r="Z914" s="2426">
        <v>3.4119999999999999</v>
      </c>
      <c r="AA914" s="2426">
        <v>3.4119999999999999</v>
      </c>
      <c r="AB914" s="2425">
        <v>3.4119999999999999</v>
      </c>
      <c r="AC914" s="766"/>
      <c r="AD914" s="766"/>
      <c r="AE914" s="766"/>
      <c r="AF914" s="766"/>
      <c r="AG914" s="782"/>
      <c r="BB914" s="647"/>
      <c r="BC914" s="648"/>
      <c r="BD914" s="757"/>
    </row>
    <row r="915" spans="1:56" s="64" customFormat="1" outlineLevel="1" x14ac:dyDescent="0.25">
      <c r="A915" s="1393"/>
      <c r="B915" s="277"/>
      <c r="C915" s="385"/>
      <c r="D915" s="3677"/>
      <c r="E915" s="3590"/>
      <c r="F915" s="3671" t="str">
        <f t="shared" si="83"/>
        <v>Ductless ASHP Replace Electric Resistance ROF MF_CompE</v>
      </c>
      <c r="G915" s="3671"/>
      <c r="H915" s="3671"/>
      <c r="I915" s="1425"/>
      <c r="J915" s="1421">
        <f t="shared" si="85"/>
        <v>3.4119999999999999</v>
      </c>
      <c r="K915" s="836"/>
      <c r="L915" s="838"/>
      <c r="M915" s="1775"/>
      <c r="N915" s="1759"/>
      <c r="O915" s="277"/>
      <c r="P915" s="277"/>
      <c r="Q915" s="277"/>
      <c r="R915" s="277"/>
      <c r="S915" s="277"/>
      <c r="T915" s="157"/>
      <c r="U915" s="157"/>
      <c r="V915" s="3677"/>
      <c r="W915" s="766"/>
      <c r="X915" s="765"/>
      <c r="Y915" s="765">
        <v>3.4119999999999999</v>
      </c>
      <c r="Z915" s="2426">
        <v>3.4119999999999999</v>
      </c>
      <c r="AA915" s="2426">
        <v>3.4119999999999999</v>
      </c>
      <c r="AB915" s="2425">
        <v>3.4119999999999999</v>
      </c>
      <c r="AC915" s="766"/>
      <c r="AD915" s="766"/>
      <c r="AE915" s="766"/>
      <c r="AF915" s="766"/>
      <c r="AG915" s="782"/>
      <c r="BB915" s="647"/>
      <c r="BC915" s="648"/>
      <c r="BD915" s="757"/>
    </row>
    <row r="916" spans="1:56" s="64" customFormat="1" ht="15.75" outlineLevel="1" thickBot="1" x14ac:dyDescent="0.3">
      <c r="A916" s="1393"/>
      <c r="B916" s="277"/>
      <c r="C916" s="385"/>
      <c r="D916" s="3678"/>
      <c r="E916" s="3591"/>
      <c r="F916" s="3671" t="str">
        <f t="shared" si="83"/>
        <v>Ductless ASHP ER1 MF_CompE</v>
      </c>
      <c r="G916" s="3671"/>
      <c r="H916" s="3671"/>
      <c r="I916" s="863"/>
      <c r="J916" s="1421">
        <f t="shared" si="85"/>
        <v>6.58</v>
      </c>
      <c r="K916" s="836"/>
      <c r="L916" s="1776"/>
      <c r="M916" s="1775"/>
      <c r="N916" s="1759"/>
      <c r="O916" s="277"/>
      <c r="P916" s="277"/>
      <c r="Q916" s="277"/>
      <c r="R916" s="277"/>
      <c r="S916" s="277"/>
      <c r="T916" s="157"/>
      <c r="U916" s="157"/>
      <c r="V916" s="3678"/>
      <c r="W916" s="792"/>
      <c r="X916" s="846"/>
      <c r="Y916" s="846">
        <v>6.58</v>
      </c>
      <c r="Z916" s="2429">
        <v>6.58</v>
      </c>
      <c r="AA916" s="2429">
        <v>6.58</v>
      </c>
      <c r="AB916" s="2425">
        <v>6.58</v>
      </c>
      <c r="AC916" s="792"/>
      <c r="AD916" s="792"/>
      <c r="AE916" s="792"/>
      <c r="AF916" s="792"/>
      <c r="AG916" s="840"/>
      <c r="BB916" s="647"/>
      <c r="BC916" s="648"/>
      <c r="BD916" s="757"/>
    </row>
    <row r="917" spans="1:56" s="64" customFormat="1" outlineLevel="1" x14ac:dyDescent="0.25">
      <c r="A917" s="1393"/>
      <c r="B917" s="277"/>
      <c r="C917" s="385"/>
      <c r="D917" s="3638" t="s">
        <v>1256</v>
      </c>
      <c r="E917" s="3588" t="s">
        <v>1257</v>
      </c>
      <c r="F917" s="3679" t="str">
        <f t="shared" si="83"/>
        <v>Ductless AC - ER1 SF</v>
      </c>
      <c r="G917" s="3679"/>
      <c r="H917" s="3679"/>
      <c r="I917" s="1426"/>
      <c r="J917" s="1423">
        <v>0</v>
      </c>
      <c r="K917" s="833"/>
      <c r="L917" s="834"/>
      <c r="M917" s="1775"/>
      <c r="N917" s="1759"/>
      <c r="O917" s="277"/>
      <c r="P917" s="277"/>
      <c r="Q917" s="277"/>
      <c r="R917" s="277"/>
      <c r="S917" s="277"/>
      <c r="T917" s="157"/>
      <c r="U917" s="157"/>
      <c r="V917" s="3638" t="s">
        <v>1256</v>
      </c>
      <c r="W917" s="760">
        <v>0</v>
      </c>
      <c r="X917" s="760">
        <v>0</v>
      </c>
      <c r="Y917" s="760">
        <v>0</v>
      </c>
      <c r="Z917" s="2428">
        <v>0</v>
      </c>
      <c r="AA917" s="2428">
        <v>0</v>
      </c>
      <c r="AB917" s="2427">
        <v>0</v>
      </c>
      <c r="AC917" s="760"/>
      <c r="AD917" s="760"/>
      <c r="AE917" s="760"/>
      <c r="AF917" s="760"/>
      <c r="AG917" s="835"/>
      <c r="BB917" s="647"/>
      <c r="BC917" s="648"/>
      <c r="BD917" s="757"/>
    </row>
    <row r="918" spans="1:56" s="64" customFormat="1" outlineLevel="1" x14ac:dyDescent="0.25">
      <c r="A918" s="1393"/>
      <c r="B918" s="277"/>
      <c r="C918" s="385"/>
      <c r="D918" s="3676"/>
      <c r="E918" s="3589"/>
      <c r="F918" s="3671" t="str">
        <f t="shared" si="83"/>
        <v>Ductless AC - ROF SF</v>
      </c>
      <c r="G918" s="3671"/>
      <c r="H918" s="3671"/>
      <c r="I918" s="1425"/>
      <c r="J918" s="1421">
        <v>0</v>
      </c>
      <c r="K918" s="836"/>
      <c r="L918" s="837"/>
      <c r="M918" s="1775"/>
      <c r="N918" s="1759"/>
      <c r="O918" s="277"/>
      <c r="P918" s="277"/>
      <c r="Q918" s="277"/>
      <c r="R918" s="277"/>
      <c r="S918" s="277"/>
      <c r="T918" s="157"/>
      <c r="U918" s="157"/>
      <c r="V918" s="3676"/>
      <c r="W918" s="766">
        <v>0</v>
      </c>
      <c r="X918" s="766">
        <v>0</v>
      </c>
      <c r="Y918" s="766">
        <v>0</v>
      </c>
      <c r="Z918" s="2426">
        <v>0</v>
      </c>
      <c r="AA918" s="2426">
        <v>0</v>
      </c>
      <c r="AB918" s="2425">
        <v>0</v>
      </c>
      <c r="AC918" s="766"/>
      <c r="AD918" s="766"/>
      <c r="AE918" s="766"/>
      <c r="AF918" s="766"/>
      <c r="AG918" s="782"/>
      <c r="BB918" s="647"/>
      <c r="BC918" s="648"/>
      <c r="BD918" s="757"/>
    </row>
    <row r="919" spans="1:56" s="64" customFormat="1" outlineLevel="1" x14ac:dyDescent="0.25">
      <c r="A919" s="1393"/>
      <c r="B919" s="277"/>
      <c r="C919" s="385"/>
      <c r="D919" s="3676"/>
      <c r="E919" s="3589"/>
      <c r="F919" s="3671" t="str">
        <f t="shared" si="83"/>
        <v>Ductless ASHP - ROF SF NC</v>
      </c>
      <c r="G919" s="3671"/>
      <c r="H919" s="3671"/>
      <c r="I919" s="1425"/>
      <c r="J919" s="1421">
        <v>5.44</v>
      </c>
      <c r="K919" s="836"/>
      <c r="L919" s="837" t="s">
        <v>1258</v>
      </c>
      <c r="M919" s="1775"/>
      <c r="N919" s="1759"/>
      <c r="O919" s="277"/>
      <c r="P919" s="277"/>
      <c r="Q919" s="277"/>
      <c r="R919" s="277"/>
      <c r="S919" s="277"/>
      <c r="T919" s="157"/>
      <c r="U919" s="157"/>
      <c r="V919" s="3676"/>
      <c r="W919" s="766">
        <v>5.44</v>
      </c>
      <c r="X919" s="766">
        <v>5.44</v>
      </c>
      <c r="Y919" s="766">
        <v>5.44</v>
      </c>
      <c r="Z919" s="2426">
        <v>5.44</v>
      </c>
      <c r="AA919" s="2426">
        <v>5.44</v>
      </c>
      <c r="AB919" s="2425">
        <v>5.44</v>
      </c>
      <c r="AC919" s="766"/>
      <c r="AD919" s="766"/>
      <c r="AE919" s="766"/>
      <c r="AF919" s="766"/>
      <c r="AG919" s="782"/>
      <c r="BB919" s="647"/>
      <c r="BC919" s="648"/>
      <c r="BD919" s="757"/>
    </row>
    <row r="920" spans="1:56" s="64" customFormat="1" outlineLevel="1" x14ac:dyDescent="0.25">
      <c r="A920" s="1393"/>
      <c r="B920" s="277"/>
      <c r="C920" s="385"/>
      <c r="D920" s="3676"/>
      <c r="E920" s="3589"/>
      <c r="F920" s="3671" t="str">
        <f t="shared" si="83"/>
        <v>Ductless ASHP - ROF SF</v>
      </c>
      <c r="G920" s="3671"/>
      <c r="H920" s="3671"/>
      <c r="I920" s="1425"/>
      <c r="J920" s="1421">
        <v>5.44</v>
      </c>
      <c r="K920" s="836"/>
      <c r="L920" s="838" t="s">
        <v>1258</v>
      </c>
      <c r="M920" s="1753"/>
      <c r="N920" s="1759"/>
      <c r="O920" s="277"/>
      <c r="P920" s="277"/>
      <c r="Q920" s="277"/>
      <c r="R920" s="277"/>
      <c r="S920" s="277"/>
      <c r="T920" s="157"/>
      <c r="U920" s="157"/>
      <c r="V920" s="3676"/>
      <c r="W920" s="766">
        <v>5.44</v>
      </c>
      <c r="X920" s="766">
        <v>5.44</v>
      </c>
      <c r="Y920" s="766">
        <v>5.44</v>
      </c>
      <c r="Z920" s="2426">
        <v>5.44</v>
      </c>
      <c r="AA920" s="2426">
        <v>5.44</v>
      </c>
      <c r="AB920" s="2425">
        <v>5.44</v>
      </c>
      <c r="AC920" s="766"/>
      <c r="AD920" s="766"/>
      <c r="AE920" s="766"/>
      <c r="AF920" s="766"/>
      <c r="AG920" s="782"/>
      <c r="BB920" s="647"/>
      <c r="BC920" s="648"/>
      <c r="BD920" s="757"/>
    </row>
    <row r="921" spans="1:56" s="64" customFormat="1" outlineLevel="1" x14ac:dyDescent="0.25">
      <c r="A921" s="1393"/>
      <c r="B921" s="277"/>
      <c r="C921" s="385"/>
      <c r="D921" s="3676"/>
      <c r="E921" s="3589"/>
      <c r="F921" s="3671" t="str">
        <f t="shared" si="83"/>
        <v>Ductless ASHP Replace Electric Resistance ER1 SF</v>
      </c>
      <c r="G921" s="3671"/>
      <c r="H921" s="3671"/>
      <c r="I921" s="1425"/>
      <c r="J921" s="1421">
        <v>3.4119999999999999</v>
      </c>
      <c r="K921" s="836"/>
      <c r="L921" s="838" t="s">
        <v>1258</v>
      </c>
      <c r="M921" s="1753"/>
      <c r="N921" s="1759"/>
      <c r="O921" s="277"/>
      <c r="P921" s="277"/>
      <c r="Q921" s="277"/>
      <c r="R921" s="277"/>
      <c r="S921" s="277"/>
      <c r="T921" s="157"/>
      <c r="U921" s="157"/>
      <c r="V921" s="3676"/>
      <c r="W921" s="766">
        <v>3.4119999999999999</v>
      </c>
      <c r="X921" s="766">
        <v>3.4119999999999999</v>
      </c>
      <c r="Y921" s="766">
        <v>3.4119999999999999</v>
      </c>
      <c r="Z921" s="2426">
        <v>3.4119999999999999</v>
      </c>
      <c r="AA921" s="2426">
        <v>3.4119999999999999</v>
      </c>
      <c r="AB921" s="2425">
        <v>3.4119999999999999</v>
      </c>
      <c r="AC921" s="766"/>
      <c r="AD921" s="766"/>
      <c r="AE921" s="766"/>
      <c r="AF921" s="766"/>
      <c r="AG921" s="782"/>
      <c r="BB921" s="647"/>
      <c r="BC921" s="648"/>
      <c r="BD921" s="757"/>
    </row>
    <row r="922" spans="1:56" s="64" customFormat="1" outlineLevel="1" x14ac:dyDescent="0.25">
      <c r="A922" s="1393"/>
      <c r="B922" s="277"/>
      <c r="C922" s="385"/>
      <c r="D922" s="3676"/>
      <c r="E922" s="3589"/>
      <c r="F922" s="3671" t="str">
        <f t="shared" si="83"/>
        <v>Ductless ASHP Replace Electric Resistance ROF SF</v>
      </c>
      <c r="G922" s="3671"/>
      <c r="H922" s="3671"/>
      <c r="I922" s="1425"/>
      <c r="J922" s="1421">
        <v>3.4119999999999999</v>
      </c>
      <c r="K922" s="836"/>
      <c r="L922" s="838" t="s">
        <v>1258</v>
      </c>
      <c r="M922" s="1753"/>
      <c r="N922" s="1759"/>
      <c r="O922" s="277"/>
      <c r="P922" s="277"/>
      <c r="Q922" s="277"/>
      <c r="R922" s="277"/>
      <c r="S922" s="277"/>
      <c r="T922" s="157"/>
      <c r="U922" s="157"/>
      <c r="V922" s="3676"/>
      <c r="W922" s="766">
        <v>3.4119999999999999</v>
      </c>
      <c r="X922" s="766">
        <v>3.4119999999999999</v>
      </c>
      <c r="Y922" s="766">
        <v>3.4119999999999999</v>
      </c>
      <c r="Z922" s="2426">
        <v>3.4119999999999999</v>
      </c>
      <c r="AA922" s="2426">
        <v>3.4119999999999999</v>
      </c>
      <c r="AB922" s="2425">
        <v>3.4119999999999999</v>
      </c>
      <c r="AC922" s="766"/>
      <c r="AD922" s="766"/>
      <c r="AE922" s="766"/>
      <c r="AF922" s="766"/>
      <c r="AG922" s="782"/>
      <c r="BB922" s="647"/>
      <c r="BC922" s="648"/>
      <c r="BD922" s="757"/>
    </row>
    <row r="923" spans="1:56" s="64" customFormat="1" outlineLevel="1" x14ac:dyDescent="0.25">
      <c r="A923" s="1393"/>
      <c r="B923" s="277"/>
      <c r="C923" s="385"/>
      <c r="D923" s="3676"/>
      <c r="E923" s="3589"/>
      <c r="F923" s="3671" t="str">
        <f t="shared" si="83"/>
        <v>Ductless ASHP ER1 SF</v>
      </c>
      <c r="G923" s="3671"/>
      <c r="H923" s="3671"/>
      <c r="I923" s="1425"/>
      <c r="J923" s="1421">
        <v>5.44</v>
      </c>
      <c r="K923" s="836"/>
      <c r="L923" s="838" t="s">
        <v>1258</v>
      </c>
      <c r="M923" s="1775"/>
      <c r="N923" s="1759"/>
      <c r="O923" s="277"/>
      <c r="P923" s="277"/>
      <c r="Q923" s="277"/>
      <c r="R923" s="277"/>
      <c r="S923" s="277"/>
      <c r="T923" s="157"/>
      <c r="U923" s="157"/>
      <c r="V923" s="3676"/>
      <c r="W923" s="766">
        <v>5.44</v>
      </c>
      <c r="X923" s="766">
        <v>5.44</v>
      </c>
      <c r="Y923" s="766">
        <v>5.44</v>
      </c>
      <c r="Z923" s="2426">
        <v>5.44</v>
      </c>
      <c r="AA923" s="2426">
        <v>5.44</v>
      </c>
      <c r="AB923" s="2425">
        <v>5.44</v>
      </c>
      <c r="AC923" s="766"/>
      <c r="AD923" s="766"/>
      <c r="AE923" s="766"/>
      <c r="AF923" s="766"/>
      <c r="AG923" s="782"/>
      <c r="BB923" s="647"/>
      <c r="BC923" s="648"/>
      <c r="BD923" s="757"/>
    </row>
    <row r="924" spans="1:56" s="64" customFormat="1" outlineLevel="1" x14ac:dyDescent="0.25">
      <c r="A924" s="1393"/>
      <c r="B924" s="277"/>
      <c r="C924" s="385"/>
      <c r="D924" s="3676"/>
      <c r="E924" s="3589"/>
      <c r="F924" s="3671" t="str">
        <f t="shared" si="83"/>
        <v>Ductless AC - ER1 MF</v>
      </c>
      <c r="G924" s="3671"/>
      <c r="H924" s="3671"/>
      <c r="I924" s="1425"/>
      <c r="J924" s="1421">
        <f>J917</f>
        <v>0</v>
      </c>
      <c r="K924" s="836"/>
      <c r="L924" s="837"/>
      <c r="M924" s="1775"/>
      <c r="N924" s="1759"/>
      <c r="O924" s="277"/>
      <c r="P924" s="277"/>
      <c r="Q924" s="277"/>
      <c r="R924" s="277"/>
      <c r="S924" s="277"/>
      <c r="T924" s="157"/>
      <c r="U924" s="157"/>
      <c r="V924" s="3676"/>
      <c r="W924" s="766"/>
      <c r="X924" s="765"/>
      <c r="Y924" s="765">
        <v>0</v>
      </c>
      <c r="Z924" s="2426">
        <v>0</v>
      </c>
      <c r="AA924" s="2426">
        <v>0</v>
      </c>
      <c r="AB924" s="2425">
        <v>0</v>
      </c>
      <c r="AC924" s="766"/>
      <c r="AD924" s="766"/>
      <c r="AE924" s="766"/>
      <c r="AF924" s="766"/>
      <c r="AG924" s="782"/>
      <c r="BB924" s="647"/>
      <c r="BC924" s="648"/>
      <c r="BD924" s="757"/>
    </row>
    <row r="925" spans="1:56" s="64" customFormat="1" outlineLevel="1" x14ac:dyDescent="0.25">
      <c r="A925" s="1393"/>
      <c r="B925" s="277"/>
      <c r="C925" s="385"/>
      <c r="D925" s="3676"/>
      <c r="E925" s="3589"/>
      <c r="F925" s="3671" t="str">
        <f t="shared" si="83"/>
        <v>Ductless AC - ROF MF</v>
      </c>
      <c r="G925" s="3671"/>
      <c r="H925" s="3671"/>
      <c r="I925" s="1425"/>
      <c r="J925" s="1421">
        <f t="shared" ref="J925:J930" si="86">J918</f>
        <v>0</v>
      </c>
      <c r="K925" s="836"/>
      <c r="L925" s="837"/>
      <c r="M925" s="1775"/>
      <c r="N925" s="1759"/>
      <c r="O925" s="277"/>
      <c r="P925" s="277"/>
      <c r="Q925" s="277"/>
      <c r="R925" s="277"/>
      <c r="S925" s="277"/>
      <c r="T925" s="157"/>
      <c r="U925" s="157"/>
      <c r="V925" s="3676"/>
      <c r="W925" s="766"/>
      <c r="X925" s="765"/>
      <c r="Y925" s="765">
        <v>0</v>
      </c>
      <c r="Z925" s="2426">
        <v>0</v>
      </c>
      <c r="AA925" s="2426">
        <v>0</v>
      </c>
      <c r="AB925" s="2425">
        <v>0</v>
      </c>
      <c r="AC925" s="766"/>
      <c r="AD925" s="766"/>
      <c r="AE925" s="766"/>
      <c r="AF925" s="766"/>
      <c r="AG925" s="782"/>
      <c r="BB925" s="647"/>
      <c r="BC925" s="648"/>
      <c r="BD925" s="757"/>
    </row>
    <row r="926" spans="1:56" s="64" customFormat="1" outlineLevel="1" x14ac:dyDescent="0.25">
      <c r="A926" s="1393"/>
      <c r="B926" s="277"/>
      <c r="C926" s="385"/>
      <c r="D926" s="3676"/>
      <c r="E926" s="3589"/>
      <c r="F926" s="3671" t="str">
        <f t="shared" si="83"/>
        <v>Ductless ASHP - ROF MF NC</v>
      </c>
      <c r="G926" s="3671"/>
      <c r="H926" s="3671"/>
      <c r="I926" s="1425"/>
      <c r="J926" s="1421">
        <f t="shared" si="86"/>
        <v>5.44</v>
      </c>
      <c r="K926" s="836"/>
      <c r="L926" s="837"/>
      <c r="M926" s="1775"/>
      <c r="N926" s="1759"/>
      <c r="O926" s="277"/>
      <c r="P926" s="277"/>
      <c r="Q926" s="277"/>
      <c r="R926" s="277"/>
      <c r="S926" s="277"/>
      <c r="T926" s="157"/>
      <c r="U926" s="157"/>
      <c r="V926" s="3676"/>
      <c r="W926" s="766"/>
      <c r="X926" s="765"/>
      <c r="Y926" s="765">
        <v>5.44</v>
      </c>
      <c r="Z926" s="2426">
        <v>5.44</v>
      </c>
      <c r="AA926" s="2426">
        <v>5.44</v>
      </c>
      <c r="AB926" s="2425">
        <v>5.44</v>
      </c>
      <c r="AC926" s="766"/>
      <c r="AD926" s="766"/>
      <c r="AE926" s="766"/>
      <c r="AF926" s="766"/>
      <c r="AG926" s="782"/>
      <c r="BB926" s="647"/>
      <c r="BC926" s="648"/>
      <c r="BD926" s="757"/>
    </row>
    <row r="927" spans="1:56" s="64" customFormat="1" outlineLevel="1" x14ac:dyDescent="0.25">
      <c r="A927" s="1393"/>
      <c r="B927" s="277"/>
      <c r="C927" s="385"/>
      <c r="D927" s="3676"/>
      <c r="E927" s="3589"/>
      <c r="F927" s="3671" t="str">
        <f t="shared" si="83"/>
        <v>Ductless ASHP - ROF MF</v>
      </c>
      <c r="G927" s="3671"/>
      <c r="H927" s="3671"/>
      <c r="I927" s="1425"/>
      <c r="J927" s="1421">
        <f t="shared" si="86"/>
        <v>5.44</v>
      </c>
      <c r="K927" s="836"/>
      <c r="L927" s="837"/>
      <c r="M927" s="1775"/>
      <c r="N927" s="1759"/>
      <c r="O927" s="277"/>
      <c r="P927" s="277"/>
      <c r="Q927" s="277"/>
      <c r="R927" s="277"/>
      <c r="S927" s="277"/>
      <c r="T927" s="157"/>
      <c r="U927" s="157"/>
      <c r="V927" s="3676"/>
      <c r="W927" s="766"/>
      <c r="X927" s="765"/>
      <c r="Y927" s="765">
        <v>5.44</v>
      </c>
      <c r="Z927" s="2426">
        <v>5.44</v>
      </c>
      <c r="AA927" s="2426">
        <v>5.44</v>
      </c>
      <c r="AB927" s="2425">
        <v>5.44</v>
      </c>
      <c r="AC927" s="766"/>
      <c r="AD927" s="766"/>
      <c r="AE927" s="766"/>
      <c r="AF927" s="766"/>
      <c r="AG927" s="782"/>
      <c r="BB927" s="647"/>
      <c r="BC927" s="648"/>
      <c r="BD927" s="757"/>
    </row>
    <row r="928" spans="1:56" s="64" customFormat="1" outlineLevel="1" x14ac:dyDescent="0.25">
      <c r="A928" s="1393"/>
      <c r="B928" s="277"/>
      <c r="C928" s="385"/>
      <c r="D928" s="3676"/>
      <c r="E928" s="3589"/>
      <c r="F928" s="3671" t="str">
        <f t="shared" si="83"/>
        <v>Ductless ASHP Replace Electric Resistance ER1 MF</v>
      </c>
      <c r="G928" s="3671"/>
      <c r="H928" s="3671"/>
      <c r="I928" s="1425"/>
      <c r="J928" s="1421">
        <f t="shared" si="86"/>
        <v>3.4119999999999999</v>
      </c>
      <c r="K928" s="836"/>
      <c r="L928" s="837"/>
      <c r="M928" s="1775"/>
      <c r="N928" s="1759"/>
      <c r="O928" s="277"/>
      <c r="P928" s="277"/>
      <c r="Q928" s="277"/>
      <c r="R928" s="277"/>
      <c r="S928" s="277"/>
      <c r="T928" s="157"/>
      <c r="U928" s="157"/>
      <c r="V928" s="3676"/>
      <c r="W928" s="766"/>
      <c r="X928" s="765"/>
      <c r="Y928" s="765">
        <v>3.4119999999999999</v>
      </c>
      <c r="Z928" s="2426">
        <v>3.4119999999999999</v>
      </c>
      <c r="AA928" s="2426">
        <v>3.4119999999999999</v>
      </c>
      <c r="AB928" s="2425">
        <v>3.4119999999999999</v>
      </c>
      <c r="AC928" s="766"/>
      <c r="AD928" s="766"/>
      <c r="AE928" s="766"/>
      <c r="AF928" s="766"/>
      <c r="AG928" s="782"/>
      <c r="BB928" s="647"/>
      <c r="BC928" s="648"/>
      <c r="BD928" s="757"/>
    </row>
    <row r="929" spans="1:56" s="64" customFormat="1" outlineLevel="1" x14ac:dyDescent="0.25">
      <c r="A929" s="1393"/>
      <c r="B929" s="277"/>
      <c r="C929" s="385"/>
      <c r="D929" s="3676"/>
      <c r="E929" s="3589"/>
      <c r="F929" s="3671" t="str">
        <f t="shared" si="83"/>
        <v>Ductless ASHP Replace Electric Resistance ROF MF</v>
      </c>
      <c r="G929" s="3671"/>
      <c r="H929" s="3671"/>
      <c r="I929" s="1425"/>
      <c r="J929" s="1421">
        <f t="shared" si="86"/>
        <v>3.4119999999999999</v>
      </c>
      <c r="K929" s="836"/>
      <c r="L929" s="837"/>
      <c r="M929" s="1775"/>
      <c r="N929" s="1759"/>
      <c r="O929" s="277"/>
      <c r="P929" s="277"/>
      <c r="Q929" s="277"/>
      <c r="R929" s="277"/>
      <c r="S929" s="277"/>
      <c r="T929" s="157"/>
      <c r="U929" s="157"/>
      <c r="V929" s="3676"/>
      <c r="W929" s="766"/>
      <c r="X929" s="765"/>
      <c r="Y929" s="765">
        <v>3.4119999999999999</v>
      </c>
      <c r="Z929" s="2426">
        <v>3.4119999999999999</v>
      </c>
      <c r="AA929" s="2426">
        <v>3.4119999999999999</v>
      </c>
      <c r="AB929" s="2425">
        <v>3.4119999999999999</v>
      </c>
      <c r="AC929" s="766"/>
      <c r="AD929" s="766"/>
      <c r="AE929" s="766"/>
      <c r="AF929" s="766"/>
      <c r="AG929" s="782"/>
      <c r="BB929" s="647"/>
      <c r="BC929" s="648"/>
      <c r="BD929" s="757"/>
    </row>
    <row r="930" spans="1:56" s="64" customFormat="1" outlineLevel="1" x14ac:dyDescent="0.25">
      <c r="A930" s="1393"/>
      <c r="B930" s="277"/>
      <c r="C930" s="385"/>
      <c r="D930" s="3676"/>
      <c r="E930" s="3589"/>
      <c r="F930" s="3671" t="str">
        <f t="shared" si="83"/>
        <v>Ductless ASHP ER1 MF</v>
      </c>
      <c r="G930" s="3671"/>
      <c r="H930" s="3671"/>
      <c r="I930" s="1425"/>
      <c r="J930" s="1421">
        <f t="shared" si="86"/>
        <v>5.44</v>
      </c>
      <c r="K930" s="836"/>
      <c r="L930" s="837"/>
      <c r="M930" s="1775"/>
      <c r="N930" s="1759"/>
      <c r="O930" s="277"/>
      <c r="P930" s="277"/>
      <c r="Q930" s="277"/>
      <c r="R930" s="277"/>
      <c r="S930" s="277"/>
      <c r="T930" s="157"/>
      <c r="U930" s="157"/>
      <c r="V930" s="3676"/>
      <c r="W930" s="766"/>
      <c r="X930" s="765"/>
      <c r="Y930" s="765">
        <v>5.44</v>
      </c>
      <c r="Z930" s="2426">
        <v>5.44</v>
      </c>
      <c r="AA930" s="2426">
        <v>5.44</v>
      </c>
      <c r="AB930" s="2425">
        <v>5.44</v>
      </c>
      <c r="AC930" s="766"/>
      <c r="AD930" s="766"/>
      <c r="AE930" s="766"/>
      <c r="AF930" s="766"/>
      <c r="AG930" s="782"/>
      <c r="BB930" s="647"/>
      <c r="BC930" s="648"/>
      <c r="BD930" s="757"/>
    </row>
    <row r="931" spans="1:56" s="64" customFormat="1" outlineLevel="1" x14ac:dyDescent="0.25">
      <c r="A931" s="1393"/>
      <c r="B931" s="277"/>
      <c r="C931" s="385"/>
      <c r="D931" s="3677"/>
      <c r="E931" s="3590"/>
      <c r="F931" s="3671" t="str">
        <f t="shared" si="83"/>
        <v>Ductless AC - ER1 MF_CompE</v>
      </c>
      <c r="G931" s="3671"/>
      <c r="H931" s="3671"/>
      <c r="I931" s="1425"/>
      <c r="J931" s="1421">
        <f>J917</f>
        <v>0</v>
      </c>
      <c r="K931" s="836"/>
      <c r="L931" s="837"/>
      <c r="M931" s="1775"/>
      <c r="N931" s="1759"/>
      <c r="O931" s="277"/>
      <c r="P931" s="277"/>
      <c r="Q931" s="277"/>
      <c r="R931" s="277"/>
      <c r="S931" s="277"/>
      <c r="T931" s="157"/>
      <c r="U931" s="157"/>
      <c r="V931" s="3677"/>
      <c r="W931" s="766"/>
      <c r="X931" s="766"/>
      <c r="Y931" s="765">
        <v>0</v>
      </c>
      <c r="Z931" s="2426">
        <v>0</v>
      </c>
      <c r="AA931" s="2426">
        <v>0</v>
      </c>
      <c r="AB931" s="2425">
        <v>0</v>
      </c>
      <c r="AC931" s="766"/>
      <c r="AD931" s="766"/>
      <c r="AE931" s="766"/>
      <c r="AF931" s="766"/>
      <c r="AG931" s="782"/>
      <c r="BB931" s="647"/>
      <c r="BC931" s="648"/>
      <c r="BD931" s="757"/>
    </row>
    <row r="932" spans="1:56" s="64" customFormat="1" outlineLevel="1" x14ac:dyDescent="0.25">
      <c r="A932" s="1393"/>
      <c r="B932" s="277"/>
      <c r="C932" s="385"/>
      <c r="D932" s="3677"/>
      <c r="E932" s="3590"/>
      <c r="F932" s="3671" t="str">
        <f t="shared" si="83"/>
        <v>Ductless AC - ROF MF_CompE</v>
      </c>
      <c r="G932" s="3671"/>
      <c r="H932" s="3671"/>
      <c r="I932" s="1425"/>
      <c r="J932" s="1421">
        <f t="shared" ref="J932:J937" si="87">J918</f>
        <v>0</v>
      </c>
      <c r="K932" s="836"/>
      <c r="L932" s="837"/>
      <c r="M932" s="1775"/>
      <c r="N932" s="1759"/>
      <c r="O932" s="277"/>
      <c r="P932" s="277"/>
      <c r="Q932" s="277"/>
      <c r="R932" s="277"/>
      <c r="S932" s="277"/>
      <c r="T932" s="157"/>
      <c r="U932" s="157"/>
      <c r="V932" s="3677"/>
      <c r="W932" s="766"/>
      <c r="X932" s="766"/>
      <c r="Y932" s="765">
        <v>0</v>
      </c>
      <c r="Z932" s="2426">
        <v>0</v>
      </c>
      <c r="AA932" s="2426">
        <v>0</v>
      </c>
      <c r="AB932" s="2425">
        <v>0</v>
      </c>
      <c r="AC932" s="766"/>
      <c r="AD932" s="766"/>
      <c r="AE932" s="766"/>
      <c r="AF932" s="766"/>
      <c r="AG932" s="782"/>
      <c r="BB932" s="647"/>
      <c r="BC932" s="648"/>
      <c r="BD932" s="757"/>
    </row>
    <row r="933" spans="1:56" s="64" customFormat="1" outlineLevel="1" x14ac:dyDescent="0.25">
      <c r="A933" s="1393"/>
      <c r="B933" s="277"/>
      <c r="C933" s="385"/>
      <c r="D933" s="3677"/>
      <c r="E933" s="3590"/>
      <c r="F933" s="3671" t="str">
        <f t="shared" si="83"/>
        <v>Ductless ASHP - ROF MF NC_CompE</v>
      </c>
      <c r="G933" s="3671"/>
      <c r="H933" s="3671"/>
      <c r="I933" s="1425"/>
      <c r="J933" s="1421">
        <f t="shared" si="87"/>
        <v>5.44</v>
      </c>
      <c r="K933" s="836"/>
      <c r="L933" s="837"/>
      <c r="M933" s="1775"/>
      <c r="N933" s="1759"/>
      <c r="O933" s="277"/>
      <c r="P933" s="277"/>
      <c r="Q933" s="277"/>
      <c r="R933" s="277"/>
      <c r="S933" s="277"/>
      <c r="T933" s="157"/>
      <c r="U933" s="157"/>
      <c r="V933" s="3677"/>
      <c r="W933" s="766"/>
      <c r="X933" s="766"/>
      <c r="Y933" s="765">
        <v>5.44</v>
      </c>
      <c r="Z933" s="2426">
        <v>5.44</v>
      </c>
      <c r="AA933" s="2426">
        <v>5.44</v>
      </c>
      <c r="AB933" s="2425">
        <v>5.44</v>
      </c>
      <c r="AC933" s="766"/>
      <c r="AD933" s="766"/>
      <c r="AE933" s="766"/>
      <c r="AF933" s="766"/>
      <c r="AG933" s="782"/>
      <c r="BB933" s="647"/>
      <c r="BC933" s="648"/>
      <c r="BD933" s="757"/>
    </row>
    <row r="934" spans="1:56" s="64" customFormat="1" outlineLevel="1" x14ac:dyDescent="0.25">
      <c r="A934" s="1393"/>
      <c r="B934" s="277"/>
      <c r="C934" s="385"/>
      <c r="D934" s="3677"/>
      <c r="E934" s="3590"/>
      <c r="F934" s="3671" t="str">
        <f t="shared" si="83"/>
        <v>Ductless ASHP - ROF MF_CompE</v>
      </c>
      <c r="G934" s="3671"/>
      <c r="H934" s="3671"/>
      <c r="I934" s="1425"/>
      <c r="J934" s="1421">
        <f t="shared" si="87"/>
        <v>5.44</v>
      </c>
      <c r="K934" s="836"/>
      <c r="L934" s="838"/>
      <c r="M934" s="1775"/>
      <c r="N934" s="1759"/>
      <c r="O934" s="277"/>
      <c r="P934" s="277"/>
      <c r="Q934" s="277"/>
      <c r="R934" s="277"/>
      <c r="S934" s="277"/>
      <c r="T934" s="157"/>
      <c r="U934" s="157"/>
      <c r="V934" s="3677"/>
      <c r="W934" s="766"/>
      <c r="X934" s="766"/>
      <c r="Y934" s="765">
        <v>5.44</v>
      </c>
      <c r="Z934" s="2426">
        <v>5.44</v>
      </c>
      <c r="AA934" s="2426">
        <v>5.44</v>
      </c>
      <c r="AB934" s="2425">
        <v>5.44</v>
      </c>
      <c r="AC934" s="766"/>
      <c r="AD934" s="766"/>
      <c r="AE934" s="766"/>
      <c r="AF934" s="766"/>
      <c r="AG934" s="782"/>
      <c r="BB934" s="647"/>
      <c r="BC934" s="648"/>
      <c r="BD934" s="757"/>
    </row>
    <row r="935" spans="1:56" s="64" customFormat="1" outlineLevel="1" x14ac:dyDescent="0.25">
      <c r="A935" s="1393"/>
      <c r="B935" s="277"/>
      <c r="C935" s="385"/>
      <c r="D935" s="3677"/>
      <c r="E935" s="3590"/>
      <c r="F935" s="3671" t="str">
        <f t="shared" si="83"/>
        <v>Ductless ASHP Replace Electric Resistance ER1 MF_CompE</v>
      </c>
      <c r="G935" s="3671"/>
      <c r="H935" s="3671"/>
      <c r="I935" s="1425"/>
      <c r="J935" s="1421">
        <f t="shared" si="87"/>
        <v>3.4119999999999999</v>
      </c>
      <c r="K935" s="836"/>
      <c r="L935" s="838"/>
      <c r="M935" s="1775"/>
      <c r="N935" s="1759"/>
      <c r="O935" s="277"/>
      <c r="P935" s="277"/>
      <c r="Q935" s="277"/>
      <c r="R935" s="277"/>
      <c r="S935" s="277"/>
      <c r="T935" s="157"/>
      <c r="U935" s="157"/>
      <c r="V935" s="3677"/>
      <c r="W935" s="766"/>
      <c r="X935" s="766"/>
      <c r="Y935" s="765">
        <v>3.4119999999999999</v>
      </c>
      <c r="Z935" s="2426">
        <v>3.4119999999999999</v>
      </c>
      <c r="AA935" s="2426">
        <v>3.4119999999999999</v>
      </c>
      <c r="AB935" s="2425">
        <v>3.4119999999999999</v>
      </c>
      <c r="AC935" s="766"/>
      <c r="AD935" s="766"/>
      <c r="AE935" s="766"/>
      <c r="AF935" s="766"/>
      <c r="AG935" s="782"/>
      <c r="BB935" s="647"/>
      <c r="BC935" s="648"/>
      <c r="BD935" s="757"/>
    </row>
    <row r="936" spans="1:56" s="64" customFormat="1" outlineLevel="1" x14ac:dyDescent="0.25">
      <c r="A936" s="1393"/>
      <c r="B936" s="277"/>
      <c r="C936" s="385"/>
      <c r="D936" s="3677"/>
      <c r="E936" s="3590"/>
      <c r="F936" s="3671" t="str">
        <f t="shared" si="83"/>
        <v>Ductless ASHP Replace Electric Resistance ROF MF_CompE</v>
      </c>
      <c r="G936" s="3671"/>
      <c r="H936" s="3671"/>
      <c r="I936" s="1425"/>
      <c r="J936" s="1421">
        <f t="shared" si="87"/>
        <v>3.4119999999999999</v>
      </c>
      <c r="K936" s="836"/>
      <c r="L936" s="838"/>
      <c r="M936" s="1775"/>
      <c r="N936" s="1759"/>
      <c r="O936" s="277"/>
      <c r="P936" s="277"/>
      <c r="Q936" s="277"/>
      <c r="R936" s="277"/>
      <c r="S936" s="277"/>
      <c r="T936" s="157"/>
      <c r="U936" s="157"/>
      <c r="V936" s="3677"/>
      <c r="W936" s="766"/>
      <c r="X936" s="766"/>
      <c r="Y936" s="765">
        <v>3.4119999999999999</v>
      </c>
      <c r="Z936" s="2426">
        <v>3.4119999999999999</v>
      </c>
      <c r="AA936" s="2426">
        <v>3.4119999999999999</v>
      </c>
      <c r="AB936" s="2425">
        <v>3.4119999999999999</v>
      </c>
      <c r="AC936" s="766"/>
      <c r="AD936" s="766"/>
      <c r="AE936" s="766"/>
      <c r="AF936" s="766"/>
      <c r="AG936" s="782"/>
      <c r="BB936" s="647"/>
      <c r="BC936" s="648"/>
      <c r="BD936" s="757"/>
    </row>
    <row r="937" spans="1:56" s="64" customFormat="1" ht="15.75" outlineLevel="1" thickBot="1" x14ac:dyDescent="0.3">
      <c r="A937" s="1393"/>
      <c r="B937" s="277"/>
      <c r="C937" s="385"/>
      <c r="D937" s="3678"/>
      <c r="E937" s="3591"/>
      <c r="F937" s="3671" t="str">
        <f t="shared" si="83"/>
        <v>Ductless ASHP ER1 MF_CompE</v>
      </c>
      <c r="G937" s="3671"/>
      <c r="H937" s="3671"/>
      <c r="I937" s="863"/>
      <c r="J937" s="1421">
        <f t="shared" si="87"/>
        <v>5.44</v>
      </c>
      <c r="K937" s="836"/>
      <c r="L937" s="1776"/>
      <c r="M937" s="1775"/>
      <c r="N937" s="1759"/>
      <c r="O937" s="277"/>
      <c r="P937" s="277"/>
      <c r="Q937" s="277"/>
      <c r="R937" s="277"/>
      <c r="S937" s="277"/>
      <c r="T937" s="157"/>
      <c r="U937" s="157"/>
      <c r="V937" s="3678"/>
      <c r="W937" s="792"/>
      <c r="X937" s="792"/>
      <c r="Y937" s="846">
        <v>5.44</v>
      </c>
      <c r="Z937" s="2429">
        <v>5.44</v>
      </c>
      <c r="AA937" s="2429">
        <v>5.44</v>
      </c>
      <c r="AB937" s="2425">
        <v>5.44</v>
      </c>
      <c r="AC937" s="792"/>
      <c r="AD937" s="792"/>
      <c r="AE937" s="792"/>
      <c r="AF937" s="792"/>
      <c r="AG937" s="840"/>
      <c r="BB937" s="647"/>
      <c r="BC937" s="648"/>
      <c r="BD937" s="757"/>
    </row>
    <row r="938" spans="1:56" s="64" customFormat="1" outlineLevel="1" x14ac:dyDescent="0.25">
      <c r="A938" s="1393"/>
      <c r="B938" s="277"/>
      <c r="C938" s="385"/>
      <c r="D938" s="3638" t="s">
        <v>306</v>
      </c>
      <c r="E938" s="3588" t="s">
        <v>1259</v>
      </c>
      <c r="F938" s="3683" t="str">
        <f t="shared" si="83"/>
        <v>Ductless AC - ER1 SF</v>
      </c>
      <c r="G938" s="3684"/>
      <c r="H938" s="3685"/>
      <c r="I938" s="3059"/>
      <c r="J938" s="2676">
        <v>0</v>
      </c>
      <c r="K938" s="833"/>
      <c r="L938" s="834" t="s">
        <v>1251</v>
      </c>
      <c r="M938" s="1775"/>
      <c r="N938" s="1759"/>
      <c r="O938" s="277"/>
      <c r="P938" s="277"/>
      <c r="Q938" s="277"/>
      <c r="R938" s="277"/>
      <c r="S938" s="277"/>
      <c r="T938" s="157"/>
      <c r="U938" s="157"/>
      <c r="V938" s="3638" t="s">
        <v>306</v>
      </c>
      <c r="W938" s="760">
        <v>0</v>
      </c>
      <c r="X938" s="760">
        <v>0</v>
      </c>
      <c r="Y938" s="759">
        <v>0</v>
      </c>
      <c r="Z938" s="2428">
        <v>0</v>
      </c>
      <c r="AA938" s="2428">
        <v>0</v>
      </c>
      <c r="AB938" s="2676">
        <v>0</v>
      </c>
      <c r="AC938" s="760"/>
      <c r="AD938" s="760"/>
      <c r="AE938" s="760"/>
      <c r="AF938" s="760"/>
      <c r="AG938" s="835"/>
      <c r="BB938" s="647"/>
      <c r="BC938" s="648"/>
      <c r="BD938" s="757"/>
    </row>
    <row r="939" spans="1:56" s="64" customFormat="1" outlineLevel="1" x14ac:dyDescent="0.25">
      <c r="A939" s="1393"/>
      <c r="B939" s="277"/>
      <c r="C939" s="385"/>
      <c r="D939" s="3676"/>
      <c r="E939" s="3589"/>
      <c r="F939" s="3688" t="str">
        <f t="shared" ref="F939:F1002" si="88">F918</f>
        <v>Ductless AC - ROF SF</v>
      </c>
      <c r="G939" s="3689"/>
      <c r="H939" s="3690"/>
      <c r="I939" s="3055"/>
      <c r="J939" s="2674">
        <v>0</v>
      </c>
      <c r="K939" s="836"/>
      <c r="L939" s="2675" t="s">
        <v>1251</v>
      </c>
      <c r="M939" s="1775"/>
      <c r="N939" s="1759"/>
      <c r="O939" s="277"/>
      <c r="P939" s="277"/>
      <c r="Q939" s="277"/>
      <c r="R939" s="277"/>
      <c r="S939" s="277"/>
      <c r="T939" s="157"/>
      <c r="U939" s="157"/>
      <c r="V939" s="3676"/>
      <c r="W939" s="766">
        <v>0</v>
      </c>
      <c r="X939" s="766">
        <v>0</v>
      </c>
      <c r="Y939" s="765">
        <v>0</v>
      </c>
      <c r="Z939" s="2426">
        <v>0</v>
      </c>
      <c r="AA939" s="2426">
        <v>0</v>
      </c>
      <c r="AB939" s="2674">
        <v>0</v>
      </c>
      <c r="AC939" s="766"/>
      <c r="AD939" s="766"/>
      <c r="AE939" s="766"/>
      <c r="AF939" s="766"/>
      <c r="AG939" s="782"/>
      <c r="BB939" s="647"/>
      <c r="BC939" s="648"/>
      <c r="BD939" s="757"/>
    </row>
    <row r="940" spans="1:56" s="64" customFormat="1" outlineLevel="1" x14ac:dyDescent="0.25">
      <c r="A940" s="1393"/>
      <c r="B940" s="277"/>
      <c r="C940" s="385"/>
      <c r="D940" s="3676"/>
      <c r="E940" s="3589"/>
      <c r="F940" s="3688" t="str">
        <f t="shared" si="88"/>
        <v>Ductless ASHP - ROF SF NC</v>
      </c>
      <c r="G940" s="3689"/>
      <c r="H940" s="3690"/>
      <c r="I940" s="3055"/>
      <c r="J940" s="2674">
        <v>10.6</v>
      </c>
      <c r="K940" s="836"/>
      <c r="L940" s="2675"/>
      <c r="M940" s="1775"/>
      <c r="N940" s="1759"/>
      <c r="O940" s="277"/>
      <c r="P940" s="277"/>
      <c r="Q940" s="277"/>
      <c r="R940" s="277"/>
      <c r="S940" s="277"/>
      <c r="T940" s="157"/>
      <c r="U940" s="157"/>
      <c r="V940" s="3676"/>
      <c r="W940" s="766">
        <v>11.4</v>
      </c>
      <c r="X940" s="765">
        <v>11.32</v>
      </c>
      <c r="Y940" s="765">
        <v>10.6</v>
      </c>
      <c r="Z940" s="2426">
        <v>10.6</v>
      </c>
      <c r="AA940" s="2426">
        <v>10.6</v>
      </c>
      <c r="AB940" s="2674">
        <v>10.6</v>
      </c>
      <c r="AC940" s="766"/>
      <c r="AD940" s="766"/>
      <c r="AE940" s="766"/>
      <c r="AF940" s="766"/>
      <c r="AG940" s="782"/>
      <c r="BB940" s="647"/>
      <c r="BC940" s="648"/>
      <c r="BD940" s="757"/>
    </row>
    <row r="941" spans="1:56" s="64" customFormat="1" outlineLevel="1" x14ac:dyDescent="0.25">
      <c r="A941" s="1393"/>
      <c r="B941" s="277"/>
      <c r="C941" s="385"/>
      <c r="D941" s="3676"/>
      <c r="E941" s="3589"/>
      <c r="F941" s="3688" t="str">
        <f t="shared" si="88"/>
        <v>Ductless ASHP - ROF SF</v>
      </c>
      <c r="G941" s="3689"/>
      <c r="H941" s="3690"/>
      <c r="I941" s="3055"/>
      <c r="J941" s="2687">
        <v>11.003896103896107</v>
      </c>
      <c r="K941" s="836"/>
      <c r="L941" s="2718" t="s">
        <v>3674</v>
      </c>
      <c r="M941" s="1753"/>
      <c r="N941" s="1759"/>
      <c r="O941" s="277"/>
      <c r="P941" s="277"/>
      <c r="Q941" s="277"/>
      <c r="R941" s="277"/>
      <c r="S941" s="277"/>
      <c r="T941" s="157"/>
      <c r="U941" s="157"/>
      <c r="V941" s="3676"/>
      <c r="W941" s="766">
        <v>11.4</v>
      </c>
      <c r="X941" s="765">
        <v>11.32</v>
      </c>
      <c r="Y941" s="765">
        <v>10.6</v>
      </c>
      <c r="Z941" s="2426">
        <v>10.6</v>
      </c>
      <c r="AA941" s="2426">
        <v>10.6</v>
      </c>
      <c r="AB941" s="2677">
        <v>11.003896103896107</v>
      </c>
      <c r="AC941" s="766"/>
      <c r="AD941" s="766"/>
      <c r="AE941" s="766"/>
      <c r="AF941" s="766"/>
      <c r="AG941" s="782"/>
      <c r="BB941" s="647"/>
      <c r="BC941" s="648"/>
      <c r="BD941" s="757"/>
    </row>
    <row r="942" spans="1:56" s="64" customFormat="1" outlineLevel="1" x14ac:dyDescent="0.25">
      <c r="A942" s="1393"/>
      <c r="B942" s="277"/>
      <c r="C942" s="385"/>
      <c r="D942" s="3676"/>
      <c r="E942" s="3589"/>
      <c r="F942" s="3688" t="str">
        <f t="shared" si="88"/>
        <v>Ductless ASHP Replace Electric Resistance ER1 SF</v>
      </c>
      <c r="G942" s="3689"/>
      <c r="H942" s="3690"/>
      <c r="I942" s="3055"/>
      <c r="J942" s="2687">
        <v>9.4433000000000007</v>
      </c>
      <c r="K942" s="836"/>
      <c r="L942" s="2718" t="s">
        <v>3674</v>
      </c>
      <c r="M942" s="1753"/>
      <c r="N942" s="1759"/>
      <c r="O942" s="277"/>
      <c r="P942" s="277"/>
      <c r="Q942" s="277"/>
      <c r="R942" s="277"/>
      <c r="S942" s="277"/>
      <c r="T942" s="157"/>
      <c r="U942" s="157"/>
      <c r="V942" s="3676"/>
      <c r="W942" s="766">
        <v>11.7</v>
      </c>
      <c r="X942" s="765">
        <v>11.32</v>
      </c>
      <c r="Y942" s="765">
        <v>11.4</v>
      </c>
      <c r="Z942" s="2426">
        <v>11.4</v>
      </c>
      <c r="AA942" s="2426">
        <v>11.4</v>
      </c>
      <c r="AB942" s="2677">
        <v>9.4433000000000007</v>
      </c>
      <c r="AC942" s="766"/>
      <c r="AD942" s="766"/>
      <c r="AE942" s="766"/>
      <c r="AF942" s="766"/>
      <c r="AG942" s="782"/>
      <c r="BB942" s="647"/>
      <c r="BC942" s="648"/>
      <c r="BD942" s="757"/>
    </row>
    <row r="943" spans="1:56" s="64" customFormat="1" outlineLevel="1" x14ac:dyDescent="0.25">
      <c r="A943" s="1393"/>
      <c r="B943" s="277"/>
      <c r="C943" s="385"/>
      <c r="D943" s="3676"/>
      <c r="E943" s="3589"/>
      <c r="F943" s="3688" t="str">
        <f t="shared" si="88"/>
        <v>Ductless ASHP Replace Electric Resistance ROF SF</v>
      </c>
      <c r="G943" s="3689"/>
      <c r="H943" s="3690"/>
      <c r="I943" s="3055"/>
      <c r="J943" s="2687">
        <v>11.226666666666667</v>
      </c>
      <c r="K943" s="836"/>
      <c r="L943" s="2718" t="s">
        <v>3674</v>
      </c>
      <c r="M943" s="1753"/>
      <c r="N943" s="1759"/>
      <c r="O943" s="277"/>
      <c r="P943" s="277"/>
      <c r="Q943" s="277"/>
      <c r="R943" s="277"/>
      <c r="S943" s="277"/>
      <c r="T943" s="157"/>
      <c r="U943" s="157"/>
      <c r="V943" s="3676"/>
      <c r="W943" s="766">
        <v>10.8</v>
      </c>
      <c r="X943" s="765">
        <v>11.32</v>
      </c>
      <c r="Y943" s="765">
        <v>11.4</v>
      </c>
      <c r="Z943" s="2426">
        <v>11.4</v>
      </c>
      <c r="AA943" s="2426">
        <v>11.4</v>
      </c>
      <c r="AB943" s="2677">
        <v>11.226666666666667</v>
      </c>
      <c r="AC943" s="766"/>
      <c r="AD943" s="766"/>
      <c r="AE943" s="766"/>
      <c r="AF943" s="766"/>
      <c r="AG943" s="782"/>
      <c r="BB943" s="647"/>
      <c r="BC943" s="648"/>
      <c r="BD943" s="757"/>
    </row>
    <row r="944" spans="1:56" s="64" customFormat="1" outlineLevel="1" x14ac:dyDescent="0.25">
      <c r="A944" s="1393"/>
      <c r="B944" s="277"/>
      <c r="C944" s="385"/>
      <c r="D944" s="3676"/>
      <c r="E944" s="3589"/>
      <c r="F944" s="3688" t="str">
        <f t="shared" si="88"/>
        <v>Ductless ASHP ER1 SF</v>
      </c>
      <c r="G944" s="3689"/>
      <c r="H944" s="3690"/>
      <c r="I944" s="3055"/>
      <c r="J944" s="2687">
        <v>8.3625000000000007</v>
      </c>
      <c r="K944" s="836"/>
      <c r="L944" s="2718" t="s">
        <v>3674</v>
      </c>
      <c r="M944" s="1778"/>
      <c r="N944" s="1759"/>
      <c r="O944" s="277"/>
      <c r="P944" s="277"/>
      <c r="Q944" s="277"/>
      <c r="R944" s="277"/>
      <c r="S944" s="277"/>
      <c r="T944" s="157"/>
      <c r="U944" s="157"/>
      <c r="V944" s="3676"/>
      <c r="W944" s="766">
        <v>11.4</v>
      </c>
      <c r="X944" s="765">
        <v>11.32</v>
      </c>
      <c r="Y944" s="765">
        <v>12.6</v>
      </c>
      <c r="Z944" s="2426">
        <v>12.6</v>
      </c>
      <c r="AA944" s="2426">
        <v>12.6</v>
      </c>
      <c r="AB944" s="2677">
        <v>8.3625000000000007</v>
      </c>
      <c r="AC944" s="766"/>
      <c r="AD944" s="766"/>
      <c r="AE944" s="766"/>
      <c r="AF944" s="766"/>
      <c r="AG944" s="782"/>
      <c r="BB944" s="647"/>
      <c r="BC944" s="648"/>
      <c r="BD944" s="757"/>
    </row>
    <row r="945" spans="1:56" s="64" customFormat="1" outlineLevel="1" x14ac:dyDescent="0.25">
      <c r="A945" s="1393"/>
      <c r="B945" s="277"/>
      <c r="C945" s="385"/>
      <c r="D945" s="3676"/>
      <c r="E945" s="3589"/>
      <c r="F945" s="3671" t="str">
        <f t="shared" si="88"/>
        <v>Ductless AC - ER1 MF</v>
      </c>
      <c r="G945" s="3671"/>
      <c r="H945" s="3671"/>
      <c r="I945" s="3055"/>
      <c r="J945" s="2674">
        <f>J938</f>
        <v>0</v>
      </c>
      <c r="K945" s="836"/>
      <c r="L945" s="2675" t="s">
        <v>1251</v>
      </c>
      <c r="M945" s="1775"/>
      <c r="N945" s="1759"/>
      <c r="O945" s="277"/>
      <c r="P945" s="277"/>
      <c r="Q945" s="277"/>
      <c r="R945" s="277"/>
      <c r="S945" s="277"/>
      <c r="T945" s="157"/>
      <c r="U945" s="157"/>
      <c r="V945" s="3676"/>
      <c r="W945" s="766"/>
      <c r="X945" s="765"/>
      <c r="Y945" s="765">
        <v>0</v>
      </c>
      <c r="Z945" s="2426">
        <v>0</v>
      </c>
      <c r="AA945" s="2426">
        <v>0</v>
      </c>
      <c r="AB945" s="2674">
        <v>0</v>
      </c>
      <c r="AC945" s="766"/>
      <c r="AD945" s="766"/>
      <c r="AE945" s="766"/>
      <c r="AF945" s="766"/>
      <c r="AG945" s="782"/>
      <c r="BB945" s="647"/>
      <c r="BC945" s="648"/>
      <c r="BD945" s="757"/>
    </row>
    <row r="946" spans="1:56" s="64" customFormat="1" outlineLevel="1" x14ac:dyDescent="0.25">
      <c r="A946" s="1393"/>
      <c r="B946" s="277"/>
      <c r="C946" s="385"/>
      <c r="D946" s="3676"/>
      <c r="E946" s="3589"/>
      <c r="F946" s="3671" t="str">
        <f t="shared" si="88"/>
        <v>Ductless AC - ROF MF</v>
      </c>
      <c r="G946" s="3671"/>
      <c r="H946" s="3671"/>
      <c r="I946" s="3055"/>
      <c r="J946" s="2674">
        <f t="shared" ref="J946:J951" si="89">J939</f>
        <v>0</v>
      </c>
      <c r="K946" s="836"/>
      <c r="L946" s="2675" t="s">
        <v>1251</v>
      </c>
      <c r="M946" s="1775"/>
      <c r="N946" s="1759"/>
      <c r="O946" s="277"/>
      <c r="P946" s="277"/>
      <c r="Q946" s="277"/>
      <c r="R946" s="277"/>
      <c r="S946" s="277"/>
      <c r="T946" s="157"/>
      <c r="U946" s="157"/>
      <c r="V946" s="3676"/>
      <c r="W946" s="766"/>
      <c r="X946" s="765"/>
      <c r="Y946" s="765">
        <v>0</v>
      </c>
      <c r="Z946" s="2426">
        <v>0</v>
      </c>
      <c r="AA946" s="2426">
        <v>0</v>
      </c>
      <c r="AB946" s="2674">
        <v>0</v>
      </c>
      <c r="AC946" s="766"/>
      <c r="AD946" s="766"/>
      <c r="AE946" s="766"/>
      <c r="AF946" s="766"/>
      <c r="AG946" s="782"/>
      <c r="BB946" s="647"/>
      <c r="BC946" s="648"/>
      <c r="BD946" s="757"/>
    </row>
    <row r="947" spans="1:56" s="64" customFormat="1" outlineLevel="1" x14ac:dyDescent="0.25">
      <c r="A947" s="1393"/>
      <c r="B947" s="277"/>
      <c r="C947" s="385"/>
      <c r="D947" s="3676"/>
      <c r="E947" s="3589"/>
      <c r="F947" s="3671" t="str">
        <f t="shared" si="88"/>
        <v>Ductless ASHP - ROF MF NC</v>
      </c>
      <c r="G947" s="3671"/>
      <c r="H947" s="3671"/>
      <c r="I947" s="3055"/>
      <c r="J947" s="2674">
        <f t="shared" si="89"/>
        <v>10.6</v>
      </c>
      <c r="K947" s="836"/>
      <c r="L947" s="2675"/>
      <c r="M947" s="1775"/>
      <c r="N947" s="1759"/>
      <c r="O947" s="277"/>
      <c r="P947" s="277"/>
      <c r="Q947" s="277"/>
      <c r="R947" s="277"/>
      <c r="S947" s="277"/>
      <c r="T947" s="157"/>
      <c r="U947" s="157"/>
      <c r="V947" s="3676"/>
      <c r="W947" s="766"/>
      <c r="X947" s="765"/>
      <c r="Y947" s="765">
        <v>10.6</v>
      </c>
      <c r="Z947" s="2426">
        <v>10.6</v>
      </c>
      <c r="AA947" s="2426">
        <v>10.6</v>
      </c>
      <c r="AB947" s="2674">
        <v>10.6</v>
      </c>
      <c r="AC947" s="766"/>
      <c r="AD947" s="766"/>
      <c r="AE947" s="766"/>
      <c r="AF947" s="766"/>
      <c r="AG947" s="782"/>
      <c r="BB947" s="647"/>
      <c r="BC947" s="648"/>
      <c r="BD947" s="757"/>
    </row>
    <row r="948" spans="1:56" s="64" customFormat="1" outlineLevel="1" x14ac:dyDescent="0.25">
      <c r="A948" s="1393"/>
      <c r="B948" s="277"/>
      <c r="C948" s="385"/>
      <c r="D948" s="3676"/>
      <c r="E948" s="3589"/>
      <c r="F948" s="3671" t="str">
        <f t="shared" si="88"/>
        <v>Ductless ASHP - ROF MF</v>
      </c>
      <c r="G948" s="3671"/>
      <c r="H948" s="3671"/>
      <c r="I948" s="3055"/>
      <c r="J948" s="2687">
        <f t="shared" si="89"/>
        <v>11.003896103896107</v>
      </c>
      <c r="K948" s="836"/>
      <c r="L948" s="2675" t="s">
        <v>1252</v>
      </c>
      <c r="M948" s="1775"/>
      <c r="N948" s="1759"/>
      <c r="O948" s="277"/>
      <c r="P948" s="277"/>
      <c r="Q948" s="277"/>
      <c r="R948" s="277"/>
      <c r="S948" s="277"/>
      <c r="T948" s="157"/>
      <c r="U948" s="157"/>
      <c r="V948" s="3676"/>
      <c r="W948" s="766"/>
      <c r="X948" s="765"/>
      <c r="Y948" s="765">
        <v>10.6</v>
      </c>
      <c r="Z948" s="2426">
        <v>10.6</v>
      </c>
      <c r="AA948" s="2426">
        <v>10.6</v>
      </c>
      <c r="AB948" s="2677">
        <v>11.003896103896107</v>
      </c>
      <c r="AC948" s="766"/>
      <c r="AD948" s="766"/>
      <c r="AE948" s="766"/>
      <c r="AF948" s="766"/>
      <c r="AG948" s="782"/>
      <c r="BB948" s="647"/>
      <c r="BC948" s="648"/>
      <c r="BD948" s="757"/>
    </row>
    <row r="949" spans="1:56" s="64" customFormat="1" outlineLevel="1" x14ac:dyDescent="0.25">
      <c r="A949" s="1393"/>
      <c r="B949" s="277"/>
      <c r="C949" s="385"/>
      <c r="D949" s="3676"/>
      <c r="E949" s="3589"/>
      <c r="F949" s="3671" t="str">
        <f t="shared" si="88"/>
        <v>Ductless ASHP Replace Electric Resistance ER1 MF</v>
      </c>
      <c r="G949" s="3671"/>
      <c r="H949" s="3671"/>
      <c r="I949" s="3055"/>
      <c r="J949" s="2687">
        <f t="shared" si="89"/>
        <v>9.4433000000000007</v>
      </c>
      <c r="K949" s="836"/>
      <c r="L949" s="2675" t="s">
        <v>1252</v>
      </c>
      <c r="M949" s="1775"/>
      <c r="N949" s="1759"/>
      <c r="O949" s="277"/>
      <c r="P949" s="277"/>
      <c r="Q949" s="277"/>
      <c r="R949" s="277"/>
      <c r="S949" s="277"/>
      <c r="T949" s="157"/>
      <c r="U949" s="157"/>
      <c r="V949" s="3676"/>
      <c r="W949" s="766"/>
      <c r="X949" s="765"/>
      <c r="Y949" s="765">
        <v>11.4</v>
      </c>
      <c r="Z949" s="2426">
        <v>11.4</v>
      </c>
      <c r="AA949" s="2426">
        <v>11.4</v>
      </c>
      <c r="AB949" s="2677">
        <v>9.4433000000000007</v>
      </c>
      <c r="AC949" s="766"/>
      <c r="AD949" s="766"/>
      <c r="AE949" s="766"/>
      <c r="AF949" s="766"/>
      <c r="AG949" s="782"/>
      <c r="BB949" s="647"/>
      <c r="BC949" s="648"/>
      <c r="BD949" s="757"/>
    </row>
    <row r="950" spans="1:56" s="64" customFormat="1" outlineLevel="1" x14ac:dyDescent="0.25">
      <c r="A950" s="1393"/>
      <c r="B950" s="277"/>
      <c r="C950" s="385"/>
      <c r="D950" s="3676"/>
      <c r="E950" s="3589"/>
      <c r="F950" s="3671" t="str">
        <f t="shared" si="88"/>
        <v>Ductless ASHP Replace Electric Resistance ROF MF</v>
      </c>
      <c r="G950" s="3671"/>
      <c r="H950" s="3671"/>
      <c r="I950" s="3055"/>
      <c r="J950" s="2687">
        <f t="shared" si="89"/>
        <v>11.226666666666667</v>
      </c>
      <c r="K950" s="836"/>
      <c r="L950" s="2675" t="s">
        <v>1252</v>
      </c>
      <c r="M950" s="1775"/>
      <c r="N950" s="1759"/>
      <c r="O950" s="277"/>
      <c r="P950" s="277"/>
      <c r="Q950" s="277"/>
      <c r="R950" s="277"/>
      <c r="S950" s="277"/>
      <c r="T950" s="157"/>
      <c r="U950" s="157"/>
      <c r="V950" s="3676"/>
      <c r="W950" s="766"/>
      <c r="X950" s="765"/>
      <c r="Y950" s="765">
        <v>11.4</v>
      </c>
      <c r="Z950" s="2426">
        <v>11.4</v>
      </c>
      <c r="AA950" s="2426">
        <v>11.4</v>
      </c>
      <c r="AB950" s="2677">
        <v>11.226666666666667</v>
      </c>
      <c r="AC950" s="766"/>
      <c r="AD950" s="766"/>
      <c r="AE950" s="766"/>
      <c r="AF950" s="766"/>
      <c r="AG950" s="782"/>
      <c r="BB950" s="647"/>
      <c r="BC950" s="648"/>
      <c r="BD950" s="757"/>
    </row>
    <row r="951" spans="1:56" s="64" customFormat="1" outlineLevel="1" x14ac:dyDescent="0.25">
      <c r="A951" s="1393"/>
      <c r="B951" s="277"/>
      <c r="C951" s="385"/>
      <c r="D951" s="3676"/>
      <c r="E951" s="3589"/>
      <c r="F951" s="3671" t="str">
        <f t="shared" si="88"/>
        <v>Ductless ASHP ER1 MF</v>
      </c>
      <c r="G951" s="3671"/>
      <c r="H951" s="3671"/>
      <c r="I951" s="3055"/>
      <c r="J951" s="2687">
        <f t="shared" si="89"/>
        <v>8.3625000000000007</v>
      </c>
      <c r="K951" s="836"/>
      <c r="L951" s="2675" t="s">
        <v>1252</v>
      </c>
      <c r="M951" s="1775"/>
      <c r="N951" s="1759"/>
      <c r="O951" s="277"/>
      <c r="P951" s="277"/>
      <c r="Q951" s="277"/>
      <c r="R951" s="277"/>
      <c r="S951" s="277"/>
      <c r="T951" s="157"/>
      <c r="U951" s="157"/>
      <c r="V951" s="3676"/>
      <c r="W951" s="766"/>
      <c r="X951" s="765"/>
      <c r="Y951" s="765">
        <v>12.6</v>
      </c>
      <c r="Z951" s="2426">
        <v>12.6</v>
      </c>
      <c r="AA951" s="2426">
        <v>12.6</v>
      </c>
      <c r="AB951" s="2677">
        <v>8.3625000000000007</v>
      </c>
      <c r="AC951" s="766"/>
      <c r="AD951" s="766"/>
      <c r="AE951" s="766"/>
      <c r="AF951" s="766"/>
      <c r="AG951" s="782"/>
      <c r="BB951" s="647"/>
      <c r="BC951" s="648"/>
      <c r="BD951" s="757"/>
    </row>
    <row r="952" spans="1:56" s="64" customFormat="1" outlineLevel="1" x14ac:dyDescent="0.25">
      <c r="A952" s="1393"/>
      <c r="B952" s="277"/>
      <c r="C952" s="385"/>
      <c r="D952" s="3676"/>
      <c r="E952" s="3589"/>
      <c r="F952" s="3671" t="str">
        <f t="shared" si="88"/>
        <v>Ductless AC - ER1 MF_CompE</v>
      </c>
      <c r="G952" s="3671"/>
      <c r="H952" s="3671"/>
      <c r="I952" s="3055"/>
      <c r="J952" s="2674">
        <f>J938</f>
        <v>0</v>
      </c>
      <c r="K952" s="836"/>
      <c r="L952" s="2675" t="s">
        <v>1251</v>
      </c>
      <c r="M952" s="1778"/>
      <c r="N952" s="1759"/>
      <c r="O952" s="277"/>
      <c r="P952" s="277"/>
      <c r="Q952" s="277"/>
      <c r="R952" s="277"/>
      <c r="S952" s="277"/>
      <c r="T952" s="157"/>
      <c r="U952" s="157"/>
      <c r="V952" s="3676"/>
      <c r="W952" s="766"/>
      <c r="X952" s="765"/>
      <c r="Y952" s="765">
        <v>0</v>
      </c>
      <c r="Z952" s="2426">
        <v>0</v>
      </c>
      <c r="AA952" s="2426">
        <v>0</v>
      </c>
      <c r="AB952" s="2674">
        <v>0</v>
      </c>
      <c r="AC952" s="766"/>
      <c r="AD952" s="766"/>
      <c r="AE952" s="766"/>
      <c r="AF952" s="766"/>
      <c r="AG952" s="782"/>
      <c r="BB952" s="647"/>
      <c r="BC952" s="648"/>
      <c r="BD952" s="757"/>
    </row>
    <row r="953" spans="1:56" s="64" customFormat="1" outlineLevel="1" x14ac:dyDescent="0.25">
      <c r="A953" s="1393"/>
      <c r="B953" s="277"/>
      <c r="C953" s="385"/>
      <c r="D953" s="3676"/>
      <c r="E953" s="3589"/>
      <c r="F953" s="3671" t="str">
        <f t="shared" si="88"/>
        <v>Ductless AC - ROF MF_CompE</v>
      </c>
      <c r="G953" s="3671"/>
      <c r="H953" s="3671"/>
      <c r="I953" s="3055"/>
      <c r="J953" s="2674">
        <f t="shared" ref="J953:J958" si="90">J939</f>
        <v>0</v>
      </c>
      <c r="K953" s="836"/>
      <c r="L953" s="2675" t="s">
        <v>1251</v>
      </c>
      <c r="M953" s="1778"/>
      <c r="N953" s="1759"/>
      <c r="O953" s="277"/>
      <c r="P953" s="277"/>
      <c r="Q953" s="277"/>
      <c r="R953" s="277"/>
      <c r="S953" s="277"/>
      <c r="T953" s="157"/>
      <c r="U953" s="157"/>
      <c r="V953" s="3676"/>
      <c r="W953" s="766"/>
      <c r="X953" s="765"/>
      <c r="Y953" s="765">
        <v>0</v>
      </c>
      <c r="Z953" s="2426">
        <v>0</v>
      </c>
      <c r="AA953" s="2426">
        <v>0</v>
      </c>
      <c r="AB953" s="2674">
        <v>0</v>
      </c>
      <c r="AC953" s="766"/>
      <c r="AD953" s="766"/>
      <c r="AE953" s="766"/>
      <c r="AF953" s="766"/>
      <c r="AG953" s="782"/>
      <c r="BB953" s="647"/>
      <c r="BC953" s="648"/>
      <c r="BD953" s="757"/>
    </row>
    <row r="954" spans="1:56" s="64" customFormat="1" outlineLevel="1" x14ac:dyDescent="0.25">
      <c r="A954" s="1393"/>
      <c r="B954" s="277"/>
      <c r="C954" s="385"/>
      <c r="D954" s="3676"/>
      <c r="E954" s="3589"/>
      <c r="F954" s="3671" t="str">
        <f t="shared" si="88"/>
        <v>Ductless ASHP - ROF MF NC_CompE</v>
      </c>
      <c r="G954" s="3671"/>
      <c r="H954" s="3671"/>
      <c r="I954" s="3055"/>
      <c r="J954" s="2674">
        <f t="shared" si="90"/>
        <v>10.6</v>
      </c>
      <c r="K954" s="836"/>
      <c r="L954" s="2675"/>
      <c r="M954" s="1778"/>
      <c r="N954" s="1759"/>
      <c r="O954" s="277"/>
      <c r="P954" s="277"/>
      <c r="Q954" s="277"/>
      <c r="R954" s="277"/>
      <c r="S954" s="277"/>
      <c r="T954" s="157"/>
      <c r="U954" s="157"/>
      <c r="V954" s="3676"/>
      <c r="W954" s="766"/>
      <c r="X954" s="765"/>
      <c r="Y954" s="765">
        <v>10.6</v>
      </c>
      <c r="Z954" s="2426">
        <v>10.6</v>
      </c>
      <c r="AA954" s="2426">
        <v>10.6</v>
      </c>
      <c r="AB954" s="2674">
        <v>10.6</v>
      </c>
      <c r="AC954" s="766"/>
      <c r="AD954" s="766"/>
      <c r="AE954" s="766"/>
      <c r="AF954" s="766"/>
      <c r="AG954" s="782"/>
      <c r="BB954" s="647"/>
      <c r="BC954" s="648"/>
      <c r="BD954" s="757"/>
    </row>
    <row r="955" spans="1:56" s="64" customFormat="1" outlineLevel="1" x14ac:dyDescent="0.25">
      <c r="A955" s="1393"/>
      <c r="B955" s="277"/>
      <c r="C955" s="385"/>
      <c r="D955" s="3676"/>
      <c r="E955" s="3589"/>
      <c r="F955" s="3671" t="str">
        <f t="shared" si="88"/>
        <v>Ductless ASHP - ROF MF_CompE</v>
      </c>
      <c r="G955" s="3671"/>
      <c r="H955" s="3671"/>
      <c r="I955" s="3055"/>
      <c r="J955" s="2687">
        <f t="shared" si="90"/>
        <v>11.003896103896107</v>
      </c>
      <c r="K955" s="836"/>
      <c r="L955" s="2675" t="s">
        <v>1252</v>
      </c>
      <c r="M955" s="1778"/>
      <c r="N955" s="1759"/>
      <c r="O955" s="277"/>
      <c r="P955" s="277"/>
      <c r="Q955" s="277"/>
      <c r="R955" s="277"/>
      <c r="S955" s="277"/>
      <c r="T955" s="157"/>
      <c r="U955" s="157"/>
      <c r="V955" s="3676"/>
      <c r="W955" s="766"/>
      <c r="X955" s="765"/>
      <c r="Y955" s="765">
        <v>10.6</v>
      </c>
      <c r="Z955" s="2426">
        <v>10.6</v>
      </c>
      <c r="AA955" s="2426">
        <v>10.6</v>
      </c>
      <c r="AB955" s="2677">
        <v>11.003896103896107</v>
      </c>
      <c r="AC955" s="766"/>
      <c r="AD955" s="766"/>
      <c r="AE955" s="766"/>
      <c r="AF955" s="766"/>
      <c r="AG955" s="782"/>
      <c r="BB955" s="647"/>
      <c r="BC955" s="648"/>
      <c r="BD955" s="757"/>
    </row>
    <row r="956" spans="1:56" s="64" customFormat="1" outlineLevel="1" x14ac:dyDescent="0.25">
      <c r="A956" s="1393"/>
      <c r="B956" s="277"/>
      <c r="C956" s="385"/>
      <c r="D956" s="3676"/>
      <c r="E956" s="3589"/>
      <c r="F956" s="3671" t="str">
        <f t="shared" si="88"/>
        <v>Ductless ASHP Replace Electric Resistance ER1 MF_CompE</v>
      </c>
      <c r="G956" s="3671"/>
      <c r="H956" s="3671"/>
      <c r="I956" s="3055"/>
      <c r="J956" s="2687">
        <f t="shared" si="90"/>
        <v>9.4433000000000007</v>
      </c>
      <c r="K956" s="836"/>
      <c r="L956" s="2680" t="s">
        <v>1252</v>
      </c>
      <c r="M956" s="1778"/>
      <c r="N956" s="1759"/>
      <c r="O956" s="277"/>
      <c r="P956" s="277"/>
      <c r="Q956" s="277"/>
      <c r="R956" s="277"/>
      <c r="S956" s="277"/>
      <c r="T956" s="157"/>
      <c r="U956" s="157"/>
      <c r="V956" s="3676"/>
      <c r="W956" s="766"/>
      <c r="X956" s="765"/>
      <c r="Y956" s="765">
        <v>11.4</v>
      </c>
      <c r="Z956" s="2426">
        <v>11.4</v>
      </c>
      <c r="AA956" s="2426">
        <v>11.4</v>
      </c>
      <c r="AB956" s="2677">
        <v>9.4433000000000007</v>
      </c>
      <c r="AC956" s="766"/>
      <c r="AD956" s="766"/>
      <c r="AE956" s="766"/>
      <c r="AF956" s="766"/>
      <c r="AG956" s="782"/>
      <c r="BB956" s="647"/>
      <c r="BC956" s="648"/>
      <c r="BD956" s="757"/>
    </row>
    <row r="957" spans="1:56" s="64" customFormat="1" outlineLevel="1" x14ac:dyDescent="0.25">
      <c r="A957" s="1393"/>
      <c r="B957" s="277"/>
      <c r="C957" s="385"/>
      <c r="D957" s="3676"/>
      <c r="E957" s="3589"/>
      <c r="F957" s="3671" t="str">
        <f t="shared" si="88"/>
        <v>Ductless ASHP Replace Electric Resistance ROF MF_CompE</v>
      </c>
      <c r="G957" s="3671"/>
      <c r="H957" s="3671"/>
      <c r="I957" s="3055"/>
      <c r="J957" s="2687">
        <f t="shared" si="90"/>
        <v>11.226666666666667</v>
      </c>
      <c r="K957" s="836"/>
      <c r="L957" s="2680" t="s">
        <v>1252</v>
      </c>
      <c r="M957" s="1778"/>
      <c r="N957" s="1759"/>
      <c r="O957" s="277"/>
      <c r="P957" s="277"/>
      <c r="Q957" s="277"/>
      <c r="R957" s="277"/>
      <c r="S957" s="277"/>
      <c r="T957" s="157"/>
      <c r="U957" s="157"/>
      <c r="V957" s="3676"/>
      <c r="W957" s="766"/>
      <c r="X957" s="765"/>
      <c r="Y957" s="765">
        <v>11.4</v>
      </c>
      <c r="Z957" s="2426">
        <v>11.4</v>
      </c>
      <c r="AA957" s="2426">
        <v>11.4</v>
      </c>
      <c r="AB957" s="2677">
        <v>11.226666666666667</v>
      </c>
      <c r="AC957" s="766"/>
      <c r="AD957" s="766"/>
      <c r="AE957" s="766"/>
      <c r="AF957" s="766"/>
      <c r="AG957" s="782"/>
      <c r="BB957" s="647"/>
      <c r="BC957" s="648"/>
      <c r="BD957" s="757"/>
    </row>
    <row r="958" spans="1:56" s="64" customFormat="1" ht="15.75" outlineLevel="1" thickBot="1" x14ac:dyDescent="0.3">
      <c r="A958" s="1393"/>
      <c r="B958" s="277"/>
      <c r="C958" s="385"/>
      <c r="D958" s="3686"/>
      <c r="E958" s="3687"/>
      <c r="F958" s="3671" t="str">
        <f t="shared" si="88"/>
        <v>Ductless ASHP ER1 MF_CompE</v>
      </c>
      <c r="G958" s="3671"/>
      <c r="H958" s="3671"/>
      <c r="I958" s="3060"/>
      <c r="J958" s="2687">
        <f t="shared" si="90"/>
        <v>8.3625000000000007</v>
      </c>
      <c r="K958" s="836"/>
      <c r="L958" s="3226" t="s">
        <v>1252</v>
      </c>
      <c r="M958" s="1778"/>
      <c r="N958" s="1759"/>
      <c r="O958" s="277"/>
      <c r="P958" s="277"/>
      <c r="Q958" s="277"/>
      <c r="R958" s="277"/>
      <c r="S958" s="277"/>
      <c r="T958" s="157"/>
      <c r="U958" s="157"/>
      <c r="V958" s="3686"/>
      <c r="W958" s="792"/>
      <c r="X958" s="846"/>
      <c r="Y958" s="846">
        <v>12.6</v>
      </c>
      <c r="Z958" s="2429">
        <v>12.6</v>
      </c>
      <c r="AA958" s="2429">
        <v>12.6</v>
      </c>
      <c r="AB958" s="2677">
        <v>8.3625000000000007</v>
      </c>
      <c r="AC958" s="792"/>
      <c r="AD958" s="792"/>
      <c r="AE958" s="792"/>
      <c r="AF958" s="792"/>
      <c r="AG958" s="840"/>
      <c r="BB958" s="647"/>
      <c r="BC958" s="648"/>
      <c r="BD958" s="757"/>
    </row>
    <row r="959" spans="1:56" s="64" customFormat="1" outlineLevel="1" x14ac:dyDescent="0.25">
      <c r="A959" s="1393"/>
      <c r="B959" s="277"/>
      <c r="C959" s="385"/>
      <c r="D959" s="3638" t="s">
        <v>1260</v>
      </c>
      <c r="E959" s="3588" t="s">
        <v>1261</v>
      </c>
      <c r="F959" s="3683" t="str">
        <f t="shared" si="88"/>
        <v>Ductless AC - ER1 SF</v>
      </c>
      <c r="G959" s="3684"/>
      <c r="H959" s="3685"/>
      <c r="I959" s="3059"/>
      <c r="J959" s="2676">
        <v>18000</v>
      </c>
      <c r="K959" s="2682">
        <f>J959/12000</f>
        <v>1.5</v>
      </c>
      <c r="L959" s="2679" t="s">
        <v>1262</v>
      </c>
      <c r="M959" s="1779"/>
      <c r="N959" s="1759"/>
      <c r="O959" s="277"/>
      <c r="P959" s="277"/>
      <c r="Q959" s="277"/>
      <c r="R959" s="277"/>
      <c r="S959" s="277"/>
      <c r="T959" s="157"/>
      <c r="U959" s="157"/>
      <c r="V959" s="3638" t="s">
        <v>1260</v>
      </c>
      <c r="W959" s="760">
        <v>20400</v>
      </c>
      <c r="X959" s="759">
        <f t="shared" ref="X959:X965" si="91">1.5*12000</f>
        <v>18000</v>
      </c>
      <c r="Y959" s="760">
        <v>18000</v>
      </c>
      <c r="Z959" s="2428">
        <v>18000</v>
      </c>
      <c r="AA959" s="2428">
        <v>18000</v>
      </c>
      <c r="AB959" s="2676">
        <v>18000</v>
      </c>
      <c r="AC959" s="760"/>
      <c r="AD959" s="760"/>
      <c r="AE959" s="760"/>
      <c r="AF959" s="760"/>
      <c r="AG959" s="835"/>
      <c r="BB959" s="647"/>
      <c r="BC959" s="648"/>
      <c r="BD959" s="757"/>
    </row>
    <row r="960" spans="1:56" s="64" customFormat="1" outlineLevel="1" x14ac:dyDescent="0.25">
      <c r="A960" s="1393"/>
      <c r="B960" s="277"/>
      <c r="C960" s="385"/>
      <c r="D960" s="3676"/>
      <c r="E960" s="3589"/>
      <c r="F960" s="3688" t="str">
        <f t="shared" si="88"/>
        <v>Ductless AC - ROF SF</v>
      </c>
      <c r="G960" s="3689"/>
      <c r="H960" s="3690"/>
      <c r="I960" s="3055"/>
      <c r="J960" s="2674">
        <v>15750</v>
      </c>
      <c r="K960" s="2672">
        <f t="shared" ref="K960:K979" si="92">J960/12000</f>
        <v>1.3125</v>
      </c>
      <c r="L960" s="2718" t="s">
        <v>3674</v>
      </c>
      <c r="M960" s="1775"/>
      <c r="N960" s="1759"/>
      <c r="O960" s="277"/>
      <c r="P960" s="277"/>
      <c r="Q960" s="277"/>
      <c r="R960" s="277"/>
      <c r="S960" s="277"/>
      <c r="T960" s="157"/>
      <c r="U960" s="157"/>
      <c r="V960" s="3676"/>
      <c r="W960" s="766">
        <v>19200</v>
      </c>
      <c r="X960" s="765">
        <f t="shared" si="91"/>
        <v>18000</v>
      </c>
      <c r="Y960" s="766">
        <v>18000</v>
      </c>
      <c r="Z960" s="2426">
        <v>18000</v>
      </c>
      <c r="AA960" s="2426">
        <v>18000</v>
      </c>
      <c r="AB960" s="2678">
        <v>15750</v>
      </c>
      <c r="AC960" s="766"/>
      <c r="AD960" s="766"/>
      <c r="AE960" s="766"/>
      <c r="AF960" s="766"/>
      <c r="AG960" s="782"/>
      <c r="BB960" s="647"/>
      <c r="BC960" s="648"/>
      <c r="BD960" s="757"/>
    </row>
    <row r="961" spans="1:56" s="64" customFormat="1" outlineLevel="1" x14ac:dyDescent="0.25">
      <c r="A961" s="1393"/>
      <c r="B961" s="277"/>
      <c r="C961" s="385"/>
      <c r="D961" s="3676"/>
      <c r="E961" s="3589"/>
      <c r="F961" s="3688" t="str">
        <f t="shared" si="88"/>
        <v>Ductless ASHP - ROF SF NC</v>
      </c>
      <c r="G961" s="3689"/>
      <c r="H961" s="3690"/>
      <c r="I961" s="3055"/>
      <c r="J961" s="2674">
        <v>18000</v>
      </c>
      <c r="K961" s="2672">
        <f t="shared" si="92"/>
        <v>1.5</v>
      </c>
      <c r="L961" s="2675"/>
      <c r="M961" s="1775"/>
      <c r="N961" s="1759"/>
      <c r="O961" s="277"/>
      <c r="P961" s="277"/>
      <c r="Q961" s="277"/>
      <c r="R961" s="277"/>
      <c r="S961" s="277"/>
      <c r="T961" s="157"/>
      <c r="U961" s="157"/>
      <c r="V961" s="3676"/>
      <c r="W961" s="766">
        <v>19200</v>
      </c>
      <c r="X961" s="765">
        <f t="shared" si="91"/>
        <v>18000</v>
      </c>
      <c r="Y961" s="766">
        <v>18000</v>
      </c>
      <c r="Z961" s="2426">
        <v>18000</v>
      </c>
      <c r="AA961" s="2426">
        <v>18000</v>
      </c>
      <c r="AB961" s="2674">
        <v>18000</v>
      </c>
      <c r="AC961" s="766"/>
      <c r="AD961" s="766"/>
      <c r="AE961" s="766"/>
      <c r="AF961" s="766"/>
      <c r="AG961" s="782"/>
      <c r="BB961" s="647"/>
      <c r="BC961" s="648"/>
      <c r="BD961" s="757"/>
    </row>
    <row r="962" spans="1:56" s="64" customFormat="1" outlineLevel="1" x14ac:dyDescent="0.25">
      <c r="A962" s="1393"/>
      <c r="B962" s="277"/>
      <c r="C962" s="385"/>
      <c r="D962" s="3676"/>
      <c r="E962" s="3589"/>
      <c r="F962" s="3688" t="str">
        <f t="shared" si="88"/>
        <v>Ductless ASHP - ROF SF</v>
      </c>
      <c r="G962" s="3689"/>
      <c r="H962" s="3690"/>
      <c r="I962" s="3055"/>
      <c r="J962" s="3224">
        <v>18221.05263157895</v>
      </c>
      <c r="K962" s="2672">
        <f t="shared" si="92"/>
        <v>1.5184210526315791</v>
      </c>
      <c r="L962" s="2718" t="s">
        <v>3674</v>
      </c>
      <c r="M962" s="1753"/>
      <c r="N962" s="1759"/>
      <c r="O962" s="277"/>
      <c r="P962" s="277"/>
      <c r="Q962" s="277"/>
      <c r="R962" s="277"/>
      <c r="S962" s="277"/>
      <c r="T962" s="157"/>
      <c r="U962" s="157"/>
      <c r="V962" s="3676"/>
      <c r="W962" s="766">
        <v>19200</v>
      </c>
      <c r="X962" s="765">
        <f t="shared" si="91"/>
        <v>18000</v>
      </c>
      <c r="Y962" s="766">
        <v>18000</v>
      </c>
      <c r="Z962" s="2426">
        <v>18000</v>
      </c>
      <c r="AA962" s="2426">
        <v>18000</v>
      </c>
      <c r="AB962" s="2673">
        <v>18221.05263157895</v>
      </c>
      <c r="AC962" s="766"/>
      <c r="AD962" s="766"/>
      <c r="AE962" s="766"/>
      <c r="AF962" s="766"/>
      <c r="AG962" s="782"/>
      <c r="BB962" s="647"/>
      <c r="BC962" s="648"/>
      <c r="BD962" s="757"/>
    </row>
    <row r="963" spans="1:56" s="64" customFormat="1" outlineLevel="1" x14ac:dyDescent="0.25">
      <c r="A963" s="1393"/>
      <c r="B963" s="277"/>
      <c r="C963" s="385"/>
      <c r="D963" s="3676"/>
      <c r="E963" s="3589"/>
      <c r="F963" s="3688" t="str">
        <f t="shared" si="88"/>
        <v>Ductless ASHP Replace Electric Resistance ER1 SF</v>
      </c>
      <c r="G963" s="3689"/>
      <c r="H963" s="3690"/>
      <c r="I963" s="3055"/>
      <c r="J963" s="3224">
        <v>18840</v>
      </c>
      <c r="K963" s="2672">
        <f t="shared" si="92"/>
        <v>1.57</v>
      </c>
      <c r="L963" s="2718" t="s">
        <v>3674</v>
      </c>
      <c r="M963" s="1753"/>
      <c r="N963" s="1759"/>
      <c r="O963" s="277"/>
      <c r="P963" s="277"/>
      <c r="Q963" s="277"/>
      <c r="R963" s="277"/>
      <c r="S963" s="277"/>
      <c r="T963" s="157"/>
      <c r="U963" s="157"/>
      <c r="V963" s="3676"/>
      <c r="W963" s="766">
        <v>16800</v>
      </c>
      <c r="X963" s="765">
        <f t="shared" si="91"/>
        <v>18000</v>
      </c>
      <c r="Y963" s="766">
        <v>18000</v>
      </c>
      <c r="Z963" s="2426">
        <v>18000</v>
      </c>
      <c r="AA963" s="2426">
        <v>18000</v>
      </c>
      <c r="AB963" s="2673">
        <v>18840</v>
      </c>
      <c r="AC963" s="766"/>
      <c r="AD963" s="766"/>
      <c r="AE963" s="766"/>
      <c r="AF963" s="766"/>
      <c r="AG963" s="782"/>
      <c r="BB963" s="647"/>
      <c r="BC963" s="648"/>
      <c r="BD963" s="757"/>
    </row>
    <row r="964" spans="1:56" s="64" customFormat="1" outlineLevel="1" x14ac:dyDescent="0.25">
      <c r="A964" s="1393"/>
      <c r="B964" s="277"/>
      <c r="C964" s="385"/>
      <c r="D964" s="3676"/>
      <c r="E964" s="3589"/>
      <c r="F964" s="3688" t="str">
        <f t="shared" si="88"/>
        <v>Ductless ASHP Replace Electric Resistance ROF SF</v>
      </c>
      <c r="G964" s="3689"/>
      <c r="H964" s="3690"/>
      <c r="I964" s="3055"/>
      <c r="J964" s="3224">
        <v>19200</v>
      </c>
      <c r="K964" s="2672">
        <f t="shared" si="92"/>
        <v>1.6</v>
      </c>
      <c r="L964" s="2718" t="s">
        <v>3674</v>
      </c>
      <c r="M964" s="1753"/>
      <c r="N964" s="1759"/>
      <c r="O964" s="277"/>
      <c r="P964" s="277"/>
      <c r="Q964" s="277"/>
      <c r="R964" s="277"/>
      <c r="S964" s="277"/>
      <c r="T964" s="157"/>
      <c r="U964" s="157"/>
      <c r="V964" s="3676"/>
      <c r="W964" s="766">
        <v>16800</v>
      </c>
      <c r="X964" s="765">
        <f t="shared" si="91"/>
        <v>18000</v>
      </c>
      <c r="Y964" s="765">
        <v>19200</v>
      </c>
      <c r="Z964" s="2426">
        <v>19200</v>
      </c>
      <c r="AA964" s="2426">
        <v>19200</v>
      </c>
      <c r="AB964" s="2673">
        <v>19200</v>
      </c>
      <c r="AC964" s="766"/>
      <c r="AD964" s="766"/>
      <c r="AE964" s="766"/>
      <c r="AF964" s="766"/>
      <c r="AG964" s="782"/>
      <c r="BB964" s="647"/>
      <c r="BC964" s="648"/>
      <c r="BD964" s="757"/>
    </row>
    <row r="965" spans="1:56" s="64" customFormat="1" outlineLevel="1" x14ac:dyDescent="0.25">
      <c r="A965" s="1393"/>
      <c r="B965" s="277"/>
      <c r="C965" s="385"/>
      <c r="D965" s="3676"/>
      <c r="E965" s="3589"/>
      <c r="F965" s="3688" t="str">
        <f t="shared" si="88"/>
        <v>Ductless ASHP ER1 SF</v>
      </c>
      <c r="G965" s="3689"/>
      <c r="H965" s="3690"/>
      <c r="I965" s="3055"/>
      <c r="J965" s="3224">
        <v>15375</v>
      </c>
      <c r="K965" s="2672">
        <f t="shared" si="92"/>
        <v>1.28125</v>
      </c>
      <c r="L965" s="2718" t="s">
        <v>3674</v>
      </c>
      <c r="M965" s="1753"/>
      <c r="N965" s="1759"/>
      <c r="O965" s="277"/>
      <c r="P965" s="277"/>
      <c r="Q965" s="277"/>
      <c r="R965" s="277"/>
      <c r="S965" s="277"/>
      <c r="T965" s="157"/>
      <c r="U965" s="157"/>
      <c r="V965" s="3676"/>
      <c r="W965" s="766">
        <v>20400</v>
      </c>
      <c r="X965" s="765">
        <f t="shared" si="91"/>
        <v>18000</v>
      </c>
      <c r="Y965" s="766">
        <v>18000</v>
      </c>
      <c r="Z965" s="2426">
        <v>18000</v>
      </c>
      <c r="AA965" s="2426">
        <v>18000</v>
      </c>
      <c r="AB965" s="2673">
        <v>15375</v>
      </c>
      <c r="AC965" s="766"/>
      <c r="AD965" s="766"/>
      <c r="AE965" s="766"/>
      <c r="AF965" s="766"/>
      <c r="AG965" s="782"/>
      <c r="BB965" s="647"/>
      <c r="BC965" s="648"/>
      <c r="BD965" s="757"/>
    </row>
    <row r="966" spans="1:56" s="64" customFormat="1" outlineLevel="1" x14ac:dyDescent="0.25">
      <c r="A966" s="1393"/>
      <c r="B966" s="277"/>
      <c r="C966" s="385"/>
      <c r="D966" s="3676"/>
      <c r="E966" s="3589"/>
      <c r="F966" s="3671" t="str">
        <f t="shared" si="88"/>
        <v>Ductless AC - ER1 MF</v>
      </c>
      <c r="G966" s="3671"/>
      <c r="H966" s="3671"/>
      <c r="I966" s="3055"/>
      <c r="J966" s="2674">
        <f>J959</f>
        <v>18000</v>
      </c>
      <c r="K966" s="2672">
        <f t="shared" si="92"/>
        <v>1.5</v>
      </c>
      <c r="L966" s="2680"/>
      <c r="M966" s="1775"/>
      <c r="N966" s="1759"/>
      <c r="O966" s="277"/>
      <c r="P966" s="277"/>
      <c r="Q966" s="277"/>
      <c r="R966" s="277"/>
      <c r="S966" s="277"/>
      <c r="T966" s="157"/>
      <c r="U966" s="157"/>
      <c r="V966" s="3676"/>
      <c r="W966" s="766"/>
      <c r="X966" s="765"/>
      <c r="Y966" s="765">
        <v>18000</v>
      </c>
      <c r="Z966" s="2426">
        <v>18000</v>
      </c>
      <c r="AA966" s="2426">
        <v>18000</v>
      </c>
      <c r="AB966" s="2674">
        <v>18000</v>
      </c>
      <c r="AC966" s="766"/>
      <c r="AD966" s="766"/>
      <c r="AE966" s="766"/>
      <c r="AF966" s="766"/>
      <c r="AG966" s="782"/>
      <c r="BB966" s="647"/>
      <c r="BC966" s="648"/>
      <c r="BD966" s="757"/>
    </row>
    <row r="967" spans="1:56" s="64" customFormat="1" outlineLevel="1" x14ac:dyDescent="0.25">
      <c r="A967" s="1393"/>
      <c r="B967" s="277"/>
      <c r="C967" s="385"/>
      <c r="D967" s="3676"/>
      <c r="E967" s="3589"/>
      <c r="F967" s="3671" t="str">
        <f t="shared" si="88"/>
        <v>Ductless AC - ROF MF</v>
      </c>
      <c r="G967" s="3671"/>
      <c r="H967" s="3671"/>
      <c r="I967" s="3055"/>
      <c r="J967" s="2674">
        <f t="shared" ref="J967:J972" si="93">J960</f>
        <v>15750</v>
      </c>
      <c r="K967" s="2672">
        <f t="shared" si="92"/>
        <v>1.3125</v>
      </c>
      <c r="L967" s="2675" t="s">
        <v>1252</v>
      </c>
      <c r="M967" s="1775"/>
      <c r="N967" s="1759"/>
      <c r="O967" s="277"/>
      <c r="P967" s="277"/>
      <c r="Q967" s="277"/>
      <c r="R967" s="277"/>
      <c r="S967" s="277"/>
      <c r="T967" s="157"/>
      <c r="U967" s="157"/>
      <c r="V967" s="3676"/>
      <c r="W967" s="766"/>
      <c r="X967" s="765"/>
      <c r="Y967" s="765">
        <v>18000</v>
      </c>
      <c r="Z967" s="2426">
        <v>18000</v>
      </c>
      <c r="AA967" s="2426">
        <v>18000</v>
      </c>
      <c r="AB967" s="2678">
        <v>15750</v>
      </c>
      <c r="AC967" s="766"/>
      <c r="AD967" s="766"/>
      <c r="AE967" s="766"/>
      <c r="AF967" s="766"/>
      <c r="AG967" s="782"/>
      <c r="BB967" s="647"/>
      <c r="BC967" s="648"/>
      <c r="BD967" s="757"/>
    </row>
    <row r="968" spans="1:56" s="64" customFormat="1" outlineLevel="1" x14ac:dyDescent="0.25">
      <c r="A968" s="1393"/>
      <c r="B968" s="277"/>
      <c r="C968" s="385"/>
      <c r="D968" s="3676"/>
      <c r="E968" s="3589"/>
      <c r="F968" s="3671" t="str">
        <f t="shared" si="88"/>
        <v>Ductless ASHP - ROF MF NC</v>
      </c>
      <c r="G968" s="3671"/>
      <c r="H968" s="3671"/>
      <c r="I968" s="3055"/>
      <c r="J968" s="2674">
        <f t="shared" si="93"/>
        <v>18000</v>
      </c>
      <c r="K968" s="2672">
        <f t="shared" si="92"/>
        <v>1.5</v>
      </c>
      <c r="L968" s="2681"/>
      <c r="M968" s="1775"/>
      <c r="N968" s="1759"/>
      <c r="O968" s="277"/>
      <c r="P968" s="277"/>
      <c r="Q968" s="277"/>
      <c r="R968" s="277"/>
      <c r="S968" s="277"/>
      <c r="T968" s="157"/>
      <c r="U968" s="157"/>
      <c r="V968" s="3676"/>
      <c r="W968" s="766"/>
      <c r="X968" s="765"/>
      <c r="Y968" s="765">
        <v>18000</v>
      </c>
      <c r="Z968" s="2426">
        <v>18000</v>
      </c>
      <c r="AA968" s="2426">
        <v>18000</v>
      </c>
      <c r="AB968" s="2674">
        <v>18000</v>
      </c>
      <c r="AC968" s="766"/>
      <c r="AD968" s="766"/>
      <c r="AE968" s="766"/>
      <c r="AF968" s="766"/>
      <c r="AG968" s="782"/>
      <c r="BB968" s="647"/>
      <c r="BC968" s="648"/>
      <c r="BD968" s="757"/>
    </row>
    <row r="969" spans="1:56" s="64" customFormat="1" outlineLevel="1" x14ac:dyDescent="0.25">
      <c r="A969" s="1393"/>
      <c r="B969" s="277"/>
      <c r="C969" s="385"/>
      <c r="D969" s="3676"/>
      <c r="E969" s="3589"/>
      <c r="F969" s="3671" t="str">
        <f t="shared" si="88"/>
        <v>Ductless ASHP - ROF MF</v>
      </c>
      <c r="G969" s="3671"/>
      <c r="H969" s="3671"/>
      <c r="I969" s="3055"/>
      <c r="J969" s="3224">
        <f t="shared" si="93"/>
        <v>18221.05263157895</v>
      </c>
      <c r="K969" s="2672">
        <f t="shared" si="92"/>
        <v>1.5184210526315791</v>
      </c>
      <c r="L969" s="2675" t="s">
        <v>1252</v>
      </c>
      <c r="M969" s="1775"/>
      <c r="N969" s="1759"/>
      <c r="O969" s="277"/>
      <c r="P969" s="277"/>
      <c r="Q969" s="277"/>
      <c r="R969" s="277"/>
      <c r="S969" s="277"/>
      <c r="T969" s="157"/>
      <c r="U969" s="157"/>
      <c r="V969" s="3676"/>
      <c r="W969" s="766"/>
      <c r="X969" s="765"/>
      <c r="Y969" s="765">
        <v>18000</v>
      </c>
      <c r="Z969" s="2426">
        <v>18000</v>
      </c>
      <c r="AA969" s="2426">
        <v>18000</v>
      </c>
      <c r="AB969" s="2673">
        <v>18221.05263157895</v>
      </c>
      <c r="AC969" s="766"/>
      <c r="AD969" s="766"/>
      <c r="AE969" s="766"/>
      <c r="AF969" s="766"/>
      <c r="AG969" s="782"/>
      <c r="BB969" s="647"/>
      <c r="BC969" s="648"/>
      <c r="BD969" s="757"/>
    </row>
    <row r="970" spans="1:56" s="64" customFormat="1" outlineLevel="1" x14ac:dyDescent="0.25">
      <c r="A970" s="1393"/>
      <c r="B970" s="277"/>
      <c r="C970" s="385"/>
      <c r="D970" s="3676"/>
      <c r="E970" s="3589"/>
      <c r="F970" s="3671" t="str">
        <f t="shared" si="88"/>
        <v>Ductless ASHP Replace Electric Resistance ER1 MF</v>
      </c>
      <c r="G970" s="3671"/>
      <c r="H970" s="3671"/>
      <c r="I970" s="3055"/>
      <c r="J970" s="3224">
        <f t="shared" si="93"/>
        <v>18840</v>
      </c>
      <c r="K970" s="2672">
        <f t="shared" si="92"/>
        <v>1.57</v>
      </c>
      <c r="L970" s="2675" t="s">
        <v>1252</v>
      </c>
      <c r="M970" s="1775"/>
      <c r="N970" s="1759"/>
      <c r="O970" s="277"/>
      <c r="P970" s="277"/>
      <c r="Q970" s="277"/>
      <c r="R970" s="277"/>
      <c r="S970" s="277"/>
      <c r="T970" s="157"/>
      <c r="U970" s="157"/>
      <c r="V970" s="3676"/>
      <c r="W970" s="766"/>
      <c r="X970" s="765"/>
      <c r="Y970" s="765">
        <v>18000</v>
      </c>
      <c r="Z970" s="2426">
        <v>18000</v>
      </c>
      <c r="AA970" s="2426">
        <v>18000</v>
      </c>
      <c r="AB970" s="2673">
        <v>18840</v>
      </c>
      <c r="AC970" s="766"/>
      <c r="AD970" s="766"/>
      <c r="AE970" s="766"/>
      <c r="AF970" s="766"/>
      <c r="AG970" s="782"/>
      <c r="BB970" s="647"/>
      <c r="BC970" s="648"/>
      <c r="BD970" s="757"/>
    </row>
    <row r="971" spans="1:56" s="64" customFormat="1" outlineLevel="1" x14ac:dyDescent="0.25">
      <c r="A971" s="1393"/>
      <c r="B971" s="277"/>
      <c r="C971" s="385"/>
      <c r="D971" s="3676"/>
      <c r="E971" s="3589"/>
      <c r="F971" s="3671" t="str">
        <f t="shared" si="88"/>
        <v>Ductless ASHP Replace Electric Resistance ROF MF</v>
      </c>
      <c r="G971" s="3671"/>
      <c r="H971" s="3671"/>
      <c r="I971" s="3055"/>
      <c r="J971" s="3224">
        <f t="shared" si="93"/>
        <v>19200</v>
      </c>
      <c r="K971" s="2672">
        <f t="shared" si="92"/>
        <v>1.6</v>
      </c>
      <c r="L971" s="2675" t="s">
        <v>1252</v>
      </c>
      <c r="M971" s="1775"/>
      <c r="N971" s="1759"/>
      <c r="O971" s="277"/>
      <c r="P971" s="277"/>
      <c r="Q971" s="277"/>
      <c r="R971" s="277"/>
      <c r="S971" s="277"/>
      <c r="T971" s="157"/>
      <c r="U971" s="157"/>
      <c r="V971" s="3676"/>
      <c r="W971" s="766"/>
      <c r="X971" s="765"/>
      <c r="Y971" s="765">
        <v>19200</v>
      </c>
      <c r="Z971" s="2426">
        <v>19200</v>
      </c>
      <c r="AA971" s="2426">
        <v>19200</v>
      </c>
      <c r="AB971" s="2673">
        <v>19200</v>
      </c>
      <c r="AC971" s="766"/>
      <c r="AD971" s="766"/>
      <c r="AE971" s="766"/>
      <c r="AF971" s="766"/>
      <c r="AG971" s="782"/>
      <c r="BB971" s="647"/>
      <c r="BC971" s="648"/>
      <c r="BD971" s="757"/>
    </row>
    <row r="972" spans="1:56" s="64" customFormat="1" outlineLevel="1" x14ac:dyDescent="0.25">
      <c r="A972" s="1393"/>
      <c r="B972" s="277"/>
      <c r="C972" s="385"/>
      <c r="D972" s="3676"/>
      <c r="E972" s="3589"/>
      <c r="F972" s="3671" t="str">
        <f t="shared" si="88"/>
        <v>Ductless ASHP ER1 MF</v>
      </c>
      <c r="G972" s="3671"/>
      <c r="H972" s="3671"/>
      <c r="I972" s="3055"/>
      <c r="J972" s="3224">
        <f t="shared" si="93"/>
        <v>15375</v>
      </c>
      <c r="K972" s="2672">
        <f t="shared" si="92"/>
        <v>1.28125</v>
      </c>
      <c r="L972" s="2675" t="s">
        <v>1252</v>
      </c>
      <c r="M972" s="1775"/>
      <c r="N972" s="1759"/>
      <c r="O972" s="277"/>
      <c r="P972" s="277"/>
      <c r="Q972" s="277"/>
      <c r="R972" s="277"/>
      <c r="S972" s="277"/>
      <c r="T972" s="157"/>
      <c r="U972" s="157"/>
      <c r="V972" s="3676"/>
      <c r="W972" s="766"/>
      <c r="X972" s="765"/>
      <c r="Y972" s="765">
        <v>18000</v>
      </c>
      <c r="Z972" s="2426">
        <v>18000</v>
      </c>
      <c r="AA972" s="2426">
        <v>18000</v>
      </c>
      <c r="AB972" s="2673">
        <v>15375</v>
      </c>
      <c r="AC972" s="766"/>
      <c r="AD972" s="766"/>
      <c r="AE972" s="766"/>
      <c r="AF972" s="766"/>
      <c r="AG972" s="782"/>
      <c r="BB972" s="647"/>
      <c r="BC972" s="648"/>
      <c r="BD972" s="757"/>
    </row>
    <row r="973" spans="1:56" s="64" customFormat="1" outlineLevel="1" x14ac:dyDescent="0.25">
      <c r="A973" s="1393"/>
      <c r="B973" s="277"/>
      <c r="C973" s="385"/>
      <c r="D973" s="3676"/>
      <c r="E973" s="3589"/>
      <c r="F973" s="3671" t="str">
        <f t="shared" si="88"/>
        <v>Ductless AC - ER1 MF_CompE</v>
      </c>
      <c r="G973" s="3671"/>
      <c r="H973" s="3671"/>
      <c r="I973" s="3055"/>
      <c r="J973" s="2674">
        <f>J959</f>
        <v>18000</v>
      </c>
      <c r="K973" s="2672">
        <f t="shared" si="92"/>
        <v>1.5</v>
      </c>
      <c r="L973" s="2675"/>
      <c r="M973" s="1753"/>
      <c r="N973" s="1759"/>
      <c r="O973" s="277"/>
      <c r="P973" s="277"/>
      <c r="Q973" s="277"/>
      <c r="R973" s="277"/>
      <c r="S973" s="277"/>
      <c r="T973" s="157"/>
      <c r="U973" s="157"/>
      <c r="V973" s="3676"/>
      <c r="W973" s="766"/>
      <c r="X973" s="765"/>
      <c r="Y973" s="765">
        <v>18000</v>
      </c>
      <c r="Z973" s="2426">
        <v>18000</v>
      </c>
      <c r="AA973" s="2426">
        <v>18000</v>
      </c>
      <c r="AB973" s="2674">
        <v>18000</v>
      </c>
      <c r="AC973" s="766"/>
      <c r="AD973" s="766"/>
      <c r="AE973" s="766"/>
      <c r="AF973" s="766"/>
      <c r="AG973" s="782"/>
      <c r="BB973" s="647"/>
      <c r="BC973" s="648"/>
      <c r="BD973" s="757"/>
    </row>
    <row r="974" spans="1:56" s="64" customFormat="1" outlineLevel="1" x14ac:dyDescent="0.25">
      <c r="A974" s="1393"/>
      <c r="B974" s="277"/>
      <c r="C974" s="385"/>
      <c r="D974" s="3676"/>
      <c r="E974" s="3589"/>
      <c r="F974" s="3671" t="str">
        <f t="shared" si="88"/>
        <v>Ductless AC - ROF MF_CompE</v>
      </c>
      <c r="G974" s="3671"/>
      <c r="H974" s="3671"/>
      <c r="I974" s="3055"/>
      <c r="J974" s="2674">
        <f t="shared" ref="J974:J979" si="94">J960</f>
        <v>15750</v>
      </c>
      <c r="K974" s="2672">
        <f t="shared" si="92"/>
        <v>1.3125</v>
      </c>
      <c r="L974" s="2675" t="s">
        <v>1252</v>
      </c>
      <c r="M974" s="1753"/>
      <c r="N974" s="1759"/>
      <c r="O974" s="277"/>
      <c r="P974" s="277"/>
      <c r="Q974" s="277"/>
      <c r="R974" s="277"/>
      <c r="S974" s="277"/>
      <c r="T974" s="157"/>
      <c r="U974" s="157"/>
      <c r="V974" s="3676"/>
      <c r="W974" s="766"/>
      <c r="X974" s="765"/>
      <c r="Y974" s="765">
        <v>18000</v>
      </c>
      <c r="Z974" s="2426">
        <v>18000</v>
      </c>
      <c r="AA974" s="2426">
        <v>18000</v>
      </c>
      <c r="AB974" s="2678">
        <v>15750</v>
      </c>
      <c r="AC974" s="766"/>
      <c r="AD974" s="766"/>
      <c r="AE974" s="766"/>
      <c r="AF974" s="766"/>
      <c r="AG974" s="782"/>
      <c r="BB974" s="647"/>
      <c r="BC974" s="648"/>
      <c r="BD974" s="757"/>
    </row>
    <row r="975" spans="1:56" s="64" customFormat="1" outlineLevel="1" x14ac:dyDescent="0.25">
      <c r="A975" s="1393"/>
      <c r="B975" s="277"/>
      <c r="C975" s="385"/>
      <c r="D975" s="3676"/>
      <c r="E975" s="3589"/>
      <c r="F975" s="3671" t="str">
        <f t="shared" si="88"/>
        <v>Ductless ASHP - ROF MF NC_CompE</v>
      </c>
      <c r="G975" s="3671"/>
      <c r="H975" s="3671"/>
      <c r="I975" s="3055"/>
      <c r="J975" s="2674">
        <f t="shared" si="94"/>
        <v>18000</v>
      </c>
      <c r="K975" s="2672">
        <f t="shared" si="92"/>
        <v>1.5</v>
      </c>
      <c r="L975" s="2675"/>
      <c r="M975" s="1753"/>
      <c r="N975" s="1759"/>
      <c r="O975" s="277"/>
      <c r="P975" s="277"/>
      <c r="Q975" s="277"/>
      <c r="R975" s="277"/>
      <c r="S975" s="277"/>
      <c r="T975" s="157"/>
      <c r="U975" s="157"/>
      <c r="V975" s="3676"/>
      <c r="W975" s="766"/>
      <c r="X975" s="765"/>
      <c r="Y975" s="765">
        <v>18000</v>
      </c>
      <c r="Z975" s="2426">
        <v>18000</v>
      </c>
      <c r="AA975" s="2426">
        <v>18000</v>
      </c>
      <c r="AB975" s="2674">
        <v>18000</v>
      </c>
      <c r="AC975" s="766"/>
      <c r="AD975" s="766"/>
      <c r="AE975" s="766"/>
      <c r="AF975" s="766"/>
      <c r="AG975" s="782"/>
      <c r="BB975" s="647"/>
      <c r="BC975" s="648"/>
      <c r="BD975" s="757"/>
    </row>
    <row r="976" spans="1:56" s="64" customFormat="1" outlineLevel="1" x14ac:dyDescent="0.25">
      <c r="A976" s="1393"/>
      <c r="B976" s="277"/>
      <c r="C976" s="385"/>
      <c r="D976" s="3676"/>
      <c r="E976" s="3589"/>
      <c r="F976" s="3671" t="str">
        <f t="shared" si="88"/>
        <v>Ductless ASHP - ROF MF_CompE</v>
      </c>
      <c r="G976" s="3671"/>
      <c r="H976" s="3671"/>
      <c r="I976" s="3055"/>
      <c r="J976" s="3224">
        <f t="shared" si="94"/>
        <v>18221.05263157895</v>
      </c>
      <c r="K976" s="2672">
        <f t="shared" si="92"/>
        <v>1.5184210526315791</v>
      </c>
      <c r="L976" s="2675" t="s">
        <v>1252</v>
      </c>
      <c r="M976" s="1753"/>
      <c r="N976" s="1759"/>
      <c r="O976" s="277"/>
      <c r="P976" s="277"/>
      <c r="Q976" s="277"/>
      <c r="R976" s="277"/>
      <c r="S976" s="277"/>
      <c r="T976" s="157"/>
      <c r="U976" s="157"/>
      <c r="V976" s="3676"/>
      <c r="W976" s="766"/>
      <c r="X976" s="765"/>
      <c r="Y976" s="765">
        <v>18000</v>
      </c>
      <c r="Z976" s="2426">
        <v>18000</v>
      </c>
      <c r="AA976" s="2426">
        <v>18000</v>
      </c>
      <c r="AB976" s="2673">
        <v>18221.05263157895</v>
      </c>
      <c r="AC976" s="766"/>
      <c r="AD976" s="766"/>
      <c r="AE976" s="766"/>
      <c r="AF976" s="766"/>
      <c r="AG976" s="782"/>
      <c r="BB976" s="647"/>
      <c r="BC976" s="648"/>
      <c r="BD976" s="757"/>
    </row>
    <row r="977" spans="1:56" s="64" customFormat="1" outlineLevel="1" x14ac:dyDescent="0.25">
      <c r="A977" s="1393"/>
      <c r="B977" s="277"/>
      <c r="C977" s="385"/>
      <c r="D977" s="3676"/>
      <c r="E977" s="3589"/>
      <c r="F977" s="3671" t="str">
        <f t="shared" si="88"/>
        <v>Ductless ASHP Replace Electric Resistance ER1 MF_CompE</v>
      </c>
      <c r="G977" s="3671"/>
      <c r="H977" s="3671"/>
      <c r="I977" s="3055"/>
      <c r="J977" s="3224">
        <f t="shared" si="94"/>
        <v>18840</v>
      </c>
      <c r="K977" s="2672">
        <f t="shared" si="92"/>
        <v>1.57</v>
      </c>
      <c r="L977" s="2675" t="s">
        <v>1252</v>
      </c>
      <c r="M977" s="1753"/>
      <c r="N977" s="1759"/>
      <c r="O977" s="277"/>
      <c r="P977" s="277"/>
      <c r="Q977" s="277"/>
      <c r="R977" s="277"/>
      <c r="S977" s="277"/>
      <c r="T977" s="157"/>
      <c r="U977" s="157"/>
      <c r="V977" s="3676"/>
      <c r="W977" s="766"/>
      <c r="X977" s="765"/>
      <c r="Y977" s="765">
        <v>18000</v>
      </c>
      <c r="Z977" s="2426">
        <v>18000</v>
      </c>
      <c r="AA977" s="2426">
        <v>18000</v>
      </c>
      <c r="AB977" s="2673">
        <v>18840</v>
      </c>
      <c r="AC977" s="766"/>
      <c r="AD977" s="766"/>
      <c r="AE977" s="766"/>
      <c r="AF977" s="766"/>
      <c r="AG977" s="782"/>
      <c r="BB977" s="647"/>
      <c r="BC977" s="648"/>
      <c r="BD977" s="757"/>
    </row>
    <row r="978" spans="1:56" s="64" customFormat="1" outlineLevel="1" x14ac:dyDescent="0.25">
      <c r="A978" s="1393"/>
      <c r="B978" s="277"/>
      <c r="C978" s="385"/>
      <c r="D978" s="3676"/>
      <c r="E978" s="3589"/>
      <c r="F978" s="3671" t="str">
        <f t="shared" si="88"/>
        <v>Ductless ASHP Replace Electric Resistance ROF MF_CompE</v>
      </c>
      <c r="G978" s="3671"/>
      <c r="H978" s="3671"/>
      <c r="I978" s="3055"/>
      <c r="J978" s="3224">
        <f t="shared" si="94"/>
        <v>19200</v>
      </c>
      <c r="K978" s="2672">
        <f t="shared" si="92"/>
        <v>1.6</v>
      </c>
      <c r="L978" s="2675" t="s">
        <v>1252</v>
      </c>
      <c r="M978" s="1753"/>
      <c r="N978" s="1759"/>
      <c r="O978" s="277"/>
      <c r="P978" s="277"/>
      <c r="Q978" s="277"/>
      <c r="R978" s="277"/>
      <c r="S978" s="277"/>
      <c r="T978" s="157"/>
      <c r="U978" s="157"/>
      <c r="V978" s="3676"/>
      <c r="W978" s="766"/>
      <c r="X978" s="765"/>
      <c r="Y978" s="765">
        <v>19200</v>
      </c>
      <c r="Z978" s="2426">
        <v>19200</v>
      </c>
      <c r="AA978" s="2426">
        <v>19200</v>
      </c>
      <c r="AB978" s="2673">
        <v>19200</v>
      </c>
      <c r="AC978" s="766"/>
      <c r="AD978" s="766"/>
      <c r="AE978" s="766"/>
      <c r="AF978" s="766"/>
      <c r="AG978" s="782"/>
      <c r="BB978" s="647"/>
      <c r="BC978" s="648"/>
      <c r="BD978" s="757"/>
    </row>
    <row r="979" spans="1:56" s="64" customFormat="1" ht="15.75" outlineLevel="1" thickBot="1" x14ac:dyDescent="0.3">
      <c r="A979" s="1393"/>
      <c r="B979" s="277"/>
      <c r="C979" s="385"/>
      <c r="D979" s="3686"/>
      <c r="E979" s="3687"/>
      <c r="F979" s="3671" t="str">
        <f t="shared" si="88"/>
        <v>Ductless ASHP ER1 MF_CompE</v>
      </c>
      <c r="G979" s="3671"/>
      <c r="H979" s="3671"/>
      <c r="I979" s="3060"/>
      <c r="J979" s="3224">
        <f t="shared" si="94"/>
        <v>15375</v>
      </c>
      <c r="K979" s="2672">
        <f t="shared" si="92"/>
        <v>1.28125</v>
      </c>
      <c r="L979" s="2675" t="s">
        <v>1252</v>
      </c>
      <c r="M979" s="1753"/>
      <c r="N979" s="1759"/>
      <c r="O979" s="277"/>
      <c r="P979" s="277"/>
      <c r="Q979" s="277"/>
      <c r="R979" s="277"/>
      <c r="S979" s="277"/>
      <c r="T979" s="157"/>
      <c r="U979" s="157"/>
      <c r="V979" s="3686"/>
      <c r="W979" s="792"/>
      <c r="X979" s="846"/>
      <c r="Y979" s="846">
        <v>18000</v>
      </c>
      <c r="Z979" s="2429">
        <v>18000</v>
      </c>
      <c r="AA979" s="2429">
        <v>18000</v>
      </c>
      <c r="AB979" s="2673">
        <v>15375</v>
      </c>
      <c r="AC979" s="792"/>
      <c r="AD979" s="792"/>
      <c r="AE979" s="792"/>
      <c r="AF979" s="792"/>
      <c r="AG979" s="840"/>
      <c r="BB979" s="647"/>
      <c r="BC979" s="648"/>
      <c r="BD979" s="757"/>
    </row>
    <row r="980" spans="1:56" s="64" customFormat="1" outlineLevel="1" x14ac:dyDescent="0.25">
      <c r="A980" s="1393"/>
      <c r="B980" s="277"/>
      <c r="C980" s="385"/>
      <c r="D980" s="3638" t="s">
        <v>495</v>
      </c>
      <c r="E980" s="3588" t="s">
        <v>1263</v>
      </c>
      <c r="F980" s="3683" t="str">
        <f t="shared" si="88"/>
        <v>Ductless AC - ER1 SF</v>
      </c>
      <c r="G980" s="3684"/>
      <c r="H980" s="3685"/>
      <c r="I980" s="1426"/>
      <c r="J980" s="841">
        <v>635</v>
      </c>
      <c r="K980" s="833"/>
      <c r="L980" s="3691" t="s">
        <v>889</v>
      </c>
      <c r="M980" s="1775"/>
      <c r="N980" s="1759"/>
      <c r="O980" s="277"/>
      <c r="P980" s="277"/>
      <c r="Q980" s="277"/>
      <c r="R980" s="277"/>
      <c r="S980" s="277"/>
      <c r="T980" s="157"/>
      <c r="U980" s="157"/>
      <c r="V980" s="3638" t="s">
        <v>495</v>
      </c>
      <c r="W980" s="760">
        <v>869</v>
      </c>
      <c r="X980" s="760">
        <v>869</v>
      </c>
      <c r="Y980" s="759">
        <v>635</v>
      </c>
      <c r="Z980" s="2428">
        <v>635</v>
      </c>
      <c r="AA980" s="2428">
        <v>635</v>
      </c>
      <c r="AB980" s="841">
        <v>635</v>
      </c>
      <c r="AC980" s="760"/>
      <c r="AD980" s="760"/>
      <c r="AE980" s="760"/>
      <c r="AF980" s="760"/>
      <c r="AG980" s="835"/>
      <c r="BB980" s="647"/>
      <c r="BC980" s="648"/>
      <c r="BD980" s="757"/>
    </row>
    <row r="981" spans="1:56" s="64" customFormat="1" outlineLevel="1" x14ac:dyDescent="0.25">
      <c r="A981" s="1393"/>
      <c r="B981" s="277"/>
      <c r="C981" s="385"/>
      <c r="D981" s="3676"/>
      <c r="E981" s="3589"/>
      <c r="F981" s="3688" t="str">
        <f t="shared" si="88"/>
        <v>Ductless AC - ROF SF</v>
      </c>
      <c r="G981" s="3689"/>
      <c r="H981" s="3690"/>
      <c r="I981" s="1425"/>
      <c r="J981" s="842">
        <v>635</v>
      </c>
      <c r="K981" s="836"/>
      <c r="L981" s="3692"/>
      <c r="M981" s="1775"/>
      <c r="N981" s="1759"/>
      <c r="O981" s="277"/>
      <c r="P981" s="277"/>
      <c r="Q981" s="277"/>
      <c r="R981" s="277"/>
      <c r="S981" s="277"/>
      <c r="T981" s="157"/>
      <c r="U981" s="157"/>
      <c r="V981" s="3676"/>
      <c r="W981" s="766">
        <v>869</v>
      </c>
      <c r="X981" s="766">
        <v>869</v>
      </c>
      <c r="Y981" s="765">
        <v>635</v>
      </c>
      <c r="Z981" s="2426">
        <v>635</v>
      </c>
      <c r="AA981" s="2426">
        <v>635</v>
      </c>
      <c r="AB981" s="842">
        <v>635</v>
      </c>
      <c r="AC981" s="766"/>
      <c r="AD981" s="766"/>
      <c r="AE981" s="766"/>
      <c r="AF981" s="766"/>
      <c r="AG981" s="782"/>
      <c r="BB981" s="647"/>
      <c r="BC981" s="648"/>
      <c r="BD981" s="757"/>
    </row>
    <row r="982" spans="1:56" s="64" customFormat="1" outlineLevel="1" x14ac:dyDescent="0.25">
      <c r="A982" s="1393"/>
      <c r="B982" s="277"/>
      <c r="C982" s="385"/>
      <c r="D982" s="3676"/>
      <c r="E982" s="3589"/>
      <c r="F982" s="3688" t="str">
        <f t="shared" si="88"/>
        <v>Ductless ASHP - ROF SF NC</v>
      </c>
      <c r="G982" s="3689"/>
      <c r="H982" s="3690"/>
      <c r="I982" s="1425"/>
      <c r="J982" s="842">
        <v>635</v>
      </c>
      <c r="K982" s="836"/>
      <c r="L982" s="3692"/>
      <c r="M982" s="1775"/>
      <c r="N982" s="1759"/>
      <c r="O982" s="277"/>
      <c r="P982" s="277"/>
      <c r="Q982" s="277"/>
      <c r="R982" s="277"/>
      <c r="S982" s="277"/>
      <c r="T982" s="157"/>
      <c r="U982" s="157"/>
      <c r="V982" s="3676"/>
      <c r="W982" s="766">
        <v>869</v>
      </c>
      <c r="X982" s="766">
        <v>869</v>
      </c>
      <c r="Y982" s="765">
        <v>635</v>
      </c>
      <c r="Z982" s="2426">
        <v>635</v>
      </c>
      <c r="AA982" s="2426">
        <v>635</v>
      </c>
      <c r="AB982" s="842">
        <v>635</v>
      </c>
      <c r="AC982" s="766"/>
      <c r="AD982" s="766"/>
      <c r="AE982" s="766"/>
      <c r="AF982" s="766"/>
      <c r="AG982" s="782"/>
      <c r="BB982" s="647"/>
      <c r="BC982" s="648"/>
      <c r="BD982" s="757"/>
    </row>
    <row r="983" spans="1:56" s="64" customFormat="1" outlineLevel="1" x14ac:dyDescent="0.25">
      <c r="A983" s="1393"/>
      <c r="B983" s="277"/>
      <c r="C983" s="385"/>
      <c r="D983" s="3676"/>
      <c r="E983" s="3589"/>
      <c r="F983" s="3688" t="str">
        <f t="shared" si="88"/>
        <v>Ductless ASHP - ROF SF</v>
      </c>
      <c r="G983" s="3689"/>
      <c r="H983" s="3690"/>
      <c r="I983" s="1425"/>
      <c r="J983" s="842">
        <v>635</v>
      </c>
      <c r="K983" s="836"/>
      <c r="L983" s="3692"/>
      <c r="M983" s="1775"/>
      <c r="N983" s="1759"/>
      <c r="O983" s="277"/>
      <c r="P983" s="277"/>
      <c r="Q983" s="277"/>
      <c r="R983" s="277"/>
      <c r="S983" s="277"/>
      <c r="T983" s="157"/>
      <c r="U983" s="157"/>
      <c r="V983" s="3676"/>
      <c r="W983" s="766">
        <v>869</v>
      </c>
      <c r="X983" s="766">
        <v>869</v>
      </c>
      <c r="Y983" s="765">
        <v>635</v>
      </c>
      <c r="Z983" s="2426">
        <v>635</v>
      </c>
      <c r="AA983" s="2426">
        <v>635</v>
      </c>
      <c r="AB983" s="842">
        <v>635</v>
      </c>
      <c r="AC983" s="766"/>
      <c r="AD983" s="766"/>
      <c r="AE983" s="766"/>
      <c r="AF983" s="766"/>
      <c r="AG983" s="782"/>
      <c r="BB983" s="647"/>
      <c r="BC983" s="648"/>
      <c r="BD983" s="757"/>
    </row>
    <row r="984" spans="1:56" s="64" customFormat="1" outlineLevel="1" x14ac:dyDescent="0.25">
      <c r="A984" s="1393"/>
      <c r="B984" s="277"/>
      <c r="C984" s="385"/>
      <c r="D984" s="3676"/>
      <c r="E984" s="3589"/>
      <c r="F984" s="3688" t="str">
        <f t="shared" si="88"/>
        <v>Ductless ASHP Replace Electric Resistance ER1 SF</v>
      </c>
      <c r="G984" s="3689"/>
      <c r="H984" s="3690"/>
      <c r="I984" s="1425"/>
      <c r="J984" s="842">
        <v>635</v>
      </c>
      <c r="K984" s="836"/>
      <c r="L984" s="3692"/>
      <c r="M984" s="1775"/>
      <c r="N984" s="1759"/>
      <c r="O984" s="277"/>
      <c r="P984" s="277"/>
      <c r="Q984" s="277"/>
      <c r="R984" s="277"/>
      <c r="S984" s="277"/>
      <c r="T984" s="157"/>
      <c r="U984" s="157"/>
      <c r="V984" s="3676"/>
      <c r="W984" s="766">
        <v>869</v>
      </c>
      <c r="X984" s="766">
        <v>869</v>
      </c>
      <c r="Y984" s="765">
        <v>635</v>
      </c>
      <c r="Z984" s="2426">
        <v>635</v>
      </c>
      <c r="AA984" s="2426">
        <v>635</v>
      </c>
      <c r="AB984" s="842">
        <v>635</v>
      </c>
      <c r="AC984" s="766"/>
      <c r="AD984" s="766"/>
      <c r="AE984" s="766"/>
      <c r="AF984" s="766"/>
      <c r="AG984" s="782"/>
      <c r="BB984" s="647"/>
      <c r="BC984" s="648"/>
      <c r="BD984" s="757"/>
    </row>
    <row r="985" spans="1:56" s="64" customFormat="1" outlineLevel="1" x14ac:dyDescent="0.25">
      <c r="A985" s="1393"/>
      <c r="B985" s="277"/>
      <c r="C985" s="385"/>
      <c r="D985" s="3676"/>
      <c r="E985" s="3589"/>
      <c r="F985" s="3688" t="str">
        <f t="shared" si="88"/>
        <v>Ductless ASHP Replace Electric Resistance ROF SF</v>
      </c>
      <c r="G985" s="3689"/>
      <c r="H985" s="3690"/>
      <c r="I985" s="1425"/>
      <c r="J985" s="842">
        <v>635</v>
      </c>
      <c r="K985" s="836"/>
      <c r="L985" s="3692"/>
      <c r="M985" s="1775"/>
      <c r="N985" s="1759"/>
      <c r="O985" s="277"/>
      <c r="P985" s="277"/>
      <c r="Q985" s="277"/>
      <c r="R985" s="277"/>
      <c r="S985" s="277"/>
      <c r="T985" s="157"/>
      <c r="U985" s="157"/>
      <c r="V985" s="3676"/>
      <c r="W985" s="766">
        <v>869</v>
      </c>
      <c r="X985" s="766">
        <v>869</v>
      </c>
      <c r="Y985" s="765">
        <v>635</v>
      </c>
      <c r="Z985" s="2426">
        <v>635</v>
      </c>
      <c r="AA985" s="2426">
        <v>635</v>
      </c>
      <c r="AB985" s="842">
        <v>635</v>
      </c>
      <c r="AC985" s="766"/>
      <c r="AD985" s="766"/>
      <c r="AE985" s="766"/>
      <c r="AF985" s="766"/>
      <c r="AG985" s="782"/>
      <c r="BB985" s="647"/>
      <c r="BC985" s="648"/>
      <c r="BD985" s="757"/>
    </row>
    <row r="986" spans="1:56" s="64" customFormat="1" outlineLevel="1" x14ac:dyDescent="0.25">
      <c r="A986" s="1393"/>
      <c r="B986" s="277"/>
      <c r="C986" s="385"/>
      <c r="D986" s="3676"/>
      <c r="E986" s="3589"/>
      <c r="F986" s="3688" t="str">
        <f t="shared" si="88"/>
        <v>Ductless ASHP ER1 SF</v>
      </c>
      <c r="G986" s="3689"/>
      <c r="H986" s="3690"/>
      <c r="I986" s="1425"/>
      <c r="J986" s="842">
        <v>635</v>
      </c>
      <c r="K986" s="836"/>
      <c r="L986" s="3692"/>
      <c r="M986" s="1775"/>
      <c r="N986" s="1759"/>
      <c r="O986" s="277"/>
      <c r="P986" s="277"/>
      <c r="Q986" s="277"/>
      <c r="R986" s="277"/>
      <c r="S986" s="277"/>
      <c r="T986" s="157"/>
      <c r="U986" s="157"/>
      <c r="V986" s="3676"/>
      <c r="W986" s="766">
        <v>869</v>
      </c>
      <c r="X986" s="766">
        <v>869</v>
      </c>
      <c r="Y986" s="765">
        <v>635</v>
      </c>
      <c r="Z986" s="2426">
        <v>635</v>
      </c>
      <c r="AA986" s="2426">
        <v>635</v>
      </c>
      <c r="AB986" s="842">
        <v>635</v>
      </c>
      <c r="AC986" s="766"/>
      <c r="AD986" s="766"/>
      <c r="AE986" s="766"/>
      <c r="AF986" s="766"/>
      <c r="AG986" s="782"/>
      <c r="BB986" s="647"/>
      <c r="BC986" s="648"/>
      <c r="BD986" s="757"/>
    </row>
    <row r="987" spans="1:56" s="64" customFormat="1" outlineLevel="1" x14ac:dyDescent="0.25">
      <c r="A987" s="1393"/>
      <c r="B987" s="277"/>
      <c r="C987" s="385"/>
      <c r="D987" s="3676"/>
      <c r="E987" s="3589"/>
      <c r="F987" s="3671" t="str">
        <f t="shared" si="88"/>
        <v>Ductless AC - ER1 MF</v>
      </c>
      <c r="G987" s="3671"/>
      <c r="H987" s="3671"/>
      <c r="I987" s="1425"/>
      <c r="J987" s="842">
        <v>635</v>
      </c>
      <c r="K987" s="836"/>
      <c r="L987" s="3692"/>
      <c r="M987" s="1775"/>
      <c r="N987" s="1759"/>
      <c r="O987" s="277"/>
      <c r="P987" s="277"/>
      <c r="Q987" s="277"/>
      <c r="R987" s="277"/>
      <c r="S987" s="277"/>
      <c r="T987" s="157"/>
      <c r="U987" s="157"/>
      <c r="V987" s="3676"/>
      <c r="W987" s="766"/>
      <c r="X987" s="765"/>
      <c r="Y987" s="765">
        <v>635</v>
      </c>
      <c r="Z987" s="2426">
        <v>635</v>
      </c>
      <c r="AA987" s="2426">
        <v>635</v>
      </c>
      <c r="AB987" s="842">
        <v>635</v>
      </c>
      <c r="AC987" s="766"/>
      <c r="AD987" s="766"/>
      <c r="AE987" s="766"/>
      <c r="AF987" s="766"/>
      <c r="AG987" s="782"/>
      <c r="BB987" s="647"/>
      <c r="BC987" s="648"/>
      <c r="BD987" s="757"/>
    </row>
    <row r="988" spans="1:56" s="64" customFormat="1" outlineLevel="1" x14ac:dyDescent="0.25">
      <c r="A988" s="1393"/>
      <c r="B988" s="277"/>
      <c r="C988" s="385"/>
      <c r="D988" s="3676"/>
      <c r="E988" s="3589"/>
      <c r="F988" s="3671" t="str">
        <f t="shared" si="88"/>
        <v>Ductless AC - ROF MF</v>
      </c>
      <c r="G988" s="3671"/>
      <c r="H988" s="3671"/>
      <c r="I988" s="1425"/>
      <c r="J988" s="842">
        <v>635</v>
      </c>
      <c r="K988" s="836"/>
      <c r="L988" s="3692"/>
      <c r="M988" s="1775"/>
      <c r="N988" s="1759"/>
      <c r="O988" s="277"/>
      <c r="P988" s="277"/>
      <c r="Q988" s="277"/>
      <c r="R988" s="277"/>
      <c r="S988" s="277"/>
      <c r="T988" s="157"/>
      <c r="U988" s="157"/>
      <c r="V988" s="3676"/>
      <c r="W988" s="766"/>
      <c r="X988" s="765"/>
      <c r="Y988" s="765">
        <v>635</v>
      </c>
      <c r="Z988" s="2426">
        <v>635</v>
      </c>
      <c r="AA988" s="2426">
        <v>635</v>
      </c>
      <c r="AB988" s="842">
        <v>635</v>
      </c>
      <c r="AC988" s="766"/>
      <c r="AD988" s="766"/>
      <c r="AE988" s="766"/>
      <c r="AF988" s="766"/>
      <c r="AG988" s="782"/>
      <c r="BB988" s="647"/>
      <c r="BC988" s="648"/>
      <c r="BD988" s="757"/>
    </row>
    <row r="989" spans="1:56" s="64" customFormat="1" outlineLevel="1" x14ac:dyDescent="0.25">
      <c r="A989" s="1393"/>
      <c r="B989" s="277"/>
      <c r="C989" s="385"/>
      <c r="D989" s="3676"/>
      <c r="E989" s="3589"/>
      <c r="F989" s="3671" t="str">
        <f t="shared" si="88"/>
        <v>Ductless ASHP - ROF MF NC</v>
      </c>
      <c r="G989" s="3671"/>
      <c r="H989" s="3671"/>
      <c r="I989" s="1425"/>
      <c r="J989" s="842">
        <v>635</v>
      </c>
      <c r="K989" s="836"/>
      <c r="L989" s="3692"/>
      <c r="M989" s="1775"/>
      <c r="N989" s="1759"/>
      <c r="O989" s="277"/>
      <c r="P989" s="277"/>
      <c r="Q989" s="277"/>
      <c r="R989" s="277"/>
      <c r="S989" s="277"/>
      <c r="T989" s="157"/>
      <c r="U989" s="157"/>
      <c r="V989" s="3676"/>
      <c r="W989" s="766"/>
      <c r="X989" s="765"/>
      <c r="Y989" s="765">
        <v>635</v>
      </c>
      <c r="Z989" s="2426">
        <v>635</v>
      </c>
      <c r="AA989" s="2426">
        <v>635</v>
      </c>
      <c r="AB989" s="842">
        <v>635</v>
      </c>
      <c r="AC989" s="766"/>
      <c r="AD989" s="766"/>
      <c r="AE989" s="766"/>
      <c r="AF989" s="766"/>
      <c r="AG989" s="782"/>
      <c r="BB989" s="647"/>
      <c r="BC989" s="648"/>
      <c r="BD989" s="757"/>
    </row>
    <row r="990" spans="1:56" s="64" customFormat="1" outlineLevel="1" x14ac:dyDescent="0.25">
      <c r="A990" s="1393"/>
      <c r="B990" s="277"/>
      <c r="C990" s="385"/>
      <c r="D990" s="3676"/>
      <c r="E990" s="3589"/>
      <c r="F990" s="3671" t="str">
        <f t="shared" si="88"/>
        <v>Ductless ASHP - ROF MF</v>
      </c>
      <c r="G990" s="3671"/>
      <c r="H990" s="3671"/>
      <c r="I990" s="1425"/>
      <c r="J990" s="842">
        <v>635</v>
      </c>
      <c r="K990" s="836"/>
      <c r="L990" s="3692"/>
      <c r="M990" s="1775"/>
      <c r="N990" s="1759"/>
      <c r="O990" s="277"/>
      <c r="P990" s="277"/>
      <c r="Q990" s="277"/>
      <c r="R990" s="277"/>
      <c r="S990" s="277"/>
      <c r="T990" s="157"/>
      <c r="U990" s="157"/>
      <c r="V990" s="3676"/>
      <c r="W990" s="766"/>
      <c r="X990" s="765"/>
      <c r="Y990" s="765">
        <v>635</v>
      </c>
      <c r="Z990" s="2426">
        <v>635</v>
      </c>
      <c r="AA990" s="2426">
        <v>635</v>
      </c>
      <c r="AB990" s="842">
        <v>635</v>
      </c>
      <c r="AC990" s="766"/>
      <c r="AD990" s="766"/>
      <c r="AE990" s="766"/>
      <c r="AF990" s="766"/>
      <c r="AG990" s="782"/>
      <c r="BB990" s="647"/>
      <c r="BC990" s="648"/>
      <c r="BD990" s="757"/>
    </row>
    <row r="991" spans="1:56" s="64" customFormat="1" outlineLevel="1" x14ac:dyDescent="0.25">
      <c r="A991" s="1393"/>
      <c r="B991" s="277"/>
      <c r="C991" s="385"/>
      <c r="D991" s="3676"/>
      <c r="E991" s="3589"/>
      <c r="F991" s="3671" t="str">
        <f t="shared" si="88"/>
        <v>Ductless ASHP Replace Electric Resistance ER1 MF</v>
      </c>
      <c r="G991" s="3671"/>
      <c r="H991" s="3671"/>
      <c r="I991" s="1425"/>
      <c r="J991" s="842">
        <v>635</v>
      </c>
      <c r="K991" s="836"/>
      <c r="L991" s="3692"/>
      <c r="M991" s="1775"/>
      <c r="N991" s="1759"/>
      <c r="O991" s="277"/>
      <c r="P991" s="277"/>
      <c r="Q991" s="277"/>
      <c r="R991" s="277"/>
      <c r="S991" s="277"/>
      <c r="T991" s="157"/>
      <c r="U991" s="157"/>
      <c r="V991" s="3676"/>
      <c r="W991" s="766"/>
      <c r="X991" s="765"/>
      <c r="Y991" s="765">
        <v>635</v>
      </c>
      <c r="Z991" s="2426">
        <v>635</v>
      </c>
      <c r="AA991" s="2426">
        <v>635</v>
      </c>
      <c r="AB991" s="842">
        <v>635</v>
      </c>
      <c r="AC991" s="766"/>
      <c r="AD991" s="766"/>
      <c r="AE991" s="766"/>
      <c r="AF991" s="766"/>
      <c r="AG991" s="782"/>
      <c r="BB991" s="647"/>
      <c r="BC991" s="648"/>
      <c r="BD991" s="757"/>
    </row>
    <row r="992" spans="1:56" s="64" customFormat="1" outlineLevel="1" x14ac:dyDescent="0.25">
      <c r="A992" s="1393"/>
      <c r="B992" s="277"/>
      <c r="C992" s="385"/>
      <c r="D992" s="3676"/>
      <c r="E992" s="3589"/>
      <c r="F992" s="3671" t="str">
        <f t="shared" si="88"/>
        <v>Ductless ASHP Replace Electric Resistance ROF MF</v>
      </c>
      <c r="G992" s="3671"/>
      <c r="H992" s="3671"/>
      <c r="I992" s="1425"/>
      <c r="J992" s="842">
        <v>635</v>
      </c>
      <c r="K992" s="836"/>
      <c r="L992" s="3692"/>
      <c r="M992" s="1775"/>
      <c r="N992" s="1759"/>
      <c r="O992" s="277"/>
      <c r="P992" s="277"/>
      <c r="Q992" s="277"/>
      <c r="R992" s="277"/>
      <c r="S992" s="277"/>
      <c r="T992" s="157"/>
      <c r="U992" s="157"/>
      <c r="V992" s="3676"/>
      <c r="W992" s="766"/>
      <c r="X992" s="765"/>
      <c r="Y992" s="765">
        <v>635</v>
      </c>
      <c r="Z992" s="2426">
        <v>635</v>
      </c>
      <c r="AA992" s="2426">
        <v>635</v>
      </c>
      <c r="AB992" s="842">
        <v>635</v>
      </c>
      <c r="AC992" s="766"/>
      <c r="AD992" s="766"/>
      <c r="AE992" s="766"/>
      <c r="AF992" s="766"/>
      <c r="AG992" s="782"/>
      <c r="BB992" s="647"/>
      <c r="BC992" s="648"/>
      <c r="BD992" s="757"/>
    </row>
    <row r="993" spans="1:56" s="64" customFormat="1" outlineLevel="1" x14ac:dyDescent="0.25">
      <c r="A993" s="1393"/>
      <c r="B993" s="277"/>
      <c r="C993" s="385"/>
      <c r="D993" s="3676"/>
      <c r="E993" s="3589"/>
      <c r="F993" s="3671" t="str">
        <f t="shared" si="88"/>
        <v>Ductless ASHP ER1 MF</v>
      </c>
      <c r="G993" s="3671"/>
      <c r="H993" s="3671"/>
      <c r="I993" s="1425"/>
      <c r="J993" s="842">
        <v>635</v>
      </c>
      <c r="K993" s="836"/>
      <c r="L993" s="3692"/>
      <c r="M993" s="1775"/>
      <c r="N993" s="1759"/>
      <c r="O993" s="277"/>
      <c r="P993" s="277"/>
      <c r="Q993" s="277"/>
      <c r="R993" s="277"/>
      <c r="S993" s="277"/>
      <c r="T993" s="157"/>
      <c r="U993" s="157"/>
      <c r="V993" s="3676"/>
      <c r="W993" s="766"/>
      <c r="X993" s="765"/>
      <c r="Y993" s="765">
        <v>635</v>
      </c>
      <c r="Z993" s="2426">
        <v>635</v>
      </c>
      <c r="AA993" s="2426">
        <v>635</v>
      </c>
      <c r="AB993" s="842">
        <v>635</v>
      </c>
      <c r="AC993" s="766"/>
      <c r="AD993" s="766"/>
      <c r="AE993" s="766"/>
      <c r="AF993" s="766"/>
      <c r="AG993" s="782"/>
      <c r="BB993" s="647"/>
      <c r="BC993" s="648"/>
      <c r="BD993" s="757"/>
    </row>
    <row r="994" spans="1:56" s="64" customFormat="1" outlineLevel="1" x14ac:dyDescent="0.25">
      <c r="A994" s="1393"/>
      <c r="B994" s="277"/>
      <c r="C994" s="385"/>
      <c r="D994" s="3676"/>
      <c r="E994" s="3589"/>
      <c r="F994" s="3671" t="str">
        <f t="shared" si="88"/>
        <v>Ductless AC - ER1 MF_CompE</v>
      </c>
      <c r="G994" s="3671"/>
      <c r="H994" s="3671"/>
      <c r="I994" s="1425"/>
      <c r="J994" s="1777">
        <v>417</v>
      </c>
      <c r="K994" s="836"/>
      <c r="L994" s="3692"/>
      <c r="M994" s="1775"/>
      <c r="N994" s="1759"/>
      <c r="O994" s="277"/>
      <c r="P994" s="277"/>
      <c r="Q994" s="277"/>
      <c r="R994" s="277"/>
      <c r="S994" s="277"/>
      <c r="T994" s="157"/>
      <c r="U994" s="157"/>
      <c r="V994" s="3676"/>
      <c r="W994" s="766"/>
      <c r="X994" s="766"/>
      <c r="Y994" s="765">
        <v>560</v>
      </c>
      <c r="Z994" s="2426">
        <v>560</v>
      </c>
      <c r="AA994" s="2426">
        <v>560</v>
      </c>
      <c r="AB994" s="1777">
        <v>417</v>
      </c>
      <c r="AC994" s="766"/>
      <c r="AD994" s="766"/>
      <c r="AE994" s="766"/>
      <c r="AF994" s="766"/>
      <c r="AG994" s="782"/>
      <c r="BB994" s="647"/>
      <c r="BC994" s="648"/>
      <c r="BD994" s="757"/>
    </row>
    <row r="995" spans="1:56" s="64" customFormat="1" outlineLevel="1" x14ac:dyDescent="0.25">
      <c r="A995" s="1393"/>
      <c r="B995" s="277"/>
      <c r="C995" s="385"/>
      <c r="D995" s="3676"/>
      <c r="E995" s="3589"/>
      <c r="F995" s="3671" t="str">
        <f t="shared" si="88"/>
        <v>Ductless AC - ROF MF_CompE</v>
      </c>
      <c r="G995" s="3671"/>
      <c r="H995" s="3671"/>
      <c r="I995" s="1425"/>
      <c r="J995" s="1777">
        <v>417</v>
      </c>
      <c r="K995" s="836"/>
      <c r="L995" s="3692"/>
      <c r="M995" s="1775"/>
      <c r="N995" s="1759"/>
      <c r="O995" s="277"/>
      <c r="P995" s="277"/>
      <c r="Q995" s="277"/>
      <c r="R995" s="277"/>
      <c r="S995" s="277"/>
      <c r="T995" s="157"/>
      <c r="U995" s="157"/>
      <c r="V995" s="3676"/>
      <c r="W995" s="766"/>
      <c r="X995" s="766"/>
      <c r="Y995" s="765">
        <v>560</v>
      </c>
      <c r="Z995" s="2426">
        <v>560</v>
      </c>
      <c r="AA995" s="2426">
        <v>560</v>
      </c>
      <c r="AB995" s="1777">
        <v>417</v>
      </c>
      <c r="AC995" s="766"/>
      <c r="AD995" s="766"/>
      <c r="AE995" s="766"/>
      <c r="AF995" s="766"/>
      <c r="AG995" s="782"/>
      <c r="BB995" s="647"/>
      <c r="BC995" s="648"/>
      <c r="BD995" s="757"/>
    </row>
    <row r="996" spans="1:56" s="64" customFormat="1" outlineLevel="1" x14ac:dyDescent="0.25">
      <c r="A996" s="1393"/>
      <c r="B996" s="277"/>
      <c r="C996" s="385"/>
      <c r="D996" s="3676"/>
      <c r="E996" s="3589"/>
      <c r="F996" s="3671" t="str">
        <f t="shared" si="88"/>
        <v>Ductless ASHP - ROF MF NC_CompE</v>
      </c>
      <c r="G996" s="3671"/>
      <c r="H996" s="3671"/>
      <c r="I996" s="1425"/>
      <c r="J996" s="1777">
        <v>417</v>
      </c>
      <c r="K996" s="836"/>
      <c r="L996" s="3692"/>
      <c r="M996" s="1775"/>
      <c r="N996" s="1759"/>
      <c r="O996" s="277"/>
      <c r="P996" s="277"/>
      <c r="Q996" s="277"/>
      <c r="R996" s="277"/>
      <c r="S996" s="277"/>
      <c r="T996" s="157"/>
      <c r="U996" s="157"/>
      <c r="V996" s="3676"/>
      <c r="W996" s="766"/>
      <c r="X996" s="766"/>
      <c r="Y996" s="765">
        <v>560</v>
      </c>
      <c r="Z996" s="2426">
        <v>560</v>
      </c>
      <c r="AA996" s="2426">
        <v>560</v>
      </c>
      <c r="AB996" s="1777">
        <v>417</v>
      </c>
      <c r="AC996" s="766"/>
      <c r="AD996" s="766"/>
      <c r="AE996" s="766"/>
      <c r="AF996" s="766"/>
      <c r="AG996" s="782"/>
      <c r="BB996" s="647"/>
      <c r="BC996" s="648"/>
      <c r="BD996" s="757"/>
    </row>
    <row r="997" spans="1:56" s="64" customFormat="1" outlineLevel="1" x14ac:dyDescent="0.25">
      <c r="A997" s="1393"/>
      <c r="B997" s="277"/>
      <c r="C997" s="385"/>
      <c r="D997" s="3676"/>
      <c r="E997" s="3589"/>
      <c r="F997" s="3671" t="str">
        <f t="shared" si="88"/>
        <v>Ductless ASHP - ROF MF_CompE</v>
      </c>
      <c r="G997" s="3671"/>
      <c r="H997" s="3671"/>
      <c r="I997" s="1425"/>
      <c r="J997" s="1777">
        <v>417</v>
      </c>
      <c r="K997" s="836"/>
      <c r="L997" s="3692"/>
      <c r="M997" s="1775"/>
      <c r="N997" s="1759"/>
      <c r="O997" s="277"/>
      <c r="P997" s="277"/>
      <c r="Q997" s="277"/>
      <c r="R997" s="277"/>
      <c r="S997" s="277"/>
      <c r="T997" s="157"/>
      <c r="U997" s="157"/>
      <c r="V997" s="3676"/>
      <c r="W997" s="766"/>
      <c r="X997" s="766"/>
      <c r="Y997" s="765">
        <v>560</v>
      </c>
      <c r="Z997" s="2426">
        <v>560</v>
      </c>
      <c r="AA997" s="2426">
        <v>560</v>
      </c>
      <c r="AB997" s="1777">
        <v>417</v>
      </c>
      <c r="AC997" s="766"/>
      <c r="AD997" s="766"/>
      <c r="AE997" s="766"/>
      <c r="AF997" s="766"/>
      <c r="AG997" s="782"/>
      <c r="BB997" s="647"/>
      <c r="BC997" s="648"/>
      <c r="BD997" s="757"/>
    </row>
    <row r="998" spans="1:56" s="64" customFormat="1" outlineLevel="1" x14ac:dyDescent="0.25">
      <c r="A998" s="1393"/>
      <c r="B998" s="277"/>
      <c r="C998" s="385"/>
      <c r="D998" s="3676"/>
      <c r="E998" s="3589"/>
      <c r="F998" s="3671" t="str">
        <f t="shared" si="88"/>
        <v>Ductless ASHP Replace Electric Resistance ER1 MF_CompE</v>
      </c>
      <c r="G998" s="3671"/>
      <c r="H998" s="3671"/>
      <c r="I998" s="1425"/>
      <c r="J998" s="1777">
        <v>417</v>
      </c>
      <c r="K998" s="836"/>
      <c r="L998" s="3692"/>
      <c r="M998" s="1775"/>
      <c r="N998" s="1759"/>
      <c r="O998" s="277"/>
      <c r="P998" s="277"/>
      <c r="Q998" s="277"/>
      <c r="R998" s="277"/>
      <c r="S998" s="277"/>
      <c r="T998" s="157"/>
      <c r="U998" s="157"/>
      <c r="V998" s="3676"/>
      <c r="W998" s="766"/>
      <c r="X998" s="766"/>
      <c r="Y998" s="765">
        <v>560</v>
      </c>
      <c r="Z998" s="2426">
        <v>560</v>
      </c>
      <c r="AA998" s="2426">
        <v>560</v>
      </c>
      <c r="AB998" s="1777">
        <v>417</v>
      </c>
      <c r="AC998" s="766"/>
      <c r="AD998" s="766"/>
      <c r="AE998" s="766"/>
      <c r="AF998" s="766"/>
      <c r="AG998" s="782"/>
      <c r="BB998" s="647"/>
      <c r="BC998" s="648"/>
      <c r="BD998" s="757"/>
    </row>
    <row r="999" spans="1:56" s="64" customFormat="1" outlineLevel="1" x14ac:dyDescent="0.25">
      <c r="A999" s="1393"/>
      <c r="B999" s="277"/>
      <c r="C999" s="385"/>
      <c r="D999" s="3676"/>
      <c r="E999" s="3589"/>
      <c r="F999" s="3671" t="str">
        <f t="shared" si="88"/>
        <v>Ductless ASHP Replace Electric Resistance ROF MF_CompE</v>
      </c>
      <c r="G999" s="3671"/>
      <c r="H999" s="3671"/>
      <c r="I999" s="1425"/>
      <c r="J999" s="1777">
        <v>417</v>
      </c>
      <c r="K999" s="836"/>
      <c r="L999" s="3692"/>
      <c r="M999" s="1775"/>
      <c r="N999" s="1759"/>
      <c r="O999" s="277"/>
      <c r="P999" s="277"/>
      <c r="Q999" s="277"/>
      <c r="R999" s="277"/>
      <c r="S999" s="277"/>
      <c r="T999" s="157"/>
      <c r="U999" s="157"/>
      <c r="V999" s="3676"/>
      <c r="W999" s="766"/>
      <c r="X999" s="766"/>
      <c r="Y999" s="765">
        <v>560</v>
      </c>
      <c r="Z999" s="2426">
        <v>560</v>
      </c>
      <c r="AA999" s="2426">
        <v>560</v>
      </c>
      <c r="AB999" s="1777">
        <v>417</v>
      </c>
      <c r="AC999" s="766"/>
      <c r="AD999" s="766"/>
      <c r="AE999" s="766"/>
      <c r="AF999" s="766"/>
      <c r="AG999" s="782"/>
      <c r="BB999" s="647"/>
      <c r="BC999" s="648"/>
      <c r="BD999" s="757"/>
    </row>
    <row r="1000" spans="1:56" s="64" customFormat="1" ht="15.75" outlineLevel="1" thickBot="1" x14ac:dyDescent="0.3">
      <c r="A1000" s="1393"/>
      <c r="B1000" s="277"/>
      <c r="C1000" s="385"/>
      <c r="D1000" s="3686"/>
      <c r="E1000" s="3687"/>
      <c r="F1000" s="3671" t="str">
        <f t="shared" si="88"/>
        <v>Ductless ASHP ER1 MF_CompE</v>
      </c>
      <c r="G1000" s="3671"/>
      <c r="H1000" s="3671"/>
      <c r="I1000" s="863"/>
      <c r="J1000" s="1777">
        <v>417</v>
      </c>
      <c r="K1000" s="836"/>
      <c r="L1000" s="3693"/>
      <c r="M1000" s="1775"/>
      <c r="N1000" s="1759"/>
      <c r="O1000" s="277"/>
      <c r="P1000" s="277"/>
      <c r="Q1000" s="277"/>
      <c r="R1000" s="277"/>
      <c r="S1000" s="277"/>
      <c r="T1000" s="157"/>
      <c r="U1000" s="157"/>
      <c r="V1000" s="3686"/>
      <c r="W1000" s="792"/>
      <c r="X1000" s="792"/>
      <c r="Y1000" s="846">
        <v>560</v>
      </c>
      <c r="Z1000" s="2429">
        <v>560</v>
      </c>
      <c r="AA1000" s="2429">
        <v>560</v>
      </c>
      <c r="AB1000" s="1777">
        <v>417</v>
      </c>
      <c r="AC1000" s="792"/>
      <c r="AD1000" s="792"/>
      <c r="AE1000" s="792"/>
      <c r="AF1000" s="792"/>
      <c r="AG1000" s="840"/>
      <c r="BB1000" s="647"/>
      <c r="BC1000" s="648"/>
      <c r="BD1000" s="757"/>
    </row>
    <row r="1001" spans="1:56" s="64" customFormat="1" outlineLevel="1" x14ac:dyDescent="0.25">
      <c r="A1001" s="1393"/>
      <c r="B1001" s="277"/>
      <c r="C1001" s="385"/>
      <c r="D1001" s="3638" t="s">
        <v>1196</v>
      </c>
      <c r="E1001" s="3588" t="s">
        <v>1264</v>
      </c>
      <c r="F1001" s="3683" t="str">
        <f t="shared" si="88"/>
        <v>Ductless AC - ER1 SF</v>
      </c>
      <c r="G1001" s="3684"/>
      <c r="H1001" s="3685"/>
      <c r="I1001" s="1426"/>
      <c r="J1001" s="1423">
        <v>13</v>
      </c>
      <c r="K1001" s="833"/>
      <c r="L1001" s="3694" t="s">
        <v>1265</v>
      </c>
      <c r="M1001" s="1775"/>
      <c r="N1001" s="1759"/>
      <c r="O1001" s="277"/>
      <c r="P1001" s="277"/>
      <c r="Q1001" s="277"/>
      <c r="R1001" s="277"/>
      <c r="S1001" s="277"/>
      <c r="T1001" s="157"/>
      <c r="U1001" s="157"/>
      <c r="V1001" s="3638" t="s">
        <v>1196</v>
      </c>
      <c r="W1001" s="760">
        <v>13</v>
      </c>
      <c r="X1001" s="760">
        <v>13</v>
      </c>
      <c r="Y1001" s="760">
        <v>13</v>
      </c>
      <c r="Z1001" s="2428">
        <v>13</v>
      </c>
      <c r="AA1001" s="2428">
        <v>13</v>
      </c>
      <c r="AB1001" s="2427">
        <v>13</v>
      </c>
      <c r="AC1001" s="760"/>
      <c r="AD1001" s="760"/>
      <c r="AE1001" s="760"/>
      <c r="AF1001" s="760"/>
      <c r="AG1001" s="835"/>
      <c r="BB1001" s="647"/>
      <c r="BC1001" s="648"/>
      <c r="BD1001" s="757"/>
    </row>
    <row r="1002" spans="1:56" s="64" customFormat="1" outlineLevel="1" x14ac:dyDescent="0.25">
      <c r="A1002" s="1393"/>
      <c r="B1002" s="277"/>
      <c r="C1002" s="385"/>
      <c r="D1002" s="3676"/>
      <c r="E1002" s="3589"/>
      <c r="F1002" s="3688" t="str">
        <f t="shared" si="88"/>
        <v>Ductless AC - ROF SF</v>
      </c>
      <c r="G1002" s="3689"/>
      <c r="H1002" s="3690"/>
      <c r="I1002" s="1425"/>
      <c r="J1002" s="1421">
        <v>13</v>
      </c>
      <c r="K1002" s="836"/>
      <c r="L1002" s="3695"/>
      <c r="M1002" s="1775"/>
      <c r="N1002" s="1759"/>
      <c r="O1002" s="277"/>
      <c r="P1002" s="277"/>
      <c r="Q1002" s="277"/>
      <c r="R1002" s="277"/>
      <c r="S1002" s="277"/>
      <c r="T1002" s="157"/>
      <c r="U1002" s="157"/>
      <c r="V1002" s="3676"/>
      <c r="W1002" s="766">
        <v>13</v>
      </c>
      <c r="X1002" s="766">
        <v>13</v>
      </c>
      <c r="Y1002" s="766">
        <v>13</v>
      </c>
      <c r="Z1002" s="2426">
        <v>13</v>
      </c>
      <c r="AA1002" s="2426">
        <v>13</v>
      </c>
      <c r="AB1002" s="2425">
        <v>13</v>
      </c>
      <c r="AC1002" s="766"/>
      <c r="AD1002" s="766"/>
      <c r="AE1002" s="766"/>
      <c r="AF1002" s="766"/>
      <c r="AG1002" s="782"/>
      <c r="BB1002" s="647"/>
      <c r="BC1002" s="648"/>
      <c r="BD1002" s="757"/>
    </row>
    <row r="1003" spans="1:56" s="64" customFormat="1" outlineLevel="1" x14ac:dyDescent="0.25">
      <c r="A1003" s="1393"/>
      <c r="B1003" s="277"/>
      <c r="C1003" s="385"/>
      <c r="D1003" s="3676"/>
      <c r="E1003" s="3589"/>
      <c r="F1003" s="3688" t="str">
        <f t="shared" ref="F1003:F1063" si="95">F982</f>
        <v>Ductless ASHP - ROF SF NC</v>
      </c>
      <c r="G1003" s="3689"/>
      <c r="H1003" s="3690"/>
      <c r="I1003" s="1425"/>
      <c r="J1003" s="1421">
        <v>14</v>
      </c>
      <c r="K1003" s="836"/>
      <c r="L1003" s="3695"/>
      <c r="M1003" s="1775"/>
      <c r="N1003" s="1759"/>
      <c r="O1003" s="277"/>
      <c r="P1003" s="277"/>
      <c r="Q1003" s="277"/>
      <c r="R1003" s="277"/>
      <c r="S1003" s="277"/>
      <c r="T1003" s="157"/>
      <c r="U1003" s="157"/>
      <c r="V1003" s="3676"/>
      <c r="W1003" s="766">
        <v>13</v>
      </c>
      <c r="X1003" s="766">
        <v>13</v>
      </c>
      <c r="Y1003" s="765">
        <v>14</v>
      </c>
      <c r="Z1003" s="2426">
        <v>14</v>
      </c>
      <c r="AA1003" s="2426">
        <v>14</v>
      </c>
      <c r="AB1003" s="2425">
        <v>14</v>
      </c>
      <c r="AC1003" s="766"/>
      <c r="AD1003" s="766"/>
      <c r="AE1003" s="766"/>
      <c r="AF1003" s="766"/>
      <c r="AG1003" s="782"/>
      <c r="BB1003" s="647"/>
      <c r="BC1003" s="648"/>
      <c r="BD1003" s="757"/>
    </row>
    <row r="1004" spans="1:56" s="64" customFormat="1" outlineLevel="1" x14ac:dyDescent="0.25">
      <c r="A1004" s="1393"/>
      <c r="B1004" s="277"/>
      <c r="C1004" s="385"/>
      <c r="D1004" s="3676"/>
      <c r="E1004" s="3589"/>
      <c r="F1004" s="3688" t="str">
        <f t="shared" si="95"/>
        <v>Ductless ASHP - ROF SF</v>
      </c>
      <c r="G1004" s="3689"/>
      <c r="H1004" s="3690"/>
      <c r="I1004" s="1425"/>
      <c r="J1004" s="1421">
        <v>14</v>
      </c>
      <c r="K1004" s="836"/>
      <c r="L1004" s="3695"/>
      <c r="M1004" s="1753"/>
      <c r="N1004" s="1759"/>
      <c r="O1004" s="277"/>
      <c r="P1004" s="277"/>
      <c r="Q1004" s="277"/>
      <c r="R1004" s="277"/>
      <c r="S1004" s="277"/>
      <c r="T1004" s="157"/>
      <c r="U1004" s="157"/>
      <c r="V1004" s="3676"/>
      <c r="W1004" s="766">
        <v>13</v>
      </c>
      <c r="X1004" s="766">
        <v>13</v>
      </c>
      <c r="Y1004" s="765">
        <v>14</v>
      </c>
      <c r="Z1004" s="2426">
        <v>14</v>
      </c>
      <c r="AA1004" s="2426">
        <v>14</v>
      </c>
      <c r="AB1004" s="2425">
        <v>14</v>
      </c>
      <c r="AC1004" s="766"/>
      <c r="AD1004" s="766"/>
      <c r="AE1004" s="766"/>
      <c r="AF1004" s="766"/>
      <c r="AG1004" s="782"/>
      <c r="BB1004" s="647"/>
      <c r="BC1004" s="648"/>
      <c r="BD1004" s="757"/>
    </row>
    <row r="1005" spans="1:56" s="64" customFormat="1" outlineLevel="1" x14ac:dyDescent="0.25">
      <c r="A1005" s="1393"/>
      <c r="B1005" s="277"/>
      <c r="C1005" s="385"/>
      <c r="D1005" s="3676"/>
      <c r="E1005" s="3589"/>
      <c r="F1005" s="3688" t="str">
        <f t="shared" si="95"/>
        <v>Ductless ASHP Replace Electric Resistance ER1 SF</v>
      </c>
      <c r="G1005" s="3689"/>
      <c r="H1005" s="3690"/>
      <c r="I1005" s="1425"/>
      <c r="J1005" s="1421">
        <v>13</v>
      </c>
      <c r="K1005" s="836"/>
      <c r="L1005" s="3695"/>
      <c r="M1005" s="1753"/>
      <c r="N1005" s="1759"/>
      <c r="O1005" s="277"/>
      <c r="P1005" s="277"/>
      <c r="Q1005" s="277"/>
      <c r="R1005" s="277"/>
      <c r="S1005" s="277"/>
      <c r="T1005" s="157"/>
      <c r="U1005" s="157"/>
      <c r="V1005" s="3676"/>
      <c r="W1005" s="766">
        <v>13</v>
      </c>
      <c r="X1005" s="766">
        <v>13</v>
      </c>
      <c r="Y1005" s="766">
        <v>13</v>
      </c>
      <c r="Z1005" s="2426">
        <v>13</v>
      </c>
      <c r="AA1005" s="2426">
        <v>13</v>
      </c>
      <c r="AB1005" s="2425">
        <v>13</v>
      </c>
      <c r="AC1005" s="766"/>
      <c r="AD1005" s="766"/>
      <c r="AE1005" s="766"/>
      <c r="AF1005" s="766"/>
      <c r="AG1005" s="782"/>
      <c r="BB1005" s="647"/>
      <c r="BC1005" s="648"/>
      <c r="BD1005" s="757"/>
    </row>
    <row r="1006" spans="1:56" s="64" customFormat="1" outlineLevel="1" x14ac:dyDescent="0.25">
      <c r="A1006" s="1393"/>
      <c r="B1006" s="277"/>
      <c r="C1006" s="385"/>
      <c r="D1006" s="3676"/>
      <c r="E1006" s="3589"/>
      <c r="F1006" s="3688" t="str">
        <f t="shared" si="95"/>
        <v>Ductless ASHP Replace Electric Resistance ROF SF</v>
      </c>
      <c r="G1006" s="3689"/>
      <c r="H1006" s="3690"/>
      <c r="I1006" s="1425"/>
      <c r="J1006" s="1421">
        <v>14</v>
      </c>
      <c r="K1006" s="836"/>
      <c r="L1006" s="3695"/>
      <c r="M1006" s="1753"/>
      <c r="N1006" s="1759"/>
      <c r="O1006" s="277"/>
      <c r="P1006" s="277"/>
      <c r="Q1006" s="277"/>
      <c r="R1006" s="277"/>
      <c r="S1006" s="277"/>
      <c r="T1006" s="157"/>
      <c r="U1006" s="157"/>
      <c r="V1006" s="3676"/>
      <c r="W1006" s="766">
        <v>13</v>
      </c>
      <c r="X1006" s="766">
        <v>13</v>
      </c>
      <c r="Y1006" s="765">
        <v>14</v>
      </c>
      <c r="Z1006" s="2426">
        <v>14</v>
      </c>
      <c r="AA1006" s="2426">
        <v>14</v>
      </c>
      <c r="AB1006" s="2425">
        <v>14</v>
      </c>
      <c r="AC1006" s="766"/>
      <c r="AD1006" s="766"/>
      <c r="AE1006" s="766"/>
      <c r="AF1006" s="766"/>
      <c r="AG1006" s="782"/>
      <c r="BB1006" s="647"/>
      <c r="BC1006" s="648"/>
      <c r="BD1006" s="757"/>
    </row>
    <row r="1007" spans="1:56" s="64" customFormat="1" outlineLevel="1" x14ac:dyDescent="0.25">
      <c r="A1007" s="1393"/>
      <c r="B1007" s="277"/>
      <c r="C1007" s="385"/>
      <c r="D1007" s="3676"/>
      <c r="E1007" s="3589"/>
      <c r="F1007" s="3688" t="str">
        <f t="shared" si="95"/>
        <v>Ductless ASHP ER1 SF</v>
      </c>
      <c r="G1007" s="3689"/>
      <c r="H1007" s="3690"/>
      <c r="I1007" s="1425"/>
      <c r="J1007" s="1421">
        <v>13</v>
      </c>
      <c r="K1007" s="836"/>
      <c r="L1007" s="3696"/>
      <c r="M1007" s="1775"/>
      <c r="N1007" s="1759"/>
      <c r="O1007" s="277"/>
      <c r="P1007" s="277"/>
      <c r="Q1007" s="277"/>
      <c r="R1007" s="277"/>
      <c r="S1007" s="277"/>
      <c r="T1007" s="157"/>
      <c r="U1007" s="157"/>
      <c r="V1007" s="3676"/>
      <c r="W1007" s="766">
        <v>13</v>
      </c>
      <c r="X1007" s="766">
        <v>13</v>
      </c>
      <c r="Y1007" s="766">
        <v>13</v>
      </c>
      <c r="Z1007" s="2426">
        <v>13</v>
      </c>
      <c r="AA1007" s="2426">
        <v>13</v>
      </c>
      <c r="AB1007" s="2425">
        <v>13</v>
      </c>
      <c r="AC1007" s="766"/>
      <c r="AD1007" s="766"/>
      <c r="AE1007" s="766"/>
      <c r="AF1007" s="766"/>
      <c r="AG1007" s="782"/>
      <c r="BB1007" s="647"/>
      <c r="BC1007" s="648"/>
      <c r="BD1007" s="757"/>
    </row>
    <row r="1008" spans="1:56" s="64" customFormat="1" outlineLevel="1" x14ac:dyDescent="0.25">
      <c r="A1008" s="1393"/>
      <c r="B1008" s="277"/>
      <c r="C1008" s="385"/>
      <c r="D1008" s="3676"/>
      <c r="E1008" s="3589"/>
      <c r="F1008" s="3671" t="str">
        <f t="shared" si="95"/>
        <v>Ductless AC - ER1 MF</v>
      </c>
      <c r="G1008" s="3671"/>
      <c r="H1008" s="3671"/>
      <c r="I1008" s="1425"/>
      <c r="J1008" s="1421">
        <f>J1001</f>
        <v>13</v>
      </c>
      <c r="K1008" s="836"/>
      <c r="L1008" s="837"/>
      <c r="M1008" s="1775"/>
      <c r="N1008" s="1759"/>
      <c r="O1008" s="277"/>
      <c r="P1008" s="277"/>
      <c r="Q1008" s="277"/>
      <c r="R1008" s="277"/>
      <c r="S1008" s="277"/>
      <c r="T1008" s="157"/>
      <c r="U1008" s="157"/>
      <c r="V1008" s="3676"/>
      <c r="W1008" s="766"/>
      <c r="X1008" s="765"/>
      <c r="Y1008" s="765">
        <v>13</v>
      </c>
      <c r="Z1008" s="2426">
        <v>13</v>
      </c>
      <c r="AA1008" s="2426">
        <v>13</v>
      </c>
      <c r="AB1008" s="2425">
        <v>13</v>
      </c>
      <c r="AC1008" s="766"/>
      <c r="AD1008" s="766"/>
      <c r="AE1008" s="766"/>
      <c r="AF1008" s="766"/>
      <c r="AG1008" s="782"/>
      <c r="BB1008" s="647"/>
      <c r="BC1008" s="648"/>
      <c r="BD1008" s="757"/>
    </row>
    <row r="1009" spans="1:56" s="64" customFormat="1" outlineLevel="1" x14ac:dyDescent="0.25">
      <c r="A1009" s="1393"/>
      <c r="B1009" s="277"/>
      <c r="C1009" s="385"/>
      <c r="D1009" s="3676"/>
      <c r="E1009" s="3589"/>
      <c r="F1009" s="3671" t="str">
        <f t="shared" si="95"/>
        <v>Ductless AC - ROF MF</v>
      </c>
      <c r="G1009" s="3671"/>
      <c r="H1009" s="3671"/>
      <c r="I1009" s="1425"/>
      <c r="J1009" s="1421">
        <f t="shared" ref="J1009:J1014" si="96">J1002</f>
        <v>13</v>
      </c>
      <c r="K1009" s="836"/>
      <c r="L1009" s="837"/>
      <c r="M1009" s="1775"/>
      <c r="N1009" s="1759"/>
      <c r="O1009" s="277"/>
      <c r="P1009" s="277"/>
      <c r="Q1009" s="277"/>
      <c r="R1009" s="277"/>
      <c r="S1009" s="277"/>
      <c r="T1009" s="157"/>
      <c r="U1009" s="157"/>
      <c r="V1009" s="3676"/>
      <c r="W1009" s="766"/>
      <c r="X1009" s="765"/>
      <c r="Y1009" s="765">
        <v>13</v>
      </c>
      <c r="Z1009" s="2426">
        <v>13</v>
      </c>
      <c r="AA1009" s="2426">
        <v>13</v>
      </c>
      <c r="AB1009" s="2425">
        <v>13</v>
      </c>
      <c r="AC1009" s="766"/>
      <c r="AD1009" s="766"/>
      <c r="AE1009" s="766"/>
      <c r="AF1009" s="766"/>
      <c r="AG1009" s="782"/>
      <c r="BB1009" s="647"/>
      <c r="BC1009" s="648"/>
      <c r="BD1009" s="757"/>
    </row>
    <row r="1010" spans="1:56" s="64" customFormat="1" outlineLevel="1" x14ac:dyDescent="0.25">
      <c r="A1010" s="1393"/>
      <c r="B1010" s="277"/>
      <c r="C1010" s="385"/>
      <c r="D1010" s="3676"/>
      <c r="E1010" s="3589"/>
      <c r="F1010" s="3671" t="str">
        <f t="shared" si="95"/>
        <v>Ductless ASHP - ROF MF NC</v>
      </c>
      <c r="G1010" s="3671"/>
      <c r="H1010" s="3671"/>
      <c r="I1010" s="1425"/>
      <c r="J1010" s="1421">
        <f t="shared" si="96"/>
        <v>14</v>
      </c>
      <c r="K1010" s="836"/>
      <c r="L1010" s="837"/>
      <c r="M1010" s="1775"/>
      <c r="N1010" s="1759"/>
      <c r="O1010" s="277"/>
      <c r="P1010" s="277"/>
      <c r="Q1010" s="277"/>
      <c r="R1010" s="277"/>
      <c r="S1010" s="277"/>
      <c r="T1010" s="157"/>
      <c r="U1010" s="157"/>
      <c r="V1010" s="3676"/>
      <c r="W1010" s="766"/>
      <c r="X1010" s="765"/>
      <c r="Y1010" s="765">
        <v>14</v>
      </c>
      <c r="Z1010" s="2426">
        <v>14</v>
      </c>
      <c r="AA1010" s="2426">
        <v>14</v>
      </c>
      <c r="AB1010" s="2425">
        <v>14</v>
      </c>
      <c r="AC1010" s="766"/>
      <c r="AD1010" s="766"/>
      <c r="AE1010" s="766"/>
      <c r="AF1010" s="766"/>
      <c r="AG1010" s="782"/>
      <c r="BB1010" s="647"/>
      <c r="BC1010" s="648"/>
      <c r="BD1010" s="757"/>
    </row>
    <row r="1011" spans="1:56" s="64" customFormat="1" outlineLevel="1" x14ac:dyDescent="0.25">
      <c r="A1011" s="1393"/>
      <c r="B1011" s="277"/>
      <c r="C1011" s="385"/>
      <c r="D1011" s="3676"/>
      <c r="E1011" s="3589"/>
      <c r="F1011" s="3671" t="str">
        <f t="shared" si="95"/>
        <v>Ductless ASHP - ROF MF</v>
      </c>
      <c r="G1011" s="3671"/>
      <c r="H1011" s="3671"/>
      <c r="I1011" s="1425"/>
      <c r="J1011" s="1421">
        <f t="shared" si="96"/>
        <v>14</v>
      </c>
      <c r="K1011" s="836"/>
      <c r="L1011" s="837"/>
      <c r="M1011" s="1775"/>
      <c r="N1011" s="1759"/>
      <c r="O1011" s="277"/>
      <c r="P1011" s="277"/>
      <c r="Q1011" s="277"/>
      <c r="R1011" s="277"/>
      <c r="S1011" s="277"/>
      <c r="T1011" s="157"/>
      <c r="U1011" s="157"/>
      <c r="V1011" s="3676"/>
      <c r="W1011" s="766"/>
      <c r="X1011" s="765"/>
      <c r="Y1011" s="765">
        <v>14</v>
      </c>
      <c r="Z1011" s="2426">
        <v>14</v>
      </c>
      <c r="AA1011" s="2426">
        <v>14</v>
      </c>
      <c r="AB1011" s="2425">
        <v>14</v>
      </c>
      <c r="AC1011" s="766"/>
      <c r="AD1011" s="766"/>
      <c r="AE1011" s="766"/>
      <c r="AF1011" s="766"/>
      <c r="AG1011" s="782"/>
      <c r="BB1011" s="647"/>
      <c r="BC1011" s="648"/>
      <c r="BD1011" s="757"/>
    </row>
    <row r="1012" spans="1:56" s="64" customFormat="1" outlineLevel="1" x14ac:dyDescent="0.25">
      <c r="A1012" s="1393"/>
      <c r="B1012" s="277"/>
      <c r="C1012" s="385"/>
      <c r="D1012" s="3676"/>
      <c r="E1012" s="3589"/>
      <c r="F1012" s="3671" t="str">
        <f t="shared" si="95"/>
        <v>Ductless ASHP Replace Electric Resistance ER1 MF</v>
      </c>
      <c r="G1012" s="3671"/>
      <c r="H1012" s="3671"/>
      <c r="I1012" s="1425"/>
      <c r="J1012" s="1421">
        <f t="shared" si="96"/>
        <v>13</v>
      </c>
      <c r="K1012" s="836"/>
      <c r="L1012" s="837"/>
      <c r="M1012" s="1775"/>
      <c r="N1012" s="1759"/>
      <c r="O1012" s="277"/>
      <c r="P1012" s="277"/>
      <c r="Q1012" s="277"/>
      <c r="R1012" s="277"/>
      <c r="S1012" s="277"/>
      <c r="T1012" s="157"/>
      <c r="U1012" s="157"/>
      <c r="V1012" s="3676"/>
      <c r="W1012" s="766"/>
      <c r="X1012" s="765"/>
      <c r="Y1012" s="765">
        <v>13</v>
      </c>
      <c r="Z1012" s="2426">
        <v>13</v>
      </c>
      <c r="AA1012" s="2426">
        <v>13</v>
      </c>
      <c r="AB1012" s="2425">
        <v>13</v>
      </c>
      <c r="AC1012" s="766"/>
      <c r="AD1012" s="766"/>
      <c r="AE1012" s="766"/>
      <c r="AF1012" s="766"/>
      <c r="AG1012" s="782"/>
      <c r="BB1012" s="647"/>
      <c r="BC1012" s="648"/>
      <c r="BD1012" s="757"/>
    </row>
    <row r="1013" spans="1:56" s="64" customFormat="1" outlineLevel="1" x14ac:dyDescent="0.25">
      <c r="A1013" s="1393"/>
      <c r="B1013" s="277"/>
      <c r="C1013" s="385"/>
      <c r="D1013" s="3676"/>
      <c r="E1013" s="3589"/>
      <c r="F1013" s="3671" t="str">
        <f t="shared" si="95"/>
        <v>Ductless ASHP Replace Electric Resistance ROF MF</v>
      </c>
      <c r="G1013" s="3671"/>
      <c r="H1013" s="3671"/>
      <c r="I1013" s="1425"/>
      <c r="J1013" s="1421">
        <f t="shared" si="96"/>
        <v>14</v>
      </c>
      <c r="K1013" s="836"/>
      <c r="L1013" s="837"/>
      <c r="M1013" s="1775"/>
      <c r="N1013" s="1759"/>
      <c r="O1013" s="277"/>
      <c r="P1013" s="277"/>
      <c r="Q1013" s="277"/>
      <c r="R1013" s="277"/>
      <c r="S1013" s="277"/>
      <c r="T1013" s="157"/>
      <c r="U1013" s="157"/>
      <c r="V1013" s="3676"/>
      <c r="W1013" s="766"/>
      <c r="X1013" s="765"/>
      <c r="Y1013" s="765">
        <v>14</v>
      </c>
      <c r="Z1013" s="2426">
        <v>14</v>
      </c>
      <c r="AA1013" s="2426">
        <v>14</v>
      </c>
      <c r="AB1013" s="2425">
        <v>14</v>
      </c>
      <c r="AC1013" s="766"/>
      <c r="AD1013" s="766"/>
      <c r="AE1013" s="766"/>
      <c r="AF1013" s="766"/>
      <c r="AG1013" s="782"/>
      <c r="BB1013" s="647"/>
      <c r="BC1013" s="648"/>
      <c r="BD1013" s="757"/>
    </row>
    <row r="1014" spans="1:56" s="64" customFormat="1" outlineLevel="1" x14ac:dyDescent="0.25">
      <c r="A1014" s="1393"/>
      <c r="B1014" s="277"/>
      <c r="C1014" s="385"/>
      <c r="D1014" s="3676"/>
      <c r="E1014" s="3589"/>
      <c r="F1014" s="3671" t="str">
        <f t="shared" si="95"/>
        <v>Ductless ASHP ER1 MF</v>
      </c>
      <c r="G1014" s="3671"/>
      <c r="H1014" s="3671"/>
      <c r="I1014" s="1425"/>
      <c r="J1014" s="1421">
        <f t="shared" si="96"/>
        <v>13</v>
      </c>
      <c r="K1014" s="836"/>
      <c r="L1014" s="837"/>
      <c r="M1014" s="1775"/>
      <c r="N1014" s="1759"/>
      <c r="O1014" s="277"/>
      <c r="P1014" s="277"/>
      <c r="Q1014" s="277"/>
      <c r="R1014" s="277"/>
      <c r="S1014" s="277"/>
      <c r="T1014" s="157"/>
      <c r="U1014" s="157"/>
      <c r="V1014" s="3676"/>
      <c r="W1014" s="766"/>
      <c r="X1014" s="765"/>
      <c r="Y1014" s="765">
        <v>13</v>
      </c>
      <c r="Z1014" s="2426">
        <v>13</v>
      </c>
      <c r="AA1014" s="2426">
        <v>13</v>
      </c>
      <c r="AB1014" s="2425">
        <v>13</v>
      </c>
      <c r="AC1014" s="766"/>
      <c r="AD1014" s="766"/>
      <c r="AE1014" s="766"/>
      <c r="AF1014" s="766"/>
      <c r="AG1014" s="782"/>
      <c r="BB1014" s="647"/>
      <c r="BC1014" s="648"/>
      <c r="BD1014" s="757"/>
    </row>
    <row r="1015" spans="1:56" s="64" customFormat="1" outlineLevel="1" x14ac:dyDescent="0.25">
      <c r="A1015" s="1393"/>
      <c r="B1015" s="277"/>
      <c r="C1015" s="385"/>
      <c r="D1015" s="3676"/>
      <c r="E1015" s="3589"/>
      <c r="F1015" s="3671" t="str">
        <f t="shared" si="95"/>
        <v>Ductless AC - ER1 MF_CompE</v>
      </c>
      <c r="G1015" s="3671"/>
      <c r="H1015" s="3671"/>
      <c r="I1015" s="1425"/>
      <c r="J1015" s="1421">
        <f>J1001</f>
        <v>13</v>
      </c>
      <c r="K1015" s="836"/>
      <c r="L1015" s="837"/>
      <c r="M1015" s="1775"/>
      <c r="N1015" s="1759"/>
      <c r="O1015" s="277"/>
      <c r="P1015" s="277"/>
      <c r="Q1015" s="277"/>
      <c r="R1015" s="277"/>
      <c r="S1015" s="277"/>
      <c r="T1015" s="157"/>
      <c r="U1015" s="157"/>
      <c r="V1015" s="3676"/>
      <c r="W1015" s="766"/>
      <c r="X1015" s="766"/>
      <c r="Y1015" s="765">
        <v>13</v>
      </c>
      <c r="Z1015" s="2426">
        <v>13</v>
      </c>
      <c r="AA1015" s="2426">
        <v>13</v>
      </c>
      <c r="AB1015" s="2425">
        <v>13</v>
      </c>
      <c r="AC1015" s="766"/>
      <c r="AD1015" s="766"/>
      <c r="AE1015" s="766"/>
      <c r="AF1015" s="766"/>
      <c r="AG1015" s="782"/>
      <c r="BB1015" s="647"/>
      <c r="BC1015" s="648"/>
      <c r="BD1015" s="757"/>
    </row>
    <row r="1016" spans="1:56" s="64" customFormat="1" outlineLevel="1" x14ac:dyDescent="0.25">
      <c r="A1016" s="1393"/>
      <c r="B1016" s="277"/>
      <c r="C1016" s="385"/>
      <c r="D1016" s="3676"/>
      <c r="E1016" s="3589"/>
      <c r="F1016" s="3671" t="str">
        <f t="shared" si="95"/>
        <v>Ductless AC - ROF MF_CompE</v>
      </c>
      <c r="G1016" s="3671"/>
      <c r="H1016" s="3671"/>
      <c r="I1016" s="1425"/>
      <c r="J1016" s="1421">
        <f t="shared" ref="J1016:J1021" si="97">J1002</f>
        <v>13</v>
      </c>
      <c r="K1016" s="836"/>
      <c r="L1016" s="837"/>
      <c r="M1016" s="1775"/>
      <c r="N1016" s="1759"/>
      <c r="O1016" s="277"/>
      <c r="P1016" s="277"/>
      <c r="Q1016" s="277"/>
      <c r="R1016" s="277"/>
      <c r="S1016" s="277"/>
      <c r="T1016" s="157"/>
      <c r="U1016" s="157"/>
      <c r="V1016" s="3676"/>
      <c r="W1016" s="766"/>
      <c r="X1016" s="766"/>
      <c r="Y1016" s="765">
        <v>13</v>
      </c>
      <c r="Z1016" s="2426">
        <v>13</v>
      </c>
      <c r="AA1016" s="2426">
        <v>13</v>
      </c>
      <c r="AB1016" s="2425">
        <v>13</v>
      </c>
      <c r="AC1016" s="766"/>
      <c r="AD1016" s="766"/>
      <c r="AE1016" s="766"/>
      <c r="AF1016" s="766"/>
      <c r="AG1016" s="782"/>
      <c r="BB1016" s="647"/>
      <c r="BC1016" s="648"/>
      <c r="BD1016" s="757"/>
    </row>
    <row r="1017" spans="1:56" s="64" customFormat="1" outlineLevel="1" x14ac:dyDescent="0.25">
      <c r="A1017" s="1393"/>
      <c r="B1017" s="277"/>
      <c r="C1017" s="385"/>
      <c r="D1017" s="3676"/>
      <c r="E1017" s="3589"/>
      <c r="F1017" s="3671" t="str">
        <f t="shared" si="95"/>
        <v>Ductless ASHP - ROF MF NC_CompE</v>
      </c>
      <c r="G1017" s="3671"/>
      <c r="H1017" s="3671"/>
      <c r="I1017" s="1425"/>
      <c r="J1017" s="1421">
        <f t="shared" si="97"/>
        <v>14</v>
      </c>
      <c r="K1017" s="836"/>
      <c r="L1017" s="837"/>
      <c r="M1017" s="1775"/>
      <c r="N1017" s="1759"/>
      <c r="O1017" s="277"/>
      <c r="P1017" s="277"/>
      <c r="Q1017" s="277"/>
      <c r="R1017" s="277"/>
      <c r="S1017" s="277"/>
      <c r="T1017" s="157"/>
      <c r="U1017" s="157"/>
      <c r="V1017" s="3676"/>
      <c r="W1017" s="766"/>
      <c r="X1017" s="766"/>
      <c r="Y1017" s="765">
        <v>14</v>
      </c>
      <c r="Z1017" s="2426">
        <v>14</v>
      </c>
      <c r="AA1017" s="2426">
        <v>14</v>
      </c>
      <c r="AB1017" s="2425">
        <v>14</v>
      </c>
      <c r="AC1017" s="766"/>
      <c r="AD1017" s="766"/>
      <c r="AE1017" s="766"/>
      <c r="AF1017" s="766"/>
      <c r="AG1017" s="782"/>
      <c r="BB1017" s="647"/>
      <c r="BC1017" s="648"/>
      <c r="BD1017" s="757"/>
    </row>
    <row r="1018" spans="1:56" s="64" customFormat="1" outlineLevel="1" x14ac:dyDescent="0.25">
      <c r="A1018" s="1393"/>
      <c r="B1018" s="277"/>
      <c r="C1018" s="385"/>
      <c r="D1018" s="3676"/>
      <c r="E1018" s="3589"/>
      <c r="F1018" s="3671" t="str">
        <f t="shared" si="95"/>
        <v>Ductless ASHP - ROF MF_CompE</v>
      </c>
      <c r="G1018" s="3671"/>
      <c r="H1018" s="3671"/>
      <c r="I1018" s="1425"/>
      <c r="J1018" s="1421">
        <f t="shared" si="97"/>
        <v>14</v>
      </c>
      <c r="K1018" s="836"/>
      <c r="L1018" s="838"/>
      <c r="M1018" s="1775"/>
      <c r="N1018" s="1759"/>
      <c r="O1018" s="277"/>
      <c r="P1018" s="277"/>
      <c r="Q1018" s="277"/>
      <c r="R1018" s="277"/>
      <c r="S1018" s="277"/>
      <c r="T1018" s="157"/>
      <c r="U1018" s="157"/>
      <c r="V1018" s="3676"/>
      <c r="W1018" s="766"/>
      <c r="X1018" s="766"/>
      <c r="Y1018" s="765">
        <v>14</v>
      </c>
      <c r="Z1018" s="2426">
        <v>14</v>
      </c>
      <c r="AA1018" s="2426">
        <v>14</v>
      </c>
      <c r="AB1018" s="2425">
        <v>14</v>
      </c>
      <c r="AC1018" s="766"/>
      <c r="AD1018" s="766"/>
      <c r="AE1018" s="766"/>
      <c r="AF1018" s="766"/>
      <c r="AG1018" s="782"/>
      <c r="BB1018" s="647"/>
      <c r="BC1018" s="648"/>
      <c r="BD1018" s="757"/>
    </row>
    <row r="1019" spans="1:56" s="64" customFormat="1" outlineLevel="1" x14ac:dyDescent="0.25">
      <c r="A1019" s="1393"/>
      <c r="B1019" s="277"/>
      <c r="C1019" s="385"/>
      <c r="D1019" s="3676"/>
      <c r="E1019" s="3589"/>
      <c r="F1019" s="3671" t="str">
        <f t="shared" si="95"/>
        <v>Ductless ASHP Replace Electric Resistance ER1 MF_CompE</v>
      </c>
      <c r="G1019" s="3671"/>
      <c r="H1019" s="3671"/>
      <c r="I1019" s="1425"/>
      <c r="J1019" s="1421">
        <f t="shared" si="97"/>
        <v>13</v>
      </c>
      <c r="K1019" s="836"/>
      <c r="L1019" s="838"/>
      <c r="M1019" s="1775"/>
      <c r="N1019" s="1759"/>
      <c r="O1019" s="277"/>
      <c r="P1019" s="277"/>
      <c r="Q1019" s="277"/>
      <c r="R1019" s="277"/>
      <c r="S1019" s="277"/>
      <c r="T1019" s="157"/>
      <c r="U1019" s="157"/>
      <c r="V1019" s="3676"/>
      <c r="W1019" s="766"/>
      <c r="X1019" s="766"/>
      <c r="Y1019" s="765">
        <v>13</v>
      </c>
      <c r="Z1019" s="2426">
        <v>13</v>
      </c>
      <c r="AA1019" s="2426">
        <v>13</v>
      </c>
      <c r="AB1019" s="2425">
        <v>13</v>
      </c>
      <c r="AC1019" s="766"/>
      <c r="AD1019" s="766"/>
      <c r="AE1019" s="766"/>
      <c r="AF1019" s="766"/>
      <c r="AG1019" s="782"/>
      <c r="BB1019" s="647"/>
      <c r="BC1019" s="648"/>
      <c r="BD1019" s="757"/>
    </row>
    <row r="1020" spans="1:56" s="64" customFormat="1" outlineLevel="1" x14ac:dyDescent="0.25">
      <c r="A1020" s="1393"/>
      <c r="B1020" s="277"/>
      <c r="C1020" s="385"/>
      <c r="D1020" s="3676"/>
      <c r="E1020" s="3589"/>
      <c r="F1020" s="3671" t="str">
        <f t="shared" si="95"/>
        <v>Ductless ASHP Replace Electric Resistance ROF MF_CompE</v>
      </c>
      <c r="G1020" s="3671"/>
      <c r="H1020" s="3671"/>
      <c r="I1020" s="1425"/>
      <c r="J1020" s="1421">
        <f t="shared" si="97"/>
        <v>14</v>
      </c>
      <c r="K1020" s="836"/>
      <c r="L1020" s="838"/>
      <c r="M1020" s="1775"/>
      <c r="N1020" s="1759"/>
      <c r="O1020" s="277"/>
      <c r="P1020" s="277"/>
      <c r="Q1020" s="277"/>
      <c r="R1020" s="277"/>
      <c r="S1020" s="277"/>
      <c r="T1020" s="157"/>
      <c r="U1020" s="157"/>
      <c r="V1020" s="3676"/>
      <c r="W1020" s="766"/>
      <c r="X1020" s="766"/>
      <c r="Y1020" s="765">
        <v>14</v>
      </c>
      <c r="Z1020" s="2426">
        <v>14</v>
      </c>
      <c r="AA1020" s="2426">
        <v>14</v>
      </c>
      <c r="AB1020" s="2425">
        <v>14</v>
      </c>
      <c r="AC1020" s="766"/>
      <c r="AD1020" s="766"/>
      <c r="AE1020" s="766"/>
      <c r="AF1020" s="766"/>
      <c r="AG1020" s="782"/>
      <c r="BB1020" s="647"/>
      <c r="BC1020" s="648"/>
      <c r="BD1020" s="757"/>
    </row>
    <row r="1021" spans="1:56" s="64" customFormat="1" ht="15.75" outlineLevel="1" thickBot="1" x14ac:dyDescent="0.3">
      <c r="A1021" s="1393"/>
      <c r="B1021" s="277"/>
      <c r="C1021" s="385"/>
      <c r="D1021" s="3686"/>
      <c r="E1021" s="3687"/>
      <c r="F1021" s="3671" t="str">
        <f t="shared" si="95"/>
        <v>Ductless ASHP ER1 MF_CompE</v>
      </c>
      <c r="G1021" s="3671"/>
      <c r="H1021" s="3671"/>
      <c r="I1021" s="863"/>
      <c r="J1021" s="1421">
        <f t="shared" si="97"/>
        <v>13</v>
      </c>
      <c r="K1021" s="836"/>
      <c r="L1021" s="1776"/>
      <c r="M1021" s="1775"/>
      <c r="N1021" s="1759"/>
      <c r="O1021" s="277"/>
      <c r="P1021" s="277"/>
      <c r="Q1021" s="277"/>
      <c r="R1021" s="277"/>
      <c r="S1021" s="277"/>
      <c r="T1021" s="157"/>
      <c r="U1021" s="157"/>
      <c r="V1021" s="3686"/>
      <c r="W1021" s="792"/>
      <c r="X1021" s="792"/>
      <c r="Y1021" s="765">
        <v>13</v>
      </c>
      <c r="Z1021" s="2426">
        <v>13</v>
      </c>
      <c r="AA1021" s="2426">
        <v>13</v>
      </c>
      <c r="AB1021" s="2425">
        <v>13</v>
      </c>
      <c r="AC1021" s="792"/>
      <c r="AD1021" s="792"/>
      <c r="AE1021" s="792"/>
      <c r="AF1021" s="792"/>
      <c r="AG1021" s="840"/>
      <c r="BB1021" s="647"/>
      <c r="BC1021" s="648"/>
      <c r="BD1021" s="757"/>
    </row>
    <row r="1022" spans="1:56" s="64" customFormat="1" outlineLevel="1" x14ac:dyDescent="0.25">
      <c r="A1022" s="1393"/>
      <c r="B1022" s="277"/>
      <c r="C1022" s="385"/>
      <c r="D1022" s="3638" t="s">
        <v>1201</v>
      </c>
      <c r="E1022" s="3588" t="s">
        <v>1266</v>
      </c>
      <c r="F1022" s="3683" t="str">
        <f t="shared" si="95"/>
        <v>Ductless AC - ER1 SF</v>
      </c>
      <c r="G1022" s="3684"/>
      <c r="H1022" s="3685"/>
      <c r="I1022" s="3059"/>
      <c r="J1022" s="2676">
        <v>6.3</v>
      </c>
      <c r="K1022" s="833"/>
      <c r="L1022" s="834" t="s">
        <v>1198</v>
      </c>
      <c r="M1022" s="1775"/>
      <c r="N1022" s="1759"/>
      <c r="O1022" s="277"/>
      <c r="P1022" s="277"/>
      <c r="Q1022" s="277"/>
      <c r="R1022" s="277"/>
      <c r="S1022" s="277"/>
      <c r="T1022" s="157"/>
      <c r="U1022" s="157"/>
      <c r="V1022" s="3638" t="s">
        <v>1201</v>
      </c>
      <c r="W1022" s="760">
        <v>6.3</v>
      </c>
      <c r="X1022" s="760">
        <v>6.3</v>
      </c>
      <c r="Y1022" s="760">
        <v>6.3</v>
      </c>
      <c r="Z1022" s="2428">
        <v>6.3</v>
      </c>
      <c r="AA1022" s="2428">
        <v>6.3</v>
      </c>
      <c r="AB1022" s="2676">
        <v>6.3</v>
      </c>
      <c r="AC1022" s="760"/>
      <c r="AD1022" s="760"/>
      <c r="AE1022" s="760"/>
      <c r="AF1022" s="760"/>
      <c r="AG1022" s="835"/>
      <c r="BB1022" s="647"/>
      <c r="BC1022" s="648"/>
      <c r="BD1022" s="757"/>
    </row>
    <row r="1023" spans="1:56" s="64" customFormat="1" outlineLevel="1" x14ac:dyDescent="0.25">
      <c r="A1023" s="1393"/>
      <c r="B1023" s="277"/>
      <c r="C1023" s="385"/>
      <c r="D1023" s="3676"/>
      <c r="E1023" s="3589"/>
      <c r="F1023" s="3688" t="str">
        <f t="shared" si="95"/>
        <v>Ductless AC - ROF SF</v>
      </c>
      <c r="G1023" s="3689"/>
      <c r="H1023" s="3690"/>
      <c r="I1023" s="3055"/>
      <c r="J1023" s="2674">
        <v>6.3</v>
      </c>
      <c r="K1023" s="836"/>
      <c r="L1023" s="837" t="s">
        <v>1198</v>
      </c>
      <c r="M1023" s="1775"/>
      <c r="N1023" s="1759"/>
      <c r="O1023" s="277"/>
      <c r="P1023" s="277"/>
      <c r="Q1023" s="277"/>
      <c r="R1023" s="277"/>
      <c r="S1023" s="277"/>
      <c r="T1023" s="157"/>
      <c r="U1023" s="157"/>
      <c r="V1023" s="3676"/>
      <c r="W1023" s="766">
        <v>6.3</v>
      </c>
      <c r="X1023" s="766">
        <v>6.3</v>
      </c>
      <c r="Y1023" s="766">
        <v>6.3</v>
      </c>
      <c r="Z1023" s="2426">
        <v>6.3</v>
      </c>
      <c r="AA1023" s="2426">
        <v>6.3</v>
      </c>
      <c r="AB1023" s="2674">
        <v>6.3</v>
      </c>
      <c r="AC1023" s="766"/>
      <c r="AD1023" s="766"/>
      <c r="AE1023" s="766"/>
      <c r="AF1023" s="766"/>
      <c r="AG1023" s="782"/>
      <c r="BB1023" s="647"/>
      <c r="BC1023" s="648"/>
      <c r="BD1023" s="757"/>
    </row>
    <row r="1024" spans="1:56" s="64" customFormat="1" outlineLevel="1" x14ac:dyDescent="0.25">
      <c r="A1024" s="1393"/>
      <c r="B1024" s="277"/>
      <c r="C1024" s="385"/>
      <c r="D1024" s="3676"/>
      <c r="E1024" s="3589"/>
      <c r="F1024" s="3688" t="str">
        <f t="shared" si="95"/>
        <v>Ductless ASHP - ROF SF NC</v>
      </c>
      <c r="G1024" s="3689"/>
      <c r="H1024" s="3690"/>
      <c r="I1024" s="3055"/>
      <c r="J1024" s="2674">
        <v>7.2</v>
      </c>
      <c r="K1024" s="836"/>
      <c r="L1024" s="837" t="s">
        <v>1198</v>
      </c>
      <c r="M1024" s="1775"/>
      <c r="N1024" s="1759"/>
      <c r="O1024" s="277"/>
      <c r="P1024" s="277"/>
      <c r="Q1024" s="277"/>
      <c r="R1024" s="277"/>
      <c r="S1024" s="277"/>
      <c r="T1024" s="157"/>
      <c r="U1024" s="157"/>
      <c r="V1024" s="3676"/>
      <c r="W1024" s="766">
        <v>7.2</v>
      </c>
      <c r="X1024" s="766">
        <v>7.2</v>
      </c>
      <c r="Y1024" s="766">
        <v>7.2</v>
      </c>
      <c r="Z1024" s="2426">
        <v>7.2</v>
      </c>
      <c r="AA1024" s="2426">
        <v>7.2</v>
      </c>
      <c r="AB1024" s="2674">
        <v>7.2</v>
      </c>
      <c r="AC1024" s="766"/>
      <c r="AD1024" s="766"/>
      <c r="AE1024" s="766"/>
      <c r="AF1024" s="766"/>
      <c r="AG1024" s="782"/>
      <c r="BB1024" s="647"/>
      <c r="BC1024" s="648"/>
      <c r="BD1024" s="757"/>
    </row>
    <row r="1025" spans="1:56" s="64" customFormat="1" outlineLevel="1" x14ac:dyDescent="0.25">
      <c r="A1025" s="1393"/>
      <c r="B1025" s="277"/>
      <c r="C1025" s="385"/>
      <c r="D1025" s="3676"/>
      <c r="E1025" s="3589"/>
      <c r="F1025" s="3688" t="str">
        <f t="shared" si="95"/>
        <v>Ductless ASHP - ROF SF</v>
      </c>
      <c r="G1025" s="3689"/>
      <c r="H1025" s="3690"/>
      <c r="I1025" s="3055"/>
      <c r="J1025" s="2683">
        <v>7.2</v>
      </c>
      <c r="K1025" s="836"/>
      <c r="L1025" s="2680" t="s">
        <v>1198</v>
      </c>
      <c r="M1025" s="1753"/>
      <c r="N1025" s="1759"/>
      <c r="O1025" s="277"/>
      <c r="P1025" s="277"/>
      <c r="Q1025" s="277"/>
      <c r="R1025" s="277"/>
      <c r="S1025" s="277"/>
      <c r="T1025" s="157"/>
      <c r="U1025" s="157"/>
      <c r="V1025" s="3676"/>
      <c r="W1025" s="766">
        <v>7.2</v>
      </c>
      <c r="X1025" s="766">
        <v>7.2</v>
      </c>
      <c r="Y1025" s="766">
        <v>7.2</v>
      </c>
      <c r="Z1025" s="2426">
        <v>7.2</v>
      </c>
      <c r="AA1025" s="2426">
        <v>7.2</v>
      </c>
      <c r="AB1025" s="2683">
        <v>7.2</v>
      </c>
      <c r="AC1025" s="766"/>
      <c r="AD1025" s="766"/>
      <c r="AE1025" s="766"/>
      <c r="AF1025" s="766"/>
      <c r="AG1025" s="782"/>
      <c r="BB1025" s="647"/>
      <c r="BC1025" s="648"/>
      <c r="BD1025" s="757"/>
    </row>
    <row r="1026" spans="1:56" s="64" customFormat="1" outlineLevel="1" x14ac:dyDescent="0.25">
      <c r="A1026" s="1393"/>
      <c r="B1026" s="277"/>
      <c r="C1026" s="385"/>
      <c r="D1026" s="3676"/>
      <c r="E1026" s="3589"/>
      <c r="F1026" s="3688" t="str">
        <f t="shared" si="95"/>
        <v>Ductless ASHP Replace Electric Resistance ER1 SF</v>
      </c>
      <c r="G1026" s="3689"/>
      <c r="H1026" s="3690"/>
      <c r="I1026" s="3055"/>
      <c r="J1026" s="2683">
        <v>7.6061892029279887</v>
      </c>
      <c r="K1026" s="836"/>
      <c r="L1026" s="2718" t="s">
        <v>3674</v>
      </c>
      <c r="M1026" s="1753"/>
      <c r="N1026" s="1759"/>
      <c r="O1026" s="277"/>
      <c r="P1026" s="277"/>
      <c r="Q1026" s="277"/>
      <c r="R1026" s="277"/>
      <c r="S1026" s="277"/>
      <c r="T1026" s="157"/>
      <c r="U1026" s="157"/>
      <c r="V1026" s="3676"/>
      <c r="W1026" s="766">
        <v>6.8</v>
      </c>
      <c r="X1026" s="766">
        <v>6.8</v>
      </c>
      <c r="Y1026" s="766">
        <v>6.8</v>
      </c>
      <c r="Z1026" s="2426">
        <v>6.8</v>
      </c>
      <c r="AA1026" s="2426">
        <v>6.8</v>
      </c>
      <c r="AB1026" s="2684">
        <v>7.6061892029279887</v>
      </c>
      <c r="AC1026" s="766"/>
      <c r="AD1026" s="766"/>
      <c r="AE1026" s="766"/>
      <c r="AF1026" s="766"/>
      <c r="AG1026" s="782"/>
      <c r="BB1026" s="647"/>
      <c r="BC1026" s="648"/>
      <c r="BD1026" s="757"/>
    </row>
    <row r="1027" spans="1:56" s="64" customFormat="1" outlineLevel="1" x14ac:dyDescent="0.25">
      <c r="A1027" s="1393"/>
      <c r="B1027" s="277"/>
      <c r="C1027" s="385"/>
      <c r="D1027" s="3676"/>
      <c r="E1027" s="3589"/>
      <c r="F1027" s="3688" t="str">
        <f t="shared" si="95"/>
        <v>Ductless ASHP Replace Electric Resistance ROF SF</v>
      </c>
      <c r="G1027" s="3689"/>
      <c r="H1027" s="3690"/>
      <c r="I1027" s="3055"/>
      <c r="J1027" s="2683">
        <v>6.8</v>
      </c>
      <c r="K1027" s="836"/>
      <c r="L1027" s="2680" t="s">
        <v>1198</v>
      </c>
      <c r="M1027" s="1753"/>
      <c r="N1027" s="1759"/>
      <c r="O1027" s="277"/>
      <c r="P1027" s="277"/>
      <c r="Q1027" s="277"/>
      <c r="R1027" s="277"/>
      <c r="S1027" s="277"/>
      <c r="T1027" s="157"/>
      <c r="U1027" s="157"/>
      <c r="V1027" s="3676"/>
      <c r="W1027" s="766">
        <v>6.8</v>
      </c>
      <c r="X1027" s="766">
        <v>6.8</v>
      </c>
      <c r="Y1027" s="766">
        <v>6.8</v>
      </c>
      <c r="Z1027" s="2426">
        <v>6.8</v>
      </c>
      <c r="AA1027" s="2426">
        <v>6.8</v>
      </c>
      <c r="AB1027" s="2683">
        <v>6.8</v>
      </c>
      <c r="AC1027" s="766"/>
      <c r="AD1027" s="766"/>
      <c r="AE1027" s="766"/>
      <c r="AF1027" s="766"/>
      <c r="AG1027" s="782"/>
      <c r="BB1027" s="647"/>
      <c r="BC1027" s="648"/>
      <c r="BD1027" s="757"/>
    </row>
    <row r="1028" spans="1:56" s="64" customFormat="1" outlineLevel="1" x14ac:dyDescent="0.25">
      <c r="A1028" s="1393"/>
      <c r="B1028" s="277"/>
      <c r="C1028" s="385"/>
      <c r="D1028" s="3676"/>
      <c r="E1028" s="3589"/>
      <c r="F1028" s="3688" t="str">
        <f t="shared" si="95"/>
        <v>Ductless ASHP ER1 SF</v>
      </c>
      <c r="G1028" s="3689"/>
      <c r="H1028" s="3690"/>
      <c r="I1028" s="3055"/>
      <c r="J1028" s="2683">
        <v>8.0162959726442171</v>
      </c>
      <c r="K1028" s="836"/>
      <c r="L1028" s="2718" t="s">
        <v>3674</v>
      </c>
      <c r="M1028" s="1775"/>
      <c r="N1028" s="1759"/>
      <c r="O1028" s="277"/>
      <c r="P1028" s="277"/>
      <c r="Q1028" s="277"/>
      <c r="R1028" s="277"/>
      <c r="S1028" s="277"/>
      <c r="T1028" s="157"/>
      <c r="U1028" s="157"/>
      <c r="V1028" s="3676"/>
      <c r="W1028" s="766">
        <v>7.2</v>
      </c>
      <c r="X1028" s="766">
        <v>7.2</v>
      </c>
      <c r="Y1028" s="766">
        <v>7.2</v>
      </c>
      <c r="Z1028" s="2426">
        <v>7.2</v>
      </c>
      <c r="AA1028" s="2426">
        <v>7.2</v>
      </c>
      <c r="AB1028" s="2684">
        <v>8.0162959726442171</v>
      </c>
      <c r="AC1028" s="766"/>
      <c r="AD1028" s="766"/>
      <c r="AE1028" s="766"/>
      <c r="AF1028" s="766"/>
      <c r="AG1028" s="782"/>
      <c r="BB1028" s="647"/>
      <c r="BC1028" s="648"/>
      <c r="BD1028" s="757"/>
    </row>
    <row r="1029" spans="1:56" s="64" customFormat="1" outlineLevel="1" x14ac:dyDescent="0.25">
      <c r="A1029" s="1393"/>
      <c r="B1029" s="277"/>
      <c r="C1029" s="385"/>
      <c r="D1029" s="3676"/>
      <c r="E1029" s="3589"/>
      <c r="F1029" s="3671" t="str">
        <f t="shared" si="95"/>
        <v>Ductless AC - ER1 MF</v>
      </c>
      <c r="G1029" s="3671"/>
      <c r="H1029" s="3671"/>
      <c r="I1029" s="3055"/>
      <c r="J1029" s="2683">
        <f>J1022</f>
        <v>6.3</v>
      </c>
      <c r="K1029" s="836"/>
      <c r="L1029" s="2675"/>
      <c r="M1029" s="1775"/>
      <c r="N1029" s="1759"/>
      <c r="O1029" s="277"/>
      <c r="P1029" s="277"/>
      <c r="Q1029" s="277"/>
      <c r="R1029" s="277"/>
      <c r="S1029" s="277"/>
      <c r="T1029" s="157"/>
      <c r="U1029" s="157"/>
      <c r="V1029" s="3676"/>
      <c r="W1029" s="766"/>
      <c r="X1029" s="765"/>
      <c r="Y1029" s="765">
        <v>6.3</v>
      </c>
      <c r="Z1029" s="2426">
        <v>6.3</v>
      </c>
      <c r="AA1029" s="2426">
        <v>6.3</v>
      </c>
      <c r="AB1029" s="2683">
        <v>6.3</v>
      </c>
      <c r="AC1029" s="766"/>
      <c r="AD1029" s="766"/>
      <c r="AE1029" s="766"/>
      <c r="AF1029" s="766"/>
      <c r="AG1029" s="782"/>
      <c r="BB1029" s="647"/>
      <c r="BC1029" s="648"/>
      <c r="BD1029" s="757"/>
    </row>
    <row r="1030" spans="1:56" s="64" customFormat="1" outlineLevel="1" x14ac:dyDescent="0.25">
      <c r="A1030" s="1393"/>
      <c r="B1030" s="277"/>
      <c r="C1030" s="385"/>
      <c r="D1030" s="3676"/>
      <c r="E1030" s="3589"/>
      <c r="F1030" s="3671" t="str">
        <f t="shared" si="95"/>
        <v>Ductless AC - ROF MF</v>
      </c>
      <c r="G1030" s="3671"/>
      <c r="H1030" s="3671"/>
      <c r="I1030" s="3055"/>
      <c r="J1030" s="2683">
        <f t="shared" ref="J1030:J1035" si="98">J1023</f>
        <v>6.3</v>
      </c>
      <c r="K1030" s="836"/>
      <c r="L1030" s="2675"/>
      <c r="M1030" s="1775"/>
      <c r="N1030" s="1759"/>
      <c r="O1030" s="277"/>
      <c r="P1030" s="277"/>
      <c r="Q1030" s="277"/>
      <c r="R1030" s="277"/>
      <c r="S1030" s="277"/>
      <c r="T1030" s="157"/>
      <c r="U1030" s="157"/>
      <c r="V1030" s="3676"/>
      <c r="W1030" s="766"/>
      <c r="X1030" s="765"/>
      <c r="Y1030" s="765">
        <v>6.3</v>
      </c>
      <c r="Z1030" s="2426">
        <v>6.3</v>
      </c>
      <c r="AA1030" s="2426">
        <v>6.3</v>
      </c>
      <c r="AB1030" s="2683">
        <v>6.3</v>
      </c>
      <c r="AC1030" s="766"/>
      <c r="AD1030" s="766"/>
      <c r="AE1030" s="766"/>
      <c r="AF1030" s="766"/>
      <c r="AG1030" s="782"/>
      <c r="BB1030" s="647"/>
      <c r="BC1030" s="648"/>
      <c r="BD1030" s="757"/>
    </row>
    <row r="1031" spans="1:56" s="64" customFormat="1" outlineLevel="1" x14ac:dyDescent="0.25">
      <c r="A1031" s="1393"/>
      <c r="B1031" s="277"/>
      <c r="C1031" s="385"/>
      <c r="D1031" s="3676"/>
      <c r="E1031" s="3589"/>
      <c r="F1031" s="3671" t="str">
        <f t="shared" si="95"/>
        <v>Ductless ASHP - ROF MF NC</v>
      </c>
      <c r="G1031" s="3671"/>
      <c r="H1031" s="3671"/>
      <c r="I1031" s="3055"/>
      <c r="J1031" s="2683">
        <f t="shared" si="98"/>
        <v>7.2</v>
      </c>
      <c r="K1031" s="836"/>
      <c r="L1031" s="2675"/>
      <c r="M1031" s="1775"/>
      <c r="N1031" s="1759"/>
      <c r="O1031" s="277"/>
      <c r="P1031" s="277"/>
      <c r="Q1031" s="277"/>
      <c r="R1031" s="277"/>
      <c r="S1031" s="277"/>
      <c r="T1031" s="157"/>
      <c r="U1031" s="157"/>
      <c r="V1031" s="3676"/>
      <c r="W1031" s="766"/>
      <c r="X1031" s="765"/>
      <c r="Y1031" s="765">
        <v>7.2</v>
      </c>
      <c r="Z1031" s="2426">
        <v>7.2</v>
      </c>
      <c r="AA1031" s="2426">
        <v>7.2</v>
      </c>
      <c r="AB1031" s="2683">
        <v>7.2</v>
      </c>
      <c r="AC1031" s="766"/>
      <c r="AD1031" s="766"/>
      <c r="AE1031" s="766"/>
      <c r="AF1031" s="766"/>
      <c r="AG1031" s="782"/>
      <c r="BB1031" s="647"/>
      <c r="BC1031" s="648"/>
      <c r="BD1031" s="757"/>
    </row>
    <row r="1032" spans="1:56" s="64" customFormat="1" outlineLevel="1" x14ac:dyDescent="0.25">
      <c r="A1032" s="1393"/>
      <c r="B1032" s="277"/>
      <c r="C1032" s="385"/>
      <c r="D1032" s="3676"/>
      <c r="E1032" s="3589"/>
      <c r="F1032" s="3671" t="str">
        <f t="shared" si="95"/>
        <v>Ductless ASHP - ROF MF</v>
      </c>
      <c r="G1032" s="3671"/>
      <c r="H1032" s="3671"/>
      <c r="I1032" s="3055"/>
      <c r="J1032" s="2683">
        <f t="shared" si="98"/>
        <v>7.2</v>
      </c>
      <c r="K1032" s="836"/>
      <c r="L1032" s="2675"/>
      <c r="M1032" s="1775"/>
      <c r="N1032" s="1759"/>
      <c r="O1032" s="277"/>
      <c r="P1032" s="277"/>
      <c r="Q1032" s="277"/>
      <c r="R1032" s="277"/>
      <c r="S1032" s="277"/>
      <c r="T1032" s="157"/>
      <c r="U1032" s="157"/>
      <c r="V1032" s="3676"/>
      <c r="W1032" s="766"/>
      <c r="X1032" s="765"/>
      <c r="Y1032" s="765">
        <v>7.2</v>
      </c>
      <c r="Z1032" s="2426">
        <v>7.2</v>
      </c>
      <c r="AA1032" s="2426">
        <v>7.2</v>
      </c>
      <c r="AB1032" s="2683">
        <v>7.2</v>
      </c>
      <c r="AC1032" s="766"/>
      <c r="AD1032" s="766"/>
      <c r="AE1032" s="766"/>
      <c r="AF1032" s="766"/>
      <c r="AG1032" s="782"/>
      <c r="BB1032" s="647"/>
      <c r="BC1032" s="648"/>
      <c r="BD1032" s="757"/>
    </row>
    <row r="1033" spans="1:56" s="64" customFormat="1" outlineLevel="1" x14ac:dyDescent="0.25">
      <c r="A1033" s="1393"/>
      <c r="B1033" s="277"/>
      <c r="C1033" s="385"/>
      <c r="D1033" s="3676"/>
      <c r="E1033" s="3589"/>
      <c r="F1033" s="3671" t="str">
        <f t="shared" si="95"/>
        <v>Ductless ASHP Replace Electric Resistance ER1 MF</v>
      </c>
      <c r="G1033" s="3671"/>
      <c r="H1033" s="3671"/>
      <c r="I1033" s="3055"/>
      <c r="J1033" s="2683">
        <f t="shared" si="98"/>
        <v>7.6061892029279887</v>
      </c>
      <c r="K1033" s="836"/>
      <c r="L1033" s="2675" t="s">
        <v>3652</v>
      </c>
      <c r="M1033" s="1775"/>
      <c r="N1033" s="1759"/>
      <c r="O1033" s="277"/>
      <c r="P1033" s="277"/>
      <c r="Q1033" s="277"/>
      <c r="R1033" s="277"/>
      <c r="S1033" s="277"/>
      <c r="T1033" s="157"/>
      <c r="U1033" s="157"/>
      <c r="V1033" s="3676"/>
      <c r="W1033" s="766"/>
      <c r="X1033" s="765"/>
      <c r="Y1033" s="765">
        <v>6.8</v>
      </c>
      <c r="Z1033" s="2426">
        <v>6.8</v>
      </c>
      <c r="AA1033" s="2426">
        <v>6.8</v>
      </c>
      <c r="AB1033" s="2684">
        <v>7.6061892029279887</v>
      </c>
      <c r="AC1033" s="766"/>
      <c r="AD1033" s="766"/>
      <c r="AE1033" s="766"/>
      <c r="AF1033" s="766"/>
      <c r="AG1033" s="782"/>
      <c r="BB1033" s="647"/>
      <c r="BC1033" s="648"/>
      <c r="BD1033" s="757"/>
    </row>
    <row r="1034" spans="1:56" s="64" customFormat="1" outlineLevel="1" x14ac:dyDescent="0.25">
      <c r="A1034" s="1393"/>
      <c r="B1034" s="277"/>
      <c r="C1034" s="385"/>
      <c r="D1034" s="3676"/>
      <c r="E1034" s="3589"/>
      <c r="F1034" s="3671" t="str">
        <f t="shared" si="95"/>
        <v>Ductless ASHP Replace Electric Resistance ROF MF</v>
      </c>
      <c r="G1034" s="3671"/>
      <c r="H1034" s="3671"/>
      <c r="I1034" s="3055"/>
      <c r="J1034" s="2683">
        <f t="shared" si="98"/>
        <v>6.8</v>
      </c>
      <c r="K1034" s="836"/>
      <c r="L1034" s="2675"/>
      <c r="M1034" s="1775"/>
      <c r="N1034" s="1759"/>
      <c r="O1034" s="277"/>
      <c r="P1034" s="277"/>
      <c r="Q1034" s="277"/>
      <c r="R1034" s="277"/>
      <c r="S1034" s="277"/>
      <c r="T1034" s="157"/>
      <c r="U1034" s="157"/>
      <c r="V1034" s="3676"/>
      <c r="W1034" s="766"/>
      <c r="X1034" s="765"/>
      <c r="Y1034" s="765">
        <v>6.8</v>
      </c>
      <c r="Z1034" s="2426">
        <v>6.8</v>
      </c>
      <c r="AA1034" s="2426">
        <v>6.8</v>
      </c>
      <c r="AB1034" s="2683">
        <v>6.8</v>
      </c>
      <c r="AC1034" s="766"/>
      <c r="AD1034" s="766"/>
      <c r="AE1034" s="766"/>
      <c r="AF1034" s="766"/>
      <c r="AG1034" s="782"/>
      <c r="BB1034" s="647"/>
      <c r="BC1034" s="648"/>
      <c r="BD1034" s="757"/>
    </row>
    <row r="1035" spans="1:56" s="64" customFormat="1" outlineLevel="1" x14ac:dyDescent="0.25">
      <c r="A1035" s="1393"/>
      <c r="B1035" s="277"/>
      <c r="C1035" s="385"/>
      <c r="D1035" s="3676"/>
      <c r="E1035" s="3589"/>
      <c r="F1035" s="3671" t="str">
        <f t="shared" si="95"/>
        <v>Ductless ASHP ER1 MF</v>
      </c>
      <c r="G1035" s="3671"/>
      <c r="H1035" s="3671"/>
      <c r="I1035" s="3055"/>
      <c r="J1035" s="2683">
        <f t="shared" si="98"/>
        <v>8.0162959726442171</v>
      </c>
      <c r="K1035" s="836"/>
      <c r="L1035" s="2675" t="s">
        <v>3652</v>
      </c>
      <c r="M1035" s="1775"/>
      <c r="N1035" s="1759"/>
      <c r="O1035" s="277"/>
      <c r="P1035" s="277"/>
      <c r="Q1035" s="277"/>
      <c r="R1035" s="277"/>
      <c r="S1035" s="277"/>
      <c r="T1035" s="157"/>
      <c r="U1035" s="157"/>
      <c r="V1035" s="3676"/>
      <c r="W1035" s="766"/>
      <c r="X1035" s="765"/>
      <c r="Y1035" s="765">
        <v>7.2</v>
      </c>
      <c r="Z1035" s="2426">
        <v>7.2</v>
      </c>
      <c r="AA1035" s="2426">
        <v>7.2</v>
      </c>
      <c r="AB1035" s="2684">
        <v>8.0162959726442171</v>
      </c>
      <c r="AC1035" s="766"/>
      <c r="AD1035" s="766"/>
      <c r="AE1035" s="766"/>
      <c r="AF1035" s="766"/>
      <c r="AG1035" s="782"/>
      <c r="BB1035" s="647"/>
      <c r="BC1035" s="648"/>
      <c r="BD1035" s="757"/>
    </row>
    <row r="1036" spans="1:56" s="64" customFormat="1" outlineLevel="1" x14ac:dyDescent="0.25">
      <c r="A1036" s="1393"/>
      <c r="B1036" s="277"/>
      <c r="C1036" s="385"/>
      <c r="D1036" s="3676"/>
      <c r="E1036" s="3589"/>
      <c r="F1036" s="3671" t="str">
        <f t="shared" si="95"/>
        <v>Ductless AC - ER1 MF_CompE</v>
      </c>
      <c r="G1036" s="3671"/>
      <c r="H1036" s="3671"/>
      <c r="I1036" s="3055"/>
      <c r="J1036" s="2683">
        <f>J1022</f>
        <v>6.3</v>
      </c>
      <c r="K1036" s="836"/>
      <c r="L1036" s="2675"/>
      <c r="M1036" s="1775"/>
      <c r="N1036" s="1759"/>
      <c r="O1036" s="277"/>
      <c r="P1036" s="277"/>
      <c r="Q1036" s="277"/>
      <c r="R1036" s="277"/>
      <c r="S1036" s="277"/>
      <c r="T1036" s="157"/>
      <c r="U1036" s="157"/>
      <c r="V1036" s="3676"/>
      <c r="W1036" s="766"/>
      <c r="X1036" s="766"/>
      <c r="Y1036" s="765">
        <v>6.3</v>
      </c>
      <c r="Z1036" s="2426">
        <v>6.3</v>
      </c>
      <c r="AA1036" s="2426">
        <v>6.3</v>
      </c>
      <c r="AB1036" s="2683">
        <v>6.3</v>
      </c>
      <c r="AC1036" s="766"/>
      <c r="AD1036" s="766"/>
      <c r="AE1036" s="766"/>
      <c r="AF1036" s="766"/>
      <c r="AG1036" s="782"/>
      <c r="BB1036" s="647"/>
      <c r="BC1036" s="648"/>
      <c r="BD1036" s="757"/>
    </row>
    <row r="1037" spans="1:56" s="64" customFormat="1" outlineLevel="1" x14ac:dyDescent="0.25">
      <c r="A1037" s="1393"/>
      <c r="B1037" s="277"/>
      <c r="C1037" s="385"/>
      <c r="D1037" s="3676"/>
      <c r="E1037" s="3589"/>
      <c r="F1037" s="3671" t="str">
        <f t="shared" si="95"/>
        <v>Ductless AC - ROF MF_CompE</v>
      </c>
      <c r="G1037" s="3671"/>
      <c r="H1037" s="3671"/>
      <c r="I1037" s="3055"/>
      <c r="J1037" s="2683">
        <f t="shared" ref="J1037:J1042" si="99">J1023</f>
        <v>6.3</v>
      </c>
      <c r="K1037" s="836"/>
      <c r="L1037" s="2675"/>
      <c r="M1037" s="1775"/>
      <c r="N1037" s="1759"/>
      <c r="O1037" s="277"/>
      <c r="P1037" s="277"/>
      <c r="Q1037" s="277"/>
      <c r="R1037" s="277"/>
      <c r="S1037" s="277"/>
      <c r="T1037" s="157"/>
      <c r="U1037" s="157"/>
      <c r="V1037" s="3676"/>
      <c r="W1037" s="766"/>
      <c r="X1037" s="766"/>
      <c r="Y1037" s="765">
        <v>6.3</v>
      </c>
      <c r="Z1037" s="2426">
        <v>6.3</v>
      </c>
      <c r="AA1037" s="2426">
        <v>6.3</v>
      </c>
      <c r="AB1037" s="2683">
        <v>6.3</v>
      </c>
      <c r="AC1037" s="766"/>
      <c r="AD1037" s="766"/>
      <c r="AE1037" s="766"/>
      <c r="AF1037" s="766"/>
      <c r="AG1037" s="782"/>
      <c r="BB1037" s="647"/>
      <c r="BC1037" s="648"/>
      <c r="BD1037" s="757"/>
    </row>
    <row r="1038" spans="1:56" s="64" customFormat="1" outlineLevel="1" x14ac:dyDescent="0.25">
      <c r="A1038" s="1393"/>
      <c r="B1038" s="277"/>
      <c r="C1038" s="385"/>
      <c r="D1038" s="3676"/>
      <c r="E1038" s="3589"/>
      <c r="F1038" s="3671" t="str">
        <f t="shared" si="95"/>
        <v>Ductless ASHP - ROF MF NC_CompE</v>
      </c>
      <c r="G1038" s="3671"/>
      <c r="H1038" s="3671"/>
      <c r="I1038" s="3055"/>
      <c r="J1038" s="2683">
        <f t="shared" si="99"/>
        <v>7.2</v>
      </c>
      <c r="K1038" s="836"/>
      <c r="L1038" s="2675"/>
      <c r="M1038" s="1775"/>
      <c r="N1038" s="1759"/>
      <c r="O1038" s="277"/>
      <c r="P1038" s="277"/>
      <c r="Q1038" s="277"/>
      <c r="R1038" s="277"/>
      <c r="S1038" s="277"/>
      <c r="T1038" s="157"/>
      <c r="U1038" s="157"/>
      <c r="V1038" s="3676"/>
      <c r="W1038" s="766"/>
      <c r="X1038" s="766"/>
      <c r="Y1038" s="765">
        <v>7.2</v>
      </c>
      <c r="Z1038" s="2426">
        <v>7.2</v>
      </c>
      <c r="AA1038" s="2426">
        <v>7.2</v>
      </c>
      <c r="AB1038" s="2683">
        <v>7.2</v>
      </c>
      <c r="AC1038" s="766"/>
      <c r="AD1038" s="766"/>
      <c r="AE1038" s="766"/>
      <c r="AF1038" s="766"/>
      <c r="AG1038" s="782"/>
      <c r="BB1038" s="647"/>
      <c r="BC1038" s="648"/>
      <c r="BD1038" s="757"/>
    </row>
    <row r="1039" spans="1:56" s="64" customFormat="1" outlineLevel="1" x14ac:dyDescent="0.25">
      <c r="A1039" s="1393"/>
      <c r="B1039" s="277"/>
      <c r="C1039" s="385"/>
      <c r="D1039" s="3676"/>
      <c r="E1039" s="3589"/>
      <c r="F1039" s="3671" t="str">
        <f t="shared" si="95"/>
        <v>Ductless ASHP - ROF MF_CompE</v>
      </c>
      <c r="G1039" s="3671"/>
      <c r="H1039" s="3671"/>
      <c r="I1039" s="3055"/>
      <c r="J1039" s="2683">
        <f t="shared" si="99"/>
        <v>7.2</v>
      </c>
      <c r="K1039" s="836"/>
      <c r="L1039" s="2680"/>
      <c r="M1039" s="1775"/>
      <c r="N1039" s="1759"/>
      <c r="O1039" s="277"/>
      <c r="P1039" s="277"/>
      <c r="Q1039" s="277"/>
      <c r="R1039" s="277"/>
      <c r="S1039" s="277"/>
      <c r="T1039" s="157"/>
      <c r="U1039" s="157"/>
      <c r="V1039" s="3676"/>
      <c r="W1039" s="766"/>
      <c r="X1039" s="766"/>
      <c r="Y1039" s="765">
        <v>7.2</v>
      </c>
      <c r="Z1039" s="2426">
        <v>7.2</v>
      </c>
      <c r="AA1039" s="2426">
        <v>7.2</v>
      </c>
      <c r="AB1039" s="2683">
        <v>7.2</v>
      </c>
      <c r="AC1039" s="766"/>
      <c r="AD1039" s="766"/>
      <c r="AE1039" s="766"/>
      <c r="AF1039" s="766"/>
      <c r="AG1039" s="782"/>
      <c r="BB1039" s="647"/>
      <c r="BC1039" s="648"/>
      <c r="BD1039" s="757"/>
    </row>
    <row r="1040" spans="1:56" s="64" customFormat="1" outlineLevel="1" x14ac:dyDescent="0.25">
      <c r="A1040" s="1393"/>
      <c r="B1040" s="277"/>
      <c r="C1040" s="385"/>
      <c r="D1040" s="3676"/>
      <c r="E1040" s="3589"/>
      <c r="F1040" s="3671" t="str">
        <f t="shared" si="95"/>
        <v>Ductless ASHP Replace Electric Resistance ER1 MF_CompE</v>
      </c>
      <c r="G1040" s="3671"/>
      <c r="H1040" s="3671"/>
      <c r="I1040" s="3055"/>
      <c r="J1040" s="2683">
        <f t="shared" si="99"/>
        <v>7.6061892029279887</v>
      </c>
      <c r="K1040" s="836"/>
      <c r="L1040" s="2675" t="s">
        <v>3652</v>
      </c>
      <c r="M1040" s="1775"/>
      <c r="N1040" s="1759"/>
      <c r="O1040" s="277"/>
      <c r="P1040" s="277"/>
      <c r="Q1040" s="277"/>
      <c r="R1040" s="277"/>
      <c r="S1040" s="277"/>
      <c r="T1040" s="157"/>
      <c r="U1040" s="157"/>
      <c r="V1040" s="3676"/>
      <c r="W1040" s="766"/>
      <c r="X1040" s="766"/>
      <c r="Y1040" s="765">
        <v>6.8</v>
      </c>
      <c r="Z1040" s="2426">
        <v>6.8</v>
      </c>
      <c r="AA1040" s="2426">
        <v>6.8</v>
      </c>
      <c r="AB1040" s="2684">
        <v>7.6061892029279887</v>
      </c>
      <c r="AC1040" s="766"/>
      <c r="AD1040" s="766"/>
      <c r="AE1040" s="766"/>
      <c r="AF1040" s="766"/>
      <c r="AG1040" s="782"/>
      <c r="BB1040" s="647"/>
      <c r="BC1040" s="648"/>
      <c r="BD1040" s="757"/>
    </row>
    <row r="1041" spans="1:56" s="64" customFormat="1" outlineLevel="1" x14ac:dyDescent="0.25">
      <c r="A1041" s="1393"/>
      <c r="B1041" s="277"/>
      <c r="C1041" s="385"/>
      <c r="D1041" s="3676"/>
      <c r="E1041" s="3589"/>
      <c r="F1041" s="3671" t="str">
        <f t="shared" si="95"/>
        <v>Ductless ASHP Replace Electric Resistance ROF MF_CompE</v>
      </c>
      <c r="G1041" s="3671"/>
      <c r="H1041" s="3671"/>
      <c r="I1041" s="3055"/>
      <c r="J1041" s="2683">
        <f t="shared" si="99"/>
        <v>6.8</v>
      </c>
      <c r="K1041" s="836"/>
      <c r="L1041" s="2680"/>
      <c r="M1041" s="1775"/>
      <c r="N1041" s="1759"/>
      <c r="O1041" s="277"/>
      <c r="P1041" s="277"/>
      <c r="Q1041" s="277"/>
      <c r="R1041" s="277"/>
      <c r="S1041" s="277"/>
      <c r="T1041" s="157"/>
      <c r="U1041" s="157"/>
      <c r="V1041" s="3676"/>
      <c r="W1041" s="766"/>
      <c r="X1041" s="766"/>
      <c r="Y1041" s="765">
        <v>6.8</v>
      </c>
      <c r="Z1041" s="2426">
        <v>6.8</v>
      </c>
      <c r="AA1041" s="2426">
        <v>6.8</v>
      </c>
      <c r="AB1041" s="2683">
        <v>6.8</v>
      </c>
      <c r="AC1041" s="766"/>
      <c r="AD1041" s="766"/>
      <c r="AE1041" s="766"/>
      <c r="AF1041" s="766"/>
      <c r="AG1041" s="782"/>
      <c r="BB1041" s="647"/>
      <c r="BC1041" s="648"/>
      <c r="BD1041" s="757"/>
    </row>
    <row r="1042" spans="1:56" s="64" customFormat="1" ht="15.75" outlineLevel="1" thickBot="1" x14ac:dyDescent="0.3">
      <c r="A1042" s="1393"/>
      <c r="B1042" s="277"/>
      <c r="C1042" s="385"/>
      <c r="D1042" s="3686"/>
      <c r="E1042" s="3687"/>
      <c r="F1042" s="3671" t="str">
        <f t="shared" si="95"/>
        <v>Ductless ASHP ER1 MF_CompE</v>
      </c>
      <c r="G1042" s="3671"/>
      <c r="H1042" s="3671"/>
      <c r="I1042" s="3060"/>
      <c r="J1042" s="2683">
        <f t="shared" si="99"/>
        <v>8.0162959726442171</v>
      </c>
      <c r="K1042" s="836"/>
      <c r="L1042" s="2675" t="s">
        <v>3652</v>
      </c>
      <c r="M1042" s="1775"/>
      <c r="N1042" s="1759"/>
      <c r="O1042" s="277"/>
      <c r="P1042" s="277"/>
      <c r="Q1042" s="277"/>
      <c r="R1042" s="277"/>
      <c r="S1042" s="277"/>
      <c r="T1042" s="157"/>
      <c r="U1042" s="157"/>
      <c r="V1042" s="3686"/>
      <c r="W1042" s="792"/>
      <c r="X1042" s="792"/>
      <c r="Y1042" s="846">
        <v>7.2</v>
      </c>
      <c r="Z1042" s="2429">
        <v>7.2</v>
      </c>
      <c r="AA1042" s="2429">
        <v>7.2</v>
      </c>
      <c r="AB1042" s="2684">
        <v>8.0162959726442171</v>
      </c>
      <c r="AC1042" s="792"/>
      <c r="AD1042" s="792"/>
      <c r="AE1042" s="792"/>
      <c r="AF1042" s="792"/>
      <c r="AG1042" s="840"/>
      <c r="BB1042" s="647"/>
      <c r="BC1042" s="648"/>
      <c r="BD1042" s="757"/>
    </row>
    <row r="1043" spans="1:56" s="64" customFormat="1" outlineLevel="1" x14ac:dyDescent="0.25">
      <c r="A1043" s="1393"/>
      <c r="B1043" s="277"/>
      <c r="C1043" s="385"/>
      <c r="D1043" s="3638" t="s">
        <v>291</v>
      </c>
      <c r="E1043" s="3588" t="s">
        <v>1267</v>
      </c>
      <c r="F1043" s="3683" t="str">
        <f t="shared" si="95"/>
        <v>Ductless AC - ER1 SF</v>
      </c>
      <c r="G1043" s="3684"/>
      <c r="H1043" s="3685"/>
      <c r="I1043" s="3059"/>
      <c r="J1043" s="2686">
        <v>23.17</v>
      </c>
      <c r="K1043" s="833"/>
      <c r="L1043" s="2679" t="s">
        <v>1262</v>
      </c>
      <c r="M1043" s="1775"/>
      <c r="N1043" s="1759"/>
      <c r="O1043" s="277"/>
      <c r="P1043" s="277"/>
      <c r="Q1043" s="277"/>
      <c r="R1043" s="277"/>
      <c r="S1043" s="277"/>
      <c r="T1043" s="157"/>
      <c r="U1043" s="157"/>
      <c r="V1043" s="3638" t="s">
        <v>291</v>
      </c>
      <c r="W1043" s="760">
        <v>22.4</v>
      </c>
      <c r="X1043" s="759">
        <v>23.17</v>
      </c>
      <c r="Y1043" s="760">
        <v>23.17</v>
      </c>
      <c r="Z1043" s="2428">
        <v>23.17</v>
      </c>
      <c r="AA1043" s="2428">
        <v>23.17</v>
      </c>
      <c r="AB1043" s="2686">
        <v>23.17</v>
      </c>
      <c r="AC1043" s="760"/>
      <c r="AD1043" s="760"/>
      <c r="AE1043" s="760"/>
      <c r="AF1043" s="760"/>
      <c r="AG1043" s="835"/>
      <c r="BB1043" s="647"/>
      <c r="BC1043" s="648"/>
      <c r="BD1043" s="757"/>
    </row>
    <row r="1044" spans="1:56" s="64" customFormat="1" outlineLevel="1" x14ac:dyDescent="0.25">
      <c r="A1044" s="1393"/>
      <c r="B1044" s="277"/>
      <c r="C1044" s="385"/>
      <c r="D1044" s="3676"/>
      <c r="E1044" s="3589"/>
      <c r="F1044" s="3688" t="str">
        <f t="shared" si="95"/>
        <v>Ductless AC - ROF SF</v>
      </c>
      <c r="G1044" s="3689"/>
      <c r="H1044" s="3690"/>
      <c r="I1044" s="3055"/>
      <c r="J1044" s="2687">
        <v>22.918750000000003</v>
      </c>
      <c r="K1044" s="836"/>
      <c r="L1044" s="2718" t="s">
        <v>3674</v>
      </c>
      <c r="M1044" s="1775"/>
      <c r="N1044" s="1759"/>
      <c r="O1044" s="277"/>
      <c r="P1044" s="277"/>
      <c r="Q1044" s="277"/>
      <c r="R1044" s="277"/>
      <c r="S1044" s="277"/>
      <c r="T1044" s="157"/>
      <c r="U1044" s="157"/>
      <c r="V1044" s="3676"/>
      <c r="W1044" s="766">
        <v>21.6</v>
      </c>
      <c r="X1044" s="765">
        <v>23.17</v>
      </c>
      <c r="Y1044" s="766">
        <v>23.17</v>
      </c>
      <c r="Z1044" s="2426">
        <v>23.17</v>
      </c>
      <c r="AA1044" s="2426">
        <v>23.17</v>
      </c>
      <c r="AB1044" s="2677">
        <v>22.918750000000003</v>
      </c>
      <c r="AC1044" s="766"/>
      <c r="AD1044" s="766"/>
      <c r="AE1044" s="766"/>
      <c r="AF1044" s="766"/>
      <c r="AG1044" s="782"/>
      <c r="BB1044" s="647"/>
      <c r="BC1044" s="648"/>
      <c r="BD1044" s="757"/>
    </row>
    <row r="1045" spans="1:56" s="64" customFormat="1" outlineLevel="1" x14ac:dyDescent="0.25">
      <c r="A1045" s="1393"/>
      <c r="B1045" s="277"/>
      <c r="C1045" s="385"/>
      <c r="D1045" s="3676"/>
      <c r="E1045" s="3589"/>
      <c r="F1045" s="3688" t="str">
        <f t="shared" si="95"/>
        <v>Ductless ASHP - ROF SF NC</v>
      </c>
      <c r="G1045" s="3689"/>
      <c r="H1045" s="3690"/>
      <c r="I1045" s="3055"/>
      <c r="J1045" s="2687">
        <v>19</v>
      </c>
      <c r="K1045" s="836"/>
      <c r="L1045" s="2675"/>
      <c r="M1045" s="1775"/>
      <c r="N1045" s="1759"/>
      <c r="O1045" s="277"/>
      <c r="P1045" s="277"/>
      <c r="Q1045" s="277"/>
      <c r="R1045" s="277"/>
      <c r="S1045" s="277"/>
      <c r="T1045" s="157"/>
      <c r="U1045" s="157"/>
      <c r="V1045" s="3676"/>
      <c r="W1045" s="766">
        <v>22.7</v>
      </c>
      <c r="X1045" s="765">
        <v>23.17</v>
      </c>
      <c r="Y1045" s="765">
        <v>19</v>
      </c>
      <c r="Z1045" s="2426">
        <v>19</v>
      </c>
      <c r="AA1045" s="2426">
        <v>19</v>
      </c>
      <c r="AB1045" s="2687">
        <v>19</v>
      </c>
      <c r="AC1045" s="766"/>
      <c r="AD1045" s="766"/>
      <c r="AE1045" s="766"/>
      <c r="AF1045" s="766"/>
      <c r="AG1045" s="782"/>
      <c r="BB1045" s="647"/>
      <c r="BC1045" s="648"/>
      <c r="BD1045" s="757"/>
    </row>
    <row r="1046" spans="1:56" s="64" customFormat="1" outlineLevel="1" x14ac:dyDescent="0.25">
      <c r="A1046" s="1393"/>
      <c r="B1046" s="277"/>
      <c r="C1046" s="385"/>
      <c r="D1046" s="3676"/>
      <c r="E1046" s="3589"/>
      <c r="F1046" s="3688" t="str">
        <f t="shared" si="95"/>
        <v>Ductless ASHP - ROF SF</v>
      </c>
      <c r="G1046" s="3689"/>
      <c r="H1046" s="3690"/>
      <c r="I1046" s="3055"/>
      <c r="J1046" s="2687">
        <v>22.519480519480521</v>
      </c>
      <c r="K1046" s="836"/>
      <c r="L1046" s="2718" t="s">
        <v>3674</v>
      </c>
      <c r="M1046" s="1753"/>
      <c r="N1046" s="1759"/>
      <c r="O1046" s="277"/>
      <c r="P1046" s="277"/>
      <c r="Q1046" s="277"/>
      <c r="R1046" s="277"/>
      <c r="S1046" s="277"/>
      <c r="T1046" s="157"/>
      <c r="U1046" s="157"/>
      <c r="V1046" s="3676"/>
      <c r="W1046" s="766">
        <v>22.7</v>
      </c>
      <c r="X1046" s="765">
        <v>23.17</v>
      </c>
      <c r="Y1046" s="765">
        <v>19</v>
      </c>
      <c r="Z1046" s="2426">
        <v>19</v>
      </c>
      <c r="AA1046" s="2426">
        <v>19</v>
      </c>
      <c r="AB1046" s="2677">
        <v>22.519480519480521</v>
      </c>
      <c r="AC1046" s="766"/>
      <c r="AD1046" s="766"/>
      <c r="AE1046" s="766"/>
      <c r="AF1046" s="766"/>
      <c r="AG1046" s="782"/>
      <c r="BB1046" s="647"/>
      <c r="BC1046" s="648"/>
      <c r="BD1046" s="757"/>
    </row>
    <row r="1047" spans="1:56" s="64" customFormat="1" outlineLevel="1" x14ac:dyDescent="0.25">
      <c r="A1047" s="1393"/>
      <c r="B1047" s="277"/>
      <c r="C1047" s="385"/>
      <c r="D1047" s="3676"/>
      <c r="E1047" s="3589"/>
      <c r="F1047" s="3688" t="str">
        <f t="shared" si="95"/>
        <v>Ductless ASHP Replace Electric Resistance ER1 SF</v>
      </c>
      <c r="G1047" s="3689"/>
      <c r="H1047" s="3690"/>
      <c r="I1047" s="3055"/>
      <c r="J1047" s="2687">
        <v>22.429399999999998</v>
      </c>
      <c r="K1047" s="836"/>
      <c r="L1047" s="2718" t="s">
        <v>3674</v>
      </c>
      <c r="M1047" s="1753"/>
      <c r="N1047" s="1759"/>
      <c r="O1047" s="277"/>
      <c r="P1047" s="277"/>
      <c r="Q1047" s="277"/>
      <c r="R1047" s="277"/>
      <c r="S1047" s="277"/>
      <c r="T1047" s="157"/>
      <c r="U1047" s="157"/>
      <c r="V1047" s="3676"/>
      <c r="W1047" s="766">
        <v>22.4</v>
      </c>
      <c r="X1047" s="765">
        <v>23.17</v>
      </c>
      <c r="Y1047" s="765">
        <v>22.63</v>
      </c>
      <c r="Z1047" s="2426">
        <v>22.63</v>
      </c>
      <c r="AA1047" s="2426">
        <v>22.63</v>
      </c>
      <c r="AB1047" s="2677">
        <v>22.429399999999998</v>
      </c>
      <c r="AC1047" s="766"/>
      <c r="AD1047" s="766"/>
      <c r="AE1047" s="766"/>
      <c r="AF1047" s="766"/>
      <c r="AG1047" s="782"/>
      <c r="BB1047" s="647"/>
      <c r="BC1047" s="648"/>
      <c r="BD1047" s="757"/>
    </row>
    <row r="1048" spans="1:56" s="64" customFormat="1" outlineLevel="1" x14ac:dyDescent="0.25">
      <c r="A1048" s="1393"/>
      <c r="B1048" s="277"/>
      <c r="C1048" s="385"/>
      <c r="D1048" s="3676"/>
      <c r="E1048" s="3589"/>
      <c r="F1048" s="3688" t="str">
        <f t="shared" si="95"/>
        <v>Ductless ASHP Replace Electric Resistance ROF SF</v>
      </c>
      <c r="G1048" s="3689"/>
      <c r="H1048" s="3690"/>
      <c r="I1048" s="3055"/>
      <c r="J1048" s="2687">
        <v>23.193333333333332</v>
      </c>
      <c r="K1048" s="836"/>
      <c r="L1048" s="2718" t="s">
        <v>3674</v>
      </c>
      <c r="M1048" s="1753"/>
      <c r="N1048" s="1759"/>
      <c r="O1048" s="277"/>
      <c r="P1048" s="277"/>
      <c r="Q1048" s="277"/>
      <c r="R1048" s="277"/>
      <c r="S1048" s="277"/>
      <c r="T1048" s="157"/>
      <c r="U1048" s="157"/>
      <c r="V1048" s="3676"/>
      <c r="W1048" s="766">
        <v>21.6</v>
      </c>
      <c r="X1048" s="765">
        <v>23.17</v>
      </c>
      <c r="Y1048" s="765">
        <v>22.77</v>
      </c>
      <c r="Z1048" s="2426">
        <v>22.77</v>
      </c>
      <c r="AA1048" s="2426">
        <v>22.77</v>
      </c>
      <c r="AB1048" s="2677">
        <v>23.193333333333332</v>
      </c>
      <c r="AC1048" s="766"/>
      <c r="AD1048" s="766"/>
      <c r="AE1048" s="766"/>
      <c r="AF1048" s="766"/>
      <c r="AG1048" s="782"/>
      <c r="BB1048" s="647"/>
      <c r="BC1048" s="648"/>
      <c r="BD1048" s="757"/>
    </row>
    <row r="1049" spans="1:56" s="64" customFormat="1" outlineLevel="1" x14ac:dyDescent="0.25">
      <c r="A1049" s="1393"/>
      <c r="B1049" s="277"/>
      <c r="C1049" s="385"/>
      <c r="D1049" s="3676"/>
      <c r="E1049" s="3589"/>
      <c r="F1049" s="3688" t="str">
        <f t="shared" si="95"/>
        <v>Ductless ASHP ER1 SF</v>
      </c>
      <c r="G1049" s="3689"/>
      <c r="H1049" s="3690"/>
      <c r="I1049" s="3055"/>
      <c r="J1049" s="2687">
        <v>22.249999999999996</v>
      </c>
      <c r="K1049" s="836"/>
      <c r="L1049" s="2718" t="s">
        <v>3674</v>
      </c>
      <c r="M1049" s="1775"/>
      <c r="N1049" s="1759"/>
      <c r="O1049" s="277"/>
      <c r="P1049" s="277"/>
      <c r="Q1049" s="277"/>
      <c r="R1049" s="277"/>
      <c r="S1049" s="277"/>
      <c r="T1049" s="157"/>
      <c r="U1049" s="157"/>
      <c r="V1049" s="3676"/>
      <c r="W1049" s="766">
        <v>21.2</v>
      </c>
      <c r="X1049" s="765">
        <v>23.17</v>
      </c>
      <c r="Y1049" s="765">
        <v>27.01</v>
      </c>
      <c r="Z1049" s="2426">
        <v>27.01</v>
      </c>
      <c r="AA1049" s="2426">
        <v>27.01</v>
      </c>
      <c r="AB1049" s="2677">
        <v>22.249999999999996</v>
      </c>
      <c r="AC1049" s="766"/>
      <c r="AD1049" s="766"/>
      <c r="AE1049" s="766"/>
      <c r="AF1049" s="766"/>
      <c r="AG1049" s="782"/>
      <c r="BB1049" s="647"/>
      <c r="BC1049" s="648"/>
      <c r="BD1049" s="757"/>
    </row>
    <row r="1050" spans="1:56" s="64" customFormat="1" outlineLevel="1" x14ac:dyDescent="0.25">
      <c r="A1050" s="1393"/>
      <c r="B1050" s="277"/>
      <c r="C1050" s="385"/>
      <c r="D1050" s="3676"/>
      <c r="E1050" s="3589"/>
      <c r="F1050" s="3671" t="str">
        <f t="shared" si="95"/>
        <v>Ductless AC - ER1 MF</v>
      </c>
      <c r="G1050" s="3671"/>
      <c r="H1050" s="3671"/>
      <c r="I1050" s="3055"/>
      <c r="J1050" s="2687">
        <f>J1043</f>
        <v>23.17</v>
      </c>
      <c r="K1050" s="836"/>
      <c r="L1050" s="2675"/>
      <c r="M1050" s="1775"/>
      <c r="N1050" s="1759"/>
      <c r="O1050" s="277"/>
      <c r="P1050" s="277"/>
      <c r="Q1050" s="277"/>
      <c r="R1050" s="277"/>
      <c r="S1050" s="277"/>
      <c r="T1050" s="157"/>
      <c r="U1050" s="157"/>
      <c r="V1050" s="3676"/>
      <c r="W1050" s="766"/>
      <c r="X1050" s="765"/>
      <c r="Y1050" s="765">
        <v>23.17</v>
      </c>
      <c r="Z1050" s="2426">
        <v>23.17</v>
      </c>
      <c r="AA1050" s="2426">
        <v>23.17</v>
      </c>
      <c r="AB1050" s="2687">
        <v>23.17</v>
      </c>
      <c r="AC1050" s="766"/>
      <c r="AD1050" s="766"/>
      <c r="AE1050" s="766"/>
      <c r="AF1050" s="766"/>
      <c r="AG1050" s="782"/>
      <c r="BB1050" s="647"/>
      <c r="BC1050" s="648"/>
      <c r="BD1050" s="757"/>
    </row>
    <row r="1051" spans="1:56" s="64" customFormat="1" outlineLevel="1" x14ac:dyDescent="0.25">
      <c r="A1051" s="1393"/>
      <c r="B1051" s="277"/>
      <c r="C1051" s="385"/>
      <c r="D1051" s="3676"/>
      <c r="E1051" s="3589"/>
      <c r="F1051" s="3671" t="str">
        <f t="shared" si="95"/>
        <v>Ductless AC - ROF MF</v>
      </c>
      <c r="G1051" s="3671"/>
      <c r="H1051" s="3671"/>
      <c r="I1051" s="3055"/>
      <c r="J1051" s="2687">
        <f t="shared" ref="J1051:J1056" si="100">J1044</f>
        <v>22.918750000000003</v>
      </c>
      <c r="K1051" s="836"/>
      <c r="L1051" s="2675" t="s">
        <v>3652</v>
      </c>
      <c r="M1051" s="1775"/>
      <c r="N1051" s="1759"/>
      <c r="O1051" s="277"/>
      <c r="P1051" s="277"/>
      <c r="Q1051" s="277"/>
      <c r="R1051" s="277"/>
      <c r="S1051" s="277"/>
      <c r="T1051" s="157"/>
      <c r="U1051" s="157"/>
      <c r="V1051" s="3676"/>
      <c r="W1051" s="766"/>
      <c r="X1051" s="765"/>
      <c r="Y1051" s="765">
        <v>23.17</v>
      </c>
      <c r="Z1051" s="2426">
        <v>23.17</v>
      </c>
      <c r="AA1051" s="2426">
        <v>23.17</v>
      </c>
      <c r="AB1051" s="2677">
        <v>22.918750000000003</v>
      </c>
      <c r="AC1051" s="766"/>
      <c r="AD1051" s="766"/>
      <c r="AE1051" s="766"/>
      <c r="AF1051" s="766"/>
      <c r="AG1051" s="782"/>
      <c r="BB1051" s="647"/>
      <c r="BC1051" s="648"/>
      <c r="BD1051" s="757"/>
    </row>
    <row r="1052" spans="1:56" s="64" customFormat="1" outlineLevel="1" x14ac:dyDescent="0.25">
      <c r="A1052" s="1393"/>
      <c r="B1052" s="277"/>
      <c r="C1052" s="385"/>
      <c r="D1052" s="3676"/>
      <c r="E1052" s="3589"/>
      <c r="F1052" s="3671" t="str">
        <f t="shared" si="95"/>
        <v>Ductless ASHP - ROF MF NC</v>
      </c>
      <c r="G1052" s="3671"/>
      <c r="H1052" s="3671"/>
      <c r="I1052" s="3055"/>
      <c r="J1052" s="2687">
        <f t="shared" si="100"/>
        <v>19</v>
      </c>
      <c r="K1052" s="836"/>
      <c r="L1052" s="2675"/>
      <c r="M1052" s="1775"/>
      <c r="N1052" s="1759"/>
      <c r="O1052" s="277"/>
      <c r="P1052" s="277"/>
      <c r="Q1052" s="277"/>
      <c r="R1052" s="277"/>
      <c r="S1052" s="277"/>
      <c r="T1052" s="157"/>
      <c r="U1052" s="157"/>
      <c r="V1052" s="3676"/>
      <c r="W1052" s="766"/>
      <c r="X1052" s="765"/>
      <c r="Y1052" s="765">
        <v>19</v>
      </c>
      <c r="Z1052" s="2426">
        <v>19</v>
      </c>
      <c r="AA1052" s="2426">
        <v>19</v>
      </c>
      <c r="AB1052" s="2687">
        <v>19</v>
      </c>
      <c r="AC1052" s="766"/>
      <c r="AD1052" s="766"/>
      <c r="AE1052" s="766"/>
      <c r="AF1052" s="766"/>
      <c r="AG1052" s="782"/>
      <c r="BB1052" s="647"/>
      <c r="BC1052" s="648"/>
      <c r="BD1052" s="757"/>
    </row>
    <row r="1053" spans="1:56" s="64" customFormat="1" outlineLevel="1" x14ac:dyDescent="0.25">
      <c r="A1053" s="1393"/>
      <c r="B1053" s="277"/>
      <c r="C1053" s="385"/>
      <c r="D1053" s="3676"/>
      <c r="E1053" s="3589"/>
      <c r="F1053" s="3671" t="str">
        <f t="shared" si="95"/>
        <v>Ductless ASHP - ROF MF</v>
      </c>
      <c r="G1053" s="3671"/>
      <c r="H1053" s="3671"/>
      <c r="I1053" s="3055"/>
      <c r="J1053" s="2687">
        <f t="shared" si="100"/>
        <v>22.519480519480521</v>
      </c>
      <c r="K1053" s="836"/>
      <c r="L1053" s="2675" t="s">
        <v>3652</v>
      </c>
      <c r="M1053" s="1775"/>
      <c r="N1053" s="1759"/>
      <c r="O1053" s="277"/>
      <c r="P1053" s="277"/>
      <c r="Q1053" s="277"/>
      <c r="R1053" s="277"/>
      <c r="S1053" s="277"/>
      <c r="T1053" s="157"/>
      <c r="U1053" s="157"/>
      <c r="V1053" s="3676"/>
      <c r="W1053" s="766"/>
      <c r="X1053" s="765"/>
      <c r="Y1053" s="765">
        <v>19</v>
      </c>
      <c r="Z1053" s="2426">
        <v>19</v>
      </c>
      <c r="AA1053" s="2426">
        <v>19</v>
      </c>
      <c r="AB1053" s="2677">
        <v>22.519480519480521</v>
      </c>
      <c r="AC1053" s="766"/>
      <c r="AD1053" s="766"/>
      <c r="AE1053" s="766"/>
      <c r="AF1053" s="766"/>
      <c r="AG1053" s="782"/>
      <c r="BB1053" s="647"/>
      <c r="BC1053" s="648"/>
      <c r="BD1053" s="757"/>
    </row>
    <row r="1054" spans="1:56" s="64" customFormat="1" outlineLevel="1" x14ac:dyDescent="0.25">
      <c r="A1054" s="1393"/>
      <c r="B1054" s="277"/>
      <c r="C1054" s="385"/>
      <c r="D1054" s="3676"/>
      <c r="E1054" s="3589"/>
      <c r="F1054" s="3671" t="str">
        <f t="shared" si="95"/>
        <v>Ductless ASHP Replace Electric Resistance ER1 MF</v>
      </c>
      <c r="G1054" s="3671"/>
      <c r="H1054" s="3671"/>
      <c r="I1054" s="3055"/>
      <c r="J1054" s="2687">
        <f t="shared" si="100"/>
        <v>22.429399999999998</v>
      </c>
      <c r="K1054" s="836"/>
      <c r="L1054" s="2675" t="s">
        <v>3652</v>
      </c>
      <c r="M1054" s="1775"/>
      <c r="N1054" s="1759"/>
      <c r="O1054" s="277"/>
      <c r="P1054" s="277"/>
      <c r="Q1054" s="277"/>
      <c r="R1054" s="277"/>
      <c r="S1054" s="277"/>
      <c r="T1054" s="157"/>
      <c r="U1054" s="157"/>
      <c r="V1054" s="3676"/>
      <c r="W1054" s="766"/>
      <c r="X1054" s="765"/>
      <c r="Y1054" s="765">
        <v>22.63</v>
      </c>
      <c r="Z1054" s="2426">
        <v>22.63</v>
      </c>
      <c r="AA1054" s="2426">
        <v>22.63</v>
      </c>
      <c r="AB1054" s="2677">
        <v>22.429399999999998</v>
      </c>
      <c r="AC1054" s="766"/>
      <c r="AD1054" s="766"/>
      <c r="AE1054" s="766"/>
      <c r="AF1054" s="766"/>
      <c r="AG1054" s="782"/>
      <c r="BB1054" s="647"/>
      <c r="BC1054" s="648"/>
      <c r="BD1054" s="757"/>
    </row>
    <row r="1055" spans="1:56" s="64" customFormat="1" outlineLevel="1" x14ac:dyDescent="0.25">
      <c r="A1055" s="1393"/>
      <c r="B1055" s="277"/>
      <c r="C1055" s="385"/>
      <c r="D1055" s="3676"/>
      <c r="E1055" s="3589"/>
      <c r="F1055" s="3671" t="str">
        <f t="shared" si="95"/>
        <v>Ductless ASHP Replace Electric Resistance ROF MF</v>
      </c>
      <c r="G1055" s="3671"/>
      <c r="H1055" s="3671"/>
      <c r="I1055" s="3055"/>
      <c r="J1055" s="2687">
        <f t="shared" si="100"/>
        <v>23.193333333333332</v>
      </c>
      <c r="K1055" s="836"/>
      <c r="L1055" s="2675" t="s">
        <v>3652</v>
      </c>
      <c r="M1055" s="1775"/>
      <c r="N1055" s="1759"/>
      <c r="O1055" s="277"/>
      <c r="P1055" s="277"/>
      <c r="Q1055" s="277"/>
      <c r="R1055" s="277"/>
      <c r="S1055" s="277"/>
      <c r="T1055" s="157"/>
      <c r="U1055" s="157"/>
      <c r="V1055" s="3676"/>
      <c r="W1055" s="766"/>
      <c r="X1055" s="765"/>
      <c r="Y1055" s="765">
        <v>22.77</v>
      </c>
      <c r="Z1055" s="2426">
        <v>22.77</v>
      </c>
      <c r="AA1055" s="2426">
        <v>22.77</v>
      </c>
      <c r="AB1055" s="2677">
        <v>23.193333333333332</v>
      </c>
      <c r="AC1055" s="766"/>
      <c r="AD1055" s="766"/>
      <c r="AE1055" s="766"/>
      <c r="AF1055" s="766"/>
      <c r="AG1055" s="782"/>
      <c r="BB1055" s="647"/>
      <c r="BC1055" s="648"/>
      <c r="BD1055" s="757"/>
    </row>
    <row r="1056" spans="1:56" s="64" customFormat="1" outlineLevel="1" x14ac:dyDescent="0.25">
      <c r="A1056" s="1393"/>
      <c r="B1056" s="277"/>
      <c r="C1056" s="385"/>
      <c r="D1056" s="3676"/>
      <c r="E1056" s="3589"/>
      <c r="F1056" s="3671" t="str">
        <f t="shared" si="95"/>
        <v>Ductless ASHP ER1 MF</v>
      </c>
      <c r="G1056" s="3671"/>
      <c r="H1056" s="3671"/>
      <c r="I1056" s="3055"/>
      <c r="J1056" s="2687">
        <f t="shared" si="100"/>
        <v>22.249999999999996</v>
      </c>
      <c r="K1056" s="836"/>
      <c r="L1056" s="2675" t="s">
        <v>3652</v>
      </c>
      <c r="M1056" s="1775"/>
      <c r="N1056" s="1759"/>
      <c r="O1056" s="277"/>
      <c r="P1056" s="277"/>
      <c r="Q1056" s="277"/>
      <c r="R1056" s="277"/>
      <c r="S1056" s="277"/>
      <c r="T1056" s="157"/>
      <c r="U1056" s="157"/>
      <c r="V1056" s="3676"/>
      <c r="W1056" s="766"/>
      <c r="X1056" s="765"/>
      <c r="Y1056" s="765">
        <v>27.01</v>
      </c>
      <c r="Z1056" s="2426">
        <v>27.01</v>
      </c>
      <c r="AA1056" s="2426">
        <v>27.01</v>
      </c>
      <c r="AB1056" s="2677">
        <v>22.249999999999996</v>
      </c>
      <c r="AC1056" s="766"/>
      <c r="AD1056" s="766"/>
      <c r="AE1056" s="766"/>
      <c r="AF1056" s="766"/>
      <c r="AG1056" s="782"/>
      <c r="BB1056" s="647"/>
      <c r="BC1056" s="648"/>
      <c r="BD1056" s="757"/>
    </row>
    <row r="1057" spans="1:56" s="64" customFormat="1" outlineLevel="1" x14ac:dyDescent="0.25">
      <c r="A1057" s="1393"/>
      <c r="B1057" s="277"/>
      <c r="C1057" s="385"/>
      <c r="D1057" s="3676"/>
      <c r="E1057" s="3589"/>
      <c r="F1057" s="3671" t="str">
        <f t="shared" si="95"/>
        <v>Ductless AC - ER1 MF_CompE</v>
      </c>
      <c r="G1057" s="3671"/>
      <c r="H1057" s="3671"/>
      <c r="I1057" s="3055"/>
      <c r="J1057" s="2687">
        <f>J1043</f>
        <v>23.17</v>
      </c>
      <c r="K1057" s="836"/>
      <c r="L1057" s="2675"/>
      <c r="M1057" s="1775"/>
      <c r="N1057" s="1759"/>
      <c r="O1057" s="277"/>
      <c r="P1057" s="277"/>
      <c r="Q1057" s="277"/>
      <c r="R1057" s="277"/>
      <c r="S1057" s="277"/>
      <c r="T1057" s="157"/>
      <c r="U1057" s="157"/>
      <c r="V1057" s="3676"/>
      <c r="W1057" s="766"/>
      <c r="X1057" s="766"/>
      <c r="Y1057" s="765">
        <v>23.17</v>
      </c>
      <c r="Z1057" s="2426">
        <v>23.17</v>
      </c>
      <c r="AA1057" s="2426">
        <v>23.17</v>
      </c>
      <c r="AB1057" s="2687">
        <v>23.17</v>
      </c>
      <c r="AC1057" s="766"/>
      <c r="AD1057" s="766"/>
      <c r="AE1057" s="766"/>
      <c r="AF1057" s="766"/>
      <c r="AG1057" s="782"/>
      <c r="BB1057" s="647"/>
      <c r="BC1057" s="648"/>
      <c r="BD1057" s="757"/>
    </row>
    <row r="1058" spans="1:56" s="64" customFormat="1" outlineLevel="1" x14ac:dyDescent="0.25">
      <c r="A1058" s="1393"/>
      <c r="B1058" s="277"/>
      <c r="C1058" s="385"/>
      <c r="D1058" s="3676"/>
      <c r="E1058" s="3589"/>
      <c r="F1058" s="3671" t="str">
        <f t="shared" si="95"/>
        <v>Ductless AC - ROF MF_CompE</v>
      </c>
      <c r="G1058" s="3671"/>
      <c r="H1058" s="3671"/>
      <c r="I1058" s="3055"/>
      <c r="J1058" s="2687">
        <f t="shared" ref="J1058:J1063" si="101">J1044</f>
        <v>22.918750000000003</v>
      </c>
      <c r="K1058" s="836"/>
      <c r="L1058" s="2675" t="s">
        <v>3652</v>
      </c>
      <c r="M1058" s="1775"/>
      <c r="N1058" s="1759"/>
      <c r="O1058" s="277"/>
      <c r="P1058" s="277"/>
      <c r="Q1058" s="277"/>
      <c r="R1058" s="277"/>
      <c r="S1058" s="277"/>
      <c r="T1058" s="157"/>
      <c r="U1058" s="157"/>
      <c r="V1058" s="3676"/>
      <c r="W1058" s="766"/>
      <c r="X1058" s="766"/>
      <c r="Y1058" s="765">
        <v>23.17</v>
      </c>
      <c r="Z1058" s="2426">
        <v>23.17</v>
      </c>
      <c r="AA1058" s="2426">
        <v>23.17</v>
      </c>
      <c r="AB1058" s="2677">
        <v>22.918750000000003</v>
      </c>
      <c r="AC1058" s="766"/>
      <c r="AD1058" s="766"/>
      <c r="AE1058" s="766"/>
      <c r="AF1058" s="766"/>
      <c r="AG1058" s="782"/>
      <c r="BB1058" s="647"/>
      <c r="BC1058" s="648"/>
      <c r="BD1058" s="757"/>
    </row>
    <row r="1059" spans="1:56" s="64" customFormat="1" outlineLevel="1" x14ac:dyDescent="0.25">
      <c r="A1059" s="1393"/>
      <c r="B1059" s="277"/>
      <c r="C1059" s="385"/>
      <c r="D1059" s="3676"/>
      <c r="E1059" s="3589"/>
      <c r="F1059" s="3671" t="str">
        <f t="shared" si="95"/>
        <v>Ductless ASHP - ROF MF NC_CompE</v>
      </c>
      <c r="G1059" s="3671"/>
      <c r="H1059" s="3671"/>
      <c r="I1059" s="3055"/>
      <c r="J1059" s="2687">
        <f t="shared" si="101"/>
        <v>19</v>
      </c>
      <c r="K1059" s="836"/>
      <c r="L1059" s="2675"/>
      <c r="M1059" s="1775"/>
      <c r="N1059" s="1759"/>
      <c r="O1059" s="277"/>
      <c r="P1059" s="277"/>
      <c r="Q1059" s="277"/>
      <c r="R1059" s="277"/>
      <c r="S1059" s="277"/>
      <c r="T1059" s="157"/>
      <c r="U1059" s="157"/>
      <c r="V1059" s="3676"/>
      <c r="W1059" s="766"/>
      <c r="X1059" s="766"/>
      <c r="Y1059" s="765">
        <v>19</v>
      </c>
      <c r="Z1059" s="2426">
        <v>19</v>
      </c>
      <c r="AA1059" s="2426">
        <v>19</v>
      </c>
      <c r="AB1059" s="2687">
        <v>19</v>
      </c>
      <c r="AC1059" s="766"/>
      <c r="AD1059" s="766"/>
      <c r="AE1059" s="766"/>
      <c r="AF1059" s="766"/>
      <c r="AG1059" s="782"/>
      <c r="BB1059" s="647"/>
      <c r="BC1059" s="648"/>
      <c r="BD1059" s="757"/>
    </row>
    <row r="1060" spans="1:56" s="64" customFormat="1" outlineLevel="1" x14ac:dyDescent="0.25">
      <c r="A1060" s="1393"/>
      <c r="B1060" s="277"/>
      <c r="C1060" s="385"/>
      <c r="D1060" s="3676"/>
      <c r="E1060" s="3589"/>
      <c r="F1060" s="3671" t="str">
        <f t="shared" si="95"/>
        <v>Ductless ASHP - ROF MF_CompE</v>
      </c>
      <c r="G1060" s="3671"/>
      <c r="H1060" s="3671"/>
      <c r="I1060" s="3055"/>
      <c r="J1060" s="2687">
        <f t="shared" si="101"/>
        <v>22.519480519480521</v>
      </c>
      <c r="K1060" s="836"/>
      <c r="L1060" s="2675" t="s">
        <v>3652</v>
      </c>
      <c r="M1060" s="1775"/>
      <c r="N1060" s="1759"/>
      <c r="O1060" s="277"/>
      <c r="P1060" s="277"/>
      <c r="Q1060" s="277"/>
      <c r="R1060" s="277"/>
      <c r="S1060" s="277"/>
      <c r="T1060" s="157"/>
      <c r="U1060" s="157"/>
      <c r="V1060" s="3676"/>
      <c r="W1060" s="766"/>
      <c r="X1060" s="766"/>
      <c r="Y1060" s="765">
        <v>19</v>
      </c>
      <c r="Z1060" s="2426">
        <v>19</v>
      </c>
      <c r="AA1060" s="2426">
        <v>19</v>
      </c>
      <c r="AB1060" s="2677">
        <v>22.519480519480521</v>
      </c>
      <c r="AC1060" s="766"/>
      <c r="AD1060" s="766"/>
      <c r="AE1060" s="766"/>
      <c r="AF1060" s="766"/>
      <c r="AG1060" s="782"/>
      <c r="BB1060" s="647"/>
      <c r="BC1060" s="648"/>
      <c r="BD1060" s="757"/>
    </row>
    <row r="1061" spans="1:56" s="64" customFormat="1" outlineLevel="1" x14ac:dyDescent="0.25">
      <c r="A1061" s="1393"/>
      <c r="B1061" s="277"/>
      <c r="C1061" s="385"/>
      <c r="D1061" s="3676"/>
      <c r="E1061" s="3589"/>
      <c r="F1061" s="3671" t="str">
        <f t="shared" si="95"/>
        <v>Ductless ASHP Replace Electric Resistance ER1 MF_CompE</v>
      </c>
      <c r="G1061" s="3671"/>
      <c r="H1061" s="3671"/>
      <c r="I1061" s="3055"/>
      <c r="J1061" s="2687">
        <f t="shared" si="101"/>
        <v>22.429399999999998</v>
      </c>
      <c r="K1061" s="836"/>
      <c r="L1061" s="2675" t="s">
        <v>3652</v>
      </c>
      <c r="M1061" s="1775"/>
      <c r="N1061" s="1759"/>
      <c r="O1061" s="277"/>
      <c r="P1061" s="277"/>
      <c r="Q1061" s="277"/>
      <c r="R1061" s="277"/>
      <c r="S1061" s="277"/>
      <c r="T1061" s="157"/>
      <c r="U1061" s="157"/>
      <c r="V1061" s="3676"/>
      <c r="W1061" s="766"/>
      <c r="X1061" s="766"/>
      <c r="Y1061" s="765">
        <v>22.63</v>
      </c>
      <c r="Z1061" s="2426">
        <v>22.63</v>
      </c>
      <c r="AA1061" s="2426">
        <v>22.63</v>
      </c>
      <c r="AB1061" s="2677">
        <v>22.429399999999998</v>
      </c>
      <c r="AC1061" s="766"/>
      <c r="AD1061" s="766"/>
      <c r="AE1061" s="766"/>
      <c r="AF1061" s="766"/>
      <c r="AG1061" s="782"/>
      <c r="BB1061" s="647"/>
      <c r="BC1061" s="648"/>
      <c r="BD1061" s="757"/>
    </row>
    <row r="1062" spans="1:56" s="64" customFormat="1" outlineLevel="1" x14ac:dyDescent="0.25">
      <c r="A1062" s="1393"/>
      <c r="B1062" s="277"/>
      <c r="C1062" s="385"/>
      <c r="D1062" s="3676"/>
      <c r="E1062" s="3589"/>
      <c r="F1062" s="3671" t="str">
        <f t="shared" si="95"/>
        <v>Ductless ASHP Replace Electric Resistance ROF MF_CompE</v>
      </c>
      <c r="G1062" s="3671"/>
      <c r="H1062" s="3671"/>
      <c r="I1062" s="3055"/>
      <c r="J1062" s="2687">
        <f t="shared" si="101"/>
        <v>23.193333333333332</v>
      </c>
      <c r="K1062" s="836"/>
      <c r="L1062" s="837" t="s">
        <v>3652</v>
      </c>
      <c r="M1062" s="1775"/>
      <c r="N1062" s="1759"/>
      <c r="O1062" s="277"/>
      <c r="P1062" s="277"/>
      <c r="Q1062" s="277"/>
      <c r="R1062" s="277"/>
      <c r="S1062" s="277"/>
      <c r="T1062" s="157"/>
      <c r="U1062" s="157"/>
      <c r="V1062" s="3676"/>
      <c r="W1062" s="766"/>
      <c r="X1062" s="766"/>
      <c r="Y1062" s="765">
        <v>22.77</v>
      </c>
      <c r="Z1062" s="2426">
        <v>22.77</v>
      </c>
      <c r="AA1062" s="2426">
        <v>22.77</v>
      </c>
      <c r="AB1062" s="2677">
        <v>23.193333333333332</v>
      </c>
      <c r="AC1062" s="766"/>
      <c r="AD1062" s="766"/>
      <c r="AE1062" s="766"/>
      <c r="AF1062" s="766"/>
      <c r="AG1062" s="782"/>
      <c r="BB1062" s="647"/>
      <c r="BC1062" s="648"/>
      <c r="BD1062" s="757"/>
    </row>
    <row r="1063" spans="1:56" s="64" customFormat="1" ht="15.75" outlineLevel="1" thickBot="1" x14ac:dyDescent="0.3">
      <c r="A1063" s="1393"/>
      <c r="B1063" s="277"/>
      <c r="C1063" s="385"/>
      <c r="D1063" s="3686"/>
      <c r="E1063" s="3687"/>
      <c r="F1063" s="3697" t="str">
        <f t="shared" si="95"/>
        <v>Ductless ASHP ER1 MF_CompE</v>
      </c>
      <c r="G1063" s="3697"/>
      <c r="H1063" s="3697"/>
      <c r="I1063" s="3060"/>
      <c r="J1063" s="3227">
        <f t="shared" si="101"/>
        <v>22.249999999999996</v>
      </c>
      <c r="K1063" s="2884"/>
      <c r="L1063" s="865" t="s">
        <v>3652</v>
      </c>
      <c r="M1063" s="1775"/>
      <c r="N1063" s="1759"/>
      <c r="O1063" s="277"/>
      <c r="P1063" s="277"/>
      <c r="Q1063" s="277"/>
      <c r="R1063" s="277"/>
      <c r="S1063" s="277"/>
      <c r="T1063" s="157"/>
      <c r="U1063" s="157"/>
      <c r="V1063" s="3686"/>
      <c r="W1063" s="792"/>
      <c r="X1063" s="792"/>
      <c r="Y1063" s="846">
        <v>27.01</v>
      </c>
      <c r="Z1063" s="2429">
        <v>27.01</v>
      </c>
      <c r="AA1063" s="2429">
        <v>27.01</v>
      </c>
      <c r="AB1063" s="2688">
        <v>22.249999999999996</v>
      </c>
      <c r="AC1063" s="792"/>
      <c r="AD1063" s="792"/>
      <c r="AE1063" s="792"/>
      <c r="AF1063" s="792"/>
      <c r="AG1063" s="840"/>
      <c r="BB1063" s="647"/>
      <c r="BC1063" s="648"/>
      <c r="BD1063" s="757"/>
    </row>
    <row r="1064" spans="1:56" s="64" customFormat="1" outlineLevel="1" x14ac:dyDescent="0.25">
      <c r="A1064" s="1393"/>
      <c r="B1064" s="277"/>
      <c r="C1064" s="385"/>
      <c r="D1064" s="3588" t="s">
        <v>722</v>
      </c>
      <c r="E1064" s="3720" t="s">
        <v>1268</v>
      </c>
      <c r="F1064" s="3711" t="str">
        <f t="shared" ref="F1064:F1082" si="102">E784</f>
        <v>Ductless AC - ER1 SF</v>
      </c>
      <c r="G1064" s="3712"/>
      <c r="H1064" s="3713"/>
      <c r="I1064" s="2768"/>
      <c r="J1064" s="2885">
        <v>1</v>
      </c>
      <c r="K1064" s="848"/>
      <c r="L1064" s="3714"/>
      <c r="M1064" s="1775"/>
      <c r="N1064" s="1759"/>
      <c r="O1064" s="277"/>
      <c r="P1064" s="277"/>
      <c r="Q1064" s="277"/>
      <c r="R1064" s="277"/>
      <c r="S1064" s="277"/>
      <c r="T1064" s="157"/>
      <c r="U1064" s="157"/>
      <c r="V1064" s="3588" t="s">
        <v>722</v>
      </c>
      <c r="W1064" s="849">
        <v>1</v>
      </c>
      <c r="X1064" s="849">
        <v>1</v>
      </c>
      <c r="Y1064" s="849">
        <v>1</v>
      </c>
      <c r="Z1064" s="849">
        <v>1</v>
      </c>
      <c r="AA1064" s="849">
        <v>1</v>
      </c>
      <c r="AB1064" s="2685">
        <v>1</v>
      </c>
      <c r="AC1064" s="849"/>
      <c r="AD1064" s="849"/>
      <c r="AE1064" s="849"/>
      <c r="AF1064" s="849"/>
      <c r="AG1064" s="850"/>
      <c r="BB1064" s="647"/>
      <c r="BC1064" s="648"/>
      <c r="BD1064" s="757"/>
    </row>
    <row r="1065" spans="1:56" s="64" customFormat="1" outlineLevel="1" x14ac:dyDescent="0.25">
      <c r="A1065" s="1393"/>
      <c r="B1065" s="277"/>
      <c r="C1065" s="385"/>
      <c r="D1065" s="3589"/>
      <c r="E1065" s="3721"/>
      <c r="F1065" s="3701" t="str">
        <f t="shared" si="102"/>
        <v>Ductless AC - ER2 SF</v>
      </c>
      <c r="G1065" s="3702"/>
      <c r="H1065" s="3703"/>
      <c r="I1065" s="2767"/>
      <c r="J1065" s="851">
        <v>1</v>
      </c>
      <c r="K1065" s="852"/>
      <c r="L1065" s="3715"/>
      <c r="M1065" s="1775"/>
      <c r="N1065" s="1759"/>
      <c r="O1065" s="277"/>
      <c r="P1065" s="277"/>
      <c r="Q1065" s="277"/>
      <c r="R1065" s="277"/>
      <c r="S1065" s="277"/>
      <c r="T1065" s="157"/>
      <c r="U1065" s="157"/>
      <c r="V1065" s="3589"/>
      <c r="W1065" s="851">
        <v>1</v>
      </c>
      <c r="X1065" s="851">
        <v>1</v>
      </c>
      <c r="Y1065" s="851">
        <v>1</v>
      </c>
      <c r="Z1065" s="851">
        <v>1</v>
      </c>
      <c r="AA1065" s="851">
        <v>1</v>
      </c>
      <c r="AB1065" s="851">
        <v>1</v>
      </c>
      <c r="AC1065" s="851"/>
      <c r="AD1065" s="851"/>
      <c r="AE1065" s="851"/>
      <c r="AF1065" s="851"/>
      <c r="AG1065" s="853"/>
      <c r="BB1065" s="647"/>
      <c r="BC1065" s="648"/>
      <c r="BD1065" s="757"/>
    </row>
    <row r="1066" spans="1:56" s="64" customFormat="1" outlineLevel="1" x14ac:dyDescent="0.25">
      <c r="A1066" s="1393"/>
      <c r="B1066" s="277"/>
      <c r="C1066" s="385"/>
      <c r="D1066" s="3589"/>
      <c r="E1066" s="3721"/>
      <c r="F1066" s="3708" t="str">
        <f t="shared" si="102"/>
        <v>Ductless AC - ROF SF</v>
      </c>
      <c r="G1066" s="3709"/>
      <c r="H1066" s="3710"/>
      <c r="I1066" s="2767"/>
      <c r="J1066" s="851">
        <v>1</v>
      </c>
      <c r="K1066" s="852"/>
      <c r="L1066" s="3715"/>
      <c r="M1066" s="1775"/>
      <c r="N1066" s="1759"/>
      <c r="O1066" s="277"/>
      <c r="P1066" s="277"/>
      <c r="Q1066" s="277"/>
      <c r="R1066" s="277"/>
      <c r="S1066" s="277"/>
      <c r="T1066" s="157"/>
      <c r="U1066" s="157"/>
      <c r="V1066" s="3589"/>
      <c r="W1066" s="851">
        <v>1</v>
      </c>
      <c r="X1066" s="851">
        <v>1</v>
      </c>
      <c r="Y1066" s="851">
        <v>1</v>
      </c>
      <c r="Z1066" s="851">
        <v>1</v>
      </c>
      <c r="AA1066" s="851">
        <v>1</v>
      </c>
      <c r="AB1066" s="851">
        <v>1</v>
      </c>
      <c r="AC1066" s="851"/>
      <c r="AD1066" s="851"/>
      <c r="AE1066" s="851"/>
      <c r="AF1066" s="851"/>
      <c r="AG1066" s="853"/>
      <c r="BB1066" s="647"/>
      <c r="BC1066" s="648"/>
      <c r="BD1066" s="757"/>
    </row>
    <row r="1067" spans="1:56" s="64" customFormat="1" outlineLevel="1" x14ac:dyDescent="0.25">
      <c r="A1067" s="1393"/>
      <c r="B1067" s="277"/>
      <c r="C1067" s="385"/>
      <c r="D1067" s="3589"/>
      <c r="E1067" s="3721"/>
      <c r="F1067" s="3704" t="str">
        <f t="shared" si="102"/>
        <v>Ductless ASHP - ROF SF NC</v>
      </c>
      <c r="G1067" s="3705"/>
      <c r="H1067" s="3706"/>
      <c r="I1067" s="2767"/>
      <c r="J1067" s="851">
        <v>1</v>
      </c>
      <c r="K1067" s="852"/>
      <c r="L1067" s="3715"/>
      <c r="M1067" s="1775"/>
      <c r="N1067" s="1759"/>
      <c r="O1067" s="277"/>
      <c r="P1067" s="277"/>
      <c r="Q1067" s="277"/>
      <c r="R1067" s="277"/>
      <c r="S1067" s="277"/>
      <c r="T1067" s="157"/>
      <c r="U1067" s="157"/>
      <c r="V1067" s="3589"/>
      <c r="W1067" s="851">
        <v>1</v>
      </c>
      <c r="X1067" s="851">
        <v>1</v>
      </c>
      <c r="Y1067" s="851">
        <v>1</v>
      </c>
      <c r="Z1067" s="851">
        <v>1</v>
      </c>
      <c r="AA1067" s="851">
        <v>1</v>
      </c>
      <c r="AB1067" s="851">
        <v>1</v>
      </c>
      <c r="AC1067" s="851"/>
      <c r="AD1067" s="851"/>
      <c r="AE1067" s="851"/>
      <c r="AF1067" s="851"/>
      <c r="AG1067" s="853"/>
      <c r="BB1067" s="647"/>
      <c r="BC1067" s="648"/>
      <c r="BD1067" s="757"/>
    </row>
    <row r="1068" spans="1:56" s="64" customFormat="1" outlineLevel="1" x14ac:dyDescent="0.25">
      <c r="A1068" s="1393"/>
      <c r="B1068" s="277"/>
      <c r="C1068" s="385"/>
      <c r="D1068" s="3589"/>
      <c r="E1068" s="3721"/>
      <c r="F1068" s="3701" t="str">
        <f t="shared" si="102"/>
        <v>Ductless ASHP - ROF SF NC</v>
      </c>
      <c r="G1068" s="3702"/>
      <c r="H1068" s="3703"/>
      <c r="I1068" s="2767"/>
      <c r="J1068" s="851">
        <v>1</v>
      </c>
      <c r="K1068" s="852"/>
      <c r="L1068" s="3715"/>
      <c r="M1068" s="1775"/>
      <c r="N1068" s="1759"/>
      <c r="O1068" s="277"/>
      <c r="P1068" s="277"/>
      <c r="Q1068" s="277"/>
      <c r="R1068" s="277"/>
      <c r="S1068" s="277"/>
      <c r="T1068" s="157"/>
      <c r="U1068" s="157"/>
      <c r="V1068" s="3589"/>
      <c r="W1068" s="851">
        <v>1</v>
      </c>
      <c r="X1068" s="851">
        <v>1</v>
      </c>
      <c r="Y1068" s="851">
        <v>1</v>
      </c>
      <c r="Z1068" s="851">
        <v>1</v>
      </c>
      <c r="AA1068" s="851">
        <v>1</v>
      </c>
      <c r="AB1068" s="851">
        <v>1</v>
      </c>
      <c r="AC1068" s="851"/>
      <c r="AD1068" s="851"/>
      <c r="AE1068" s="851"/>
      <c r="AF1068" s="851"/>
      <c r="AG1068" s="853"/>
      <c r="BB1068" s="647"/>
      <c r="BC1068" s="648"/>
      <c r="BD1068" s="757"/>
    </row>
    <row r="1069" spans="1:56" s="64" customFormat="1" outlineLevel="1" x14ac:dyDescent="0.25">
      <c r="A1069" s="1393"/>
      <c r="B1069" s="277"/>
      <c r="C1069" s="385"/>
      <c r="D1069" s="3589"/>
      <c r="E1069" s="3721"/>
      <c r="F1069" s="3704" t="str">
        <f t="shared" si="102"/>
        <v>Ductless ASHP - ROF SF</v>
      </c>
      <c r="G1069" s="3705"/>
      <c r="H1069" s="3706"/>
      <c r="I1069" s="2767"/>
      <c r="J1069" s="851">
        <v>1</v>
      </c>
      <c r="K1069" s="852"/>
      <c r="L1069" s="3715"/>
      <c r="M1069" s="1775"/>
      <c r="N1069" s="1759"/>
      <c r="O1069" s="277"/>
      <c r="P1069" s="277"/>
      <c r="Q1069" s="277"/>
      <c r="R1069" s="277"/>
      <c r="S1069" s="277"/>
      <c r="T1069" s="157"/>
      <c r="U1069" s="157"/>
      <c r="V1069" s="3589"/>
      <c r="W1069" s="851">
        <v>1</v>
      </c>
      <c r="X1069" s="851">
        <v>1</v>
      </c>
      <c r="Y1069" s="851">
        <v>1</v>
      </c>
      <c r="Z1069" s="851">
        <v>1</v>
      </c>
      <c r="AA1069" s="851">
        <v>1</v>
      </c>
      <c r="AB1069" s="851">
        <v>1</v>
      </c>
      <c r="AC1069" s="851"/>
      <c r="AD1069" s="851"/>
      <c r="AE1069" s="851"/>
      <c r="AF1069" s="851"/>
      <c r="AG1069" s="853"/>
      <c r="BB1069" s="647"/>
      <c r="BC1069" s="648"/>
      <c r="BD1069" s="757"/>
    </row>
    <row r="1070" spans="1:56" s="64" customFormat="1" outlineLevel="1" x14ac:dyDescent="0.25">
      <c r="A1070" s="1393"/>
      <c r="B1070" s="277"/>
      <c r="C1070" s="385"/>
      <c r="D1070" s="3589"/>
      <c r="E1070" s="3721"/>
      <c r="F1070" s="3701" t="str">
        <f t="shared" si="102"/>
        <v>Ductless ASHP - ROF SF</v>
      </c>
      <c r="G1070" s="3702"/>
      <c r="H1070" s="3703"/>
      <c r="I1070" s="2767"/>
      <c r="J1070" s="851">
        <v>1</v>
      </c>
      <c r="K1070" s="852"/>
      <c r="L1070" s="3715"/>
      <c r="M1070" s="1775"/>
      <c r="N1070" s="1759"/>
      <c r="O1070" s="277"/>
      <c r="P1070" s="277"/>
      <c r="Q1070" s="277"/>
      <c r="R1070" s="277"/>
      <c r="S1070" s="277"/>
      <c r="T1070" s="157"/>
      <c r="U1070" s="157"/>
      <c r="V1070" s="3589"/>
      <c r="W1070" s="851">
        <v>1</v>
      </c>
      <c r="X1070" s="851">
        <v>1</v>
      </c>
      <c r="Y1070" s="851">
        <v>1</v>
      </c>
      <c r="Z1070" s="851">
        <v>1</v>
      </c>
      <c r="AA1070" s="851">
        <v>1</v>
      </c>
      <c r="AB1070" s="851">
        <v>1</v>
      </c>
      <c r="AC1070" s="851"/>
      <c r="AD1070" s="851"/>
      <c r="AE1070" s="851"/>
      <c r="AF1070" s="851"/>
      <c r="AG1070" s="853"/>
      <c r="BB1070" s="647"/>
      <c r="BC1070" s="648"/>
      <c r="BD1070" s="757"/>
    </row>
    <row r="1071" spans="1:56" s="64" customFormat="1" outlineLevel="1" x14ac:dyDescent="0.25">
      <c r="A1071" s="1393"/>
      <c r="B1071" s="277"/>
      <c r="C1071" s="385"/>
      <c r="D1071" s="3589"/>
      <c r="E1071" s="3721"/>
      <c r="F1071" s="3704" t="str">
        <f t="shared" si="102"/>
        <v>Ductless ASHP Replace Electric Resistance ER1 SF</v>
      </c>
      <c r="G1071" s="3705"/>
      <c r="H1071" s="3706"/>
      <c r="I1071" s="2767"/>
      <c r="J1071" s="851">
        <v>1</v>
      </c>
      <c r="K1071" s="852"/>
      <c r="L1071" s="3715"/>
      <c r="M1071" s="1775"/>
      <c r="N1071" s="1759"/>
      <c r="O1071" s="277"/>
      <c r="P1071" s="277"/>
      <c r="Q1071" s="277"/>
      <c r="R1071" s="277"/>
      <c r="S1071" s="277"/>
      <c r="T1071" s="157"/>
      <c r="U1071" s="157"/>
      <c r="V1071" s="3589"/>
      <c r="W1071" s="851">
        <v>1</v>
      </c>
      <c r="X1071" s="851">
        <v>1</v>
      </c>
      <c r="Y1071" s="851">
        <v>1</v>
      </c>
      <c r="Z1071" s="851">
        <v>1</v>
      </c>
      <c r="AA1071" s="851">
        <v>1</v>
      </c>
      <c r="AB1071" s="851">
        <v>1</v>
      </c>
      <c r="AC1071" s="851"/>
      <c r="AD1071" s="851"/>
      <c r="AE1071" s="851"/>
      <c r="AF1071" s="851"/>
      <c r="AG1071" s="853"/>
      <c r="BB1071" s="647"/>
      <c r="BC1071" s="648"/>
      <c r="BD1071" s="757"/>
    </row>
    <row r="1072" spans="1:56" s="64" customFormat="1" outlineLevel="1" x14ac:dyDescent="0.25">
      <c r="A1072" s="1393"/>
      <c r="B1072" s="277"/>
      <c r="C1072" s="385"/>
      <c r="D1072" s="3589"/>
      <c r="E1072" s="3721"/>
      <c r="F1072" s="3698" t="str">
        <f t="shared" si="102"/>
        <v>Ductless ASHP Replace Electric Resistance ER1 SF</v>
      </c>
      <c r="G1072" s="3699"/>
      <c r="H1072" s="3700"/>
      <c r="I1072" s="2767"/>
      <c r="J1072" s="851">
        <v>1</v>
      </c>
      <c r="K1072" s="852"/>
      <c r="L1072" s="3715"/>
      <c r="M1072" s="1775"/>
      <c r="N1072" s="1759"/>
      <c r="O1072" s="277"/>
      <c r="P1072" s="277"/>
      <c r="Q1072" s="277"/>
      <c r="R1072" s="277"/>
      <c r="S1072" s="277"/>
      <c r="T1072" s="157"/>
      <c r="U1072" s="157"/>
      <c r="V1072" s="3589"/>
      <c r="W1072" s="851">
        <v>1</v>
      </c>
      <c r="X1072" s="851">
        <v>1</v>
      </c>
      <c r="Y1072" s="851">
        <v>1</v>
      </c>
      <c r="Z1072" s="851">
        <v>1</v>
      </c>
      <c r="AA1072" s="851">
        <v>1</v>
      </c>
      <c r="AB1072" s="851">
        <v>1</v>
      </c>
      <c r="AC1072" s="851"/>
      <c r="AD1072" s="851"/>
      <c r="AE1072" s="851"/>
      <c r="AF1072" s="851"/>
      <c r="AG1072" s="853"/>
      <c r="BB1072" s="647"/>
      <c r="BC1072" s="648"/>
      <c r="BD1072" s="757"/>
    </row>
    <row r="1073" spans="1:56" s="64" customFormat="1" outlineLevel="1" x14ac:dyDescent="0.25">
      <c r="A1073" s="1393"/>
      <c r="B1073" s="277"/>
      <c r="C1073" s="385"/>
      <c r="D1073" s="3589"/>
      <c r="E1073" s="3721"/>
      <c r="F1073" s="3698" t="str">
        <f t="shared" si="102"/>
        <v>Ductless ASHP Replace Electric Resistance ER2 SF</v>
      </c>
      <c r="G1073" s="3699"/>
      <c r="H1073" s="3700"/>
      <c r="I1073" s="2767"/>
      <c r="J1073" s="851">
        <v>1</v>
      </c>
      <c r="K1073" s="852"/>
      <c r="L1073" s="3715"/>
      <c r="M1073" s="1775"/>
      <c r="N1073" s="1759"/>
      <c r="O1073" s="277"/>
      <c r="P1073" s="277"/>
      <c r="Q1073" s="277"/>
      <c r="R1073" s="277"/>
      <c r="S1073" s="277"/>
      <c r="T1073" s="157"/>
      <c r="U1073" s="157"/>
      <c r="V1073" s="3589"/>
      <c r="W1073" s="851">
        <v>1</v>
      </c>
      <c r="X1073" s="851">
        <v>1</v>
      </c>
      <c r="Y1073" s="851">
        <v>1</v>
      </c>
      <c r="Z1073" s="851">
        <v>1</v>
      </c>
      <c r="AA1073" s="851">
        <v>1</v>
      </c>
      <c r="AB1073" s="851">
        <v>1</v>
      </c>
      <c r="AC1073" s="851"/>
      <c r="AD1073" s="851"/>
      <c r="AE1073" s="851"/>
      <c r="AF1073" s="851"/>
      <c r="AG1073" s="853"/>
      <c r="BB1073" s="647"/>
      <c r="BC1073" s="648"/>
      <c r="BD1073" s="757"/>
    </row>
    <row r="1074" spans="1:56" s="64" customFormat="1" outlineLevel="1" x14ac:dyDescent="0.25">
      <c r="A1074" s="1393"/>
      <c r="B1074" s="277"/>
      <c r="C1074" s="385"/>
      <c r="D1074" s="3589"/>
      <c r="E1074" s="3721"/>
      <c r="F1074" s="3701" t="str">
        <f t="shared" si="102"/>
        <v>Ductless ASHP Replace Electric Resistance ER2 SF</v>
      </c>
      <c r="G1074" s="3702"/>
      <c r="H1074" s="3703"/>
      <c r="I1074" s="2767"/>
      <c r="J1074" s="851">
        <v>1</v>
      </c>
      <c r="K1074" s="852"/>
      <c r="L1074" s="3715"/>
      <c r="M1074" s="1775"/>
      <c r="N1074" s="1759"/>
      <c r="O1074" s="277"/>
      <c r="P1074" s="277"/>
      <c r="Q1074" s="277"/>
      <c r="R1074" s="277"/>
      <c r="S1074" s="277"/>
      <c r="T1074" s="157"/>
      <c r="U1074" s="157"/>
      <c r="V1074" s="3589"/>
      <c r="W1074" s="851">
        <v>1</v>
      </c>
      <c r="X1074" s="851">
        <v>1</v>
      </c>
      <c r="Y1074" s="851">
        <v>1</v>
      </c>
      <c r="Z1074" s="851">
        <v>1</v>
      </c>
      <c r="AA1074" s="851">
        <v>1</v>
      </c>
      <c r="AB1074" s="851">
        <v>1</v>
      </c>
      <c r="AC1074" s="851"/>
      <c r="AD1074" s="851"/>
      <c r="AE1074" s="851"/>
      <c r="AF1074" s="851"/>
      <c r="AG1074" s="853"/>
      <c r="BB1074" s="647"/>
      <c r="BC1074" s="648"/>
      <c r="BD1074" s="757"/>
    </row>
    <row r="1075" spans="1:56" s="64" customFormat="1" outlineLevel="1" x14ac:dyDescent="0.25">
      <c r="A1075" s="1393"/>
      <c r="B1075" s="277"/>
      <c r="C1075" s="385"/>
      <c r="D1075" s="3589"/>
      <c r="E1075" s="3721"/>
      <c r="F1075" s="3704" t="str">
        <f t="shared" si="102"/>
        <v>Ductless ASHP Replace Electric Resistance ROF SF</v>
      </c>
      <c r="G1075" s="3705"/>
      <c r="H1075" s="3706"/>
      <c r="I1075" s="2767"/>
      <c r="J1075" s="851">
        <v>1</v>
      </c>
      <c r="K1075" s="852"/>
      <c r="L1075" s="3715"/>
      <c r="M1075" s="1775"/>
      <c r="N1075" s="1759"/>
      <c r="O1075" s="277"/>
      <c r="P1075" s="277"/>
      <c r="Q1075" s="277"/>
      <c r="R1075" s="277"/>
      <c r="S1075" s="277"/>
      <c r="T1075" s="157"/>
      <c r="U1075" s="157"/>
      <c r="V1075" s="3589"/>
      <c r="W1075" s="851">
        <v>1</v>
      </c>
      <c r="X1075" s="851">
        <v>1</v>
      </c>
      <c r="Y1075" s="851">
        <v>1</v>
      </c>
      <c r="Z1075" s="851">
        <v>1</v>
      </c>
      <c r="AA1075" s="851">
        <v>1</v>
      </c>
      <c r="AB1075" s="851">
        <v>1</v>
      </c>
      <c r="AC1075" s="851"/>
      <c r="AD1075" s="851"/>
      <c r="AE1075" s="851"/>
      <c r="AF1075" s="851"/>
      <c r="AG1075" s="853"/>
      <c r="BB1075" s="647"/>
      <c r="BC1075" s="648"/>
      <c r="BD1075" s="757"/>
    </row>
    <row r="1076" spans="1:56" s="64" customFormat="1" outlineLevel="1" x14ac:dyDescent="0.25">
      <c r="A1076" s="1393"/>
      <c r="B1076" s="277"/>
      <c r="C1076" s="385"/>
      <c r="D1076" s="3589"/>
      <c r="E1076" s="3721"/>
      <c r="F1076" s="3701" t="str">
        <f t="shared" si="102"/>
        <v>Ductless ASHP Replace Electric Resistance ROF SF</v>
      </c>
      <c r="G1076" s="3702"/>
      <c r="H1076" s="3703"/>
      <c r="I1076" s="2767"/>
      <c r="J1076" s="851">
        <v>1</v>
      </c>
      <c r="K1076" s="852"/>
      <c r="L1076" s="3715"/>
      <c r="M1076" s="1775"/>
      <c r="N1076" s="1759"/>
      <c r="O1076" s="277"/>
      <c r="P1076" s="277"/>
      <c r="Q1076" s="277"/>
      <c r="R1076" s="277"/>
      <c r="S1076" s="277"/>
      <c r="T1076" s="157"/>
      <c r="U1076" s="157"/>
      <c r="V1076" s="3589"/>
      <c r="W1076" s="851">
        <v>1</v>
      </c>
      <c r="X1076" s="851">
        <v>1</v>
      </c>
      <c r="Y1076" s="851">
        <v>1</v>
      </c>
      <c r="Z1076" s="851">
        <v>1</v>
      </c>
      <c r="AA1076" s="851">
        <v>1</v>
      </c>
      <c r="AB1076" s="851">
        <v>1</v>
      </c>
      <c r="AC1076" s="851"/>
      <c r="AD1076" s="851"/>
      <c r="AE1076" s="851"/>
      <c r="AF1076" s="851"/>
      <c r="AG1076" s="853"/>
      <c r="BB1076" s="647"/>
      <c r="BC1076" s="648"/>
      <c r="BD1076" s="757"/>
    </row>
    <row r="1077" spans="1:56" s="64" customFormat="1" outlineLevel="1" x14ac:dyDescent="0.25">
      <c r="A1077" s="1393"/>
      <c r="B1077" s="277"/>
      <c r="C1077" s="385"/>
      <c r="D1077" s="3589"/>
      <c r="E1077" s="3721"/>
      <c r="F1077" s="3704" t="str">
        <f t="shared" si="102"/>
        <v>Ductless ASHP ER1 SF</v>
      </c>
      <c r="G1077" s="3705"/>
      <c r="H1077" s="3706"/>
      <c r="I1077" s="2767"/>
      <c r="J1077" s="851">
        <v>1</v>
      </c>
      <c r="K1077" s="852"/>
      <c r="L1077" s="3715"/>
      <c r="M1077" s="1775"/>
      <c r="N1077" s="1759"/>
      <c r="O1077" s="277"/>
      <c r="P1077" s="277"/>
      <c r="Q1077" s="277"/>
      <c r="R1077" s="277"/>
      <c r="S1077" s="277"/>
      <c r="T1077" s="157"/>
      <c r="U1077" s="157"/>
      <c r="V1077" s="3589"/>
      <c r="W1077" s="851">
        <v>1</v>
      </c>
      <c r="X1077" s="851">
        <v>1</v>
      </c>
      <c r="Y1077" s="851">
        <v>1</v>
      </c>
      <c r="Z1077" s="851">
        <v>1</v>
      </c>
      <c r="AA1077" s="851">
        <v>1</v>
      </c>
      <c r="AB1077" s="851">
        <v>1</v>
      </c>
      <c r="AC1077" s="851"/>
      <c r="AD1077" s="851"/>
      <c r="AE1077" s="851"/>
      <c r="AF1077" s="851"/>
      <c r="AG1077" s="853"/>
      <c r="BB1077" s="647"/>
      <c r="BC1077" s="648"/>
      <c r="BD1077" s="757"/>
    </row>
    <row r="1078" spans="1:56" s="64" customFormat="1" outlineLevel="1" x14ac:dyDescent="0.25">
      <c r="A1078" s="1393"/>
      <c r="B1078" s="277"/>
      <c r="C1078" s="385"/>
      <c r="D1078" s="3589"/>
      <c r="E1078" s="3721"/>
      <c r="F1078" s="3698" t="str">
        <f t="shared" si="102"/>
        <v>Ductless ASHP ER1 SF</v>
      </c>
      <c r="G1078" s="3699"/>
      <c r="H1078" s="3700"/>
      <c r="I1078" s="2767"/>
      <c r="J1078" s="851">
        <v>1</v>
      </c>
      <c r="K1078" s="852"/>
      <c r="L1078" s="3715"/>
      <c r="M1078" s="1775"/>
      <c r="N1078" s="1759"/>
      <c r="O1078" s="277"/>
      <c r="P1078" s="277"/>
      <c r="Q1078" s="277"/>
      <c r="R1078" s="277"/>
      <c r="S1078" s="277"/>
      <c r="T1078" s="157"/>
      <c r="U1078" s="157"/>
      <c r="V1078" s="3589"/>
      <c r="W1078" s="851">
        <v>1</v>
      </c>
      <c r="X1078" s="851">
        <v>1</v>
      </c>
      <c r="Y1078" s="851">
        <v>1</v>
      </c>
      <c r="Z1078" s="851">
        <v>1</v>
      </c>
      <c r="AA1078" s="851">
        <v>1</v>
      </c>
      <c r="AB1078" s="851">
        <v>1</v>
      </c>
      <c r="AC1078" s="851"/>
      <c r="AD1078" s="851"/>
      <c r="AE1078" s="851"/>
      <c r="AF1078" s="851"/>
      <c r="AG1078" s="853"/>
      <c r="BB1078" s="647"/>
      <c r="BC1078" s="648"/>
      <c r="BD1078" s="757"/>
    </row>
    <row r="1079" spans="1:56" s="64" customFormat="1" outlineLevel="1" x14ac:dyDescent="0.25">
      <c r="A1079" s="1393"/>
      <c r="B1079" s="277"/>
      <c r="C1079" s="385"/>
      <c r="D1079" s="3589"/>
      <c r="E1079" s="3721"/>
      <c r="F1079" s="3698" t="str">
        <f t="shared" si="102"/>
        <v>Ductless ASHP ER2 SF</v>
      </c>
      <c r="G1079" s="3699"/>
      <c r="H1079" s="3700"/>
      <c r="I1079" s="2767"/>
      <c r="J1079" s="851">
        <v>1</v>
      </c>
      <c r="K1079" s="852"/>
      <c r="L1079" s="3715"/>
      <c r="M1079" s="1775"/>
      <c r="N1079" s="1759"/>
      <c r="O1079" s="277"/>
      <c r="P1079" s="277"/>
      <c r="Q1079" s="277"/>
      <c r="R1079" s="277"/>
      <c r="S1079" s="277"/>
      <c r="T1079" s="157"/>
      <c r="U1079" s="157"/>
      <c r="V1079" s="3589"/>
      <c r="W1079" s="851">
        <v>1</v>
      </c>
      <c r="X1079" s="851">
        <v>1</v>
      </c>
      <c r="Y1079" s="851">
        <v>1</v>
      </c>
      <c r="Z1079" s="851">
        <v>1</v>
      </c>
      <c r="AA1079" s="851">
        <v>1</v>
      </c>
      <c r="AB1079" s="851">
        <v>1</v>
      </c>
      <c r="AC1079" s="851"/>
      <c r="AD1079" s="851"/>
      <c r="AE1079" s="851"/>
      <c r="AF1079" s="851"/>
      <c r="AG1079" s="853"/>
      <c r="BB1079" s="647"/>
      <c r="BC1079" s="648"/>
      <c r="BD1079" s="757"/>
    </row>
    <row r="1080" spans="1:56" s="64" customFormat="1" outlineLevel="1" x14ac:dyDescent="0.25">
      <c r="A1080" s="1393"/>
      <c r="B1080" s="277"/>
      <c r="C1080" s="385"/>
      <c r="D1080" s="3589"/>
      <c r="E1080" s="3721"/>
      <c r="F1080" s="3701" t="str">
        <f t="shared" si="102"/>
        <v>Ductless ASHP ER2 SF</v>
      </c>
      <c r="G1080" s="3702"/>
      <c r="H1080" s="3703"/>
      <c r="I1080" s="2767"/>
      <c r="J1080" s="851">
        <v>1</v>
      </c>
      <c r="K1080" s="852"/>
      <c r="L1080" s="3716"/>
      <c r="M1080" s="1775"/>
      <c r="N1080" s="1759"/>
      <c r="O1080" s="277"/>
      <c r="P1080" s="277"/>
      <c r="Q1080" s="277"/>
      <c r="R1080" s="277"/>
      <c r="S1080" s="277"/>
      <c r="T1080" s="157"/>
      <c r="U1080" s="157"/>
      <c r="V1080" s="3589"/>
      <c r="W1080" s="851">
        <v>1</v>
      </c>
      <c r="X1080" s="851">
        <v>1</v>
      </c>
      <c r="Y1080" s="851">
        <v>1</v>
      </c>
      <c r="Z1080" s="851">
        <v>1</v>
      </c>
      <c r="AA1080" s="851">
        <v>1</v>
      </c>
      <c r="AB1080" s="851">
        <v>1</v>
      </c>
      <c r="AC1080" s="851"/>
      <c r="AD1080" s="851"/>
      <c r="AE1080" s="851"/>
      <c r="AF1080" s="851"/>
      <c r="AG1080" s="853"/>
      <c r="BB1080" s="647"/>
      <c r="BC1080" s="648"/>
      <c r="BD1080" s="757"/>
    </row>
    <row r="1081" spans="1:56" s="64" customFormat="1" outlineLevel="1" x14ac:dyDescent="0.25">
      <c r="A1081" s="1393"/>
      <c r="B1081" s="277"/>
      <c r="C1081" s="385"/>
      <c r="D1081" s="3589"/>
      <c r="E1081" s="3721"/>
      <c r="F1081" s="3704" t="str">
        <f t="shared" si="102"/>
        <v>Ductless AC - ER1 MF</v>
      </c>
      <c r="G1081" s="3705"/>
      <c r="H1081" s="3706"/>
      <c r="I1081" s="2767"/>
      <c r="J1081" s="851">
        <v>1</v>
      </c>
      <c r="K1081" s="852"/>
      <c r="L1081" s="3680" t="s">
        <v>1269</v>
      </c>
      <c r="M1081" s="1775"/>
      <c r="N1081" s="1759"/>
      <c r="O1081" s="277"/>
      <c r="P1081" s="277"/>
      <c r="Q1081" s="277"/>
      <c r="R1081" s="277"/>
      <c r="S1081" s="277"/>
      <c r="T1081" s="157"/>
      <c r="U1081" s="157"/>
      <c r="V1081" s="3589"/>
      <c r="W1081" s="851">
        <v>0.65</v>
      </c>
      <c r="X1081" s="851">
        <v>0.65</v>
      </c>
      <c r="Y1081" s="854">
        <v>1</v>
      </c>
      <c r="Z1081" s="851">
        <v>1</v>
      </c>
      <c r="AA1081" s="851">
        <v>1</v>
      </c>
      <c r="AB1081" s="851">
        <v>1</v>
      </c>
      <c r="AC1081" s="851"/>
      <c r="AD1081" s="851"/>
      <c r="AE1081" s="851"/>
      <c r="AF1081" s="851"/>
      <c r="AG1081" s="853"/>
      <c r="BB1081" s="647"/>
      <c r="BC1081" s="648"/>
      <c r="BD1081" s="757"/>
    </row>
    <row r="1082" spans="1:56" s="64" customFormat="1" outlineLevel="1" x14ac:dyDescent="0.25">
      <c r="A1082" s="1393"/>
      <c r="B1082" s="277"/>
      <c r="C1082" s="385"/>
      <c r="D1082" s="3589"/>
      <c r="E1082" s="3721"/>
      <c r="F1082" s="3701" t="str">
        <f t="shared" si="102"/>
        <v>Ductless AC - ER2 MF</v>
      </c>
      <c r="G1082" s="3702"/>
      <c r="H1082" s="3703"/>
      <c r="I1082" s="2767"/>
      <c r="J1082" s="851">
        <f>J1081</f>
        <v>1</v>
      </c>
      <c r="K1082" s="852"/>
      <c r="L1082" s="3681"/>
      <c r="M1082" s="1775"/>
      <c r="N1082" s="1759"/>
      <c r="O1082" s="277"/>
      <c r="P1082" s="277"/>
      <c r="Q1082" s="277"/>
      <c r="R1082" s="277"/>
      <c r="S1082" s="277"/>
      <c r="T1082" s="157"/>
      <c r="U1082" s="157"/>
      <c r="V1082" s="3589"/>
      <c r="W1082" s="851">
        <v>0.65</v>
      </c>
      <c r="X1082" s="851">
        <v>0.65</v>
      </c>
      <c r="Y1082" s="854">
        <f>Y1081</f>
        <v>1</v>
      </c>
      <c r="Z1082" s="851">
        <v>1</v>
      </c>
      <c r="AA1082" s="851">
        <v>1</v>
      </c>
      <c r="AB1082" s="851">
        <v>1</v>
      </c>
      <c r="AC1082" s="851"/>
      <c r="AD1082" s="851"/>
      <c r="AE1082" s="851"/>
      <c r="AF1082" s="851"/>
      <c r="AG1082" s="853"/>
      <c r="BB1082" s="647"/>
      <c r="BC1082" s="648"/>
      <c r="BD1082" s="757"/>
    </row>
    <row r="1083" spans="1:56" s="64" customFormat="1" outlineLevel="1" x14ac:dyDescent="0.25">
      <c r="A1083" s="1393"/>
      <c r="B1083" s="277"/>
      <c r="C1083" s="385"/>
      <c r="D1083" s="3589"/>
      <c r="E1083" s="3721"/>
      <c r="F1083" s="3708" t="str">
        <f>E805</f>
        <v>Ductless AC - ROF MF</v>
      </c>
      <c r="G1083" s="3709"/>
      <c r="H1083" s="3710"/>
      <c r="I1083" s="2767"/>
      <c r="J1083" s="851">
        <f t="shared" ref="J1083:J1114" si="103">J1082</f>
        <v>1</v>
      </c>
      <c r="K1083" s="852"/>
      <c r="L1083" s="3681"/>
      <c r="M1083" s="1775"/>
      <c r="N1083" s="1759"/>
      <c r="O1083" s="277"/>
      <c r="P1083" s="277"/>
      <c r="Q1083" s="277"/>
      <c r="R1083" s="277"/>
      <c r="S1083" s="277"/>
      <c r="T1083" s="157"/>
      <c r="U1083" s="157"/>
      <c r="V1083" s="3589"/>
      <c r="W1083" s="851">
        <v>0.65</v>
      </c>
      <c r="X1083" s="851">
        <v>0.65</v>
      </c>
      <c r="Y1083" s="854">
        <f t="shared" ref="Y1083:Y1114" si="104">Y1082</f>
        <v>1</v>
      </c>
      <c r="Z1083" s="851">
        <v>1</v>
      </c>
      <c r="AA1083" s="851">
        <v>1</v>
      </c>
      <c r="AB1083" s="851">
        <v>1</v>
      </c>
      <c r="AC1083" s="851"/>
      <c r="AD1083" s="851"/>
      <c r="AE1083" s="851"/>
      <c r="AF1083" s="851"/>
      <c r="AG1083" s="853"/>
      <c r="BB1083" s="647"/>
      <c r="BC1083" s="648"/>
      <c r="BD1083" s="757"/>
    </row>
    <row r="1084" spans="1:56" s="64" customFormat="1" outlineLevel="1" x14ac:dyDescent="0.25">
      <c r="A1084" s="1393"/>
      <c r="B1084" s="277"/>
      <c r="C1084" s="385"/>
      <c r="D1084" s="3589"/>
      <c r="E1084" s="3721"/>
      <c r="F1084" s="3704" t="str">
        <f>E807</f>
        <v>Ductless ASHP - ROF MF NC</v>
      </c>
      <c r="G1084" s="3705"/>
      <c r="H1084" s="3706"/>
      <c r="I1084" s="2767"/>
      <c r="J1084" s="851">
        <f t="shared" si="103"/>
        <v>1</v>
      </c>
      <c r="K1084" s="852"/>
      <c r="L1084" s="3681"/>
      <c r="M1084" s="1775"/>
      <c r="N1084" s="1759"/>
      <c r="O1084" s="277"/>
      <c r="P1084" s="277"/>
      <c r="Q1084" s="277"/>
      <c r="R1084" s="277"/>
      <c r="S1084" s="277"/>
      <c r="T1084" s="157"/>
      <c r="U1084" s="157"/>
      <c r="V1084" s="3589"/>
      <c r="W1084" s="851">
        <v>0.65</v>
      </c>
      <c r="X1084" s="851">
        <v>0.65</v>
      </c>
      <c r="Y1084" s="854">
        <f t="shared" si="104"/>
        <v>1</v>
      </c>
      <c r="Z1084" s="851">
        <v>1</v>
      </c>
      <c r="AA1084" s="851">
        <v>1</v>
      </c>
      <c r="AB1084" s="851">
        <v>1</v>
      </c>
      <c r="AC1084" s="851"/>
      <c r="AD1084" s="851"/>
      <c r="AE1084" s="851"/>
      <c r="AF1084" s="851"/>
      <c r="AG1084" s="853"/>
      <c r="BB1084" s="647"/>
      <c r="BC1084" s="648"/>
      <c r="BD1084" s="757"/>
    </row>
    <row r="1085" spans="1:56" s="64" customFormat="1" outlineLevel="1" x14ac:dyDescent="0.25">
      <c r="A1085" s="1393"/>
      <c r="B1085" s="277"/>
      <c r="C1085" s="385"/>
      <c r="D1085" s="3589"/>
      <c r="E1085" s="3721"/>
      <c r="F1085" s="3701" t="str">
        <f>E808</f>
        <v>Ductless ASHP - ROF MF NC</v>
      </c>
      <c r="G1085" s="3702"/>
      <c r="H1085" s="3703"/>
      <c r="I1085" s="2767"/>
      <c r="J1085" s="851">
        <f t="shared" si="103"/>
        <v>1</v>
      </c>
      <c r="K1085" s="852"/>
      <c r="L1085" s="3681"/>
      <c r="M1085" s="1775"/>
      <c r="N1085" s="1759"/>
      <c r="O1085" s="277"/>
      <c r="P1085" s="277"/>
      <c r="Q1085" s="277"/>
      <c r="R1085" s="277"/>
      <c r="S1085" s="277"/>
      <c r="T1085" s="157"/>
      <c r="U1085" s="157"/>
      <c r="V1085" s="3589"/>
      <c r="W1085" s="851">
        <v>0.65</v>
      </c>
      <c r="X1085" s="851">
        <v>0.65</v>
      </c>
      <c r="Y1085" s="854">
        <f t="shared" si="104"/>
        <v>1</v>
      </c>
      <c r="Z1085" s="851">
        <v>1</v>
      </c>
      <c r="AA1085" s="851">
        <v>1</v>
      </c>
      <c r="AB1085" s="851">
        <v>1</v>
      </c>
      <c r="AC1085" s="851"/>
      <c r="AD1085" s="851"/>
      <c r="AE1085" s="851"/>
      <c r="AF1085" s="851"/>
      <c r="AG1085" s="853"/>
      <c r="BB1085" s="647"/>
      <c r="BC1085" s="648"/>
      <c r="BD1085" s="757"/>
    </row>
    <row r="1086" spans="1:56" s="64" customFormat="1" outlineLevel="1" x14ac:dyDescent="0.25">
      <c r="A1086" s="1393"/>
      <c r="B1086" s="277"/>
      <c r="C1086" s="385"/>
      <c r="D1086" s="3589"/>
      <c r="E1086" s="3721"/>
      <c r="F1086" s="3704" t="str">
        <f>E811</f>
        <v>Ductless ASHP - ROF MF</v>
      </c>
      <c r="G1086" s="3705"/>
      <c r="H1086" s="3706"/>
      <c r="I1086" s="2767"/>
      <c r="J1086" s="851">
        <f t="shared" si="103"/>
        <v>1</v>
      </c>
      <c r="K1086" s="852"/>
      <c r="L1086" s="3681"/>
      <c r="M1086" s="1775"/>
      <c r="N1086" s="1759"/>
      <c r="O1086" s="277"/>
      <c r="P1086" s="277"/>
      <c r="Q1086" s="277"/>
      <c r="R1086" s="277"/>
      <c r="S1086" s="277"/>
      <c r="T1086" s="157"/>
      <c r="U1086" s="157"/>
      <c r="V1086" s="3589"/>
      <c r="W1086" s="851">
        <v>0.65</v>
      </c>
      <c r="X1086" s="851">
        <v>0.65</v>
      </c>
      <c r="Y1086" s="854">
        <f t="shared" si="104"/>
        <v>1</v>
      </c>
      <c r="Z1086" s="851">
        <v>1</v>
      </c>
      <c r="AA1086" s="851">
        <v>1</v>
      </c>
      <c r="AB1086" s="851">
        <v>1</v>
      </c>
      <c r="AC1086" s="851"/>
      <c r="AD1086" s="851"/>
      <c r="AE1086" s="851"/>
      <c r="AF1086" s="851"/>
      <c r="AG1086" s="853"/>
      <c r="BB1086" s="647"/>
      <c r="BC1086" s="648"/>
      <c r="BD1086" s="757"/>
    </row>
    <row r="1087" spans="1:56" s="64" customFormat="1" outlineLevel="1" x14ac:dyDescent="0.25">
      <c r="A1087" s="1393"/>
      <c r="B1087" s="277"/>
      <c r="C1087" s="385"/>
      <c r="D1087" s="3589"/>
      <c r="E1087" s="3721"/>
      <c r="F1087" s="3701" t="str">
        <f>E812</f>
        <v>Ductless ASHP - ROF MF</v>
      </c>
      <c r="G1087" s="3702"/>
      <c r="H1087" s="3703"/>
      <c r="I1087" s="2767"/>
      <c r="J1087" s="851">
        <f t="shared" si="103"/>
        <v>1</v>
      </c>
      <c r="K1087" s="852"/>
      <c r="L1087" s="3681"/>
      <c r="M1087" s="1775"/>
      <c r="N1087" s="1759"/>
      <c r="O1087" s="277"/>
      <c r="P1087" s="277"/>
      <c r="Q1087" s="277"/>
      <c r="R1087" s="277"/>
      <c r="S1087" s="277"/>
      <c r="T1087" s="157"/>
      <c r="U1087" s="157"/>
      <c r="V1087" s="3589"/>
      <c r="W1087" s="851">
        <v>0.65</v>
      </c>
      <c r="X1087" s="851">
        <v>0.65</v>
      </c>
      <c r="Y1087" s="854">
        <f t="shared" si="104"/>
        <v>1</v>
      </c>
      <c r="Z1087" s="851">
        <v>1</v>
      </c>
      <c r="AA1087" s="851">
        <v>1</v>
      </c>
      <c r="AB1087" s="851">
        <v>1</v>
      </c>
      <c r="AC1087" s="851"/>
      <c r="AD1087" s="851"/>
      <c r="AE1087" s="851"/>
      <c r="AF1087" s="851"/>
      <c r="AG1087" s="853"/>
      <c r="BB1087" s="647"/>
      <c r="BC1087" s="648"/>
      <c r="BD1087" s="757"/>
    </row>
    <row r="1088" spans="1:56" s="64" customFormat="1" outlineLevel="1" x14ac:dyDescent="0.25">
      <c r="A1088" s="1393"/>
      <c r="B1088" s="277"/>
      <c r="C1088" s="385"/>
      <c r="D1088" s="3589"/>
      <c r="E1088" s="3721"/>
      <c r="F1088" s="3704" t="str">
        <f>E815</f>
        <v>Ductless ASHP Replace Electric Resistance ER1 MF</v>
      </c>
      <c r="G1088" s="3705"/>
      <c r="H1088" s="3706"/>
      <c r="I1088" s="2767"/>
      <c r="J1088" s="851">
        <f t="shared" si="103"/>
        <v>1</v>
      </c>
      <c r="K1088" s="852"/>
      <c r="L1088" s="3681"/>
      <c r="M1088" s="1775"/>
      <c r="N1088" s="1759"/>
      <c r="O1088" s="277"/>
      <c r="P1088" s="277"/>
      <c r="Q1088" s="277"/>
      <c r="R1088" s="277"/>
      <c r="S1088" s="277"/>
      <c r="T1088" s="157"/>
      <c r="U1088" s="157"/>
      <c r="V1088" s="3589"/>
      <c r="W1088" s="851">
        <v>0.65</v>
      </c>
      <c r="X1088" s="851">
        <v>0.65</v>
      </c>
      <c r="Y1088" s="854">
        <f t="shared" si="104"/>
        <v>1</v>
      </c>
      <c r="Z1088" s="851">
        <v>1</v>
      </c>
      <c r="AA1088" s="851">
        <v>1</v>
      </c>
      <c r="AB1088" s="851">
        <v>1</v>
      </c>
      <c r="AC1088" s="851"/>
      <c r="AD1088" s="851"/>
      <c r="AE1088" s="851"/>
      <c r="AF1088" s="851"/>
      <c r="AG1088" s="853"/>
      <c r="BB1088" s="647"/>
      <c r="BC1088" s="648"/>
      <c r="BD1088" s="757"/>
    </row>
    <row r="1089" spans="1:56" s="64" customFormat="1" outlineLevel="1" x14ac:dyDescent="0.25">
      <c r="A1089" s="1393"/>
      <c r="B1089" s="277"/>
      <c r="C1089" s="385"/>
      <c r="D1089" s="3589"/>
      <c r="E1089" s="3721"/>
      <c r="F1089" s="3698" t="str">
        <f>E816</f>
        <v>Ductless ASHP Replace Electric Resistance ER1 MF</v>
      </c>
      <c r="G1089" s="3699"/>
      <c r="H1089" s="3700"/>
      <c r="I1089" s="2767"/>
      <c r="J1089" s="851">
        <f t="shared" si="103"/>
        <v>1</v>
      </c>
      <c r="K1089" s="852"/>
      <c r="L1089" s="3681"/>
      <c r="M1089" s="1775"/>
      <c r="N1089" s="1759"/>
      <c r="O1089" s="277"/>
      <c r="P1089" s="277"/>
      <c r="Q1089" s="277"/>
      <c r="R1089" s="277"/>
      <c r="S1089" s="277"/>
      <c r="T1089" s="157"/>
      <c r="U1089" s="157"/>
      <c r="V1089" s="3589"/>
      <c r="W1089" s="851">
        <v>0.65</v>
      </c>
      <c r="X1089" s="851">
        <v>0.65</v>
      </c>
      <c r="Y1089" s="854">
        <f t="shared" si="104"/>
        <v>1</v>
      </c>
      <c r="Z1089" s="851">
        <v>1</v>
      </c>
      <c r="AA1089" s="851">
        <v>1</v>
      </c>
      <c r="AB1089" s="851">
        <v>1</v>
      </c>
      <c r="AC1089" s="851"/>
      <c r="AD1089" s="851"/>
      <c r="AE1089" s="851"/>
      <c r="AF1089" s="851"/>
      <c r="AG1089" s="853"/>
      <c r="BB1089" s="647"/>
      <c r="BC1089" s="648"/>
      <c r="BD1089" s="757"/>
    </row>
    <row r="1090" spans="1:56" s="64" customFormat="1" outlineLevel="1" x14ac:dyDescent="0.25">
      <c r="A1090" s="1393"/>
      <c r="B1090" s="277"/>
      <c r="C1090" s="385"/>
      <c r="D1090" s="3589"/>
      <c r="E1090" s="3721"/>
      <c r="F1090" s="3698" t="str">
        <f>E817</f>
        <v>Ductless ASHP Replace Electric Resistance ER2 MF</v>
      </c>
      <c r="G1090" s="3699"/>
      <c r="H1090" s="3700"/>
      <c r="I1090" s="2767"/>
      <c r="J1090" s="851">
        <f t="shared" si="103"/>
        <v>1</v>
      </c>
      <c r="K1090" s="852"/>
      <c r="L1090" s="3681"/>
      <c r="M1090" s="1775"/>
      <c r="N1090" s="1759"/>
      <c r="O1090" s="277"/>
      <c r="P1090" s="277"/>
      <c r="Q1090" s="277"/>
      <c r="R1090" s="277"/>
      <c r="S1090" s="277"/>
      <c r="T1090" s="157"/>
      <c r="U1090" s="157"/>
      <c r="V1090" s="3589"/>
      <c r="W1090" s="851">
        <v>0.65</v>
      </c>
      <c r="X1090" s="851">
        <v>0.65</v>
      </c>
      <c r="Y1090" s="854">
        <f t="shared" si="104"/>
        <v>1</v>
      </c>
      <c r="Z1090" s="851">
        <v>1</v>
      </c>
      <c r="AA1090" s="851">
        <v>1</v>
      </c>
      <c r="AB1090" s="851">
        <v>1</v>
      </c>
      <c r="AC1090" s="851"/>
      <c r="AD1090" s="851"/>
      <c r="AE1090" s="851"/>
      <c r="AF1090" s="851"/>
      <c r="AG1090" s="853"/>
      <c r="BB1090" s="647"/>
      <c r="BC1090" s="648"/>
      <c r="BD1090" s="757"/>
    </row>
    <row r="1091" spans="1:56" s="64" customFormat="1" outlineLevel="1" x14ac:dyDescent="0.25">
      <c r="A1091" s="1393"/>
      <c r="B1091" s="277"/>
      <c r="C1091" s="385"/>
      <c r="D1091" s="3589"/>
      <c r="E1091" s="3721"/>
      <c r="F1091" s="3701" t="str">
        <f>E818</f>
        <v>Ductless ASHP Replace Electric Resistance ER2 MF</v>
      </c>
      <c r="G1091" s="3702"/>
      <c r="H1091" s="3703"/>
      <c r="I1091" s="2767"/>
      <c r="J1091" s="851">
        <f t="shared" si="103"/>
        <v>1</v>
      </c>
      <c r="K1091" s="852"/>
      <c r="L1091" s="3681"/>
      <c r="M1091" s="1775"/>
      <c r="N1091" s="1759"/>
      <c r="O1091" s="277"/>
      <c r="P1091" s="277"/>
      <c r="Q1091" s="277"/>
      <c r="R1091" s="277"/>
      <c r="S1091" s="277"/>
      <c r="T1091" s="157"/>
      <c r="U1091" s="157"/>
      <c r="V1091" s="3589"/>
      <c r="W1091" s="851">
        <v>0.65</v>
      </c>
      <c r="X1091" s="851">
        <v>0.65</v>
      </c>
      <c r="Y1091" s="854">
        <f t="shared" si="104"/>
        <v>1</v>
      </c>
      <c r="Z1091" s="851">
        <v>1</v>
      </c>
      <c r="AA1091" s="851">
        <v>1</v>
      </c>
      <c r="AB1091" s="851">
        <v>1</v>
      </c>
      <c r="AC1091" s="851"/>
      <c r="AD1091" s="851"/>
      <c r="AE1091" s="851"/>
      <c r="AF1091" s="851"/>
      <c r="AG1091" s="853"/>
      <c r="BB1091" s="647"/>
      <c r="BC1091" s="648"/>
      <c r="BD1091" s="757"/>
    </row>
    <row r="1092" spans="1:56" s="64" customFormat="1" outlineLevel="1" x14ac:dyDescent="0.25">
      <c r="A1092" s="1393"/>
      <c r="B1092" s="277"/>
      <c r="C1092" s="385"/>
      <c r="D1092" s="3589"/>
      <c r="E1092" s="3721"/>
      <c r="F1092" s="3704" t="str">
        <f>E823</f>
        <v>Ductless ASHP Replace Electric Resistance ROF MF</v>
      </c>
      <c r="G1092" s="3705"/>
      <c r="H1092" s="3706"/>
      <c r="I1092" s="2767"/>
      <c r="J1092" s="851">
        <f t="shared" si="103"/>
        <v>1</v>
      </c>
      <c r="K1092" s="852"/>
      <c r="L1092" s="3681"/>
      <c r="M1092" s="1775"/>
      <c r="N1092" s="1759"/>
      <c r="O1092" s="277"/>
      <c r="P1092" s="277"/>
      <c r="Q1092" s="277"/>
      <c r="R1092" s="277"/>
      <c r="S1092" s="277"/>
      <c r="T1092" s="157"/>
      <c r="U1092" s="157"/>
      <c r="V1092" s="3589"/>
      <c r="W1092" s="851">
        <v>0.65</v>
      </c>
      <c r="X1092" s="851">
        <v>0.65</v>
      </c>
      <c r="Y1092" s="854">
        <f t="shared" si="104"/>
        <v>1</v>
      </c>
      <c r="Z1092" s="851">
        <v>1</v>
      </c>
      <c r="AA1092" s="851">
        <v>1</v>
      </c>
      <c r="AB1092" s="851">
        <v>1</v>
      </c>
      <c r="AC1092" s="851"/>
      <c r="AD1092" s="851"/>
      <c r="AE1092" s="851"/>
      <c r="AF1092" s="851"/>
      <c r="AG1092" s="853"/>
      <c r="BB1092" s="647"/>
      <c r="BC1092" s="648"/>
      <c r="BD1092" s="757"/>
    </row>
    <row r="1093" spans="1:56" s="64" customFormat="1" outlineLevel="1" x14ac:dyDescent="0.25">
      <c r="A1093" s="1393"/>
      <c r="B1093" s="277"/>
      <c r="C1093" s="385"/>
      <c r="D1093" s="3589"/>
      <c r="E1093" s="3721"/>
      <c r="F1093" s="3701" t="str">
        <f>E824</f>
        <v>Ductless ASHP Replace Electric Resistance ROF MF</v>
      </c>
      <c r="G1093" s="3702"/>
      <c r="H1093" s="3703"/>
      <c r="I1093" s="2767"/>
      <c r="J1093" s="851">
        <f t="shared" si="103"/>
        <v>1</v>
      </c>
      <c r="K1093" s="852"/>
      <c r="L1093" s="3681"/>
      <c r="M1093" s="1775"/>
      <c r="N1093" s="1759"/>
      <c r="O1093" s="277"/>
      <c r="P1093" s="277"/>
      <c r="Q1093" s="277"/>
      <c r="R1093" s="277"/>
      <c r="S1093" s="277"/>
      <c r="T1093" s="157"/>
      <c r="U1093" s="157"/>
      <c r="V1093" s="3589"/>
      <c r="W1093" s="851">
        <v>0.65</v>
      </c>
      <c r="X1093" s="851">
        <v>0.65</v>
      </c>
      <c r="Y1093" s="854">
        <f t="shared" si="104"/>
        <v>1</v>
      </c>
      <c r="Z1093" s="851">
        <v>1</v>
      </c>
      <c r="AA1093" s="851">
        <v>1</v>
      </c>
      <c r="AB1093" s="851">
        <v>1</v>
      </c>
      <c r="AC1093" s="851"/>
      <c r="AD1093" s="851"/>
      <c r="AE1093" s="851"/>
      <c r="AF1093" s="851"/>
      <c r="AG1093" s="853"/>
      <c r="BB1093" s="647"/>
      <c r="BC1093" s="648"/>
      <c r="BD1093" s="757"/>
    </row>
    <row r="1094" spans="1:56" s="64" customFormat="1" outlineLevel="1" x14ac:dyDescent="0.25">
      <c r="A1094" s="1393"/>
      <c r="B1094" s="277"/>
      <c r="C1094" s="385"/>
      <c r="D1094" s="3589"/>
      <c r="E1094" s="3721"/>
      <c r="F1094" s="3704" t="str">
        <f>E827</f>
        <v>Ductless ASHP ER1 MF</v>
      </c>
      <c r="G1094" s="3705"/>
      <c r="H1094" s="3706"/>
      <c r="I1094" s="2767"/>
      <c r="J1094" s="851">
        <f t="shared" si="103"/>
        <v>1</v>
      </c>
      <c r="K1094" s="852"/>
      <c r="L1094" s="3681"/>
      <c r="M1094" s="1775"/>
      <c r="N1094" s="1759"/>
      <c r="O1094" s="277"/>
      <c r="P1094" s="277"/>
      <c r="Q1094" s="277"/>
      <c r="R1094" s="277"/>
      <c r="S1094" s="277"/>
      <c r="T1094" s="157"/>
      <c r="U1094" s="157"/>
      <c r="V1094" s="3589"/>
      <c r="W1094" s="851">
        <v>0.65</v>
      </c>
      <c r="X1094" s="851">
        <v>0.65</v>
      </c>
      <c r="Y1094" s="854">
        <f t="shared" si="104"/>
        <v>1</v>
      </c>
      <c r="Z1094" s="851">
        <v>1</v>
      </c>
      <c r="AA1094" s="851">
        <v>1</v>
      </c>
      <c r="AB1094" s="851">
        <v>1</v>
      </c>
      <c r="AC1094" s="851"/>
      <c r="AD1094" s="851"/>
      <c r="AE1094" s="851"/>
      <c r="AF1094" s="851"/>
      <c r="AG1094" s="853"/>
      <c r="BB1094" s="647"/>
      <c r="BC1094" s="648"/>
      <c r="BD1094" s="757"/>
    </row>
    <row r="1095" spans="1:56" s="64" customFormat="1" outlineLevel="1" x14ac:dyDescent="0.25">
      <c r="A1095" s="1393"/>
      <c r="B1095" s="277"/>
      <c r="C1095" s="385"/>
      <c r="D1095" s="3589"/>
      <c r="E1095" s="3721"/>
      <c r="F1095" s="3698" t="str">
        <f>E828</f>
        <v>Ductless ASHP ER1 MF</v>
      </c>
      <c r="G1095" s="3699"/>
      <c r="H1095" s="3700"/>
      <c r="I1095" s="2767"/>
      <c r="J1095" s="851">
        <f t="shared" si="103"/>
        <v>1</v>
      </c>
      <c r="K1095" s="852"/>
      <c r="L1095" s="3681"/>
      <c r="M1095" s="1775"/>
      <c r="N1095" s="1759"/>
      <c r="O1095" s="277"/>
      <c r="P1095" s="277"/>
      <c r="Q1095" s="277"/>
      <c r="R1095" s="277"/>
      <c r="S1095" s="277"/>
      <c r="T1095" s="157"/>
      <c r="U1095" s="157"/>
      <c r="V1095" s="3589"/>
      <c r="W1095" s="851">
        <v>0.65</v>
      </c>
      <c r="X1095" s="851">
        <v>0.65</v>
      </c>
      <c r="Y1095" s="854">
        <f t="shared" si="104"/>
        <v>1</v>
      </c>
      <c r="Z1095" s="851">
        <v>1</v>
      </c>
      <c r="AA1095" s="851">
        <v>1</v>
      </c>
      <c r="AB1095" s="851">
        <v>1</v>
      </c>
      <c r="AC1095" s="851"/>
      <c r="AD1095" s="851"/>
      <c r="AE1095" s="851"/>
      <c r="AF1095" s="851"/>
      <c r="AG1095" s="853"/>
      <c r="BB1095" s="647"/>
      <c r="BC1095" s="648"/>
      <c r="BD1095" s="757"/>
    </row>
    <row r="1096" spans="1:56" s="64" customFormat="1" outlineLevel="1" x14ac:dyDescent="0.25">
      <c r="A1096" s="1393"/>
      <c r="B1096" s="277"/>
      <c r="C1096" s="385"/>
      <c r="D1096" s="3589"/>
      <c r="E1096" s="3721"/>
      <c r="F1096" s="3698" t="str">
        <f>E829</f>
        <v>Ductless ASHP ER2 MF</v>
      </c>
      <c r="G1096" s="3699"/>
      <c r="H1096" s="3700"/>
      <c r="I1096" s="2767"/>
      <c r="J1096" s="851">
        <f t="shared" si="103"/>
        <v>1</v>
      </c>
      <c r="K1096" s="852"/>
      <c r="L1096" s="3681"/>
      <c r="M1096" s="1775"/>
      <c r="N1096" s="1759"/>
      <c r="O1096" s="277"/>
      <c r="P1096" s="277"/>
      <c r="Q1096" s="277"/>
      <c r="R1096" s="277"/>
      <c r="S1096" s="277"/>
      <c r="T1096" s="157"/>
      <c r="U1096" s="157"/>
      <c r="V1096" s="3589"/>
      <c r="W1096" s="851">
        <v>0.65</v>
      </c>
      <c r="X1096" s="851">
        <v>0.65</v>
      </c>
      <c r="Y1096" s="854">
        <f t="shared" si="104"/>
        <v>1</v>
      </c>
      <c r="Z1096" s="851">
        <v>1</v>
      </c>
      <c r="AA1096" s="851">
        <v>1</v>
      </c>
      <c r="AB1096" s="851">
        <v>1</v>
      </c>
      <c r="AC1096" s="851"/>
      <c r="AD1096" s="851"/>
      <c r="AE1096" s="851"/>
      <c r="AF1096" s="851"/>
      <c r="AG1096" s="853"/>
      <c r="BB1096" s="647"/>
      <c r="BC1096" s="648"/>
      <c r="BD1096" s="757"/>
    </row>
    <row r="1097" spans="1:56" s="64" customFormat="1" outlineLevel="1" x14ac:dyDescent="0.25">
      <c r="A1097" s="1393"/>
      <c r="B1097" s="277"/>
      <c r="C1097" s="385"/>
      <c r="D1097" s="3589"/>
      <c r="E1097" s="3721"/>
      <c r="F1097" s="3701" t="str">
        <f>E830</f>
        <v>Ductless ASHP ER2 MF</v>
      </c>
      <c r="G1097" s="3702"/>
      <c r="H1097" s="3703"/>
      <c r="I1097" s="2767"/>
      <c r="J1097" s="851">
        <f t="shared" si="103"/>
        <v>1</v>
      </c>
      <c r="K1097" s="852"/>
      <c r="L1097" s="3681"/>
      <c r="M1097" s="1775"/>
      <c r="N1097" s="1759"/>
      <c r="O1097" s="277"/>
      <c r="P1097" s="277"/>
      <c r="Q1097" s="277"/>
      <c r="R1097" s="277"/>
      <c r="S1097" s="277"/>
      <c r="T1097" s="157"/>
      <c r="U1097" s="157"/>
      <c r="V1097" s="3589"/>
      <c r="W1097" s="851">
        <v>0.65</v>
      </c>
      <c r="X1097" s="851">
        <v>0.65</v>
      </c>
      <c r="Y1097" s="854">
        <f t="shared" si="104"/>
        <v>1</v>
      </c>
      <c r="Z1097" s="851">
        <v>1</v>
      </c>
      <c r="AA1097" s="851">
        <v>1</v>
      </c>
      <c r="AB1097" s="851">
        <v>1</v>
      </c>
      <c r="AC1097" s="851"/>
      <c r="AD1097" s="851"/>
      <c r="AE1097" s="851"/>
      <c r="AF1097" s="851"/>
      <c r="AG1097" s="853"/>
      <c r="BB1097" s="647"/>
      <c r="BC1097" s="648"/>
      <c r="BD1097" s="757"/>
    </row>
    <row r="1098" spans="1:56" s="64" customFormat="1" outlineLevel="1" x14ac:dyDescent="0.25">
      <c r="A1098" s="1393"/>
      <c r="B1098" s="277"/>
      <c r="C1098" s="385"/>
      <c r="D1098" s="3590"/>
      <c r="E1098" s="3572"/>
      <c r="F1098" s="3704" t="str">
        <f>E803</f>
        <v>Ductless AC - ER1 MF_CompE</v>
      </c>
      <c r="G1098" s="3705"/>
      <c r="H1098" s="3706"/>
      <c r="I1098" s="2767"/>
      <c r="J1098" s="851">
        <f t="shared" si="103"/>
        <v>1</v>
      </c>
      <c r="K1098" s="852"/>
      <c r="L1098" s="3681"/>
      <c r="M1098" s="1775"/>
      <c r="N1098" s="1759"/>
      <c r="O1098" s="277"/>
      <c r="P1098" s="277"/>
      <c r="Q1098" s="277"/>
      <c r="R1098" s="277"/>
      <c r="S1098" s="277"/>
      <c r="T1098" s="157"/>
      <c r="U1098" s="157"/>
      <c r="V1098" s="3590"/>
      <c r="W1098" s="847"/>
      <c r="X1098" s="847"/>
      <c r="Y1098" s="854">
        <f t="shared" si="104"/>
        <v>1</v>
      </c>
      <c r="Z1098" s="851">
        <v>1</v>
      </c>
      <c r="AA1098" s="851">
        <v>1</v>
      </c>
      <c r="AB1098" s="851">
        <v>1</v>
      </c>
      <c r="AC1098" s="847"/>
      <c r="AD1098" s="847"/>
      <c r="AE1098" s="847"/>
      <c r="AF1098" s="847"/>
      <c r="AG1098" s="855"/>
      <c r="BB1098" s="647"/>
      <c r="BC1098" s="648"/>
      <c r="BD1098" s="757"/>
    </row>
    <row r="1099" spans="1:56" s="64" customFormat="1" outlineLevel="1" x14ac:dyDescent="0.25">
      <c r="A1099" s="1393"/>
      <c r="B1099" s="277"/>
      <c r="C1099" s="385"/>
      <c r="D1099" s="3590"/>
      <c r="E1099" s="3572"/>
      <c r="F1099" s="3701" t="str">
        <f>E804</f>
        <v>Ductless AC - ER2 MF_CompE</v>
      </c>
      <c r="G1099" s="3702"/>
      <c r="H1099" s="3703"/>
      <c r="I1099" s="2767"/>
      <c r="J1099" s="851">
        <f t="shared" si="103"/>
        <v>1</v>
      </c>
      <c r="K1099" s="852"/>
      <c r="L1099" s="3681"/>
      <c r="M1099" s="1775"/>
      <c r="N1099" s="1759"/>
      <c r="O1099" s="277"/>
      <c r="P1099" s="277"/>
      <c r="Q1099" s="277"/>
      <c r="R1099" s="277"/>
      <c r="S1099" s="277"/>
      <c r="T1099" s="157"/>
      <c r="U1099" s="157"/>
      <c r="V1099" s="3590"/>
      <c r="W1099" s="851"/>
      <c r="X1099" s="851"/>
      <c r="Y1099" s="854">
        <f t="shared" si="104"/>
        <v>1</v>
      </c>
      <c r="Z1099" s="851">
        <v>1</v>
      </c>
      <c r="AA1099" s="851">
        <v>1</v>
      </c>
      <c r="AB1099" s="851">
        <v>1</v>
      </c>
      <c r="AC1099" s="851"/>
      <c r="AD1099" s="851"/>
      <c r="AE1099" s="851"/>
      <c r="AF1099" s="851"/>
      <c r="AG1099" s="853"/>
      <c r="BB1099" s="647"/>
      <c r="BC1099" s="648"/>
      <c r="BD1099" s="757"/>
    </row>
    <row r="1100" spans="1:56" s="64" customFormat="1" outlineLevel="1" x14ac:dyDescent="0.25">
      <c r="A1100" s="1393"/>
      <c r="B1100" s="277"/>
      <c r="C1100" s="385"/>
      <c r="D1100" s="3590"/>
      <c r="E1100" s="3572"/>
      <c r="F1100" s="3708" t="str">
        <f>E806</f>
        <v>Ductless AC - ROF MF_CompE</v>
      </c>
      <c r="G1100" s="3709"/>
      <c r="H1100" s="3710"/>
      <c r="I1100" s="2767"/>
      <c r="J1100" s="851">
        <f t="shared" si="103"/>
        <v>1</v>
      </c>
      <c r="K1100" s="852"/>
      <c r="L1100" s="3681"/>
      <c r="M1100" s="1775"/>
      <c r="N1100" s="1759"/>
      <c r="O1100" s="277"/>
      <c r="P1100" s="277"/>
      <c r="Q1100" s="277"/>
      <c r="R1100" s="277"/>
      <c r="S1100" s="277"/>
      <c r="T1100" s="157"/>
      <c r="U1100" s="157"/>
      <c r="V1100" s="3590"/>
      <c r="W1100" s="851"/>
      <c r="X1100" s="851"/>
      <c r="Y1100" s="854">
        <f t="shared" si="104"/>
        <v>1</v>
      </c>
      <c r="Z1100" s="851">
        <v>1</v>
      </c>
      <c r="AA1100" s="851">
        <v>1</v>
      </c>
      <c r="AB1100" s="851">
        <v>1</v>
      </c>
      <c r="AC1100" s="851"/>
      <c r="AD1100" s="851"/>
      <c r="AE1100" s="851"/>
      <c r="AF1100" s="851"/>
      <c r="AG1100" s="853"/>
      <c r="BB1100" s="647"/>
      <c r="BC1100" s="648"/>
      <c r="BD1100" s="757"/>
    </row>
    <row r="1101" spans="1:56" s="64" customFormat="1" outlineLevel="1" x14ac:dyDescent="0.25">
      <c r="A1101" s="1393"/>
      <c r="B1101" s="277"/>
      <c r="C1101" s="385"/>
      <c r="D1101" s="3590"/>
      <c r="E1101" s="3572"/>
      <c r="F1101" s="3704" t="str">
        <f>E809</f>
        <v>Ductless ASHP - ROF MF NC_CompE</v>
      </c>
      <c r="G1101" s="3705"/>
      <c r="H1101" s="3706"/>
      <c r="I1101" s="2767"/>
      <c r="J1101" s="851">
        <f t="shared" si="103"/>
        <v>1</v>
      </c>
      <c r="K1101" s="852"/>
      <c r="L1101" s="3681"/>
      <c r="M1101" s="1775"/>
      <c r="N1101" s="1759"/>
      <c r="O1101" s="277"/>
      <c r="P1101" s="277"/>
      <c r="Q1101" s="277"/>
      <c r="R1101" s="277"/>
      <c r="S1101" s="277"/>
      <c r="T1101" s="157"/>
      <c r="U1101" s="157"/>
      <c r="V1101" s="3590"/>
      <c r="W1101" s="851"/>
      <c r="X1101" s="851"/>
      <c r="Y1101" s="854">
        <f t="shared" si="104"/>
        <v>1</v>
      </c>
      <c r="Z1101" s="851">
        <v>1</v>
      </c>
      <c r="AA1101" s="851">
        <v>1</v>
      </c>
      <c r="AB1101" s="851">
        <v>1</v>
      </c>
      <c r="AC1101" s="851"/>
      <c r="AD1101" s="851"/>
      <c r="AE1101" s="851"/>
      <c r="AF1101" s="851"/>
      <c r="AG1101" s="853"/>
      <c r="BB1101" s="647"/>
      <c r="BC1101" s="648"/>
      <c r="BD1101" s="757"/>
    </row>
    <row r="1102" spans="1:56" s="64" customFormat="1" outlineLevel="1" x14ac:dyDescent="0.25">
      <c r="A1102" s="1393"/>
      <c r="B1102" s="277"/>
      <c r="C1102" s="385"/>
      <c r="D1102" s="3590"/>
      <c r="E1102" s="3572"/>
      <c r="F1102" s="3701" t="str">
        <f>E810</f>
        <v>Ductless ASHP - ROF MF NC_CompE</v>
      </c>
      <c r="G1102" s="3702"/>
      <c r="H1102" s="3703"/>
      <c r="I1102" s="2767"/>
      <c r="J1102" s="851">
        <f t="shared" si="103"/>
        <v>1</v>
      </c>
      <c r="K1102" s="852"/>
      <c r="L1102" s="3681"/>
      <c r="M1102" s="1775"/>
      <c r="N1102" s="1759"/>
      <c r="O1102" s="277"/>
      <c r="P1102" s="277"/>
      <c r="Q1102" s="277"/>
      <c r="R1102" s="277"/>
      <c r="S1102" s="277"/>
      <c r="T1102" s="157"/>
      <c r="U1102" s="157"/>
      <c r="V1102" s="3590"/>
      <c r="W1102" s="851"/>
      <c r="X1102" s="851"/>
      <c r="Y1102" s="854">
        <f t="shared" si="104"/>
        <v>1</v>
      </c>
      <c r="Z1102" s="851">
        <v>1</v>
      </c>
      <c r="AA1102" s="851">
        <v>1</v>
      </c>
      <c r="AB1102" s="851">
        <v>1</v>
      </c>
      <c r="AC1102" s="851"/>
      <c r="AD1102" s="851"/>
      <c r="AE1102" s="851"/>
      <c r="AF1102" s="851"/>
      <c r="AG1102" s="853"/>
      <c r="BB1102" s="647"/>
      <c r="BC1102" s="648"/>
      <c r="BD1102" s="757"/>
    </row>
    <row r="1103" spans="1:56" s="64" customFormat="1" outlineLevel="1" x14ac:dyDescent="0.25">
      <c r="A1103" s="1393"/>
      <c r="B1103" s="277"/>
      <c r="C1103" s="385"/>
      <c r="D1103" s="3590"/>
      <c r="E1103" s="3572"/>
      <c r="F1103" s="3704" t="str">
        <f>E813</f>
        <v>Ductless ASHP - ROF MF_CompE</v>
      </c>
      <c r="G1103" s="3705"/>
      <c r="H1103" s="3706"/>
      <c r="I1103" s="2767"/>
      <c r="J1103" s="851">
        <f t="shared" si="103"/>
        <v>1</v>
      </c>
      <c r="K1103" s="852"/>
      <c r="L1103" s="3681"/>
      <c r="M1103" s="1775"/>
      <c r="N1103" s="1759"/>
      <c r="O1103" s="277"/>
      <c r="P1103" s="277"/>
      <c r="Q1103" s="277"/>
      <c r="R1103" s="277"/>
      <c r="S1103" s="277"/>
      <c r="T1103" s="157"/>
      <c r="U1103" s="157"/>
      <c r="V1103" s="3590"/>
      <c r="W1103" s="851"/>
      <c r="X1103" s="851"/>
      <c r="Y1103" s="854">
        <f t="shared" si="104"/>
        <v>1</v>
      </c>
      <c r="Z1103" s="851">
        <v>1</v>
      </c>
      <c r="AA1103" s="851">
        <v>1</v>
      </c>
      <c r="AB1103" s="851">
        <v>1</v>
      </c>
      <c r="AC1103" s="851"/>
      <c r="AD1103" s="851"/>
      <c r="AE1103" s="851"/>
      <c r="AF1103" s="851"/>
      <c r="AG1103" s="853"/>
      <c r="BB1103" s="647"/>
      <c r="BC1103" s="648"/>
      <c r="BD1103" s="757"/>
    </row>
    <row r="1104" spans="1:56" s="64" customFormat="1" outlineLevel="1" x14ac:dyDescent="0.25">
      <c r="A1104" s="1393"/>
      <c r="B1104" s="277"/>
      <c r="C1104" s="385"/>
      <c r="D1104" s="3590"/>
      <c r="E1104" s="3572"/>
      <c r="F1104" s="3701" t="str">
        <f>E814</f>
        <v>Ductless ASHP - ROF MF_CompE</v>
      </c>
      <c r="G1104" s="3702"/>
      <c r="H1104" s="3703"/>
      <c r="I1104" s="2767"/>
      <c r="J1104" s="851">
        <f t="shared" si="103"/>
        <v>1</v>
      </c>
      <c r="K1104" s="852"/>
      <c r="L1104" s="3681"/>
      <c r="M1104" s="1775"/>
      <c r="N1104" s="1759"/>
      <c r="O1104" s="277"/>
      <c r="P1104" s="277"/>
      <c r="Q1104" s="277"/>
      <c r="R1104" s="277"/>
      <c r="S1104" s="277"/>
      <c r="T1104" s="157"/>
      <c r="U1104" s="157"/>
      <c r="V1104" s="3590"/>
      <c r="W1104" s="851"/>
      <c r="X1104" s="851"/>
      <c r="Y1104" s="854">
        <f t="shared" si="104"/>
        <v>1</v>
      </c>
      <c r="Z1104" s="851">
        <v>1</v>
      </c>
      <c r="AA1104" s="851">
        <v>1</v>
      </c>
      <c r="AB1104" s="851">
        <v>1</v>
      </c>
      <c r="AC1104" s="851"/>
      <c r="AD1104" s="851"/>
      <c r="AE1104" s="851"/>
      <c r="AF1104" s="851"/>
      <c r="AG1104" s="853"/>
      <c r="BB1104" s="647"/>
      <c r="BC1104" s="648"/>
      <c r="BD1104" s="757"/>
    </row>
    <row r="1105" spans="1:56" s="64" customFormat="1" outlineLevel="1" x14ac:dyDescent="0.25">
      <c r="A1105" s="1393"/>
      <c r="B1105" s="277"/>
      <c r="C1105" s="385"/>
      <c r="D1105" s="3590"/>
      <c r="E1105" s="3572"/>
      <c r="F1105" s="3704" t="str">
        <f>E819</f>
        <v>Ductless ASHP Replace Electric Resistance ER1 MF_CompE</v>
      </c>
      <c r="G1105" s="3705"/>
      <c r="H1105" s="3706"/>
      <c r="I1105" s="2767"/>
      <c r="J1105" s="851">
        <f t="shared" si="103"/>
        <v>1</v>
      </c>
      <c r="K1105" s="852"/>
      <c r="L1105" s="3681"/>
      <c r="M1105" s="1775"/>
      <c r="N1105" s="1759"/>
      <c r="O1105" s="277"/>
      <c r="P1105" s="277"/>
      <c r="Q1105" s="277"/>
      <c r="R1105" s="277"/>
      <c r="S1105" s="277"/>
      <c r="T1105" s="157"/>
      <c r="U1105" s="157"/>
      <c r="V1105" s="3590"/>
      <c r="W1105" s="851"/>
      <c r="X1105" s="851"/>
      <c r="Y1105" s="854">
        <f t="shared" si="104"/>
        <v>1</v>
      </c>
      <c r="Z1105" s="851">
        <v>1</v>
      </c>
      <c r="AA1105" s="851">
        <v>1</v>
      </c>
      <c r="AB1105" s="851">
        <v>1</v>
      </c>
      <c r="AC1105" s="851"/>
      <c r="AD1105" s="851"/>
      <c r="AE1105" s="851"/>
      <c r="AF1105" s="851"/>
      <c r="AG1105" s="853"/>
      <c r="BB1105" s="647"/>
      <c r="BC1105" s="648"/>
      <c r="BD1105" s="757"/>
    </row>
    <row r="1106" spans="1:56" s="64" customFormat="1" outlineLevel="1" x14ac:dyDescent="0.25">
      <c r="A1106" s="1393"/>
      <c r="B1106" s="277"/>
      <c r="C1106" s="385"/>
      <c r="D1106" s="3590"/>
      <c r="E1106" s="3572"/>
      <c r="F1106" s="3698" t="str">
        <f>E820</f>
        <v>Ductless ASHP Replace Electric Resistance ER1 MF_CompE</v>
      </c>
      <c r="G1106" s="3699"/>
      <c r="H1106" s="3700"/>
      <c r="I1106" s="2767"/>
      <c r="J1106" s="851">
        <f t="shared" si="103"/>
        <v>1</v>
      </c>
      <c r="K1106" s="852"/>
      <c r="L1106" s="3681"/>
      <c r="M1106" s="1775"/>
      <c r="N1106" s="1759"/>
      <c r="O1106" s="277"/>
      <c r="P1106" s="277"/>
      <c r="Q1106" s="277"/>
      <c r="R1106" s="277"/>
      <c r="S1106" s="277"/>
      <c r="T1106" s="157"/>
      <c r="U1106" s="157"/>
      <c r="V1106" s="3590"/>
      <c r="W1106" s="851"/>
      <c r="X1106" s="851"/>
      <c r="Y1106" s="854">
        <f t="shared" si="104"/>
        <v>1</v>
      </c>
      <c r="Z1106" s="851">
        <v>1</v>
      </c>
      <c r="AA1106" s="851">
        <v>1</v>
      </c>
      <c r="AB1106" s="851">
        <v>1</v>
      </c>
      <c r="AC1106" s="851"/>
      <c r="AD1106" s="851"/>
      <c r="AE1106" s="851"/>
      <c r="AF1106" s="851"/>
      <c r="AG1106" s="853"/>
      <c r="BB1106" s="647"/>
      <c r="BC1106" s="648"/>
      <c r="BD1106" s="757"/>
    </row>
    <row r="1107" spans="1:56" s="64" customFormat="1" outlineLevel="1" x14ac:dyDescent="0.25">
      <c r="A1107" s="1393"/>
      <c r="B1107" s="277"/>
      <c r="C1107" s="385"/>
      <c r="D1107" s="3590"/>
      <c r="E1107" s="3572"/>
      <c r="F1107" s="3698" t="str">
        <f>E821</f>
        <v>Ductless ASHP Replace Electric Resistance ER2 MF_CompE</v>
      </c>
      <c r="G1107" s="3699"/>
      <c r="H1107" s="3700"/>
      <c r="I1107" s="2767"/>
      <c r="J1107" s="851">
        <f t="shared" si="103"/>
        <v>1</v>
      </c>
      <c r="K1107" s="852"/>
      <c r="L1107" s="3681"/>
      <c r="M1107" s="1775"/>
      <c r="N1107" s="1759"/>
      <c r="O1107" s="277"/>
      <c r="P1107" s="277"/>
      <c r="Q1107" s="277"/>
      <c r="R1107" s="277"/>
      <c r="S1107" s="277"/>
      <c r="T1107" s="157"/>
      <c r="U1107" s="157"/>
      <c r="V1107" s="3590"/>
      <c r="W1107" s="851"/>
      <c r="X1107" s="851"/>
      <c r="Y1107" s="854">
        <f t="shared" si="104"/>
        <v>1</v>
      </c>
      <c r="Z1107" s="851">
        <v>1</v>
      </c>
      <c r="AA1107" s="851">
        <v>1</v>
      </c>
      <c r="AB1107" s="851">
        <v>1</v>
      </c>
      <c r="AC1107" s="851"/>
      <c r="AD1107" s="851"/>
      <c r="AE1107" s="851"/>
      <c r="AF1107" s="851"/>
      <c r="AG1107" s="853"/>
      <c r="BB1107" s="647"/>
      <c r="BC1107" s="648"/>
      <c r="BD1107" s="757"/>
    </row>
    <row r="1108" spans="1:56" s="64" customFormat="1" outlineLevel="1" x14ac:dyDescent="0.25">
      <c r="A1108" s="1393"/>
      <c r="B1108" s="277"/>
      <c r="C1108" s="385"/>
      <c r="D1108" s="3590"/>
      <c r="E1108" s="3572"/>
      <c r="F1108" s="3701" t="str">
        <f>E822</f>
        <v>Ductless ASHP Replace Electric Resistance ER2 MF_CompE</v>
      </c>
      <c r="G1108" s="3702"/>
      <c r="H1108" s="3703"/>
      <c r="I1108" s="2767"/>
      <c r="J1108" s="851">
        <f t="shared" si="103"/>
        <v>1</v>
      </c>
      <c r="K1108" s="852"/>
      <c r="L1108" s="3681"/>
      <c r="M1108" s="1775"/>
      <c r="N1108" s="1759"/>
      <c r="O1108" s="277"/>
      <c r="P1108" s="277"/>
      <c r="Q1108" s="277"/>
      <c r="R1108" s="277"/>
      <c r="S1108" s="277"/>
      <c r="T1108" s="157"/>
      <c r="U1108" s="157"/>
      <c r="V1108" s="3590"/>
      <c r="W1108" s="851"/>
      <c r="X1108" s="851"/>
      <c r="Y1108" s="854">
        <f t="shared" si="104"/>
        <v>1</v>
      </c>
      <c r="Z1108" s="851">
        <v>1</v>
      </c>
      <c r="AA1108" s="851">
        <v>1</v>
      </c>
      <c r="AB1108" s="851">
        <v>1</v>
      </c>
      <c r="AC1108" s="851"/>
      <c r="AD1108" s="851"/>
      <c r="AE1108" s="851"/>
      <c r="AF1108" s="851"/>
      <c r="AG1108" s="853"/>
      <c r="BB1108" s="647"/>
      <c r="BC1108" s="648"/>
      <c r="BD1108" s="757"/>
    </row>
    <row r="1109" spans="1:56" s="64" customFormat="1" outlineLevel="1" x14ac:dyDescent="0.25">
      <c r="A1109" s="1393"/>
      <c r="B1109" s="277"/>
      <c r="C1109" s="385"/>
      <c r="D1109" s="3590"/>
      <c r="E1109" s="3572"/>
      <c r="F1109" s="3704" t="str">
        <f>E825</f>
        <v>Ductless ASHP Replace Electric Resistance ROF MF_CompE</v>
      </c>
      <c r="G1109" s="3705"/>
      <c r="H1109" s="3706"/>
      <c r="I1109" s="2767"/>
      <c r="J1109" s="851">
        <f t="shared" si="103"/>
        <v>1</v>
      </c>
      <c r="K1109" s="852"/>
      <c r="L1109" s="3681"/>
      <c r="M1109" s="1775"/>
      <c r="N1109" s="1759"/>
      <c r="O1109" s="277"/>
      <c r="P1109" s="277"/>
      <c r="Q1109" s="277"/>
      <c r="R1109" s="277"/>
      <c r="S1109" s="277"/>
      <c r="T1109" s="157"/>
      <c r="U1109" s="157"/>
      <c r="V1109" s="3590"/>
      <c r="W1109" s="851"/>
      <c r="X1109" s="851"/>
      <c r="Y1109" s="854">
        <f t="shared" si="104"/>
        <v>1</v>
      </c>
      <c r="Z1109" s="851">
        <v>1</v>
      </c>
      <c r="AA1109" s="851">
        <v>1</v>
      </c>
      <c r="AB1109" s="851">
        <v>1</v>
      </c>
      <c r="AC1109" s="851"/>
      <c r="AD1109" s="851"/>
      <c r="AE1109" s="851"/>
      <c r="AF1109" s="851"/>
      <c r="AG1109" s="853"/>
      <c r="BB1109" s="647"/>
      <c r="BC1109" s="648"/>
      <c r="BD1109" s="757"/>
    </row>
    <row r="1110" spans="1:56" s="64" customFormat="1" outlineLevel="1" x14ac:dyDescent="0.25">
      <c r="A1110" s="1393"/>
      <c r="B1110" s="277"/>
      <c r="C1110" s="385"/>
      <c r="D1110" s="3590"/>
      <c r="E1110" s="3572"/>
      <c r="F1110" s="3701" t="str">
        <f>E826</f>
        <v>Ductless ASHP Replace Electric Resistance ROF MF_CompE</v>
      </c>
      <c r="G1110" s="3702"/>
      <c r="H1110" s="3703"/>
      <c r="I1110" s="2767"/>
      <c r="J1110" s="851">
        <f t="shared" si="103"/>
        <v>1</v>
      </c>
      <c r="K1110" s="852"/>
      <c r="L1110" s="3681"/>
      <c r="M1110" s="1775"/>
      <c r="N1110" s="1759"/>
      <c r="O1110" s="277"/>
      <c r="P1110" s="277"/>
      <c r="Q1110" s="277"/>
      <c r="R1110" s="277"/>
      <c r="S1110" s="277"/>
      <c r="T1110" s="157"/>
      <c r="U1110" s="157"/>
      <c r="V1110" s="3590"/>
      <c r="W1110" s="851"/>
      <c r="X1110" s="851"/>
      <c r="Y1110" s="854">
        <f t="shared" si="104"/>
        <v>1</v>
      </c>
      <c r="Z1110" s="851">
        <v>1</v>
      </c>
      <c r="AA1110" s="851">
        <v>1</v>
      </c>
      <c r="AB1110" s="851">
        <v>1</v>
      </c>
      <c r="AC1110" s="851"/>
      <c r="AD1110" s="851"/>
      <c r="AE1110" s="851"/>
      <c r="AF1110" s="851"/>
      <c r="AG1110" s="853"/>
      <c r="BB1110" s="647"/>
      <c r="BC1110" s="648"/>
      <c r="BD1110" s="757"/>
    </row>
    <row r="1111" spans="1:56" s="64" customFormat="1" outlineLevel="1" x14ac:dyDescent="0.25">
      <c r="A1111" s="1393"/>
      <c r="B1111" s="277"/>
      <c r="C1111" s="385"/>
      <c r="D1111" s="3590"/>
      <c r="E1111" s="3572"/>
      <c r="F1111" s="3704" t="str">
        <f>E831</f>
        <v>Ductless ASHP ER1 MF_CompE</v>
      </c>
      <c r="G1111" s="3705"/>
      <c r="H1111" s="3706"/>
      <c r="I1111" s="2767"/>
      <c r="J1111" s="851">
        <f t="shared" si="103"/>
        <v>1</v>
      </c>
      <c r="K1111" s="852"/>
      <c r="L1111" s="3681"/>
      <c r="M1111" s="1775"/>
      <c r="N1111" s="1759"/>
      <c r="O1111" s="277"/>
      <c r="P1111" s="277"/>
      <c r="Q1111" s="277"/>
      <c r="R1111" s="277"/>
      <c r="S1111" s="277"/>
      <c r="T1111" s="157"/>
      <c r="U1111" s="157"/>
      <c r="V1111" s="3590"/>
      <c r="W1111" s="851"/>
      <c r="X1111" s="851"/>
      <c r="Y1111" s="854">
        <f t="shared" si="104"/>
        <v>1</v>
      </c>
      <c r="Z1111" s="851">
        <v>1</v>
      </c>
      <c r="AA1111" s="851">
        <v>1</v>
      </c>
      <c r="AB1111" s="851">
        <v>1</v>
      </c>
      <c r="AC1111" s="851"/>
      <c r="AD1111" s="851"/>
      <c r="AE1111" s="851"/>
      <c r="AF1111" s="851"/>
      <c r="AG1111" s="853"/>
      <c r="BB1111" s="647"/>
      <c r="BC1111" s="648"/>
      <c r="BD1111" s="757"/>
    </row>
    <row r="1112" spans="1:56" s="64" customFormat="1" outlineLevel="1" x14ac:dyDescent="0.25">
      <c r="A1112" s="1393"/>
      <c r="B1112" s="277"/>
      <c r="C1112" s="385"/>
      <c r="D1112" s="3590"/>
      <c r="E1112" s="3572"/>
      <c r="F1112" s="3698" t="str">
        <f>E832</f>
        <v>Ductless ASHP ER1 MF_CompE</v>
      </c>
      <c r="G1112" s="3699"/>
      <c r="H1112" s="3700"/>
      <c r="I1112" s="2767"/>
      <c r="J1112" s="851">
        <f t="shared" si="103"/>
        <v>1</v>
      </c>
      <c r="K1112" s="852"/>
      <c r="L1112" s="3681"/>
      <c r="M1112" s="1775"/>
      <c r="N1112" s="1759"/>
      <c r="O1112" s="277"/>
      <c r="P1112" s="277"/>
      <c r="Q1112" s="277"/>
      <c r="R1112" s="277"/>
      <c r="S1112" s="277"/>
      <c r="T1112" s="157"/>
      <c r="U1112" s="157"/>
      <c r="V1112" s="3590"/>
      <c r="W1112" s="851"/>
      <c r="X1112" s="851"/>
      <c r="Y1112" s="854">
        <f t="shared" si="104"/>
        <v>1</v>
      </c>
      <c r="Z1112" s="851">
        <v>1</v>
      </c>
      <c r="AA1112" s="851">
        <v>1</v>
      </c>
      <c r="AB1112" s="851">
        <v>1</v>
      </c>
      <c r="AC1112" s="851"/>
      <c r="AD1112" s="851"/>
      <c r="AE1112" s="851"/>
      <c r="AF1112" s="851"/>
      <c r="AG1112" s="853"/>
      <c r="BB1112" s="647"/>
      <c r="BC1112" s="648"/>
      <c r="BD1112" s="757"/>
    </row>
    <row r="1113" spans="1:56" s="64" customFormat="1" outlineLevel="1" x14ac:dyDescent="0.25">
      <c r="A1113" s="1393"/>
      <c r="B1113" s="277"/>
      <c r="C1113" s="385"/>
      <c r="D1113" s="3590"/>
      <c r="E1113" s="3572"/>
      <c r="F1113" s="3698" t="str">
        <f>E833</f>
        <v>Ductless ASHP ER2 MF_CompE</v>
      </c>
      <c r="G1113" s="3699"/>
      <c r="H1113" s="3700"/>
      <c r="I1113" s="2767"/>
      <c r="J1113" s="851">
        <f t="shared" si="103"/>
        <v>1</v>
      </c>
      <c r="K1113" s="852"/>
      <c r="L1113" s="3681"/>
      <c r="M1113" s="1775"/>
      <c r="N1113" s="1759"/>
      <c r="O1113" s="277"/>
      <c r="P1113" s="277"/>
      <c r="Q1113" s="277"/>
      <c r="R1113" s="277"/>
      <c r="S1113" s="277"/>
      <c r="T1113" s="157"/>
      <c r="U1113" s="157"/>
      <c r="V1113" s="3590"/>
      <c r="W1113" s="851"/>
      <c r="X1113" s="851"/>
      <c r="Y1113" s="854">
        <f t="shared" si="104"/>
        <v>1</v>
      </c>
      <c r="Z1113" s="851">
        <v>1</v>
      </c>
      <c r="AA1113" s="851">
        <v>1</v>
      </c>
      <c r="AB1113" s="851">
        <v>1</v>
      </c>
      <c r="AC1113" s="851"/>
      <c r="AD1113" s="851"/>
      <c r="AE1113" s="851"/>
      <c r="AF1113" s="851"/>
      <c r="AG1113" s="853"/>
      <c r="BB1113" s="647"/>
      <c r="BC1113" s="648"/>
      <c r="BD1113" s="757"/>
    </row>
    <row r="1114" spans="1:56" s="64" customFormat="1" ht="15.75" outlineLevel="1" thickBot="1" x14ac:dyDescent="0.3">
      <c r="A1114" s="1393"/>
      <c r="B1114" s="277"/>
      <c r="C1114" s="385"/>
      <c r="D1114" s="3591"/>
      <c r="E1114" s="3722"/>
      <c r="F1114" s="3717" t="str">
        <f>E834</f>
        <v>Ductless ASHP ER2 MF_CompE</v>
      </c>
      <c r="G1114" s="3718"/>
      <c r="H1114" s="3719"/>
      <c r="I1114" s="863"/>
      <c r="J1114" s="858">
        <f t="shared" si="103"/>
        <v>1</v>
      </c>
      <c r="K1114" s="857"/>
      <c r="L1114" s="3707"/>
      <c r="M1114" s="1775"/>
      <c r="N1114" s="1759"/>
      <c r="O1114" s="277"/>
      <c r="P1114" s="277"/>
      <c r="Q1114" s="277"/>
      <c r="R1114" s="277"/>
      <c r="S1114" s="277"/>
      <c r="T1114" s="157"/>
      <c r="U1114" s="157"/>
      <c r="V1114" s="3591"/>
      <c r="W1114" s="858"/>
      <c r="X1114" s="858"/>
      <c r="Y1114" s="856">
        <f t="shared" si="104"/>
        <v>1</v>
      </c>
      <c r="Z1114" s="858">
        <v>1</v>
      </c>
      <c r="AA1114" s="858">
        <v>1</v>
      </c>
      <c r="AB1114" s="858">
        <v>1</v>
      </c>
      <c r="AC1114" s="858"/>
      <c r="AD1114" s="858"/>
      <c r="AE1114" s="858"/>
      <c r="AF1114" s="858"/>
      <c r="AG1114" s="859"/>
      <c r="BB1114" s="647"/>
      <c r="BC1114" s="648"/>
      <c r="BD1114" s="757"/>
    </row>
    <row r="1115" spans="1:56" s="2289" customFormat="1" ht="30.75" outlineLevel="1" thickBot="1" x14ac:dyDescent="0.3">
      <c r="A1115" s="1393"/>
      <c r="B1115" s="277"/>
      <c r="C1115" s="385"/>
      <c r="D1115" s="3228" t="s">
        <v>75</v>
      </c>
      <c r="E1115" s="3229" t="s">
        <v>3614</v>
      </c>
      <c r="F1115" s="3792" t="s">
        <v>591</v>
      </c>
      <c r="G1115" s="3793"/>
      <c r="H1115" s="3794"/>
      <c r="I1115" s="3230"/>
      <c r="J1115" s="3231">
        <v>1</v>
      </c>
      <c r="K1115" s="3232"/>
      <c r="L1115" s="3233" t="s">
        <v>3512</v>
      </c>
      <c r="M1115" s="2666"/>
      <c r="N1115" s="2667"/>
      <c r="O1115" s="2137"/>
      <c r="P1115" s="2137"/>
      <c r="Q1115" s="2137"/>
      <c r="R1115" s="2137"/>
      <c r="S1115" s="2137"/>
      <c r="T1115" s="2137"/>
      <c r="U1115" s="2137"/>
      <c r="V1115" s="3261" t="s">
        <v>75</v>
      </c>
      <c r="W1115" s="2664"/>
      <c r="X1115" s="2664"/>
      <c r="Y1115" s="2664"/>
      <c r="Z1115" s="2664"/>
      <c r="AA1115" s="2664">
        <v>1</v>
      </c>
      <c r="AB1115" s="2665">
        <v>1</v>
      </c>
      <c r="AC1115" s="2664"/>
      <c r="AD1115" s="2664"/>
      <c r="AE1115" s="2664"/>
      <c r="AF1115" s="2664"/>
      <c r="AG1115" s="2668"/>
      <c r="AH1115" s="2137"/>
      <c r="AI1115" s="2137"/>
      <c r="AJ1115" s="2137"/>
      <c r="AK1115" s="2137"/>
      <c r="AL1115" s="2137"/>
      <c r="AM1115" s="2137"/>
      <c r="AN1115" s="2137"/>
      <c r="AO1115" s="2137"/>
      <c r="AP1115" s="2137"/>
      <c r="AQ1115" s="2137"/>
      <c r="AR1115" s="2137"/>
      <c r="AS1115" s="2137"/>
      <c r="AT1115" s="2137"/>
      <c r="AU1115" s="2137"/>
      <c r="AV1115" s="2137"/>
      <c r="AW1115" s="2137"/>
      <c r="AX1115" s="2137"/>
      <c r="AY1115" s="2137"/>
      <c r="AZ1115" s="2137"/>
      <c r="BA1115" s="2137"/>
      <c r="BB1115" s="2669"/>
      <c r="BC1115" s="648"/>
      <c r="BD1115" s="757"/>
    </row>
    <row r="1116" spans="1:56" s="64" customFormat="1" ht="15" customHeight="1" outlineLevel="1" x14ac:dyDescent="0.25">
      <c r="A1116" s="1393"/>
      <c r="B1116" s="277"/>
      <c r="C1116" s="385"/>
      <c r="D1116" s="3588" t="str">
        <f>D635</f>
        <v>EUL</v>
      </c>
      <c r="E1116" s="3588" t="str">
        <f>E635</f>
        <v>End of Useful Life</v>
      </c>
      <c r="F1116" s="3711" t="str">
        <f t="shared" ref="F1116:F1149" si="105">F1064</f>
        <v>Ductless AC - ER1 SF</v>
      </c>
      <c r="G1116" s="3712"/>
      <c r="H1116" s="3713"/>
      <c r="I1116" s="1426"/>
      <c r="J1116" s="860">
        <v>6</v>
      </c>
      <c r="K1116" s="848"/>
      <c r="L1116" s="834"/>
      <c r="M1116" s="1775"/>
      <c r="N1116" s="1759"/>
      <c r="O1116" s="277"/>
      <c r="P1116" s="277"/>
      <c r="Q1116" s="277"/>
      <c r="R1116" s="277"/>
      <c r="S1116" s="277"/>
      <c r="T1116" s="157"/>
      <c r="U1116" s="157"/>
      <c r="V1116" s="3588" t="str">
        <f>D1116</f>
        <v>EUL</v>
      </c>
      <c r="W1116" s="861">
        <v>6</v>
      </c>
      <c r="X1116" s="861">
        <v>6</v>
      </c>
      <c r="Y1116" s="861">
        <v>6</v>
      </c>
      <c r="Z1116" s="861">
        <v>6</v>
      </c>
      <c r="AA1116" s="861">
        <v>6</v>
      </c>
      <c r="AB1116" s="860">
        <v>6</v>
      </c>
      <c r="AC1116" s="849"/>
      <c r="AD1116" s="849"/>
      <c r="AE1116" s="849"/>
      <c r="AF1116" s="849"/>
      <c r="AG1116" s="850"/>
      <c r="BB1116" s="647"/>
      <c r="BC1116" s="648"/>
      <c r="BD1116" s="757"/>
    </row>
    <row r="1117" spans="1:56" s="64" customFormat="1" outlineLevel="1" x14ac:dyDescent="0.25">
      <c r="A1117" s="1393"/>
      <c r="B1117" s="277"/>
      <c r="C1117" s="385"/>
      <c r="D1117" s="3589"/>
      <c r="E1117" s="3589"/>
      <c r="F1117" s="3701" t="str">
        <f t="shared" si="105"/>
        <v>Ductless AC - ER2 SF</v>
      </c>
      <c r="G1117" s="3702"/>
      <c r="H1117" s="3703"/>
      <c r="I1117" s="1425"/>
      <c r="J1117" s="862">
        <v>12</v>
      </c>
      <c r="K1117" s="852"/>
      <c r="L1117" s="837"/>
      <c r="M1117" s="1775"/>
      <c r="N1117" s="1759"/>
      <c r="O1117" s="277"/>
      <c r="P1117" s="277"/>
      <c r="Q1117" s="277"/>
      <c r="R1117" s="277"/>
      <c r="S1117" s="277"/>
      <c r="T1117" s="157"/>
      <c r="U1117" s="157"/>
      <c r="V1117" s="3589"/>
      <c r="W1117" s="862">
        <v>12</v>
      </c>
      <c r="X1117" s="862">
        <v>12</v>
      </c>
      <c r="Y1117" s="862">
        <v>12</v>
      </c>
      <c r="Z1117" s="862">
        <v>12</v>
      </c>
      <c r="AA1117" s="862">
        <v>12</v>
      </c>
      <c r="AB1117" s="862">
        <v>12</v>
      </c>
      <c r="AC1117" s="851"/>
      <c r="AD1117" s="851"/>
      <c r="AE1117" s="851"/>
      <c r="AF1117" s="851"/>
      <c r="AG1117" s="853"/>
      <c r="BB1117" s="647"/>
      <c r="BC1117" s="648"/>
      <c r="BD1117" s="757"/>
    </row>
    <row r="1118" spans="1:56" s="64" customFormat="1" outlineLevel="1" x14ac:dyDescent="0.25">
      <c r="A1118" s="1393"/>
      <c r="B1118" s="277"/>
      <c r="C1118" s="385"/>
      <c r="D1118" s="3589"/>
      <c r="E1118" s="3589"/>
      <c r="F1118" s="3708" t="str">
        <f t="shared" si="105"/>
        <v>Ductless AC - ROF SF</v>
      </c>
      <c r="G1118" s="3709"/>
      <c r="H1118" s="3710"/>
      <c r="I1118" s="1425"/>
      <c r="J1118" s="862">
        <v>18</v>
      </c>
      <c r="K1118" s="852"/>
      <c r="L1118" s="837"/>
      <c r="M1118" s="1775"/>
      <c r="N1118" s="1759"/>
      <c r="O1118" s="277"/>
      <c r="P1118" s="277"/>
      <c r="Q1118" s="277"/>
      <c r="R1118" s="277"/>
      <c r="S1118" s="277"/>
      <c r="T1118" s="157"/>
      <c r="U1118" s="157"/>
      <c r="V1118" s="3589"/>
      <c r="W1118" s="862">
        <v>18</v>
      </c>
      <c r="X1118" s="862">
        <v>18</v>
      </c>
      <c r="Y1118" s="862">
        <v>18</v>
      </c>
      <c r="Z1118" s="862">
        <v>18</v>
      </c>
      <c r="AA1118" s="862">
        <v>18</v>
      </c>
      <c r="AB1118" s="862">
        <v>18</v>
      </c>
      <c r="AC1118" s="851"/>
      <c r="AD1118" s="851"/>
      <c r="AE1118" s="851"/>
      <c r="AF1118" s="851"/>
      <c r="AG1118" s="853"/>
      <c r="BB1118" s="647"/>
      <c r="BC1118" s="648"/>
      <c r="BD1118" s="757"/>
    </row>
    <row r="1119" spans="1:56" s="64" customFormat="1" outlineLevel="1" x14ac:dyDescent="0.25">
      <c r="A1119" s="1393"/>
      <c r="B1119" s="277"/>
      <c r="C1119" s="385"/>
      <c r="D1119" s="3589"/>
      <c r="E1119" s="3589"/>
      <c r="F1119" s="3704" t="str">
        <f t="shared" si="105"/>
        <v>Ductless ASHP - ROF SF NC</v>
      </c>
      <c r="G1119" s="3705"/>
      <c r="H1119" s="3706"/>
      <c r="I1119" s="1425"/>
      <c r="J1119" s="862">
        <v>18</v>
      </c>
      <c r="K1119" s="852"/>
      <c r="L1119" s="837"/>
      <c r="M1119" s="1775"/>
      <c r="N1119" s="1759"/>
      <c r="O1119" s="277"/>
      <c r="P1119" s="277"/>
      <c r="Q1119" s="277"/>
      <c r="R1119" s="277"/>
      <c r="S1119" s="277"/>
      <c r="T1119" s="157"/>
      <c r="U1119" s="157"/>
      <c r="V1119" s="3589"/>
      <c r="W1119" s="862">
        <v>18</v>
      </c>
      <c r="X1119" s="862">
        <v>18</v>
      </c>
      <c r="Y1119" s="862">
        <v>18</v>
      </c>
      <c r="Z1119" s="862">
        <v>18</v>
      </c>
      <c r="AA1119" s="862">
        <v>18</v>
      </c>
      <c r="AB1119" s="862">
        <v>18</v>
      </c>
      <c r="AC1119" s="851"/>
      <c r="AD1119" s="851"/>
      <c r="AE1119" s="851"/>
      <c r="AF1119" s="851"/>
      <c r="AG1119" s="853"/>
      <c r="BB1119" s="647"/>
      <c r="BC1119" s="648"/>
      <c r="BD1119" s="757"/>
    </row>
    <row r="1120" spans="1:56" s="64" customFormat="1" outlineLevel="1" x14ac:dyDescent="0.25">
      <c r="A1120" s="1393"/>
      <c r="B1120" s="277"/>
      <c r="C1120" s="385"/>
      <c r="D1120" s="3589"/>
      <c r="E1120" s="3589"/>
      <c r="F1120" s="3701" t="str">
        <f t="shared" si="105"/>
        <v>Ductless ASHP - ROF SF NC</v>
      </c>
      <c r="G1120" s="3702"/>
      <c r="H1120" s="3703"/>
      <c r="I1120" s="1425"/>
      <c r="J1120" s="862">
        <v>18</v>
      </c>
      <c r="K1120" s="852"/>
      <c r="L1120" s="837"/>
      <c r="M1120" s="1775"/>
      <c r="N1120" s="1759"/>
      <c r="O1120" s="277"/>
      <c r="P1120" s="277"/>
      <c r="Q1120" s="277"/>
      <c r="R1120" s="277"/>
      <c r="S1120" s="277"/>
      <c r="T1120" s="157"/>
      <c r="U1120" s="157"/>
      <c r="V1120" s="3589"/>
      <c r="W1120" s="862">
        <v>18</v>
      </c>
      <c r="X1120" s="862">
        <v>18</v>
      </c>
      <c r="Y1120" s="862">
        <v>18</v>
      </c>
      <c r="Z1120" s="862">
        <v>18</v>
      </c>
      <c r="AA1120" s="862">
        <v>18</v>
      </c>
      <c r="AB1120" s="862">
        <v>18</v>
      </c>
      <c r="AC1120" s="851"/>
      <c r="AD1120" s="851"/>
      <c r="AE1120" s="851"/>
      <c r="AF1120" s="851"/>
      <c r="AG1120" s="853"/>
      <c r="BB1120" s="647"/>
      <c r="BC1120" s="648"/>
      <c r="BD1120" s="757"/>
    </row>
    <row r="1121" spans="1:56" s="64" customFormat="1" outlineLevel="1" x14ac:dyDescent="0.25">
      <c r="A1121" s="1393"/>
      <c r="B1121" s="277"/>
      <c r="C1121" s="385"/>
      <c r="D1121" s="3589"/>
      <c r="E1121" s="3589"/>
      <c r="F1121" s="3704" t="str">
        <f t="shared" si="105"/>
        <v>Ductless ASHP - ROF SF</v>
      </c>
      <c r="G1121" s="3705"/>
      <c r="H1121" s="3706"/>
      <c r="I1121" s="1425"/>
      <c r="J1121" s="862">
        <v>18</v>
      </c>
      <c r="K1121" s="852"/>
      <c r="L1121" s="837"/>
      <c r="M1121" s="1775"/>
      <c r="N1121" s="1759"/>
      <c r="O1121" s="277"/>
      <c r="P1121" s="277"/>
      <c r="Q1121" s="277"/>
      <c r="R1121" s="277"/>
      <c r="S1121" s="277"/>
      <c r="T1121" s="157"/>
      <c r="U1121" s="157"/>
      <c r="V1121" s="3589"/>
      <c r="W1121" s="862">
        <v>18</v>
      </c>
      <c r="X1121" s="862">
        <v>18</v>
      </c>
      <c r="Y1121" s="862">
        <v>18</v>
      </c>
      <c r="Z1121" s="862">
        <v>18</v>
      </c>
      <c r="AA1121" s="862">
        <v>18</v>
      </c>
      <c r="AB1121" s="862">
        <v>18</v>
      </c>
      <c r="AC1121" s="851"/>
      <c r="AD1121" s="851"/>
      <c r="AE1121" s="851"/>
      <c r="AF1121" s="851"/>
      <c r="AG1121" s="853"/>
      <c r="BB1121" s="647"/>
      <c r="BC1121" s="648"/>
      <c r="BD1121" s="757"/>
    </row>
    <row r="1122" spans="1:56" s="64" customFormat="1" outlineLevel="1" x14ac:dyDescent="0.25">
      <c r="A1122" s="1393"/>
      <c r="B1122" s="277"/>
      <c r="C1122" s="385"/>
      <c r="D1122" s="3589"/>
      <c r="E1122" s="3589"/>
      <c r="F1122" s="3701" t="str">
        <f t="shared" si="105"/>
        <v>Ductless ASHP - ROF SF</v>
      </c>
      <c r="G1122" s="3702"/>
      <c r="H1122" s="3703"/>
      <c r="I1122" s="1425"/>
      <c r="J1122" s="862">
        <v>18</v>
      </c>
      <c r="K1122" s="852"/>
      <c r="L1122" s="837"/>
      <c r="M1122" s="1775"/>
      <c r="N1122" s="1759"/>
      <c r="O1122" s="277"/>
      <c r="P1122" s="277"/>
      <c r="Q1122" s="277"/>
      <c r="R1122" s="277"/>
      <c r="S1122" s="277"/>
      <c r="T1122" s="157"/>
      <c r="U1122" s="157"/>
      <c r="V1122" s="3589"/>
      <c r="W1122" s="862">
        <v>18</v>
      </c>
      <c r="X1122" s="862">
        <v>18</v>
      </c>
      <c r="Y1122" s="862">
        <v>18</v>
      </c>
      <c r="Z1122" s="862">
        <v>18</v>
      </c>
      <c r="AA1122" s="862">
        <v>18</v>
      </c>
      <c r="AB1122" s="862">
        <v>18</v>
      </c>
      <c r="AC1122" s="851"/>
      <c r="AD1122" s="851"/>
      <c r="AE1122" s="851"/>
      <c r="AF1122" s="851"/>
      <c r="AG1122" s="853"/>
      <c r="BB1122" s="647"/>
      <c r="BC1122" s="648"/>
      <c r="BD1122" s="757"/>
    </row>
    <row r="1123" spans="1:56" s="64" customFormat="1" outlineLevel="1" x14ac:dyDescent="0.25">
      <c r="A1123" s="1393"/>
      <c r="B1123" s="277"/>
      <c r="C1123" s="385"/>
      <c r="D1123" s="3589"/>
      <c r="E1123" s="3589"/>
      <c r="F1123" s="3704" t="str">
        <f t="shared" si="105"/>
        <v>Ductless ASHP Replace Electric Resistance ER1 SF</v>
      </c>
      <c r="G1123" s="3705"/>
      <c r="H1123" s="3706"/>
      <c r="I1123" s="1425"/>
      <c r="J1123" s="862">
        <v>6</v>
      </c>
      <c r="K1123" s="852"/>
      <c r="L1123" s="837"/>
      <c r="M1123" s="1775"/>
      <c r="N1123" s="1759"/>
      <c r="O1123" s="277"/>
      <c r="P1123" s="277"/>
      <c r="Q1123" s="277"/>
      <c r="R1123" s="277"/>
      <c r="S1123" s="277"/>
      <c r="T1123" s="157"/>
      <c r="U1123" s="157"/>
      <c r="V1123" s="3589"/>
      <c r="W1123" s="862">
        <v>6</v>
      </c>
      <c r="X1123" s="862">
        <v>6</v>
      </c>
      <c r="Y1123" s="862">
        <v>6</v>
      </c>
      <c r="Z1123" s="862">
        <v>6</v>
      </c>
      <c r="AA1123" s="862">
        <v>6</v>
      </c>
      <c r="AB1123" s="862">
        <v>6</v>
      </c>
      <c r="AC1123" s="851"/>
      <c r="AD1123" s="851"/>
      <c r="AE1123" s="851"/>
      <c r="AF1123" s="851"/>
      <c r="AG1123" s="853"/>
      <c r="BB1123" s="647"/>
      <c r="BC1123" s="648"/>
      <c r="BD1123" s="757"/>
    </row>
    <row r="1124" spans="1:56" s="64" customFormat="1" outlineLevel="1" x14ac:dyDescent="0.25">
      <c r="A1124" s="1393"/>
      <c r="B1124" s="277"/>
      <c r="C1124" s="385"/>
      <c r="D1124" s="3589"/>
      <c r="E1124" s="3589"/>
      <c r="F1124" s="3698" t="str">
        <f t="shared" si="105"/>
        <v>Ductless ASHP Replace Electric Resistance ER1 SF</v>
      </c>
      <c r="G1124" s="3699"/>
      <c r="H1124" s="3700"/>
      <c r="I1124" s="1425"/>
      <c r="J1124" s="862">
        <v>6</v>
      </c>
      <c r="K1124" s="852"/>
      <c r="L1124" s="837"/>
      <c r="M1124" s="1775"/>
      <c r="N1124" s="1759"/>
      <c r="O1124" s="277"/>
      <c r="P1124" s="277"/>
      <c r="Q1124" s="277"/>
      <c r="R1124" s="277"/>
      <c r="S1124" s="277"/>
      <c r="T1124" s="157"/>
      <c r="U1124" s="157"/>
      <c r="V1124" s="3589"/>
      <c r="W1124" s="862">
        <v>6</v>
      </c>
      <c r="X1124" s="862">
        <v>6</v>
      </c>
      <c r="Y1124" s="862">
        <v>6</v>
      </c>
      <c r="Z1124" s="862">
        <v>6</v>
      </c>
      <c r="AA1124" s="862">
        <v>6</v>
      </c>
      <c r="AB1124" s="862">
        <v>6</v>
      </c>
      <c r="AC1124" s="851"/>
      <c r="AD1124" s="851"/>
      <c r="AE1124" s="851"/>
      <c r="AF1124" s="851"/>
      <c r="AG1124" s="853"/>
      <c r="BB1124" s="647"/>
      <c r="BC1124" s="648"/>
      <c r="BD1124" s="757"/>
    </row>
    <row r="1125" spans="1:56" s="64" customFormat="1" outlineLevel="1" x14ac:dyDescent="0.25">
      <c r="A1125" s="1393"/>
      <c r="B1125" s="277"/>
      <c r="C1125" s="385"/>
      <c r="D1125" s="3589"/>
      <c r="E1125" s="3589"/>
      <c r="F1125" s="3698" t="str">
        <f t="shared" si="105"/>
        <v>Ductless ASHP Replace Electric Resistance ER2 SF</v>
      </c>
      <c r="G1125" s="3699"/>
      <c r="H1125" s="3700"/>
      <c r="I1125" s="1425"/>
      <c r="J1125" s="862">
        <v>12</v>
      </c>
      <c r="K1125" s="852"/>
      <c r="L1125" s="837"/>
      <c r="M1125" s="1775"/>
      <c r="N1125" s="1759"/>
      <c r="O1125" s="277"/>
      <c r="P1125" s="277"/>
      <c r="Q1125" s="277"/>
      <c r="R1125" s="277"/>
      <c r="S1125" s="277"/>
      <c r="T1125" s="157"/>
      <c r="U1125" s="157"/>
      <c r="V1125" s="3589"/>
      <c r="W1125" s="862">
        <v>12</v>
      </c>
      <c r="X1125" s="862">
        <v>12</v>
      </c>
      <c r="Y1125" s="862">
        <v>12</v>
      </c>
      <c r="Z1125" s="862">
        <v>12</v>
      </c>
      <c r="AA1125" s="862">
        <v>12</v>
      </c>
      <c r="AB1125" s="862">
        <v>12</v>
      </c>
      <c r="AC1125" s="851"/>
      <c r="AD1125" s="851"/>
      <c r="AE1125" s="851"/>
      <c r="AF1125" s="851"/>
      <c r="AG1125" s="853"/>
      <c r="BB1125" s="647"/>
      <c r="BC1125" s="648"/>
      <c r="BD1125" s="757"/>
    </row>
    <row r="1126" spans="1:56" s="64" customFormat="1" outlineLevel="1" x14ac:dyDescent="0.25">
      <c r="A1126" s="1393"/>
      <c r="B1126" s="277"/>
      <c r="C1126" s="385"/>
      <c r="D1126" s="3589"/>
      <c r="E1126" s="3589"/>
      <c r="F1126" s="3701" t="str">
        <f t="shared" si="105"/>
        <v>Ductless ASHP Replace Electric Resistance ER2 SF</v>
      </c>
      <c r="G1126" s="3702"/>
      <c r="H1126" s="3703"/>
      <c r="I1126" s="1425"/>
      <c r="J1126" s="862">
        <v>12</v>
      </c>
      <c r="K1126" s="852"/>
      <c r="L1126" s="837"/>
      <c r="M1126" s="1775"/>
      <c r="N1126" s="1759"/>
      <c r="O1126" s="277"/>
      <c r="P1126" s="277"/>
      <c r="Q1126" s="277"/>
      <c r="R1126" s="277"/>
      <c r="S1126" s="277"/>
      <c r="T1126" s="157"/>
      <c r="U1126" s="157"/>
      <c r="V1126" s="3589"/>
      <c r="W1126" s="862">
        <v>12</v>
      </c>
      <c r="X1126" s="862">
        <v>12</v>
      </c>
      <c r="Y1126" s="862">
        <v>12</v>
      </c>
      <c r="Z1126" s="862">
        <v>12</v>
      </c>
      <c r="AA1126" s="862">
        <v>12</v>
      </c>
      <c r="AB1126" s="862">
        <v>12</v>
      </c>
      <c r="AC1126" s="851"/>
      <c r="AD1126" s="851"/>
      <c r="AE1126" s="851"/>
      <c r="AF1126" s="851"/>
      <c r="AG1126" s="853"/>
      <c r="BB1126" s="647"/>
      <c r="BC1126" s="648"/>
      <c r="BD1126" s="757"/>
    </row>
    <row r="1127" spans="1:56" s="64" customFormat="1" outlineLevel="1" x14ac:dyDescent="0.25">
      <c r="A1127" s="1393"/>
      <c r="B1127" s="277"/>
      <c r="C1127" s="385"/>
      <c r="D1127" s="3589"/>
      <c r="E1127" s="3589"/>
      <c r="F1127" s="3704" t="str">
        <f t="shared" si="105"/>
        <v>Ductless ASHP Replace Electric Resistance ROF SF</v>
      </c>
      <c r="G1127" s="3705"/>
      <c r="H1127" s="3706"/>
      <c r="I1127" s="1425"/>
      <c r="J1127" s="862">
        <v>18</v>
      </c>
      <c r="K1127" s="852"/>
      <c r="L1127" s="837"/>
      <c r="M1127" s="1775"/>
      <c r="N1127" s="1759"/>
      <c r="O1127" s="277"/>
      <c r="P1127" s="277"/>
      <c r="Q1127" s="277"/>
      <c r="R1127" s="277"/>
      <c r="S1127" s="277"/>
      <c r="T1127" s="157"/>
      <c r="U1127" s="157"/>
      <c r="V1127" s="3589"/>
      <c r="W1127" s="862">
        <v>18</v>
      </c>
      <c r="X1127" s="862">
        <v>18</v>
      </c>
      <c r="Y1127" s="862">
        <v>18</v>
      </c>
      <c r="Z1127" s="862">
        <v>18</v>
      </c>
      <c r="AA1127" s="862">
        <v>18</v>
      </c>
      <c r="AB1127" s="862">
        <v>18</v>
      </c>
      <c r="AC1127" s="851"/>
      <c r="AD1127" s="851"/>
      <c r="AE1127" s="851"/>
      <c r="AF1127" s="851"/>
      <c r="AG1127" s="853"/>
      <c r="BB1127" s="647"/>
      <c r="BC1127" s="648"/>
      <c r="BD1127" s="757"/>
    </row>
    <row r="1128" spans="1:56" s="64" customFormat="1" outlineLevel="1" x14ac:dyDescent="0.25">
      <c r="A1128" s="1393"/>
      <c r="B1128" s="277"/>
      <c r="C1128" s="385"/>
      <c r="D1128" s="3589"/>
      <c r="E1128" s="3589"/>
      <c r="F1128" s="3701" t="str">
        <f t="shared" si="105"/>
        <v>Ductless ASHP Replace Electric Resistance ROF SF</v>
      </c>
      <c r="G1128" s="3702"/>
      <c r="H1128" s="3703"/>
      <c r="I1128" s="1425"/>
      <c r="J1128" s="862">
        <v>18</v>
      </c>
      <c r="K1128" s="852"/>
      <c r="L1128" s="837"/>
      <c r="M1128" s="1775"/>
      <c r="N1128" s="1759"/>
      <c r="O1128" s="277"/>
      <c r="P1128" s="277"/>
      <c r="Q1128" s="277"/>
      <c r="R1128" s="277"/>
      <c r="S1128" s="277"/>
      <c r="T1128" s="157"/>
      <c r="U1128" s="157"/>
      <c r="V1128" s="3589"/>
      <c r="W1128" s="862">
        <v>18</v>
      </c>
      <c r="X1128" s="862">
        <v>18</v>
      </c>
      <c r="Y1128" s="862">
        <v>18</v>
      </c>
      <c r="Z1128" s="862">
        <v>18</v>
      </c>
      <c r="AA1128" s="862">
        <v>18</v>
      </c>
      <c r="AB1128" s="862">
        <v>18</v>
      </c>
      <c r="AC1128" s="851"/>
      <c r="AD1128" s="851"/>
      <c r="AE1128" s="851"/>
      <c r="AF1128" s="851"/>
      <c r="AG1128" s="853"/>
      <c r="BB1128" s="647"/>
      <c r="BC1128" s="648"/>
      <c r="BD1128" s="757"/>
    </row>
    <row r="1129" spans="1:56" s="64" customFormat="1" outlineLevel="1" x14ac:dyDescent="0.25">
      <c r="A1129" s="1393"/>
      <c r="B1129" s="277"/>
      <c r="C1129" s="385"/>
      <c r="D1129" s="3589"/>
      <c r="E1129" s="3589"/>
      <c r="F1129" s="3704" t="str">
        <f t="shared" si="105"/>
        <v>Ductless ASHP ER1 SF</v>
      </c>
      <c r="G1129" s="3705"/>
      <c r="H1129" s="3706"/>
      <c r="I1129" s="1425"/>
      <c r="J1129" s="862">
        <v>6</v>
      </c>
      <c r="K1129" s="852"/>
      <c r="L1129" s="837"/>
      <c r="M1129" s="1775"/>
      <c r="N1129" s="1759"/>
      <c r="O1129" s="277"/>
      <c r="P1129" s="277"/>
      <c r="Q1129" s="277"/>
      <c r="R1129" s="277"/>
      <c r="S1129" s="277"/>
      <c r="T1129" s="157"/>
      <c r="U1129" s="157"/>
      <c r="V1129" s="3589"/>
      <c r="W1129" s="862">
        <v>6</v>
      </c>
      <c r="X1129" s="862">
        <v>6</v>
      </c>
      <c r="Y1129" s="862">
        <v>6</v>
      </c>
      <c r="Z1129" s="862">
        <v>6</v>
      </c>
      <c r="AA1129" s="862">
        <v>6</v>
      </c>
      <c r="AB1129" s="862">
        <v>6</v>
      </c>
      <c r="AC1129" s="851"/>
      <c r="AD1129" s="851"/>
      <c r="AE1129" s="851"/>
      <c r="AF1129" s="851"/>
      <c r="AG1129" s="853"/>
      <c r="BB1129" s="647"/>
      <c r="BC1129" s="648"/>
      <c r="BD1129" s="757"/>
    </row>
    <row r="1130" spans="1:56" s="64" customFormat="1" outlineLevel="1" x14ac:dyDescent="0.25">
      <c r="A1130" s="1393"/>
      <c r="B1130" s="277"/>
      <c r="C1130" s="385"/>
      <c r="D1130" s="3589"/>
      <c r="E1130" s="3589"/>
      <c r="F1130" s="3698" t="str">
        <f t="shared" si="105"/>
        <v>Ductless ASHP ER1 SF</v>
      </c>
      <c r="G1130" s="3699"/>
      <c r="H1130" s="3700"/>
      <c r="I1130" s="1425"/>
      <c r="J1130" s="862">
        <v>6</v>
      </c>
      <c r="K1130" s="852"/>
      <c r="L1130" s="837"/>
      <c r="M1130" s="1775"/>
      <c r="N1130" s="1759"/>
      <c r="O1130" s="277"/>
      <c r="P1130" s="277"/>
      <c r="Q1130" s="277"/>
      <c r="R1130" s="277"/>
      <c r="S1130" s="277"/>
      <c r="T1130" s="157"/>
      <c r="U1130" s="157"/>
      <c r="V1130" s="3589"/>
      <c r="W1130" s="862">
        <v>6</v>
      </c>
      <c r="X1130" s="862">
        <v>6</v>
      </c>
      <c r="Y1130" s="862">
        <v>6</v>
      </c>
      <c r="Z1130" s="862">
        <v>6</v>
      </c>
      <c r="AA1130" s="862">
        <v>6</v>
      </c>
      <c r="AB1130" s="862">
        <v>6</v>
      </c>
      <c r="AC1130" s="851"/>
      <c r="AD1130" s="851"/>
      <c r="AE1130" s="851"/>
      <c r="AF1130" s="851"/>
      <c r="AG1130" s="853"/>
      <c r="BB1130" s="647"/>
      <c r="BC1130" s="648"/>
      <c r="BD1130" s="757"/>
    </row>
    <row r="1131" spans="1:56" s="64" customFormat="1" outlineLevel="1" x14ac:dyDescent="0.25">
      <c r="A1131" s="1393"/>
      <c r="B1131" s="277"/>
      <c r="C1131" s="385"/>
      <c r="D1131" s="3589"/>
      <c r="E1131" s="3589"/>
      <c r="F1131" s="3698" t="str">
        <f t="shared" si="105"/>
        <v>Ductless ASHP ER2 SF</v>
      </c>
      <c r="G1131" s="3699"/>
      <c r="H1131" s="3700"/>
      <c r="I1131" s="1425"/>
      <c r="J1131" s="862">
        <v>12</v>
      </c>
      <c r="K1131" s="852"/>
      <c r="L1131" s="837"/>
      <c r="M1131" s="1775"/>
      <c r="N1131" s="1759"/>
      <c r="O1131" s="277"/>
      <c r="P1131" s="277"/>
      <c r="Q1131" s="277"/>
      <c r="R1131" s="277"/>
      <c r="S1131" s="277"/>
      <c r="T1131" s="157"/>
      <c r="U1131" s="157"/>
      <c r="V1131" s="3589"/>
      <c r="W1131" s="862">
        <v>12</v>
      </c>
      <c r="X1131" s="862">
        <v>12</v>
      </c>
      <c r="Y1131" s="862">
        <v>12</v>
      </c>
      <c r="Z1131" s="862">
        <v>12</v>
      </c>
      <c r="AA1131" s="862">
        <v>12</v>
      </c>
      <c r="AB1131" s="862">
        <v>12</v>
      </c>
      <c r="AC1131" s="851"/>
      <c r="AD1131" s="851"/>
      <c r="AE1131" s="851"/>
      <c r="AF1131" s="851"/>
      <c r="AG1131" s="853"/>
      <c r="BB1131" s="647"/>
      <c r="BC1131" s="648"/>
      <c r="BD1131" s="757"/>
    </row>
    <row r="1132" spans="1:56" s="64" customFormat="1" outlineLevel="1" x14ac:dyDescent="0.25">
      <c r="A1132" s="1393"/>
      <c r="B1132" s="277"/>
      <c r="C1132" s="385"/>
      <c r="D1132" s="3589"/>
      <c r="E1132" s="3589"/>
      <c r="F1132" s="3701" t="str">
        <f t="shared" si="105"/>
        <v>Ductless ASHP ER2 SF</v>
      </c>
      <c r="G1132" s="3702"/>
      <c r="H1132" s="3703"/>
      <c r="I1132" s="1425"/>
      <c r="J1132" s="862">
        <v>12</v>
      </c>
      <c r="K1132" s="852"/>
      <c r="L1132" s="837"/>
      <c r="M1132" s="1775"/>
      <c r="N1132" s="1759"/>
      <c r="O1132" s="277"/>
      <c r="P1132" s="277"/>
      <c r="Q1132" s="277"/>
      <c r="R1132" s="277"/>
      <c r="S1132" s="277"/>
      <c r="T1132" s="157"/>
      <c r="U1132" s="157"/>
      <c r="V1132" s="3589"/>
      <c r="W1132" s="862">
        <v>12</v>
      </c>
      <c r="X1132" s="862">
        <v>12</v>
      </c>
      <c r="Y1132" s="862">
        <v>12</v>
      </c>
      <c r="Z1132" s="862">
        <v>12</v>
      </c>
      <c r="AA1132" s="862">
        <v>12</v>
      </c>
      <c r="AB1132" s="862">
        <v>12</v>
      </c>
      <c r="AC1132" s="851"/>
      <c r="AD1132" s="851"/>
      <c r="AE1132" s="851"/>
      <c r="AF1132" s="851"/>
      <c r="AG1132" s="853"/>
      <c r="BB1132" s="647"/>
      <c r="BC1132" s="648"/>
      <c r="BD1132" s="757"/>
    </row>
    <row r="1133" spans="1:56" s="64" customFormat="1" outlineLevel="1" x14ac:dyDescent="0.25">
      <c r="A1133" s="1393"/>
      <c r="B1133" s="277"/>
      <c r="C1133" s="385"/>
      <c r="D1133" s="3589"/>
      <c r="E1133" s="3589"/>
      <c r="F1133" s="3704" t="str">
        <f t="shared" si="105"/>
        <v>Ductless AC - ER1 MF</v>
      </c>
      <c r="G1133" s="3705"/>
      <c r="H1133" s="3706"/>
      <c r="I1133" s="1425"/>
      <c r="J1133" s="862">
        <v>6</v>
      </c>
      <c r="K1133" s="852"/>
      <c r="L1133" s="837"/>
      <c r="M1133" s="1775"/>
      <c r="N1133" s="1759"/>
      <c r="O1133" s="277"/>
      <c r="P1133" s="277"/>
      <c r="Q1133" s="277"/>
      <c r="R1133" s="277"/>
      <c r="S1133" s="277"/>
      <c r="T1133" s="157"/>
      <c r="U1133" s="157"/>
      <c r="V1133" s="3589"/>
      <c r="W1133" s="862">
        <v>6</v>
      </c>
      <c r="X1133" s="862">
        <v>6</v>
      </c>
      <c r="Y1133" s="862">
        <v>6</v>
      </c>
      <c r="Z1133" s="862">
        <v>6</v>
      </c>
      <c r="AA1133" s="862">
        <v>6</v>
      </c>
      <c r="AB1133" s="862">
        <v>6</v>
      </c>
      <c r="AC1133" s="851"/>
      <c r="AD1133" s="851"/>
      <c r="AE1133" s="851"/>
      <c r="AF1133" s="851"/>
      <c r="AG1133" s="853"/>
      <c r="BB1133" s="647"/>
      <c r="BC1133" s="648"/>
      <c r="BD1133" s="757"/>
    </row>
    <row r="1134" spans="1:56" s="64" customFormat="1" outlineLevel="1" x14ac:dyDescent="0.25">
      <c r="A1134" s="1393"/>
      <c r="B1134" s="277"/>
      <c r="C1134" s="385"/>
      <c r="D1134" s="3589"/>
      <c r="E1134" s="3589"/>
      <c r="F1134" s="3701" t="str">
        <f t="shared" si="105"/>
        <v>Ductless AC - ER2 MF</v>
      </c>
      <c r="G1134" s="3702"/>
      <c r="H1134" s="3703"/>
      <c r="I1134" s="1425"/>
      <c r="J1134" s="862">
        <v>12</v>
      </c>
      <c r="K1134" s="852"/>
      <c r="L1134" s="837"/>
      <c r="M1134" s="1775"/>
      <c r="N1134" s="1759"/>
      <c r="O1134" s="277"/>
      <c r="P1134" s="277"/>
      <c r="Q1134" s="277"/>
      <c r="R1134" s="277"/>
      <c r="S1134" s="277"/>
      <c r="T1134" s="157"/>
      <c r="U1134" s="157"/>
      <c r="V1134" s="3589"/>
      <c r="W1134" s="862">
        <v>12</v>
      </c>
      <c r="X1134" s="862">
        <v>12</v>
      </c>
      <c r="Y1134" s="862">
        <v>12</v>
      </c>
      <c r="Z1134" s="862">
        <v>12</v>
      </c>
      <c r="AA1134" s="862">
        <v>12</v>
      </c>
      <c r="AB1134" s="862">
        <v>12</v>
      </c>
      <c r="AC1134" s="851"/>
      <c r="AD1134" s="851"/>
      <c r="AE1134" s="851"/>
      <c r="AF1134" s="851"/>
      <c r="AG1134" s="853"/>
      <c r="BB1134" s="647"/>
      <c r="BC1134" s="648"/>
      <c r="BD1134" s="757"/>
    </row>
    <row r="1135" spans="1:56" s="64" customFormat="1" outlineLevel="1" x14ac:dyDescent="0.25">
      <c r="A1135" s="1393"/>
      <c r="B1135" s="277"/>
      <c r="C1135" s="385"/>
      <c r="D1135" s="3589"/>
      <c r="E1135" s="3589"/>
      <c r="F1135" s="3708" t="str">
        <f t="shared" si="105"/>
        <v>Ductless AC - ROF MF</v>
      </c>
      <c r="G1135" s="3709"/>
      <c r="H1135" s="3710"/>
      <c r="I1135" s="1425"/>
      <c r="J1135" s="862">
        <v>18</v>
      </c>
      <c r="K1135" s="852"/>
      <c r="L1135" s="837"/>
      <c r="M1135" s="1775"/>
      <c r="N1135" s="1759"/>
      <c r="O1135" s="277"/>
      <c r="P1135" s="277"/>
      <c r="Q1135" s="277"/>
      <c r="R1135" s="277"/>
      <c r="S1135" s="277"/>
      <c r="T1135" s="157"/>
      <c r="U1135" s="157"/>
      <c r="V1135" s="3589"/>
      <c r="W1135" s="862">
        <v>18</v>
      </c>
      <c r="X1135" s="862">
        <v>18</v>
      </c>
      <c r="Y1135" s="862">
        <v>18</v>
      </c>
      <c r="Z1135" s="862">
        <v>18</v>
      </c>
      <c r="AA1135" s="862">
        <v>18</v>
      </c>
      <c r="AB1135" s="862">
        <v>18</v>
      </c>
      <c r="AC1135" s="851"/>
      <c r="AD1135" s="851"/>
      <c r="AE1135" s="851"/>
      <c r="AF1135" s="851"/>
      <c r="AG1135" s="853"/>
      <c r="BB1135" s="647"/>
      <c r="BC1135" s="648"/>
      <c r="BD1135" s="757"/>
    </row>
    <row r="1136" spans="1:56" s="64" customFormat="1" outlineLevel="1" x14ac:dyDescent="0.25">
      <c r="A1136" s="1393"/>
      <c r="B1136" s="277"/>
      <c r="C1136" s="385"/>
      <c r="D1136" s="3589"/>
      <c r="E1136" s="3589"/>
      <c r="F1136" s="3704" t="str">
        <f t="shared" si="105"/>
        <v>Ductless ASHP - ROF MF NC</v>
      </c>
      <c r="G1136" s="3705"/>
      <c r="H1136" s="3706"/>
      <c r="I1136" s="1425"/>
      <c r="J1136" s="862">
        <v>18</v>
      </c>
      <c r="K1136" s="852"/>
      <c r="L1136" s="837"/>
      <c r="M1136" s="1775"/>
      <c r="N1136" s="1759"/>
      <c r="O1136" s="277"/>
      <c r="P1136" s="277"/>
      <c r="Q1136" s="277"/>
      <c r="R1136" s="277"/>
      <c r="S1136" s="277"/>
      <c r="T1136" s="157"/>
      <c r="U1136" s="157"/>
      <c r="V1136" s="3589"/>
      <c r="W1136" s="862">
        <v>18</v>
      </c>
      <c r="X1136" s="862">
        <v>18</v>
      </c>
      <c r="Y1136" s="862">
        <v>18</v>
      </c>
      <c r="Z1136" s="862">
        <v>18</v>
      </c>
      <c r="AA1136" s="862">
        <v>18</v>
      </c>
      <c r="AB1136" s="862">
        <v>18</v>
      </c>
      <c r="AC1136" s="851"/>
      <c r="AD1136" s="851"/>
      <c r="AE1136" s="851"/>
      <c r="AF1136" s="851"/>
      <c r="AG1136" s="853"/>
      <c r="BB1136" s="647"/>
      <c r="BC1136" s="648"/>
      <c r="BD1136" s="757"/>
    </row>
    <row r="1137" spans="1:56" s="64" customFormat="1" outlineLevel="1" x14ac:dyDescent="0.25">
      <c r="A1137" s="1393"/>
      <c r="B1137" s="277"/>
      <c r="C1137" s="385"/>
      <c r="D1137" s="3589"/>
      <c r="E1137" s="3589"/>
      <c r="F1137" s="3701" t="str">
        <f t="shared" si="105"/>
        <v>Ductless ASHP - ROF MF NC</v>
      </c>
      <c r="G1137" s="3702"/>
      <c r="H1137" s="3703"/>
      <c r="I1137" s="1425"/>
      <c r="J1137" s="862">
        <v>18</v>
      </c>
      <c r="K1137" s="852"/>
      <c r="L1137" s="837"/>
      <c r="M1137" s="1775"/>
      <c r="N1137" s="1759"/>
      <c r="O1137" s="277"/>
      <c r="P1137" s="277"/>
      <c r="Q1137" s="277"/>
      <c r="R1137" s="277"/>
      <c r="S1137" s="277"/>
      <c r="T1137" s="157"/>
      <c r="U1137" s="157"/>
      <c r="V1137" s="3589"/>
      <c r="W1137" s="862">
        <v>18</v>
      </c>
      <c r="X1137" s="862">
        <v>18</v>
      </c>
      <c r="Y1137" s="862">
        <v>18</v>
      </c>
      <c r="Z1137" s="862">
        <v>18</v>
      </c>
      <c r="AA1137" s="862">
        <v>18</v>
      </c>
      <c r="AB1137" s="862">
        <v>18</v>
      </c>
      <c r="AC1137" s="851"/>
      <c r="AD1137" s="851"/>
      <c r="AE1137" s="851"/>
      <c r="AF1137" s="851"/>
      <c r="AG1137" s="853"/>
      <c r="BB1137" s="647"/>
      <c r="BC1137" s="648"/>
      <c r="BD1137" s="757"/>
    </row>
    <row r="1138" spans="1:56" s="64" customFormat="1" outlineLevel="1" x14ac:dyDescent="0.25">
      <c r="A1138" s="1393"/>
      <c r="B1138" s="277"/>
      <c r="C1138" s="385"/>
      <c r="D1138" s="3589"/>
      <c r="E1138" s="3589"/>
      <c r="F1138" s="3704" t="str">
        <f t="shared" si="105"/>
        <v>Ductless ASHP - ROF MF</v>
      </c>
      <c r="G1138" s="3705"/>
      <c r="H1138" s="3706"/>
      <c r="I1138" s="1425"/>
      <c r="J1138" s="862">
        <v>18</v>
      </c>
      <c r="K1138" s="852"/>
      <c r="L1138" s="837"/>
      <c r="M1138" s="1775"/>
      <c r="N1138" s="1759"/>
      <c r="O1138" s="277"/>
      <c r="P1138" s="277"/>
      <c r="Q1138" s="277"/>
      <c r="R1138" s="277"/>
      <c r="S1138" s="277"/>
      <c r="T1138" s="157"/>
      <c r="U1138" s="157"/>
      <c r="V1138" s="3589"/>
      <c r="W1138" s="862">
        <v>18</v>
      </c>
      <c r="X1138" s="862">
        <v>18</v>
      </c>
      <c r="Y1138" s="862">
        <v>18</v>
      </c>
      <c r="Z1138" s="862">
        <v>18</v>
      </c>
      <c r="AA1138" s="862">
        <v>18</v>
      </c>
      <c r="AB1138" s="862">
        <v>18</v>
      </c>
      <c r="AC1138" s="851"/>
      <c r="AD1138" s="851"/>
      <c r="AE1138" s="851"/>
      <c r="AF1138" s="851"/>
      <c r="AG1138" s="853"/>
      <c r="BB1138" s="647"/>
      <c r="BC1138" s="648"/>
      <c r="BD1138" s="757"/>
    </row>
    <row r="1139" spans="1:56" s="64" customFormat="1" outlineLevel="1" x14ac:dyDescent="0.25">
      <c r="A1139" s="1393"/>
      <c r="B1139" s="277"/>
      <c r="C1139" s="385"/>
      <c r="D1139" s="3589"/>
      <c r="E1139" s="3589"/>
      <c r="F1139" s="3701" t="str">
        <f t="shared" si="105"/>
        <v>Ductless ASHP - ROF MF</v>
      </c>
      <c r="G1139" s="3702"/>
      <c r="H1139" s="3703"/>
      <c r="I1139" s="1425"/>
      <c r="J1139" s="862">
        <v>18</v>
      </c>
      <c r="K1139" s="852"/>
      <c r="L1139" s="837"/>
      <c r="M1139" s="1775"/>
      <c r="N1139" s="1759"/>
      <c r="O1139" s="277"/>
      <c r="P1139" s="277"/>
      <c r="Q1139" s="277"/>
      <c r="R1139" s="277"/>
      <c r="S1139" s="277"/>
      <c r="T1139" s="157"/>
      <c r="U1139" s="157"/>
      <c r="V1139" s="3589"/>
      <c r="W1139" s="862">
        <v>18</v>
      </c>
      <c r="X1139" s="862">
        <v>18</v>
      </c>
      <c r="Y1139" s="862">
        <v>18</v>
      </c>
      <c r="Z1139" s="862">
        <v>18</v>
      </c>
      <c r="AA1139" s="862">
        <v>18</v>
      </c>
      <c r="AB1139" s="862">
        <v>18</v>
      </c>
      <c r="AC1139" s="851"/>
      <c r="AD1139" s="851"/>
      <c r="AE1139" s="851"/>
      <c r="AF1139" s="851"/>
      <c r="AG1139" s="853"/>
      <c r="BB1139" s="647"/>
      <c r="BC1139" s="648"/>
      <c r="BD1139" s="757"/>
    </row>
    <row r="1140" spans="1:56" s="64" customFormat="1" outlineLevel="1" x14ac:dyDescent="0.25">
      <c r="A1140" s="1393"/>
      <c r="B1140" s="277"/>
      <c r="C1140" s="385"/>
      <c r="D1140" s="3589"/>
      <c r="E1140" s="3589"/>
      <c r="F1140" s="3704" t="str">
        <f t="shared" si="105"/>
        <v>Ductless ASHP Replace Electric Resistance ER1 MF</v>
      </c>
      <c r="G1140" s="3705"/>
      <c r="H1140" s="3706"/>
      <c r="I1140" s="1425"/>
      <c r="J1140" s="862">
        <v>6</v>
      </c>
      <c r="K1140" s="852"/>
      <c r="L1140" s="837"/>
      <c r="M1140" s="1775"/>
      <c r="N1140" s="1759"/>
      <c r="O1140" s="277"/>
      <c r="P1140" s="277"/>
      <c r="Q1140" s="277"/>
      <c r="R1140" s="277"/>
      <c r="S1140" s="277"/>
      <c r="T1140" s="157"/>
      <c r="U1140" s="157"/>
      <c r="V1140" s="3589"/>
      <c r="W1140" s="862">
        <v>6</v>
      </c>
      <c r="X1140" s="862">
        <v>6</v>
      </c>
      <c r="Y1140" s="862">
        <v>6</v>
      </c>
      <c r="Z1140" s="862">
        <v>6</v>
      </c>
      <c r="AA1140" s="862">
        <v>6</v>
      </c>
      <c r="AB1140" s="862">
        <v>6</v>
      </c>
      <c r="AC1140" s="851"/>
      <c r="AD1140" s="851"/>
      <c r="AE1140" s="851"/>
      <c r="AF1140" s="851"/>
      <c r="AG1140" s="853"/>
      <c r="BB1140" s="647"/>
      <c r="BC1140" s="648"/>
      <c r="BD1140" s="757"/>
    </row>
    <row r="1141" spans="1:56" s="64" customFormat="1" outlineLevel="1" x14ac:dyDescent="0.25">
      <c r="A1141" s="1393"/>
      <c r="B1141" s="277"/>
      <c r="C1141" s="385"/>
      <c r="D1141" s="3589"/>
      <c r="E1141" s="3589"/>
      <c r="F1141" s="3698" t="str">
        <f t="shared" si="105"/>
        <v>Ductless ASHP Replace Electric Resistance ER1 MF</v>
      </c>
      <c r="G1141" s="3699"/>
      <c r="H1141" s="3700"/>
      <c r="I1141" s="1425"/>
      <c r="J1141" s="862">
        <v>6</v>
      </c>
      <c r="K1141" s="852"/>
      <c r="L1141" s="837"/>
      <c r="M1141" s="1775"/>
      <c r="N1141" s="1759"/>
      <c r="O1141" s="277"/>
      <c r="P1141" s="277"/>
      <c r="Q1141" s="277"/>
      <c r="R1141" s="277"/>
      <c r="S1141" s="277"/>
      <c r="T1141" s="157"/>
      <c r="U1141" s="157"/>
      <c r="V1141" s="3589"/>
      <c r="W1141" s="862">
        <v>6</v>
      </c>
      <c r="X1141" s="862">
        <v>6</v>
      </c>
      <c r="Y1141" s="862">
        <v>6</v>
      </c>
      <c r="Z1141" s="862">
        <v>6</v>
      </c>
      <c r="AA1141" s="862">
        <v>6</v>
      </c>
      <c r="AB1141" s="862">
        <v>6</v>
      </c>
      <c r="AC1141" s="851"/>
      <c r="AD1141" s="851"/>
      <c r="AE1141" s="851"/>
      <c r="AF1141" s="851"/>
      <c r="AG1141" s="853"/>
      <c r="BB1141" s="647"/>
      <c r="BC1141" s="648"/>
      <c r="BD1141" s="757"/>
    </row>
    <row r="1142" spans="1:56" s="64" customFormat="1" outlineLevel="1" x14ac:dyDescent="0.25">
      <c r="A1142" s="1393"/>
      <c r="B1142" s="277"/>
      <c r="C1142" s="385"/>
      <c r="D1142" s="3589"/>
      <c r="E1142" s="3589"/>
      <c r="F1142" s="3698" t="str">
        <f t="shared" si="105"/>
        <v>Ductless ASHP Replace Electric Resistance ER2 MF</v>
      </c>
      <c r="G1142" s="3699"/>
      <c r="H1142" s="3700"/>
      <c r="I1142" s="1425"/>
      <c r="J1142" s="862">
        <v>12</v>
      </c>
      <c r="K1142" s="852"/>
      <c r="L1142" s="837"/>
      <c r="M1142" s="1775"/>
      <c r="N1142" s="1759"/>
      <c r="O1142" s="277"/>
      <c r="P1142" s="277"/>
      <c r="Q1142" s="277"/>
      <c r="R1142" s="277"/>
      <c r="S1142" s="277"/>
      <c r="T1142" s="157"/>
      <c r="U1142" s="157"/>
      <c r="V1142" s="3589"/>
      <c r="W1142" s="862">
        <v>12</v>
      </c>
      <c r="X1142" s="862">
        <v>12</v>
      </c>
      <c r="Y1142" s="862">
        <v>12</v>
      </c>
      <c r="Z1142" s="862">
        <v>12</v>
      </c>
      <c r="AA1142" s="862">
        <v>12</v>
      </c>
      <c r="AB1142" s="862">
        <v>12</v>
      </c>
      <c r="AC1142" s="851"/>
      <c r="AD1142" s="851"/>
      <c r="AE1142" s="851"/>
      <c r="AF1142" s="851"/>
      <c r="AG1142" s="853"/>
      <c r="BB1142" s="647"/>
      <c r="BC1142" s="648"/>
      <c r="BD1142" s="757"/>
    </row>
    <row r="1143" spans="1:56" s="64" customFormat="1" outlineLevel="1" x14ac:dyDescent="0.25">
      <c r="A1143" s="1393"/>
      <c r="B1143" s="277"/>
      <c r="C1143" s="385"/>
      <c r="D1143" s="3589"/>
      <c r="E1143" s="3589"/>
      <c r="F1143" s="3701" t="str">
        <f t="shared" si="105"/>
        <v>Ductless ASHP Replace Electric Resistance ER2 MF</v>
      </c>
      <c r="G1143" s="3702"/>
      <c r="H1143" s="3703"/>
      <c r="I1143" s="1425"/>
      <c r="J1143" s="862">
        <v>12</v>
      </c>
      <c r="K1143" s="852"/>
      <c r="L1143" s="837"/>
      <c r="M1143" s="1775"/>
      <c r="N1143" s="1759"/>
      <c r="O1143" s="277"/>
      <c r="P1143" s="277"/>
      <c r="Q1143" s="277"/>
      <c r="R1143" s="277"/>
      <c r="S1143" s="277"/>
      <c r="T1143" s="157"/>
      <c r="U1143" s="157"/>
      <c r="V1143" s="3589"/>
      <c r="W1143" s="862">
        <v>12</v>
      </c>
      <c r="X1143" s="862">
        <v>12</v>
      </c>
      <c r="Y1143" s="862">
        <v>12</v>
      </c>
      <c r="Z1143" s="862">
        <v>12</v>
      </c>
      <c r="AA1143" s="862">
        <v>12</v>
      </c>
      <c r="AB1143" s="862">
        <v>12</v>
      </c>
      <c r="AC1143" s="851"/>
      <c r="AD1143" s="851"/>
      <c r="AE1143" s="851"/>
      <c r="AF1143" s="851"/>
      <c r="AG1143" s="853"/>
      <c r="BB1143" s="647"/>
      <c r="BC1143" s="648"/>
      <c r="BD1143" s="757"/>
    </row>
    <row r="1144" spans="1:56" s="64" customFormat="1" outlineLevel="1" x14ac:dyDescent="0.25">
      <c r="A1144" s="1393"/>
      <c r="B1144" s="277"/>
      <c r="C1144" s="385"/>
      <c r="D1144" s="3589"/>
      <c r="E1144" s="3589"/>
      <c r="F1144" s="3704" t="str">
        <f t="shared" si="105"/>
        <v>Ductless ASHP Replace Electric Resistance ROF MF</v>
      </c>
      <c r="G1144" s="3705"/>
      <c r="H1144" s="3706"/>
      <c r="I1144" s="1425"/>
      <c r="J1144" s="862">
        <v>18</v>
      </c>
      <c r="K1144" s="852"/>
      <c r="L1144" s="837"/>
      <c r="M1144" s="1775"/>
      <c r="N1144" s="1759"/>
      <c r="O1144" s="277"/>
      <c r="P1144" s="277"/>
      <c r="Q1144" s="277"/>
      <c r="R1144" s="277"/>
      <c r="S1144" s="277"/>
      <c r="T1144" s="157"/>
      <c r="U1144" s="157"/>
      <c r="V1144" s="3589"/>
      <c r="W1144" s="862">
        <v>18</v>
      </c>
      <c r="X1144" s="862">
        <v>18</v>
      </c>
      <c r="Y1144" s="862">
        <v>18</v>
      </c>
      <c r="Z1144" s="862">
        <v>18</v>
      </c>
      <c r="AA1144" s="862">
        <v>18</v>
      </c>
      <c r="AB1144" s="862">
        <v>18</v>
      </c>
      <c r="AC1144" s="851"/>
      <c r="AD1144" s="851"/>
      <c r="AE1144" s="851"/>
      <c r="AF1144" s="851"/>
      <c r="AG1144" s="853"/>
      <c r="BB1144" s="647"/>
      <c r="BC1144" s="648"/>
      <c r="BD1144" s="757"/>
    </row>
    <row r="1145" spans="1:56" s="64" customFormat="1" outlineLevel="1" x14ac:dyDescent="0.25">
      <c r="A1145" s="1393"/>
      <c r="B1145" s="277"/>
      <c r="C1145" s="385"/>
      <c r="D1145" s="3589"/>
      <c r="E1145" s="3589"/>
      <c r="F1145" s="3701" t="str">
        <f t="shared" si="105"/>
        <v>Ductless ASHP Replace Electric Resistance ROF MF</v>
      </c>
      <c r="G1145" s="3702"/>
      <c r="H1145" s="3703"/>
      <c r="I1145" s="1425"/>
      <c r="J1145" s="862">
        <v>18</v>
      </c>
      <c r="K1145" s="852"/>
      <c r="L1145" s="837"/>
      <c r="M1145" s="1775"/>
      <c r="N1145" s="1759"/>
      <c r="O1145" s="277"/>
      <c r="P1145" s="277"/>
      <c r="Q1145" s="277"/>
      <c r="R1145" s="277"/>
      <c r="S1145" s="277"/>
      <c r="T1145" s="157"/>
      <c r="U1145" s="157"/>
      <c r="V1145" s="3589"/>
      <c r="W1145" s="862">
        <v>18</v>
      </c>
      <c r="X1145" s="862">
        <v>18</v>
      </c>
      <c r="Y1145" s="862">
        <v>18</v>
      </c>
      <c r="Z1145" s="862">
        <v>18</v>
      </c>
      <c r="AA1145" s="862">
        <v>18</v>
      </c>
      <c r="AB1145" s="862">
        <v>18</v>
      </c>
      <c r="AC1145" s="851"/>
      <c r="AD1145" s="851"/>
      <c r="AE1145" s="851"/>
      <c r="AF1145" s="851"/>
      <c r="AG1145" s="853"/>
      <c r="BB1145" s="647"/>
      <c r="BC1145" s="648"/>
      <c r="BD1145" s="757"/>
    </row>
    <row r="1146" spans="1:56" s="64" customFormat="1" outlineLevel="1" x14ac:dyDescent="0.25">
      <c r="A1146" s="1393"/>
      <c r="B1146" s="277"/>
      <c r="C1146" s="385"/>
      <c r="D1146" s="3589"/>
      <c r="E1146" s="3589"/>
      <c r="F1146" s="3704" t="str">
        <f t="shared" si="105"/>
        <v>Ductless ASHP ER1 MF</v>
      </c>
      <c r="G1146" s="3705"/>
      <c r="H1146" s="3706"/>
      <c r="I1146" s="1425"/>
      <c r="J1146" s="862">
        <v>6</v>
      </c>
      <c r="K1146" s="852"/>
      <c r="L1146" s="837"/>
      <c r="M1146" s="1775"/>
      <c r="N1146" s="1759"/>
      <c r="O1146" s="277"/>
      <c r="P1146" s="277"/>
      <c r="Q1146" s="277"/>
      <c r="R1146" s="277"/>
      <c r="S1146" s="277"/>
      <c r="T1146" s="157"/>
      <c r="U1146" s="157"/>
      <c r="V1146" s="3589"/>
      <c r="W1146" s="862">
        <v>6</v>
      </c>
      <c r="X1146" s="862">
        <v>6</v>
      </c>
      <c r="Y1146" s="862">
        <v>6</v>
      </c>
      <c r="Z1146" s="862">
        <v>6</v>
      </c>
      <c r="AA1146" s="862">
        <v>6</v>
      </c>
      <c r="AB1146" s="862">
        <v>6</v>
      </c>
      <c r="AC1146" s="851"/>
      <c r="AD1146" s="851"/>
      <c r="AE1146" s="851"/>
      <c r="AF1146" s="851"/>
      <c r="AG1146" s="853"/>
      <c r="BB1146" s="647"/>
      <c r="BC1146" s="648"/>
      <c r="BD1146" s="757"/>
    </row>
    <row r="1147" spans="1:56" s="64" customFormat="1" outlineLevel="1" x14ac:dyDescent="0.25">
      <c r="A1147" s="1393"/>
      <c r="B1147" s="277"/>
      <c r="C1147" s="385"/>
      <c r="D1147" s="3589"/>
      <c r="E1147" s="3589"/>
      <c r="F1147" s="3698" t="str">
        <f t="shared" si="105"/>
        <v>Ductless ASHP ER1 MF</v>
      </c>
      <c r="G1147" s="3699"/>
      <c r="H1147" s="3700"/>
      <c r="I1147" s="1425"/>
      <c r="J1147" s="862">
        <v>6</v>
      </c>
      <c r="K1147" s="852"/>
      <c r="L1147" s="837"/>
      <c r="M1147" s="1775"/>
      <c r="N1147" s="1759"/>
      <c r="O1147" s="277"/>
      <c r="P1147" s="277"/>
      <c r="Q1147" s="277"/>
      <c r="R1147" s="277"/>
      <c r="S1147" s="277"/>
      <c r="T1147" s="157"/>
      <c r="U1147" s="157"/>
      <c r="V1147" s="3589"/>
      <c r="W1147" s="862">
        <v>6</v>
      </c>
      <c r="X1147" s="862">
        <v>6</v>
      </c>
      <c r="Y1147" s="862">
        <v>6</v>
      </c>
      <c r="Z1147" s="862">
        <v>6</v>
      </c>
      <c r="AA1147" s="862">
        <v>6</v>
      </c>
      <c r="AB1147" s="862">
        <v>6</v>
      </c>
      <c r="AC1147" s="851"/>
      <c r="AD1147" s="851"/>
      <c r="AE1147" s="851"/>
      <c r="AF1147" s="851"/>
      <c r="AG1147" s="853"/>
      <c r="BB1147" s="647"/>
      <c r="BC1147" s="648"/>
      <c r="BD1147" s="757"/>
    </row>
    <row r="1148" spans="1:56" s="64" customFormat="1" outlineLevel="1" x14ac:dyDescent="0.25">
      <c r="A1148" s="1393"/>
      <c r="B1148" s="277"/>
      <c r="C1148" s="385"/>
      <c r="D1148" s="3589"/>
      <c r="E1148" s="3589"/>
      <c r="F1148" s="3698" t="str">
        <f t="shared" si="105"/>
        <v>Ductless ASHP ER2 MF</v>
      </c>
      <c r="G1148" s="3699"/>
      <c r="H1148" s="3700"/>
      <c r="I1148" s="1425"/>
      <c r="J1148" s="862">
        <v>12</v>
      </c>
      <c r="K1148" s="852"/>
      <c r="L1148" s="2670"/>
      <c r="M1148" s="1775"/>
      <c r="N1148" s="1759"/>
      <c r="O1148" s="277"/>
      <c r="P1148" s="277"/>
      <c r="Q1148" s="277"/>
      <c r="R1148" s="277"/>
      <c r="S1148" s="277"/>
      <c r="T1148" s="157"/>
      <c r="U1148" s="157"/>
      <c r="V1148" s="3589"/>
      <c r="W1148" s="862">
        <v>12</v>
      </c>
      <c r="X1148" s="862">
        <v>12</v>
      </c>
      <c r="Y1148" s="862">
        <v>12</v>
      </c>
      <c r="Z1148" s="862">
        <v>12</v>
      </c>
      <c r="AA1148" s="862">
        <v>12</v>
      </c>
      <c r="AB1148" s="862">
        <v>12</v>
      </c>
      <c r="AC1148" s="851"/>
      <c r="AD1148" s="851"/>
      <c r="AE1148" s="851"/>
      <c r="AF1148" s="851"/>
      <c r="AG1148" s="853"/>
      <c r="BB1148" s="647"/>
      <c r="BC1148" s="648"/>
      <c r="BD1148" s="757"/>
    </row>
    <row r="1149" spans="1:56" s="64" customFormat="1" ht="15.75" outlineLevel="1" thickBot="1" x14ac:dyDescent="0.3">
      <c r="A1149" s="1393"/>
      <c r="B1149" s="277"/>
      <c r="C1149" s="385"/>
      <c r="D1149" s="3687"/>
      <c r="E1149" s="3687"/>
      <c r="F1149" s="3701" t="str">
        <f t="shared" si="105"/>
        <v>Ductless ASHP ER2 MF</v>
      </c>
      <c r="G1149" s="3702"/>
      <c r="H1149" s="3703"/>
      <c r="I1149" s="863"/>
      <c r="J1149" s="864">
        <v>12</v>
      </c>
      <c r="K1149" s="857"/>
      <c r="L1149" s="2883"/>
      <c r="M1149" s="1775"/>
      <c r="N1149" s="1759"/>
      <c r="O1149" s="277"/>
      <c r="P1149" s="277"/>
      <c r="Q1149" s="277"/>
      <c r="R1149" s="277"/>
      <c r="S1149" s="277"/>
      <c r="T1149" s="157"/>
      <c r="U1149" s="157"/>
      <c r="V1149" s="3687"/>
      <c r="W1149" s="864">
        <v>12</v>
      </c>
      <c r="X1149" s="864">
        <v>12</v>
      </c>
      <c r="Y1149" s="864">
        <v>12</v>
      </c>
      <c r="Z1149" s="864">
        <v>12</v>
      </c>
      <c r="AA1149" s="864">
        <v>12</v>
      </c>
      <c r="AB1149" s="864">
        <v>12</v>
      </c>
      <c r="AC1149" s="858"/>
      <c r="AD1149" s="858"/>
      <c r="AE1149" s="858"/>
      <c r="AF1149" s="858"/>
      <c r="AG1149" s="859"/>
      <c r="BB1149" s="647"/>
      <c r="BC1149" s="648"/>
      <c r="BD1149" s="757"/>
    </row>
    <row r="1150" spans="1:56" s="64" customFormat="1" ht="15" customHeight="1" outlineLevel="1" x14ac:dyDescent="0.25">
      <c r="A1150" s="1393"/>
      <c r="B1150" s="277"/>
      <c r="C1150" s="385"/>
      <c r="D1150" s="3723" t="str">
        <f>D707</f>
        <v>Inc. Cost</v>
      </c>
      <c r="E1150" s="3723" t="str">
        <f>E707</f>
        <v>Incremental Cost ($)</v>
      </c>
      <c r="F1150" s="3711" t="str">
        <f>F1116</f>
        <v>Ductless AC - ER1 SF</v>
      </c>
      <c r="G1150" s="3712"/>
      <c r="H1150" s="3713"/>
      <c r="I1150" s="881"/>
      <c r="J1150" s="3234">
        <f>((P$872*K1150)+P$858)-((O$873*K1150)/((1+P$876)^(P$877-1)))</f>
        <v>1231.1592671062349</v>
      </c>
      <c r="K1150" s="2882">
        <f>K959</f>
        <v>1.5</v>
      </c>
      <c r="L1150" s="879" t="s">
        <v>3672</v>
      </c>
      <c r="M1150" s="1775"/>
      <c r="N1150" s="1759"/>
      <c r="O1150" s="277"/>
      <c r="P1150" s="277"/>
      <c r="Q1150" s="277"/>
      <c r="R1150" s="277"/>
      <c r="S1150" s="277"/>
      <c r="T1150" s="157"/>
      <c r="U1150" s="157"/>
      <c r="V1150" s="3588" t="str">
        <f>D1150</f>
        <v>Inc. Cost</v>
      </c>
      <c r="W1150" s="867">
        <v>2389.0666666666666</v>
      </c>
      <c r="X1150" s="868">
        <f>(2108*(X$959/12000)/1.5)*X$1064</f>
        <v>2108</v>
      </c>
      <c r="Y1150" s="868">
        <f>(2108*(Y$959/12000)/1.5)*Y$1064</f>
        <v>2108</v>
      </c>
      <c r="Z1150" s="867">
        <v>2108</v>
      </c>
      <c r="AA1150" s="867">
        <v>2108</v>
      </c>
      <c r="AB1150" s="2694">
        <v>1231.1592671062349</v>
      </c>
      <c r="AC1150" s="849"/>
      <c r="AD1150" s="849"/>
      <c r="AE1150" s="849"/>
      <c r="AF1150" s="849"/>
      <c r="AG1150" s="850"/>
      <c r="BB1150" s="647"/>
      <c r="BC1150" s="648"/>
      <c r="BD1150" s="757"/>
    </row>
    <row r="1151" spans="1:56" s="64" customFormat="1" outlineLevel="1" x14ac:dyDescent="0.25">
      <c r="A1151" s="1393"/>
      <c r="B1151" s="277"/>
      <c r="C1151" s="385"/>
      <c r="D1151" s="3724"/>
      <c r="E1151" s="3724"/>
      <c r="F1151" s="3701" t="str">
        <f t="shared" ref="F1151:F1183" si="106">F1117</f>
        <v>Ductless AC - ER2 SF</v>
      </c>
      <c r="G1151" s="3702"/>
      <c r="H1151" s="3703"/>
      <c r="I1151" s="2767"/>
      <c r="J1151" s="869"/>
      <c r="K1151" s="2692"/>
      <c r="L1151" s="837"/>
      <c r="M1151" s="1775"/>
      <c r="N1151" s="1759"/>
      <c r="O1151" s="277"/>
      <c r="P1151" s="277"/>
      <c r="Q1151" s="277"/>
      <c r="R1151" s="277"/>
      <c r="S1151" s="277"/>
      <c r="T1151" s="157"/>
      <c r="U1151" s="157"/>
      <c r="V1151" s="3589"/>
      <c r="W1151" s="869"/>
      <c r="X1151" s="866"/>
      <c r="Y1151" s="866"/>
      <c r="Z1151" s="869"/>
      <c r="AA1151" s="869"/>
      <c r="AB1151" s="2695"/>
      <c r="AC1151" s="851"/>
      <c r="AD1151" s="851"/>
      <c r="AE1151" s="851"/>
      <c r="AF1151" s="851"/>
      <c r="AG1151" s="853"/>
      <c r="BB1151" s="647"/>
      <c r="BC1151" s="648"/>
      <c r="BD1151" s="757"/>
    </row>
    <row r="1152" spans="1:56" s="64" customFormat="1" outlineLevel="1" x14ac:dyDescent="0.25">
      <c r="A1152" s="1393"/>
      <c r="B1152" s="277"/>
      <c r="C1152" s="385"/>
      <c r="D1152" s="3724"/>
      <c r="E1152" s="3724"/>
      <c r="F1152" s="3708" t="str">
        <f t="shared" si="106"/>
        <v>Ductless AC - ROF SF</v>
      </c>
      <c r="G1152" s="3709"/>
      <c r="H1152" s="3710"/>
      <c r="I1152" s="2767"/>
      <c r="J1152" s="869">
        <f>(MIN(2000,P$867)-P$872)*K$856</f>
        <v>336</v>
      </c>
      <c r="K1152" s="2692">
        <f>K960</f>
        <v>1.3125</v>
      </c>
      <c r="L1152" s="837" t="s">
        <v>3672</v>
      </c>
      <c r="M1152" s="1775"/>
      <c r="N1152" s="1759"/>
      <c r="O1152" s="277"/>
      <c r="P1152" s="277"/>
      <c r="Q1152" s="277"/>
      <c r="R1152" s="277"/>
      <c r="S1152" s="277"/>
      <c r="T1152" s="157"/>
      <c r="U1152" s="157"/>
      <c r="V1152" s="3589"/>
      <c r="W1152" s="869">
        <v>1648</v>
      </c>
      <c r="X1152" s="866">
        <f>(1545*(X$960/12000)/1.5)*X$1066</f>
        <v>1545</v>
      </c>
      <c r="Y1152" s="866">
        <f>(1545*(Y$960/12000)/1.5)*Y$1066</f>
        <v>1545</v>
      </c>
      <c r="Z1152" s="869">
        <v>1545</v>
      </c>
      <c r="AA1152" s="869">
        <v>1545</v>
      </c>
      <c r="AB1152" s="2695">
        <v>336</v>
      </c>
      <c r="AC1152" s="851"/>
      <c r="AD1152" s="851"/>
      <c r="AE1152" s="851"/>
      <c r="AF1152" s="851"/>
      <c r="AG1152" s="853"/>
      <c r="BB1152" s="647"/>
      <c r="BC1152" s="648"/>
      <c r="BD1152" s="757"/>
    </row>
    <row r="1153" spans="1:56" s="64" customFormat="1" outlineLevel="1" x14ac:dyDescent="0.25">
      <c r="A1153" s="1393"/>
      <c r="B1153" s="277"/>
      <c r="C1153" s="385"/>
      <c r="D1153" s="3724"/>
      <c r="E1153" s="3724"/>
      <c r="F1153" s="3704" t="str">
        <f t="shared" si="106"/>
        <v>Ductless ASHP - ROF SF NC</v>
      </c>
      <c r="G1153" s="3705"/>
      <c r="H1153" s="3706"/>
      <c r="I1153" s="2767"/>
      <c r="J1153" s="869">
        <f>(MIN(2000,P$867)-P$872)*K$856</f>
        <v>336</v>
      </c>
      <c r="K1153" s="2692">
        <f t="shared" ref="K1153" si="107">K961</f>
        <v>1.5</v>
      </c>
      <c r="L1153" s="837" t="s">
        <v>3672</v>
      </c>
      <c r="M1153" s="1775"/>
      <c r="N1153" s="1759"/>
      <c r="O1153" s="277"/>
      <c r="P1153" s="277"/>
      <c r="Q1153" s="277"/>
      <c r="R1153" s="277"/>
      <c r="S1153" s="277"/>
      <c r="T1153" s="157"/>
      <c r="U1153" s="157"/>
      <c r="V1153" s="3589"/>
      <c r="W1153" s="869">
        <v>828.79999999999984</v>
      </c>
      <c r="X1153" s="866">
        <f>(888*(X$961/12000)/1.5)*X$1067</f>
        <v>888</v>
      </c>
      <c r="Y1153" s="866">
        <f>(888*(Y$961/12000)/1.5)*Y$1067</f>
        <v>888</v>
      </c>
      <c r="Z1153" s="869">
        <v>888</v>
      </c>
      <c r="AA1153" s="869">
        <v>888</v>
      </c>
      <c r="AB1153" s="2695">
        <v>336</v>
      </c>
      <c r="AC1153" s="851"/>
      <c r="AD1153" s="851"/>
      <c r="AE1153" s="851"/>
      <c r="AF1153" s="851"/>
      <c r="AG1153" s="853"/>
      <c r="BB1153" s="647"/>
      <c r="BC1153" s="648"/>
      <c r="BD1153" s="757"/>
    </row>
    <row r="1154" spans="1:56" s="64" customFormat="1" outlineLevel="1" x14ac:dyDescent="0.25">
      <c r="A1154" s="1393"/>
      <c r="B1154" s="277"/>
      <c r="C1154" s="385"/>
      <c r="D1154" s="3724"/>
      <c r="E1154" s="3724"/>
      <c r="F1154" s="3701" t="str">
        <f t="shared" si="106"/>
        <v>Ductless ASHP - ROF SF NC</v>
      </c>
      <c r="G1154" s="3702"/>
      <c r="H1154" s="3703"/>
      <c r="I1154" s="2767"/>
      <c r="J1154" s="869"/>
      <c r="K1154" s="2692"/>
      <c r="L1154" s="837"/>
      <c r="M1154" s="1775"/>
      <c r="N1154" s="1759"/>
      <c r="O1154" s="277"/>
      <c r="P1154" s="277"/>
      <c r="Q1154" s="277"/>
      <c r="R1154" s="277"/>
      <c r="S1154" s="277"/>
      <c r="T1154" s="157"/>
      <c r="U1154" s="157"/>
      <c r="V1154" s="3589"/>
      <c r="W1154" s="869"/>
      <c r="X1154" s="866"/>
      <c r="Y1154" s="866"/>
      <c r="Z1154" s="869"/>
      <c r="AA1154" s="869"/>
      <c r="AB1154" s="2695"/>
      <c r="AC1154" s="851"/>
      <c r="AD1154" s="851"/>
      <c r="AE1154" s="851"/>
      <c r="AF1154" s="851"/>
      <c r="AG1154" s="853"/>
      <c r="BB1154" s="647"/>
      <c r="BC1154" s="648"/>
      <c r="BD1154" s="757"/>
    </row>
    <row r="1155" spans="1:56" s="64" customFormat="1" outlineLevel="1" x14ac:dyDescent="0.25">
      <c r="A1155" s="1393"/>
      <c r="B1155" s="277"/>
      <c r="C1155" s="385"/>
      <c r="D1155" s="3724"/>
      <c r="E1155" s="3724"/>
      <c r="F1155" s="3704" t="str">
        <f t="shared" si="106"/>
        <v>Ductless ASHP - ROF SF</v>
      </c>
      <c r="G1155" s="3705"/>
      <c r="H1155" s="3706"/>
      <c r="I1155" s="2767"/>
      <c r="J1155" s="869">
        <f>(MIN(2000,P$867)-P$872)*K$856</f>
        <v>336</v>
      </c>
      <c r="K1155" s="2692">
        <f>K962</f>
        <v>1.5184210526315791</v>
      </c>
      <c r="L1155" s="837" t="s">
        <v>3672</v>
      </c>
      <c r="M1155" s="1775"/>
      <c r="N1155" s="1759"/>
      <c r="O1155" s="277"/>
      <c r="P1155" s="277"/>
      <c r="Q1155" s="277"/>
      <c r="R1155" s="277"/>
      <c r="S1155" s="277"/>
      <c r="T1155" s="157"/>
      <c r="U1155" s="157"/>
      <c r="V1155" s="3589"/>
      <c r="W1155" s="869">
        <v>1006.4</v>
      </c>
      <c r="X1155" s="866">
        <f>(888*(X$959/12000)/1.5)*X$1069</f>
        <v>888</v>
      </c>
      <c r="Y1155" s="866">
        <f>(888*(Y$959/12000)/1.5)*Y$1069</f>
        <v>888</v>
      </c>
      <c r="Z1155" s="869">
        <v>888</v>
      </c>
      <c r="AA1155" s="869">
        <v>888</v>
      </c>
      <c r="AB1155" s="2695">
        <v>336</v>
      </c>
      <c r="AC1155" s="851"/>
      <c r="AD1155" s="851"/>
      <c r="AE1155" s="851"/>
      <c r="AF1155" s="851"/>
      <c r="AG1155" s="853"/>
      <c r="BB1155" s="647"/>
      <c r="BC1155" s="648"/>
      <c r="BD1155" s="757"/>
    </row>
    <row r="1156" spans="1:56" s="64" customFormat="1" outlineLevel="1" x14ac:dyDescent="0.25">
      <c r="A1156" s="1393"/>
      <c r="B1156" s="277"/>
      <c r="C1156" s="385"/>
      <c r="D1156" s="3724"/>
      <c r="E1156" s="3724"/>
      <c r="F1156" s="3701" t="str">
        <f t="shared" si="106"/>
        <v>Ductless ASHP - ROF SF</v>
      </c>
      <c r="G1156" s="3702"/>
      <c r="H1156" s="3703"/>
      <c r="I1156" s="2767"/>
      <c r="J1156" s="869"/>
      <c r="K1156" s="2692"/>
      <c r="L1156" s="837"/>
      <c r="M1156" s="1775"/>
      <c r="N1156" s="1759"/>
      <c r="O1156" s="277"/>
      <c r="P1156" s="277"/>
      <c r="Q1156" s="277"/>
      <c r="R1156" s="277"/>
      <c r="S1156" s="277"/>
      <c r="T1156" s="157"/>
      <c r="U1156" s="157"/>
      <c r="V1156" s="3589"/>
      <c r="W1156" s="869"/>
      <c r="X1156" s="866"/>
      <c r="Y1156" s="866"/>
      <c r="Z1156" s="869"/>
      <c r="AA1156" s="869"/>
      <c r="AB1156" s="2695"/>
      <c r="AC1156" s="851"/>
      <c r="AD1156" s="851"/>
      <c r="AE1156" s="851"/>
      <c r="AF1156" s="851"/>
      <c r="AG1156" s="853"/>
      <c r="BB1156" s="647"/>
      <c r="BC1156" s="648"/>
      <c r="BD1156" s="757"/>
    </row>
    <row r="1157" spans="1:56" s="64" customFormat="1" outlineLevel="1" x14ac:dyDescent="0.25">
      <c r="A1157" s="1393"/>
      <c r="B1157" s="277"/>
      <c r="C1157" s="385"/>
      <c r="D1157" s="3724"/>
      <c r="E1157" s="3724"/>
      <c r="F1157" s="3704" t="str">
        <f t="shared" si="106"/>
        <v>Ductless ASHP Replace Electric Resistance ER1 SF</v>
      </c>
      <c r="G1157" s="3705"/>
      <c r="H1157" s="3706"/>
      <c r="I1157" s="2767"/>
      <c r="J1157" s="869">
        <f>((P$872*K1157)+P$858)-((O$874*K1157)/((1+P$876)^(P$877-1)))</f>
        <v>2504.17</v>
      </c>
      <c r="K1157" s="2692">
        <f>K963</f>
        <v>1.57</v>
      </c>
      <c r="L1157" s="837" t="s">
        <v>3672</v>
      </c>
      <c r="M1157" s="1775"/>
      <c r="N1157" s="1759"/>
      <c r="O1157" s="277"/>
      <c r="P1157" s="277"/>
      <c r="Q1157" s="277"/>
      <c r="R1157" s="277"/>
      <c r="S1157" s="277"/>
      <c r="T1157" s="157"/>
      <c r="U1157" s="157"/>
      <c r="V1157" s="3589"/>
      <c r="W1157" s="869">
        <v>1967.4666666666665</v>
      </c>
      <c r="X1157" s="866">
        <f>(2108*(X$963/12000)/1.5)*X$1071</f>
        <v>2108</v>
      </c>
      <c r="Y1157" s="866">
        <f>(2108*(Y$963/12000)/1.5)*Y$1071</f>
        <v>2108</v>
      </c>
      <c r="Z1157" s="869">
        <v>2108</v>
      </c>
      <c r="AA1157" s="869">
        <v>2108</v>
      </c>
      <c r="AB1157" s="2695">
        <v>2504.17</v>
      </c>
      <c r="AC1157" s="851"/>
      <c r="AD1157" s="851"/>
      <c r="AE1157" s="851"/>
      <c r="AF1157" s="851"/>
      <c r="AG1157" s="853"/>
      <c r="BB1157" s="647"/>
      <c r="BC1157" s="648"/>
      <c r="BD1157" s="757"/>
    </row>
    <row r="1158" spans="1:56" s="64" customFormat="1" outlineLevel="1" x14ac:dyDescent="0.25">
      <c r="A1158" s="1393"/>
      <c r="B1158" s="277"/>
      <c r="C1158" s="385"/>
      <c r="D1158" s="3724"/>
      <c r="E1158" s="3724"/>
      <c r="F1158" s="3698" t="str">
        <f t="shared" si="106"/>
        <v>Ductless ASHP Replace Electric Resistance ER1 SF</v>
      </c>
      <c r="G1158" s="3699"/>
      <c r="H1158" s="3700"/>
      <c r="I1158" s="2767"/>
      <c r="J1158" s="869"/>
      <c r="K1158" s="2692"/>
      <c r="L1158" s="837"/>
      <c r="M1158" s="1775"/>
      <c r="N1158" s="1759"/>
      <c r="O1158" s="277"/>
      <c r="P1158" s="277"/>
      <c r="Q1158" s="277"/>
      <c r="R1158" s="277"/>
      <c r="S1158" s="277"/>
      <c r="T1158" s="157"/>
      <c r="U1158" s="157"/>
      <c r="V1158" s="3589"/>
      <c r="W1158" s="869"/>
      <c r="X1158" s="866"/>
      <c r="Y1158" s="866"/>
      <c r="Z1158" s="869"/>
      <c r="AA1158" s="869"/>
      <c r="AB1158" s="2695"/>
      <c r="AC1158" s="851"/>
      <c r="AD1158" s="851"/>
      <c r="AE1158" s="851"/>
      <c r="AF1158" s="851"/>
      <c r="AG1158" s="853"/>
      <c r="BB1158" s="647"/>
      <c r="BC1158" s="648"/>
      <c r="BD1158" s="757"/>
    </row>
    <row r="1159" spans="1:56" s="64" customFormat="1" outlineLevel="1" x14ac:dyDescent="0.25">
      <c r="A1159" s="1393"/>
      <c r="B1159" s="277"/>
      <c r="C1159" s="385"/>
      <c r="D1159" s="3724"/>
      <c r="E1159" s="3724"/>
      <c r="F1159" s="3698" t="str">
        <f t="shared" si="106"/>
        <v>Ductless ASHP Replace Electric Resistance ER2 SF</v>
      </c>
      <c r="G1159" s="3699"/>
      <c r="H1159" s="3700"/>
      <c r="I1159" s="2767"/>
      <c r="J1159" s="869"/>
      <c r="K1159" s="2692"/>
      <c r="L1159" s="837"/>
      <c r="M1159" s="1775"/>
      <c r="N1159" s="1759"/>
      <c r="O1159" s="277"/>
      <c r="P1159" s="277"/>
      <c r="Q1159" s="277"/>
      <c r="R1159" s="277"/>
      <c r="S1159" s="277"/>
      <c r="T1159" s="157"/>
      <c r="U1159" s="157"/>
      <c r="V1159" s="3589"/>
      <c r="W1159" s="869"/>
      <c r="X1159" s="866"/>
      <c r="Y1159" s="866"/>
      <c r="Z1159" s="869"/>
      <c r="AA1159" s="869"/>
      <c r="AB1159" s="2695"/>
      <c r="AC1159" s="851"/>
      <c r="AD1159" s="851"/>
      <c r="AE1159" s="851"/>
      <c r="AF1159" s="851"/>
      <c r="AG1159" s="853"/>
      <c r="BB1159" s="647"/>
      <c r="BC1159" s="648"/>
      <c r="BD1159" s="757"/>
    </row>
    <row r="1160" spans="1:56" s="64" customFormat="1" outlineLevel="1" x14ac:dyDescent="0.25">
      <c r="A1160" s="1393"/>
      <c r="B1160" s="277"/>
      <c r="C1160" s="385"/>
      <c r="D1160" s="3724"/>
      <c r="E1160" s="3724"/>
      <c r="F1160" s="3701" t="str">
        <f t="shared" si="106"/>
        <v>Ductless ASHP Replace Electric Resistance ER2 SF</v>
      </c>
      <c r="G1160" s="3702"/>
      <c r="H1160" s="3703"/>
      <c r="I1160" s="2767"/>
      <c r="J1160" s="869"/>
      <c r="K1160" s="2692"/>
      <c r="L1160" s="837"/>
      <c r="M1160" s="1775"/>
      <c r="N1160" s="1759"/>
      <c r="O1160" s="277"/>
      <c r="P1160" s="277"/>
      <c r="Q1160" s="277"/>
      <c r="R1160" s="277"/>
      <c r="S1160" s="277"/>
      <c r="T1160" s="157"/>
      <c r="U1160" s="157"/>
      <c r="V1160" s="3589"/>
      <c r="W1160" s="869"/>
      <c r="X1160" s="866"/>
      <c r="Y1160" s="866"/>
      <c r="Z1160" s="869"/>
      <c r="AA1160" s="869"/>
      <c r="AB1160" s="2695"/>
      <c r="AC1160" s="851"/>
      <c r="AD1160" s="851"/>
      <c r="AE1160" s="851"/>
      <c r="AF1160" s="851"/>
      <c r="AG1160" s="853"/>
      <c r="BB1160" s="647"/>
      <c r="BC1160" s="648"/>
      <c r="BD1160" s="757"/>
    </row>
    <row r="1161" spans="1:56" s="64" customFormat="1" outlineLevel="1" x14ac:dyDescent="0.25">
      <c r="A1161" s="1393"/>
      <c r="B1161" s="277"/>
      <c r="C1161" s="385"/>
      <c r="D1161" s="3724"/>
      <c r="E1161" s="3724"/>
      <c r="F1161" s="3704" t="str">
        <f t="shared" si="106"/>
        <v>Ductless ASHP Replace Electric Resistance ROF SF</v>
      </c>
      <c r="G1161" s="3705"/>
      <c r="H1161" s="3706"/>
      <c r="I1161" s="2767"/>
      <c r="J1161" s="869">
        <f>(MIN(2000,P$867)-P$872)*K$856</f>
        <v>336</v>
      </c>
      <c r="K1161" s="2692">
        <f>K964</f>
        <v>1.6</v>
      </c>
      <c r="L1161" s="837" t="s">
        <v>3672</v>
      </c>
      <c r="M1161" s="1775"/>
      <c r="N1161" s="1759"/>
      <c r="O1161" s="277"/>
      <c r="P1161" s="277"/>
      <c r="Q1161" s="277"/>
      <c r="R1161" s="277"/>
      <c r="S1161" s="277"/>
      <c r="T1161" s="157"/>
      <c r="U1161" s="157"/>
      <c r="V1161" s="3589"/>
      <c r="W1161" s="869">
        <v>1121.0666666666668</v>
      </c>
      <c r="X1161" s="866">
        <f>(1051*(X$964/12000)/1.5)*X$1075</f>
        <v>1051</v>
      </c>
      <c r="Y1161" s="866">
        <f>(1051*(Y$964/12000)/1.5)*Y$1075</f>
        <v>1121.0666666666668</v>
      </c>
      <c r="Z1161" s="869">
        <v>1121.0666666666668</v>
      </c>
      <c r="AA1161" s="869">
        <v>1121.0666666666668</v>
      </c>
      <c r="AB1161" s="2695">
        <v>336</v>
      </c>
      <c r="AC1161" s="851"/>
      <c r="AD1161" s="851"/>
      <c r="AE1161" s="851"/>
      <c r="AF1161" s="851"/>
      <c r="AG1161" s="853"/>
      <c r="BB1161" s="647"/>
      <c r="BC1161" s="648"/>
      <c r="BD1161" s="757"/>
    </row>
    <row r="1162" spans="1:56" s="64" customFormat="1" outlineLevel="1" x14ac:dyDescent="0.25">
      <c r="A1162" s="1393"/>
      <c r="B1162" s="277"/>
      <c r="C1162" s="385"/>
      <c r="D1162" s="3724"/>
      <c r="E1162" s="3724"/>
      <c r="F1162" s="3701" t="str">
        <f t="shared" si="106"/>
        <v>Ductless ASHP Replace Electric Resistance ROF SF</v>
      </c>
      <c r="G1162" s="3702"/>
      <c r="H1162" s="3703"/>
      <c r="I1162" s="2767"/>
      <c r="J1162" s="869"/>
      <c r="K1162" s="2692"/>
      <c r="L1162" s="837"/>
      <c r="M1162" s="1775"/>
      <c r="N1162" s="1759"/>
      <c r="O1162" s="277"/>
      <c r="P1162" s="277"/>
      <c r="Q1162" s="277"/>
      <c r="R1162" s="277"/>
      <c r="S1162" s="277"/>
      <c r="T1162" s="157"/>
      <c r="U1162" s="157"/>
      <c r="V1162" s="3589"/>
      <c r="W1162" s="869"/>
      <c r="X1162" s="866"/>
      <c r="Y1162" s="866"/>
      <c r="Z1162" s="869"/>
      <c r="AA1162" s="869"/>
      <c r="AB1162" s="2695"/>
      <c r="AC1162" s="851"/>
      <c r="AD1162" s="851"/>
      <c r="AE1162" s="851"/>
      <c r="AF1162" s="851"/>
      <c r="AG1162" s="853"/>
      <c r="BB1162" s="647"/>
      <c r="BC1162" s="648"/>
      <c r="BD1162" s="757"/>
    </row>
    <row r="1163" spans="1:56" s="64" customFormat="1" outlineLevel="1" x14ac:dyDescent="0.25">
      <c r="A1163" s="1393"/>
      <c r="B1163" s="277"/>
      <c r="C1163" s="385"/>
      <c r="D1163" s="3724"/>
      <c r="E1163" s="3724"/>
      <c r="F1163" s="3704" t="str">
        <f t="shared" si="106"/>
        <v>Ductless ASHP ER1 SF</v>
      </c>
      <c r="G1163" s="3705"/>
      <c r="H1163" s="3706"/>
      <c r="I1163" s="2767"/>
      <c r="J1163" s="869">
        <f>((P$872*K1163)+P$858)-((O$872*K1163)/((1+P$876)^(P$877-1)))</f>
        <v>648.60319098531227</v>
      </c>
      <c r="K1163" s="2692">
        <f>K965</f>
        <v>1.28125</v>
      </c>
      <c r="L1163" s="837" t="s">
        <v>3672</v>
      </c>
      <c r="M1163" s="1775"/>
      <c r="N1163" s="1759"/>
      <c r="O1163" s="277"/>
      <c r="P1163" s="277"/>
      <c r="Q1163" s="277"/>
      <c r="R1163" s="277"/>
      <c r="S1163" s="277"/>
      <c r="T1163" s="157"/>
      <c r="U1163" s="157"/>
      <c r="V1163" s="3589"/>
      <c r="W1163" s="869">
        <v>2246.2666666666669</v>
      </c>
      <c r="X1163" s="866">
        <f>(1982*(X$965/12000)/1.5)*X$1077</f>
        <v>1982</v>
      </c>
      <c r="Y1163" s="866">
        <f>(1982*(Y$965/12000)/1.5)*Y$1077</f>
        <v>1982</v>
      </c>
      <c r="Z1163" s="869">
        <v>1982</v>
      </c>
      <c r="AA1163" s="869">
        <v>1982</v>
      </c>
      <c r="AB1163" s="2695">
        <v>648.60319098531227</v>
      </c>
      <c r="AC1163" s="851"/>
      <c r="AD1163" s="851"/>
      <c r="AE1163" s="851"/>
      <c r="AF1163" s="851"/>
      <c r="AG1163" s="853"/>
      <c r="BB1163" s="647"/>
      <c r="BC1163" s="648"/>
      <c r="BD1163" s="757"/>
    </row>
    <row r="1164" spans="1:56" s="64" customFormat="1" outlineLevel="1" x14ac:dyDescent="0.25">
      <c r="A1164" s="1393"/>
      <c r="B1164" s="277"/>
      <c r="C1164" s="385"/>
      <c r="D1164" s="3724"/>
      <c r="E1164" s="3724"/>
      <c r="F1164" s="3698" t="str">
        <f t="shared" si="106"/>
        <v>Ductless ASHP ER1 SF</v>
      </c>
      <c r="G1164" s="3699"/>
      <c r="H1164" s="3700"/>
      <c r="I1164" s="2767"/>
      <c r="J1164" s="871"/>
      <c r="K1164" s="2692"/>
      <c r="L1164" s="837"/>
      <c r="M1164" s="1775"/>
      <c r="N1164" s="1759"/>
      <c r="O1164" s="277"/>
      <c r="P1164" s="277"/>
      <c r="Q1164" s="277"/>
      <c r="R1164" s="277"/>
      <c r="S1164" s="277"/>
      <c r="T1164" s="157"/>
      <c r="U1164" s="157"/>
      <c r="V1164" s="3589"/>
      <c r="W1164" s="871"/>
      <c r="X1164" s="870"/>
      <c r="Y1164" s="870"/>
      <c r="Z1164" s="871"/>
      <c r="AA1164" s="871"/>
      <c r="AB1164" s="2695"/>
      <c r="AC1164" s="851"/>
      <c r="AD1164" s="851"/>
      <c r="AE1164" s="851"/>
      <c r="AF1164" s="851"/>
      <c r="AG1164" s="853"/>
      <c r="BB1164" s="647"/>
      <c r="BC1164" s="648"/>
      <c r="BD1164" s="757"/>
    </row>
    <row r="1165" spans="1:56" s="64" customFormat="1" outlineLevel="1" x14ac:dyDescent="0.25">
      <c r="A1165" s="1393"/>
      <c r="B1165" s="277"/>
      <c r="C1165" s="385"/>
      <c r="D1165" s="3724"/>
      <c r="E1165" s="3724"/>
      <c r="F1165" s="3698" t="str">
        <f t="shared" si="106"/>
        <v>Ductless ASHP ER2 SF</v>
      </c>
      <c r="G1165" s="3699"/>
      <c r="H1165" s="3700"/>
      <c r="I1165" s="2767"/>
      <c r="J1165" s="871"/>
      <c r="K1165" s="2692"/>
      <c r="L1165" s="837"/>
      <c r="M1165" s="1775"/>
      <c r="N1165" s="1759"/>
      <c r="O1165" s="277"/>
      <c r="P1165" s="277"/>
      <c r="Q1165" s="277"/>
      <c r="R1165" s="277"/>
      <c r="S1165" s="277"/>
      <c r="T1165" s="157"/>
      <c r="U1165" s="157"/>
      <c r="V1165" s="3589"/>
      <c r="W1165" s="871"/>
      <c r="X1165" s="870"/>
      <c r="Y1165" s="870"/>
      <c r="Z1165" s="871"/>
      <c r="AA1165" s="871"/>
      <c r="AB1165" s="2695"/>
      <c r="AC1165" s="851"/>
      <c r="AD1165" s="851"/>
      <c r="AE1165" s="851"/>
      <c r="AF1165" s="851"/>
      <c r="AG1165" s="853"/>
      <c r="BB1165" s="647"/>
      <c r="BC1165" s="648"/>
      <c r="BD1165" s="757"/>
    </row>
    <row r="1166" spans="1:56" s="64" customFormat="1" outlineLevel="1" x14ac:dyDescent="0.25">
      <c r="A1166" s="1393"/>
      <c r="B1166" s="277"/>
      <c r="C1166" s="385"/>
      <c r="D1166" s="3724"/>
      <c r="E1166" s="3724"/>
      <c r="F1166" s="3701" t="str">
        <f t="shared" si="106"/>
        <v>Ductless ASHP ER2 SF</v>
      </c>
      <c r="G1166" s="3702"/>
      <c r="H1166" s="3703"/>
      <c r="I1166" s="2767"/>
      <c r="J1166" s="871"/>
      <c r="K1166" s="2692"/>
      <c r="L1166" s="837"/>
      <c r="M1166" s="1775"/>
      <c r="N1166" s="1759"/>
      <c r="O1166" s="277"/>
      <c r="P1166" s="277"/>
      <c r="Q1166" s="277"/>
      <c r="R1166" s="277"/>
      <c r="S1166" s="277"/>
      <c r="T1166" s="157"/>
      <c r="U1166" s="157"/>
      <c r="V1166" s="3589"/>
      <c r="W1166" s="871"/>
      <c r="X1166" s="870"/>
      <c r="Y1166" s="870"/>
      <c r="Z1166" s="871"/>
      <c r="AA1166" s="871"/>
      <c r="AB1166" s="2695"/>
      <c r="AC1166" s="851"/>
      <c r="AD1166" s="851"/>
      <c r="AE1166" s="851"/>
      <c r="AF1166" s="851"/>
      <c r="AG1166" s="853"/>
      <c r="BB1166" s="647"/>
      <c r="BC1166" s="648"/>
      <c r="BD1166" s="757"/>
    </row>
    <row r="1167" spans="1:56" s="64" customFormat="1" outlineLevel="1" x14ac:dyDescent="0.25">
      <c r="A1167" s="1393"/>
      <c r="B1167" s="277"/>
      <c r="C1167" s="385"/>
      <c r="D1167" s="3724"/>
      <c r="E1167" s="3724"/>
      <c r="F1167" s="3704" t="str">
        <f t="shared" si="106"/>
        <v>Ductless AC - ER1 MF</v>
      </c>
      <c r="G1167" s="3705"/>
      <c r="H1167" s="3706"/>
      <c r="I1167" s="2767"/>
      <c r="J1167" s="869">
        <f>((P$872*K1167)+P$858)-((O$873*K1167)/((1+P$876)^(P$877-1)))</f>
        <v>1231.1592671062349</v>
      </c>
      <c r="K1167" s="2692">
        <f>K966</f>
        <v>1.5</v>
      </c>
      <c r="L1167" s="837" t="s">
        <v>3672</v>
      </c>
      <c r="M1167" s="1775"/>
      <c r="N1167" s="1759"/>
      <c r="O1167" s="277"/>
      <c r="P1167" s="277"/>
      <c r="Q1167" s="277"/>
      <c r="R1167" s="277"/>
      <c r="S1167" s="277"/>
      <c r="T1167" s="157"/>
      <c r="U1167" s="157"/>
      <c r="V1167" s="3589"/>
      <c r="W1167" s="871">
        <v>1601.3999999999999</v>
      </c>
      <c r="X1167" s="870">
        <f>(1413*(X$959/12000)/1.5*X$1081)</f>
        <v>918.45</v>
      </c>
      <c r="Y1167" s="870">
        <f>(1413*(Y$959/12000)/1.5*Y$1081)</f>
        <v>1413</v>
      </c>
      <c r="Z1167" s="871">
        <v>1413</v>
      </c>
      <c r="AA1167" s="871">
        <v>1413</v>
      </c>
      <c r="AB1167" s="2695">
        <v>1231.1592671062349</v>
      </c>
      <c r="AC1167" s="851"/>
      <c r="AD1167" s="851"/>
      <c r="AE1167" s="851"/>
      <c r="AF1167" s="851"/>
      <c r="AG1167" s="853"/>
      <c r="BB1167" s="647"/>
      <c r="BC1167" s="648"/>
      <c r="BD1167" s="757"/>
    </row>
    <row r="1168" spans="1:56" s="64" customFormat="1" outlineLevel="1" x14ac:dyDescent="0.25">
      <c r="A1168" s="1393"/>
      <c r="B1168" s="277"/>
      <c r="C1168" s="385"/>
      <c r="D1168" s="3724"/>
      <c r="E1168" s="3724"/>
      <c r="F1168" s="3701" t="str">
        <f t="shared" si="106"/>
        <v>Ductless AC - ER2 MF</v>
      </c>
      <c r="G1168" s="3702"/>
      <c r="H1168" s="3703"/>
      <c r="I1168" s="2767"/>
      <c r="J1168" s="871"/>
      <c r="K1168" s="2692"/>
      <c r="L1168" s="837"/>
      <c r="M1168" s="1775"/>
      <c r="N1168" s="1759"/>
      <c r="O1168" s="277"/>
      <c r="P1168" s="277"/>
      <c r="Q1168" s="277"/>
      <c r="R1168" s="277"/>
      <c r="S1168" s="277"/>
      <c r="T1168" s="157"/>
      <c r="U1168" s="157"/>
      <c r="V1168" s="3589"/>
      <c r="W1168" s="871"/>
      <c r="X1168" s="870"/>
      <c r="Y1168" s="870"/>
      <c r="Z1168" s="871"/>
      <c r="AA1168" s="871"/>
      <c r="AB1168" s="2695"/>
      <c r="AC1168" s="851"/>
      <c r="AD1168" s="851"/>
      <c r="AE1168" s="851"/>
      <c r="AF1168" s="851"/>
      <c r="AG1168" s="853"/>
      <c r="BB1168" s="647"/>
      <c r="BC1168" s="648"/>
      <c r="BD1168" s="757"/>
    </row>
    <row r="1169" spans="1:56" s="64" customFormat="1" outlineLevel="1" x14ac:dyDescent="0.25">
      <c r="A1169" s="1393"/>
      <c r="B1169" s="277"/>
      <c r="C1169" s="385"/>
      <c r="D1169" s="3724"/>
      <c r="E1169" s="3724"/>
      <c r="F1169" s="3708" t="str">
        <f t="shared" si="106"/>
        <v>Ductless AC - ROF MF</v>
      </c>
      <c r="G1169" s="3709"/>
      <c r="H1169" s="3710"/>
      <c r="I1169" s="2767"/>
      <c r="J1169" s="869">
        <f t="shared" ref="J1169:J1170" si="108">(MIN(2000,P$867)-P$872)*K$856</f>
        <v>336</v>
      </c>
      <c r="K1169" s="2692">
        <f>K967</f>
        <v>1.3125</v>
      </c>
      <c r="L1169" s="837" t="s">
        <v>3672</v>
      </c>
      <c r="M1169" s="1775"/>
      <c r="N1169" s="1759"/>
      <c r="O1169" s="277"/>
      <c r="P1169" s="277"/>
      <c r="Q1169" s="277"/>
      <c r="R1169" s="277"/>
      <c r="S1169" s="277"/>
      <c r="T1169" s="157"/>
      <c r="U1169" s="157"/>
      <c r="V1169" s="3589"/>
      <c r="W1169" s="871">
        <v>1043.7333333333333</v>
      </c>
      <c r="X1169" s="870">
        <f>(978.5/1.5*(X$960/12000))*X$1083</f>
        <v>636.02499999999998</v>
      </c>
      <c r="Y1169" s="870">
        <f>(978.5/1.5*(Y$960/12000))*Y$1083</f>
        <v>978.5</v>
      </c>
      <c r="Z1169" s="871">
        <v>978.5</v>
      </c>
      <c r="AA1169" s="871">
        <v>978.5</v>
      </c>
      <c r="AB1169" s="2695">
        <v>336</v>
      </c>
      <c r="AC1169" s="851"/>
      <c r="AD1169" s="851"/>
      <c r="AE1169" s="851"/>
      <c r="AF1169" s="851"/>
      <c r="AG1169" s="853"/>
      <c r="BB1169" s="647"/>
      <c r="BC1169" s="648"/>
      <c r="BD1169" s="757"/>
    </row>
    <row r="1170" spans="1:56" s="64" customFormat="1" outlineLevel="1" x14ac:dyDescent="0.25">
      <c r="A1170" s="1393"/>
      <c r="B1170" s="277"/>
      <c r="C1170" s="385"/>
      <c r="D1170" s="3724"/>
      <c r="E1170" s="3724"/>
      <c r="F1170" s="3704" t="str">
        <f t="shared" si="106"/>
        <v>Ductless ASHP - ROF MF NC</v>
      </c>
      <c r="G1170" s="3705"/>
      <c r="H1170" s="3706"/>
      <c r="I1170" s="2767"/>
      <c r="J1170" s="869">
        <f t="shared" si="108"/>
        <v>336</v>
      </c>
      <c r="K1170" s="2692">
        <f>K968</f>
        <v>1.5</v>
      </c>
      <c r="L1170" s="837" t="s">
        <v>3672</v>
      </c>
      <c r="M1170" s="1775"/>
      <c r="N1170" s="1759"/>
      <c r="O1170" s="277"/>
      <c r="P1170" s="277"/>
      <c r="Q1170" s="277"/>
      <c r="R1170" s="277"/>
      <c r="S1170" s="277"/>
      <c r="T1170" s="157"/>
      <c r="U1170" s="157"/>
      <c r="V1170" s="3589"/>
      <c r="W1170" s="871">
        <v>658</v>
      </c>
      <c r="X1170" s="870">
        <f>(705/1.5*(X$961/12000)*X$1084)</f>
        <v>458.25</v>
      </c>
      <c r="Y1170" s="870">
        <f>(705/1.5*(Y$961/12000)*Y$1084)</f>
        <v>705</v>
      </c>
      <c r="Z1170" s="871">
        <v>705</v>
      </c>
      <c r="AA1170" s="871">
        <v>705</v>
      </c>
      <c r="AB1170" s="2695">
        <v>336</v>
      </c>
      <c r="AC1170" s="851"/>
      <c r="AD1170" s="851"/>
      <c r="AE1170" s="851"/>
      <c r="AF1170" s="851"/>
      <c r="AG1170" s="853"/>
      <c r="BB1170" s="647"/>
      <c r="BC1170" s="648"/>
      <c r="BD1170" s="757"/>
    </row>
    <row r="1171" spans="1:56" s="64" customFormat="1" outlineLevel="1" x14ac:dyDescent="0.25">
      <c r="A1171" s="1393"/>
      <c r="B1171" s="277"/>
      <c r="C1171" s="385"/>
      <c r="D1171" s="3724"/>
      <c r="E1171" s="3724"/>
      <c r="F1171" s="3701" t="str">
        <f t="shared" si="106"/>
        <v>Ductless ASHP - ROF MF NC</v>
      </c>
      <c r="G1171" s="3702"/>
      <c r="H1171" s="3703"/>
      <c r="I1171" s="2767"/>
      <c r="J1171" s="869"/>
      <c r="K1171" s="2692"/>
      <c r="L1171" s="837"/>
      <c r="M1171" s="1775"/>
      <c r="N1171" s="1759"/>
      <c r="O1171" s="277"/>
      <c r="P1171" s="277"/>
      <c r="Q1171" s="277"/>
      <c r="R1171" s="277"/>
      <c r="S1171" s="277"/>
      <c r="T1171" s="157"/>
      <c r="U1171" s="157"/>
      <c r="V1171" s="3589"/>
      <c r="W1171" s="869"/>
      <c r="X1171" s="866"/>
      <c r="Y1171" s="866"/>
      <c r="Z1171" s="869"/>
      <c r="AA1171" s="869"/>
      <c r="AB1171" s="2695"/>
      <c r="AC1171" s="851"/>
      <c r="AD1171" s="851"/>
      <c r="AE1171" s="851"/>
      <c r="AF1171" s="851"/>
      <c r="AG1171" s="853"/>
      <c r="BB1171" s="647"/>
      <c r="BC1171" s="648"/>
      <c r="BD1171" s="757"/>
    </row>
    <row r="1172" spans="1:56" s="64" customFormat="1" outlineLevel="1" x14ac:dyDescent="0.25">
      <c r="A1172" s="1393"/>
      <c r="B1172" s="277"/>
      <c r="C1172" s="385"/>
      <c r="D1172" s="3724"/>
      <c r="E1172" s="3724"/>
      <c r="F1172" s="3704" t="str">
        <f t="shared" si="106"/>
        <v>Ductless ASHP - ROF MF</v>
      </c>
      <c r="G1172" s="3705"/>
      <c r="H1172" s="3706"/>
      <c r="I1172" s="2767"/>
      <c r="J1172" s="869">
        <f>(MIN(2000,P$867)-P$872)*K$856</f>
        <v>336</v>
      </c>
      <c r="K1172" s="2692">
        <f>K969</f>
        <v>1.5184210526315791</v>
      </c>
      <c r="L1172" s="837" t="s">
        <v>3672</v>
      </c>
      <c r="M1172" s="1775"/>
      <c r="N1172" s="1759"/>
      <c r="O1172" s="277"/>
      <c r="P1172" s="277"/>
      <c r="Q1172" s="277"/>
      <c r="R1172" s="277"/>
      <c r="S1172" s="277"/>
      <c r="T1172" s="157"/>
      <c r="U1172" s="157"/>
      <c r="V1172" s="3589"/>
      <c r="W1172" s="871">
        <v>658</v>
      </c>
      <c r="X1172" s="870">
        <f>(705*(X$962/12000)/1.5*X$1086)</f>
        <v>458.25</v>
      </c>
      <c r="Y1172" s="870">
        <f>(705*(Y$962/12000)/1.5*Y$1086)</f>
        <v>705</v>
      </c>
      <c r="Z1172" s="871">
        <v>705</v>
      </c>
      <c r="AA1172" s="871">
        <v>705</v>
      </c>
      <c r="AB1172" s="2695">
        <v>336</v>
      </c>
      <c r="AC1172" s="851"/>
      <c r="AD1172" s="851"/>
      <c r="AE1172" s="851"/>
      <c r="AF1172" s="851"/>
      <c r="AG1172" s="853"/>
      <c r="BB1172" s="647"/>
      <c r="BC1172" s="648"/>
      <c r="BD1172" s="757"/>
    </row>
    <row r="1173" spans="1:56" s="64" customFormat="1" outlineLevel="1" x14ac:dyDescent="0.25">
      <c r="A1173" s="1393"/>
      <c r="B1173" s="277"/>
      <c r="C1173" s="385"/>
      <c r="D1173" s="3724"/>
      <c r="E1173" s="3724"/>
      <c r="F1173" s="3701" t="str">
        <f t="shared" si="106"/>
        <v>Ductless ASHP - ROF MF</v>
      </c>
      <c r="G1173" s="3702"/>
      <c r="H1173" s="3703"/>
      <c r="I1173" s="2767"/>
      <c r="J1173" s="869"/>
      <c r="K1173" s="2692"/>
      <c r="L1173" s="837"/>
      <c r="M1173" s="1775"/>
      <c r="N1173" s="1759"/>
      <c r="O1173" s="277"/>
      <c r="P1173" s="277"/>
      <c r="Q1173" s="277"/>
      <c r="R1173" s="277"/>
      <c r="S1173" s="277"/>
      <c r="T1173" s="157"/>
      <c r="U1173" s="157"/>
      <c r="V1173" s="3589"/>
      <c r="W1173" s="869"/>
      <c r="X1173" s="866"/>
      <c r="Y1173" s="866"/>
      <c r="Z1173" s="869"/>
      <c r="AA1173" s="869"/>
      <c r="AB1173" s="2695"/>
      <c r="AC1173" s="851"/>
      <c r="AD1173" s="851"/>
      <c r="AE1173" s="851"/>
      <c r="AF1173" s="851"/>
      <c r="AG1173" s="853"/>
      <c r="BB1173" s="647"/>
      <c r="BC1173" s="648"/>
      <c r="BD1173" s="757"/>
    </row>
    <row r="1174" spans="1:56" s="64" customFormat="1" outlineLevel="1" x14ac:dyDescent="0.25">
      <c r="A1174" s="1393"/>
      <c r="B1174" s="277"/>
      <c r="C1174" s="385"/>
      <c r="D1174" s="3724"/>
      <c r="E1174" s="3724"/>
      <c r="F1174" s="3704" t="str">
        <f t="shared" si="106"/>
        <v>Ductless ASHP Replace Electric Resistance ER1 MF</v>
      </c>
      <c r="G1174" s="3705"/>
      <c r="H1174" s="3706"/>
      <c r="I1174" s="2767"/>
      <c r="J1174" s="869">
        <f>((P$872*K1174)+P$858)-((O$874*K1174)/((1+P$876)^(P$877-1)))</f>
        <v>2504.17</v>
      </c>
      <c r="K1174" s="2692">
        <f>K970</f>
        <v>1.57</v>
      </c>
      <c r="L1174" s="837" t="s">
        <v>3672</v>
      </c>
      <c r="M1174" s="1775"/>
      <c r="N1174" s="1759"/>
      <c r="O1174" s="277"/>
      <c r="P1174" s="277"/>
      <c r="Q1174" s="277"/>
      <c r="R1174" s="277"/>
      <c r="S1174" s="277"/>
      <c r="T1174" s="157"/>
      <c r="U1174" s="157"/>
      <c r="V1174" s="3589"/>
      <c r="W1174" s="871">
        <v>1484</v>
      </c>
      <c r="X1174" s="870">
        <f>(1590*(X$963/12000)/1.5*$J$1088)</f>
        <v>1590</v>
      </c>
      <c r="Y1174" s="870">
        <f>(1590*(Y$963/12000)/1.5*$J$1088)</f>
        <v>1590</v>
      </c>
      <c r="Z1174" s="871">
        <v>1590</v>
      </c>
      <c r="AA1174" s="871">
        <v>1590</v>
      </c>
      <c r="AB1174" s="2695">
        <v>2504.17</v>
      </c>
      <c r="AC1174" s="851"/>
      <c r="AD1174" s="851"/>
      <c r="AE1174" s="851"/>
      <c r="AF1174" s="851"/>
      <c r="AG1174" s="853"/>
      <c r="BB1174" s="647"/>
      <c r="BC1174" s="648"/>
      <c r="BD1174" s="757"/>
    </row>
    <row r="1175" spans="1:56" s="64" customFormat="1" outlineLevel="1" x14ac:dyDescent="0.25">
      <c r="A1175" s="1393"/>
      <c r="B1175" s="277"/>
      <c r="C1175" s="385"/>
      <c r="D1175" s="3724"/>
      <c r="E1175" s="3724"/>
      <c r="F1175" s="3698" t="str">
        <f t="shared" si="106"/>
        <v>Ductless ASHP Replace Electric Resistance ER1 MF</v>
      </c>
      <c r="G1175" s="3699"/>
      <c r="H1175" s="3700"/>
      <c r="I1175" s="2767"/>
      <c r="J1175" s="871"/>
      <c r="K1175" s="2692"/>
      <c r="L1175" s="837"/>
      <c r="M1175" s="1775"/>
      <c r="N1175" s="1759"/>
      <c r="O1175" s="277"/>
      <c r="P1175" s="277"/>
      <c r="Q1175" s="277"/>
      <c r="R1175" s="277"/>
      <c r="S1175" s="277"/>
      <c r="T1175" s="157"/>
      <c r="U1175" s="157"/>
      <c r="V1175" s="3589"/>
      <c r="W1175" s="871"/>
      <c r="X1175" s="870"/>
      <c r="Y1175" s="870"/>
      <c r="Z1175" s="871"/>
      <c r="AA1175" s="871"/>
      <c r="AB1175" s="2695"/>
      <c r="AC1175" s="851"/>
      <c r="AD1175" s="851"/>
      <c r="AE1175" s="851"/>
      <c r="AF1175" s="851"/>
      <c r="AG1175" s="853"/>
      <c r="BB1175" s="647"/>
      <c r="BC1175" s="648"/>
      <c r="BD1175" s="757"/>
    </row>
    <row r="1176" spans="1:56" s="64" customFormat="1" outlineLevel="1" x14ac:dyDescent="0.25">
      <c r="A1176" s="1393"/>
      <c r="B1176" s="277"/>
      <c r="C1176" s="385"/>
      <c r="D1176" s="3724"/>
      <c r="E1176" s="3724"/>
      <c r="F1176" s="3698" t="str">
        <f t="shared" si="106"/>
        <v>Ductless ASHP Replace Electric Resistance ER2 MF</v>
      </c>
      <c r="G1176" s="3699"/>
      <c r="H1176" s="3700"/>
      <c r="I1176" s="2767"/>
      <c r="J1176" s="871"/>
      <c r="K1176" s="2692"/>
      <c r="L1176" s="837"/>
      <c r="M1176" s="1775"/>
      <c r="N1176" s="1759"/>
      <c r="O1176" s="277"/>
      <c r="P1176" s="277"/>
      <c r="Q1176" s="277"/>
      <c r="R1176" s="277"/>
      <c r="S1176" s="277"/>
      <c r="T1176" s="157"/>
      <c r="U1176" s="157"/>
      <c r="V1176" s="3589"/>
      <c r="W1176" s="871"/>
      <c r="X1176" s="870"/>
      <c r="Y1176" s="870"/>
      <c r="Z1176" s="871"/>
      <c r="AA1176" s="871"/>
      <c r="AB1176" s="2695"/>
      <c r="AC1176" s="851"/>
      <c r="AD1176" s="851"/>
      <c r="AE1176" s="851"/>
      <c r="AF1176" s="851"/>
      <c r="AG1176" s="853"/>
      <c r="BB1176" s="647"/>
      <c r="BC1176" s="648"/>
      <c r="BD1176" s="757"/>
    </row>
    <row r="1177" spans="1:56" s="64" customFormat="1" outlineLevel="1" x14ac:dyDescent="0.25">
      <c r="A1177" s="1393"/>
      <c r="B1177" s="277"/>
      <c r="C1177" s="385"/>
      <c r="D1177" s="3724"/>
      <c r="E1177" s="3724"/>
      <c r="F1177" s="3701" t="str">
        <f t="shared" si="106"/>
        <v>Ductless ASHP Replace Electric Resistance ER2 MF</v>
      </c>
      <c r="G1177" s="3702"/>
      <c r="H1177" s="3703"/>
      <c r="I1177" s="2767"/>
      <c r="J1177" s="871"/>
      <c r="K1177" s="2692"/>
      <c r="L1177" s="837"/>
      <c r="M1177" s="1775"/>
      <c r="N1177" s="1759"/>
      <c r="O1177" s="277"/>
      <c r="P1177" s="277"/>
      <c r="Q1177" s="277"/>
      <c r="R1177" s="277"/>
      <c r="S1177" s="277"/>
      <c r="T1177" s="157"/>
      <c r="U1177" s="157"/>
      <c r="V1177" s="3589"/>
      <c r="W1177" s="871"/>
      <c r="X1177" s="870"/>
      <c r="Y1177" s="870"/>
      <c r="Z1177" s="871"/>
      <c r="AA1177" s="871"/>
      <c r="AB1177" s="2695"/>
      <c r="AC1177" s="851"/>
      <c r="AD1177" s="851"/>
      <c r="AE1177" s="851"/>
      <c r="AF1177" s="851"/>
      <c r="AG1177" s="853"/>
      <c r="BB1177" s="647"/>
      <c r="BC1177" s="648"/>
      <c r="BD1177" s="757"/>
    </row>
    <row r="1178" spans="1:56" s="64" customFormat="1" outlineLevel="1" x14ac:dyDescent="0.25">
      <c r="A1178" s="1393"/>
      <c r="B1178" s="277"/>
      <c r="C1178" s="385"/>
      <c r="D1178" s="3724"/>
      <c r="E1178" s="3724"/>
      <c r="F1178" s="3704" t="str">
        <f t="shared" si="106"/>
        <v>Ductless ASHP Replace Electric Resistance ROF MF</v>
      </c>
      <c r="G1178" s="3705"/>
      <c r="H1178" s="3706"/>
      <c r="I1178" s="2767"/>
      <c r="J1178" s="869">
        <f>(MIN(2000,P$867)-P$872)*K$856</f>
        <v>336</v>
      </c>
      <c r="K1178" s="2692">
        <f>K971</f>
        <v>1.6</v>
      </c>
      <c r="L1178" s="837" t="s">
        <v>3672</v>
      </c>
      <c r="M1178" s="1775"/>
      <c r="N1178" s="1759"/>
      <c r="O1178" s="277"/>
      <c r="P1178" s="277"/>
      <c r="Q1178" s="277"/>
      <c r="R1178" s="277"/>
      <c r="S1178" s="277"/>
      <c r="T1178" s="157"/>
      <c r="U1178" s="157"/>
      <c r="V1178" s="3589"/>
      <c r="W1178" s="871">
        <v>752</v>
      </c>
      <c r="X1178" s="870">
        <f>(705*(X$964/12000))/1.5*$J$1092</f>
        <v>705</v>
      </c>
      <c r="Y1178" s="870">
        <f>(705*(Y$964/12000))/1.5*$J$1092</f>
        <v>752</v>
      </c>
      <c r="Z1178" s="871">
        <v>752</v>
      </c>
      <c r="AA1178" s="871">
        <v>752</v>
      </c>
      <c r="AB1178" s="2695">
        <v>336</v>
      </c>
      <c r="AC1178" s="851"/>
      <c r="AD1178" s="851"/>
      <c r="AE1178" s="851"/>
      <c r="AF1178" s="851"/>
      <c r="AG1178" s="853"/>
      <c r="BB1178" s="647"/>
      <c r="BC1178" s="648"/>
      <c r="BD1178" s="757"/>
    </row>
    <row r="1179" spans="1:56" s="64" customFormat="1" outlineLevel="1" x14ac:dyDescent="0.25">
      <c r="A1179" s="1393"/>
      <c r="B1179" s="277"/>
      <c r="C1179" s="385"/>
      <c r="D1179" s="3724"/>
      <c r="E1179" s="3724"/>
      <c r="F1179" s="3701" t="str">
        <f t="shared" si="106"/>
        <v>Ductless ASHP Replace Electric Resistance ROF MF</v>
      </c>
      <c r="G1179" s="3702"/>
      <c r="H1179" s="3703"/>
      <c r="I1179" s="2767"/>
      <c r="J1179" s="871"/>
      <c r="K1179" s="2692"/>
      <c r="L1179" s="837"/>
      <c r="M1179" s="1775"/>
      <c r="N1179" s="1759"/>
      <c r="O1179" s="277"/>
      <c r="P1179" s="277"/>
      <c r="Q1179" s="277"/>
      <c r="R1179" s="277"/>
      <c r="S1179" s="277"/>
      <c r="T1179" s="157"/>
      <c r="U1179" s="157"/>
      <c r="V1179" s="3589"/>
      <c r="W1179" s="871"/>
      <c r="X1179" s="870"/>
      <c r="Y1179" s="870"/>
      <c r="Z1179" s="871"/>
      <c r="AA1179" s="871"/>
      <c r="AB1179" s="2695"/>
      <c r="AC1179" s="851"/>
      <c r="AD1179" s="851"/>
      <c r="AE1179" s="851"/>
      <c r="AF1179" s="851"/>
      <c r="AG1179" s="853"/>
      <c r="BB1179" s="647"/>
      <c r="BC1179" s="648"/>
      <c r="BD1179" s="757"/>
    </row>
    <row r="1180" spans="1:56" s="64" customFormat="1" outlineLevel="1" x14ac:dyDescent="0.25">
      <c r="A1180" s="1393"/>
      <c r="B1180" s="277"/>
      <c r="C1180" s="385"/>
      <c r="D1180" s="3724"/>
      <c r="E1180" s="3724"/>
      <c r="F1180" s="3704" t="str">
        <f t="shared" si="106"/>
        <v>Ductless ASHP ER1 MF</v>
      </c>
      <c r="G1180" s="3705"/>
      <c r="H1180" s="3706"/>
      <c r="I1180" s="2767"/>
      <c r="J1180" s="869">
        <f>((P$872*K1180)+P$858)-((O$872*K1180)/((1+P$876)^(P$877-1)))</f>
        <v>648.60319098531227</v>
      </c>
      <c r="K1180" s="2692">
        <f>K972</f>
        <v>1.28125</v>
      </c>
      <c r="L1180" s="837" t="s">
        <v>3672</v>
      </c>
      <c r="M1180" s="1775"/>
      <c r="N1180" s="1759"/>
      <c r="O1180" s="277"/>
      <c r="P1180" s="277"/>
      <c r="Q1180" s="277"/>
      <c r="R1180" s="277"/>
      <c r="S1180" s="277"/>
      <c r="T1180" s="157"/>
      <c r="U1180" s="157"/>
      <c r="V1180" s="3589"/>
      <c r="W1180" s="871">
        <v>1632</v>
      </c>
      <c r="X1180" s="870">
        <f>(1440*(X$965/12000)/1.5)*$J$1094</f>
        <v>1440</v>
      </c>
      <c r="Y1180" s="870">
        <f>(1440*(Y$965/12000)/1.5)*$J$1094</f>
        <v>1440</v>
      </c>
      <c r="Z1180" s="871">
        <v>1440</v>
      </c>
      <c r="AA1180" s="871">
        <v>1440</v>
      </c>
      <c r="AB1180" s="2695">
        <v>648.60319098531227</v>
      </c>
      <c r="AC1180" s="851"/>
      <c r="AD1180" s="851"/>
      <c r="AE1180" s="851"/>
      <c r="AF1180" s="851"/>
      <c r="AG1180" s="853"/>
      <c r="BB1180" s="647"/>
      <c r="BC1180" s="648"/>
      <c r="BD1180" s="757"/>
    </row>
    <row r="1181" spans="1:56" s="64" customFormat="1" outlineLevel="1" x14ac:dyDescent="0.25">
      <c r="A1181" s="1393"/>
      <c r="B1181" s="277"/>
      <c r="C1181" s="385"/>
      <c r="D1181" s="3724"/>
      <c r="E1181" s="3724"/>
      <c r="F1181" s="3698" t="str">
        <f t="shared" si="106"/>
        <v>Ductless ASHP ER1 MF</v>
      </c>
      <c r="G1181" s="3699"/>
      <c r="H1181" s="3700"/>
      <c r="I1181" s="2767"/>
      <c r="J1181" s="871"/>
      <c r="K1181" s="2692"/>
      <c r="L1181" s="837"/>
      <c r="M1181" s="1775"/>
      <c r="N1181" s="1759"/>
      <c r="O1181" s="277"/>
      <c r="P1181" s="277"/>
      <c r="Q1181" s="277"/>
      <c r="R1181" s="277"/>
      <c r="S1181" s="277"/>
      <c r="T1181" s="157"/>
      <c r="U1181" s="157"/>
      <c r="V1181" s="3589"/>
      <c r="W1181" s="872"/>
      <c r="X1181" s="872"/>
      <c r="Y1181" s="871"/>
      <c r="Z1181" s="871"/>
      <c r="AA1181" s="871"/>
      <c r="AB1181" s="2695"/>
      <c r="AC1181" s="851"/>
      <c r="AD1181" s="851"/>
      <c r="AE1181" s="851"/>
      <c r="AF1181" s="851"/>
      <c r="AG1181" s="853"/>
      <c r="BB1181" s="647"/>
      <c r="BC1181" s="648"/>
      <c r="BD1181" s="757"/>
    </row>
    <row r="1182" spans="1:56" s="64" customFormat="1" outlineLevel="1" x14ac:dyDescent="0.25">
      <c r="A1182" s="1393"/>
      <c r="B1182" s="277"/>
      <c r="C1182" s="385"/>
      <c r="D1182" s="3724"/>
      <c r="E1182" s="3724"/>
      <c r="F1182" s="3698" t="str">
        <f t="shared" si="106"/>
        <v>Ductless ASHP ER2 MF</v>
      </c>
      <c r="G1182" s="3699"/>
      <c r="H1182" s="3700"/>
      <c r="I1182" s="2767"/>
      <c r="J1182" s="871"/>
      <c r="K1182" s="2692"/>
      <c r="L1182" s="837"/>
      <c r="M1182" s="1775"/>
      <c r="N1182" s="1759"/>
      <c r="O1182" s="277"/>
      <c r="P1182" s="277"/>
      <c r="Q1182" s="277"/>
      <c r="R1182" s="277"/>
      <c r="S1182" s="277"/>
      <c r="T1182" s="157"/>
      <c r="U1182" s="157"/>
      <c r="V1182" s="3589"/>
      <c r="W1182" s="872"/>
      <c r="X1182" s="872"/>
      <c r="Y1182" s="871"/>
      <c r="Z1182" s="871"/>
      <c r="AA1182" s="871"/>
      <c r="AB1182" s="2695"/>
      <c r="AC1182" s="851"/>
      <c r="AD1182" s="851"/>
      <c r="AE1182" s="851"/>
      <c r="AF1182" s="851"/>
      <c r="AG1182" s="853"/>
      <c r="BB1182" s="647"/>
      <c r="BC1182" s="648"/>
      <c r="BD1182" s="757"/>
    </row>
    <row r="1183" spans="1:56" s="64" customFormat="1" ht="15.75" outlineLevel="1" thickBot="1" x14ac:dyDescent="0.3">
      <c r="A1183" s="1393"/>
      <c r="B1183" s="277"/>
      <c r="C1183" s="385"/>
      <c r="D1183" s="3725"/>
      <c r="E1183" s="3725"/>
      <c r="F1183" s="3717" t="str">
        <f t="shared" si="106"/>
        <v>Ductless ASHP ER2 MF</v>
      </c>
      <c r="G1183" s="3718"/>
      <c r="H1183" s="3719"/>
      <c r="I1183" s="863"/>
      <c r="J1183" s="858"/>
      <c r="K1183" s="2693"/>
      <c r="L1183" s="865"/>
      <c r="M1183" s="1775"/>
      <c r="N1183" s="1759"/>
      <c r="O1183" s="277"/>
      <c r="P1183" s="277"/>
      <c r="Q1183" s="277"/>
      <c r="R1183" s="277"/>
      <c r="S1183" s="277"/>
      <c r="T1183" s="157"/>
      <c r="U1183" s="157"/>
      <c r="V1183" s="3687"/>
      <c r="W1183" s="858"/>
      <c r="X1183" s="858"/>
      <c r="Y1183" s="858"/>
      <c r="Z1183" s="858"/>
      <c r="AA1183" s="858"/>
      <c r="AB1183" s="858"/>
      <c r="AC1183" s="858"/>
      <c r="AD1183" s="858"/>
      <c r="AE1183" s="858"/>
      <c r="AF1183" s="858"/>
      <c r="AG1183" s="859"/>
      <c r="BB1183" s="647"/>
      <c r="BC1183" s="648"/>
      <c r="BD1183" s="757"/>
    </row>
    <row r="1184" spans="1:56" x14ac:dyDescent="0.25">
      <c r="N1184" s="1759"/>
    </row>
    <row r="1186" spans="1:57" s="64" customFormat="1" x14ac:dyDescent="0.25">
      <c r="A1186" s="1393"/>
      <c r="B1186" s="1404" t="s">
        <v>1270</v>
      </c>
      <c r="C1186" s="816"/>
      <c r="D1186" s="1405"/>
      <c r="E1186" s="1405"/>
      <c r="F1186" s="1405"/>
      <c r="G1186" s="1405"/>
      <c r="H1186" s="1405"/>
      <c r="I1186" s="1405"/>
      <c r="J1186" s="1405"/>
      <c r="K1186" s="1405"/>
      <c r="L1186" s="1405"/>
      <c r="M1186" s="1405"/>
      <c r="N1186" s="1405"/>
      <c r="O1186" s="1405"/>
      <c r="P1186" s="1405"/>
      <c r="Q1186" s="1428"/>
      <c r="R1186" s="157"/>
      <c r="S1186" s="157"/>
      <c r="T1186" s="157"/>
      <c r="U1186" s="157"/>
      <c r="V1186" s="3350" t="str">
        <f>B1186</f>
        <v>Dual Fuel Heat Pumps</v>
      </c>
      <c r="W1186" s="3351"/>
      <c r="X1186" s="3351"/>
      <c r="Y1186" s="3351"/>
      <c r="Z1186" s="3351"/>
      <c r="AA1186" s="3351"/>
      <c r="AB1186" s="3351"/>
      <c r="AC1186" s="3354"/>
      <c r="AD1186" s="3354"/>
      <c r="AE1186" s="3354"/>
      <c r="AF1186" s="3354"/>
      <c r="AG1186" s="3354"/>
      <c r="AH1186" s="3355"/>
      <c r="BB1186" s="647"/>
      <c r="BC1186" s="648"/>
      <c r="BD1186" s="757"/>
    </row>
    <row r="1187" spans="1:57" x14ac:dyDescent="0.25">
      <c r="H1187" s="385"/>
      <c r="I1187" s="385"/>
      <c r="J1187" s="385"/>
      <c r="K1187" s="385"/>
      <c r="L1187" s="385"/>
      <c r="M1187" s="385"/>
      <c r="Q1187" s="386"/>
    </row>
    <row r="1188" spans="1:57" x14ac:dyDescent="0.25">
      <c r="D1188" s="386" t="s">
        <v>1120</v>
      </c>
      <c r="I1188" s="385"/>
      <c r="J1188" s="385"/>
      <c r="K1188" s="385"/>
      <c r="L1188" s="385"/>
      <c r="M1188" s="385"/>
      <c r="Q1188" s="386"/>
    </row>
    <row r="1189" spans="1:57" s="64" customFormat="1" ht="30" x14ac:dyDescent="0.25">
      <c r="A1189" s="1393"/>
      <c r="B1189" s="157"/>
      <c r="C1189" s="1409" t="s">
        <v>17</v>
      </c>
      <c r="D1189" s="1420" t="s">
        <v>616</v>
      </c>
      <c r="E1189" s="1409" t="s">
        <v>19</v>
      </c>
      <c r="F1189" s="1409" t="s">
        <v>20</v>
      </c>
      <c r="G1189" s="1409" t="s">
        <v>21</v>
      </c>
      <c r="H1189" s="1409" t="s">
        <v>22</v>
      </c>
      <c r="I1189" s="1409" t="s">
        <v>23</v>
      </c>
      <c r="J1189" s="1413" t="s">
        <v>24</v>
      </c>
      <c r="K1189" s="1409" t="s">
        <v>25</v>
      </c>
      <c r="L1189" s="1409" t="s">
        <v>1121</v>
      </c>
      <c r="M1189" s="157"/>
      <c r="N1189" s="157"/>
      <c r="O1189" s="157"/>
      <c r="P1189" s="157"/>
      <c r="Q1189" s="157"/>
      <c r="R1189" s="157"/>
      <c r="S1189" s="157"/>
      <c r="T1189" s="157"/>
      <c r="U1189" s="157"/>
      <c r="V1189" s="623" t="s">
        <v>27</v>
      </c>
      <c r="W1189" s="2284">
        <f>W$6</f>
        <v>43252</v>
      </c>
      <c r="X1189" s="2284">
        <f t="shared" ref="X1189:AG1189" si="109">X$6</f>
        <v>43465</v>
      </c>
      <c r="Y1189" s="2284">
        <f t="shared" si="109"/>
        <v>43800</v>
      </c>
      <c r="Z1189" s="2284">
        <f t="shared" si="109"/>
        <v>43862</v>
      </c>
      <c r="AA1189" s="2284">
        <f t="shared" si="109"/>
        <v>44013</v>
      </c>
      <c r="AB1189" s="2284">
        <f t="shared" si="109"/>
        <v>44166</v>
      </c>
      <c r="AC1189" s="2284" t="str">
        <f t="shared" si="109"/>
        <v>-</v>
      </c>
      <c r="AD1189" s="2284" t="str">
        <f t="shared" si="109"/>
        <v>-</v>
      </c>
      <c r="AE1189" s="2284" t="str">
        <f t="shared" si="109"/>
        <v>-</v>
      </c>
      <c r="AF1189" s="2284" t="str">
        <f t="shared" si="109"/>
        <v>-</v>
      </c>
      <c r="AG1189" s="2284" t="str">
        <f t="shared" si="109"/>
        <v>-</v>
      </c>
      <c r="BB1189" s="93" t="str">
        <f>$BB$6</f>
        <v>TRC (2020)</v>
      </c>
      <c r="BC1189" s="93" t="str">
        <f>$BC$6</f>
        <v>Benefit Lookup</v>
      </c>
      <c r="BD1189" s="741" t="str">
        <f>$BD$6</f>
        <v>Benefits (2019 $)</v>
      </c>
      <c r="BE1189" s="279" t="str">
        <f>$BE$6</f>
        <v>Incremental Cost (2019 $)</v>
      </c>
    </row>
    <row r="1190" spans="1:57" s="64" customFormat="1" x14ac:dyDescent="0.25">
      <c r="A1190" s="1393" t="str">
        <f t="shared" ref="A1190:A1201" si="110">C1190&amp;G1190</f>
        <v>351900_2019_12_Cooling Res</v>
      </c>
      <c r="B1190" s="157"/>
      <c r="C1190" s="1352" t="s">
        <v>1271</v>
      </c>
      <c r="D1190" s="1658" t="s">
        <v>742</v>
      </c>
      <c r="E1190" s="742" t="s">
        <v>1272</v>
      </c>
      <c r="F1190" s="825">
        <f>ROUND(((J1247*J1253*(1/J1259-1/J1265))/1000)*J1271,2)</f>
        <v>433.19</v>
      </c>
      <c r="G1190" s="263" t="s">
        <v>1273</v>
      </c>
      <c r="H1190" s="202">
        <f>VLOOKUP(G1190,'CP FACTORS'!$A$3:$B$38, 2, FALSE)</f>
        <v>9.4741810000000004E-4</v>
      </c>
      <c r="I1190" s="1757">
        <f t="shared" ref="I1190:I1201" si="111">ROUND(F1190*H1190,6)</f>
        <v>0.410412</v>
      </c>
      <c r="J1190" s="141">
        <f>J1277</f>
        <v>18</v>
      </c>
      <c r="K1190" s="589">
        <f>J1283</f>
        <v>2936.6</v>
      </c>
      <c r="L1190" s="1780">
        <f>K1247</f>
        <v>3.4</v>
      </c>
      <c r="M1190" s="874"/>
      <c r="N1190" s="157"/>
      <c r="O1190" s="157"/>
      <c r="P1190" s="157"/>
      <c r="Q1190" s="157"/>
      <c r="R1190" s="1627"/>
      <c r="S1190" s="157"/>
      <c r="T1190" s="157"/>
      <c r="U1190" s="157"/>
      <c r="V1190" s="2309" t="s">
        <v>20</v>
      </c>
      <c r="W1190" s="875">
        <v>433.19323308270674</v>
      </c>
      <c r="X1190" s="875">
        <v>433.19323308270674</v>
      </c>
      <c r="Y1190" s="873">
        <v>433.19</v>
      </c>
      <c r="Z1190" s="825">
        <v>433.19</v>
      </c>
      <c r="AA1190" s="825">
        <v>433.19</v>
      </c>
      <c r="AB1190" s="2662">
        <v>433.19</v>
      </c>
      <c r="AC1190" s="63"/>
      <c r="AD1190" s="63"/>
      <c r="AE1190" s="63"/>
      <c r="AF1190" s="63"/>
      <c r="AG1190" s="63"/>
      <c r="BB1190" s="288">
        <f>(BD1190+BD1191)/(BE1190+BE1191)</f>
        <v>0.38425379181416769</v>
      </c>
      <c r="BC1190" s="742" t="str">
        <f t="shared" ref="BC1190:BC1201" si="112">CONCATENATE(G1190," ",J1190," Year EUL")</f>
        <v>Cooling Res 18 Year EUL</v>
      </c>
      <c r="BD1190" s="749">
        <f>(INDEX('Avoided Cost Benefits'!$C$4:$C$857,MATCH(BC1190,'Avoided Cost Benefits'!$A$4:$A$857,0)))*F1190</f>
        <v>764.06384728832995</v>
      </c>
      <c r="BE1190" s="69">
        <f t="shared" ref="BE1190:BE1201" si="113">K1190/(1.0595^(2020-2019))</f>
        <v>2771.6847569608303</v>
      </c>
    </row>
    <row r="1191" spans="1:57" s="64" customFormat="1" x14ac:dyDescent="0.25">
      <c r="A1191" s="1393" t="str">
        <f t="shared" si="110"/>
        <v>351900_2019_12_Heating Res</v>
      </c>
      <c r="B1191" s="157"/>
      <c r="C1191" s="1352" t="s">
        <v>1271</v>
      </c>
      <c r="D1191" s="1756" t="s">
        <v>742</v>
      </c>
      <c r="E1191" s="750" t="s">
        <v>1274</v>
      </c>
      <c r="F1191" s="825">
        <f>ROUND(((J1223*J1229*(1/J1235-1/J1241))/1000)*J1271,2)</f>
        <v>651.41999999999996</v>
      </c>
      <c r="G1191" s="263" t="s">
        <v>1275</v>
      </c>
      <c r="H1191" s="202">
        <f>VLOOKUP(G1191,'CP FACTORS'!$A$3:$B$38, 2, FALSE)</f>
        <v>0</v>
      </c>
      <c r="I1191" s="1757">
        <f t="shared" si="111"/>
        <v>0</v>
      </c>
      <c r="J1191" s="141">
        <f>J1190</f>
        <v>18</v>
      </c>
      <c r="K1191" s="589"/>
      <c r="L1191" s="1780"/>
      <c r="M1191" s="874"/>
      <c r="N1191" s="157"/>
      <c r="O1191" s="157"/>
      <c r="P1191" s="157"/>
      <c r="Q1191" s="157"/>
      <c r="R1191" s="1627"/>
      <c r="S1191" s="157"/>
      <c r="T1191" s="157"/>
      <c r="U1191" s="157"/>
      <c r="V1191" s="2309" t="s">
        <v>20</v>
      </c>
      <c r="W1191" s="875">
        <v>651.42175609756123</v>
      </c>
      <c r="X1191" s="875">
        <v>651.42175609756123</v>
      </c>
      <c r="Y1191" s="873">
        <v>651.41999999999996</v>
      </c>
      <c r="Z1191" s="825">
        <v>651.41999999999996</v>
      </c>
      <c r="AA1191" s="825">
        <v>651.41999999999996</v>
      </c>
      <c r="AB1191" s="2662">
        <v>651.41999999999996</v>
      </c>
      <c r="AC1191" s="63"/>
      <c r="AD1191" s="63"/>
      <c r="AE1191" s="63"/>
      <c r="AF1191" s="63"/>
      <c r="AG1191" s="63"/>
      <c r="BB1191" s="291"/>
      <c r="BC1191" s="750" t="str">
        <f t="shared" si="112"/>
        <v>Heating Res 18 Year EUL</v>
      </c>
      <c r="BD1191" s="752">
        <f>(INDEX('Avoided Cost Benefits'!$C$4:$C$857,MATCH(BC1191,'Avoided Cost Benefits'!$A$4:$A$857,0)))*F1191</f>
        <v>300.96653028739888</v>
      </c>
      <c r="BE1191" s="73">
        <f t="shared" si="113"/>
        <v>0</v>
      </c>
    </row>
    <row r="1192" spans="1:57" s="64" customFormat="1" x14ac:dyDescent="0.25">
      <c r="A1192" s="1393" t="str">
        <f t="shared" si="110"/>
        <v>351901_2019_12_Cooling Res</v>
      </c>
      <c r="B1192" s="157"/>
      <c r="C1192" s="1352" t="s">
        <v>1276</v>
      </c>
      <c r="D1192" s="1734" t="s">
        <v>737</v>
      </c>
      <c r="E1192" s="742" t="str">
        <f>CONCATENATE(E1190,"_CompE")</f>
        <v>DFHP - SEER 19 MF heat pump base _CompE</v>
      </c>
      <c r="F1192" s="825">
        <f>ROUND((($J$1248*$J$1254*(1/$J$1260-1/$J$1266))/1000)*$J$1272,2)</f>
        <v>315.05</v>
      </c>
      <c r="G1192" s="263" t="s">
        <v>1273</v>
      </c>
      <c r="H1192" s="202">
        <f>VLOOKUP(G1192,'CP FACTORS'!$A$3:$B$38, 2, FALSE)</f>
        <v>9.4741810000000004E-4</v>
      </c>
      <c r="I1192" s="1757">
        <f t="shared" si="111"/>
        <v>0.29848400000000003</v>
      </c>
      <c r="J1192" s="141">
        <f>J1278</f>
        <v>18</v>
      </c>
      <c r="K1192" s="589">
        <f>J1284</f>
        <v>2936.6</v>
      </c>
      <c r="L1192" s="1780">
        <f>K1248</f>
        <v>3.4</v>
      </c>
      <c r="M1192" s="874"/>
      <c r="N1192" s="157"/>
      <c r="O1192" s="157"/>
      <c r="P1192" s="157"/>
      <c r="Q1192" s="157"/>
      <c r="R1192" s="1627"/>
      <c r="S1192" s="157"/>
      <c r="T1192" s="157"/>
      <c r="U1192" s="157"/>
      <c r="V1192" s="2309" t="s">
        <v>20</v>
      </c>
      <c r="W1192" s="875"/>
      <c r="X1192" s="875"/>
      <c r="Y1192" s="830">
        <v>315.05</v>
      </c>
      <c r="Z1192" s="825">
        <v>315.05</v>
      </c>
      <c r="AA1192" s="825">
        <v>315.05</v>
      </c>
      <c r="AB1192" s="2662">
        <v>315.05</v>
      </c>
      <c r="AC1192" s="63"/>
      <c r="AD1192" s="63"/>
      <c r="AE1192" s="63"/>
      <c r="AF1192" s="63"/>
      <c r="AG1192" s="63"/>
      <c r="BB1192" s="293">
        <f>(BD1192+BD1193)/(BE1192+BE1193)</f>
        <v>0.2499763249434484</v>
      </c>
      <c r="BC1192" s="742" t="str">
        <f t="shared" si="112"/>
        <v>Cooling Res 18 Year EUL</v>
      </c>
      <c r="BD1192" s="752">
        <f>(INDEX('Avoided Cost Benefits'!$C$4:$C$857,MATCH(BC1192,'Avoided Cost Benefits'!$A$4:$A$857,0)))*F1192</f>
        <v>555.68760841244796</v>
      </c>
      <c r="BE1192" s="73">
        <f t="shared" si="113"/>
        <v>2771.6847569608303</v>
      </c>
    </row>
    <row r="1193" spans="1:57" s="64" customFormat="1" x14ac:dyDescent="0.25">
      <c r="A1193" s="1393" t="str">
        <f t="shared" si="110"/>
        <v>351901_2019_12_Heating Res</v>
      </c>
      <c r="B1193" s="157"/>
      <c r="C1193" s="1352" t="s">
        <v>1276</v>
      </c>
      <c r="D1193" s="1734" t="s">
        <v>737</v>
      </c>
      <c r="E1193" s="750" t="str">
        <f>CONCATENATE(E1191,"_CompE")</f>
        <v>DFHP - SEER 19 MF heat pump base_CompE</v>
      </c>
      <c r="F1193" s="825">
        <f>ROUND((($J$1224*$J$1230*(1/$J$1236-1/$J$1242))/1000)*$J$1272,2)</f>
        <v>296.89</v>
      </c>
      <c r="G1193" s="263" t="s">
        <v>1275</v>
      </c>
      <c r="H1193" s="202">
        <f>VLOOKUP(G1193,'CP FACTORS'!$A$3:$B$38, 2, FALSE)</f>
        <v>0</v>
      </c>
      <c r="I1193" s="1757">
        <f t="shared" si="111"/>
        <v>0</v>
      </c>
      <c r="J1193" s="141">
        <f>J1192</f>
        <v>18</v>
      </c>
      <c r="K1193" s="589"/>
      <c r="L1193" s="1780"/>
      <c r="M1193" s="874"/>
      <c r="N1193" s="157"/>
      <c r="O1193" s="157"/>
      <c r="P1193" s="157"/>
      <c r="Q1193" s="157"/>
      <c r="R1193" s="1627"/>
      <c r="S1193" s="157"/>
      <c r="T1193" s="157"/>
      <c r="U1193" s="157"/>
      <c r="V1193" s="2309" t="s">
        <v>20</v>
      </c>
      <c r="W1193" s="875"/>
      <c r="X1193" s="875"/>
      <c r="Y1193" s="830">
        <v>296.89</v>
      </c>
      <c r="Z1193" s="825">
        <v>296.89</v>
      </c>
      <c r="AA1193" s="825">
        <v>296.89</v>
      </c>
      <c r="AB1193" s="2662">
        <v>296.89</v>
      </c>
      <c r="AC1193" s="63"/>
      <c r="AD1193" s="63"/>
      <c r="AE1193" s="63"/>
      <c r="AF1193" s="63"/>
      <c r="AG1193" s="63"/>
      <c r="BB1193" s="291"/>
      <c r="BC1193" s="750" t="str">
        <f t="shared" si="112"/>
        <v>Heating Res 18 Year EUL</v>
      </c>
      <c r="BD1193" s="752">
        <f>(INDEX('Avoided Cost Benefits'!$C$4:$C$857,MATCH(BC1193,'Avoided Cost Benefits'!$A$4:$A$857,0)))*F1193</f>
        <v>137.1679610343954</v>
      </c>
      <c r="BE1193" s="73">
        <f t="shared" si="113"/>
        <v>0</v>
      </c>
    </row>
    <row r="1194" spans="1:57" s="64" customFormat="1" x14ac:dyDescent="0.25">
      <c r="A1194" s="1393" t="str">
        <f t="shared" si="110"/>
        <v>351950_2019_12_Cooling Res</v>
      </c>
      <c r="B1194" s="157"/>
      <c r="C1194" s="1352" t="s">
        <v>1277</v>
      </c>
      <c r="D1194" s="1756" t="s">
        <v>742</v>
      </c>
      <c r="E1194" s="742" t="s">
        <v>1278</v>
      </c>
      <c r="F1194" s="825">
        <f>ROUND(((J1249*J1255*(1/J1261-1/J1267))/1000)*J1273,2)</f>
        <v>639.09</v>
      </c>
      <c r="G1194" s="263" t="s">
        <v>1273</v>
      </c>
      <c r="H1194" s="202">
        <f>VLOOKUP(G1194,'CP FACTORS'!$A$3:$B$38, 2, FALSE)</f>
        <v>9.4741810000000004E-4</v>
      </c>
      <c r="I1194" s="1757">
        <f t="shared" si="111"/>
        <v>0.60548500000000005</v>
      </c>
      <c r="J1194" s="141">
        <f>J1279</f>
        <v>18</v>
      </c>
      <c r="K1194" s="589">
        <f>J1285</f>
        <v>3176.6</v>
      </c>
      <c r="L1194" s="1780">
        <f>K1249</f>
        <v>4.4000000000000004</v>
      </c>
      <c r="M1194" s="874"/>
      <c r="N1194" s="157"/>
      <c r="O1194" s="157"/>
      <c r="P1194" s="157"/>
      <c r="Q1194" s="157"/>
      <c r="R1194" s="1627"/>
      <c r="S1194" s="157"/>
      <c r="T1194" s="157"/>
      <c r="U1194" s="157"/>
      <c r="V1194" s="2309" t="s">
        <v>20</v>
      </c>
      <c r="W1194" s="875">
        <v>639.08742857142852</v>
      </c>
      <c r="X1194" s="875">
        <v>639.08742857142852</v>
      </c>
      <c r="Y1194" s="873">
        <v>639.09</v>
      </c>
      <c r="Z1194" s="825">
        <v>639.09</v>
      </c>
      <c r="AA1194" s="825">
        <v>639.09</v>
      </c>
      <c r="AB1194" s="2662">
        <v>639.09</v>
      </c>
      <c r="AC1194" s="63"/>
      <c r="AD1194" s="63"/>
      <c r="AE1194" s="63"/>
      <c r="AF1194" s="63"/>
      <c r="AG1194" s="63"/>
      <c r="BB1194" s="293">
        <f>(BD1194+BD1195)/(BE1194+BE1195)</f>
        <v>0.52863614821545901</v>
      </c>
      <c r="BC1194" s="742" t="str">
        <f t="shared" si="112"/>
        <v>Cooling Res 18 Year EUL</v>
      </c>
      <c r="BD1194" s="752">
        <f>(INDEX('Avoided Cost Benefits'!$C$4:$C$857,MATCH(BC1194,'Avoided Cost Benefits'!$A$4:$A$857,0)))*F1194</f>
        <v>1127.2318478346656</v>
      </c>
      <c r="BE1194" s="73">
        <f t="shared" si="113"/>
        <v>2998.2067012741854</v>
      </c>
    </row>
    <row r="1195" spans="1:57" s="64" customFormat="1" x14ac:dyDescent="0.25">
      <c r="A1195" s="1393" t="str">
        <f t="shared" si="110"/>
        <v>351950_2019_12_Heating Res</v>
      </c>
      <c r="B1195" s="157"/>
      <c r="C1195" s="1352" t="s">
        <v>1277</v>
      </c>
      <c r="D1195" s="1756" t="s">
        <v>742</v>
      </c>
      <c r="E1195" s="750" t="s">
        <v>1278</v>
      </c>
      <c r="F1195" s="825">
        <f>ROUND(((J1225*J1231*(1/J1237-1/J1243))/1000)*J1273,2)</f>
        <v>990.72</v>
      </c>
      <c r="G1195" s="263" t="s">
        <v>1275</v>
      </c>
      <c r="H1195" s="202">
        <f>VLOOKUP(G1195,'CP FACTORS'!$A$3:$B$38, 2, FALSE)</f>
        <v>0</v>
      </c>
      <c r="I1195" s="1757">
        <f t="shared" si="111"/>
        <v>0</v>
      </c>
      <c r="J1195" s="141">
        <f>J1194</f>
        <v>18</v>
      </c>
      <c r="K1195" s="589"/>
      <c r="L1195" s="1780"/>
      <c r="M1195" s="874"/>
      <c r="N1195" s="157"/>
      <c r="O1195" s="157"/>
      <c r="P1195" s="157"/>
      <c r="Q1195" s="157"/>
      <c r="R1195" s="1627"/>
      <c r="S1195" s="157"/>
      <c r="T1195" s="157"/>
      <c r="U1195" s="157"/>
      <c r="V1195" s="2309" t="s">
        <v>20</v>
      </c>
      <c r="W1195" s="875">
        <v>990.72439024390337</v>
      </c>
      <c r="X1195" s="875">
        <v>990.72439024390337</v>
      </c>
      <c r="Y1195" s="873">
        <v>990.72</v>
      </c>
      <c r="Z1195" s="825">
        <v>990.72</v>
      </c>
      <c r="AA1195" s="825">
        <v>990.72</v>
      </c>
      <c r="AB1195" s="2662">
        <v>990.72</v>
      </c>
      <c r="AC1195" s="63"/>
      <c r="AD1195" s="63"/>
      <c r="AE1195" s="63"/>
      <c r="AF1195" s="63"/>
      <c r="AG1195" s="63"/>
      <c r="BB1195" s="291"/>
      <c r="BC1195" s="750" t="str">
        <f t="shared" si="112"/>
        <v>Heating Res 18 Year EUL</v>
      </c>
      <c r="BD1195" s="752">
        <f>(INDEX('Avoided Cost Benefits'!$C$4:$C$857,MATCH(BC1195,'Avoided Cost Benefits'!$A$4:$A$857,0)))*F1195</f>
        <v>457.72859428069728</v>
      </c>
      <c r="BE1195" s="73">
        <f t="shared" si="113"/>
        <v>0</v>
      </c>
    </row>
    <row r="1196" spans="1:57" s="64" customFormat="1" x14ac:dyDescent="0.25">
      <c r="A1196" s="1393" t="str">
        <f t="shared" si="110"/>
        <v>351951_2019_12_Cooling Res</v>
      </c>
      <c r="B1196" s="157"/>
      <c r="C1196" s="1352" t="s">
        <v>1279</v>
      </c>
      <c r="D1196" s="1734" t="s">
        <v>737</v>
      </c>
      <c r="E1196" s="742" t="str">
        <f>CONCATENATE(E1194,"_CompE")</f>
        <v>DFHP - SEER 20 MF heat pump base_CompE</v>
      </c>
      <c r="F1196" s="825">
        <f>ROUND((($J$1250*$J$1256*(1/$J$1262-1/$J$1268))/1000)*$J$1274,2)</f>
        <v>464.79</v>
      </c>
      <c r="G1196" s="263" t="s">
        <v>1273</v>
      </c>
      <c r="H1196" s="202">
        <f>VLOOKUP(G1196,'CP FACTORS'!$A$3:$B$38, 2, FALSE)</f>
        <v>9.4741810000000004E-4</v>
      </c>
      <c r="I1196" s="1757">
        <f t="shared" si="111"/>
        <v>0.44035000000000002</v>
      </c>
      <c r="J1196" s="141">
        <f>J1280</f>
        <v>18</v>
      </c>
      <c r="K1196" s="589">
        <f>J1286</f>
        <v>3176.6</v>
      </c>
      <c r="L1196" s="1780">
        <f>K1250</f>
        <v>4.4000000000000004</v>
      </c>
      <c r="M1196" s="874"/>
      <c r="N1196" s="157"/>
      <c r="O1196" s="157"/>
      <c r="P1196" s="157"/>
      <c r="Q1196" s="157"/>
      <c r="R1196" s="1627"/>
      <c r="S1196" s="157"/>
      <c r="T1196" s="157"/>
      <c r="U1196" s="157"/>
      <c r="V1196" s="2309" t="s">
        <v>20</v>
      </c>
      <c r="W1196" s="875"/>
      <c r="X1196" s="875"/>
      <c r="Y1196" s="830">
        <v>464.79</v>
      </c>
      <c r="Z1196" s="825">
        <v>464.79</v>
      </c>
      <c r="AA1196" s="825">
        <v>464.79</v>
      </c>
      <c r="AB1196" s="2662">
        <v>464.79</v>
      </c>
      <c r="AC1196" s="63"/>
      <c r="AD1196" s="63"/>
      <c r="AE1196" s="63"/>
      <c r="AF1196" s="63"/>
      <c r="AG1196" s="63"/>
      <c r="BB1196" s="293">
        <f>(BD1196+BD1197)/(BE1196+BE1197)</f>
        <v>0.34301134771560521</v>
      </c>
      <c r="BC1196" s="742" t="str">
        <f t="shared" si="112"/>
        <v>Cooling Res 18 Year EUL</v>
      </c>
      <c r="BD1196" s="752">
        <f>(INDEX('Avoided Cost Benefits'!$C$4:$C$857,MATCH(BC1196,'Avoided Cost Benefits'!$A$4:$A$857,0)))*F1196</f>
        <v>819.8001698588215</v>
      </c>
      <c r="BE1196" s="73">
        <f t="shared" si="113"/>
        <v>2998.2067012741854</v>
      </c>
    </row>
    <row r="1197" spans="1:57" s="64" customFormat="1" x14ac:dyDescent="0.25">
      <c r="A1197" s="1393" t="str">
        <f t="shared" si="110"/>
        <v>351951_2019_12_Heating Res</v>
      </c>
      <c r="B1197" s="157"/>
      <c r="C1197" s="1352" t="s">
        <v>1279</v>
      </c>
      <c r="D1197" s="1734" t="s">
        <v>737</v>
      </c>
      <c r="E1197" s="750" t="str">
        <f>CONCATENATE(E1195,"_CompE")</f>
        <v>DFHP - SEER 20 MF heat pump base_CompE</v>
      </c>
      <c r="F1197" s="825">
        <f>ROUND((($J$1226*$J$1232*(1/$J$1238-1/$J$1244))/1000)*$J$1274,2)</f>
        <v>451.54</v>
      </c>
      <c r="G1197" s="263" t="s">
        <v>1275</v>
      </c>
      <c r="H1197" s="202">
        <f>VLOOKUP(G1197,'CP FACTORS'!$A$3:$B$38, 2, FALSE)</f>
        <v>0</v>
      </c>
      <c r="I1197" s="1757">
        <f t="shared" si="111"/>
        <v>0</v>
      </c>
      <c r="J1197" s="141">
        <f>J1196</f>
        <v>18</v>
      </c>
      <c r="K1197" s="589"/>
      <c r="L1197" s="1780"/>
      <c r="M1197" s="874"/>
      <c r="N1197" s="157"/>
      <c r="O1197" s="157"/>
      <c r="P1197" s="157"/>
      <c r="Q1197" s="157"/>
      <c r="R1197" s="1627"/>
      <c r="S1197" s="157"/>
      <c r="T1197" s="157"/>
      <c r="U1197" s="157"/>
      <c r="V1197" s="2309" t="s">
        <v>20</v>
      </c>
      <c r="W1197" s="875"/>
      <c r="X1197" s="875"/>
      <c r="Y1197" s="830">
        <v>451.54</v>
      </c>
      <c r="Z1197" s="825">
        <v>451.54</v>
      </c>
      <c r="AA1197" s="825">
        <v>451.54</v>
      </c>
      <c r="AB1197" s="2662">
        <v>451.54</v>
      </c>
      <c r="AC1197" s="63"/>
      <c r="AD1197" s="63"/>
      <c r="AE1197" s="63"/>
      <c r="AF1197" s="63"/>
      <c r="AG1197" s="63"/>
      <c r="BB1197" s="291"/>
      <c r="BC1197" s="750" t="str">
        <f t="shared" si="112"/>
        <v>Heating Res 18 Year EUL</v>
      </c>
      <c r="BD1197" s="752">
        <f>(INDEX('Avoided Cost Benefits'!$C$4:$C$857,MATCH(BC1197,'Avoided Cost Benefits'!$A$4:$A$857,0)))*F1197</f>
        <v>208.61875147519586</v>
      </c>
      <c r="BE1197" s="73">
        <f t="shared" si="113"/>
        <v>0</v>
      </c>
    </row>
    <row r="1198" spans="1:57" s="64" customFormat="1" x14ac:dyDescent="0.25">
      <c r="A1198" s="1393" t="str">
        <f t="shared" si="110"/>
        <v>352000_2019_12_Cooling Res</v>
      </c>
      <c r="B1198" s="157"/>
      <c r="C1198" s="1352" t="s">
        <v>1280</v>
      </c>
      <c r="D1198" s="1756" t="s">
        <v>742</v>
      </c>
      <c r="E1198" s="742" t="s">
        <v>1281</v>
      </c>
      <c r="F1198" s="825">
        <f>ROUND(((J1251*J1257*(1/J1263-1/J1269))/1000)*J1275,2)</f>
        <v>871.48</v>
      </c>
      <c r="G1198" s="263" t="s">
        <v>1273</v>
      </c>
      <c r="H1198" s="202">
        <f>VLOOKUP(G1198,'CP FACTORS'!$A$3:$B$38, 2, FALSE)</f>
        <v>9.4741810000000004E-4</v>
      </c>
      <c r="I1198" s="1757">
        <f t="shared" si="111"/>
        <v>0.82565599999999995</v>
      </c>
      <c r="J1198" s="141">
        <f>J1281</f>
        <v>18</v>
      </c>
      <c r="K1198" s="589">
        <f>J1287</f>
        <v>3626.6</v>
      </c>
      <c r="L1198" s="1780">
        <f>K1251</f>
        <v>5.4</v>
      </c>
      <c r="M1198" s="874"/>
      <c r="N1198" s="157"/>
      <c r="O1198" s="157"/>
      <c r="P1198" s="157"/>
      <c r="Q1198" s="157"/>
      <c r="R1198" s="1627"/>
      <c r="S1198" s="157"/>
      <c r="T1198" s="157"/>
      <c r="U1198" s="157"/>
      <c r="V1198" s="2309" t="s">
        <v>20</v>
      </c>
      <c r="W1198" s="875">
        <v>871.48285714285726</v>
      </c>
      <c r="X1198" s="875">
        <v>871.48285714285726</v>
      </c>
      <c r="Y1198" s="873">
        <v>871.48</v>
      </c>
      <c r="Z1198" s="825">
        <v>871.48</v>
      </c>
      <c r="AA1198" s="825">
        <v>871.48</v>
      </c>
      <c r="AB1198" s="2662">
        <v>871.48</v>
      </c>
      <c r="AC1198" s="63"/>
      <c r="AD1198" s="63"/>
      <c r="AE1198" s="63"/>
      <c r="AF1198" s="63"/>
      <c r="AG1198" s="63"/>
      <c r="BB1198" s="293">
        <f>(BD1198+BD1199)/(BE1198+BE1199)</f>
        <v>0.63583826644202834</v>
      </c>
      <c r="BC1198" s="742" t="str">
        <f t="shared" si="112"/>
        <v>Cooling Res 18 Year EUL</v>
      </c>
      <c r="BD1198" s="752">
        <f>(INDEX('Avoided Cost Benefits'!$C$4:$C$857,MATCH(BC1198,'Avoided Cost Benefits'!$A$4:$A$857,0)))*F1198</f>
        <v>1537.1231137256948</v>
      </c>
      <c r="BE1198" s="73">
        <f t="shared" si="113"/>
        <v>3422.9353468617269</v>
      </c>
    </row>
    <row r="1199" spans="1:57" s="64" customFormat="1" x14ac:dyDescent="0.25">
      <c r="A1199" s="1393" t="str">
        <f t="shared" si="110"/>
        <v>352000_2019_12_Heating Res</v>
      </c>
      <c r="B1199" s="157"/>
      <c r="C1199" s="1352" t="s">
        <v>1280</v>
      </c>
      <c r="D1199" s="1756" t="s">
        <v>742</v>
      </c>
      <c r="E1199" s="750" t="s">
        <v>1281</v>
      </c>
      <c r="F1199" s="825">
        <f>ROUND(((J1227*J1233*(1/J1239-1/J1245))/1000)*J1275,2)</f>
        <v>1383.74</v>
      </c>
      <c r="G1199" s="263" t="s">
        <v>1275</v>
      </c>
      <c r="H1199" s="202">
        <f>VLOOKUP(G1199,'CP FACTORS'!$A$3:$B$38, 2, FALSE)</f>
        <v>0</v>
      </c>
      <c r="I1199" s="1757">
        <f t="shared" si="111"/>
        <v>0</v>
      </c>
      <c r="J1199" s="141">
        <f>J1198</f>
        <v>18</v>
      </c>
      <c r="K1199" s="589"/>
      <c r="L1199" s="1780"/>
      <c r="M1199" s="874"/>
      <c r="N1199" s="157"/>
      <c r="O1199" s="157"/>
      <c r="P1199" s="157"/>
      <c r="Q1199" s="157"/>
      <c r="R1199" s="1627"/>
      <c r="S1199" s="157"/>
      <c r="T1199" s="157"/>
      <c r="U1199" s="157"/>
      <c r="V1199" s="2309" t="s">
        <v>20</v>
      </c>
      <c r="W1199" s="875">
        <v>1383.739024390245</v>
      </c>
      <c r="X1199" s="875">
        <v>1383.739024390245</v>
      </c>
      <c r="Y1199" s="873">
        <v>1383.74</v>
      </c>
      <c r="Z1199" s="825">
        <v>1383.74</v>
      </c>
      <c r="AA1199" s="825">
        <v>1383.74</v>
      </c>
      <c r="AB1199" s="2662">
        <v>1383.74</v>
      </c>
      <c r="AC1199" s="63"/>
      <c r="AD1199" s="63"/>
      <c r="AE1199" s="63"/>
      <c r="AF1199" s="63"/>
      <c r="AG1199" s="63"/>
      <c r="BB1199" s="291"/>
      <c r="BC1199" s="750" t="str">
        <f t="shared" si="112"/>
        <v>Heating Res 18 Year EUL</v>
      </c>
      <c r="BD1199" s="752">
        <f>(INDEX('Avoided Cost Benefits'!$C$4:$C$857,MATCH(BC1199,'Avoided Cost Benefits'!$A$4:$A$857,0)))*F1199</f>
        <v>639.31016336600862</v>
      </c>
      <c r="BE1199" s="73">
        <f t="shared" si="113"/>
        <v>0</v>
      </c>
    </row>
    <row r="1200" spans="1:57" s="64" customFormat="1" x14ac:dyDescent="0.25">
      <c r="A1200" s="1393" t="str">
        <f t="shared" si="110"/>
        <v>352001_2019_12_Cooling Res</v>
      </c>
      <c r="B1200" s="157"/>
      <c r="C1200" s="1352" t="s">
        <v>1282</v>
      </c>
      <c r="D1200" s="1734" t="s">
        <v>737</v>
      </c>
      <c r="E1200" s="742" t="str">
        <f>CONCATENATE(E1198,"_CompE")</f>
        <v>DFHP - SEER 21 MF heat pump base_CompE</v>
      </c>
      <c r="F1200" s="825">
        <f>ROUND((($J$1252*$J$1258*(1/$J$1264-1/$J$1270))/1000)*$J$1276,2)</f>
        <v>633.80999999999995</v>
      </c>
      <c r="G1200" s="263" t="s">
        <v>1273</v>
      </c>
      <c r="H1200" s="202">
        <f>VLOOKUP(G1200,'CP FACTORS'!$A$3:$B$38, 2, FALSE)</f>
        <v>9.4741810000000004E-4</v>
      </c>
      <c r="I1200" s="1757">
        <f t="shared" si="111"/>
        <v>0.60048299999999999</v>
      </c>
      <c r="J1200" s="141">
        <f>J1282</f>
        <v>18</v>
      </c>
      <c r="K1200" s="589">
        <f>J1288</f>
        <v>3626.6</v>
      </c>
      <c r="L1200" s="1780">
        <f>K1252</f>
        <v>5.4</v>
      </c>
      <c r="M1200" s="874"/>
      <c r="N1200" s="157"/>
      <c r="O1200" s="157"/>
      <c r="P1200" s="157"/>
      <c r="Q1200" s="157"/>
      <c r="R1200" s="1627"/>
      <c r="S1200" s="157"/>
      <c r="T1200" s="157"/>
      <c r="U1200" s="157"/>
      <c r="V1200" s="2309" t="s">
        <v>20</v>
      </c>
      <c r="W1200" s="875"/>
      <c r="X1200" s="875"/>
      <c r="Y1200" s="830">
        <v>633.80999999999995</v>
      </c>
      <c r="Z1200" s="825">
        <v>633.80999999999995</v>
      </c>
      <c r="AA1200" s="825">
        <v>633.80999999999995</v>
      </c>
      <c r="AB1200" s="2662">
        <v>633.80999999999995</v>
      </c>
      <c r="AC1200" s="63"/>
      <c r="AD1200" s="63"/>
      <c r="AE1200" s="63"/>
      <c r="AF1200" s="63"/>
      <c r="AG1200" s="63"/>
      <c r="BB1200" s="293">
        <f>(BD1200+BD1201)/(BE1200+BE1201)</f>
        <v>0.4117208993065255</v>
      </c>
      <c r="BC1200" s="742" t="str">
        <f t="shared" si="112"/>
        <v>Cooling Res 18 Year EUL</v>
      </c>
      <c r="BD1200" s="752">
        <f>(INDEX('Avoided Cost Benefits'!$C$4:$C$857,MATCH(BC1200,'Avoided Cost Benefits'!$A$4:$A$857,0)))*F1200</f>
        <v>1117.9189433038998</v>
      </c>
      <c r="BE1200" s="73">
        <f t="shared" si="113"/>
        <v>3422.9353468617269</v>
      </c>
    </row>
    <row r="1201" spans="1:57" s="64" customFormat="1" x14ac:dyDescent="0.25">
      <c r="A1201" s="1393" t="str">
        <f t="shared" si="110"/>
        <v>352001_2019_12_Heating Res</v>
      </c>
      <c r="B1201" s="157"/>
      <c r="C1201" s="1352" t="s">
        <v>1282</v>
      </c>
      <c r="D1201" s="1734" t="s">
        <v>737</v>
      </c>
      <c r="E1201" s="750" t="str">
        <f>CONCATENATE(E1199,"_CompE")</f>
        <v>DFHP - SEER 21 MF heat pump base_CompE</v>
      </c>
      <c r="F1201" s="825">
        <f>ROUND((($J$1228*$J$1234*(1/$J$1240-1/$J$1246))/1000)*$J$1276,2)</f>
        <v>630.66</v>
      </c>
      <c r="G1201" s="263" t="s">
        <v>1275</v>
      </c>
      <c r="H1201" s="202">
        <f>VLOOKUP(G1201,'CP FACTORS'!$A$3:$B$38, 2, FALSE)</f>
        <v>0</v>
      </c>
      <c r="I1201" s="1757">
        <f t="shared" si="111"/>
        <v>0</v>
      </c>
      <c r="J1201" s="141">
        <f>J1200</f>
        <v>18</v>
      </c>
      <c r="K1201" s="589"/>
      <c r="L1201" s="1780"/>
      <c r="M1201" s="277"/>
      <c r="N1201" s="157"/>
      <c r="O1201" s="157"/>
      <c r="P1201" s="157"/>
      <c r="Q1201" s="157"/>
      <c r="R1201" s="1627"/>
      <c r="S1201" s="157"/>
      <c r="T1201" s="157"/>
      <c r="U1201" s="157"/>
      <c r="V1201" s="2309" t="s">
        <v>20</v>
      </c>
      <c r="W1201" s="875"/>
      <c r="X1201" s="875"/>
      <c r="Y1201" s="830">
        <v>630.66</v>
      </c>
      <c r="Z1201" s="825">
        <v>630.66</v>
      </c>
      <c r="AA1201" s="825">
        <v>630.66</v>
      </c>
      <c r="AB1201" s="2662">
        <v>630.66</v>
      </c>
      <c r="AC1201" s="63"/>
      <c r="AD1201" s="63"/>
      <c r="AE1201" s="63"/>
      <c r="AF1201" s="63"/>
      <c r="AG1201" s="63"/>
      <c r="BB1201" s="295"/>
      <c r="BC1201" s="750" t="str">
        <f t="shared" si="112"/>
        <v>Heating Res 18 Year EUL</v>
      </c>
      <c r="BD1201" s="756">
        <f>(INDEX('Avoided Cost Benefits'!$C$4:$C$857,MATCH(BC1201,'Avoided Cost Benefits'!$A$4:$A$857,0)))*F1201</f>
        <v>291.37507597410422</v>
      </c>
      <c r="BE1201" s="75">
        <f t="shared" si="113"/>
        <v>0</v>
      </c>
    </row>
    <row r="1202" spans="1:57" s="64" customFormat="1" outlineLevel="1" x14ac:dyDescent="0.25">
      <c r="A1202" s="1393"/>
      <c r="B1202" s="157"/>
      <c r="C1202" s="385"/>
      <c r="D1202" s="386"/>
      <c r="E1202" s="157"/>
      <c r="F1202" s="1692"/>
      <c r="G1202" s="1781"/>
      <c r="H1202" s="385"/>
      <c r="I1202" s="385"/>
      <c r="J1202" s="385"/>
      <c r="K1202" s="386" t="s">
        <v>1283</v>
      </c>
      <c r="L1202" s="385"/>
      <c r="M1202" s="385"/>
      <c r="N1202" s="157"/>
      <c r="O1202" s="157"/>
      <c r="P1202" s="157"/>
      <c r="Q1202" s="386"/>
      <c r="R1202" s="157"/>
      <c r="S1202" s="157"/>
      <c r="T1202" s="157"/>
      <c r="U1202" s="157"/>
      <c r="V1202" s="157"/>
      <c r="BB1202" s="647"/>
      <c r="BC1202" s="648"/>
      <c r="BD1202" s="757"/>
    </row>
    <row r="1203" spans="1:57" s="64" customFormat="1" outlineLevel="1" x14ac:dyDescent="0.25">
      <c r="A1203" s="1393"/>
      <c r="B1203" s="157"/>
      <c r="C1203" s="385"/>
      <c r="D1203" s="386"/>
      <c r="E1203" s="386"/>
      <c r="F1203" s="1692"/>
      <c r="G1203" s="1781"/>
      <c r="H1203" s="385"/>
      <c r="I1203" s="385"/>
      <c r="J1203" s="385"/>
      <c r="K1203" s="385"/>
      <c r="L1203" s="385"/>
      <c r="M1203" s="385"/>
      <c r="N1203" s="157"/>
      <c r="O1203" s="157"/>
      <c r="P1203" s="157"/>
      <c r="Q1203" s="386"/>
      <c r="R1203" s="157"/>
      <c r="S1203" s="157"/>
      <c r="T1203" s="157"/>
      <c r="U1203" s="157"/>
      <c r="V1203" s="157"/>
      <c r="BB1203" s="647"/>
      <c r="BC1203" s="648"/>
      <c r="BD1203" s="757"/>
    </row>
    <row r="1204" spans="1:57" s="64" customFormat="1" outlineLevel="1" x14ac:dyDescent="0.25">
      <c r="A1204" s="1393"/>
      <c r="B1204" s="157"/>
      <c r="C1204" s="385"/>
      <c r="D1204" s="222" t="s">
        <v>571</v>
      </c>
      <c r="E1204" s="758"/>
      <c r="F1204" s="157"/>
      <c r="G1204" s="386"/>
      <c r="H1204" s="157"/>
      <c r="I1204" s="413"/>
      <c r="J1204" s="157"/>
      <c r="K1204" s="157"/>
      <c r="L1204" s="157"/>
      <c r="M1204" s="157"/>
      <c r="N1204" s="157"/>
      <c r="O1204" s="157"/>
      <c r="P1204" s="157"/>
      <c r="Q1204" s="157"/>
      <c r="R1204" s="157"/>
      <c r="S1204" s="157"/>
      <c r="T1204" s="157"/>
      <c r="U1204" s="157"/>
      <c r="V1204" s="157"/>
      <c r="BB1204" s="647"/>
      <c r="BC1204" s="648"/>
      <c r="BD1204" s="757"/>
    </row>
    <row r="1205" spans="1:57" s="64" customFormat="1" outlineLevel="1" x14ac:dyDescent="0.25">
      <c r="A1205" s="1393"/>
      <c r="B1205" s="157"/>
      <c r="C1205" s="385"/>
      <c r="D1205" s="386"/>
      <c r="E1205" s="386"/>
      <c r="F1205" s="157"/>
      <c r="G1205" s="600"/>
      <c r="H1205" s="385"/>
      <c r="I1205" s="413"/>
      <c r="J1205" s="157"/>
      <c r="K1205" s="157"/>
      <c r="L1205" s="157"/>
      <c r="M1205" s="157"/>
      <c r="N1205" s="157"/>
      <c r="O1205" s="157"/>
      <c r="P1205" s="157"/>
      <c r="Q1205" s="157"/>
      <c r="R1205" s="157"/>
      <c r="S1205" s="157"/>
      <c r="T1205" s="157"/>
      <c r="U1205" s="157"/>
      <c r="V1205" s="157"/>
      <c r="BB1205" s="647"/>
      <c r="BC1205" s="648"/>
      <c r="BD1205" s="757"/>
    </row>
    <row r="1206" spans="1:57" s="64" customFormat="1" outlineLevel="1" x14ac:dyDescent="0.25">
      <c r="A1206" s="1393"/>
      <c r="B1206" s="157"/>
      <c r="C1206" s="385"/>
      <c r="D1206" s="386"/>
      <c r="E1206" s="758"/>
      <c r="F1206" s="768"/>
      <c r="G1206" s="600"/>
      <c r="H1206" s="385"/>
      <c r="I1206" s="413"/>
      <c r="J1206" s="157"/>
      <c r="K1206" s="157"/>
      <c r="L1206" s="157"/>
      <c r="M1206" s="157"/>
      <c r="N1206" s="157"/>
      <c r="O1206" s="157"/>
      <c r="P1206" s="157"/>
      <c r="Q1206" s="157"/>
      <c r="R1206" s="157"/>
      <c r="S1206" s="157"/>
      <c r="T1206" s="157"/>
      <c r="U1206" s="157"/>
      <c r="V1206" s="157"/>
      <c r="BB1206" s="647"/>
      <c r="BC1206" s="648"/>
      <c r="BD1206" s="757"/>
    </row>
    <row r="1207" spans="1:57" s="64" customFormat="1" outlineLevel="1" x14ac:dyDescent="0.25">
      <c r="A1207" s="1393"/>
      <c r="B1207" s="157"/>
      <c r="C1207" s="385"/>
      <c r="D1207" s="386"/>
      <c r="E1207" s="758"/>
      <c r="F1207" s="768"/>
      <c r="G1207" s="600"/>
      <c r="H1207" s="385"/>
      <c r="I1207" s="413"/>
      <c r="J1207" s="157"/>
      <c r="K1207" s="157"/>
      <c r="L1207" s="157"/>
      <c r="M1207" s="157"/>
      <c r="N1207" s="157"/>
      <c r="O1207" s="157"/>
      <c r="P1207" s="157"/>
      <c r="Q1207" s="157"/>
      <c r="R1207" s="157"/>
      <c r="S1207" s="157"/>
      <c r="T1207" s="157"/>
      <c r="U1207" s="157"/>
      <c r="V1207" s="157"/>
      <c r="BB1207" s="647"/>
      <c r="BC1207" s="648"/>
      <c r="BD1207" s="757"/>
    </row>
    <row r="1208" spans="1:57" s="64" customFormat="1" outlineLevel="1" x14ac:dyDescent="0.25">
      <c r="A1208" s="1393"/>
      <c r="B1208" s="157"/>
      <c r="C1208" s="385"/>
      <c r="D1208" s="386"/>
      <c r="E1208" s="758"/>
      <c r="F1208" s="768"/>
      <c r="G1208" s="600"/>
      <c r="H1208" s="385"/>
      <c r="I1208" s="413"/>
      <c r="J1208" s="157"/>
      <c r="K1208" s="157"/>
      <c r="L1208" s="157"/>
      <c r="M1208" s="157"/>
      <c r="N1208" s="157"/>
      <c r="O1208" s="157"/>
      <c r="P1208" s="157"/>
      <c r="Q1208" s="157"/>
      <c r="R1208" s="157"/>
      <c r="S1208" s="157"/>
      <c r="T1208" s="157"/>
      <c r="U1208" s="157"/>
      <c r="V1208" s="157"/>
      <c r="BB1208" s="647"/>
      <c r="BC1208" s="648"/>
      <c r="BD1208" s="757"/>
    </row>
    <row r="1209" spans="1:57" s="64" customFormat="1" outlineLevel="1" x14ac:dyDescent="0.25">
      <c r="A1209" s="1393"/>
      <c r="B1209" s="157"/>
      <c r="C1209" s="385"/>
      <c r="D1209" s="386"/>
      <c r="E1209" s="758"/>
      <c r="F1209" s="768"/>
      <c r="G1209" s="600"/>
      <c r="H1209" s="385"/>
      <c r="I1209" s="413"/>
      <c r="J1209" s="157"/>
      <c r="K1209" s="157"/>
      <c r="L1209" s="157"/>
      <c r="M1209" s="157"/>
      <c r="N1209" s="157"/>
      <c r="O1209" s="157"/>
      <c r="P1209" s="157"/>
      <c r="Q1209" s="157"/>
      <c r="R1209" s="157"/>
      <c r="S1209" s="157"/>
      <c r="T1209" s="157"/>
      <c r="U1209" s="157"/>
      <c r="V1209" s="157"/>
      <c r="BB1209" s="647"/>
      <c r="BC1209" s="648"/>
      <c r="BD1209" s="757"/>
    </row>
    <row r="1210" spans="1:57" s="64" customFormat="1" outlineLevel="1" x14ac:dyDescent="0.25">
      <c r="A1210" s="1393"/>
      <c r="B1210" s="157"/>
      <c r="C1210" s="385"/>
      <c r="D1210" s="386" t="s">
        <v>1165</v>
      </c>
      <c r="E1210" s="758"/>
      <c r="F1210" s="768"/>
      <c r="G1210" s="600"/>
      <c r="H1210" s="385"/>
      <c r="I1210" s="413"/>
      <c r="J1210" s="157"/>
      <c r="K1210" s="157"/>
      <c r="L1210" s="157"/>
      <c r="M1210" s="157"/>
      <c r="N1210" s="157"/>
      <c r="O1210" s="157"/>
      <c r="P1210" s="157"/>
      <c r="Q1210" s="157"/>
      <c r="R1210" s="157"/>
      <c r="S1210" s="157"/>
      <c r="T1210" s="157"/>
      <c r="U1210" s="157"/>
      <c r="V1210" s="157"/>
      <c r="BB1210" s="647"/>
      <c r="BC1210" s="648"/>
      <c r="BD1210" s="757"/>
    </row>
    <row r="1211" spans="1:57" s="64" customFormat="1" outlineLevel="1" x14ac:dyDescent="0.25">
      <c r="A1211" s="1393"/>
      <c r="B1211" s="157"/>
      <c r="C1211" s="385"/>
      <c r="D1211" s="386"/>
      <c r="E1211" s="758"/>
      <c r="F1211" s="768"/>
      <c r="G1211" s="600"/>
      <c r="H1211" s="385"/>
      <c r="I1211" s="413"/>
      <c r="J1211" s="157"/>
      <c r="K1211" s="157"/>
      <c r="L1211" s="157"/>
      <c r="M1211" s="157"/>
      <c r="N1211" s="157"/>
      <c r="O1211" s="157"/>
      <c r="P1211" s="157"/>
      <c r="Q1211" s="157"/>
      <c r="R1211" s="157"/>
      <c r="S1211" s="157"/>
      <c r="T1211" s="157"/>
      <c r="U1211" s="157"/>
      <c r="V1211" s="157"/>
      <c r="BB1211" s="647"/>
      <c r="BC1211" s="648"/>
      <c r="BD1211" s="757"/>
    </row>
    <row r="1212" spans="1:57" s="64" customFormat="1" outlineLevel="1" x14ac:dyDescent="0.25">
      <c r="A1212" s="1393"/>
      <c r="B1212" s="157"/>
      <c r="C1212" s="385"/>
      <c r="D1212" s="386"/>
      <c r="E1212" s="758"/>
      <c r="F1212" s="768"/>
      <c r="G1212" s="600"/>
      <c r="H1212" s="385"/>
      <c r="I1212" s="413"/>
      <c r="J1212" s="157"/>
      <c r="K1212" s="157"/>
      <c r="L1212" s="157"/>
      <c r="M1212" s="157"/>
      <c r="N1212" s="157"/>
      <c r="O1212" s="157"/>
      <c r="P1212" s="157"/>
      <c r="Q1212" s="157"/>
      <c r="R1212" s="157"/>
      <c r="S1212" s="157"/>
      <c r="T1212" s="157"/>
      <c r="U1212" s="157"/>
      <c r="V1212" s="157"/>
      <c r="BB1212" s="647"/>
      <c r="BC1212" s="648"/>
      <c r="BD1212" s="757"/>
    </row>
    <row r="1213" spans="1:57" s="64" customFormat="1" outlineLevel="1" x14ac:dyDescent="0.25">
      <c r="A1213" s="1393"/>
      <c r="B1213" s="157"/>
      <c r="C1213" s="385"/>
      <c r="D1213" s="386"/>
      <c r="E1213" s="758"/>
      <c r="F1213" s="768"/>
      <c r="G1213" s="600"/>
      <c r="H1213" s="385"/>
      <c r="I1213" s="413"/>
      <c r="J1213" s="157"/>
      <c r="K1213" s="157"/>
      <c r="L1213" s="157"/>
      <c r="M1213" s="157"/>
      <c r="N1213" s="157"/>
      <c r="O1213" s="157"/>
      <c r="P1213" s="157"/>
      <c r="Q1213" s="157"/>
      <c r="R1213" s="157"/>
      <c r="S1213" s="157"/>
      <c r="T1213" s="157"/>
      <c r="U1213" s="157"/>
      <c r="V1213" s="157"/>
      <c r="BB1213" s="647"/>
      <c r="BC1213" s="648"/>
      <c r="BD1213" s="757"/>
    </row>
    <row r="1214" spans="1:57" s="64" customFormat="1" outlineLevel="1" x14ac:dyDescent="0.25">
      <c r="A1214" s="1393"/>
      <c r="B1214" s="157"/>
      <c r="C1214" s="385"/>
      <c r="D1214" s="386"/>
      <c r="E1214" s="758"/>
      <c r="F1214" s="768"/>
      <c r="G1214" s="600"/>
      <c r="H1214" s="385"/>
      <c r="I1214" s="413"/>
      <c r="J1214" s="157"/>
      <c r="K1214" s="157"/>
      <c r="L1214" s="157"/>
      <c r="M1214" s="157"/>
      <c r="N1214" s="157"/>
      <c r="O1214" s="157"/>
      <c r="P1214" s="157"/>
      <c r="Q1214" s="157"/>
      <c r="R1214" s="157"/>
      <c r="S1214" s="157"/>
      <c r="T1214" s="157"/>
      <c r="U1214" s="157"/>
      <c r="V1214" s="157"/>
      <c r="BB1214" s="647"/>
      <c r="BC1214" s="648"/>
      <c r="BD1214" s="757"/>
    </row>
    <row r="1215" spans="1:57" s="64" customFormat="1" outlineLevel="1" x14ac:dyDescent="0.25">
      <c r="A1215" s="1393"/>
      <c r="B1215" s="157"/>
      <c r="C1215" s="385"/>
      <c r="D1215" s="386"/>
      <c r="E1215" s="386"/>
      <c r="F1215" s="768"/>
      <c r="G1215" s="600"/>
      <c r="H1215" s="385"/>
      <c r="I1215" s="413"/>
      <c r="J1215" s="157"/>
      <c r="K1215" s="157"/>
      <c r="L1215" s="157"/>
      <c r="M1215" s="157"/>
      <c r="N1215" s="157"/>
      <c r="O1215" s="157"/>
      <c r="P1215" s="157"/>
      <c r="Q1215" s="157"/>
      <c r="R1215" s="157"/>
      <c r="S1215" s="157"/>
      <c r="T1215" s="157"/>
      <c r="U1215" s="157"/>
      <c r="V1215" s="157"/>
      <c r="BB1215" s="647"/>
      <c r="BC1215" s="648"/>
      <c r="BD1215" s="757"/>
    </row>
    <row r="1216" spans="1:57" s="64" customFormat="1" outlineLevel="1" x14ac:dyDescent="0.25">
      <c r="A1216" s="1393"/>
      <c r="B1216" s="157"/>
      <c r="C1216" s="385"/>
      <c r="D1216" s="386" t="s">
        <v>1248</v>
      </c>
      <c r="E1216" s="386"/>
      <c r="F1216" s="768"/>
      <c r="G1216" s="600"/>
      <c r="H1216" s="385"/>
      <c r="I1216" s="413"/>
      <c r="J1216" s="157"/>
      <c r="K1216" s="157"/>
      <c r="L1216" s="157"/>
      <c r="M1216" s="157"/>
      <c r="N1216" s="157"/>
      <c r="O1216" s="157"/>
      <c r="P1216" s="157"/>
      <c r="Q1216" s="157"/>
      <c r="R1216" s="157"/>
      <c r="S1216" s="157"/>
      <c r="T1216" s="157"/>
      <c r="U1216" s="157"/>
      <c r="V1216" s="157"/>
      <c r="BB1216" s="647"/>
      <c r="BC1216" s="648"/>
      <c r="BD1216" s="757"/>
    </row>
    <row r="1217" spans="1:56" s="64" customFormat="1" outlineLevel="1" x14ac:dyDescent="0.25">
      <c r="A1217" s="1393"/>
      <c r="B1217" s="157"/>
      <c r="C1217" s="385"/>
      <c r="D1217" s="386"/>
      <c r="E1217" s="386"/>
      <c r="F1217" s="768"/>
      <c r="G1217" s="600"/>
      <c r="H1217" s="385"/>
      <c r="I1217" s="413"/>
      <c r="J1217" s="157"/>
      <c r="K1217" s="157"/>
      <c r="L1217" s="157"/>
      <c r="M1217" s="157"/>
      <c r="N1217" s="157"/>
      <c r="O1217" s="157"/>
      <c r="P1217" s="157"/>
      <c r="Q1217" s="157"/>
      <c r="R1217" s="157"/>
      <c r="S1217" s="157"/>
      <c r="T1217" s="157"/>
      <c r="U1217" s="157"/>
      <c r="V1217" s="157"/>
      <c r="BB1217" s="647"/>
      <c r="BC1217" s="648"/>
      <c r="BD1217" s="757"/>
    </row>
    <row r="1218" spans="1:56" s="64" customFormat="1" outlineLevel="1" x14ac:dyDescent="0.25">
      <c r="A1218" s="1393"/>
      <c r="B1218" s="157"/>
      <c r="C1218" s="385"/>
      <c r="D1218" s="386"/>
      <c r="E1218" s="386"/>
      <c r="F1218" s="768"/>
      <c r="G1218" s="600"/>
      <c r="H1218" s="385"/>
      <c r="I1218" s="157"/>
      <c r="J1218" s="157"/>
      <c r="K1218" s="157"/>
      <c r="L1218" s="157"/>
      <c r="M1218" s="157"/>
      <c r="N1218" s="157"/>
      <c r="O1218" s="157"/>
      <c r="P1218" s="157"/>
      <c r="Q1218" s="157"/>
      <c r="R1218" s="157"/>
      <c r="S1218" s="157"/>
      <c r="T1218" s="157"/>
      <c r="U1218" s="157"/>
      <c r="V1218" s="157"/>
      <c r="BB1218" s="647"/>
      <c r="BC1218" s="648"/>
      <c r="BD1218" s="757"/>
    </row>
    <row r="1219" spans="1:56" s="64" customFormat="1" outlineLevel="1" x14ac:dyDescent="0.25">
      <c r="A1219" s="1393"/>
      <c r="B1219" s="157"/>
      <c r="C1219" s="385"/>
      <c r="D1219" s="386"/>
      <c r="E1219" s="386"/>
      <c r="F1219" s="157"/>
      <c r="G1219" s="386"/>
      <c r="H1219" s="385"/>
      <c r="I1219" s="157"/>
      <c r="J1219" s="157"/>
      <c r="K1219" s="157"/>
      <c r="L1219" s="157"/>
      <c r="M1219" s="157"/>
      <c r="N1219" s="157"/>
      <c r="O1219" s="157"/>
      <c r="P1219" s="157"/>
      <c r="Q1219" s="157"/>
      <c r="R1219" s="157"/>
      <c r="S1219" s="157"/>
      <c r="T1219" s="157"/>
      <c r="U1219" s="157"/>
      <c r="V1219" s="157"/>
      <c r="BB1219" s="647"/>
      <c r="BC1219" s="648"/>
      <c r="BD1219" s="757"/>
    </row>
    <row r="1220" spans="1:56" s="64" customFormat="1" outlineLevel="1" x14ac:dyDescent="0.25">
      <c r="A1220" s="1393"/>
      <c r="B1220" s="157"/>
      <c r="C1220" s="385"/>
      <c r="D1220" s="386"/>
      <c r="E1220" s="386"/>
      <c r="F1220" s="157"/>
      <c r="G1220" s="386"/>
      <c r="H1220" s="385"/>
      <c r="I1220" s="385"/>
      <c r="J1220" s="385"/>
      <c r="K1220" s="385"/>
      <c r="L1220" s="385"/>
      <c r="M1220" s="385"/>
      <c r="N1220" s="157"/>
      <c r="O1220" s="157"/>
      <c r="P1220" s="157"/>
      <c r="Q1220" s="157"/>
      <c r="R1220" s="157"/>
      <c r="S1220" s="157"/>
      <c r="T1220" s="157"/>
      <c r="U1220" s="157"/>
      <c r="V1220" s="157"/>
      <c r="BB1220" s="647"/>
      <c r="BC1220" s="648"/>
      <c r="BD1220" s="757"/>
    </row>
    <row r="1221" spans="1:56" s="64" customFormat="1" ht="30" outlineLevel="1" x14ac:dyDescent="0.25">
      <c r="A1221" s="1393"/>
      <c r="B1221" s="157"/>
      <c r="C1221" s="385"/>
      <c r="D1221" s="440" t="s">
        <v>572</v>
      </c>
      <c r="E1221" s="440" t="s">
        <v>573</v>
      </c>
      <c r="F1221" s="3594" t="s">
        <v>623</v>
      </c>
      <c r="G1221" s="3594"/>
      <c r="H1221" s="3594"/>
      <c r="I1221" s="1420" t="s">
        <v>17</v>
      </c>
      <c r="J1221" s="1420" t="s">
        <v>574</v>
      </c>
      <c r="K1221" s="1420" t="s">
        <v>1168</v>
      </c>
      <c r="L1221" s="1420" t="s">
        <v>804</v>
      </c>
      <c r="M1221" s="157"/>
      <c r="N1221" s="157"/>
      <c r="O1221" s="157"/>
      <c r="P1221" s="157"/>
      <c r="Q1221" s="157"/>
      <c r="R1221" s="157"/>
      <c r="S1221" s="157"/>
      <c r="T1221" s="157"/>
      <c r="U1221" s="157"/>
      <c r="V1221" s="623" t="s">
        <v>27</v>
      </c>
      <c r="W1221" s="56">
        <v>43252</v>
      </c>
      <c r="X1221" s="56">
        <f>$X$6</f>
        <v>43465</v>
      </c>
      <c r="Y1221" s="56">
        <f>$Y$6</f>
        <v>43800</v>
      </c>
      <c r="Z1221" s="56">
        <f>$Z$6</f>
        <v>43862</v>
      </c>
      <c r="AA1221" s="56">
        <f>$AA$6</f>
        <v>44013</v>
      </c>
      <c r="AB1221" s="56">
        <f>$AB$6</f>
        <v>44166</v>
      </c>
      <c r="AC1221" s="56" t="str">
        <f>$AC$6</f>
        <v>-</v>
      </c>
      <c r="AD1221" s="56" t="str">
        <f>$AD$6</f>
        <v>-</v>
      </c>
      <c r="AE1221" s="56" t="str">
        <f>$AE$6</f>
        <v>-</v>
      </c>
      <c r="AF1221" s="56" t="str">
        <f>$AF$6</f>
        <v>-</v>
      </c>
      <c r="AG1221" s="56" t="str">
        <f>$AG$6</f>
        <v>-</v>
      </c>
      <c r="BB1221" s="647"/>
      <c r="BC1221" s="648"/>
      <c r="BD1221" s="757"/>
    </row>
    <row r="1222" spans="1:56" s="64" customFormat="1" ht="15.75" outlineLevel="1" thickBot="1" x14ac:dyDescent="0.3">
      <c r="A1222" s="1393"/>
      <c r="B1222" s="157"/>
      <c r="C1222" s="385"/>
      <c r="D1222" s="2139"/>
      <c r="E1222" s="2140"/>
      <c r="F1222" s="2141"/>
      <c r="G1222" s="2142"/>
      <c r="H1222" s="2143"/>
      <c r="I1222" s="2144"/>
      <c r="J1222" s="2144"/>
      <c r="K1222" s="2141"/>
      <c r="L1222" s="2141"/>
      <c r="M1222" s="157"/>
      <c r="N1222" s="157"/>
      <c r="O1222" s="157"/>
      <c r="P1222" s="157"/>
      <c r="Q1222" s="157"/>
      <c r="R1222" s="157"/>
      <c r="S1222" s="157"/>
      <c r="T1222" s="157"/>
      <c r="U1222" s="157"/>
      <c r="V1222" s="623"/>
      <c r="W1222" s="56"/>
      <c r="X1222" s="56"/>
      <c r="Y1222" s="56"/>
      <c r="Z1222" s="56"/>
      <c r="AA1222" s="56"/>
      <c r="AB1222" s="56"/>
      <c r="AC1222" s="56"/>
      <c r="AD1222" s="56"/>
      <c r="AE1222" s="56"/>
      <c r="AF1222" s="56"/>
      <c r="AG1222" s="56"/>
      <c r="BB1222" s="647"/>
      <c r="BC1222" s="648"/>
      <c r="BD1222" s="757"/>
    </row>
    <row r="1223" spans="1:56" s="64" customFormat="1" outlineLevel="1" x14ac:dyDescent="0.25">
      <c r="A1223" s="1393"/>
      <c r="B1223" s="157"/>
      <c r="C1223" s="385"/>
      <c r="D1223" s="3588" t="s">
        <v>1284</v>
      </c>
      <c r="E1223" s="3694" t="s">
        <v>1285</v>
      </c>
      <c r="F1223" s="3689" t="str">
        <f>E1190</f>
        <v xml:space="preserve">DFHP - SEER 19 MF heat pump base </v>
      </c>
      <c r="G1223" s="3689"/>
      <c r="H1223" s="3690"/>
      <c r="I1223" s="881"/>
      <c r="J1223" s="2125">
        <v>40800</v>
      </c>
      <c r="K1223" s="898">
        <f t="shared" ref="K1223:K1228" si="114">J1223/12000</f>
        <v>3.4</v>
      </c>
      <c r="L1223" s="877" t="s">
        <v>1286</v>
      </c>
      <c r="M1223" s="157"/>
      <c r="N1223" s="157"/>
      <c r="O1223" s="157"/>
      <c r="P1223" s="157"/>
      <c r="Q1223" s="157"/>
      <c r="R1223" s="157"/>
      <c r="S1223" s="157"/>
      <c r="T1223" s="157"/>
      <c r="U1223" s="157"/>
      <c r="V1223" s="3589"/>
      <c r="W1223" s="781">
        <f>$K1230*12000</f>
        <v>0</v>
      </c>
      <c r="X1223" s="781">
        <v>40800</v>
      </c>
      <c r="Y1223" s="781">
        <v>40800</v>
      </c>
      <c r="Z1223" s="781">
        <v>40800</v>
      </c>
      <c r="AA1223" s="781">
        <v>40800</v>
      </c>
      <c r="AB1223" s="781">
        <v>40800</v>
      </c>
      <c r="AC1223" s="781"/>
      <c r="AD1223" s="781"/>
      <c r="AE1223" s="781"/>
      <c r="AF1223" s="781"/>
      <c r="AG1223" s="781"/>
      <c r="BB1223" s="647"/>
      <c r="BC1223" s="648"/>
      <c r="BD1223" s="757"/>
    </row>
    <row r="1224" spans="1:56" s="64" customFormat="1" outlineLevel="1" x14ac:dyDescent="0.25">
      <c r="A1224" s="1393"/>
      <c r="B1224" s="157"/>
      <c r="C1224" s="385"/>
      <c r="D1224" s="3589"/>
      <c r="E1224" s="3797"/>
      <c r="F1224" s="3689" t="str">
        <f>E1192</f>
        <v>DFHP - SEER 19 MF heat pump base _CompE</v>
      </c>
      <c r="G1224" s="3689"/>
      <c r="H1224" s="3690"/>
      <c r="I1224" s="881"/>
      <c r="J1224" s="2125">
        <v>40800</v>
      </c>
      <c r="K1224" s="898">
        <f t="shared" si="114"/>
        <v>3.4</v>
      </c>
      <c r="L1224" s="877"/>
      <c r="M1224" s="157"/>
      <c r="N1224" s="157"/>
      <c r="O1224" s="157"/>
      <c r="P1224" s="157"/>
      <c r="Q1224" s="157"/>
      <c r="R1224" s="157"/>
      <c r="S1224" s="157"/>
      <c r="T1224" s="157"/>
      <c r="U1224" s="157"/>
      <c r="V1224" s="3589"/>
      <c r="W1224" s="781"/>
      <c r="X1224" s="781"/>
      <c r="Y1224" s="766">
        <v>40800</v>
      </c>
      <c r="Z1224" s="2426">
        <v>40800</v>
      </c>
      <c r="AA1224" s="2426">
        <v>40800</v>
      </c>
      <c r="AB1224" s="2426">
        <v>40800</v>
      </c>
      <c r="AC1224" s="781"/>
      <c r="AD1224" s="781"/>
      <c r="AE1224" s="781"/>
      <c r="AF1224" s="781"/>
      <c r="AG1224" s="781"/>
      <c r="BB1224" s="647"/>
      <c r="BC1224" s="648"/>
      <c r="BD1224" s="757"/>
    </row>
    <row r="1225" spans="1:56" s="64" customFormat="1" outlineLevel="1" x14ac:dyDescent="0.25">
      <c r="A1225" s="1393"/>
      <c r="B1225" s="157"/>
      <c r="C1225" s="385"/>
      <c r="D1225" s="3589"/>
      <c r="E1225" s="3797"/>
      <c r="F1225" s="3689" t="str">
        <f>E1194</f>
        <v>DFHP - SEER 20 MF heat pump base</v>
      </c>
      <c r="G1225" s="3689"/>
      <c r="H1225" s="3690"/>
      <c r="I1225" s="2129"/>
      <c r="J1225" s="2125">
        <v>52800.000000000007</v>
      </c>
      <c r="K1225" s="898">
        <f t="shared" si="114"/>
        <v>4.4000000000000004</v>
      </c>
      <c r="L1225" s="878" t="s">
        <v>1286</v>
      </c>
      <c r="M1225" s="157"/>
      <c r="N1225" s="157"/>
      <c r="O1225" s="157"/>
      <c r="P1225" s="157"/>
      <c r="Q1225" s="157"/>
      <c r="R1225" s="157"/>
      <c r="S1225" s="157"/>
      <c r="T1225" s="157"/>
      <c r="U1225" s="157"/>
      <c r="V1225" s="3589"/>
      <c r="W1225" s="766">
        <f>$K1225*12000</f>
        <v>52800.000000000007</v>
      </c>
      <c r="X1225" s="766">
        <v>52800.000000000007</v>
      </c>
      <c r="Y1225" s="766">
        <v>52800.000000000007</v>
      </c>
      <c r="Z1225" s="2426">
        <v>52800.000000000007</v>
      </c>
      <c r="AA1225" s="2426">
        <v>52800.000000000007</v>
      </c>
      <c r="AB1225" s="2426">
        <v>52800.000000000007</v>
      </c>
      <c r="AC1225" s="766"/>
      <c r="AD1225" s="766"/>
      <c r="AE1225" s="766"/>
      <c r="AF1225" s="766"/>
      <c r="AG1225" s="766"/>
      <c r="BB1225" s="647"/>
      <c r="BC1225" s="648"/>
      <c r="BD1225" s="757"/>
    </row>
    <row r="1226" spans="1:56" s="64" customFormat="1" outlineLevel="1" x14ac:dyDescent="0.25">
      <c r="A1226" s="1393"/>
      <c r="B1226" s="157"/>
      <c r="C1226" s="385"/>
      <c r="D1226" s="3589"/>
      <c r="E1226" s="3797"/>
      <c r="F1226" s="3689" t="str">
        <f>E1196</f>
        <v>DFHP - SEER 20 MF heat pump base_CompE</v>
      </c>
      <c r="G1226" s="3689"/>
      <c r="H1226" s="3690"/>
      <c r="I1226" s="2129"/>
      <c r="J1226" s="2125">
        <v>52800.000000000007</v>
      </c>
      <c r="K1226" s="898">
        <f t="shared" si="114"/>
        <v>4.4000000000000004</v>
      </c>
      <c r="L1226" s="878"/>
      <c r="M1226" s="157"/>
      <c r="N1226" s="157"/>
      <c r="O1226" s="157"/>
      <c r="P1226" s="157"/>
      <c r="Q1226" s="157"/>
      <c r="R1226" s="157"/>
      <c r="S1226" s="157"/>
      <c r="T1226" s="157"/>
      <c r="U1226" s="157"/>
      <c r="V1226" s="3589"/>
      <c r="W1226" s="766"/>
      <c r="X1226" s="766"/>
      <c r="Y1226" s="766">
        <v>52800.000000000007</v>
      </c>
      <c r="Z1226" s="2426">
        <v>52800.000000000007</v>
      </c>
      <c r="AA1226" s="2426">
        <v>52800.000000000007</v>
      </c>
      <c r="AB1226" s="2426">
        <v>52800.000000000007</v>
      </c>
      <c r="AC1226" s="766"/>
      <c r="AD1226" s="766"/>
      <c r="AE1226" s="766"/>
      <c r="AF1226" s="766"/>
      <c r="AG1226" s="766"/>
      <c r="BB1226" s="647"/>
      <c r="BC1226" s="648"/>
      <c r="BD1226" s="757"/>
    </row>
    <row r="1227" spans="1:56" s="64" customFormat="1" outlineLevel="1" x14ac:dyDescent="0.25">
      <c r="A1227" s="1393"/>
      <c r="B1227" s="157"/>
      <c r="C1227" s="385"/>
      <c r="D1227" s="3589"/>
      <c r="E1227" s="3797"/>
      <c r="F1227" s="3689" t="str">
        <f>E1198</f>
        <v>DFHP - SEER 21 MF heat pump base</v>
      </c>
      <c r="G1227" s="3689"/>
      <c r="H1227" s="3690"/>
      <c r="I1227" s="2129"/>
      <c r="J1227" s="2125">
        <v>64800.000000000007</v>
      </c>
      <c r="K1227" s="898">
        <f t="shared" si="114"/>
        <v>5.4</v>
      </c>
      <c r="L1227" s="878" t="s">
        <v>1286</v>
      </c>
      <c r="M1227" s="157"/>
      <c r="N1227" s="157"/>
      <c r="O1227" s="157"/>
      <c r="P1227" s="157"/>
      <c r="Q1227" s="157"/>
      <c r="R1227" s="157"/>
      <c r="S1227" s="157"/>
      <c r="T1227" s="157"/>
      <c r="U1227" s="157"/>
      <c r="V1227" s="3589"/>
      <c r="W1227" s="766">
        <f>$K1227*12000</f>
        <v>64800.000000000007</v>
      </c>
      <c r="X1227" s="766">
        <v>64800.000000000007</v>
      </c>
      <c r="Y1227" s="766">
        <v>64800.000000000007</v>
      </c>
      <c r="Z1227" s="2426">
        <v>64800.000000000007</v>
      </c>
      <c r="AA1227" s="2426">
        <v>64800.000000000007</v>
      </c>
      <c r="AB1227" s="2426">
        <v>64800.000000000007</v>
      </c>
      <c r="AC1227" s="766"/>
      <c r="AD1227" s="766"/>
      <c r="AE1227" s="766"/>
      <c r="AF1227" s="766"/>
      <c r="AG1227" s="766"/>
      <c r="BB1227" s="647"/>
      <c r="BC1227" s="648"/>
      <c r="BD1227" s="757"/>
    </row>
    <row r="1228" spans="1:56" s="64" customFormat="1" ht="15.75" outlineLevel="1" thickBot="1" x14ac:dyDescent="0.3">
      <c r="A1228" s="1393"/>
      <c r="B1228" s="157"/>
      <c r="C1228" s="385"/>
      <c r="D1228" s="3687"/>
      <c r="E1228" s="3798"/>
      <c r="F1228" s="3726" t="str">
        <f>E1200</f>
        <v>DFHP - SEER 21 MF heat pump base_CompE</v>
      </c>
      <c r="G1228" s="3726"/>
      <c r="H1228" s="3727"/>
      <c r="I1228" s="863"/>
      <c r="J1228" s="2127">
        <v>64800.000000000007</v>
      </c>
      <c r="K1228" s="1789">
        <f t="shared" si="114"/>
        <v>5.4</v>
      </c>
      <c r="L1228" s="890"/>
      <c r="M1228" s="157"/>
      <c r="N1228" s="157"/>
      <c r="O1228" s="157"/>
      <c r="P1228" s="157"/>
      <c r="Q1228" s="157"/>
      <c r="R1228" s="157"/>
      <c r="S1228" s="157"/>
      <c r="T1228" s="157"/>
      <c r="U1228" s="157"/>
      <c r="V1228" s="3589"/>
      <c r="W1228" s="766"/>
      <c r="X1228" s="766"/>
      <c r="Y1228" s="766">
        <v>64800.000000000007</v>
      </c>
      <c r="Z1228" s="2426">
        <v>64800.000000000007</v>
      </c>
      <c r="AA1228" s="2426">
        <v>64800.000000000007</v>
      </c>
      <c r="AB1228" s="2426">
        <v>64800.000000000007</v>
      </c>
      <c r="AC1228" s="766"/>
      <c r="AD1228" s="766"/>
      <c r="AE1228" s="766"/>
      <c r="AF1228" s="766"/>
      <c r="AG1228" s="766"/>
      <c r="BB1228" s="647"/>
      <c r="BC1228" s="648"/>
      <c r="BD1228" s="757"/>
    </row>
    <row r="1229" spans="1:56" s="64" customFormat="1" ht="15" customHeight="1" outlineLevel="1" x14ac:dyDescent="0.25">
      <c r="A1229" s="1393"/>
      <c r="B1229" s="157"/>
      <c r="C1229" s="385"/>
      <c r="D1229" s="3588" t="s">
        <v>1287</v>
      </c>
      <c r="E1229" s="3694" t="s">
        <v>1288</v>
      </c>
      <c r="F1229" s="3728" t="str">
        <f>$F$1223</f>
        <v xml:space="preserve">DFHP - SEER 19 MF heat pump base </v>
      </c>
      <c r="G1229" s="3689"/>
      <c r="H1229" s="3690"/>
      <c r="I1229" s="2129"/>
      <c r="J1229" s="2125">
        <v>1119</v>
      </c>
      <c r="K1229" s="898"/>
      <c r="L1229" s="878" t="s">
        <v>1289</v>
      </c>
      <c r="M1229" s="157"/>
      <c r="N1229" s="157"/>
      <c r="O1229" s="157"/>
      <c r="P1229" s="157"/>
      <c r="Q1229" s="157"/>
      <c r="R1229" s="157"/>
      <c r="S1229" s="157"/>
      <c r="T1229" s="157"/>
      <c r="U1229" s="157"/>
      <c r="V1229" s="3588" t="s">
        <v>1287</v>
      </c>
      <c r="W1229" s="760">
        <v>1119</v>
      </c>
      <c r="X1229" s="760">
        <v>1119</v>
      </c>
      <c r="Y1229" s="760">
        <v>1119</v>
      </c>
      <c r="Z1229" s="2428">
        <v>1119</v>
      </c>
      <c r="AA1229" s="2428">
        <v>1119</v>
      </c>
      <c r="AB1229" s="2428">
        <v>1119</v>
      </c>
      <c r="AC1229" s="760"/>
      <c r="AD1229" s="760"/>
      <c r="AE1229" s="760"/>
      <c r="AF1229" s="760"/>
      <c r="AG1229" s="760"/>
      <c r="BB1229" s="647"/>
      <c r="BC1229" s="648"/>
      <c r="BD1229" s="757"/>
    </row>
    <row r="1230" spans="1:56" s="64" customFormat="1" outlineLevel="1" x14ac:dyDescent="0.25">
      <c r="A1230" s="1393"/>
      <c r="B1230" s="157"/>
      <c r="C1230" s="385"/>
      <c r="D1230" s="3589"/>
      <c r="E1230" s="3797"/>
      <c r="F1230" s="3728" t="str">
        <f>$F$1224</f>
        <v>DFHP - SEER 19 MF heat pump base _CompE</v>
      </c>
      <c r="G1230" s="3689"/>
      <c r="H1230" s="3690"/>
      <c r="I1230" s="2129"/>
      <c r="J1230" s="2125">
        <v>510</v>
      </c>
      <c r="K1230" s="898"/>
      <c r="L1230" s="878" t="s">
        <v>1290</v>
      </c>
      <c r="M1230" s="157"/>
      <c r="N1230" s="157"/>
      <c r="O1230" s="157"/>
      <c r="P1230" s="157"/>
      <c r="Q1230" s="157"/>
      <c r="R1230" s="157"/>
      <c r="S1230" s="157"/>
      <c r="T1230" s="157"/>
      <c r="U1230" s="157"/>
      <c r="V1230" s="3589"/>
      <c r="W1230" s="781"/>
      <c r="X1230" s="781"/>
      <c r="Y1230" s="786">
        <v>510</v>
      </c>
      <c r="Z1230" s="781">
        <v>510</v>
      </c>
      <c r="AA1230" s="781">
        <v>510</v>
      </c>
      <c r="AB1230" s="781">
        <v>510</v>
      </c>
      <c r="AC1230" s="781"/>
      <c r="AD1230" s="781"/>
      <c r="AE1230" s="781"/>
      <c r="AF1230" s="781"/>
      <c r="AG1230" s="781"/>
      <c r="BB1230" s="647"/>
      <c r="BC1230" s="648"/>
      <c r="BD1230" s="757"/>
    </row>
    <row r="1231" spans="1:56" s="64" customFormat="1" outlineLevel="1" x14ac:dyDescent="0.25">
      <c r="A1231" s="1393"/>
      <c r="B1231" s="157"/>
      <c r="C1231" s="385"/>
      <c r="D1231" s="3589"/>
      <c r="E1231" s="3797"/>
      <c r="F1231" s="3728" t="str">
        <f>$F$1225</f>
        <v>DFHP - SEER 20 MF heat pump base</v>
      </c>
      <c r="G1231" s="3689"/>
      <c r="H1231" s="3690"/>
      <c r="I1231" s="2129"/>
      <c r="J1231" s="2125">
        <v>1119</v>
      </c>
      <c r="K1231" s="898"/>
      <c r="L1231" s="878"/>
      <c r="M1231" s="157"/>
      <c r="N1231" s="157"/>
      <c r="O1231" s="157"/>
      <c r="P1231" s="157"/>
      <c r="Q1231" s="157"/>
      <c r="R1231" s="157"/>
      <c r="S1231" s="157"/>
      <c r="T1231" s="157"/>
      <c r="U1231" s="157"/>
      <c r="V1231" s="3589"/>
      <c r="W1231" s="766">
        <v>1119</v>
      </c>
      <c r="X1231" s="766">
        <v>1119</v>
      </c>
      <c r="Y1231" s="766">
        <v>1119</v>
      </c>
      <c r="Z1231" s="2426">
        <v>1119</v>
      </c>
      <c r="AA1231" s="2426">
        <v>1119</v>
      </c>
      <c r="AB1231" s="2426">
        <v>1119</v>
      </c>
      <c r="AC1231" s="766"/>
      <c r="AD1231" s="766"/>
      <c r="AE1231" s="766"/>
      <c r="AF1231" s="766"/>
      <c r="AG1231" s="766"/>
      <c r="BB1231" s="647"/>
      <c r="BC1231" s="648"/>
      <c r="BD1231" s="757"/>
    </row>
    <row r="1232" spans="1:56" s="64" customFormat="1" outlineLevel="1" x14ac:dyDescent="0.25">
      <c r="A1232" s="1393"/>
      <c r="B1232" s="157"/>
      <c r="C1232" s="385"/>
      <c r="D1232" s="3589"/>
      <c r="E1232" s="3797"/>
      <c r="F1232" s="3728" t="str">
        <f>$F$1226</f>
        <v>DFHP - SEER 20 MF heat pump base_CompE</v>
      </c>
      <c r="G1232" s="3689"/>
      <c r="H1232" s="3690"/>
      <c r="I1232" s="2129"/>
      <c r="J1232" s="2125">
        <v>510</v>
      </c>
      <c r="K1232" s="898"/>
      <c r="L1232" s="878" t="s">
        <v>1290</v>
      </c>
      <c r="M1232" s="157"/>
      <c r="N1232" s="157"/>
      <c r="O1232" s="157"/>
      <c r="P1232" s="157"/>
      <c r="Q1232" s="157"/>
      <c r="R1232" s="157"/>
      <c r="S1232" s="157"/>
      <c r="T1232" s="157"/>
      <c r="U1232" s="157"/>
      <c r="V1232" s="3589"/>
      <c r="W1232" s="766"/>
      <c r="X1232" s="766"/>
      <c r="Y1232" s="786">
        <v>510</v>
      </c>
      <c r="Z1232" s="781">
        <v>510</v>
      </c>
      <c r="AA1232" s="781">
        <v>510</v>
      </c>
      <c r="AB1232" s="781">
        <v>510</v>
      </c>
      <c r="AC1232" s="766"/>
      <c r="AD1232" s="766"/>
      <c r="AE1232" s="766"/>
      <c r="AF1232" s="766"/>
      <c r="AG1232" s="766"/>
      <c r="BB1232" s="647"/>
      <c r="BC1232" s="648"/>
      <c r="BD1232" s="757"/>
    </row>
    <row r="1233" spans="1:56" s="64" customFormat="1" outlineLevel="1" x14ac:dyDescent="0.25">
      <c r="A1233" s="1393"/>
      <c r="B1233" s="157"/>
      <c r="C1233" s="385"/>
      <c r="D1233" s="3589"/>
      <c r="E1233" s="3797"/>
      <c r="F1233" s="3728" t="str">
        <f>$F$1227</f>
        <v>DFHP - SEER 21 MF heat pump base</v>
      </c>
      <c r="G1233" s="3689"/>
      <c r="H1233" s="3690"/>
      <c r="I1233" s="2129"/>
      <c r="J1233" s="2125">
        <v>1119</v>
      </c>
      <c r="K1233" s="898"/>
      <c r="L1233" s="878"/>
      <c r="M1233" s="157"/>
      <c r="N1233" s="157"/>
      <c r="O1233" s="157"/>
      <c r="P1233" s="157"/>
      <c r="Q1233" s="157"/>
      <c r="R1233" s="157"/>
      <c r="S1233" s="157"/>
      <c r="T1233" s="157"/>
      <c r="U1233" s="157"/>
      <c r="V1233" s="3589"/>
      <c r="W1233" s="766">
        <v>1119</v>
      </c>
      <c r="X1233" s="766">
        <v>1119</v>
      </c>
      <c r="Y1233" s="766">
        <v>1119</v>
      </c>
      <c r="Z1233" s="2426">
        <v>1119</v>
      </c>
      <c r="AA1233" s="2426">
        <v>1119</v>
      </c>
      <c r="AB1233" s="2426">
        <v>1119</v>
      </c>
      <c r="AC1233" s="766"/>
      <c r="AD1233" s="766"/>
      <c r="AE1233" s="766"/>
      <c r="AF1233" s="766"/>
      <c r="AG1233" s="766"/>
      <c r="BB1233" s="647"/>
      <c r="BC1233" s="648"/>
      <c r="BD1233" s="757"/>
    </row>
    <row r="1234" spans="1:56" s="64" customFormat="1" ht="15" customHeight="1" outlineLevel="1" thickBot="1" x14ac:dyDescent="0.3">
      <c r="A1234" s="1393"/>
      <c r="B1234" s="157"/>
      <c r="C1234" s="385"/>
      <c r="D1234" s="3687"/>
      <c r="E1234" s="3798"/>
      <c r="F1234" s="3729" t="str">
        <f>$F$1228</f>
        <v>DFHP - SEER 21 MF heat pump base_CompE</v>
      </c>
      <c r="G1234" s="3726"/>
      <c r="H1234" s="3727"/>
      <c r="I1234" s="863"/>
      <c r="J1234" s="2127">
        <v>510</v>
      </c>
      <c r="K1234" s="1789"/>
      <c r="L1234" s="890" t="s">
        <v>1290</v>
      </c>
      <c r="M1234" s="157"/>
      <c r="N1234" s="157"/>
      <c r="O1234" s="157"/>
      <c r="P1234" s="157"/>
      <c r="Q1234" s="157"/>
      <c r="R1234" s="157"/>
      <c r="S1234" s="157"/>
      <c r="T1234" s="157"/>
      <c r="U1234" s="157"/>
      <c r="V1234" s="3589"/>
      <c r="W1234" s="766">
        <v>1119</v>
      </c>
      <c r="X1234" s="766">
        <v>1119</v>
      </c>
      <c r="Y1234" s="786">
        <v>510</v>
      </c>
      <c r="Z1234" s="781">
        <v>510</v>
      </c>
      <c r="AA1234" s="781">
        <v>510</v>
      </c>
      <c r="AB1234" s="781">
        <v>510</v>
      </c>
      <c r="AC1234" s="766"/>
      <c r="AD1234" s="766"/>
      <c r="AE1234" s="766"/>
      <c r="AF1234" s="766"/>
      <c r="AG1234" s="766"/>
      <c r="BB1234" s="647"/>
      <c r="BC1234" s="648"/>
      <c r="BD1234" s="757"/>
    </row>
    <row r="1235" spans="1:56" s="64" customFormat="1" outlineLevel="1" x14ac:dyDescent="0.25">
      <c r="A1235" s="1393"/>
      <c r="B1235" s="157"/>
      <c r="C1235" s="385"/>
      <c r="D1235" s="3588" t="s">
        <v>1291</v>
      </c>
      <c r="E1235" s="3694" t="s">
        <v>1292</v>
      </c>
      <c r="F1235" s="3728" t="str">
        <f>$F$1223</f>
        <v xml:space="preserve">DFHP - SEER 19 MF heat pump base </v>
      </c>
      <c r="G1235" s="3689"/>
      <c r="H1235" s="3690"/>
      <c r="I1235" s="2129"/>
      <c r="J1235" s="2125">
        <v>8.1999999999999993</v>
      </c>
      <c r="K1235" s="898"/>
      <c r="L1235" s="878" t="s">
        <v>1198</v>
      </c>
      <c r="M1235" s="157"/>
      <c r="N1235" s="157"/>
      <c r="O1235" s="157"/>
      <c r="P1235" s="157"/>
      <c r="Q1235" s="157"/>
      <c r="R1235" s="157"/>
      <c r="S1235" s="157"/>
      <c r="T1235" s="157"/>
      <c r="U1235" s="157"/>
      <c r="V1235" s="3588" t="s">
        <v>1291</v>
      </c>
      <c r="W1235" s="760">
        <v>8.1999999999999993</v>
      </c>
      <c r="X1235" s="760">
        <v>8.1999999999999993</v>
      </c>
      <c r="Y1235" s="760">
        <v>8.1999999999999993</v>
      </c>
      <c r="Z1235" s="2428">
        <v>8.1999999999999993</v>
      </c>
      <c r="AA1235" s="2428">
        <v>8.1999999999999993</v>
      </c>
      <c r="AB1235" s="2428">
        <v>8.1999999999999993</v>
      </c>
      <c r="AC1235" s="760"/>
      <c r="AD1235" s="760"/>
      <c r="AE1235" s="760"/>
      <c r="AF1235" s="760"/>
      <c r="AG1235" s="760"/>
      <c r="BB1235" s="647"/>
      <c r="BC1235" s="648"/>
      <c r="BD1235" s="757"/>
    </row>
    <row r="1236" spans="1:56" s="64" customFormat="1" outlineLevel="1" x14ac:dyDescent="0.25">
      <c r="A1236" s="1393"/>
      <c r="B1236" s="157"/>
      <c r="C1236" s="385"/>
      <c r="D1236" s="3589"/>
      <c r="E1236" s="3797"/>
      <c r="F1236" s="3689" t="str">
        <f>$F$1224</f>
        <v>DFHP - SEER 19 MF heat pump base _CompE</v>
      </c>
      <c r="G1236" s="3689"/>
      <c r="H1236" s="3690"/>
      <c r="I1236" s="881"/>
      <c r="J1236" s="1422">
        <v>8.1999999999999993</v>
      </c>
      <c r="K1236" s="898"/>
      <c r="L1236" s="877"/>
      <c r="M1236" s="157"/>
      <c r="N1236" s="157"/>
      <c r="O1236" s="157"/>
      <c r="P1236" s="157"/>
      <c r="Q1236" s="157"/>
      <c r="R1236" s="157"/>
      <c r="S1236" s="157"/>
      <c r="T1236" s="157"/>
      <c r="U1236" s="157"/>
      <c r="V1236" s="3589"/>
      <c r="W1236" s="781"/>
      <c r="X1236" s="781"/>
      <c r="Y1236" s="786">
        <v>8.1999999999999993</v>
      </c>
      <c r="Z1236" s="781">
        <v>8.1999999999999993</v>
      </c>
      <c r="AA1236" s="781">
        <v>8.1999999999999993</v>
      </c>
      <c r="AB1236" s="781">
        <v>8.1999999999999993</v>
      </c>
      <c r="AC1236" s="781"/>
      <c r="AD1236" s="781"/>
      <c r="AE1236" s="781"/>
      <c r="AF1236" s="781"/>
      <c r="AG1236" s="781"/>
      <c r="BB1236" s="647"/>
      <c r="BC1236" s="648"/>
      <c r="BD1236" s="757"/>
    </row>
    <row r="1237" spans="1:56" s="64" customFormat="1" ht="15" customHeight="1" outlineLevel="1" x14ac:dyDescent="0.25">
      <c r="A1237" s="1393"/>
      <c r="B1237" s="157"/>
      <c r="C1237" s="385"/>
      <c r="D1237" s="3589"/>
      <c r="E1237" s="3797"/>
      <c r="F1237" s="3689" t="str">
        <f>$F$1225</f>
        <v>DFHP - SEER 20 MF heat pump base</v>
      </c>
      <c r="G1237" s="3689"/>
      <c r="H1237" s="3690"/>
      <c r="I1237" s="1425"/>
      <c r="J1237" s="1422">
        <v>8.1999999999999993</v>
      </c>
      <c r="K1237" s="898"/>
      <c r="L1237" s="878" t="s">
        <v>1198</v>
      </c>
      <c r="M1237" s="157"/>
      <c r="N1237" s="157"/>
      <c r="O1237" s="157"/>
      <c r="P1237" s="157"/>
      <c r="Q1237" s="157"/>
      <c r="R1237" s="157"/>
      <c r="S1237" s="157"/>
      <c r="T1237" s="157"/>
      <c r="U1237" s="157"/>
      <c r="V1237" s="3589"/>
      <c r="W1237" s="766">
        <v>8.1999999999999993</v>
      </c>
      <c r="X1237" s="766">
        <v>8.1999999999999993</v>
      </c>
      <c r="Y1237" s="766">
        <v>8.1999999999999993</v>
      </c>
      <c r="Z1237" s="2426">
        <v>8.1999999999999993</v>
      </c>
      <c r="AA1237" s="2426">
        <v>8.1999999999999993</v>
      </c>
      <c r="AB1237" s="2426">
        <v>8.1999999999999993</v>
      </c>
      <c r="AC1237" s="766"/>
      <c r="AD1237" s="766"/>
      <c r="AE1237" s="766"/>
      <c r="AF1237" s="766"/>
      <c r="AG1237" s="766"/>
      <c r="BB1237" s="647"/>
      <c r="BC1237" s="648"/>
      <c r="BD1237" s="757"/>
    </row>
    <row r="1238" spans="1:56" s="64" customFormat="1" ht="15" customHeight="1" outlineLevel="1" x14ac:dyDescent="0.25">
      <c r="A1238" s="1393"/>
      <c r="B1238" s="157"/>
      <c r="C1238" s="385"/>
      <c r="D1238" s="3589"/>
      <c r="E1238" s="3797"/>
      <c r="F1238" s="3689" t="str">
        <f>$F$1226</f>
        <v>DFHP - SEER 20 MF heat pump base_CompE</v>
      </c>
      <c r="G1238" s="3689"/>
      <c r="H1238" s="3690"/>
      <c r="I1238" s="1425"/>
      <c r="J1238" s="1422">
        <v>8.1999999999999993</v>
      </c>
      <c r="K1238" s="898"/>
      <c r="L1238" s="878"/>
      <c r="M1238" s="157"/>
      <c r="N1238" s="157"/>
      <c r="O1238" s="157"/>
      <c r="P1238" s="157"/>
      <c r="Q1238" s="157"/>
      <c r="R1238" s="157"/>
      <c r="S1238" s="157"/>
      <c r="T1238" s="157"/>
      <c r="U1238" s="157"/>
      <c r="V1238" s="3589"/>
      <c r="W1238" s="766"/>
      <c r="X1238" s="766"/>
      <c r="Y1238" s="765">
        <v>8.1999999999999993</v>
      </c>
      <c r="Z1238" s="2426">
        <v>8.1999999999999993</v>
      </c>
      <c r="AA1238" s="2426">
        <v>8.1999999999999993</v>
      </c>
      <c r="AB1238" s="2426">
        <v>8.1999999999999993</v>
      </c>
      <c r="AC1238" s="766"/>
      <c r="AD1238" s="766"/>
      <c r="AE1238" s="766"/>
      <c r="AF1238" s="766"/>
      <c r="AG1238" s="766"/>
      <c r="BB1238" s="647"/>
      <c r="BC1238" s="648"/>
      <c r="BD1238" s="757"/>
    </row>
    <row r="1239" spans="1:56" s="64" customFormat="1" outlineLevel="1" x14ac:dyDescent="0.25">
      <c r="A1239" s="1393"/>
      <c r="B1239" s="157"/>
      <c r="C1239" s="385"/>
      <c r="D1239" s="3589"/>
      <c r="E1239" s="3797"/>
      <c r="F1239" s="3689" t="str">
        <f>$F$1227</f>
        <v>DFHP - SEER 21 MF heat pump base</v>
      </c>
      <c r="G1239" s="3689"/>
      <c r="H1239" s="3690"/>
      <c r="I1239" s="1425"/>
      <c r="J1239" s="1422">
        <v>8.1999999999999993</v>
      </c>
      <c r="K1239" s="898"/>
      <c r="L1239" s="878" t="s">
        <v>1198</v>
      </c>
      <c r="M1239" s="157"/>
      <c r="N1239" s="157"/>
      <c r="O1239" s="157"/>
      <c r="P1239" s="157"/>
      <c r="Q1239" s="924"/>
      <c r="R1239" s="1407"/>
      <c r="S1239" s="157"/>
      <c r="T1239" s="157"/>
      <c r="U1239" s="157"/>
      <c r="V1239" s="3589"/>
      <c r="W1239" s="766">
        <v>8.1999999999999993</v>
      </c>
      <c r="X1239" s="766">
        <v>8.1999999999999993</v>
      </c>
      <c r="Y1239" s="766">
        <v>8.1999999999999993</v>
      </c>
      <c r="Z1239" s="2426">
        <v>8.1999999999999993</v>
      </c>
      <c r="AA1239" s="2426">
        <v>8.1999999999999993</v>
      </c>
      <c r="AB1239" s="2426">
        <v>8.1999999999999993</v>
      </c>
      <c r="AC1239" s="766"/>
      <c r="AD1239" s="766"/>
      <c r="AE1239" s="766"/>
      <c r="AF1239" s="766"/>
      <c r="AG1239" s="766"/>
      <c r="BB1239" s="647"/>
      <c r="BC1239" s="648"/>
      <c r="BD1239" s="757"/>
    </row>
    <row r="1240" spans="1:56" s="64" customFormat="1" ht="15.75" outlineLevel="1" thickBot="1" x14ac:dyDescent="0.3">
      <c r="A1240" s="1393"/>
      <c r="B1240" s="157"/>
      <c r="C1240" s="385"/>
      <c r="D1240" s="3687"/>
      <c r="E1240" s="3798"/>
      <c r="F1240" s="3731" t="str">
        <f>$F$1228</f>
        <v>DFHP - SEER 21 MF heat pump base_CompE</v>
      </c>
      <c r="G1240" s="3731"/>
      <c r="H1240" s="3732"/>
      <c r="I1240" s="2162"/>
      <c r="J1240" s="778">
        <v>8.1999999999999993</v>
      </c>
      <c r="K1240" s="2163"/>
      <c r="L1240" s="2128"/>
      <c r="M1240" s="157"/>
      <c r="N1240" s="157"/>
      <c r="O1240" s="157"/>
      <c r="P1240" s="157"/>
      <c r="Q1240" s="924"/>
      <c r="R1240" s="1407"/>
      <c r="S1240" s="157"/>
      <c r="T1240" s="157"/>
      <c r="U1240" s="157"/>
      <c r="V1240" s="3589"/>
      <c r="W1240" s="766"/>
      <c r="X1240" s="766"/>
      <c r="Y1240" s="765">
        <v>8.1999999999999993</v>
      </c>
      <c r="Z1240" s="2426">
        <v>8.1999999999999993</v>
      </c>
      <c r="AA1240" s="2426">
        <v>8.1999999999999993</v>
      </c>
      <c r="AB1240" s="2426">
        <v>8.1999999999999993</v>
      </c>
      <c r="AC1240" s="766"/>
      <c r="AD1240" s="766"/>
      <c r="AE1240" s="766"/>
      <c r="AF1240" s="766"/>
      <c r="AG1240" s="766"/>
      <c r="BB1240" s="647"/>
      <c r="BC1240" s="648"/>
      <c r="BD1240" s="757"/>
    </row>
    <row r="1241" spans="1:56" s="64" customFormat="1" ht="15" customHeight="1" outlineLevel="1" x14ac:dyDescent="0.25">
      <c r="A1241" s="1393"/>
      <c r="B1241" s="157"/>
      <c r="C1241" s="385"/>
      <c r="D1241" s="3588" t="s">
        <v>1293</v>
      </c>
      <c r="E1241" s="3694" t="s">
        <v>1294</v>
      </c>
      <c r="F1241" s="3730" t="str">
        <f>$F$1223</f>
        <v xml:space="preserve">DFHP - SEER 19 MF heat pump base </v>
      </c>
      <c r="G1241" s="3684"/>
      <c r="H1241" s="3685"/>
      <c r="I1241" s="2130"/>
      <c r="J1241" s="2126">
        <v>10</v>
      </c>
      <c r="K1241" s="903"/>
      <c r="L1241" s="834" t="s">
        <v>1295</v>
      </c>
      <c r="M1241" s="157"/>
      <c r="N1241" s="157"/>
      <c r="O1241" s="157"/>
      <c r="P1241" s="157"/>
      <c r="Q1241" s="924"/>
      <c r="R1241" s="1407"/>
      <c r="S1241" s="157"/>
      <c r="T1241" s="157"/>
      <c r="U1241" s="157"/>
      <c r="V1241" s="3588" t="s">
        <v>1293</v>
      </c>
      <c r="W1241" s="760">
        <v>10</v>
      </c>
      <c r="X1241" s="760">
        <v>10</v>
      </c>
      <c r="Y1241" s="760">
        <v>10</v>
      </c>
      <c r="Z1241" s="2428">
        <v>10</v>
      </c>
      <c r="AA1241" s="2428">
        <v>10</v>
      </c>
      <c r="AB1241" s="2428">
        <v>10</v>
      </c>
      <c r="AC1241" s="760"/>
      <c r="AD1241" s="760"/>
      <c r="AE1241" s="760"/>
      <c r="AF1241" s="760"/>
      <c r="AG1241" s="760"/>
      <c r="BB1241" s="647"/>
      <c r="BC1241" s="648"/>
      <c r="BD1241" s="757"/>
    </row>
    <row r="1242" spans="1:56" s="64" customFormat="1" outlineLevel="1" x14ac:dyDescent="0.25">
      <c r="A1242" s="1393"/>
      <c r="B1242" s="157"/>
      <c r="C1242" s="385"/>
      <c r="D1242" s="3589"/>
      <c r="E1242" s="3797"/>
      <c r="F1242" s="3728" t="str">
        <f>$F$1224</f>
        <v>DFHP - SEER 19 MF heat pump base _CompE</v>
      </c>
      <c r="G1242" s="3689"/>
      <c r="H1242" s="3690"/>
      <c r="I1242" s="881"/>
      <c r="J1242" s="2125">
        <v>10</v>
      </c>
      <c r="K1242" s="898"/>
      <c r="L1242" s="879"/>
      <c r="M1242" s="157"/>
      <c r="N1242" s="157"/>
      <c r="O1242" s="157"/>
      <c r="P1242" s="157"/>
      <c r="Q1242" s="924"/>
      <c r="R1242" s="1407"/>
      <c r="S1242" s="157"/>
      <c r="T1242" s="157"/>
      <c r="U1242" s="157"/>
      <c r="V1242" s="3589"/>
      <c r="W1242" s="781"/>
      <c r="X1242" s="781"/>
      <c r="Y1242" s="765">
        <v>10</v>
      </c>
      <c r="Z1242" s="2426">
        <v>10</v>
      </c>
      <c r="AA1242" s="2426">
        <v>10</v>
      </c>
      <c r="AB1242" s="2426">
        <v>10</v>
      </c>
      <c r="AC1242" s="781"/>
      <c r="AD1242" s="781"/>
      <c r="AE1242" s="781"/>
      <c r="AF1242" s="781"/>
      <c r="AG1242" s="781"/>
      <c r="BB1242" s="647"/>
      <c r="BC1242" s="648"/>
      <c r="BD1242" s="757"/>
    </row>
    <row r="1243" spans="1:56" s="64" customFormat="1" outlineLevel="1" x14ac:dyDescent="0.25">
      <c r="A1243" s="1393"/>
      <c r="B1243" s="157"/>
      <c r="C1243" s="385"/>
      <c r="D1243" s="3589"/>
      <c r="E1243" s="3797"/>
      <c r="F1243" s="3728" t="str">
        <f>$F$1225</f>
        <v>DFHP - SEER 20 MF heat pump base</v>
      </c>
      <c r="G1243" s="3689"/>
      <c r="H1243" s="3690"/>
      <c r="I1243" s="2129"/>
      <c r="J1243" s="2125">
        <v>10.4</v>
      </c>
      <c r="K1243" s="898"/>
      <c r="L1243" s="837" t="s">
        <v>1295</v>
      </c>
      <c r="M1243" s="157"/>
      <c r="N1243" s="157"/>
      <c r="O1243" s="157"/>
      <c r="P1243" s="157"/>
      <c r="Q1243" s="924"/>
      <c r="R1243" s="1407"/>
      <c r="S1243" s="157"/>
      <c r="T1243" s="157"/>
      <c r="U1243" s="157"/>
      <c r="V1243" s="3589"/>
      <c r="W1243" s="766">
        <v>10.4</v>
      </c>
      <c r="X1243" s="766">
        <v>10.4</v>
      </c>
      <c r="Y1243" s="766">
        <v>10.4</v>
      </c>
      <c r="Z1243" s="2426">
        <v>10.4</v>
      </c>
      <c r="AA1243" s="2426">
        <v>10.4</v>
      </c>
      <c r="AB1243" s="2426">
        <v>10.4</v>
      </c>
      <c r="AC1243" s="766"/>
      <c r="AD1243" s="766"/>
      <c r="AE1243" s="766"/>
      <c r="AF1243" s="766"/>
      <c r="AG1243" s="766"/>
      <c r="BB1243" s="647"/>
      <c r="BC1243" s="648"/>
      <c r="BD1243" s="757"/>
    </row>
    <row r="1244" spans="1:56" s="64" customFormat="1" outlineLevel="1" x14ac:dyDescent="0.25">
      <c r="A1244" s="1393"/>
      <c r="B1244" s="157"/>
      <c r="C1244" s="385"/>
      <c r="D1244" s="3589"/>
      <c r="E1244" s="3797"/>
      <c r="F1244" s="3728" t="str">
        <f>$F$1226</f>
        <v>DFHP - SEER 20 MF heat pump base_CompE</v>
      </c>
      <c r="G1244" s="3689"/>
      <c r="H1244" s="3690"/>
      <c r="I1244" s="2129"/>
      <c r="J1244" s="2125">
        <v>10.4</v>
      </c>
      <c r="K1244" s="898"/>
      <c r="L1244" s="837"/>
      <c r="M1244" s="157"/>
      <c r="N1244" s="157"/>
      <c r="O1244" s="157"/>
      <c r="P1244" s="157"/>
      <c r="Q1244" s="924"/>
      <c r="R1244" s="1407"/>
      <c r="S1244" s="157"/>
      <c r="T1244" s="157"/>
      <c r="U1244" s="157"/>
      <c r="V1244" s="3589"/>
      <c r="W1244" s="766"/>
      <c r="X1244" s="766"/>
      <c r="Y1244" s="765">
        <v>10.4</v>
      </c>
      <c r="Z1244" s="2426">
        <v>10.4</v>
      </c>
      <c r="AA1244" s="2426">
        <v>10.4</v>
      </c>
      <c r="AB1244" s="2426">
        <v>10.4</v>
      </c>
      <c r="AC1244" s="766"/>
      <c r="AD1244" s="766"/>
      <c r="AE1244" s="766"/>
      <c r="AF1244" s="766"/>
      <c r="AG1244" s="766"/>
      <c r="BB1244" s="647"/>
      <c r="BC1244" s="648"/>
      <c r="BD1244" s="757"/>
    </row>
    <row r="1245" spans="1:56" s="64" customFormat="1" outlineLevel="1" x14ac:dyDescent="0.25">
      <c r="A1245" s="1393"/>
      <c r="B1245" s="157"/>
      <c r="C1245" s="385"/>
      <c r="D1245" s="3589"/>
      <c r="E1245" s="3797"/>
      <c r="F1245" s="3728" t="str">
        <f>$F$1227</f>
        <v>DFHP - SEER 21 MF heat pump base</v>
      </c>
      <c r="G1245" s="3689"/>
      <c r="H1245" s="3690"/>
      <c r="I1245" s="2129"/>
      <c r="J1245" s="2125">
        <v>10.8</v>
      </c>
      <c r="K1245" s="898"/>
      <c r="L1245" s="837" t="s">
        <v>1295</v>
      </c>
      <c r="M1245" s="157"/>
      <c r="N1245" s="157"/>
      <c r="O1245" s="157"/>
      <c r="P1245" s="157"/>
      <c r="Q1245" s="924"/>
      <c r="R1245" s="1407"/>
      <c r="S1245" s="157"/>
      <c r="T1245" s="157"/>
      <c r="U1245" s="157"/>
      <c r="V1245" s="3589"/>
      <c r="W1245" s="766">
        <v>10.8</v>
      </c>
      <c r="X1245" s="766">
        <v>10.8</v>
      </c>
      <c r="Y1245" s="766">
        <v>10.8</v>
      </c>
      <c r="Z1245" s="2426">
        <v>10.8</v>
      </c>
      <c r="AA1245" s="2426">
        <v>10.8</v>
      </c>
      <c r="AB1245" s="2426">
        <v>10.8</v>
      </c>
      <c r="AC1245" s="766"/>
      <c r="AD1245" s="766"/>
      <c r="AE1245" s="766"/>
      <c r="AF1245" s="766"/>
      <c r="AG1245" s="766"/>
      <c r="BB1245" s="647"/>
      <c r="BC1245" s="648"/>
      <c r="BD1245" s="757"/>
    </row>
    <row r="1246" spans="1:56" s="64" customFormat="1" ht="15.75" outlineLevel="1" thickBot="1" x14ac:dyDescent="0.3">
      <c r="A1246" s="1393"/>
      <c r="B1246" s="157"/>
      <c r="C1246" s="385"/>
      <c r="D1246" s="3687"/>
      <c r="E1246" s="3798"/>
      <c r="F1246" s="3729" t="str">
        <f>$F$1228</f>
        <v>DFHP - SEER 21 MF heat pump base_CompE</v>
      </c>
      <c r="G1246" s="3726"/>
      <c r="H1246" s="3727"/>
      <c r="I1246" s="863"/>
      <c r="J1246" s="2127">
        <v>10.8</v>
      </c>
      <c r="K1246" s="1789"/>
      <c r="L1246" s="865"/>
      <c r="M1246" s="157"/>
      <c r="N1246" s="157"/>
      <c r="O1246" s="157"/>
      <c r="P1246" s="157"/>
      <c r="Q1246" s="924"/>
      <c r="R1246" s="1407"/>
      <c r="S1246" s="157"/>
      <c r="T1246" s="157"/>
      <c r="U1246" s="157"/>
      <c r="V1246" s="3589"/>
      <c r="W1246" s="766"/>
      <c r="X1246" s="766"/>
      <c r="Y1246" s="765">
        <v>10.8</v>
      </c>
      <c r="Z1246" s="2426">
        <v>10.8</v>
      </c>
      <c r="AA1246" s="2426">
        <v>10.8</v>
      </c>
      <c r="AB1246" s="2426">
        <v>10.8</v>
      </c>
      <c r="AC1246" s="766"/>
      <c r="AD1246" s="766"/>
      <c r="AE1246" s="766"/>
      <c r="AF1246" s="766"/>
      <c r="AG1246" s="766"/>
      <c r="BB1246" s="647"/>
      <c r="BC1246" s="648"/>
      <c r="BD1246" s="757"/>
    </row>
    <row r="1247" spans="1:56" s="64" customFormat="1" outlineLevel="1" x14ac:dyDescent="0.25">
      <c r="A1247" s="1393"/>
      <c r="B1247" s="157"/>
      <c r="C1247" s="385"/>
      <c r="D1247" s="3588" t="s">
        <v>1296</v>
      </c>
      <c r="E1247" s="3694" t="s">
        <v>1297</v>
      </c>
      <c r="F1247" s="3728" t="str">
        <f>$F$1223</f>
        <v xml:space="preserve">DFHP - SEER 19 MF heat pump base </v>
      </c>
      <c r="G1247" s="3689"/>
      <c r="H1247" s="3690"/>
      <c r="I1247" s="2129"/>
      <c r="J1247" s="2125">
        <v>40800</v>
      </c>
      <c r="K1247" s="898">
        <f t="shared" ref="K1247:K1252" si="115">J1247/12000</f>
        <v>3.4</v>
      </c>
      <c r="L1247" s="878" t="s">
        <v>1286</v>
      </c>
      <c r="M1247" s="157"/>
      <c r="N1247" s="157"/>
      <c r="O1247" s="157"/>
      <c r="P1247" s="157"/>
      <c r="Q1247" s="924"/>
      <c r="R1247" s="1407"/>
      <c r="S1247" s="157"/>
      <c r="T1247" s="157"/>
      <c r="U1247" s="157"/>
      <c r="V1247" s="3588" t="s">
        <v>1296</v>
      </c>
      <c r="W1247" s="760">
        <f>$K1247*12000</f>
        <v>40800</v>
      </c>
      <c r="X1247" s="760">
        <f>$K1247*12000</f>
        <v>40800</v>
      </c>
      <c r="Y1247" s="760">
        <v>40800</v>
      </c>
      <c r="Z1247" s="2428">
        <v>40800</v>
      </c>
      <c r="AA1247" s="2428">
        <v>40800</v>
      </c>
      <c r="AB1247" s="2428">
        <v>40800</v>
      </c>
      <c r="AC1247" s="760"/>
      <c r="AD1247" s="760"/>
      <c r="AE1247" s="760"/>
      <c r="AF1247" s="760"/>
      <c r="AG1247" s="760"/>
      <c r="BB1247" s="647"/>
      <c r="BC1247" s="648"/>
      <c r="BD1247" s="757"/>
    </row>
    <row r="1248" spans="1:56" s="64" customFormat="1" outlineLevel="1" x14ac:dyDescent="0.25">
      <c r="A1248" s="1393"/>
      <c r="B1248" s="157"/>
      <c r="C1248" s="385"/>
      <c r="D1248" s="3589"/>
      <c r="E1248" s="3797"/>
      <c r="F1248" s="3728" t="str">
        <f>$F$1224</f>
        <v>DFHP - SEER 19 MF heat pump base _CompE</v>
      </c>
      <c r="G1248" s="3689"/>
      <c r="H1248" s="3690"/>
      <c r="I1248" s="881"/>
      <c r="J1248" s="2125">
        <v>40800</v>
      </c>
      <c r="K1248" s="898">
        <f t="shared" si="115"/>
        <v>3.4</v>
      </c>
      <c r="L1248" s="877"/>
      <c r="M1248" s="157"/>
      <c r="N1248" s="157"/>
      <c r="O1248" s="157"/>
      <c r="P1248" s="157"/>
      <c r="Q1248" s="924"/>
      <c r="R1248" s="1407"/>
      <c r="S1248" s="157"/>
      <c r="T1248" s="157"/>
      <c r="U1248" s="157"/>
      <c r="V1248" s="3589"/>
      <c r="W1248" s="781"/>
      <c r="X1248" s="781"/>
      <c r="Y1248" s="766">
        <v>40800</v>
      </c>
      <c r="Z1248" s="2426">
        <v>40800</v>
      </c>
      <c r="AA1248" s="2426">
        <v>40800</v>
      </c>
      <c r="AB1248" s="2426">
        <v>40800</v>
      </c>
      <c r="AC1248" s="781"/>
      <c r="AD1248" s="781"/>
      <c r="AE1248" s="781"/>
      <c r="AF1248" s="781"/>
      <c r="AG1248" s="781"/>
      <c r="BB1248" s="647"/>
      <c r="BC1248" s="648"/>
      <c r="BD1248" s="757"/>
    </row>
    <row r="1249" spans="1:56" s="64" customFormat="1" outlineLevel="1" x14ac:dyDescent="0.25">
      <c r="A1249" s="1393"/>
      <c r="B1249" s="157"/>
      <c r="C1249" s="385"/>
      <c r="D1249" s="3589"/>
      <c r="E1249" s="3797"/>
      <c r="F1249" s="3728" t="str">
        <f>$F$1225</f>
        <v>DFHP - SEER 20 MF heat pump base</v>
      </c>
      <c r="G1249" s="3689"/>
      <c r="H1249" s="3690"/>
      <c r="I1249" s="2129"/>
      <c r="J1249" s="2125">
        <v>52800.000000000007</v>
      </c>
      <c r="K1249" s="898">
        <f t="shared" si="115"/>
        <v>4.4000000000000004</v>
      </c>
      <c r="L1249" s="878" t="s">
        <v>1286</v>
      </c>
      <c r="M1249" s="157"/>
      <c r="N1249" s="157"/>
      <c r="O1249" s="157"/>
      <c r="P1249" s="157"/>
      <c r="Q1249" s="924"/>
      <c r="R1249" s="1407"/>
      <c r="S1249" s="157"/>
      <c r="T1249" s="157"/>
      <c r="U1249" s="157"/>
      <c r="V1249" s="3589"/>
      <c r="W1249" s="766">
        <f t="shared" ref="W1249:X1251" si="116">$K1249*12000</f>
        <v>52800.000000000007</v>
      </c>
      <c r="X1249" s="766">
        <f t="shared" si="116"/>
        <v>52800.000000000007</v>
      </c>
      <c r="Y1249" s="766">
        <v>52800.000000000007</v>
      </c>
      <c r="Z1249" s="2426">
        <v>52800.000000000007</v>
      </c>
      <c r="AA1249" s="2426">
        <v>52800.000000000007</v>
      </c>
      <c r="AB1249" s="2426">
        <v>52800.000000000007</v>
      </c>
      <c r="AC1249" s="766"/>
      <c r="AD1249" s="766"/>
      <c r="AE1249" s="766"/>
      <c r="AF1249" s="766"/>
      <c r="AG1249" s="766"/>
      <c r="BB1249" s="647"/>
      <c r="BC1249" s="648"/>
      <c r="BD1249" s="757"/>
    </row>
    <row r="1250" spans="1:56" s="64" customFormat="1" outlineLevel="1" x14ac:dyDescent="0.25">
      <c r="A1250" s="1393"/>
      <c r="B1250" s="157"/>
      <c r="C1250" s="385"/>
      <c r="D1250" s="3589"/>
      <c r="E1250" s="3797"/>
      <c r="F1250" s="3728" t="str">
        <f>$F$1226</f>
        <v>DFHP - SEER 20 MF heat pump base_CompE</v>
      </c>
      <c r="G1250" s="3689"/>
      <c r="H1250" s="3690"/>
      <c r="I1250" s="2129"/>
      <c r="J1250" s="2125">
        <v>52800.000000000007</v>
      </c>
      <c r="K1250" s="898">
        <f t="shared" si="115"/>
        <v>4.4000000000000004</v>
      </c>
      <c r="L1250" s="878"/>
      <c r="M1250" s="157"/>
      <c r="N1250" s="157"/>
      <c r="O1250" s="157"/>
      <c r="P1250" s="157"/>
      <c r="Q1250" s="924"/>
      <c r="R1250" s="1407"/>
      <c r="S1250" s="157"/>
      <c r="T1250" s="157"/>
      <c r="U1250" s="157"/>
      <c r="V1250" s="3589"/>
      <c r="W1250" s="766"/>
      <c r="X1250" s="766"/>
      <c r="Y1250" s="766">
        <v>52800.000000000007</v>
      </c>
      <c r="Z1250" s="2426">
        <v>52800.000000000007</v>
      </c>
      <c r="AA1250" s="2426">
        <v>52800.000000000007</v>
      </c>
      <c r="AB1250" s="2426">
        <v>52800.000000000007</v>
      </c>
      <c r="AC1250" s="766"/>
      <c r="AD1250" s="766"/>
      <c r="AE1250" s="766"/>
      <c r="AF1250" s="766"/>
      <c r="AG1250" s="766"/>
      <c r="BB1250" s="647"/>
      <c r="BC1250" s="648"/>
      <c r="BD1250" s="757"/>
    </row>
    <row r="1251" spans="1:56" s="64" customFormat="1" outlineLevel="1" x14ac:dyDescent="0.25">
      <c r="A1251" s="1393"/>
      <c r="B1251" s="157"/>
      <c r="C1251" s="385"/>
      <c r="D1251" s="3589"/>
      <c r="E1251" s="3797"/>
      <c r="F1251" s="3728" t="str">
        <f>$F$1227</f>
        <v>DFHP - SEER 21 MF heat pump base</v>
      </c>
      <c r="G1251" s="3689"/>
      <c r="H1251" s="3690"/>
      <c r="I1251" s="2129"/>
      <c r="J1251" s="2125">
        <v>64800.000000000007</v>
      </c>
      <c r="K1251" s="898">
        <f t="shared" si="115"/>
        <v>5.4</v>
      </c>
      <c r="L1251" s="878" t="s">
        <v>1286</v>
      </c>
      <c r="M1251" s="157"/>
      <c r="N1251" s="157"/>
      <c r="O1251" s="157"/>
      <c r="P1251" s="157"/>
      <c r="Q1251" s="924"/>
      <c r="R1251" s="1407"/>
      <c r="S1251" s="157"/>
      <c r="T1251" s="157"/>
      <c r="U1251" s="157"/>
      <c r="V1251" s="3589"/>
      <c r="W1251" s="766">
        <f t="shared" si="116"/>
        <v>64800.000000000007</v>
      </c>
      <c r="X1251" s="766">
        <f t="shared" si="116"/>
        <v>64800.000000000007</v>
      </c>
      <c r="Y1251" s="766">
        <v>64800.000000000007</v>
      </c>
      <c r="Z1251" s="2426">
        <v>64800.000000000007</v>
      </c>
      <c r="AA1251" s="2426">
        <v>64800.000000000007</v>
      </c>
      <c r="AB1251" s="2426">
        <v>64800.000000000007</v>
      </c>
      <c r="AC1251" s="766"/>
      <c r="AD1251" s="766"/>
      <c r="AE1251" s="766"/>
      <c r="AF1251" s="766"/>
      <c r="AG1251" s="766"/>
      <c r="BB1251" s="647"/>
      <c r="BC1251" s="648"/>
      <c r="BD1251" s="757"/>
    </row>
    <row r="1252" spans="1:56" s="64" customFormat="1" ht="15.75" outlineLevel="1" thickBot="1" x14ac:dyDescent="0.3">
      <c r="A1252" s="1393"/>
      <c r="B1252" s="157"/>
      <c r="C1252" s="385"/>
      <c r="D1252" s="3687"/>
      <c r="E1252" s="3798"/>
      <c r="F1252" s="3729" t="str">
        <f>$F$1228</f>
        <v>DFHP - SEER 21 MF heat pump base_CompE</v>
      </c>
      <c r="G1252" s="3726"/>
      <c r="H1252" s="3727"/>
      <c r="I1252" s="863"/>
      <c r="J1252" s="2127">
        <v>64800.000000000007</v>
      </c>
      <c r="K1252" s="1789">
        <f t="shared" si="115"/>
        <v>5.4</v>
      </c>
      <c r="L1252" s="890"/>
      <c r="M1252" s="157"/>
      <c r="N1252" s="157"/>
      <c r="O1252" s="157"/>
      <c r="P1252" s="157"/>
      <c r="Q1252" s="924"/>
      <c r="R1252" s="1407"/>
      <c r="S1252" s="157"/>
      <c r="T1252" s="157"/>
      <c r="U1252" s="157"/>
      <c r="V1252" s="3589"/>
      <c r="W1252" s="766"/>
      <c r="X1252" s="766"/>
      <c r="Y1252" s="766">
        <v>64800.000000000007</v>
      </c>
      <c r="Z1252" s="2426">
        <v>64800.000000000007</v>
      </c>
      <c r="AA1252" s="2426">
        <v>64800.000000000007</v>
      </c>
      <c r="AB1252" s="2426">
        <v>64800.000000000007</v>
      </c>
      <c r="AC1252" s="766"/>
      <c r="AD1252" s="766"/>
      <c r="AE1252" s="766"/>
      <c r="AF1252" s="766"/>
      <c r="AG1252" s="766"/>
      <c r="BB1252" s="647"/>
      <c r="BC1252" s="648"/>
      <c r="BD1252" s="757"/>
    </row>
    <row r="1253" spans="1:56" s="64" customFormat="1" outlineLevel="1" x14ac:dyDescent="0.25">
      <c r="A1253" s="1393"/>
      <c r="B1253" s="157"/>
      <c r="C1253" s="385"/>
      <c r="D1253" s="3588" t="s">
        <v>1298</v>
      </c>
      <c r="E1253" s="3694" t="s">
        <v>1299</v>
      </c>
      <c r="F1253" s="3730" t="str">
        <f>$F$1223</f>
        <v xml:space="preserve">DFHP - SEER 19 MF heat pump base </v>
      </c>
      <c r="G1253" s="3684"/>
      <c r="H1253" s="3685"/>
      <c r="I1253" s="2130"/>
      <c r="J1253" s="2126">
        <v>869</v>
      </c>
      <c r="K1253" s="903"/>
      <c r="L1253" s="876" t="s">
        <v>1198</v>
      </c>
      <c r="M1253" s="157"/>
      <c r="N1253" s="157"/>
      <c r="O1253" s="157"/>
      <c r="P1253" s="157"/>
      <c r="Q1253" s="924"/>
      <c r="R1253" s="1407"/>
      <c r="S1253" s="157"/>
      <c r="T1253" s="157"/>
      <c r="U1253" s="157"/>
      <c r="V1253" s="3588" t="s">
        <v>1298</v>
      </c>
      <c r="W1253" s="760">
        <v>869</v>
      </c>
      <c r="X1253" s="760">
        <v>869</v>
      </c>
      <c r="Y1253" s="760">
        <v>869</v>
      </c>
      <c r="Z1253" s="2428">
        <v>869</v>
      </c>
      <c r="AA1253" s="2428">
        <v>869</v>
      </c>
      <c r="AB1253" s="2428">
        <v>869</v>
      </c>
      <c r="AC1253" s="760"/>
      <c r="AD1253" s="760"/>
      <c r="AE1253" s="760"/>
      <c r="AF1253" s="760"/>
      <c r="AG1253" s="760"/>
      <c r="BB1253" s="647"/>
      <c r="BC1253" s="648"/>
      <c r="BD1253" s="757"/>
    </row>
    <row r="1254" spans="1:56" s="64" customFormat="1" outlineLevel="1" x14ac:dyDescent="0.25">
      <c r="A1254" s="1393"/>
      <c r="B1254" s="157"/>
      <c r="C1254" s="385"/>
      <c r="D1254" s="3589"/>
      <c r="E1254" s="3797"/>
      <c r="F1254" s="3728" t="str">
        <f>$F$1224</f>
        <v>DFHP - SEER 19 MF heat pump base _CompE</v>
      </c>
      <c r="G1254" s="3689"/>
      <c r="H1254" s="3690"/>
      <c r="I1254" s="881"/>
      <c r="J1254" s="2125">
        <v>632</v>
      </c>
      <c r="K1254" s="898"/>
      <c r="L1254" s="877" t="s">
        <v>1290</v>
      </c>
      <c r="M1254" s="157"/>
      <c r="N1254" s="157"/>
      <c r="O1254" s="157"/>
      <c r="P1254" s="157"/>
      <c r="Q1254" s="924"/>
      <c r="R1254" s="1407"/>
      <c r="S1254" s="157"/>
      <c r="T1254" s="157"/>
      <c r="U1254" s="157"/>
      <c r="V1254" s="3589"/>
      <c r="W1254" s="781"/>
      <c r="X1254" s="781"/>
      <c r="Y1254" s="786">
        <v>632</v>
      </c>
      <c r="Z1254" s="781">
        <v>632</v>
      </c>
      <c r="AA1254" s="781">
        <v>632</v>
      </c>
      <c r="AB1254" s="781">
        <v>632</v>
      </c>
      <c r="AC1254" s="781"/>
      <c r="AD1254" s="781"/>
      <c r="AE1254" s="781"/>
      <c r="AF1254" s="781"/>
      <c r="AG1254" s="781"/>
      <c r="BB1254" s="647"/>
      <c r="BC1254" s="648"/>
      <c r="BD1254" s="757"/>
    </row>
    <row r="1255" spans="1:56" s="64" customFormat="1" outlineLevel="1" x14ac:dyDescent="0.25">
      <c r="A1255" s="1393"/>
      <c r="B1255" s="157"/>
      <c r="C1255" s="385"/>
      <c r="D1255" s="3589"/>
      <c r="E1255" s="3797"/>
      <c r="F1255" s="3728" t="str">
        <f>$F$1225</f>
        <v>DFHP - SEER 20 MF heat pump base</v>
      </c>
      <c r="G1255" s="3689"/>
      <c r="H1255" s="3690"/>
      <c r="I1255" s="2129"/>
      <c r="J1255" s="2125">
        <v>869</v>
      </c>
      <c r="K1255" s="898"/>
      <c r="L1255" s="878" t="s">
        <v>1198</v>
      </c>
      <c r="M1255" s="157"/>
      <c r="N1255" s="157"/>
      <c r="O1255" s="157"/>
      <c r="P1255" s="157"/>
      <c r="Q1255" s="924"/>
      <c r="R1255" s="1407"/>
      <c r="S1255" s="157"/>
      <c r="T1255" s="157"/>
      <c r="U1255" s="157"/>
      <c r="V1255" s="3589"/>
      <c r="W1255" s="766">
        <v>869</v>
      </c>
      <c r="X1255" s="766">
        <v>869</v>
      </c>
      <c r="Y1255" s="766">
        <v>869</v>
      </c>
      <c r="Z1255" s="2426">
        <v>869</v>
      </c>
      <c r="AA1255" s="2426">
        <v>869</v>
      </c>
      <c r="AB1255" s="2426">
        <v>869</v>
      </c>
      <c r="AC1255" s="766"/>
      <c r="AD1255" s="766"/>
      <c r="AE1255" s="766"/>
      <c r="AF1255" s="766"/>
      <c r="AG1255" s="766"/>
      <c r="BB1255" s="647"/>
      <c r="BC1255" s="648"/>
      <c r="BD1255" s="757"/>
    </row>
    <row r="1256" spans="1:56" s="64" customFormat="1" outlineLevel="1" x14ac:dyDescent="0.25">
      <c r="A1256" s="1393"/>
      <c r="B1256" s="157"/>
      <c r="C1256" s="385"/>
      <c r="D1256" s="3589"/>
      <c r="E1256" s="3797"/>
      <c r="F1256" s="3728" t="str">
        <f>$F$1226</f>
        <v>DFHP - SEER 20 MF heat pump base_CompE</v>
      </c>
      <c r="G1256" s="3689"/>
      <c r="H1256" s="3690"/>
      <c r="I1256" s="2129"/>
      <c r="J1256" s="2125">
        <v>632</v>
      </c>
      <c r="K1256" s="898"/>
      <c r="L1256" s="878" t="s">
        <v>1290</v>
      </c>
      <c r="M1256" s="157"/>
      <c r="N1256" s="157"/>
      <c r="O1256" s="157"/>
      <c r="P1256" s="157"/>
      <c r="Q1256" s="924"/>
      <c r="R1256" s="1407"/>
      <c r="S1256" s="157"/>
      <c r="T1256" s="157"/>
      <c r="U1256" s="157"/>
      <c r="V1256" s="3589"/>
      <c r="W1256" s="766"/>
      <c r="X1256" s="766"/>
      <c r="Y1256" s="786">
        <v>632</v>
      </c>
      <c r="Z1256" s="781">
        <v>632</v>
      </c>
      <c r="AA1256" s="781">
        <v>632</v>
      </c>
      <c r="AB1256" s="781">
        <v>632</v>
      </c>
      <c r="AC1256" s="766"/>
      <c r="AD1256" s="766"/>
      <c r="AE1256" s="766"/>
      <c r="AF1256" s="766"/>
      <c r="AG1256" s="766"/>
      <c r="BB1256" s="647"/>
      <c r="BC1256" s="648"/>
      <c r="BD1256" s="757"/>
    </row>
    <row r="1257" spans="1:56" s="64" customFormat="1" outlineLevel="1" x14ac:dyDescent="0.25">
      <c r="A1257" s="1393"/>
      <c r="B1257" s="157"/>
      <c r="C1257" s="385"/>
      <c r="D1257" s="3589"/>
      <c r="E1257" s="3797"/>
      <c r="F1257" s="3728" t="str">
        <f>$F$1227</f>
        <v>DFHP - SEER 21 MF heat pump base</v>
      </c>
      <c r="G1257" s="3689"/>
      <c r="H1257" s="3690"/>
      <c r="I1257" s="2129"/>
      <c r="J1257" s="2125">
        <v>869</v>
      </c>
      <c r="K1257" s="898"/>
      <c r="L1257" s="878" t="s">
        <v>1198</v>
      </c>
      <c r="M1257" s="157"/>
      <c r="N1257" s="157"/>
      <c r="O1257" s="157"/>
      <c r="P1257" s="157"/>
      <c r="Q1257" s="924"/>
      <c r="R1257" s="1407"/>
      <c r="S1257" s="157"/>
      <c r="T1257" s="157"/>
      <c r="U1257" s="157"/>
      <c r="V1257" s="3589"/>
      <c r="W1257" s="766">
        <v>869</v>
      </c>
      <c r="X1257" s="766">
        <v>869</v>
      </c>
      <c r="Y1257" s="766">
        <v>869</v>
      </c>
      <c r="Z1257" s="2426">
        <v>869</v>
      </c>
      <c r="AA1257" s="2426">
        <v>869</v>
      </c>
      <c r="AB1257" s="2426">
        <v>869</v>
      </c>
      <c r="AC1257" s="766"/>
      <c r="AD1257" s="766"/>
      <c r="AE1257" s="766"/>
      <c r="AF1257" s="766"/>
      <c r="AG1257" s="766"/>
      <c r="BB1257" s="647"/>
      <c r="BC1257" s="648"/>
      <c r="BD1257" s="757"/>
    </row>
    <row r="1258" spans="1:56" s="64" customFormat="1" ht="15.75" outlineLevel="1" thickBot="1" x14ac:dyDescent="0.3">
      <c r="A1258" s="1393"/>
      <c r="B1258" s="157"/>
      <c r="C1258" s="385"/>
      <c r="D1258" s="3687"/>
      <c r="E1258" s="3798"/>
      <c r="F1258" s="3729" t="str">
        <f>$F$1228</f>
        <v>DFHP - SEER 21 MF heat pump base_CompE</v>
      </c>
      <c r="G1258" s="3726"/>
      <c r="H1258" s="3727"/>
      <c r="I1258" s="863"/>
      <c r="J1258" s="2127">
        <v>632</v>
      </c>
      <c r="K1258" s="1789"/>
      <c r="L1258" s="890" t="s">
        <v>1290</v>
      </c>
      <c r="M1258" s="157"/>
      <c r="N1258" s="157"/>
      <c r="O1258" s="157"/>
      <c r="P1258" s="157"/>
      <c r="Q1258" s="924"/>
      <c r="R1258" s="1407"/>
      <c r="S1258" s="157"/>
      <c r="T1258" s="157"/>
      <c r="U1258" s="157"/>
      <c r="V1258" s="3589"/>
      <c r="W1258" s="766"/>
      <c r="X1258" s="766"/>
      <c r="Y1258" s="786">
        <v>632</v>
      </c>
      <c r="Z1258" s="781">
        <v>632</v>
      </c>
      <c r="AA1258" s="781">
        <v>632</v>
      </c>
      <c r="AB1258" s="781">
        <v>632</v>
      </c>
      <c r="AC1258" s="766"/>
      <c r="AD1258" s="766"/>
      <c r="AE1258" s="766"/>
      <c r="AF1258" s="766"/>
      <c r="AG1258" s="766"/>
      <c r="BB1258" s="647"/>
      <c r="BC1258" s="648"/>
      <c r="BD1258" s="757"/>
    </row>
    <row r="1259" spans="1:56" s="64" customFormat="1" ht="15" customHeight="1" outlineLevel="1" x14ac:dyDescent="0.25">
      <c r="A1259" s="1393"/>
      <c r="B1259" s="157"/>
      <c r="C1259" s="385"/>
      <c r="D1259" s="3588" t="s">
        <v>1300</v>
      </c>
      <c r="E1259" s="3694" t="s">
        <v>1301</v>
      </c>
      <c r="F1259" s="3733" t="str">
        <f>$F$1223</f>
        <v xml:space="preserve">DFHP - SEER 19 MF heat pump base </v>
      </c>
      <c r="G1259" s="3734"/>
      <c r="H1259" s="3735"/>
      <c r="I1259" s="881"/>
      <c r="J1259" s="781">
        <v>14</v>
      </c>
      <c r="K1259" s="1791"/>
      <c r="L1259" s="877" t="s">
        <v>1198</v>
      </c>
      <c r="M1259" s="157"/>
      <c r="N1259" s="157"/>
      <c r="O1259" s="157"/>
      <c r="P1259" s="157"/>
      <c r="Q1259" s="924"/>
      <c r="R1259" s="1407"/>
      <c r="S1259" s="157"/>
      <c r="T1259" s="157"/>
      <c r="U1259" s="157"/>
      <c r="V1259" s="3588" t="s">
        <v>1300</v>
      </c>
      <c r="W1259" s="760">
        <v>14</v>
      </c>
      <c r="X1259" s="760">
        <v>14</v>
      </c>
      <c r="Y1259" s="760">
        <v>14</v>
      </c>
      <c r="Z1259" s="2428">
        <v>14</v>
      </c>
      <c r="AA1259" s="2428">
        <v>14</v>
      </c>
      <c r="AB1259" s="2428">
        <v>14</v>
      </c>
      <c r="AC1259" s="760"/>
      <c r="AD1259" s="760"/>
      <c r="AE1259" s="760"/>
      <c r="AF1259" s="760"/>
      <c r="AG1259" s="760"/>
      <c r="BB1259" s="647"/>
      <c r="BC1259" s="648"/>
      <c r="BD1259" s="757"/>
    </row>
    <row r="1260" spans="1:56" s="64" customFormat="1" ht="15" customHeight="1" outlineLevel="1" x14ac:dyDescent="0.25">
      <c r="A1260" s="1393"/>
      <c r="B1260" s="157"/>
      <c r="C1260" s="385"/>
      <c r="D1260" s="3589"/>
      <c r="E1260" s="3797"/>
      <c r="F1260" s="3689" t="str">
        <f>$F$1224</f>
        <v>DFHP - SEER 19 MF heat pump base _CompE</v>
      </c>
      <c r="G1260" s="3689"/>
      <c r="H1260" s="3690"/>
      <c r="I1260" s="881"/>
      <c r="J1260" s="1422">
        <v>14</v>
      </c>
      <c r="K1260" s="898"/>
      <c r="L1260" s="877"/>
      <c r="M1260" s="157"/>
      <c r="N1260" s="157"/>
      <c r="O1260" s="157"/>
      <c r="P1260" s="157"/>
      <c r="Q1260" s="924"/>
      <c r="R1260" s="1407"/>
      <c r="S1260" s="157"/>
      <c r="T1260" s="157"/>
      <c r="U1260" s="157"/>
      <c r="V1260" s="3589"/>
      <c r="W1260" s="781"/>
      <c r="X1260" s="781"/>
      <c r="Y1260" s="765">
        <v>14</v>
      </c>
      <c r="Z1260" s="2426">
        <v>14</v>
      </c>
      <c r="AA1260" s="2426">
        <v>14</v>
      </c>
      <c r="AB1260" s="2426">
        <v>14</v>
      </c>
      <c r="AC1260" s="781"/>
      <c r="AD1260" s="781"/>
      <c r="AE1260" s="781"/>
      <c r="AF1260" s="781"/>
      <c r="AG1260" s="781"/>
      <c r="BB1260" s="647"/>
      <c r="BC1260" s="648"/>
      <c r="BD1260" s="757"/>
    </row>
    <row r="1261" spans="1:56" s="64" customFormat="1" ht="15" customHeight="1" outlineLevel="1" x14ac:dyDescent="0.25">
      <c r="A1261" s="1393"/>
      <c r="B1261" s="157"/>
      <c r="C1261" s="385"/>
      <c r="D1261" s="3589"/>
      <c r="E1261" s="3797"/>
      <c r="F1261" s="3689" t="str">
        <f>$F$1225</f>
        <v>DFHP - SEER 20 MF heat pump base</v>
      </c>
      <c r="G1261" s="3689"/>
      <c r="H1261" s="3690"/>
      <c r="I1261" s="1425"/>
      <c r="J1261" s="1422">
        <v>14</v>
      </c>
      <c r="K1261" s="898"/>
      <c r="L1261" s="878" t="s">
        <v>1198</v>
      </c>
      <c r="M1261" s="157"/>
      <c r="N1261" s="157"/>
      <c r="O1261" s="157"/>
      <c r="P1261" s="157"/>
      <c r="Q1261" s="924"/>
      <c r="R1261" s="1407"/>
      <c r="S1261" s="157"/>
      <c r="T1261" s="157"/>
      <c r="U1261" s="157"/>
      <c r="V1261" s="3589"/>
      <c r="W1261" s="766">
        <v>14</v>
      </c>
      <c r="X1261" s="766">
        <v>14</v>
      </c>
      <c r="Y1261" s="766">
        <v>14</v>
      </c>
      <c r="Z1261" s="2426">
        <v>14</v>
      </c>
      <c r="AA1261" s="2426">
        <v>14</v>
      </c>
      <c r="AB1261" s="2426">
        <v>14</v>
      </c>
      <c r="AC1261" s="766"/>
      <c r="AD1261" s="766"/>
      <c r="AE1261" s="766"/>
      <c r="AF1261" s="766"/>
      <c r="AG1261" s="766"/>
      <c r="BB1261" s="647"/>
      <c r="BC1261" s="648"/>
      <c r="BD1261" s="757"/>
    </row>
    <row r="1262" spans="1:56" s="64" customFormat="1" ht="15" customHeight="1" outlineLevel="1" x14ac:dyDescent="0.25">
      <c r="A1262" s="1393"/>
      <c r="B1262" s="157"/>
      <c r="C1262" s="385"/>
      <c r="D1262" s="3589"/>
      <c r="E1262" s="3797"/>
      <c r="F1262" s="3689" t="str">
        <f>$F$1226</f>
        <v>DFHP - SEER 20 MF heat pump base_CompE</v>
      </c>
      <c r="G1262" s="3689"/>
      <c r="H1262" s="3690"/>
      <c r="I1262" s="1425"/>
      <c r="J1262" s="1422">
        <v>14</v>
      </c>
      <c r="K1262" s="898"/>
      <c r="L1262" s="878"/>
      <c r="M1262" s="157"/>
      <c r="N1262" s="157"/>
      <c r="O1262" s="157"/>
      <c r="P1262" s="157"/>
      <c r="Q1262" s="924"/>
      <c r="R1262" s="1407"/>
      <c r="S1262" s="157"/>
      <c r="T1262" s="157"/>
      <c r="U1262" s="157"/>
      <c r="V1262" s="3589"/>
      <c r="W1262" s="766"/>
      <c r="X1262" s="766"/>
      <c r="Y1262" s="765">
        <v>14</v>
      </c>
      <c r="Z1262" s="2426">
        <v>14</v>
      </c>
      <c r="AA1262" s="2426">
        <v>14</v>
      </c>
      <c r="AB1262" s="2426">
        <v>14</v>
      </c>
      <c r="AC1262" s="766"/>
      <c r="AD1262" s="766"/>
      <c r="AE1262" s="766"/>
      <c r="AF1262" s="766"/>
      <c r="AG1262" s="766"/>
      <c r="BB1262" s="647"/>
      <c r="BC1262" s="648"/>
      <c r="BD1262" s="757"/>
    </row>
    <row r="1263" spans="1:56" s="64" customFormat="1" outlineLevel="1" x14ac:dyDescent="0.25">
      <c r="A1263" s="1393"/>
      <c r="B1263" s="157"/>
      <c r="C1263" s="385"/>
      <c r="D1263" s="3589"/>
      <c r="E1263" s="3797"/>
      <c r="F1263" s="3689" t="str">
        <f>$F$1227</f>
        <v>DFHP - SEER 21 MF heat pump base</v>
      </c>
      <c r="G1263" s="3689"/>
      <c r="H1263" s="3690"/>
      <c r="I1263" s="1425"/>
      <c r="J1263" s="1422">
        <v>14</v>
      </c>
      <c r="K1263" s="898"/>
      <c r="L1263" s="878" t="s">
        <v>1198</v>
      </c>
      <c r="M1263" s="157"/>
      <c r="N1263" s="157"/>
      <c r="O1263" s="157"/>
      <c r="P1263" s="157"/>
      <c r="Q1263" s="924"/>
      <c r="R1263" s="1407"/>
      <c r="S1263" s="157"/>
      <c r="T1263" s="157"/>
      <c r="U1263" s="157"/>
      <c r="V1263" s="3589"/>
      <c r="W1263" s="766">
        <v>14</v>
      </c>
      <c r="X1263" s="766">
        <v>14</v>
      </c>
      <c r="Y1263" s="766">
        <v>14</v>
      </c>
      <c r="Z1263" s="2426">
        <v>14</v>
      </c>
      <c r="AA1263" s="2426">
        <v>14</v>
      </c>
      <c r="AB1263" s="2426">
        <v>14</v>
      </c>
      <c r="AC1263" s="766"/>
      <c r="AD1263" s="766"/>
      <c r="AE1263" s="766"/>
      <c r="AF1263" s="766"/>
      <c r="AG1263" s="766"/>
      <c r="BB1263" s="647"/>
      <c r="BC1263" s="648"/>
      <c r="BD1263" s="757"/>
    </row>
    <row r="1264" spans="1:56" s="64" customFormat="1" ht="15.75" outlineLevel="1" thickBot="1" x14ac:dyDescent="0.3">
      <c r="A1264" s="1393"/>
      <c r="B1264" s="157"/>
      <c r="C1264" s="385"/>
      <c r="D1264" s="3687"/>
      <c r="E1264" s="3798"/>
      <c r="F1264" s="3731" t="str">
        <f>$F$1228</f>
        <v>DFHP - SEER 21 MF heat pump base_CompE</v>
      </c>
      <c r="G1264" s="3731"/>
      <c r="H1264" s="3732"/>
      <c r="I1264" s="2162"/>
      <c r="J1264" s="778">
        <v>14</v>
      </c>
      <c r="K1264" s="2163"/>
      <c r="L1264" s="2128"/>
      <c r="M1264" s="157"/>
      <c r="N1264" s="157"/>
      <c r="O1264" s="157"/>
      <c r="P1264" s="157"/>
      <c r="Q1264" s="924"/>
      <c r="R1264" s="1407"/>
      <c r="S1264" s="157"/>
      <c r="T1264" s="157"/>
      <c r="U1264" s="157"/>
      <c r="V1264" s="3589"/>
      <c r="W1264" s="766"/>
      <c r="X1264" s="766"/>
      <c r="Y1264" s="765">
        <v>14</v>
      </c>
      <c r="Z1264" s="2426">
        <v>14</v>
      </c>
      <c r="AA1264" s="2426">
        <v>14</v>
      </c>
      <c r="AB1264" s="2426">
        <v>14</v>
      </c>
      <c r="AC1264" s="766"/>
      <c r="AD1264" s="766"/>
      <c r="AE1264" s="766"/>
      <c r="AF1264" s="766"/>
      <c r="AG1264" s="766"/>
      <c r="BB1264" s="647"/>
      <c r="BC1264" s="648"/>
      <c r="BD1264" s="757"/>
    </row>
    <row r="1265" spans="1:56" s="64" customFormat="1" outlineLevel="1" x14ac:dyDescent="0.25">
      <c r="A1265" s="1393"/>
      <c r="B1265" s="157"/>
      <c r="C1265" s="385"/>
      <c r="D1265" s="3588" t="s">
        <v>1302</v>
      </c>
      <c r="E1265" s="3694" t="s">
        <v>1303</v>
      </c>
      <c r="F1265" s="3730" t="str">
        <f>$F$1223</f>
        <v xml:space="preserve">DFHP - SEER 19 MF heat pump base </v>
      </c>
      <c r="G1265" s="3684"/>
      <c r="H1265" s="3685"/>
      <c r="I1265" s="2130"/>
      <c r="J1265" s="2126">
        <v>19</v>
      </c>
      <c r="K1265" s="903"/>
      <c r="L1265" s="876" t="s">
        <v>1304</v>
      </c>
      <c r="M1265" s="157"/>
      <c r="N1265" s="157"/>
      <c r="O1265" s="157"/>
      <c r="P1265" s="157"/>
      <c r="Q1265" s="924"/>
      <c r="R1265" s="1407"/>
      <c r="S1265" s="157"/>
      <c r="T1265" s="157"/>
      <c r="U1265" s="157"/>
      <c r="V1265" s="3588" t="s">
        <v>1302</v>
      </c>
      <c r="W1265" s="760">
        <v>19</v>
      </c>
      <c r="X1265" s="760">
        <v>19</v>
      </c>
      <c r="Y1265" s="760">
        <v>19</v>
      </c>
      <c r="Z1265" s="2428">
        <v>19</v>
      </c>
      <c r="AA1265" s="2428">
        <v>19</v>
      </c>
      <c r="AB1265" s="2428">
        <v>19</v>
      </c>
      <c r="AC1265" s="760"/>
      <c r="AD1265" s="760"/>
      <c r="AE1265" s="760"/>
      <c r="AF1265" s="760"/>
      <c r="AG1265" s="760"/>
      <c r="BB1265" s="647"/>
      <c r="BC1265" s="648"/>
      <c r="BD1265" s="757"/>
    </row>
    <row r="1266" spans="1:56" s="64" customFormat="1" outlineLevel="1" x14ac:dyDescent="0.25">
      <c r="A1266" s="1393"/>
      <c r="B1266" s="157"/>
      <c r="C1266" s="385"/>
      <c r="D1266" s="3589"/>
      <c r="E1266" s="3797"/>
      <c r="F1266" s="3728" t="str">
        <f>$F$1224</f>
        <v>DFHP - SEER 19 MF heat pump base _CompE</v>
      </c>
      <c r="G1266" s="3689"/>
      <c r="H1266" s="3690"/>
      <c r="I1266" s="881"/>
      <c r="J1266" s="2125">
        <v>19</v>
      </c>
      <c r="K1266" s="898"/>
      <c r="L1266" s="879"/>
      <c r="M1266" s="157"/>
      <c r="N1266" s="157"/>
      <c r="O1266" s="157"/>
      <c r="P1266" s="157"/>
      <c r="Q1266" s="924"/>
      <c r="R1266" s="1407"/>
      <c r="S1266" s="157"/>
      <c r="T1266" s="157"/>
      <c r="U1266" s="157"/>
      <c r="V1266" s="3589"/>
      <c r="W1266" s="781"/>
      <c r="X1266" s="781"/>
      <c r="Y1266" s="786">
        <v>19</v>
      </c>
      <c r="Z1266" s="781">
        <v>19</v>
      </c>
      <c r="AA1266" s="781">
        <v>19</v>
      </c>
      <c r="AB1266" s="781">
        <v>19</v>
      </c>
      <c r="AC1266" s="781"/>
      <c r="AD1266" s="781"/>
      <c r="AE1266" s="781"/>
      <c r="AF1266" s="781"/>
      <c r="AG1266" s="781"/>
      <c r="BB1266" s="647"/>
      <c r="BC1266" s="648"/>
      <c r="BD1266" s="757"/>
    </row>
    <row r="1267" spans="1:56" s="64" customFormat="1" outlineLevel="1" x14ac:dyDescent="0.25">
      <c r="A1267" s="1393"/>
      <c r="B1267" s="157"/>
      <c r="C1267" s="385"/>
      <c r="D1267" s="3589"/>
      <c r="E1267" s="3797"/>
      <c r="F1267" s="3728" t="str">
        <f>$F$1225</f>
        <v>DFHP - SEER 20 MF heat pump base</v>
      </c>
      <c r="G1267" s="3689"/>
      <c r="H1267" s="3690"/>
      <c r="I1267" s="2129"/>
      <c r="J1267" s="2125">
        <v>20</v>
      </c>
      <c r="K1267" s="898"/>
      <c r="L1267" s="837" t="s">
        <v>1304</v>
      </c>
      <c r="M1267" s="157"/>
      <c r="N1267" s="157"/>
      <c r="O1267" s="157"/>
      <c r="P1267" s="157"/>
      <c r="Q1267" s="924"/>
      <c r="R1267" s="1407"/>
      <c r="S1267" s="157"/>
      <c r="T1267" s="157"/>
      <c r="U1267" s="157"/>
      <c r="V1267" s="3589"/>
      <c r="W1267" s="766">
        <v>20</v>
      </c>
      <c r="X1267" s="766">
        <v>20</v>
      </c>
      <c r="Y1267" s="766">
        <v>20</v>
      </c>
      <c r="Z1267" s="2426">
        <v>20</v>
      </c>
      <c r="AA1267" s="2426">
        <v>20</v>
      </c>
      <c r="AB1267" s="2426">
        <v>20</v>
      </c>
      <c r="AC1267" s="766"/>
      <c r="AD1267" s="766"/>
      <c r="AE1267" s="766"/>
      <c r="AF1267" s="766"/>
      <c r="AG1267" s="766"/>
      <c r="BB1267" s="647"/>
      <c r="BC1267" s="648"/>
      <c r="BD1267" s="757"/>
    </row>
    <row r="1268" spans="1:56" s="64" customFormat="1" outlineLevel="1" x14ac:dyDescent="0.25">
      <c r="A1268" s="1393"/>
      <c r="B1268" s="157"/>
      <c r="C1268" s="385"/>
      <c r="D1268" s="3589"/>
      <c r="E1268" s="3797"/>
      <c r="F1268" s="3728" t="str">
        <f>$F$1226</f>
        <v>DFHP - SEER 20 MF heat pump base_CompE</v>
      </c>
      <c r="G1268" s="3689"/>
      <c r="H1268" s="3690"/>
      <c r="I1268" s="2129"/>
      <c r="J1268" s="2125">
        <v>20</v>
      </c>
      <c r="K1268" s="898"/>
      <c r="L1268" s="837"/>
      <c r="M1268" s="157"/>
      <c r="N1268" s="157"/>
      <c r="O1268" s="157"/>
      <c r="P1268" s="157"/>
      <c r="Q1268" s="924"/>
      <c r="R1268" s="1407"/>
      <c r="S1268" s="157"/>
      <c r="T1268" s="157"/>
      <c r="U1268" s="157"/>
      <c r="V1268" s="3589"/>
      <c r="W1268" s="766"/>
      <c r="X1268" s="766"/>
      <c r="Y1268" s="765">
        <v>20</v>
      </c>
      <c r="Z1268" s="2426">
        <v>20</v>
      </c>
      <c r="AA1268" s="2426">
        <v>20</v>
      </c>
      <c r="AB1268" s="2426">
        <v>20</v>
      </c>
      <c r="AC1268" s="766"/>
      <c r="AD1268" s="766"/>
      <c r="AE1268" s="766"/>
      <c r="AF1268" s="766"/>
      <c r="AG1268" s="766"/>
      <c r="BB1268" s="647"/>
      <c r="BC1268" s="648"/>
      <c r="BD1268" s="757"/>
    </row>
    <row r="1269" spans="1:56" s="64" customFormat="1" outlineLevel="1" x14ac:dyDescent="0.25">
      <c r="A1269" s="1393"/>
      <c r="B1269" s="157"/>
      <c r="C1269" s="385"/>
      <c r="D1269" s="3589"/>
      <c r="E1269" s="3797"/>
      <c r="F1269" s="3728" t="str">
        <f>$F$1227</f>
        <v>DFHP - SEER 21 MF heat pump base</v>
      </c>
      <c r="G1269" s="3689"/>
      <c r="H1269" s="3690"/>
      <c r="I1269" s="2129"/>
      <c r="J1269" s="2125">
        <v>21</v>
      </c>
      <c r="K1269" s="898"/>
      <c r="L1269" s="837" t="s">
        <v>1304</v>
      </c>
      <c r="M1269" s="157"/>
      <c r="N1269" s="157"/>
      <c r="O1269" s="157"/>
      <c r="P1269" s="157"/>
      <c r="Q1269" s="924"/>
      <c r="R1269" s="1407"/>
      <c r="S1269" s="157"/>
      <c r="T1269" s="157"/>
      <c r="U1269" s="157"/>
      <c r="V1269" s="3589"/>
      <c r="W1269" s="766">
        <v>21</v>
      </c>
      <c r="X1269" s="766">
        <v>21</v>
      </c>
      <c r="Y1269" s="766">
        <v>21</v>
      </c>
      <c r="Z1269" s="2426">
        <v>21</v>
      </c>
      <c r="AA1269" s="2426">
        <v>21</v>
      </c>
      <c r="AB1269" s="2426">
        <v>21</v>
      </c>
      <c r="AC1269" s="766"/>
      <c r="AD1269" s="766"/>
      <c r="AE1269" s="766"/>
      <c r="AF1269" s="766"/>
      <c r="AG1269" s="766"/>
      <c r="BB1269" s="647"/>
      <c r="BC1269" s="648"/>
      <c r="BD1269" s="757"/>
    </row>
    <row r="1270" spans="1:56" s="64" customFormat="1" ht="15.75" outlineLevel="1" thickBot="1" x14ac:dyDescent="0.3">
      <c r="A1270" s="1393"/>
      <c r="B1270" s="157"/>
      <c r="C1270" s="385"/>
      <c r="D1270" s="3687"/>
      <c r="E1270" s="3798"/>
      <c r="F1270" s="3729" t="str">
        <f>$F$1228</f>
        <v>DFHP - SEER 21 MF heat pump base_CompE</v>
      </c>
      <c r="G1270" s="3726"/>
      <c r="H1270" s="3727"/>
      <c r="I1270" s="863"/>
      <c r="J1270" s="2127">
        <v>21</v>
      </c>
      <c r="K1270" s="1789"/>
      <c r="L1270" s="865"/>
      <c r="M1270" s="157"/>
      <c r="N1270" s="157"/>
      <c r="O1270" s="157"/>
      <c r="P1270" s="157"/>
      <c r="Q1270" s="924"/>
      <c r="R1270" s="1407"/>
      <c r="S1270" s="157"/>
      <c r="T1270" s="157"/>
      <c r="U1270" s="157"/>
      <c r="V1270" s="3589"/>
      <c r="W1270" s="766"/>
      <c r="X1270" s="766"/>
      <c r="Y1270" s="765">
        <v>21</v>
      </c>
      <c r="Z1270" s="2426">
        <v>21</v>
      </c>
      <c r="AA1270" s="2426">
        <v>21</v>
      </c>
      <c r="AB1270" s="2426">
        <v>21</v>
      </c>
      <c r="AC1270" s="766"/>
      <c r="AD1270" s="766"/>
      <c r="AE1270" s="766"/>
      <c r="AF1270" s="766"/>
      <c r="AG1270" s="766"/>
      <c r="BB1270" s="647"/>
      <c r="BC1270" s="648"/>
      <c r="BD1270" s="757"/>
    </row>
    <row r="1271" spans="1:56" s="64" customFormat="1" ht="15" customHeight="1" outlineLevel="1" x14ac:dyDescent="0.25">
      <c r="A1271" s="1393"/>
      <c r="B1271" s="157"/>
      <c r="C1271" s="385"/>
      <c r="D1271" s="3588" t="s">
        <v>722</v>
      </c>
      <c r="E1271" s="3694" t="s">
        <v>1305</v>
      </c>
      <c r="F1271" s="3733" t="str">
        <f>$F$1223</f>
        <v xml:space="preserve">DFHP - SEER 19 MF heat pump base </v>
      </c>
      <c r="G1271" s="3734"/>
      <c r="H1271" s="3735"/>
      <c r="I1271" s="881"/>
      <c r="J1271" s="781">
        <v>0.65</v>
      </c>
      <c r="K1271" s="1791"/>
      <c r="L1271" s="877" t="s">
        <v>1198</v>
      </c>
      <c r="M1271" s="157"/>
      <c r="N1271" s="157"/>
      <c r="O1271" s="157"/>
      <c r="P1271" s="157"/>
      <c r="Q1271" s="924"/>
      <c r="R1271" s="1407"/>
      <c r="S1271" s="157"/>
      <c r="T1271" s="157"/>
      <c r="U1271" s="157"/>
      <c r="V1271" s="3588" t="s">
        <v>722</v>
      </c>
      <c r="W1271" s="880">
        <v>0.65</v>
      </c>
      <c r="X1271" s="880">
        <v>0.65</v>
      </c>
      <c r="Y1271" s="880">
        <v>0.65</v>
      </c>
      <c r="Z1271" s="880">
        <v>0.65</v>
      </c>
      <c r="AA1271" s="880">
        <v>0.65</v>
      </c>
      <c r="AB1271" s="880">
        <v>0.65</v>
      </c>
      <c r="AC1271" s="880"/>
      <c r="AD1271" s="880"/>
      <c r="AE1271" s="880"/>
      <c r="AF1271" s="880"/>
      <c r="AG1271" s="880"/>
      <c r="BB1271" s="647"/>
      <c r="BC1271" s="648"/>
      <c r="BD1271" s="757"/>
    </row>
    <row r="1272" spans="1:56" s="64" customFormat="1" outlineLevel="1" x14ac:dyDescent="0.25">
      <c r="A1272" s="1393"/>
      <c r="B1272" s="157"/>
      <c r="C1272" s="385"/>
      <c r="D1272" s="3589"/>
      <c r="E1272" s="3797"/>
      <c r="F1272" s="3689" t="str">
        <f>$F$1224</f>
        <v>DFHP - SEER 19 MF heat pump base _CompE</v>
      </c>
      <c r="G1272" s="3689"/>
      <c r="H1272" s="3690"/>
      <c r="I1272" s="881"/>
      <c r="J1272" s="884">
        <v>0.65</v>
      </c>
      <c r="K1272" s="898"/>
      <c r="L1272" s="878"/>
      <c r="M1272" s="157"/>
      <c r="N1272" s="157"/>
      <c r="O1272" s="157"/>
      <c r="P1272" s="157"/>
      <c r="Q1272" s="924"/>
      <c r="R1272" s="1407"/>
      <c r="S1272" s="157"/>
      <c r="T1272" s="157"/>
      <c r="U1272" s="157"/>
      <c r="V1272" s="3589"/>
      <c r="W1272" s="883"/>
      <c r="X1272" s="883"/>
      <c r="Y1272" s="882">
        <v>0.65</v>
      </c>
      <c r="Z1272" s="884">
        <v>0.65</v>
      </c>
      <c r="AA1272" s="884">
        <v>0.65</v>
      </c>
      <c r="AB1272" s="884">
        <v>0.65</v>
      </c>
      <c r="AC1272" s="883"/>
      <c r="AD1272" s="883"/>
      <c r="AE1272" s="883"/>
      <c r="AF1272" s="883"/>
      <c r="AG1272" s="883"/>
      <c r="BB1272" s="647"/>
      <c r="BC1272" s="648"/>
      <c r="BD1272" s="757"/>
    </row>
    <row r="1273" spans="1:56" s="64" customFormat="1" outlineLevel="1" x14ac:dyDescent="0.25">
      <c r="A1273" s="1393"/>
      <c r="B1273" s="157"/>
      <c r="C1273" s="385"/>
      <c r="D1273" s="3589"/>
      <c r="E1273" s="3797"/>
      <c r="F1273" s="3689" t="str">
        <f>$F$1225</f>
        <v>DFHP - SEER 20 MF heat pump base</v>
      </c>
      <c r="G1273" s="3689"/>
      <c r="H1273" s="3690"/>
      <c r="I1273" s="1425"/>
      <c r="J1273" s="884">
        <v>0.65</v>
      </c>
      <c r="K1273" s="898"/>
      <c r="L1273" s="878" t="s">
        <v>1198</v>
      </c>
      <c r="M1273" s="157"/>
      <c r="N1273" s="157"/>
      <c r="O1273" s="157"/>
      <c r="P1273" s="157"/>
      <c r="Q1273" s="924"/>
      <c r="R1273" s="1407"/>
      <c r="S1273" s="157"/>
      <c r="T1273" s="157"/>
      <c r="U1273" s="157"/>
      <c r="V1273" s="3589"/>
      <c r="W1273" s="884">
        <v>0.65</v>
      </c>
      <c r="X1273" s="884">
        <v>0.65</v>
      </c>
      <c r="Y1273" s="884">
        <v>0.65</v>
      </c>
      <c r="Z1273" s="884">
        <v>0.65</v>
      </c>
      <c r="AA1273" s="884">
        <v>0.65</v>
      </c>
      <c r="AB1273" s="884">
        <v>0.65</v>
      </c>
      <c r="AC1273" s="884"/>
      <c r="AD1273" s="884"/>
      <c r="AE1273" s="884"/>
      <c r="AF1273" s="884"/>
      <c r="AG1273" s="884"/>
      <c r="BB1273" s="647"/>
      <c r="BC1273" s="648"/>
      <c r="BD1273" s="757"/>
    </row>
    <row r="1274" spans="1:56" s="64" customFormat="1" outlineLevel="1" x14ac:dyDescent="0.25">
      <c r="A1274" s="1393"/>
      <c r="B1274" s="157"/>
      <c r="C1274" s="385"/>
      <c r="D1274" s="3589"/>
      <c r="E1274" s="3797"/>
      <c r="F1274" s="3689" t="str">
        <f>$F$1226</f>
        <v>DFHP - SEER 20 MF heat pump base_CompE</v>
      </c>
      <c r="G1274" s="3689"/>
      <c r="H1274" s="3690"/>
      <c r="I1274" s="1425"/>
      <c r="J1274" s="884">
        <v>0.65</v>
      </c>
      <c r="K1274" s="898"/>
      <c r="L1274" s="878"/>
      <c r="M1274" s="157"/>
      <c r="N1274" s="157"/>
      <c r="O1274" s="157"/>
      <c r="P1274" s="157"/>
      <c r="Q1274" s="924"/>
      <c r="R1274" s="1407"/>
      <c r="S1274" s="157"/>
      <c r="T1274" s="157"/>
      <c r="U1274" s="157"/>
      <c r="V1274" s="3589"/>
      <c r="W1274" s="884"/>
      <c r="X1274" s="884"/>
      <c r="Y1274" s="882">
        <v>0.65</v>
      </c>
      <c r="Z1274" s="884">
        <v>0.65</v>
      </c>
      <c r="AA1274" s="884">
        <v>0.65</v>
      </c>
      <c r="AB1274" s="884">
        <v>0.65</v>
      </c>
      <c r="AC1274" s="884"/>
      <c r="AD1274" s="884"/>
      <c r="AE1274" s="884"/>
      <c r="AF1274" s="884"/>
      <c r="AG1274" s="884"/>
      <c r="BB1274" s="647"/>
      <c r="BC1274" s="648"/>
      <c r="BD1274" s="757"/>
    </row>
    <row r="1275" spans="1:56" s="64" customFormat="1" outlineLevel="1" x14ac:dyDescent="0.25">
      <c r="A1275" s="1393"/>
      <c r="B1275" s="157"/>
      <c r="C1275" s="385"/>
      <c r="D1275" s="3589"/>
      <c r="E1275" s="3797"/>
      <c r="F1275" s="3689" t="str">
        <f>$F$1227</f>
        <v>DFHP - SEER 21 MF heat pump base</v>
      </c>
      <c r="G1275" s="3689"/>
      <c r="H1275" s="3690"/>
      <c r="I1275" s="1425"/>
      <c r="J1275" s="884">
        <v>0.65</v>
      </c>
      <c r="K1275" s="898"/>
      <c r="L1275" s="878" t="s">
        <v>1198</v>
      </c>
      <c r="M1275" s="157"/>
      <c r="N1275" s="157"/>
      <c r="O1275" s="157"/>
      <c r="P1275" s="157"/>
      <c r="Q1275" s="924"/>
      <c r="R1275" s="1407"/>
      <c r="S1275" s="157"/>
      <c r="T1275" s="157"/>
      <c r="U1275" s="157"/>
      <c r="V1275" s="3589"/>
      <c r="W1275" s="884">
        <v>0.65</v>
      </c>
      <c r="X1275" s="884">
        <v>0.65</v>
      </c>
      <c r="Y1275" s="884">
        <v>0.65</v>
      </c>
      <c r="Z1275" s="884">
        <v>0.65</v>
      </c>
      <c r="AA1275" s="884">
        <v>0.65</v>
      </c>
      <c r="AB1275" s="884">
        <v>0.65</v>
      </c>
      <c r="AC1275" s="884"/>
      <c r="AD1275" s="884"/>
      <c r="AE1275" s="884"/>
      <c r="AF1275" s="884"/>
      <c r="AG1275" s="884"/>
      <c r="BB1275" s="647"/>
      <c r="BC1275" s="648"/>
      <c r="BD1275" s="757"/>
    </row>
    <row r="1276" spans="1:56" s="64" customFormat="1" ht="15.75" outlineLevel="1" thickBot="1" x14ac:dyDescent="0.3">
      <c r="A1276" s="1393"/>
      <c r="B1276" s="157"/>
      <c r="C1276" s="385"/>
      <c r="D1276" s="3687"/>
      <c r="E1276" s="3798"/>
      <c r="F1276" s="3731" t="str">
        <f>$F$1228</f>
        <v>DFHP - SEER 21 MF heat pump base_CompE</v>
      </c>
      <c r="G1276" s="3731"/>
      <c r="H1276" s="3732"/>
      <c r="I1276" s="2162"/>
      <c r="J1276" s="958">
        <v>0.65</v>
      </c>
      <c r="K1276" s="2163"/>
      <c r="L1276" s="2128"/>
      <c r="M1276" s="157"/>
      <c r="N1276" s="157"/>
      <c r="O1276" s="157"/>
      <c r="P1276" s="157"/>
      <c r="Q1276" s="924"/>
      <c r="R1276" s="1407"/>
      <c r="S1276" s="157"/>
      <c r="T1276" s="157"/>
      <c r="U1276" s="157"/>
      <c r="V1276" s="3589"/>
      <c r="W1276" s="884"/>
      <c r="X1276" s="884"/>
      <c r="Y1276" s="882">
        <v>0.65</v>
      </c>
      <c r="Z1276" s="884">
        <v>0.65</v>
      </c>
      <c r="AA1276" s="884">
        <v>0.65</v>
      </c>
      <c r="AB1276" s="884">
        <v>0.65</v>
      </c>
      <c r="AC1276" s="884"/>
      <c r="AD1276" s="884"/>
      <c r="AE1276" s="884"/>
      <c r="AF1276" s="884"/>
      <c r="AG1276" s="884"/>
      <c r="BB1276" s="647"/>
      <c r="BC1276" s="648"/>
      <c r="BD1276" s="757"/>
    </row>
    <row r="1277" spans="1:56" s="64" customFormat="1" ht="15" customHeight="1" outlineLevel="1" x14ac:dyDescent="0.25">
      <c r="A1277" s="1393"/>
      <c r="B1277" s="157"/>
      <c r="C1277" s="385"/>
      <c r="D1277" s="3588" t="s">
        <v>24</v>
      </c>
      <c r="E1277" s="3694" t="s">
        <v>1111</v>
      </c>
      <c r="F1277" s="3730" t="str">
        <f>$F$1223</f>
        <v xml:space="preserve">DFHP - SEER 19 MF heat pump base </v>
      </c>
      <c r="G1277" s="3684"/>
      <c r="H1277" s="3685"/>
      <c r="I1277" s="2130"/>
      <c r="J1277" s="2126">
        <v>18</v>
      </c>
      <c r="K1277" s="903"/>
      <c r="L1277" s="876"/>
      <c r="M1277" s="157"/>
      <c r="N1277" s="157"/>
      <c r="O1277" s="157"/>
      <c r="P1277" s="157"/>
      <c r="Q1277" s="924"/>
      <c r="R1277" s="1407"/>
      <c r="S1277" s="157"/>
      <c r="T1277" s="157"/>
      <c r="U1277" s="157"/>
      <c r="V1277" s="3588" t="str">
        <f>D1277</f>
        <v>EUL</v>
      </c>
      <c r="W1277" s="861">
        <v>18</v>
      </c>
      <c r="X1277" s="861">
        <v>18</v>
      </c>
      <c r="Y1277" s="861">
        <v>18</v>
      </c>
      <c r="Z1277" s="861">
        <v>18</v>
      </c>
      <c r="AA1277" s="861">
        <v>18</v>
      </c>
      <c r="AB1277" s="861">
        <v>18</v>
      </c>
      <c r="AC1277" s="861"/>
      <c r="AD1277" s="861"/>
      <c r="AE1277" s="861"/>
      <c r="AF1277" s="861"/>
      <c r="AG1277" s="861"/>
      <c r="BB1277" s="647"/>
      <c r="BC1277" s="648"/>
      <c r="BD1277" s="757"/>
    </row>
    <row r="1278" spans="1:56" s="64" customFormat="1" ht="15" customHeight="1" outlineLevel="1" x14ac:dyDescent="0.25">
      <c r="A1278" s="1393"/>
      <c r="B1278" s="157"/>
      <c r="C1278" s="385"/>
      <c r="D1278" s="3589"/>
      <c r="E1278" s="3797"/>
      <c r="F1278" s="3728" t="str">
        <f>$F$1224</f>
        <v>DFHP - SEER 19 MF heat pump base _CompE</v>
      </c>
      <c r="G1278" s="3689"/>
      <c r="H1278" s="3690"/>
      <c r="I1278" s="881"/>
      <c r="J1278" s="2125">
        <v>18</v>
      </c>
      <c r="K1278" s="898"/>
      <c r="L1278" s="878"/>
      <c r="M1278" s="157"/>
      <c r="N1278" s="157"/>
      <c r="O1278" s="157"/>
      <c r="P1278" s="157"/>
      <c r="Q1278" s="924"/>
      <c r="R1278" s="1407"/>
      <c r="S1278" s="157"/>
      <c r="T1278" s="157"/>
      <c r="U1278" s="157"/>
      <c r="V1278" s="3589"/>
      <c r="W1278" s="860"/>
      <c r="X1278" s="860"/>
      <c r="Y1278" s="885">
        <v>18</v>
      </c>
      <c r="Z1278" s="862">
        <v>18</v>
      </c>
      <c r="AA1278" s="862">
        <v>18</v>
      </c>
      <c r="AB1278" s="862">
        <v>18</v>
      </c>
      <c r="AC1278" s="860"/>
      <c r="AD1278" s="860"/>
      <c r="AE1278" s="860"/>
      <c r="AF1278" s="860"/>
      <c r="AG1278" s="860"/>
      <c r="BB1278" s="647"/>
      <c r="BC1278" s="648"/>
      <c r="BD1278" s="757"/>
    </row>
    <row r="1279" spans="1:56" s="64" customFormat="1" ht="15" customHeight="1" outlineLevel="1" x14ac:dyDescent="0.25">
      <c r="A1279" s="1393"/>
      <c r="B1279" s="157"/>
      <c r="C1279" s="385"/>
      <c r="D1279" s="3589"/>
      <c r="E1279" s="3797"/>
      <c r="F1279" s="3728" t="str">
        <f>$F$1225</f>
        <v>DFHP - SEER 20 MF heat pump base</v>
      </c>
      <c r="G1279" s="3689"/>
      <c r="H1279" s="3690"/>
      <c r="I1279" s="2129"/>
      <c r="J1279" s="2125">
        <v>18</v>
      </c>
      <c r="K1279" s="898"/>
      <c r="L1279" s="878"/>
      <c r="M1279" s="157"/>
      <c r="N1279" s="157"/>
      <c r="O1279" s="157"/>
      <c r="P1279" s="157"/>
      <c r="Q1279" s="924"/>
      <c r="R1279" s="1407"/>
      <c r="S1279" s="157"/>
      <c r="T1279" s="157"/>
      <c r="U1279" s="157"/>
      <c r="V1279" s="3589"/>
      <c r="W1279" s="862">
        <v>18</v>
      </c>
      <c r="X1279" s="862">
        <v>18</v>
      </c>
      <c r="Y1279" s="862">
        <v>18</v>
      </c>
      <c r="Z1279" s="862">
        <v>18</v>
      </c>
      <c r="AA1279" s="862">
        <v>18</v>
      </c>
      <c r="AB1279" s="862">
        <v>18</v>
      </c>
      <c r="AC1279" s="862"/>
      <c r="AD1279" s="862"/>
      <c r="AE1279" s="862"/>
      <c r="AF1279" s="862"/>
      <c r="AG1279" s="862"/>
      <c r="BB1279" s="647"/>
      <c r="BC1279" s="648"/>
      <c r="BD1279" s="757"/>
    </row>
    <row r="1280" spans="1:56" s="64" customFormat="1" ht="15" customHeight="1" outlineLevel="1" x14ac:dyDescent="0.25">
      <c r="A1280" s="1393"/>
      <c r="B1280" s="157"/>
      <c r="C1280" s="385"/>
      <c r="D1280" s="3589"/>
      <c r="E1280" s="3797"/>
      <c r="F1280" s="3728" t="str">
        <f>$F$1226</f>
        <v>DFHP - SEER 20 MF heat pump base_CompE</v>
      </c>
      <c r="G1280" s="3689"/>
      <c r="H1280" s="3690"/>
      <c r="I1280" s="2129"/>
      <c r="J1280" s="2125">
        <v>18</v>
      </c>
      <c r="K1280" s="898"/>
      <c r="L1280" s="878"/>
      <c r="M1280" s="157"/>
      <c r="N1280" s="157"/>
      <c r="O1280" s="157"/>
      <c r="P1280" s="157"/>
      <c r="Q1280" s="924"/>
      <c r="R1280" s="1407"/>
      <c r="S1280" s="157"/>
      <c r="T1280" s="157"/>
      <c r="U1280" s="157"/>
      <c r="V1280" s="3589"/>
      <c r="W1280" s="862"/>
      <c r="X1280" s="862"/>
      <c r="Y1280" s="885">
        <v>18</v>
      </c>
      <c r="Z1280" s="862">
        <v>18</v>
      </c>
      <c r="AA1280" s="862">
        <v>18</v>
      </c>
      <c r="AB1280" s="862">
        <v>18</v>
      </c>
      <c r="AC1280" s="862"/>
      <c r="AD1280" s="862"/>
      <c r="AE1280" s="862"/>
      <c r="AF1280" s="862"/>
      <c r="AG1280" s="862"/>
      <c r="BB1280" s="647"/>
      <c r="BC1280" s="648"/>
      <c r="BD1280" s="757"/>
    </row>
    <row r="1281" spans="1:57" s="64" customFormat="1" ht="15" customHeight="1" outlineLevel="1" x14ac:dyDescent="0.25">
      <c r="A1281" s="1393"/>
      <c r="B1281" s="157"/>
      <c r="C1281" s="385"/>
      <c r="D1281" s="3589"/>
      <c r="E1281" s="3797"/>
      <c r="F1281" s="3728" t="str">
        <f>$F$1227</f>
        <v>DFHP - SEER 21 MF heat pump base</v>
      </c>
      <c r="G1281" s="3689"/>
      <c r="H1281" s="3690"/>
      <c r="I1281" s="2129"/>
      <c r="J1281" s="2125">
        <v>18</v>
      </c>
      <c r="K1281" s="898"/>
      <c r="L1281" s="878"/>
      <c r="M1281" s="157"/>
      <c r="N1281" s="157"/>
      <c r="O1281" s="157"/>
      <c r="P1281" s="157"/>
      <c r="Q1281" s="924"/>
      <c r="R1281" s="1407"/>
      <c r="S1281" s="157"/>
      <c r="T1281" s="157"/>
      <c r="U1281" s="157"/>
      <c r="V1281" s="3589"/>
      <c r="W1281" s="862">
        <v>18</v>
      </c>
      <c r="X1281" s="862">
        <v>18</v>
      </c>
      <c r="Y1281" s="862">
        <v>18</v>
      </c>
      <c r="Z1281" s="862">
        <v>18</v>
      </c>
      <c r="AA1281" s="862">
        <v>18</v>
      </c>
      <c r="AB1281" s="862">
        <v>18</v>
      </c>
      <c r="AC1281" s="862"/>
      <c r="AD1281" s="862"/>
      <c r="AE1281" s="862"/>
      <c r="AF1281" s="862"/>
      <c r="AG1281" s="862"/>
      <c r="BB1281" s="647"/>
      <c r="BC1281" s="648"/>
      <c r="BD1281" s="757"/>
    </row>
    <row r="1282" spans="1:57" s="64" customFormat="1" ht="15" customHeight="1" outlineLevel="1" thickBot="1" x14ac:dyDescent="0.3">
      <c r="A1282" s="1393"/>
      <c r="B1282" s="157"/>
      <c r="C1282" s="385"/>
      <c r="D1282" s="3687"/>
      <c r="E1282" s="3798"/>
      <c r="F1282" s="3729" t="str">
        <f>$F$1228</f>
        <v>DFHP - SEER 21 MF heat pump base_CompE</v>
      </c>
      <c r="G1282" s="3726"/>
      <c r="H1282" s="3727"/>
      <c r="I1282" s="863"/>
      <c r="J1282" s="2127">
        <v>18</v>
      </c>
      <c r="K1282" s="1789"/>
      <c r="L1282" s="890"/>
      <c r="M1282" s="157"/>
      <c r="N1282" s="157"/>
      <c r="O1282" s="157"/>
      <c r="P1282" s="157"/>
      <c r="Q1282" s="924"/>
      <c r="R1282" s="1407"/>
      <c r="S1282" s="157"/>
      <c r="T1282" s="157"/>
      <c r="U1282" s="157"/>
      <c r="V1282" s="3589"/>
      <c r="W1282" s="862"/>
      <c r="X1282" s="862"/>
      <c r="Y1282" s="885">
        <v>18</v>
      </c>
      <c r="Z1282" s="862">
        <v>18</v>
      </c>
      <c r="AA1282" s="862">
        <v>18</v>
      </c>
      <c r="AB1282" s="862">
        <v>18</v>
      </c>
      <c r="AC1282" s="862"/>
      <c r="AD1282" s="862"/>
      <c r="AE1282" s="862"/>
      <c r="AF1282" s="862"/>
      <c r="AG1282" s="862"/>
      <c r="BB1282" s="647"/>
      <c r="BC1282" s="648"/>
      <c r="BD1282" s="757"/>
    </row>
    <row r="1283" spans="1:57" s="64" customFormat="1" ht="15" customHeight="1" outlineLevel="1" x14ac:dyDescent="0.25">
      <c r="A1283" s="1393"/>
      <c r="B1283" s="157"/>
      <c r="C1283" s="385"/>
      <c r="D1283" s="3588" t="s">
        <v>25</v>
      </c>
      <c r="E1283" s="3694" t="s">
        <v>897</v>
      </c>
      <c r="F1283" s="3730" t="str">
        <f>$F$1223</f>
        <v xml:space="preserve">DFHP - SEER 19 MF heat pump base </v>
      </c>
      <c r="G1283" s="3684"/>
      <c r="H1283" s="3685"/>
      <c r="I1283" s="2130"/>
      <c r="J1283" s="886">
        <v>2936.6</v>
      </c>
      <c r="K1283" s="903"/>
      <c r="L1283" s="876"/>
      <c r="M1283" s="157"/>
      <c r="N1283" s="157"/>
      <c r="O1283" s="157"/>
      <c r="P1283" s="157"/>
      <c r="Q1283" s="924"/>
      <c r="R1283" s="1407"/>
      <c r="S1283" s="157"/>
      <c r="T1283" s="157"/>
      <c r="U1283" s="157"/>
      <c r="V1283" s="3588" t="str">
        <f>D1283</f>
        <v>Inc. Cost</v>
      </c>
      <c r="W1283" s="886">
        <v>2936.6</v>
      </c>
      <c r="X1283" s="886">
        <v>2936.6</v>
      </c>
      <c r="Y1283" s="886">
        <v>2936.6</v>
      </c>
      <c r="Z1283" s="886">
        <v>2936.6</v>
      </c>
      <c r="AA1283" s="886">
        <v>2936.6</v>
      </c>
      <c r="AB1283" s="886">
        <v>2936.6</v>
      </c>
      <c r="AC1283" s="886"/>
      <c r="AD1283" s="886"/>
      <c r="AE1283" s="886"/>
      <c r="AF1283" s="886"/>
      <c r="AG1283" s="886"/>
      <c r="BB1283" s="647"/>
      <c r="BC1283" s="648"/>
      <c r="BD1283" s="757"/>
    </row>
    <row r="1284" spans="1:57" s="64" customFormat="1" ht="15" customHeight="1" outlineLevel="1" x14ac:dyDescent="0.25">
      <c r="A1284" s="1393"/>
      <c r="B1284" s="157"/>
      <c r="C1284" s="385"/>
      <c r="D1284" s="3589"/>
      <c r="E1284" s="3797"/>
      <c r="F1284" s="3728" t="str">
        <f>$F$1224</f>
        <v>DFHP - SEER 19 MF heat pump base _CompE</v>
      </c>
      <c r="G1284" s="3689"/>
      <c r="H1284" s="3690"/>
      <c r="I1284" s="881"/>
      <c r="J1284" s="889">
        <v>2936.6</v>
      </c>
      <c r="K1284" s="898"/>
      <c r="L1284" s="877"/>
      <c r="M1284" s="157"/>
      <c r="N1284" s="157"/>
      <c r="O1284" s="157"/>
      <c r="P1284" s="157"/>
      <c r="Q1284" s="924"/>
      <c r="R1284" s="1407"/>
      <c r="S1284" s="157"/>
      <c r="T1284" s="157"/>
      <c r="U1284" s="157"/>
      <c r="V1284" s="3589"/>
      <c r="W1284" s="888"/>
      <c r="X1284" s="888"/>
      <c r="Y1284" s="887">
        <v>2936.6</v>
      </c>
      <c r="Z1284" s="889">
        <v>2936.6</v>
      </c>
      <c r="AA1284" s="889">
        <v>2936.6</v>
      </c>
      <c r="AB1284" s="889">
        <v>2936.6</v>
      </c>
      <c r="AC1284" s="888"/>
      <c r="AD1284" s="888"/>
      <c r="AE1284" s="888"/>
      <c r="AF1284" s="888"/>
      <c r="AG1284" s="888"/>
      <c r="BB1284" s="647"/>
      <c r="BC1284" s="648"/>
      <c r="BD1284" s="757"/>
    </row>
    <row r="1285" spans="1:57" s="64" customFormat="1" outlineLevel="1" x14ac:dyDescent="0.25">
      <c r="A1285" s="1393"/>
      <c r="B1285" s="157"/>
      <c r="C1285" s="385"/>
      <c r="D1285" s="3589"/>
      <c r="E1285" s="3797"/>
      <c r="F1285" s="3728" t="str">
        <f>$F$1225</f>
        <v>DFHP - SEER 20 MF heat pump base</v>
      </c>
      <c r="G1285" s="3689"/>
      <c r="H1285" s="3690"/>
      <c r="I1285" s="2129"/>
      <c r="J1285" s="889">
        <v>3176.6</v>
      </c>
      <c r="K1285" s="898"/>
      <c r="L1285" s="877"/>
      <c r="M1285" s="157"/>
      <c r="N1285" s="157"/>
      <c r="O1285" s="157"/>
      <c r="P1285" s="157"/>
      <c r="Q1285" s="924"/>
      <c r="R1285" s="1407"/>
      <c r="S1285" s="157"/>
      <c r="T1285" s="157"/>
      <c r="U1285" s="157"/>
      <c r="V1285" s="3589"/>
      <c r="W1285" s="889">
        <v>3176.6</v>
      </c>
      <c r="X1285" s="889">
        <v>3176.6</v>
      </c>
      <c r="Y1285" s="889">
        <v>3176.6</v>
      </c>
      <c r="Z1285" s="889">
        <v>3176.6</v>
      </c>
      <c r="AA1285" s="889">
        <v>3176.6</v>
      </c>
      <c r="AB1285" s="889">
        <v>3176.6</v>
      </c>
      <c r="AC1285" s="889"/>
      <c r="AD1285" s="889"/>
      <c r="AE1285" s="889"/>
      <c r="AF1285" s="889"/>
      <c r="AG1285" s="889"/>
      <c r="BB1285" s="647"/>
      <c r="BC1285" s="648"/>
      <c r="BD1285" s="757"/>
    </row>
    <row r="1286" spans="1:57" s="64" customFormat="1" outlineLevel="1" x14ac:dyDescent="0.25">
      <c r="A1286" s="1393"/>
      <c r="B1286" s="157"/>
      <c r="C1286" s="385"/>
      <c r="D1286" s="3589"/>
      <c r="E1286" s="3797"/>
      <c r="F1286" s="3728" t="str">
        <f>$F$1226</f>
        <v>DFHP - SEER 20 MF heat pump base_CompE</v>
      </c>
      <c r="G1286" s="3689"/>
      <c r="H1286" s="3690"/>
      <c r="I1286" s="2129"/>
      <c r="J1286" s="889">
        <v>3176.6</v>
      </c>
      <c r="K1286" s="898"/>
      <c r="L1286" s="877"/>
      <c r="M1286" s="157"/>
      <c r="N1286" s="157"/>
      <c r="O1286" s="157"/>
      <c r="P1286" s="157"/>
      <c r="Q1286" s="924"/>
      <c r="R1286" s="1407"/>
      <c r="S1286" s="157"/>
      <c r="T1286" s="157"/>
      <c r="U1286" s="157"/>
      <c r="V1286" s="3589"/>
      <c r="W1286" s="889"/>
      <c r="X1286" s="889"/>
      <c r="Y1286" s="887">
        <v>3176.6</v>
      </c>
      <c r="Z1286" s="889">
        <v>3176.6</v>
      </c>
      <c r="AA1286" s="889">
        <v>3176.6</v>
      </c>
      <c r="AB1286" s="889">
        <v>3176.6</v>
      </c>
      <c r="AC1286" s="889"/>
      <c r="AD1286" s="889"/>
      <c r="AE1286" s="889"/>
      <c r="AF1286" s="889"/>
      <c r="AG1286" s="889"/>
      <c r="BB1286" s="647"/>
      <c r="BC1286" s="648"/>
      <c r="BD1286" s="757"/>
    </row>
    <row r="1287" spans="1:57" s="64" customFormat="1" outlineLevel="1" x14ac:dyDescent="0.25">
      <c r="A1287" s="1393"/>
      <c r="B1287" s="157"/>
      <c r="C1287" s="385"/>
      <c r="D1287" s="3589"/>
      <c r="E1287" s="3797"/>
      <c r="F1287" s="3728" t="str">
        <f>$F$1227</f>
        <v>DFHP - SEER 21 MF heat pump base</v>
      </c>
      <c r="G1287" s="3689"/>
      <c r="H1287" s="3690"/>
      <c r="I1287" s="2129"/>
      <c r="J1287" s="889">
        <v>3626.6</v>
      </c>
      <c r="K1287" s="898"/>
      <c r="L1287" s="877"/>
      <c r="M1287" s="157"/>
      <c r="N1287" s="157"/>
      <c r="O1287" s="157"/>
      <c r="P1287" s="157"/>
      <c r="Q1287" s="924"/>
      <c r="R1287" s="1407"/>
      <c r="S1287" s="157"/>
      <c r="T1287" s="157"/>
      <c r="U1287" s="157"/>
      <c r="V1287" s="3589"/>
      <c r="W1287" s="889">
        <v>3626.6</v>
      </c>
      <c r="X1287" s="889">
        <v>3626.6</v>
      </c>
      <c r="Y1287" s="889">
        <v>3626.6</v>
      </c>
      <c r="Z1287" s="889">
        <v>3626.6</v>
      </c>
      <c r="AA1287" s="889">
        <v>3626.6</v>
      </c>
      <c r="AB1287" s="889">
        <v>3626.6</v>
      </c>
      <c r="AC1287" s="889"/>
      <c r="AD1287" s="889"/>
      <c r="AE1287" s="889"/>
      <c r="AF1287" s="889"/>
      <c r="AG1287" s="889"/>
      <c r="BB1287" s="647"/>
      <c r="BC1287" s="648"/>
      <c r="BD1287" s="757"/>
    </row>
    <row r="1288" spans="1:57" s="64" customFormat="1" ht="15.75" outlineLevel="1" thickBot="1" x14ac:dyDescent="0.3">
      <c r="A1288" s="1393"/>
      <c r="B1288" s="157"/>
      <c r="C1288" s="385"/>
      <c r="D1288" s="3687"/>
      <c r="E1288" s="3798"/>
      <c r="F1288" s="3729" t="str">
        <f>$F$1228</f>
        <v>DFHP - SEER 21 MF heat pump base_CompE</v>
      </c>
      <c r="G1288" s="3726"/>
      <c r="H1288" s="3727"/>
      <c r="I1288" s="863"/>
      <c r="J1288" s="906">
        <v>3626.6</v>
      </c>
      <c r="K1288" s="1789"/>
      <c r="L1288" s="2161"/>
      <c r="M1288" s="157"/>
      <c r="N1288" s="157"/>
      <c r="O1288" s="157"/>
      <c r="P1288" s="157"/>
      <c r="Q1288" s="924"/>
      <c r="R1288" s="1407"/>
      <c r="S1288" s="157"/>
      <c r="T1288" s="157"/>
      <c r="U1288" s="157"/>
      <c r="V1288" s="3687"/>
      <c r="W1288" s="889"/>
      <c r="X1288" s="889"/>
      <c r="Y1288" s="887">
        <v>3626.6</v>
      </c>
      <c r="Z1288" s="889">
        <v>3626.6</v>
      </c>
      <c r="AA1288" s="889">
        <v>3626.6</v>
      </c>
      <c r="AB1288" s="889">
        <v>3626.6</v>
      </c>
      <c r="AC1288" s="889"/>
      <c r="AD1288" s="889"/>
      <c r="AE1288" s="889"/>
      <c r="AF1288" s="889"/>
      <c r="AG1288" s="889"/>
      <c r="BB1288" s="647"/>
      <c r="BC1288" s="648"/>
      <c r="BD1288" s="757"/>
    </row>
    <row r="1289" spans="1:57" x14ac:dyDescent="0.25">
      <c r="D1289" s="1782"/>
      <c r="E1289" s="1782"/>
      <c r="F1289" s="892"/>
      <c r="G1289" s="892"/>
      <c r="H1289" s="892"/>
      <c r="I1289" s="892"/>
      <c r="J1289" s="891"/>
      <c r="K1289" s="1783"/>
      <c r="L1289" s="892"/>
      <c r="Q1289" s="924"/>
      <c r="R1289" s="1407"/>
      <c r="W1289" s="64"/>
      <c r="X1289" s="64"/>
      <c r="Y1289" s="64"/>
      <c r="Z1289" s="64"/>
      <c r="AA1289" s="64"/>
      <c r="AB1289" s="64"/>
      <c r="AC1289" s="64"/>
      <c r="AD1289" s="64"/>
      <c r="AE1289" s="64"/>
      <c r="AF1289" s="64"/>
      <c r="AG1289" s="64"/>
    </row>
    <row r="1291" spans="1:57" s="64" customFormat="1" x14ac:dyDescent="0.25">
      <c r="A1291" s="1393"/>
      <c r="B1291" s="1404" t="s">
        <v>1306</v>
      </c>
      <c r="C1291" s="816"/>
      <c r="D1291" s="1405"/>
      <c r="E1291" s="1405"/>
      <c r="F1291" s="1405"/>
      <c r="G1291" s="1405"/>
      <c r="H1291" s="1405"/>
      <c r="I1291" s="1405"/>
      <c r="J1291" s="1405"/>
      <c r="K1291" s="1405"/>
      <c r="L1291" s="1405"/>
      <c r="M1291" s="1405"/>
      <c r="N1291" s="1405"/>
      <c r="O1291" s="1405"/>
      <c r="P1291" s="1405"/>
      <c r="Q1291" s="1428"/>
      <c r="R1291" s="157"/>
      <c r="S1291" s="157"/>
      <c r="T1291" s="157"/>
      <c r="U1291" s="157"/>
      <c r="V1291" s="3350" t="str">
        <f>B1291</f>
        <v>Ground Source Heat Pumps</v>
      </c>
      <c r="W1291" s="3351"/>
      <c r="X1291" s="3351"/>
      <c r="Y1291" s="3351"/>
      <c r="Z1291" s="3351"/>
      <c r="AA1291" s="3351"/>
      <c r="AB1291" s="3351"/>
      <c r="AC1291" s="3354"/>
      <c r="AD1291" s="3354"/>
      <c r="AE1291" s="3354"/>
      <c r="AF1291" s="3354"/>
      <c r="AG1291" s="3354"/>
      <c r="AH1291" s="3355"/>
      <c r="BB1291" s="647"/>
      <c r="BC1291" s="648"/>
      <c r="BD1291" s="757"/>
    </row>
    <row r="1292" spans="1:57" s="64" customFormat="1" x14ac:dyDescent="0.25">
      <c r="A1292" s="1393"/>
      <c r="B1292" s="157"/>
      <c r="C1292" s="385"/>
      <c r="D1292" s="386"/>
      <c r="E1292" s="386"/>
      <c r="F1292" s="157"/>
      <c r="G1292" s="386"/>
      <c r="H1292" s="385"/>
      <c r="I1292" s="385"/>
      <c r="J1292" s="385"/>
      <c r="K1292" s="385"/>
      <c r="L1292" s="385"/>
      <c r="M1292" s="385"/>
      <c r="N1292" s="157"/>
      <c r="O1292" s="157"/>
      <c r="P1292" s="157"/>
      <c r="Q1292" s="386"/>
      <c r="R1292" s="157"/>
      <c r="S1292" s="157"/>
      <c r="T1292" s="157"/>
      <c r="U1292" s="157"/>
      <c r="V1292" s="157"/>
      <c r="BB1292" s="647"/>
      <c r="BC1292" s="648"/>
      <c r="BD1292" s="757"/>
    </row>
    <row r="1293" spans="1:57" s="64" customFormat="1" x14ac:dyDescent="0.25">
      <c r="A1293" s="1393"/>
      <c r="B1293" s="157"/>
      <c r="C1293" s="385"/>
      <c r="D1293" s="386"/>
      <c r="E1293" s="386"/>
      <c r="F1293" s="157"/>
      <c r="G1293" s="386"/>
      <c r="H1293" s="157"/>
      <c r="I1293" s="385"/>
      <c r="J1293" s="385"/>
      <c r="K1293" s="385"/>
      <c r="L1293" s="385"/>
      <c r="M1293" s="385"/>
      <c r="N1293" s="157"/>
      <c r="O1293" s="157"/>
      <c r="P1293" s="157"/>
      <c r="Q1293" s="386"/>
      <c r="R1293" s="157"/>
      <c r="S1293" s="157"/>
      <c r="T1293" s="157"/>
      <c r="U1293" s="157"/>
      <c r="V1293" s="157"/>
      <c r="BB1293" s="647"/>
      <c r="BC1293" s="648"/>
      <c r="BD1293" s="757"/>
    </row>
    <row r="1294" spans="1:57" s="64" customFormat="1" ht="30" x14ac:dyDescent="0.25">
      <c r="A1294" s="1393"/>
      <c r="B1294" s="157"/>
      <c r="C1294" s="1409" t="s">
        <v>17</v>
      </c>
      <c r="D1294" s="1409" t="s">
        <v>616</v>
      </c>
      <c r="E1294" s="1409" t="s">
        <v>19</v>
      </c>
      <c r="F1294" s="1409" t="s">
        <v>20</v>
      </c>
      <c r="G1294" s="1409" t="s">
        <v>21</v>
      </c>
      <c r="H1294" s="1409" t="s">
        <v>22</v>
      </c>
      <c r="I1294" s="1409" t="s">
        <v>23</v>
      </c>
      <c r="J1294" s="1413" t="s">
        <v>24</v>
      </c>
      <c r="K1294" s="1409" t="s">
        <v>25</v>
      </c>
      <c r="L1294" s="1409" t="s">
        <v>1121</v>
      </c>
      <c r="M1294" s="157"/>
      <c r="N1294" s="157"/>
      <c r="O1294" s="157"/>
      <c r="P1294" s="157"/>
      <c r="Q1294" s="157"/>
      <c r="R1294" s="157"/>
      <c r="S1294" s="157"/>
      <c r="T1294" s="157"/>
      <c r="U1294" s="157"/>
      <c r="V1294" s="623" t="s">
        <v>27</v>
      </c>
      <c r="W1294" s="2284">
        <f>W$6</f>
        <v>43252</v>
      </c>
      <c r="X1294" s="2284">
        <f t="shared" ref="X1294:AG1294" si="117">X$6</f>
        <v>43465</v>
      </c>
      <c r="Y1294" s="2284">
        <f t="shared" si="117"/>
        <v>43800</v>
      </c>
      <c r="Z1294" s="2284">
        <f t="shared" si="117"/>
        <v>43862</v>
      </c>
      <c r="AA1294" s="2284">
        <f t="shared" si="117"/>
        <v>44013</v>
      </c>
      <c r="AB1294" s="2284">
        <f t="shared" si="117"/>
        <v>44166</v>
      </c>
      <c r="AC1294" s="2284" t="str">
        <f t="shared" si="117"/>
        <v>-</v>
      </c>
      <c r="AD1294" s="2284" t="str">
        <f t="shared" si="117"/>
        <v>-</v>
      </c>
      <c r="AE1294" s="2284" t="str">
        <f t="shared" si="117"/>
        <v>-</v>
      </c>
      <c r="AF1294" s="2284" t="str">
        <f t="shared" si="117"/>
        <v>-</v>
      </c>
      <c r="AG1294" s="2284" t="str">
        <f t="shared" si="117"/>
        <v>-</v>
      </c>
      <c r="BB1294" s="93" t="str">
        <f>$BB$6</f>
        <v>TRC (2020)</v>
      </c>
      <c r="BC1294" s="93" t="str">
        <f>$BC$6</f>
        <v>Benefit Lookup</v>
      </c>
      <c r="BD1294" s="741" t="str">
        <f>$BD$6</f>
        <v>Benefits (2019 $)</v>
      </c>
      <c r="BE1294" s="279" t="str">
        <f>$BE$6</f>
        <v>Incremental Cost (2019 $)</v>
      </c>
    </row>
    <row r="1295" spans="1:57" s="64" customFormat="1" x14ac:dyDescent="0.25">
      <c r="A1295" s="1393" t="str">
        <f t="shared" ref="A1295:A1306" si="118">C1295&amp;G1295</f>
        <v>352050_2019_12_Cooling Res</v>
      </c>
      <c r="B1295" s="157"/>
      <c r="C1295" s="1352" t="s">
        <v>1307</v>
      </c>
      <c r="D1295" s="1658" t="s">
        <v>740</v>
      </c>
      <c r="E1295" s="3038" t="s">
        <v>1308</v>
      </c>
      <c r="F1295" s="3246">
        <f>ROUND((($J$1351*$J$1357*(1/$J$1363-1/$J$1369))/1000)*$J$1375,2)</f>
        <v>1387.05</v>
      </c>
      <c r="G1295" s="263" t="s">
        <v>1273</v>
      </c>
      <c r="H1295" s="202">
        <f>VLOOKUP(G1295,'CP FACTORS'!$A$3:$B$38, 2, FALSE)</f>
        <v>9.4741810000000004E-4</v>
      </c>
      <c r="I1295" s="1757">
        <f t="shared" ref="I1295:I1306" si="119">ROUND(F1295*H1295,6)</f>
        <v>1.3141160000000001</v>
      </c>
      <c r="J1295" s="187">
        <v>18</v>
      </c>
      <c r="K1295" s="1784">
        <v>4717</v>
      </c>
      <c r="L1295" s="86">
        <f>K1351</f>
        <v>3.8125</v>
      </c>
      <c r="M1295" s="157"/>
      <c r="N1295" s="157"/>
      <c r="O1295" s="157"/>
      <c r="P1295" s="157"/>
      <c r="Q1295" s="157"/>
      <c r="R1295" s="1627"/>
      <c r="S1295" s="157"/>
      <c r="T1295" s="157"/>
      <c r="U1295" s="157"/>
      <c r="V1295" s="2309" t="s">
        <v>20</v>
      </c>
      <c r="W1295" s="894">
        <v>1811.005012964564</v>
      </c>
      <c r="X1295" s="894">
        <v>1413.8603840319427</v>
      </c>
      <c r="Y1295" s="895">
        <v>1413.86</v>
      </c>
      <c r="Z1295" s="2644">
        <v>1413.86</v>
      </c>
      <c r="AA1295" s="2644">
        <v>1413.86</v>
      </c>
      <c r="AB1295" s="2164">
        <v>1387.05</v>
      </c>
      <c r="AC1295" s="63"/>
      <c r="AD1295" s="63"/>
      <c r="AE1295" s="63"/>
      <c r="AF1295" s="63"/>
      <c r="AG1295" s="63"/>
      <c r="AH1295" s="211"/>
      <c r="AI1295" s="211"/>
      <c r="BB1295" s="288">
        <f>(BD1295+BD1296)/(BE1295+BE1296)</f>
        <v>2.3041951212001193</v>
      </c>
      <c r="BC1295" s="742" t="str">
        <f t="shared" ref="BC1295:BC1306" si="120">CONCATENATE(G1295," ",J1295," Year EUL")</f>
        <v>Cooling Res 18 Year EUL</v>
      </c>
      <c r="BD1295" s="749">
        <f>(INDEX('Avoided Cost Benefits'!$C$4:$C$857,MATCH(BC1295,'Avoided Cost Benefits'!$A$4:$A$857,0)))*F1295</f>
        <v>2446.4894373860843</v>
      </c>
      <c r="BE1295" s="69">
        <f t="shared" ref="BE1295:BE1306" si="121">K1295/(1.0595^(2020-2019))</f>
        <v>4452.1000471920715</v>
      </c>
    </row>
    <row r="1296" spans="1:57" s="64" customFormat="1" x14ac:dyDescent="0.25">
      <c r="A1296" s="1393" t="str">
        <f t="shared" si="118"/>
        <v>352050_2019_12_Heating RES</v>
      </c>
      <c r="B1296" s="157"/>
      <c r="C1296" s="1352" t="s">
        <v>1307</v>
      </c>
      <c r="D1296" s="1785" t="s">
        <v>740</v>
      </c>
      <c r="E1296" s="3039" t="s">
        <v>1309</v>
      </c>
      <c r="F1296" s="3246">
        <f>ROUND((($J$1329*$J$1335*(1/$J$1341-1/$J$1347))/1000)*$J$1375,2)</f>
        <v>16908.54</v>
      </c>
      <c r="G1296" s="263" t="s">
        <v>691</v>
      </c>
      <c r="H1296" s="202">
        <f>VLOOKUP(G1296,'CP FACTORS'!$A$3:$B$38, 2, FALSE)</f>
        <v>0</v>
      </c>
      <c r="I1296" s="1757">
        <f t="shared" si="119"/>
        <v>0</v>
      </c>
      <c r="J1296" s="187">
        <v>18</v>
      </c>
      <c r="K1296" s="1786"/>
      <c r="L1296" s="86"/>
      <c r="M1296" s="648"/>
      <c r="N1296" s="157"/>
      <c r="O1296" s="157"/>
      <c r="P1296" s="157"/>
      <c r="Q1296" s="157"/>
      <c r="R1296" s="1627"/>
      <c r="S1296" s="157"/>
      <c r="T1296" s="157"/>
      <c r="U1296" s="157"/>
      <c r="V1296" s="2309" t="s">
        <v>20</v>
      </c>
      <c r="W1296" s="894">
        <v>6530.865353107697</v>
      </c>
      <c r="X1296" s="896">
        <v>21786.888829533</v>
      </c>
      <c r="Y1296" s="895">
        <v>16223.59</v>
      </c>
      <c r="Z1296" s="2644">
        <v>16223.59</v>
      </c>
      <c r="AA1296" s="2644">
        <v>16223.59</v>
      </c>
      <c r="AB1296" s="2164">
        <v>16908.54</v>
      </c>
      <c r="AC1296" s="63"/>
      <c r="AD1296" s="63"/>
      <c r="AE1296" s="63"/>
      <c r="AF1296" s="63"/>
      <c r="AG1296" s="63"/>
      <c r="AH1296" s="211"/>
      <c r="AI1296" s="211"/>
      <c r="BB1296" s="291"/>
      <c r="BC1296" s="750" t="str">
        <f t="shared" si="120"/>
        <v>Heating RES 18 Year EUL</v>
      </c>
      <c r="BD1296" s="752">
        <f>(INDEX('Avoided Cost Benefits'!$C$4:$C$857,MATCH(BC1296,'Avoided Cost Benefits'!$A$4:$A$857,0)))*F1296</f>
        <v>7812.017770448706</v>
      </c>
      <c r="BE1296" s="73">
        <f t="shared" si="121"/>
        <v>0</v>
      </c>
    </row>
    <row r="1297" spans="1:57" s="64" customFormat="1" x14ac:dyDescent="0.25">
      <c r="A1297" s="1393" t="str">
        <f t="shared" si="118"/>
        <v>352100_2019_12_Cooling Res</v>
      </c>
      <c r="B1297" s="157"/>
      <c r="C1297" s="1352" t="s">
        <v>1310</v>
      </c>
      <c r="D1297" s="1785" t="s">
        <v>740</v>
      </c>
      <c r="E1297" s="3038" t="s">
        <v>1311</v>
      </c>
      <c r="F1297" s="3246">
        <f>ROUND((($J$1352*$J$1358*(1/$J$1364-1/$J$1370))/1000)*$J$1375,2)</f>
        <v>4734.18</v>
      </c>
      <c r="G1297" s="263" t="s">
        <v>1273</v>
      </c>
      <c r="H1297" s="202">
        <f>VLOOKUP(G1297,'CP FACTORS'!$A$3:$B$38, 2, FALSE)</f>
        <v>9.4741810000000004E-4</v>
      </c>
      <c r="I1297" s="1757">
        <f t="shared" si="119"/>
        <v>4.4852480000000003</v>
      </c>
      <c r="J1297" s="187">
        <v>6</v>
      </c>
      <c r="K1297" s="1784">
        <v>5250</v>
      </c>
      <c r="L1297" s="86">
        <f>K1352</f>
        <v>3.8125</v>
      </c>
      <c r="M1297" s="157"/>
      <c r="N1297" s="157"/>
      <c r="O1297" s="157"/>
      <c r="P1297" s="157"/>
      <c r="Q1297" s="157"/>
      <c r="R1297" s="1627"/>
      <c r="S1297" s="157"/>
      <c r="T1297" s="157"/>
      <c r="U1297" s="157"/>
      <c r="V1297" s="2309" t="s">
        <v>20</v>
      </c>
      <c r="W1297" s="894">
        <v>4715.6029411764694</v>
      </c>
      <c r="X1297" s="894">
        <v>4824.9949536200738</v>
      </c>
      <c r="Y1297" s="895">
        <v>4824.99</v>
      </c>
      <c r="Z1297" s="2644">
        <v>4824.99</v>
      </c>
      <c r="AA1297" s="2644">
        <v>4824.99</v>
      </c>
      <c r="AB1297" s="2164">
        <v>4734.18</v>
      </c>
      <c r="AC1297" s="63"/>
      <c r="AD1297" s="63"/>
      <c r="AE1297" s="63"/>
      <c r="AF1297" s="63"/>
      <c r="AG1297" s="63"/>
      <c r="AH1297" s="211"/>
      <c r="AI1297" s="211"/>
      <c r="BB1297" s="293">
        <f>(BD1297+BD1298+BD1299+BD1300)/(BE1297+BE1298+BE1299+BE1300)</f>
        <v>2.3880897995487156</v>
      </c>
      <c r="BC1297" s="742" t="str">
        <f t="shared" si="120"/>
        <v>Cooling Res 6 Year EUL</v>
      </c>
      <c r="BD1297" s="752">
        <f>(INDEX('Avoided Cost Benefits'!$C$4:$C$857,MATCH(BC1297,'Avoided Cost Benefits'!$A$4:$A$857,0)))*F1297</f>
        <v>2752.8506944836536</v>
      </c>
      <c r="BE1297" s="73">
        <f t="shared" si="121"/>
        <v>4955.1675318546477</v>
      </c>
    </row>
    <row r="1298" spans="1:57" s="64" customFormat="1" x14ac:dyDescent="0.25">
      <c r="A1298" s="1393" t="str">
        <f t="shared" si="118"/>
        <v>352100_2019_12_Heating RES</v>
      </c>
      <c r="B1298" s="157"/>
      <c r="C1298" s="1352" t="s">
        <v>1310</v>
      </c>
      <c r="D1298" s="1785" t="s">
        <v>740</v>
      </c>
      <c r="E1298" s="821" t="s">
        <v>1312</v>
      </c>
      <c r="F1298" s="3246">
        <f>ROUND((($J$1327*$J$1333*(1/$J$1339-1/$J$1345))/1000)*$J$1375,2)</f>
        <v>15550.48</v>
      </c>
      <c r="G1298" s="263" t="s">
        <v>691</v>
      </c>
      <c r="H1298" s="202">
        <f>VLOOKUP(G1298,'CP FACTORS'!$A$3:$B$38, 2, FALSE)</f>
        <v>0</v>
      </c>
      <c r="I1298" s="1757">
        <f t="shared" si="119"/>
        <v>0</v>
      </c>
      <c r="J1298" s="187">
        <v>6</v>
      </c>
      <c r="K1298" s="1786"/>
      <c r="L1298" s="86"/>
      <c r="M1298" s="157"/>
      <c r="N1298" s="157"/>
      <c r="O1298" s="157"/>
      <c r="P1298" s="157"/>
      <c r="Q1298" s="157"/>
      <c r="R1298" s="1627"/>
      <c r="S1298" s="157"/>
      <c r="T1298" s="157"/>
      <c r="U1298" s="157"/>
      <c r="V1298" s="2309" t="s">
        <v>20</v>
      </c>
      <c r="W1298" s="894">
        <v>6530.865353107697</v>
      </c>
      <c r="X1298" s="896">
        <v>21786.888829533</v>
      </c>
      <c r="Y1298" s="895">
        <v>16223.59</v>
      </c>
      <c r="Z1298" s="2644">
        <v>16223.59</v>
      </c>
      <c r="AA1298" s="2644">
        <v>16223.59</v>
      </c>
      <c r="AB1298" s="2164">
        <v>15550.48</v>
      </c>
      <c r="AC1298" s="63"/>
      <c r="AD1298" s="63"/>
      <c r="AE1298" s="63"/>
      <c r="AF1298" s="63"/>
      <c r="AG1298" s="63"/>
      <c r="AH1298" s="211"/>
      <c r="AI1298" s="211"/>
      <c r="BB1298" s="822"/>
      <c r="BC1298" s="821" t="str">
        <f t="shared" si="120"/>
        <v>Heating RES 6 Year EUL</v>
      </c>
      <c r="BD1298" s="752">
        <f>(INDEX('Avoided Cost Benefits'!$C$4:$C$857,MATCH(BC1298,'Avoided Cost Benefits'!$A$4:$A$857,0)))*F1298</f>
        <v>2586.5658306803093</v>
      </c>
      <c r="BE1298" s="73">
        <f t="shared" si="121"/>
        <v>0</v>
      </c>
    </row>
    <row r="1299" spans="1:57" s="64" customFormat="1" x14ac:dyDescent="0.25">
      <c r="A1299" s="1393" t="str">
        <f t="shared" si="118"/>
        <v>352100_2019_12_Cooling Res ER2</v>
      </c>
      <c r="B1299" s="157"/>
      <c r="C1299" s="1352" t="s">
        <v>1310</v>
      </c>
      <c r="D1299" s="1785" t="s">
        <v>740</v>
      </c>
      <c r="E1299" s="821" t="s">
        <v>1313</v>
      </c>
      <c r="F1299" s="3246">
        <f>ROUND((($J$1353*$J$1359*(1/$J$1365-1/$J$1371))/1000)*$J$1375,2)</f>
        <v>1603.59</v>
      </c>
      <c r="G1299" s="1787" t="s">
        <v>1314</v>
      </c>
      <c r="H1299" s="202">
        <f>VLOOKUP(G1299,'CP FACTORS'!$A$3:$B$38, 2, FALSE)</f>
        <v>9.4741810000000004E-4</v>
      </c>
      <c r="I1299" s="1757">
        <f t="shared" si="119"/>
        <v>1.5192699999999999</v>
      </c>
      <c r="J1299" s="187">
        <v>12</v>
      </c>
      <c r="K1299" s="1786"/>
      <c r="L1299" s="86"/>
      <c r="M1299" s="157"/>
      <c r="N1299" s="157"/>
      <c r="O1299" s="157"/>
      <c r="P1299" s="157"/>
      <c r="Q1299" s="157"/>
      <c r="R1299" s="1627"/>
      <c r="S1299" s="157"/>
      <c r="T1299" s="157"/>
      <c r="U1299" s="157"/>
      <c r="V1299" s="2309" t="s">
        <v>20</v>
      </c>
      <c r="W1299" s="894">
        <v>1716.9631221719455</v>
      </c>
      <c r="X1299" s="894">
        <v>1413.8603840319427</v>
      </c>
      <c r="Y1299" s="895">
        <v>1413.86</v>
      </c>
      <c r="Z1299" s="2644">
        <v>1413.86</v>
      </c>
      <c r="AA1299" s="2644">
        <v>1413.86</v>
      </c>
      <c r="AB1299" s="2164">
        <v>1603.59</v>
      </c>
      <c r="AC1299" s="63"/>
      <c r="AD1299" s="63"/>
      <c r="AE1299" s="63"/>
      <c r="AF1299" s="63"/>
      <c r="AG1299" s="63"/>
      <c r="AH1299" s="211"/>
      <c r="AI1299" s="211"/>
      <c r="BB1299" s="822"/>
      <c r="BC1299" s="821" t="str">
        <f t="shared" si="120"/>
        <v>Cooling Res ER2 12 Year EUL</v>
      </c>
      <c r="BD1299" s="752">
        <f>(INDEX('Avoided Cost Benefits'!$C$4:$C$857,MATCH(BC1299,'Avoided Cost Benefits'!$A$4:$A$857,0)))*F1299</f>
        <v>1895.9621627671058</v>
      </c>
      <c r="BE1299" s="73">
        <f t="shared" si="121"/>
        <v>0</v>
      </c>
    </row>
    <row r="1300" spans="1:57" s="64" customFormat="1" x14ac:dyDescent="0.25">
      <c r="A1300" s="1393" t="str">
        <f t="shared" si="118"/>
        <v>352100_2019_12_Heating RES ER2</v>
      </c>
      <c r="B1300" s="157"/>
      <c r="C1300" s="1352" t="s">
        <v>1310</v>
      </c>
      <c r="D1300" s="1785" t="s">
        <v>740</v>
      </c>
      <c r="E1300" s="3039" t="s">
        <v>1315</v>
      </c>
      <c r="F1300" s="3246">
        <f>ROUND((($J$1328*$J$1334*(1/$J$1340-1/$J$1346))/1000)*$J$1375,2)</f>
        <v>15550.48</v>
      </c>
      <c r="G1300" s="1787" t="s">
        <v>1217</v>
      </c>
      <c r="H1300" s="202">
        <f>VLOOKUP(G1300,'CP FACTORS'!$A$3:$B$38, 2, FALSE)</f>
        <v>0</v>
      </c>
      <c r="I1300" s="1757">
        <f t="shared" si="119"/>
        <v>0</v>
      </c>
      <c r="J1300" s="187">
        <v>12</v>
      </c>
      <c r="K1300" s="1786"/>
      <c r="L1300" s="86"/>
      <c r="M1300" s="157"/>
      <c r="N1300" s="157"/>
      <c r="O1300" s="157"/>
      <c r="P1300" s="157"/>
      <c r="Q1300" s="157"/>
      <c r="R1300" s="1627"/>
      <c r="S1300" s="157"/>
      <c r="T1300" s="157"/>
      <c r="U1300" s="157"/>
      <c r="V1300" s="2309" t="s">
        <v>20</v>
      </c>
      <c r="W1300" s="894">
        <v>6530.865353107697</v>
      </c>
      <c r="X1300" s="896">
        <v>21786.888829533</v>
      </c>
      <c r="Y1300" s="895">
        <v>16223.59</v>
      </c>
      <c r="Z1300" s="2644">
        <v>16223.59</v>
      </c>
      <c r="AA1300" s="2644">
        <v>16223.59</v>
      </c>
      <c r="AB1300" s="2164">
        <v>15550.48</v>
      </c>
      <c r="AC1300" s="63"/>
      <c r="AD1300" s="63"/>
      <c r="AE1300" s="63"/>
      <c r="AF1300" s="63"/>
      <c r="AG1300" s="63"/>
      <c r="AH1300" s="211"/>
      <c r="AI1300" s="211"/>
      <c r="BB1300" s="822"/>
      <c r="BC1300" s="750" t="str">
        <f t="shared" si="120"/>
        <v>Heating RES ER2 12 Year EUL</v>
      </c>
      <c r="BD1300" s="752">
        <f>(INDEX('Avoided Cost Benefits'!$C$4:$C$857,MATCH(BC1300,'Avoided Cost Benefits'!$A$4:$A$857,0)))*F1300</f>
        <v>4598.0063499460002</v>
      </c>
      <c r="BE1300" s="73">
        <f t="shared" si="121"/>
        <v>0</v>
      </c>
    </row>
    <row r="1301" spans="1:57" s="64" customFormat="1" x14ac:dyDescent="0.25">
      <c r="A1301" s="1393" t="str">
        <f t="shared" si="118"/>
        <v>352200_2019_12_Cooling Res</v>
      </c>
      <c r="B1301" s="157"/>
      <c r="C1301" s="1352" t="s">
        <v>1316</v>
      </c>
      <c r="D1301" s="1785" t="s">
        <v>740</v>
      </c>
      <c r="E1301" s="3038" t="s">
        <v>1317</v>
      </c>
      <c r="F1301" s="3246">
        <f>ROUND(((J1354*J1360*(1/J1366-1/J1372))/1000)*$J$1375,2)</f>
        <v>2089.52</v>
      </c>
      <c r="G1301" s="263" t="s">
        <v>1273</v>
      </c>
      <c r="H1301" s="202">
        <f>VLOOKUP(G1301,'CP FACTORS'!$A$3:$B$38, 2, FALSE)</f>
        <v>9.4741810000000004E-4</v>
      </c>
      <c r="I1301" s="1757">
        <f t="shared" si="119"/>
        <v>1.979649</v>
      </c>
      <c r="J1301" s="187">
        <v>6</v>
      </c>
      <c r="K1301" s="1784">
        <v>4859</v>
      </c>
      <c r="L1301" s="86">
        <f>K1354</f>
        <v>4.2765957446808507</v>
      </c>
      <c r="M1301" s="157"/>
      <c r="N1301" s="157"/>
      <c r="O1301" s="157"/>
      <c r="P1301" s="157"/>
      <c r="Q1301" s="157"/>
      <c r="R1301" s="1627"/>
      <c r="S1301" s="157"/>
      <c r="T1301" s="157"/>
      <c r="U1301" s="157"/>
      <c r="V1301" s="2309" t="s">
        <v>20</v>
      </c>
      <c r="W1301" s="894">
        <v>4715.6029411764694</v>
      </c>
      <c r="X1301" s="894">
        <v>1930.2682563723677</v>
      </c>
      <c r="Y1301" s="895">
        <v>1930.27</v>
      </c>
      <c r="Z1301" s="2644">
        <v>1930.27</v>
      </c>
      <c r="AA1301" s="2644">
        <v>1930.27</v>
      </c>
      <c r="AB1301" s="2164">
        <v>2089.52</v>
      </c>
      <c r="AC1301" s="63"/>
      <c r="AD1301" s="63"/>
      <c r="AE1301" s="63"/>
      <c r="AF1301" s="63"/>
      <c r="AG1301" s="63"/>
      <c r="AH1301" s="211"/>
      <c r="AI1301" s="211"/>
      <c r="BB1301" s="293">
        <f>(BD1301+BD1302+BD1303+BD1304)/(BE1301+BE1302+BE1303+BE1304)</f>
        <v>0.90950480414071189</v>
      </c>
      <c r="BC1301" s="742" t="str">
        <f t="shared" si="120"/>
        <v>Cooling Res 6 Year EUL</v>
      </c>
      <c r="BD1301" s="752">
        <f>(INDEX('Avoided Cost Benefits'!$C$4:$C$857,MATCH(BC1301,'Avoided Cost Benefits'!$A$4:$A$857,0)))*F1301</f>
        <v>1215.0227881359565</v>
      </c>
      <c r="BE1301" s="73">
        <f t="shared" si="121"/>
        <v>4586.1255309108064</v>
      </c>
    </row>
    <row r="1302" spans="1:57" s="64" customFormat="1" x14ac:dyDescent="0.25">
      <c r="A1302" s="1393" t="str">
        <f t="shared" si="118"/>
        <v>352200_2019_12_Heating RES</v>
      </c>
      <c r="B1302" s="157"/>
      <c r="C1302" s="1352" t="s">
        <v>1316</v>
      </c>
      <c r="D1302" s="1785" t="s">
        <v>740</v>
      </c>
      <c r="E1302" s="821" t="s">
        <v>3673</v>
      </c>
      <c r="F1302" s="3246">
        <f>ROUND(((J1331*J1337*(1/J1342-1/J1349))/1000)*$J$1375,2)</f>
        <v>2968.34</v>
      </c>
      <c r="G1302" s="263" t="s">
        <v>691</v>
      </c>
      <c r="H1302" s="202">
        <f>VLOOKUP(G1302,'CP FACTORS'!$A$3:$B$38, 2, FALSE)</f>
        <v>0</v>
      </c>
      <c r="I1302" s="1757">
        <f t="shared" si="119"/>
        <v>0</v>
      </c>
      <c r="J1302" s="187">
        <v>6</v>
      </c>
      <c r="K1302" s="1786"/>
      <c r="L1302" s="86"/>
      <c r="M1302" s="157"/>
      <c r="N1302" s="157"/>
      <c r="O1302" s="157"/>
      <c r="P1302" s="157"/>
      <c r="Q1302" s="157"/>
      <c r="R1302" s="1627"/>
      <c r="S1302" s="157"/>
      <c r="T1302" s="157"/>
      <c r="U1302" s="157"/>
      <c r="V1302" s="2309" t="s">
        <v>20</v>
      </c>
      <c r="W1302" s="894">
        <v>6530.865353107697</v>
      </c>
      <c r="X1302" s="896">
        <v>3650.7555350956377</v>
      </c>
      <c r="Y1302" s="895">
        <v>2718.53</v>
      </c>
      <c r="Z1302" s="2644">
        <v>2718.53</v>
      </c>
      <c r="AA1302" s="2644">
        <v>2718.53</v>
      </c>
      <c r="AB1302" s="2164">
        <v>2968.34</v>
      </c>
      <c r="AC1302" s="63"/>
      <c r="AD1302" s="63"/>
      <c r="AE1302" s="63"/>
      <c r="AF1302" s="63"/>
      <c r="AG1302" s="63"/>
      <c r="AH1302" s="211"/>
      <c r="AI1302" s="211"/>
      <c r="BB1302" s="822"/>
      <c r="BC1302" s="821" t="str">
        <f t="shared" si="120"/>
        <v>Heating RES 6 Year EUL</v>
      </c>
      <c r="BD1302" s="752">
        <f>(INDEX('Avoided Cost Benefits'!$C$4:$C$857,MATCH(BC1302,'Avoided Cost Benefits'!$A$4:$A$857,0)))*F1302</f>
        <v>493.73439391205869</v>
      </c>
      <c r="BE1302" s="73">
        <f t="shared" si="121"/>
        <v>0</v>
      </c>
    </row>
    <row r="1303" spans="1:57" s="64" customFormat="1" x14ac:dyDescent="0.25">
      <c r="A1303" s="1393" t="str">
        <f t="shared" si="118"/>
        <v>352200_2019_12_Cooling Res ER2</v>
      </c>
      <c r="B1303" s="157"/>
      <c r="C1303" s="1352" t="s">
        <v>1316</v>
      </c>
      <c r="D1303" s="1785" t="s">
        <v>740</v>
      </c>
      <c r="E1303" s="821" t="s">
        <v>1318</v>
      </c>
      <c r="F1303" s="1317">
        <f>ROUND(((J1354*J1360*(1/J1368-1/J1372))/1000)*$J$1375,2)</f>
        <v>1536.02</v>
      </c>
      <c r="G1303" s="1787" t="s">
        <v>1314</v>
      </c>
      <c r="H1303" s="202">
        <f>VLOOKUP(G1303,'CP FACTORS'!$A$3:$B$38, 2, FALSE)</f>
        <v>9.4741810000000004E-4</v>
      </c>
      <c r="I1303" s="1757">
        <f t="shared" si="119"/>
        <v>1.4552529999999999</v>
      </c>
      <c r="J1303" s="187">
        <v>12</v>
      </c>
      <c r="K1303" s="1786"/>
      <c r="L1303" s="86"/>
      <c r="M1303" s="157"/>
      <c r="N1303" s="157"/>
      <c r="O1303" s="157"/>
      <c r="P1303" s="157"/>
      <c r="Q1303" s="157"/>
      <c r="R1303" s="1627"/>
      <c r="S1303" s="157"/>
      <c r="T1303" s="157"/>
      <c r="U1303" s="157"/>
      <c r="V1303" s="2309" t="s">
        <v>20</v>
      </c>
      <c r="W1303" s="487">
        <v>1460.3876720901126</v>
      </c>
      <c r="X1303" s="487">
        <v>1413.8603840319427</v>
      </c>
      <c r="Y1303" s="895">
        <v>1413.86</v>
      </c>
      <c r="Z1303" s="2644">
        <v>1413.86</v>
      </c>
      <c r="AA1303" s="2644">
        <v>1413.86</v>
      </c>
      <c r="AB1303" s="2164">
        <v>1536.02</v>
      </c>
      <c r="AC1303" s="63"/>
      <c r="AD1303" s="63"/>
      <c r="AE1303" s="63"/>
      <c r="AF1303" s="63"/>
      <c r="AG1303" s="63"/>
      <c r="AH1303" s="211"/>
      <c r="AI1303" s="211"/>
      <c r="BB1303" s="822"/>
      <c r="BC1303" s="821" t="str">
        <f t="shared" si="120"/>
        <v>Cooling Res ER2 12 Year EUL</v>
      </c>
      <c r="BD1303" s="752">
        <f>(INDEX('Avoided Cost Benefits'!$C$4:$C$857,MATCH(BC1303,'Avoided Cost Benefits'!$A$4:$A$857,0)))*F1303</f>
        <v>1816.0725629702918</v>
      </c>
      <c r="BE1303" s="73">
        <f t="shared" si="121"/>
        <v>0</v>
      </c>
    </row>
    <row r="1304" spans="1:57" s="64" customFormat="1" x14ac:dyDescent="0.25">
      <c r="A1304" s="1393" t="str">
        <f t="shared" si="118"/>
        <v>352200_2019_12_Heating RES ER2</v>
      </c>
      <c r="B1304" s="157"/>
      <c r="C1304" s="1352" t="s">
        <v>1316</v>
      </c>
      <c r="D1304" s="1785" t="s">
        <v>740</v>
      </c>
      <c r="E1304" s="3039" t="s">
        <v>1319</v>
      </c>
      <c r="F1304" s="1317">
        <f>ROUND(((J1331*J1337*(1/J1343-1/J1349))/1000)*$J$1375,2)</f>
        <v>2185.6999999999998</v>
      </c>
      <c r="G1304" s="1787" t="s">
        <v>1217</v>
      </c>
      <c r="H1304" s="202">
        <f>VLOOKUP(G1304,'CP FACTORS'!$A$3:$B$38, 2, FALSE)</f>
        <v>0</v>
      </c>
      <c r="I1304" s="1757">
        <f t="shared" si="119"/>
        <v>0</v>
      </c>
      <c r="J1304" s="187">
        <v>12</v>
      </c>
      <c r="K1304" s="1786"/>
      <c r="L1304" s="86"/>
      <c r="M1304" s="157"/>
      <c r="N1304" s="157"/>
      <c r="O1304" s="157"/>
      <c r="P1304" s="157"/>
      <c r="Q1304" s="157"/>
      <c r="R1304" s="1627"/>
      <c r="S1304" s="157"/>
      <c r="T1304" s="157"/>
      <c r="U1304" s="157"/>
      <c r="V1304" s="2309" t="s">
        <v>20</v>
      </c>
      <c r="W1304" s="487">
        <v>6530.865353107697</v>
      </c>
      <c r="X1304" s="897">
        <v>2670.177267298056</v>
      </c>
      <c r="Y1304" s="895">
        <v>1988.35</v>
      </c>
      <c r="Z1304" s="2644">
        <v>1988.35</v>
      </c>
      <c r="AA1304" s="2644">
        <v>1988.35</v>
      </c>
      <c r="AB1304" s="2164">
        <v>2185.6999999999998</v>
      </c>
      <c r="AC1304" s="63"/>
      <c r="AD1304" s="63"/>
      <c r="AE1304" s="63"/>
      <c r="AF1304" s="63"/>
      <c r="AG1304" s="63"/>
      <c r="AH1304" s="211"/>
      <c r="AI1304" s="211"/>
      <c r="BB1304" s="822"/>
      <c r="BC1304" s="750" t="str">
        <f t="shared" si="120"/>
        <v>Heating RES ER2 12 Year EUL</v>
      </c>
      <c r="BD1304" s="752">
        <f>(INDEX('Avoided Cost Benefits'!$C$4:$C$857,MATCH(BC1304,'Avoided Cost Benefits'!$A$4:$A$857,0)))*F1304</f>
        <v>646.27345773744423</v>
      </c>
      <c r="BE1304" s="73">
        <f t="shared" si="121"/>
        <v>0</v>
      </c>
    </row>
    <row r="1305" spans="1:57" s="64" customFormat="1" x14ac:dyDescent="0.25">
      <c r="A1305" s="1393" t="str">
        <f t="shared" si="118"/>
        <v>352250_2019_12_Cooling Res</v>
      </c>
      <c r="B1305" s="157"/>
      <c r="C1305" s="1352" t="s">
        <v>1320</v>
      </c>
      <c r="D1305" s="1785" t="s">
        <v>740</v>
      </c>
      <c r="E1305" s="3038" t="s">
        <v>1321</v>
      </c>
      <c r="F1305" s="3246">
        <f>ROUND(((J1356*J1362*(1/J1368-1/J1374))/1000)*$J$1375,2)</f>
        <v>1553.75</v>
      </c>
      <c r="G1305" s="263" t="s">
        <v>1273</v>
      </c>
      <c r="H1305" s="202">
        <f>VLOOKUP(G1305,'CP FACTORS'!$A$3:$B$38, 2, FALSE)</f>
        <v>9.4741810000000004E-4</v>
      </c>
      <c r="I1305" s="1757">
        <f t="shared" si="119"/>
        <v>1.472051</v>
      </c>
      <c r="J1305" s="187">
        <v>18</v>
      </c>
      <c r="K1305" s="1784">
        <v>3200</v>
      </c>
      <c r="L1305" s="85">
        <f>K1356</f>
        <v>4.3043478260869561</v>
      </c>
      <c r="M1305" s="157"/>
      <c r="N1305" s="157"/>
      <c r="O1305" s="157"/>
      <c r="P1305" s="157"/>
      <c r="Q1305" s="157"/>
      <c r="R1305" s="1627"/>
      <c r="S1305" s="157"/>
      <c r="T1305" s="157"/>
      <c r="U1305" s="157"/>
      <c r="V1305" s="2309" t="s">
        <v>20</v>
      </c>
      <c r="W1305" s="894">
        <v>1535.655749462109</v>
      </c>
      <c r="X1305" s="894">
        <v>1413.8603840319427</v>
      </c>
      <c r="Y1305" s="895">
        <v>1413.86</v>
      </c>
      <c r="Z1305" s="2644">
        <v>1413.86</v>
      </c>
      <c r="AA1305" s="2644">
        <v>1413.86</v>
      </c>
      <c r="AB1305" s="2164">
        <v>1553.75</v>
      </c>
      <c r="AC1305" s="63"/>
      <c r="AD1305" s="63"/>
      <c r="AE1305" s="63"/>
      <c r="AF1305" s="63"/>
      <c r="AG1305" s="63"/>
      <c r="AH1305" s="211"/>
      <c r="AI1305" s="211"/>
      <c r="BB1305" s="293">
        <f>(BD1305+BD1306)/(BE1305+BE1306)</f>
        <v>1.2438863687677262</v>
      </c>
      <c r="BC1305" s="742" t="str">
        <f t="shared" si="120"/>
        <v>Cooling Res 18 Year EUL</v>
      </c>
      <c r="BD1305" s="752">
        <f>(INDEX('Avoided Cost Benefits'!$C$4:$C$857,MATCH(BC1305,'Avoided Cost Benefits'!$A$4:$A$857,0)))*F1305</f>
        <v>2740.5161770221903</v>
      </c>
      <c r="BE1305" s="73">
        <f t="shared" si="121"/>
        <v>3020.2925908447378</v>
      </c>
    </row>
    <row r="1306" spans="1:57" s="64" customFormat="1" x14ac:dyDescent="0.25">
      <c r="A1306" s="1393" t="str">
        <f t="shared" si="118"/>
        <v>352250_2019_12_Heating RES</v>
      </c>
      <c r="B1306" s="157"/>
      <c r="C1306" s="1352" t="s">
        <v>1320</v>
      </c>
      <c r="D1306" s="1785" t="s">
        <v>740</v>
      </c>
      <c r="E1306" s="3039" t="s">
        <v>1321</v>
      </c>
      <c r="F1306" s="3246">
        <f>ROUND(((J1332*J1338*(1/J1344-1/J1350))/1000)*$J$1375,2)</f>
        <v>2199.89</v>
      </c>
      <c r="G1306" s="263" t="s">
        <v>691</v>
      </c>
      <c r="H1306" s="202">
        <f>VLOOKUP(G1306,'CP FACTORS'!$A$3:$B$38, 2, FALSE)</f>
        <v>0</v>
      </c>
      <c r="I1306" s="1757">
        <f t="shared" si="119"/>
        <v>0</v>
      </c>
      <c r="J1306" s="187">
        <v>18</v>
      </c>
      <c r="K1306" s="1352"/>
      <c r="L1306" s="86"/>
      <c r="M1306" s="157"/>
      <c r="N1306" s="157"/>
      <c r="O1306" s="157"/>
      <c r="P1306" s="157"/>
      <c r="Q1306" s="157"/>
      <c r="R1306" s="1627"/>
      <c r="S1306" s="157"/>
      <c r="T1306" s="157"/>
      <c r="U1306" s="157"/>
      <c r="V1306" s="2309" t="s">
        <v>20</v>
      </c>
      <c r="W1306" s="894">
        <v>7008.7335496765554</v>
      </c>
      <c r="X1306" s="896">
        <v>2670.177267298056</v>
      </c>
      <c r="Y1306" s="895">
        <v>1988.35</v>
      </c>
      <c r="Z1306" s="2644">
        <v>1988.35</v>
      </c>
      <c r="AA1306" s="2644">
        <v>1988.35</v>
      </c>
      <c r="AB1306" s="2164">
        <v>2199.89</v>
      </c>
      <c r="AC1306" s="63"/>
      <c r="AD1306" s="63"/>
      <c r="AE1306" s="63"/>
      <c r="AF1306" s="63"/>
      <c r="AG1306" s="63"/>
      <c r="AH1306" s="211"/>
      <c r="AI1306" s="211"/>
      <c r="BB1306" s="295"/>
      <c r="BC1306" s="750" t="str">
        <f t="shared" si="120"/>
        <v>Heating RES 18 Year EUL</v>
      </c>
      <c r="BD1306" s="756">
        <f>(INDEX('Avoided Cost Benefits'!$C$4:$C$857,MATCH(BC1306,'Avoided Cost Benefits'!$A$4:$A$857,0)))*F1306</f>
        <v>1016.3846064197382</v>
      </c>
      <c r="BE1306" s="75">
        <f t="shared" si="121"/>
        <v>0</v>
      </c>
    </row>
    <row r="1307" spans="1:57" s="64" customFormat="1" outlineLevel="1" x14ac:dyDescent="0.25">
      <c r="A1307" s="1393"/>
      <c r="B1307" s="157"/>
      <c r="C1307" s="385"/>
      <c r="D1307" s="386"/>
      <c r="E1307" s="386" t="s">
        <v>1268</v>
      </c>
      <c r="F1307" s="1692"/>
      <c r="G1307" s="1781"/>
      <c r="H1307" s="385"/>
      <c r="I1307" s="385"/>
      <c r="J1307" s="385"/>
      <c r="K1307" s="385"/>
      <c r="L1307" s="385"/>
      <c r="M1307" s="385"/>
      <c r="N1307" s="157"/>
      <c r="O1307" s="157"/>
      <c r="P1307" s="157"/>
      <c r="Q1307" s="157"/>
      <c r="R1307" s="157"/>
      <c r="S1307" s="157"/>
      <c r="T1307" s="157"/>
      <c r="U1307" s="157"/>
      <c r="V1307" s="157"/>
      <c r="BB1307" s="647"/>
      <c r="BC1307" s="658"/>
      <c r="BD1307" s="757"/>
      <c r="BE1307" s="659"/>
    </row>
    <row r="1308" spans="1:57" s="64" customFormat="1" outlineLevel="1" x14ac:dyDescent="0.25">
      <c r="A1308" s="1393"/>
      <c r="B1308" s="157"/>
      <c r="C1308" s="385"/>
      <c r="D1308" s="386"/>
      <c r="E1308" s="386"/>
      <c r="F1308" s="1692"/>
      <c r="G1308" s="1781"/>
      <c r="H1308" s="385"/>
      <c r="I1308" s="385"/>
      <c r="J1308" s="385"/>
      <c r="K1308" s="385"/>
      <c r="L1308" s="385"/>
      <c r="M1308" s="385"/>
      <c r="N1308" s="157"/>
      <c r="O1308" s="157"/>
      <c r="P1308" s="157"/>
      <c r="Q1308" s="157"/>
      <c r="R1308" s="157"/>
      <c r="S1308" s="157"/>
      <c r="T1308" s="157"/>
      <c r="U1308" s="157"/>
      <c r="V1308" s="157"/>
      <c r="BB1308" s="647"/>
      <c r="BC1308" s="658"/>
      <c r="BD1308" s="757"/>
      <c r="BE1308" s="659"/>
    </row>
    <row r="1309" spans="1:57" s="64" customFormat="1" ht="15" customHeight="1" outlineLevel="1" x14ac:dyDescent="0.25">
      <c r="A1309" s="1393"/>
      <c r="B1309" s="157"/>
      <c r="C1309" s="385"/>
      <c r="D1309" s="222" t="s">
        <v>571</v>
      </c>
      <c r="E1309" s="758"/>
      <c r="F1309" s="157"/>
      <c r="G1309" s="386"/>
      <c r="H1309" s="157"/>
      <c r="I1309" s="413"/>
      <c r="J1309" s="157"/>
      <c r="K1309" s="157"/>
      <c r="L1309" s="157"/>
      <c r="M1309" s="157"/>
      <c r="N1309" s="157"/>
      <c r="O1309" s="157"/>
      <c r="P1309" s="157"/>
      <c r="Q1309" s="157"/>
      <c r="R1309" s="157"/>
      <c r="S1309" s="157"/>
      <c r="T1309" s="157"/>
      <c r="U1309" s="157"/>
      <c r="V1309" s="157"/>
      <c r="BB1309" s="647"/>
      <c r="BC1309" s="658"/>
      <c r="BD1309" s="757"/>
      <c r="BE1309" s="659"/>
    </row>
    <row r="1310" spans="1:57" s="64" customFormat="1" outlineLevel="1" x14ac:dyDescent="0.25">
      <c r="A1310" s="1393"/>
      <c r="B1310" s="157"/>
      <c r="C1310" s="385"/>
      <c r="D1310" s="386"/>
      <c r="E1310" s="386"/>
      <c r="F1310" s="157"/>
      <c r="G1310" s="600"/>
      <c r="H1310" s="385"/>
      <c r="I1310" s="413"/>
      <c r="J1310" s="157"/>
      <c r="K1310" s="157"/>
      <c r="L1310" s="157"/>
      <c r="M1310" s="157"/>
      <c r="N1310" s="157"/>
      <c r="O1310" s="157"/>
      <c r="P1310" s="157"/>
      <c r="Q1310" s="157"/>
      <c r="R1310" s="157"/>
      <c r="S1310" s="157"/>
      <c r="T1310" s="157"/>
      <c r="U1310" s="157"/>
      <c r="V1310" s="157"/>
      <c r="BB1310" s="647"/>
      <c r="BC1310" s="658"/>
      <c r="BD1310" s="757"/>
      <c r="BE1310" s="659"/>
    </row>
    <row r="1311" spans="1:57" s="64" customFormat="1" outlineLevel="1" x14ac:dyDescent="0.25">
      <c r="A1311" s="1393"/>
      <c r="B1311" s="157"/>
      <c r="C1311" s="385"/>
      <c r="D1311" s="386"/>
      <c r="E1311" s="758"/>
      <c r="F1311" s="768"/>
      <c r="G1311" s="600"/>
      <c r="H1311" s="385"/>
      <c r="I1311" s="413"/>
      <c r="J1311" s="157"/>
      <c r="K1311" s="157"/>
      <c r="L1311" s="157"/>
      <c r="M1311" s="157"/>
      <c r="N1311" s="157"/>
      <c r="O1311" s="157"/>
      <c r="P1311" s="157"/>
      <c r="Q1311" s="157"/>
      <c r="R1311" s="157"/>
      <c r="S1311" s="157"/>
      <c r="T1311" s="157"/>
      <c r="U1311" s="157"/>
      <c r="V1311" s="157"/>
      <c r="BB1311" s="647"/>
      <c r="BC1311" s="658"/>
      <c r="BD1311" s="757"/>
      <c r="BE1311" s="659"/>
    </row>
    <row r="1312" spans="1:57" s="64" customFormat="1" ht="15" customHeight="1" outlineLevel="1" x14ac:dyDescent="0.25">
      <c r="A1312" s="1393"/>
      <c r="B1312" s="157"/>
      <c r="C1312" s="385"/>
      <c r="D1312" s="386"/>
      <c r="E1312" s="758"/>
      <c r="F1312" s="768"/>
      <c r="G1312" s="600"/>
      <c r="H1312" s="385"/>
      <c r="I1312" s="413"/>
      <c r="J1312" s="157"/>
      <c r="K1312" s="157"/>
      <c r="L1312" s="157"/>
      <c r="M1312" s="157"/>
      <c r="N1312" s="157"/>
      <c r="O1312" s="157"/>
      <c r="P1312" s="157"/>
      <c r="Q1312" s="157"/>
      <c r="R1312" s="157"/>
      <c r="S1312" s="157"/>
      <c r="T1312" s="157"/>
      <c r="U1312" s="157"/>
      <c r="V1312" s="157"/>
      <c r="BB1312" s="647"/>
      <c r="BC1312" s="658"/>
      <c r="BD1312" s="757"/>
      <c r="BE1312" s="659"/>
    </row>
    <row r="1313" spans="1:57" s="64" customFormat="1" outlineLevel="1" x14ac:dyDescent="0.25">
      <c r="A1313" s="1393"/>
      <c r="B1313" s="157"/>
      <c r="C1313" s="385"/>
      <c r="D1313" s="386"/>
      <c r="E1313" s="758"/>
      <c r="F1313" s="768"/>
      <c r="G1313" s="600"/>
      <c r="H1313" s="385"/>
      <c r="I1313" s="413"/>
      <c r="J1313" s="157"/>
      <c r="K1313" s="157"/>
      <c r="L1313" s="157"/>
      <c r="M1313" s="157"/>
      <c r="N1313" s="157"/>
      <c r="O1313" s="157"/>
      <c r="P1313" s="157"/>
      <c r="Q1313" s="157"/>
      <c r="R1313" s="157"/>
      <c r="S1313" s="157"/>
      <c r="T1313" s="157"/>
      <c r="U1313" s="157"/>
      <c r="V1313" s="157"/>
      <c r="BB1313" s="647"/>
      <c r="BC1313" s="658"/>
      <c r="BD1313" s="757"/>
      <c r="BE1313" s="659"/>
    </row>
    <row r="1314" spans="1:57" s="64" customFormat="1" outlineLevel="1" x14ac:dyDescent="0.25">
      <c r="A1314" s="1393"/>
      <c r="B1314" s="157"/>
      <c r="C1314" s="385"/>
      <c r="D1314" s="386"/>
      <c r="E1314" s="758"/>
      <c r="F1314" s="768"/>
      <c r="G1314" s="600"/>
      <c r="H1314" s="385"/>
      <c r="I1314" s="413"/>
      <c r="J1314" s="157"/>
      <c r="K1314" s="157"/>
      <c r="L1314" s="157"/>
      <c r="M1314" s="157"/>
      <c r="N1314" s="157"/>
      <c r="O1314" s="157"/>
      <c r="P1314" s="157"/>
      <c r="Q1314" s="157"/>
      <c r="R1314" s="157"/>
      <c r="S1314" s="157"/>
      <c r="T1314" s="157"/>
      <c r="U1314" s="157"/>
      <c r="V1314" s="157"/>
      <c r="BB1314" s="647"/>
      <c r="BC1314" s="658"/>
      <c r="BD1314" s="757"/>
      <c r="BE1314" s="659"/>
    </row>
    <row r="1315" spans="1:57" s="64" customFormat="1" outlineLevel="1" x14ac:dyDescent="0.25">
      <c r="A1315" s="1393"/>
      <c r="B1315" s="157"/>
      <c r="C1315" s="385"/>
      <c r="D1315" s="386" t="s">
        <v>1165</v>
      </c>
      <c r="E1315" s="758"/>
      <c r="F1315" s="768"/>
      <c r="G1315" s="600"/>
      <c r="H1315" s="385"/>
      <c r="I1315" s="413"/>
      <c r="J1315" s="157"/>
      <c r="K1315" s="157"/>
      <c r="L1315" s="157"/>
      <c r="M1315" s="157"/>
      <c r="N1315" s="157"/>
      <c r="O1315" s="157"/>
      <c r="P1315" s="157"/>
      <c r="Q1315" s="157"/>
      <c r="R1315" s="157"/>
      <c r="S1315" s="157"/>
      <c r="T1315" s="157"/>
      <c r="U1315" s="157"/>
      <c r="V1315" s="157"/>
      <c r="BB1315" s="647"/>
      <c r="BC1315" s="658"/>
      <c r="BD1315" s="757"/>
      <c r="BE1315" s="659"/>
    </row>
    <row r="1316" spans="1:57" s="64" customFormat="1" ht="15" customHeight="1" outlineLevel="1" x14ac:dyDescent="0.25">
      <c r="A1316" s="1393"/>
      <c r="B1316" s="157"/>
      <c r="C1316" s="385"/>
      <c r="D1316" s="386"/>
      <c r="E1316" s="758"/>
      <c r="F1316" s="768"/>
      <c r="G1316" s="600"/>
      <c r="H1316" s="385"/>
      <c r="I1316" s="413"/>
      <c r="J1316" s="157"/>
      <c r="K1316" s="157"/>
      <c r="L1316" s="157"/>
      <c r="M1316" s="157"/>
      <c r="N1316" s="157"/>
      <c r="O1316" s="157"/>
      <c r="P1316" s="157"/>
      <c r="Q1316" s="157"/>
      <c r="R1316" s="157"/>
      <c r="S1316" s="157"/>
      <c r="T1316" s="157"/>
      <c r="U1316" s="157"/>
      <c r="V1316" s="157"/>
      <c r="BB1316" s="647"/>
      <c r="BC1316" s="658"/>
      <c r="BD1316" s="757"/>
      <c r="BE1316" s="659"/>
    </row>
    <row r="1317" spans="1:57" s="64" customFormat="1" outlineLevel="1" x14ac:dyDescent="0.25">
      <c r="A1317" s="1393"/>
      <c r="B1317" s="157"/>
      <c r="C1317" s="385"/>
      <c r="D1317" s="386"/>
      <c r="E1317" s="758"/>
      <c r="F1317" s="768"/>
      <c r="G1317" s="600"/>
      <c r="H1317" s="385"/>
      <c r="I1317" s="413"/>
      <c r="J1317" s="157"/>
      <c r="K1317" s="157"/>
      <c r="L1317" s="157"/>
      <c r="M1317" s="157"/>
      <c r="N1317" s="157"/>
      <c r="O1317" s="157"/>
      <c r="P1317" s="157"/>
      <c r="Q1317" s="157"/>
      <c r="R1317" s="157"/>
      <c r="S1317" s="157"/>
      <c r="T1317" s="157"/>
      <c r="U1317" s="157"/>
      <c r="V1317" s="157"/>
      <c r="BB1317" s="647"/>
      <c r="BC1317" s="658"/>
      <c r="BD1317" s="757"/>
      <c r="BE1317" s="659"/>
    </row>
    <row r="1318" spans="1:57" s="64" customFormat="1" outlineLevel="1" x14ac:dyDescent="0.25">
      <c r="A1318" s="1393"/>
      <c r="B1318" s="157"/>
      <c r="C1318" s="385"/>
      <c r="D1318" s="386"/>
      <c r="E1318" s="758"/>
      <c r="F1318" s="768"/>
      <c r="G1318" s="600"/>
      <c r="H1318" s="385"/>
      <c r="I1318" s="413"/>
      <c r="J1318" s="157"/>
      <c r="K1318" s="157"/>
      <c r="L1318" s="157"/>
      <c r="M1318" s="157"/>
      <c r="N1318" s="157"/>
      <c r="O1318" s="157"/>
      <c r="P1318" s="157"/>
      <c r="Q1318" s="157"/>
      <c r="R1318" s="157"/>
      <c r="S1318" s="157"/>
      <c r="T1318" s="157"/>
      <c r="U1318" s="157"/>
      <c r="V1318" s="157"/>
      <c r="BB1318" s="647"/>
      <c r="BC1318" s="658"/>
      <c r="BD1318" s="757"/>
      <c r="BE1318" s="659"/>
    </row>
    <row r="1319" spans="1:57" s="64" customFormat="1" outlineLevel="1" x14ac:dyDescent="0.25">
      <c r="A1319" s="1393"/>
      <c r="B1319" s="157"/>
      <c r="C1319" s="385"/>
      <c r="D1319" s="386"/>
      <c r="E1319" s="758"/>
      <c r="F1319" s="768"/>
      <c r="G1319" s="600"/>
      <c r="H1319" s="385"/>
      <c r="I1319" s="413"/>
      <c r="J1319" s="157"/>
      <c r="K1319" s="157"/>
      <c r="L1319" s="157"/>
      <c r="M1319" s="157"/>
      <c r="N1319" s="157"/>
      <c r="O1319" s="157"/>
      <c r="P1319" s="157"/>
      <c r="Q1319" s="157"/>
      <c r="R1319" s="157"/>
      <c r="S1319" s="157"/>
      <c r="T1319" s="157"/>
      <c r="U1319" s="157"/>
      <c r="V1319" s="157"/>
      <c r="BB1319" s="647"/>
      <c r="BC1319" s="658"/>
      <c r="BD1319" s="757"/>
      <c r="BE1319" s="659"/>
    </row>
    <row r="1320" spans="1:57" s="64" customFormat="1" outlineLevel="1" x14ac:dyDescent="0.25">
      <c r="A1320" s="1393"/>
      <c r="B1320" s="157"/>
      <c r="C1320" s="385"/>
      <c r="D1320" s="386"/>
      <c r="E1320" s="386"/>
      <c r="F1320" s="768"/>
      <c r="G1320" s="600"/>
      <c r="H1320" s="385"/>
      <c r="I1320" s="413"/>
      <c r="J1320" s="157"/>
      <c r="K1320" s="157"/>
      <c r="L1320" s="157"/>
      <c r="M1320" s="157"/>
      <c r="N1320" s="157"/>
      <c r="O1320" s="157"/>
      <c r="P1320" s="157"/>
      <c r="Q1320" s="157"/>
      <c r="R1320" s="157"/>
      <c r="S1320" s="157"/>
      <c r="T1320" s="157"/>
      <c r="U1320" s="157"/>
      <c r="V1320" s="157"/>
      <c r="BB1320" s="647"/>
      <c r="BC1320" s="658"/>
      <c r="BD1320" s="757"/>
      <c r="BE1320" s="659"/>
    </row>
    <row r="1321" spans="1:57" s="64" customFormat="1" outlineLevel="1" x14ac:dyDescent="0.25">
      <c r="A1321" s="1393"/>
      <c r="B1321" s="157"/>
      <c r="C1321" s="385"/>
      <c r="D1321" s="386" t="s">
        <v>1248</v>
      </c>
      <c r="E1321" s="386"/>
      <c r="F1321" s="768"/>
      <c r="G1321" s="600"/>
      <c r="H1321" s="385"/>
      <c r="I1321" s="413"/>
      <c r="J1321" s="157"/>
      <c r="K1321" s="157"/>
      <c r="L1321" s="157"/>
      <c r="M1321" s="157"/>
      <c r="N1321" s="157"/>
      <c r="O1321" s="157"/>
      <c r="P1321" s="157"/>
      <c r="Q1321" s="157"/>
      <c r="R1321" s="157"/>
      <c r="S1321" s="157"/>
      <c r="T1321" s="157"/>
      <c r="U1321" s="157"/>
      <c r="V1321" s="157"/>
      <c r="BB1321" s="647"/>
      <c r="BC1321" s="658"/>
      <c r="BD1321" s="757"/>
      <c r="BE1321" s="659"/>
    </row>
    <row r="1322" spans="1:57" s="64" customFormat="1" outlineLevel="1" x14ac:dyDescent="0.25">
      <c r="A1322" s="1393"/>
      <c r="B1322" s="157"/>
      <c r="C1322" s="385"/>
      <c r="D1322" s="386"/>
      <c r="E1322" s="386"/>
      <c r="F1322" s="768"/>
      <c r="G1322" s="600"/>
      <c r="H1322" s="385"/>
      <c r="I1322" s="413"/>
      <c r="J1322" s="157"/>
      <c r="K1322" s="157"/>
      <c r="L1322" s="157"/>
      <c r="M1322" s="157"/>
      <c r="N1322" s="157"/>
      <c r="O1322" s="157"/>
      <c r="P1322" s="157"/>
      <c r="Q1322" s="157"/>
      <c r="R1322" s="157"/>
      <c r="S1322" s="157"/>
      <c r="T1322" s="157"/>
      <c r="U1322" s="157"/>
      <c r="V1322" s="157"/>
      <c r="BB1322" s="647"/>
      <c r="BC1322" s="658"/>
      <c r="BD1322" s="757"/>
      <c r="BE1322" s="659"/>
    </row>
    <row r="1323" spans="1:57" s="64" customFormat="1" outlineLevel="1" x14ac:dyDescent="0.25">
      <c r="A1323" s="1393"/>
      <c r="B1323" s="157"/>
      <c r="C1323" s="385"/>
      <c r="D1323" s="386"/>
      <c r="E1323" s="386"/>
      <c r="F1323" s="768"/>
      <c r="G1323" s="600"/>
      <c r="H1323" s="385"/>
      <c r="I1323" s="157"/>
      <c r="J1323" s="157"/>
      <c r="K1323" s="157"/>
      <c r="L1323" s="157"/>
      <c r="M1323" s="157"/>
      <c r="N1323" s="157"/>
      <c r="O1323" s="157"/>
      <c r="P1323" s="157"/>
      <c r="Q1323" s="157"/>
      <c r="R1323" s="157"/>
      <c r="S1323" s="157"/>
      <c r="T1323" s="157"/>
      <c r="U1323" s="157"/>
      <c r="V1323" s="157"/>
      <c r="BB1323" s="647"/>
      <c r="BC1323" s="658"/>
      <c r="BD1323" s="757"/>
      <c r="BE1323" s="659"/>
    </row>
    <row r="1324" spans="1:57" s="64" customFormat="1" outlineLevel="1" x14ac:dyDescent="0.25">
      <c r="A1324" s="1393"/>
      <c r="B1324" s="157"/>
      <c r="C1324" s="385"/>
      <c r="D1324" s="386"/>
      <c r="E1324" s="386"/>
      <c r="F1324" s="157"/>
      <c r="G1324" s="386"/>
      <c r="H1324" s="385"/>
      <c r="I1324" s="157"/>
      <c r="J1324" s="157"/>
      <c r="K1324" s="157"/>
      <c r="L1324" s="157"/>
      <c r="M1324" s="157"/>
      <c r="N1324" s="157"/>
      <c r="O1324" s="157"/>
      <c r="P1324" s="1788"/>
      <c r="Q1324" s="157"/>
      <c r="R1324" s="157"/>
      <c r="S1324" s="157"/>
      <c r="T1324" s="157"/>
      <c r="U1324" s="157"/>
      <c r="V1324" s="157"/>
      <c r="BB1324" s="647"/>
      <c r="BC1324" s="658"/>
      <c r="BD1324" s="757"/>
      <c r="BE1324" s="659"/>
    </row>
    <row r="1325" spans="1:57" s="64" customFormat="1" outlineLevel="1" x14ac:dyDescent="0.25">
      <c r="A1325" s="1393"/>
      <c r="B1325" s="157"/>
      <c r="C1325" s="385"/>
      <c r="D1325" s="386"/>
      <c r="E1325" s="386"/>
      <c r="F1325" s="157"/>
      <c r="G1325" s="386"/>
      <c r="H1325" s="385"/>
      <c r="I1325" s="385"/>
      <c r="J1325" s="385"/>
      <c r="K1325" s="385"/>
      <c r="L1325" s="385"/>
      <c r="M1325" s="385"/>
      <c r="N1325" s="157"/>
      <c r="O1325" s="157"/>
      <c r="P1325" s="405"/>
      <c r="Q1325" s="194"/>
      <c r="R1325" s="194"/>
      <c r="S1325" s="194"/>
      <c r="T1325" s="157"/>
      <c r="U1325" s="157"/>
      <c r="V1325" s="157"/>
      <c r="BB1325" s="647"/>
      <c r="BC1325" s="658"/>
      <c r="BD1325" s="757"/>
      <c r="BE1325" s="659"/>
    </row>
    <row r="1326" spans="1:57" s="64" customFormat="1" ht="30.75" outlineLevel="1" thickBot="1" x14ac:dyDescent="0.3">
      <c r="A1326" s="1393"/>
      <c r="B1326" s="157"/>
      <c r="C1326" s="385"/>
      <c r="D1326" s="440" t="s">
        <v>572</v>
      </c>
      <c r="E1326" s="440" t="s">
        <v>573</v>
      </c>
      <c r="F1326" s="3594" t="s">
        <v>623</v>
      </c>
      <c r="G1326" s="3594"/>
      <c r="H1326" s="3594"/>
      <c r="I1326" s="1420" t="s">
        <v>17</v>
      </c>
      <c r="J1326" s="1420" t="s">
        <v>574</v>
      </c>
      <c r="K1326" s="1420" t="s">
        <v>1168</v>
      </c>
      <c r="L1326" s="1420" t="s">
        <v>804</v>
      </c>
      <c r="M1326" s="157"/>
      <c r="N1326" s="157"/>
      <c r="O1326" s="157"/>
      <c r="P1326" s="194"/>
      <c r="Q1326" s="194"/>
      <c r="R1326" s="194"/>
      <c r="S1326" s="194"/>
      <c r="T1326" s="157"/>
      <c r="U1326" s="157"/>
      <c r="V1326" s="623" t="s">
        <v>27</v>
      </c>
      <c r="W1326" s="56">
        <v>43252</v>
      </c>
      <c r="X1326" s="56">
        <f>$X$6</f>
        <v>43465</v>
      </c>
      <c r="Y1326" s="56">
        <f>$Y$6</f>
        <v>43800</v>
      </c>
      <c r="Z1326" s="56">
        <f>$Z$6</f>
        <v>43862</v>
      </c>
      <c r="AA1326" s="56">
        <f>$AA$6</f>
        <v>44013</v>
      </c>
      <c r="AB1326" s="56">
        <f>$AB$6</f>
        <v>44166</v>
      </c>
      <c r="AC1326" s="56" t="str">
        <f>$AC$6</f>
        <v>-</v>
      </c>
      <c r="AD1326" s="56" t="str">
        <f>$AD$6</f>
        <v>-</v>
      </c>
      <c r="AE1326" s="56" t="str">
        <f>$AE$6</f>
        <v>-</v>
      </c>
      <c r="AF1326" s="56" t="str">
        <f>$AF$6</f>
        <v>-</v>
      </c>
      <c r="AG1326" s="56" t="str">
        <f>$AG$6</f>
        <v>-</v>
      </c>
      <c r="BB1326" s="647"/>
      <c r="BC1326" s="658"/>
      <c r="BD1326" s="757"/>
      <c r="BE1326" s="659"/>
    </row>
    <row r="1327" spans="1:57" s="64" customFormat="1" ht="15" customHeight="1" outlineLevel="1" x14ac:dyDescent="0.25">
      <c r="A1327" s="1393"/>
      <c r="B1327" s="157"/>
      <c r="C1327" s="385"/>
      <c r="D1327" s="3588" t="s">
        <v>1284</v>
      </c>
      <c r="E1327" s="3720" t="s">
        <v>1322</v>
      </c>
      <c r="F1327" s="3743" t="str">
        <f>$E$1298</f>
        <v>GSHP - EER 23 - replace electric furnace / CAC ER1 - Heating</v>
      </c>
      <c r="G1327" s="3743"/>
      <c r="H1327" s="3743"/>
      <c r="I1327" s="3065"/>
      <c r="J1327" s="3247">
        <v>45750</v>
      </c>
      <c r="K1327" s="2699">
        <f>J1327/12000</f>
        <v>3.8125</v>
      </c>
      <c r="L1327" s="3744" t="s">
        <v>3674</v>
      </c>
      <c r="M1327" s="157"/>
      <c r="N1327" s="157"/>
      <c r="O1327" s="157"/>
      <c r="P1327" s="3657"/>
      <c r="Q1327" s="3747"/>
      <c r="R1327" s="3747"/>
      <c r="S1327" s="194"/>
      <c r="T1327" s="768"/>
      <c r="U1327" s="157"/>
      <c r="V1327" s="3588" t="s">
        <v>1284</v>
      </c>
      <c r="W1327" s="760">
        <v>49199.999999999993</v>
      </c>
      <c r="X1327" s="759">
        <f>3.99*12000</f>
        <v>47880</v>
      </c>
      <c r="Y1327" s="759">
        <f>3.86*12000</f>
        <v>46320</v>
      </c>
      <c r="Z1327" s="2428">
        <f t="shared" ref="Z1327:AA1328" si="122">3.86*12000</f>
        <v>46320</v>
      </c>
      <c r="AA1327" s="2428">
        <f t="shared" si="122"/>
        <v>46320</v>
      </c>
      <c r="AB1327" s="2696">
        <v>45750</v>
      </c>
      <c r="AC1327" s="760"/>
      <c r="AD1327" s="760"/>
      <c r="AE1327" s="760"/>
      <c r="AF1327" s="760"/>
      <c r="AG1327" s="760"/>
      <c r="BB1327" s="647"/>
      <c r="BC1327" s="658"/>
      <c r="BD1327" s="757"/>
      <c r="BE1327" s="659"/>
    </row>
    <row r="1328" spans="1:57" s="64" customFormat="1" ht="15" customHeight="1" outlineLevel="1" x14ac:dyDescent="0.25">
      <c r="A1328" s="1393"/>
      <c r="B1328" s="157"/>
      <c r="C1328" s="385"/>
      <c r="D1328" s="3589"/>
      <c r="E1328" s="3721"/>
      <c r="F1328" s="3672" t="str">
        <f>$E$1300</f>
        <v>GSHP - EER 23 - replace electric furnace / CAC ER2 - Heating</v>
      </c>
      <c r="G1328" s="3672"/>
      <c r="H1328" s="3672"/>
      <c r="I1328" s="3056"/>
      <c r="J1328" s="3182">
        <f>J1327</f>
        <v>45750</v>
      </c>
      <c r="K1328" s="2700">
        <f>J1328/12000</f>
        <v>3.8125</v>
      </c>
      <c r="L1328" s="3745"/>
      <c r="M1328" s="157"/>
      <c r="N1328" s="157"/>
      <c r="O1328" s="157"/>
      <c r="P1328" s="375"/>
      <c r="Q1328" s="375"/>
      <c r="R1328" s="375"/>
      <c r="S1328" s="194"/>
      <c r="T1328" s="3627"/>
      <c r="U1328" s="157"/>
      <c r="V1328" s="3589"/>
      <c r="W1328" s="766">
        <v>49199.999999999993</v>
      </c>
      <c r="X1328" s="765">
        <f>3.99*12000</f>
        <v>47880</v>
      </c>
      <c r="Y1328" s="765">
        <f>3.86*12000</f>
        <v>46320</v>
      </c>
      <c r="Z1328" s="2426">
        <f t="shared" si="122"/>
        <v>46320</v>
      </c>
      <c r="AA1328" s="2426">
        <f t="shared" si="122"/>
        <v>46320</v>
      </c>
      <c r="AB1328" s="2655">
        <v>45750</v>
      </c>
      <c r="AC1328" s="766"/>
      <c r="AD1328" s="766"/>
      <c r="AE1328" s="766"/>
      <c r="AF1328" s="766"/>
      <c r="AG1328" s="766"/>
      <c r="BB1328" s="647"/>
      <c r="BC1328" s="658"/>
      <c r="BD1328" s="757"/>
      <c r="BE1328" s="659"/>
    </row>
    <row r="1329" spans="1:57" s="64" customFormat="1" ht="15" customHeight="1" outlineLevel="1" x14ac:dyDescent="0.25">
      <c r="A1329" s="1393"/>
      <c r="B1329" s="157"/>
      <c r="C1329" s="385"/>
      <c r="D1329" s="3589"/>
      <c r="E1329" s="3721"/>
      <c r="F1329" s="3672" t="str">
        <f>$E$1296</f>
        <v>GSHP - EER 23 - replace electric furnace / CAC - Heating</v>
      </c>
      <c r="G1329" s="3672"/>
      <c r="H1329" s="3672"/>
      <c r="I1329" s="3056"/>
      <c r="J1329" s="3182">
        <v>49745.454545454544</v>
      </c>
      <c r="K1329" s="2700">
        <f>J1329/12000</f>
        <v>4.1454545454545455</v>
      </c>
      <c r="L1329" s="3745"/>
      <c r="M1329" s="157"/>
      <c r="N1329" s="157"/>
      <c r="O1329" s="157"/>
      <c r="P1329" s="1753"/>
      <c r="Q1329" s="2135"/>
      <c r="R1329" s="2135"/>
      <c r="S1329" s="2145"/>
      <c r="T1329" s="3342"/>
      <c r="U1329" s="157"/>
      <c r="V1329" s="3589"/>
      <c r="W1329" s="766">
        <v>49199.999999999993</v>
      </c>
      <c r="X1329" s="765">
        <f>3.99*12000</f>
        <v>47880</v>
      </c>
      <c r="Y1329" s="765">
        <f>3.98*12000</f>
        <v>47760</v>
      </c>
      <c r="Z1329" s="2426">
        <f t="shared" ref="Z1329:AA1329" si="123">3.98*12000</f>
        <v>47760</v>
      </c>
      <c r="AA1329" s="2426">
        <f t="shared" si="123"/>
        <v>47760</v>
      </c>
      <c r="AB1329" s="2655">
        <v>49745.454545454544</v>
      </c>
      <c r="AC1329" s="766"/>
      <c r="AD1329" s="766"/>
      <c r="AE1329" s="766"/>
      <c r="AF1329" s="766"/>
      <c r="AG1329" s="766"/>
      <c r="BB1329" s="647"/>
      <c r="BC1329" s="658"/>
      <c r="BD1329" s="757"/>
      <c r="BE1329" s="659"/>
    </row>
    <row r="1330" spans="1:57" s="2289" customFormat="1" ht="15" customHeight="1" outlineLevel="1" x14ac:dyDescent="0.25">
      <c r="A1330" s="1393"/>
      <c r="B1330" s="157"/>
      <c r="C1330" s="385"/>
      <c r="D1330" s="3589"/>
      <c r="E1330" s="3721"/>
      <c r="F1330" s="3802" t="str">
        <f>$E$1302</f>
        <v>GSHP EER 23 ER1 - Heating</v>
      </c>
      <c r="G1330" s="3802"/>
      <c r="H1330" s="3802"/>
      <c r="I1330" s="3056"/>
      <c r="J1330" s="3182">
        <v>51319.148936170212</v>
      </c>
      <c r="K1330" s="2700">
        <v>4.2</v>
      </c>
      <c r="L1330" s="3745"/>
      <c r="M1330" s="157"/>
      <c r="N1330" s="157"/>
      <c r="O1330" s="157"/>
      <c r="P1330" s="1753"/>
      <c r="Q1330" s="2135"/>
      <c r="R1330" s="2135"/>
      <c r="S1330" s="2145"/>
      <c r="T1330" s="3342"/>
      <c r="U1330" s="157"/>
      <c r="V1330" s="3589"/>
      <c r="W1330" s="2426"/>
      <c r="X1330" s="765"/>
      <c r="Y1330" s="765"/>
      <c r="Z1330" s="2426"/>
      <c r="AA1330" s="2426"/>
      <c r="AB1330" s="2655">
        <v>51319.148936170212</v>
      </c>
      <c r="AC1330" s="2426"/>
      <c r="AD1330" s="2426"/>
      <c r="AE1330" s="2426"/>
      <c r="AF1330" s="2426"/>
      <c r="AG1330" s="2426"/>
      <c r="BB1330" s="647"/>
      <c r="BC1330" s="658"/>
      <c r="BD1330" s="757"/>
      <c r="BE1330" s="659"/>
    </row>
    <row r="1331" spans="1:57" s="64" customFormat="1" ht="15" customHeight="1" outlineLevel="1" x14ac:dyDescent="0.25">
      <c r="A1331" s="1393"/>
      <c r="B1331" s="157"/>
      <c r="C1331" s="385"/>
      <c r="D1331" s="3589"/>
      <c r="E1331" s="3721"/>
      <c r="F1331" s="3672" t="str">
        <f>$E$1304</f>
        <v>GSHP EER 23 ER2 - Heating</v>
      </c>
      <c r="G1331" s="3672"/>
      <c r="H1331" s="3672"/>
      <c r="I1331" s="3056"/>
      <c r="J1331" s="3182">
        <f>J1330</f>
        <v>51319.148936170212</v>
      </c>
      <c r="K1331" s="2700">
        <f>J1331/12000</f>
        <v>4.2765957446808507</v>
      </c>
      <c r="L1331" s="3745"/>
      <c r="M1331" s="157"/>
      <c r="N1331" s="157"/>
      <c r="O1331" s="157"/>
      <c r="P1331" s="1753"/>
      <c r="Q1331" s="2135"/>
      <c r="R1331" s="2135"/>
      <c r="S1331" s="2145"/>
      <c r="T1331" s="3342"/>
      <c r="U1331" s="157"/>
      <c r="V1331" s="3589"/>
      <c r="W1331" s="766">
        <v>49199.999999999993</v>
      </c>
      <c r="X1331" s="765">
        <f>3.99*12000</f>
        <v>47880</v>
      </c>
      <c r="Y1331" s="765">
        <f>4.2*12000</f>
        <v>50400</v>
      </c>
      <c r="Z1331" s="2426">
        <f t="shared" ref="Z1331:AA1331" si="124">4.2*12000</f>
        <v>50400</v>
      </c>
      <c r="AA1331" s="2426">
        <f t="shared" si="124"/>
        <v>50400</v>
      </c>
      <c r="AB1331" s="2655">
        <v>51319.148936170212</v>
      </c>
      <c r="AC1331" s="766"/>
      <c r="AD1331" s="766"/>
      <c r="AE1331" s="766"/>
      <c r="AF1331" s="766"/>
      <c r="AG1331" s="766"/>
      <c r="BB1331" s="647"/>
      <c r="BC1331" s="658"/>
      <c r="BD1331" s="757"/>
      <c r="BE1331" s="659"/>
    </row>
    <row r="1332" spans="1:57" s="64" customFormat="1" ht="15" customHeight="1" outlineLevel="1" thickBot="1" x14ac:dyDescent="0.3">
      <c r="A1332" s="1393"/>
      <c r="B1332" s="157"/>
      <c r="C1332" s="385"/>
      <c r="D1332" s="3687"/>
      <c r="E1332" s="3742"/>
      <c r="F1332" s="3764" t="str">
        <f>$E$1306</f>
        <v>GSHP EER 23 Replace at Fail GSHP</v>
      </c>
      <c r="G1332" s="3764"/>
      <c r="H1332" s="3764"/>
      <c r="I1332" s="3069"/>
      <c r="J1332" s="3248">
        <v>51652.173913043473</v>
      </c>
      <c r="K1332" s="3051">
        <f>J1332/12000</f>
        <v>4.3043478260869561</v>
      </c>
      <c r="L1332" s="3746"/>
      <c r="M1332" s="157"/>
      <c r="N1332" s="157"/>
      <c r="O1332" s="157"/>
      <c r="P1332" s="1753"/>
      <c r="Q1332" s="2135"/>
      <c r="R1332" s="2135"/>
      <c r="S1332" s="2145"/>
      <c r="T1332" s="3342"/>
      <c r="U1332" s="157"/>
      <c r="V1332" s="3687"/>
      <c r="W1332" s="792">
        <v>52800.000000000007</v>
      </c>
      <c r="X1332" s="846">
        <f>3.99*12000</f>
        <v>47880</v>
      </c>
      <c r="Y1332" s="846">
        <f>3.93*12000</f>
        <v>47160</v>
      </c>
      <c r="Z1332" s="2429">
        <f t="shared" ref="Z1332:AA1332" si="125">3.93*12000</f>
        <v>47160</v>
      </c>
      <c r="AA1332" s="2429">
        <f t="shared" si="125"/>
        <v>47160</v>
      </c>
      <c r="AB1332" s="2697">
        <v>51652.173913043473</v>
      </c>
      <c r="AC1332" s="792"/>
      <c r="AD1332" s="792"/>
      <c r="AE1332" s="792"/>
      <c r="AF1332" s="792"/>
      <c r="AG1332" s="792"/>
      <c r="BB1332" s="647"/>
      <c r="BC1332" s="658"/>
      <c r="BD1332" s="757"/>
      <c r="BE1332" s="659"/>
    </row>
    <row r="1333" spans="1:57" s="64" customFormat="1" outlineLevel="1" x14ac:dyDescent="0.25">
      <c r="A1333" s="1393"/>
      <c r="B1333" s="157"/>
      <c r="C1333" s="385"/>
      <c r="D1333" s="3756" t="s">
        <v>1287</v>
      </c>
      <c r="E1333" s="3588" t="s">
        <v>1288</v>
      </c>
      <c r="F1333" s="3759" t="str">
        <f>$E$1298</f>
        <v>GSHP - EER 23 - replace electric furnace / CAC ER1 - Heating</v>
      </c>
      <c r="G1333" s="3760"/>
      <c r="H1333" s="3761"/>
      <c r="I1333" s="3068"/>
      <c r="J1333" s="3065">
        <v>1496</v>
      </c>
      <c r="K1333" s="903"/>
      <c r="L1333" s="3748" t="s">
        <v>1290</v>
      </c>
      <c r="M1333" s="157"/>
      <c r="N1333" s="157"/>
      <c r="O1333" s="157"/>
      <c r="P1333" s="1753"/>
      <c r="Q1333" s="2135"/>
      <c r="R1333" s="2135"/>
      <c r="S1333" s="2145"/>
      <c r="T1333" s="587"/>
      <c r="U1333" s="157"/>
      <c r="V1333" s="3588" t="s">
        <v>1287</v>
      </c>
      <c r="W1333" s="760">
        <v>2009</v>
      </c>
      <c r="X1333" s="760">
        <v>2009</v>
      </c>
      <c r="Y1333" s="759">
        <v>1496</v>
      </c>
      <c r="Z1333" s="2428">
        <v>1496</v>
      </c>
      <c r="AA1333" s="2428">
        <v>1496</v>
      </c>
      <c r="AB1333" s="2428">
        <v>1496</v>
      </c>
      <c r="AC1333" s="760"/>
      <c r="AD1333" s="760"/>
      <c r="AE1333" s="760"/>
      <c r="AF1333" s="760"/>
      <c r="AG1333" s="760"/>
      <c r="BB1333" s="647"/>
      <c r="BC1333" s="658"/>
      <c r="BD1333" s="757"/>
      <c r="BE1333" s="659"/>
    </row>
    <row r="1334" spans="1:57" s="64" customFormat="1" outlineLevel="1" x14ac:dyDescent="0.25">
      <c r="A1334" s="1393"/>
      <c r="B1334" s="157"/>
      <c r="C1334" s="385"/>
      <c r="D1334" s="3757"/>
      <c r="E1334" s="3589"/>
      <c r="F1334" s="3736" t="str">
        <f>$E$1300</f>
        <v>GSHP - EER 23 - replace electric furnace / CAC ER2 - Heating</v>
      </c>
      <c r="G1334" s="3737"/>
      <c r="H1334" s="3738"/>
      <c r="I1334" s="3061"/>
      <c r="J1334" s="3056">
        <v>1496</v>
      </c>
      <c r="K1334" s="898"/>
      <c r="L1334" s="3749"/>
      <c r="M1334" s="1407"/>
      <c r="N1334" s="157"/>
      <c r="O1334" s="157"/>
      <c r="P1334" s="1753"/>
      <c r="Q1334" s="2135"/>
      <c r="R1334" s="2135"/>
      <c r="S1334" s="1646"/>
      <c r="T1334" s="1749"/>
      <c r="U1334" s="157"/>
      <c r="V1334" s="3589"/>
      <c r="W1334" s="766">
        <v>2009</v>
      </c>
      <c r="X1334" s="766">
        <v>2009</v>
      </c>
      <c r="Y1334" s="765">
        <v>1496</v>
      </c>
      <c r="Z1334" s="2426">
        <v>1496</v>
      </c>
      <c r="AA1334" s="2426">
        <v>1496</v>
      </c>
      <c r="AB1334" s="2426">
        <v>1496</v>
      </c>
      <c r="AC1334" s="766"/>
      <c r="AD1334" s="766"/>
      <c r="AE1334" s="766"/>
      <c r="AF1334" s="766"/>
      <c r="AG1334" s="766"/>
      <c r="BB1334" s="647"/>
      <c r="BC1334" s="658"/>
      <c r="BD1334" s="757"/>
      <c r="BE1334" s="659"/>
    </row>
    <row r="1335" spans="1:57" s="64" customFormat="1" ht="15" customHeight="1" outlineLevel="1" x14ac:dyDescent="0.25">
      <c r="A1335" s="1393"/>
      <c r="B1335" s="157"/>
      <c r="C1335" s="385"/>
      <c r="D1335" s="3757"/>
      <c r="E1335" s="3589"/>
      <c r="F1335" s="3736" t="str">
        <f>E1296</f>
        <v>GSHP - EER 23 - replace electric furnace / CAC - Heating</v>
      </c>
      <c r="G1335" s="3737"/>
      <c r="H1335" s="3738"/>
      <c r="I1335" s="3061"/>
      <c r="J1335" s="3056">
        <v>1496</v>
      </c>
      <c r="K1335" s="898"/>
      <c r="L1335" s="3749"/>
      <c r="M1335" s="1407"/>
      <c r="N1335" s="157"/>
      <c r="O1335" s="157"/>
      <c r="P1335" s="1753"/>
      <c r="Q1335" s="2135"/>
      <c r="R1335" s="2135"/>
      <c r="S1335" s="1646"/>
      <c r="T1335" s="1749"/>
      <c r="U1335" s="157"/>
      <c r="V1335" s="3589"/>
      <c r="W1335" s="766">
        <v>2009</v>
      </c>
      <c r="X1335" s="766">
        <v>2009</v>
      </c>
      <c r="Y1335" s="765">
        <v>1496</v>
      </c>
      <c r="Z1335" s="2426">
        <v>1496</v>
      </c>
      <c r="AA1335" s="2426">
        <v>1496</v>
      </c>
      <c r="AB1335" s="2426">
        <v>1496</v>
      </c>
      <c r="AC1335" s="766"/>
      <c r="AD1335" s="766"/>
      <c r="AE1335" s="766"/>
      <c r="AF1335" s="766"/>
      <c r="AG1335" s="766"/>
      <c r="BB1335" s="647"/>
      <c r="BC1335" s="658"/>
      <c r="BD1335" s="757"/>
      <c r="BE1335" s="659"/>
    </row>
    <row r="1336" spans="1:57" s="2289" customFormat="1" ht="15" customHeight="1" outlineLevel="1" x14ac:dyDescent="0.25">
      <c r="A1336" s="1393"/>
      <c r="B1336" s="157"/>
      <c r="C1336" s="385"/>
      <c r="D1336" s="3757"/>
      <c r="E1336" s="3589"/>
      <c r="F1336" s="3061" t="s">
        <v>3673</v>
      </c>
      <c r="G1336" s="3062"/>
      <c r="H1336" s="3063"/>
      <c r="I1336" s="3061"/>
      <c r="J1336" s="3056">
        <v>1496</v>
      </c>
      <c r="K1336" s="898"/>
      <c r="L1336" s="3749"/>
      <c r="M1336" s="2422"/>
      <c r="N1336" s="157"/>
      <c r="O1336" s="157"/>
      <c r="P1336" s="1753"/>
      <c r="Q1336" s="2135"/>
      <c r="R1336" s="2135"/>
      <c r="S1336" s="1646"/>
      <c r="T1336" s="1749"/>
      <c r="U1336" s="157"/>
      <c r="V1336" s="3589"/>
      <c r="W1336" s="2426"/>
      <c r="X1336" s="2426"/>
      <c r="Y1336" s="765"/>
      <c r="Z1336" s="2426"/>
      <c r="AA1336" s="2426"/>
      <c r="AB1336" s="765">
        <v>1496</v>
      </c>
      <c r="AC1336" s="2426"/>
      <c r="AD1336" s="2426"/>
      <c r="AE1336" s="2426"/>
      <c r="AF1336" s="2426"/>
      <c r="AG1336" s="2426"/>
      <c r="BB1336" s="647"/>
      <c r="BC1336" s="658"/>
      <c r="BD1336" s="757"/>
      <c r="BE1336" s="659"/>
    </row>
    <row r="1337" spans="1:57" s="64" customFormat="1" ht="15" customHeight="1" outlineLevel="1" x14ac:dyDescent="0.25">
      <c r="A1337" s="1393"/>
      <c r="B1337" s="157"/>
      <c r="C1337" s="385"/>
      <c r="D1337" s="3757"/>
      <c r="E1337" s="3589"/>
      <c r="F1337" s="3736" t="str">
        <f>$E$1304</f>
        <v>GSHP EER 23 ER2 - Heating</v>
      </c>
      <c r="G1337" s="3737"/>
      <c r="H1337" s="3738"/>
      <c r="I1337" s="3061"/>
      <c r="J1337" s="3056">
        <v>1496</v>
      </c>
      <c r="K1337" s="898"/>
      <c r="L1337" s="3749"/>
      <c r="M1337" s="1407"/>
      <c r="N1337" s="157"/>
      <c r="O1337" s="157"/>
      <c r="P1337" s="1753"/>
      <c r="Q1337" s="2135"/>
      <c r="R1337" s="2135"/>
      <c r="S1337" s="1646"/>
      <c r="T1337" s="1749"/>
      <c r="U1337" s="157"/>
      <c r="V1337" s="3589"/>
      <c r="W1337" s="766">
        <v>2009</v>
      </c>
      <c r="X1337" s="766">
        <v>2009</v>
      </c>
      <c r="Y1337" s="765">
        <v>1496</v>
      </c>
      <c r="Z1337" s="2426">
        <v>1496</v>
      </c>
      <c r="AA1337" s="2426">
        <v>1496</v>
      </c>
      <c r="AB1337" s="2426">
        <v>1496</v>
      </c>
      <c r="AC1337" s="766"/>
      <c r="AD1337" s="766"/>
      <c r="AE1337" s="766"/>
      <c r="AF1337" s="766"/>
      <c r="AG1337" s="766"/>
      <c r="BB1337" s="647"/>
      <c r="BC1337" s="658"/>
      <c r="BD1337" s="757"/>
      <c r="BE1337" s="659"/>
    </row>
    <row r="1338" spans="1:57" s="64" customFormat="1" ht="15" customHeight="1" outlineLevel="1" thickBot="1" x14ac:dyDescent="0.3">
      <c r="A1338" s="1393"/>
      <c r="B1338" s="157"/>
      <c r="C1338" s="385"/>
      <c r="D1338" s="3758"/>
      <c r="E1338" s="3687"/>
      <c r="F1338" s="3739" t="str">
        <f>$E$1306</f>
        <v>GSHP EER 23 Replace at Fail GSHP</v>
      </c>
      <c r="G1338" s="3740"/>
      <c r="H1338" s="3741"/>
      <c r="I1338" s="3064"/>
      <c r="J1338" s="3069">
        <v>1496</v>
      </c>
      <c r="K1338" s="1789"/>
      <c r="L1338" s="3750"/>
      <c r="M1338" s="1407"/>
      <c r="N1338" s="157"/>
      <c r="O1338" s="157"/>
      <c r="P1338" s="1753"/>
      <c r="Q1338" s="2135"/>
      <c r="R1338" s="2135"/>
      <c r="S1338" s="1646"/>
      <c r="T1338" s="1749"/>
      <c r="U1338" s="157"/>
      <c r="V1338" s="3687"/>
      <c r="W1338" s="792">
        <v>2009</v>
      </c>
      <c r="X1338" s="792">
        <v>2009</v>
      </c>
      <c r="Y1338" s="846">
        <v>1496</v>
      </c>
      <c r="Z1338" s="2429">
        <v>1496</v>
      </c>
      <c r="AA1338" s="2429">
        <v>1496</v>
      </c>
      <c r="AB1338" s="2429">
        <v>1496</v>
      </c>
      <c r="AC1338" s="792"/>
      <c r="AD1338" s="792"/>
      <c r="AE1338" s="792"/>
      <c r="AF1338" s="792"/>
      <c r="AG1338" s="792"/>
      <c r="BB1338" s="647"/>
      <c r="BC1338" s="658"/>
      <c r="BD1338" s="757"/>
      <c r="BE1338" s="659"/>
    </row>
    <row r="1339" spans="1:57" s="64" customFormat="1" outlineLevel="1" x14ac:dyDescent="0.25">
      <c r="A1339" s="1393"/>
      <c r="B1339" s="157"/>
      <c r="C1339" s="385"/>
      <c r="D1339" s="3756" t="s">
        <v>1291</v>
      </c>
      <c r="E1339" s="3588" t="s">
        <v>1292</v>
      </c>
      <c r="F1339" s="3759" t="str">
        <f>$E$1298</f>
        <v>GSHP - EER 23 - replace electric furnace / CAC ER1 - Heating</v>
      </c>
      <c r="G1339" s="3760"/>
      <c r="H1339" s="3761"/>
      <c r="I1339" s="3068"/>
      <c r="J1339" s="3065">
        <v>3.41</v>
      </c>
      <c r="K1339" s="903"/>
      <c r="L1339" s="3748" t="s">
        <v>1191</v>
      </c>
      <c r="M1339" s="1407"/>
      <c r="N1339" s="1407"/>
      <c r="O1339" s="157"/>
      <c r="P1339" s="1753"/>
      <c r="Q1339" s="2135"/>
      <c r="R1339" s="2135"/>
      <c r="S1339" s="194"/>
      <c r="T1339" s="768"/>
      <c r="U1339" s="157"/>
      <c r="V1339" s="3588" t="s">
        <v>1291</v>
      </c>
      <c r="W1339" s="760">
        <v>3.41</v>
      </c>
      <c r="X1339" s="760">
        <v>3.41</v>
      </c>
      <c r="Y1339" s="760">
        <v>3.41</v>
      </c>
      <c r="Z1339" s="2428">
        <v>3.41</v>
      </c>
      <c r="AA1339" s="2428">
        <v>3.41</v>
      </c>
      <c r="AB1339" s="2428">
        <v>3.41</v>
      </c>
      <c r="AC1339" s="760"/>
      <c r="AD1339" s="760"/>
      <c r="AE1339" s="760"/>
      <c r="AF1339" s="760"/>
      <c r="AG1339" s="760"/>
      <c r="BB1339" s="647"/>
      <c r="BC1339" s="658"/>
      <c r="BD1339" s="757"/>
      <c r="BE1339" s="659"/>
    </row>
    <row r="1340" spans="1:57" s="64" customFormat="1" outlineLevel="1" x14ac:dyDescent="0.25">
      <c r="A1340" s="2463"/>
      <c r="B1340" s="157"/>
      <c r="C1340" s="1790"/>
      <c r="D1340" s="3757"/>
      <c r="E1340" s="3589"/>
      <c r="F1340" s="3736" t="str">
        <f>$E$1300</f>
        <v>GSHP - EER 23 - replace electric furnace / CAC ER2 - Heating</v>
      </c>
      <c r="G1340" s="3737"/>
      <c r="H1340" s="3738"/>
      <c r="I1340" s="3061"/>
      <c r="J1340" s="3056">
        <v>3.41</v>
      </c>
      <c r="K1340" s="898"/>
      <c r="L1340" s="3749"/>
      <c r="M1340" s="1407"/>
      <c r="N1340" s="1407"/>
      <c r="O1340" s="157"/>
      <c r="P1340" s="2146"/>
      <c r="Q1340" s="1737"/>
      <c r="R1340" s="194"/>
      <c r="S1340" s="194"/>
      <c r="T1340" s="768"/>
      <c r="U1340" s="157"/>
      <c r="V1340" s="3589"/>
      <c r="W1340" s="766">
        <v>3.41</v>
      </c>
      <c r="X1340" s="766">
        <v>3.41</v>
      </c>
      <c r="Y1340" s="766">
        <v>3.41</v>
      </c>
      <c r="Z1340" s="2426">
        <v>3.41</v>
      </c>
      <c r="AA1340" s="2426">
        <v>3.41</v>
      </c>
      <c r="AB1340" s="2426">
        <v>3.41</v>
      </c>
      <c r="AC1340" s="766"/>
      <c r="AD1340" s="766"/>
      <c r="AE1340" s="766"/>
      <c r="AF1340" s="766"/>
      <c r="AG1340" s="766"/>
      <c r="BB1340" s="647"/>
      <c r="BC1340" s="658"/>
      <c r="BD1340" s="757"/>
      <c r="BE1340" s="659"/>
    </row>
    <row r="1341" spans="1:57" s="64" customFormat="1" outlineLevel="1" x14ac:dyDescent="0.25">
      <c r="A1341" s="1393"/>
      <c r="B1341" s="157"/>
      <c r="C1341" s="385"/>
      <c r="D1341" s="3757"/>
      <c r="E1341" s="3589"/>
      <c r="F1341" s="3736" t="str">
        <f>E1296</f>
        <v>GSHP - EER 23 - replace electric furnace / CAC - Heating</v>
      </c>
      <c r="G1341" s="3737"/>
      <c r="H1341" s="3738"/>
      <c r="I1341" s="3061"/>
      <c r="J1341" s="3056">
        <v>3.41</v>
      </c>
      <c r="K1341" s="898"/>
      <c r="L1341" s="3749"/>
      <c r="M1341" s="1407"/>
      <c r="N1341" s="1407"/>
      <c r="O1341" s="157"/>
      <c r="P1341" s="776"/>
      <c r="Q1341" s="776"/>
      <c r="R1341" s="776"/>
      <c r="S1341" s="776"/>
      <c r="T1341" s="157"/>
      <c r="U1341" s="157"/>
      <c r="V1341" s="3589"/>
      <c r="W1341" s="766">
        <v>3.41</v>
      </c>
      <c r="X1341" s="766">
        <v>3.41</v>
      </c>
      <c r="Y1341" s="766">
        <v>3.41</v>
      </c>
      <c r="Z1341" s="2426">
        <v>3.41</v>
      </c>
      <c r="AA1341" s="2426">
        <v>3.41</v>
      </c>
      <c r="AB1341" s="2426">
        <v>3.41</v>
      </c>
      <c r="AC1341" s="766"/>
      <c r="AD1341" s="766"/>
      <c r="AE1341" s="766"/>
      <c r="AF1341" s="766"/>
      <c r="AG1341" s="766"/>
      <c r="BB1341" s="647"/>
      <c r="BC1341" s="658"/>
      <c r="BD1341" s="757"/>
      <c r="BE1341" s="659"/>
    </row>
    <row r="1342" spans="1:57" s="64" customFormat="1" outlineLevel="1" x14ac:dyDescent="0.25">
      <c r="A1342" s="1393"/>
      <c r="B1342" s="157"/>
      <c r="C1342" s="385"/>
      <c r="D1342" s="3757"/>
      <c r="E1342" s="3589"/>
      <c r="F1342" s="3061" t="s">
        <v>3673</v>
      </c>
      <c r="G1342" s="3062"/>
      <c r="H1342" s="3063"/>
      <c r="I1342" s="3061"/>
      <c r="J1342" s="3056">
        <v>9.5500000000000007</v>
      </c>
      <c r="K1342" s="898"/>
      <c r="L1342" s="3762"/>
      <c r="M1342" s="1407"/>
      <c r="N1342" s="1407"/>
      <c r="O1342" s="157"/>
      <c r="P1342" s="3657"/>
      <c r="Q1342" s="3658"/>
      <c r="R1342" s="3658"/>
      <c r="S1342" s="194"/>
      <c r="T1342" s="157"/>
      <c r="U1342" s="157"/>
      <c r="V1342" s="3589"/>
      <c r="W1342" s="766"/>
      <c r="X1342" s="765">
        <v>9.5500000000000007</v>
      </c>
      <c r="Y1342" s="766">
        <v>9.5500000000000007</v>
      </c>
      <c r="Z1342" s="2426">
        <v>9.5500000000000007</v>
      </c>
      <c r="AA1342" s="2426">
        <v>9.5500000000000007</v>
      </c>
      <c r="AB1342" s="2426">
        <v>9.5500000000000007</v>
      </c>
      <c r="AC1342" s="766"/>
      <c r="AD1342" s="766"/>
      <c r="AE1342" s="766"/>
      <c r="AF1342" s="766"/>
      <c r="AG1342" s="766"/>
      <c r="BB1342" s="647"/>
      <c r="BC1342" s="658"/>
      <c r="BD1342" s="757"/>
      <c r="BE1342" s="659"/>
    </row>
    <row r="1343" spans="1:57" s="64" customFormat="1" outlineLevel="1" x14ac:dyDescent="0.25">
      <c r="A1343" s="1393"/>
      <c r="B1343" s="157"/>
      <c r="C1343" s="385"/>
      <c r="D1343" s="3757"/>
      <c r="E1343" s="3589"/>
      <c r="F1343" s="3736" t="str">
        <f>$E$1304</f>
        <v>GSHP EER 23 ER2 - Heating</v>
      </c>
      <c r="G1343" s="3737"/>
      <c r="H1343" s="3738"/>
      <c r="I1343" s="3061"/>
      <c r="J1343" s="3056">
        <v>10.58</v>
      </c>
      <c r="K1343" s="898"/>
      <c r="L1343" s="3763" t="s">
        <v>1508</v>
      </c>
      <c r="M1343" s="1407"/>
      <c r="N1343" s="1407"/>
      <c r="O1343" s="1407"/>
      <c r="P1343" s="2147"/>
      <c r="Q1343" s="1737"/>
      <c r="R1343" s="1737"/>
      <c r="S1343" s="194"/>
      <c r="T1343" s="157"/>
      <c r="U1343" s="157"/>
      <c r="V1343" s="3589"/>
      <c r="W1343" s="766">
        <v>3.41</v>
      </c>
      <c r="X1343" s="765">
        <v>10.58</v>
      </c>
      <c r="Y1343" s="766">
        <v>10.58</v>
      </c>
      <c r="Z1343" s="2426">
        <v>10.58</v>
      </c>
      <c r="AA1343" s="2426">
        <v>10.58</v>
      </c>
      <c r="AB1343" s="2426">
        <v>10.58</v>
      </c>
      <c r="AC1343" s="766"/>
      <c r="AD1343" s="766"/>
      <c r="AE1343" s="766"/>
      <c r="AF1343" s="766"/>
      <c r="AG1343" s="766"/>
      <c r="BB1343" s="647"/>
      <c r="BC1343" s="658"/>
      <c r="BD1343" s="757"/>
      <c r="BE1343" s="659"/>
    </row>
    <row r="1344" spans="1:57" s="64" customFormat="1" ht="15.75" outlineLevel="1" thickBot="1" x14ac:dyDescent="0.3">
      <c r="A1344" s="1393"/>
      <c r="B1344" s="157"/>
      <c r="C1344" s="385"/>
      <c r="D1344" s="3758"/>
      <c r="E1344" s="3687"/>
      <c r="F1344" s="3739" t="str">
        <f>$E$1306</f>
        <v>GSHP EER 23 Replace at Fail GSHP</v>
      </c>
      <c r="G1344" s="3740"/>
      <c r="H1344" s="3741"/>
      <c r="I1344" s="3064"/>
      <c r="J1344" s="3069">
        <v>10.58</v>
      </c>
      <c r="K1344" s="1789"/>
      <c r="L1344" s="3750"/>
      <c r="M1344" s="1407"/>
      <c r="N1344" s="1407"/>
      <c r="O1344" s="1407"/>
      <c r="P1344" s="2147"/>
      <c r="Q1344" s="2148"/>
      <c r="R1344" s="2148"/>
      <c r="S1344" s="194"/>
      <c r="T1344" s="2136"/>
      <c r="U1344" s="157"/>
      <c r="V1344" s="3687"/>
      <c r="W1344" s="792">
        <v>3.41</v>
      </c>
      <c r="X1344" s="846">
        <v>10.58</v>
      </c>
      <c r="Y1344" s="792">
        <v>10.58</v>
      </c>
      <c r="Z1344" s="2429">
        <v>10.58</v>
      </c>
      <c r="AA1344" s="2429">
        <v>10.58</v>
      </c>
      <c r="AB1344" s="2429">
        <v>10.58</v>
      </c>
      <c r="AC1344" s="792"/>
      <c r="AD1344" s="792"/>
      <c r="AE1344" s="792"/>
      <c r="AF1344" s="792"/>
      <c r="AG1344" s="792"/>
      <c r="BB1344" s="647"/>
      <c r="BC1344" s="658"/>
      <c r="BD1344" s="757"/>
      <c r="BE1344" s="659"/>
    </row>
    <row r="1345" spans="1:57" s="64" customFormat="1" outlineLevel="1" x14ac:dyDescent="0.25">
      <c r="A1345" s="1393"/>
      <c r="B1345" s="157"/>
      <c r="C1345" s="385"/>
      <c r="D1345" s="3588" t="s">
        <v>1293</v>
      </c>
      <c r="E1345" s="3721" t="s">
        <v>1323</v>
      </c>
      <c r="F1345" s="3751" t="str">
        <f>$E$1298</f>
        <v>GSHP - EER 23 - replace electric furnace / CAC ER1 - Heating</v>
      </c>
      <c r="G1345" s="3752"/>
      <c r="H1345" s="3753"/>
      <c r="I1345" s="3067"/>
      <c r="J1345" s="899">
        <v>15.140400000000001</v>
      </c>
      <c r="K1345" s="1791"/>
      <c r="L1345" s="3748" t="s">
        <v>1290</v>
      </c>
      <c r="M1345" s="1407"/>
      <c r="N1345" s="1407"/>
      <c r="O1345" s="1407"/>
      <c r="P1345" s="2147"/>
      <c r="Q1345" s="194"/>
      <c r="R1345" s="2150"/>
      <c r="S1345" s="194"/>
      <c r="T1345" s="157"/>
      <c r="U1345" s="157"/>
      <c r="V1345" s="3588" t="s">
        <v>1293</v>
      </c>
      <c r="W1345" s="781">
        <f>15.01/3.41</f>
        <v>4.4017595307917885</v>
      </c>
      <c r="X1345" s="900">
        <v>14.979294599999999</v>
      </c>
      <c r="Y1345" s="786">
        <f>4.44*3.41</f>
        <v>15.140400000000001</v>
      </c>
      <c r="Z1345" s="781">
        <f t="shared" ref="Z1345:AA1350" si="126">4.44*3.41</f>
        <v>15.140400000000001</v>
      </c>
      <c r="AA1345" s="781">
        <f t="shared" si="126"/>
        <v>15.140400000000001</v>
      </c>
      <c r="AB1345" s="899">
        <v>15.140400000000001</v>
      </c>
      <c r="AC1345" s="781"/>
      <c r="AD1345" s="781"/>
      <c r="AE1345" s="781"/>
      <c r="AF1345" s="781"/>
      <c r="AG1345" s="781"/>
      <c r="BB1345" s="647"/>
      <c r="BC1345" s="658"/>
      <c r="BD1345" s="757"/>
      <c r="BE1345" s="659"/>
    </row>
    <row r="1346" spans="1:57" s="64" customFormat="1" outlineLevel="1" x14ac:dyDescent="0.25">
      <c r="A1346" s="1393"/>
      <c r="B1346" s="157"/>
      <c r="C1346" s="385"/>
      <c r="D1346" s="3589"/>
      <c r="E1346" s="3721"/>
      <c r="F1346" s="3736" t="str">
        <f>$E$1300</f>
        <v>GSHP - EER 23 - replace electric furnace / CAC ER2 - Heating</v>
      </c>
      <c r="G1346" s="3737"/>
      <c r="H1346" s="3738"/>
      <c r="I1346" s="3061"/>
      <c r="J1346" s="788">
        <v>15.140400000000001</v>
      </c>
      <c r="K1346" s="898"/>
      <c r="L1346" s="3749"/>
      <c r="M1346" s="1407"/>
      <c r="N1346" s="1407"/>
      <c r="O1346" s="157"/>
      <c r="P1346" s="2151"/>
      <c r="Q1346" s="194"/>
      <c r="R1346" s="2150"/>
      <c r="S1346" s="194"/>
      <c r="T1346" s="157"/>
      <c r="U1346" s="157"/>
      <c r="V1346" s="3589"/>
      <c r="W1346" s="766">
        <f>15.01/3.41</f>
        <v>4.4017595307917885</v>
      </c>
      <c r="X1346" s="789">
        <v>14.979294599999999</v>
      </c>
      <c r="Y1346" s="786">
        <f>4.44*3.41</f>
        <v>15.140400000000001</v>
      </c>
      <c r="Z1346" s="781">
        <f t="shared" si="126"/>
        <v>15.140400000000001</v>
      </c>
      <c r="AA1346" s="781">
        <f t="shared" si="126"/>
        <v>15.140400000000001</v>
      </c>
      <c r="AB1346" s="788">
        <v>15.140400000000001</v>
      </c>
      <c r="AC1346" s="766"/>
      <c r="AD1346" s="766"/>
      <c r="AE1346" s="766"/>
      <c r="AF1346" s="766"/>
      <c r="AG1346" s="766"/>
      <c r="BB1346" s="647"/>
      <c r="BC1346" s="658"/>
      <c r="BD1346" s="757"/>
      <c r="BE1346" s="659"/>
    </row>
    <row r="1347" spans="1:57" s="64" customFormat="1" ht="15" customHeight="1" outlineLevel="1" x14ac:dyDescent="0.25">
      <c r="A1347" s="1393"/>
      <c r="B1347" s="157"/>
      <c r="C1347" s="385"/>
      <c r="D1347" s="3589"/>
      <c r="E1347" s="3721"/>
      <c r="F1347" s="3736" t="str">
        <f>E1296</f>
        <v>GSHP - EER 23 - replace electric furnace / CAC - Heating</v>
      </c>
      <c r="G1347" s="3737"/>
      <c r="H1347" s="3738"/>
      <c r="I1347" s="3061"/>
      <c r="J1347" s="788">
        <v>15.140400000000001</v>
      </c>
      <c r="K1347" s="905"/>
      <c r="L1347" s="3749"/>
      <c r="M1347" s="1407"/>
      <c r="N1347" s="1407"/>
      <c r="O1347" s="157"/>
      <c r="P1347" s="758"/>
      <c r="Q1347" s="194"/>
      <c r="R1347" s="194"/>
      <c r="S1347" s="194"/>
      <c r="T1347" s="157"/>
      <c r="U1347" s="157"/>
      <c r="V1347" s="3589"/>
      <c r="W1347" s="766">
        <f>15.01/3.41</f>
        <v>4.4017595307917885</v>
      </c>
      <c r="X1347" s="789">
        <v>14.979294599999999</v>
      </c>
      <c r="Y1347" s="786">
        <f>4.44*3.41</f>
        <v>15.140400000000001</v>
      </c>
      <c r="Z1347" s="781">
        <f t="shared" si="126"/>
        <v>15.140400000000001</v>
      </c>
      <c r="AA1347" s="781">
        <f t="shared" si="126"/>
        <v>15.140400000000001</v>
      </c>
      <c r="AB1347" s="788">
        <v>15.140400000000001</v>
      </c>
      <c r="AC1347" s="766"/>
      <c r="AD1347" s="766"/>
      <c r="AE1347" s="766"/>
      <c r="AF1347" s="766"/>
      <c r="AG1347" s="766"/>
      <c r="BB1347" s="647"/>
      <c r="BC1347" s="658"/>
      <c r="BD1347" s="757"/>
      <c r="BE1347" s="659"/>
    </row>
    <row r="1348" spans="1:57" s="2289" customFormat="1" ht="15" customHeight="1" outlineLevel="1" x14ac:dyDescent="0.25">
      <c r="A1348" s="1393"/>
      <c r="B1348" s="157"/>
      <c r="C1348" s="385"/>
      <c r="D1348" s="3589"/>
      <c r="E1348" s="3721"/>
      <c r="F1348" s="3802" t="str">
        <f>$E$1302</f>
        <v>GSHP EER 23 ER1 - Heating</v>
      </c>
      <c r="G1348" s="3802"/>
      <c r="H1348" s="3802"/>
      <c r="I1348" s="2674"/>
      <c r="J1348" s="2725">
        <v>15.140400000000001</v>
      </c>
      <c r="K1348" s="905"/>
      <c r="L1348" s="3749"/>
      <c r="M1348" s="2422"/>
      <c r="N1348" s="2422"/>
      <c r="O1348" s="157"/>
      <c r="P1348" s="758"/>
      <c r="Q1348" s="194"/>
      <c r="R1348" s="194"/>
      <c r="S1348" s="194"/>
      <c r="T1348" s="157"/>
      <c r="U1348" s="157"/>
      <c r="V1348" s="3589"/>
      <c r="W1348" s="2426"/>
      <c r="X1348" s="789"/>
      <c r="Y1348" s="786"/>
      <c r="Z1348" s="781"/>
      <c r="AA1348" s="781"/>
      <c r="AB1348" s="2658">
        <v>15.140400000000001</v>
      </c>
      <c r="AC1348" s="2426"/>
      <c r="AD1348" s="2426"/>
      <c r="AE1348" s="2426"/>
      <c r="AF1348" s="2426"/>
      <c r="AG1348" s="2426"/>
      <c r="BB1348" s="647"/>
      <c r="BC1348" s="658"/>
      <c r="BD1348" s="757"/>
      <c r="BE1348" s="659"/>
    </row>
    <row r="1349" spans="1:57" s="64" customFormat="1" ht="15" customHeight="1" outlineLevel="1" x14ac:dyDescent="0.25">
      <c r="A1349" s="1393"/>
      <c r="B1349" s="157"/>
      <c r="C1349" s="385"/>
      <c r="D1349" s="3589"/>
      <c r="E1349" s="3721"/>
      <c r="F1349" s="3736" t="str">
        <f>$E$1304</f>
        <v>GSHP EER 23 ER2 - Heating</v>
      </c>
      <c r="G1349" s="3737"/>
      <c r="H1349" s="3738"/>
      <c r="I1349" s="3061"/>
      <c r="J1349" s="788">
        <v>15.140400000000001</v>
      </c>
      <c r="K1349" s="905"/>
      <c r="L1349" s="3754"/>
      <c r="M1349" s="1407"/>
      <c r="N1349" s="1407"/>
      <c r="O1349" s="157"/>
      <c r="P1349" s="938"/>
      <c r="Q1349" s="194"/>
      <c r="R1349" s="194"/>
      <c r="S1349" s="194"/>
      <c r="T1349" s="157"/>
      <c r="U1349" s="157"/>
      <c r="V1349" s="3589"/>
      <c r="W1349" s="766">
        <f>15.01/3.41</f>
        <v>4.4017595307917885</v>
      </c>
      <c r="X1349" s="789">
        <v>14.979294599999999</v>
      </c>
      <c r="Y1349" s="786">
        <f>4.44*3.41</f>
        <v>15.140400000000001</v>
      </c>
      <c r="Z1349" s="781">
        <f t="shared" si="126"/>
        <v>15.140400000000001</v>
      </c>
      <c r="AA1349" s="781">
        <f t="shared" si="126"/>
        <v>15.140400000000001</v>
      </c>
      <c r="AB1349" s="788">
        <v>15.140400000000001</v>
      </c>
      <c r="AC1349" s="766"/>
      <c r="AD1349" s="766"/>
      <c r="AE1349" s="766"/>
      <c r="AF1349" s="766"/>
      <c r="AG1349" s="766"/>
      <c r="BB1349" s="647"/>
      <c r="BC1349" s="658"/>
      <c r="BD1349" s="757"/>
      <c r="BE1349" s="659"/>
    </row>
    <row r="1350" spans="1:57" s="64" customFormat="1" ht="15" customHeight="1" outlineLevel="1" thickBot="1" x14ac:dyDescent="0.3">
      <c r="A1350" s="1393"/>
      <c r="B1350" s="157"/>
      <c r="C1350" s="385"/>
      <c r="D1350" s="3687"/>
      <c r="E1350" s="3742"/>
      <c r="F1350" s="3739" t="str">
        <f>$E$1306</f>
        <v>GSHP EER 23 Replace at Fail GSHP</v>
      </c>
      <c r="G1350" s="3740"/>
      <c r="H1350" s="3741"/>
      <c r="I1350" s="3064"/>
      <c r="J1350" s="788">
        <v>15.140400000000001</v>
      </c>
      <c r="K1350" s="905"/>
      <c r="L1350" s="3755"/>
      <c r="M1350" s="1407"/>
      <c r="N1350" s="1407"/>
      <c r="O1350" s="157"/>
      <c r="P1350" s="157"/>
      <c r="Q1350" s="157"/>
      <c r="R1350" s="157"/>
      <c r="S1350" s="157"/>
      <c r="T1350" s="157"/>
      <c r="U1350" s="157"/>
      <c r="V1350" s="3687"/>
      <c r="W1350" s="766">
        <f>15.01/3.41</f>
        <v>4.4017595307917885</v>
      </c>
      <c r="X1350" s="789">
        <v>14.979294599999999</v>
      </c>
      <c r="Y1350" s="786">
        <f>4.44*3.41</f>
        <v>15.140400000000001</v>
      </c>
      <c r="Z1350" s="781">
        <f t="shared" si="126"/>
        <v>15.140400000000001</v>
      </c>
      <c r="AA1350" s="781">
        <f t="shared" si="126"/>
        <v>15.140400000000001</v>
      </c>
      <c r="AB1350" s="788">
        <v>15.140400000000001</v>
      </c>
      <c r="AC1350" s="766"/>
      <c r="AD1350" s="766"/>
      <c r="AE1350" s="766"/>
      <c r="AF1350" s="766"/>
      <c r="AG1350" s="766"/>
      <c r="BB1350" s="647"/>
      <c r="BC1350" s="658"/>
      <c r="BD1350" s="757"/>
      <c r="BE1350" s="659"/>
    </row>
    <row r="1351" spans="1:57" s="64" customFormat="1" ht="15" customHeight="1" outlineLevel="1" x14ac:dyDescent="0.25">
      <c r="A1351" s="1393"/>
      <c r="B1351" s="157"/>
      <c r="C1351" s="385"/>
      <c r="D1351" s="3588" t="s">
        <v>1296</v>
      </c>
      <c r="E1351" s="3720" t="s">
        <v>1324</v>
      </c>
      <c r="F1351" s="3743" t="str">
        <f>$E$1295</f>
        <v>GSHP - EER 23 - replace electric furnace / CAC - Cooling</v>
      </c>
      <c r="G1351" s="3743"/>
      <c r="H1351" s="3743"/>
      <c r="I1351" s="3065"/>
      <c r="J1351" s="3247">
        <v>45750</v>
      </c>
      <c r="K1351" s="2699">
        <f t="shared" ref="K1351:K1356" si="127">J1351/12000</f>
        <v>3.8125</v>
      </c>
      <c r="L1351" s="3744" t="s">
        <v>3674</v>
      </c>
      <c r="M1351" s="1407"/>
      <c r="N1351" s="1407"/>
      <c r="O1351" s="157"/>
      <c r="P1351" s="157"/>
      <c r="Q1351" s="157"/>
      <c r="R1351" s="157"/>
      <c r="S1351" s="157"/>
      <c r="T1351" s="157"/>
      <c r="U1351" s="157"/>
      <c r="V1351" s="3588" t="s">
        <v>1296</v>
      </c>
      <c r="W1351" s="760">
        <v>52800.000000000007</v>
      </c>
      <c r="X1351" s="759">
        <f>3.99*12000</f>
        <v>47880</v>
      </c>
      <c r="Y1351" s="759">
        <f>Y1327</f>
        <v>46320</v>
      </c>
      <c r="Z1351" s="2428">
        <f t="shared" ref="Z1351:AA1351" si="128">Z1327</f>
        <v>46320</v>
      </c>
      <c r="AA1351" s="2428">
        <f t="shared" si="128"/>
        <v>46320</v>
      </c>
      <c r="AB1351" s="2696">
        <v>45750</v>
      </c>
      <c r="AC1351" s="760"/>
      <c r="AD1351" s="760"/>
      <c r="AE1351" s="760"/>
      <c r="AF1351" s="760"/>
      <c r="AG1351" s="760"/>
      <c r="BB1351" s="647"/>
      <c r="BC1351" s="658"/>
      <c r="BD1351" s="757"/>
      <c r="BE1351" s="659"/>
    </row>
    <row r="1352" spans="1:57" s="64" customFormat="1" ht="15" customHeight="1" outlineLevel="1" x14ac:dyDescent="0.25">
      <c r="A1352" s="1393"/>
      <c r="B1352" s="157"/>
      <c r="C1352" s="385"/>
      <c r="D1352" s="3589"/>
      <c r="E1352" s="3721"/>
      <c r="F1352" s="3672" t="str">
        <f>$E$1297</f>
        <v>GSHP - EER 23 - replace electric furnace / CAC ER1- Cooling</v>
      </c>
      <c r="G1352" s="3672"/>
      <c r="H1352" s="3672"/>
      <c r="I1352" s="3056"/>
      <c r="J1352" s="3182">
        <f>J1351</f>
        <v>45750</v>
      </c>
      <c r="K1352" s="2700">
        <f t="shared" si="127"/>
        <v>3.8125</v>
      </c>
      <c r="L1352" s="3745"/>
      <c r="M1352" s="1407"/>
      <c r="N1352" s="1407"/>
      <c r="O1352" s="157"/>
      <c r="P1352" s="157"/>
      <c r="Q1352" s="157"/>
      <c r="R1352" s="157"/>
      <c r="S1352" s="157"/>
      <c r="T1352" s="157"/>
      <c r="U1352" s="157"/>
      <c r="V1352" s="3589"/>
      <c r="W1352" s="766">
        <v>49199.999999999993</v>
      </c>
      <c r="X1352" s="765">
        <f>3.99*12000</f>
        <v>47880</v>
      </c>
      <c r="Y1352" s="765">
        <f>Y1328</f>
        <v>46320</v>
      </c>
      <c r="Z1352" s="2426">
        <f t="shared" ref="Z1352:AA1352" si="129">Z1328</f>
        <v>46320</v>
      </c>
      <c r="AA1352" s="2426">
        <f t="shared" si="129"/>
        <v>46320</v>
      </c>
      <c r="AB1352" s="2655">
        <v>45750</v>
      </c>
      <c r="AC1352" s="766"/>
      <c r="AD1352" s="766"/>
      <c r="AE1352" s="766"/>
      <c r="AF1352" s="766"/>
      <c r="AG1352" s="766"/>
      <c r="BB1352" s="647"/>
      <c r="BC1352" s="658"/>
      <c r="BD1352" s="757"/>
      <c r="BE1352" s="659"/>
    </row>
    <row r="1353" spans="1:57" s="64" customFormat="1" ht="15" customHeight="1" outlineLevel="1" x14ac:dyDescent="0.25">
      <c r="A1353" s="1393"/>
      <c r="B1353" s="157"/>
      <c r="C1353" s="385"/>
      <c r="D1353" s="3589"/>
      <c r="E1353" s="3721"/>
      <c r="F1353" s="3672" t="str">
        <f>$E$1299</f>
        <v>GSHP - EER 23 - replace electric furnace / CAC ER2- Cooling</v>
      </c>
      <c r="G1353" s="3672"/>
      <c r="H1353" s="3672"/>
      <c r="I1353" s="3056"/>
      <c r="J1353" s="3182">
        <v>49745.454545454544</v>
      </c>
      <c r="K1353" s="2700">
        <f t="shared" si="127"/>
        <v>4.1454545454545455</v>
      </c>
      <c r="L1353" s="3745"/>
      <c r="M1353" s="1407"/>
      <c r="N1353" s="1407"/>
      <c r="O1353" s="157"/>
      <c r="P1353" s="157"/>
      <c r="Q1353" s="157"/>
      <c r="R1353" s="157"/>
      <c r="S1353" s="157"/>
      <c r="T1353" s="157"/>
      <c r="U1353" s="157"/>
      <c r="V1353" s="3589"/>
      <c r="W1353" s="766">
        <v>49199.999999999993</v>
      </c>
      <c r="X1353" s="765">
        <f>3.99*12000</f>
        <v>47880</v>
      </c>
      <c r="Y1353" s="765">
        <f>Y1329</f>
        <v>47760</v>
      </c>
      <c r="Z1353" s="2426">
        <f t="shared" ref="Z1353:AA1353" si="130">Z1329</f>
        <v>47760</v>
      </c>
      <c r="AA1353" s="2426">
        <f t="shared" si="130"/>
        <v>47760</v>
      </c>
      <c r="AB1353" s="2655">
        <v>49745.454545454544</v>
      </c>
      <c r="AC1353" s="766"/>
      <c r="AD1353" s="766"/>
      <c r="AE1353" s="766"/>
      <c r="AF1353" s="766"/>
      <c r="AG1353" s="766"/>
      <c r="BB1353" s="647"/>
      <c r="BC1353" s="658"/>
      <c r="BD1353" s="757"/>
      <c r="BE1353" s="659"/>
    </row>
    <row r="1354" spans="1:57" s="64" customFormat="1" ht="15" customHeight="1" outlineLevel="1" x14ac:dyDescent="0.25">
      <c r="A1354" s="1393"/>
      <c r="B1354" s="157"/>
      <c r="C1354" s="385"/>
      <c r="D1354" s="3589"/>
      <c r="E1354" s="3721"/>
      <c r="F1354" s="3672" t="str">
        <f>$E$1301</f>
        <v>GSHP EER 23 ER1 - Cooling</v>
      </c>
      <c r="G1354" s="3672"/>
      <c r="H1354" s="3672"/>
      <c r="I1354" s="3056"/>
      <c r="J1354" s="3182">
        <v>51319.148936170212</v>
      </c>
      <c r="K1354" s="2700">
        <f t="shared" si="127"/>
        <v>4.2765957446808507</v>
      </c>
      <c r="L1354" s="3745"/>
      <c r="M1354" s="1407"/>
      <c r="N1354" s="1407"/>
      <c r="O1354" s="157"/>
      <c r="P1354" s="157"/>
      <c r="Q1354" s="157"/>
      <c r="R1354" s="157"/>
      <c r="S1354" s="157"/>
      <c r="T1354" s="157"/>
      <c r="U1354" s="157"/>
      <c r="V1354" s="3589"/>
      <c r="W1354" s="766">
        <v>49199.999999999993</v>
      </c>
      <c r="X1354" s="765">
        <f>3.99*12000</f>
        <v>47880</v>
      </c>
      <c r="Y1354" s="765">
        <f>Y1331</f>
        <v>50400</v>
      </c>
      <c r="Z1354" s="2426">
        <f t="shared" ref="Z1354:AA1354" si="131">Z1331</f>
        <v>50400</v>
      </c>
      <c r="AA1354" s="2426">
        <f t="shared" si="131"/>
        <v>50400</v>
      </c>
      <c r="AB1354" s="2655">
        <v>51319.148936170212</v>
      </c>
      <c r="AC1354" s="766"/>
      <c r="AD1354" s="766"/>
      <c r="AE1354" s="766"/>
      <c r="AF1354" s="766"/>
      <c r="AG1354" s="766"/>
      <c r="BB1354" s="647"/>
      <c r="BC1354" s="658"/>
      <c r="BD1354" s="757"/>
      <c r="BE1354" s="659"/>
    </row>
    <row r="1355" spans="1:57" s="2289" customFormat="1" ht="15" customHeight="1" outlineLevel="1" x14ac:dyDescent="0.25">
      <c r="A1355" s="1393"/>
      <c r="B1355" s="157"/>
      <c r="C1355" s="385"/>
      <c r="D1355" s="3589"/>
      <c r="E1355" s="3721"/>
      <c r="F1355" s="3802" t="str">
        <f>$E$1303</f>
        <v>GSHP EER 23 ER2 - Cooling</v>
      </c>
      <c r="G1355" s="3802"/>
      <c r="H1355" s="3802"/>
      <c r="I1355" s="3056"/>
      <c r="J1355" s="3249">
        <f>J1354</f>
        <v>51319.148936170212</v>
      </c>
      <c r="K1355" s="2700">
        <f t="shared" si="127"/>
        <v>4.2765957446808507</v>
      </c>
      <c r="L1355" s="3745"/>
      <c r="M1355" s="2422"/>
      <c r="N1355" s="2422"/>
      <c r="O1355" s="157"/>
      <c r="P1355" s="157"/>
      <c r="Q1355" s="157"/>
      <c r="R1355" s="157"/>
      <c r="S1355" s="157"/>
      <c r="T1355" s="157"/>
      <c r="U1355" s="157"/>
      <c r="V1355" s="3589"/>
      <c r="W1355" s="778"/>
      <c r="X1355" s="777"/>
      <c r="Y1355" s="777"/>
      <c r="Z1355" s="778"/>
      <c r="AA1355" s="778"/>
      <c r="AB1355" s="2698">
        <v>51319.148936170212</v>
      </c>
      <c r="AC1355" s="778"/>
      <c r="AD1355" s="778"/>
      <c r="AE1355" s="778"/>
      <c r="AF1355" s="778"/>
      <c r="AG1355" s="778"/>
      <c r="BB1355" s="647"/>
      <c r="BC1355" s="658"/>
      <c r="BD1355" s="757"/>
      <c r="BE1355" s="659"/>
    </row>
    <row r="1356" spans="1:57" s="64" customFormat="1" ht="15" customHeight="1" outlineLevel="1" thickBot="1" x14ac:dyDescent="0.3">
      <c r="A1356" s="1393"/>
      <c r="B1356" s="157"/>
      <c r="C1356" s="385"/>
      <c r="D1356" s="3687"/>
      <c r="E1356" s="3742"/>
      <c r="F1356" s="3672" t="str">
        <f>$E$1305</f>
        <v>GSHP EER 23 Replace at Fail GSHP</v>
      </c>
      <c r="G1356" s="3672"/>
      <c r="H1356" s="3672"/>
      <c r="I1356" s="3056"/>
      <c r="J1356" s="3248">
        <v>51652.173913043473</v>
      </c>
      <c r="K1356" s="3051">
        <f t="shared" si="127"/>
        <v>4.3043478260869561</v>
      </c>
      <c r="L1356" s="3746"/>
      <c r="M1356" s="1407"/>
      <c r="N1356" s="1407"/>
      <c r="O1356" s="157"/>
      <c r="P1356" s="157"/>
      <c r="Q1356" s="157"/>
      <c r="R1356" s="157"/>
      <c r="S1356" s="157"/>
      <c r="T1356" s="157"/>
      <c r="U1356" s="157"/>
      <c r="V1356" s="3687"/>
      <c r="W1356" s="792">
        <v>52800.000000000007</v>
      </c>
      <c r="X1356" s="846">
        <f>3.99*12000</f>
        <v>47880</v>
      </c>
      <c r="Y1356" s="846">
        <f>Y1332</f>
        <v>47160</v>
      </c>
      <c r="Z1356" s="2429">
        <f t="shared" ref="Z1356:AA1356" si="132">Z1332</f>
        <v>47160</v>
      </c>
      <c r="AA1356" s="2429">
        <f t="shared" si="132"/>
        <v>47160</v>
      </c>
      <c r="AB1356" s="2697">
        <v>51652.173913043473</v>
      </c>
      <c r="AC1356" s="792"/>
      <c r="AD1356" s="792"/>
      <c r="AE1356" s="792"/>
      <c r="AF1356" s="792"/>
      <c r="AG1356" s="792"/>
      <c r="BB1356" s="647"/>
      <c r="BC1356" s="658"/>
      <c r="BD1356" s="757"/>
      <c r="BE1356" s="659"/>
    </row>
    <row r="1357" spans="1:57" s="64" customFormat="1" ht="15" customHeight="1" outlineLevel="1" x14ac:dyDescent="0.25">
      <c r="A1357" s="1393"/>
      <c r="B1357" s="157"/>
      <c r="C1357" s="385"/>
      <c r="D1357" s="3588" t="s">
        <v>1325</v>
      </c>
      <c r="E1357" s="3765" t="s">
        <v>1299</v>
      </c>
      <c r="F1357" s="3743" t="str">
        <f>$E$1295</f>
        <v>GSHP - EER 23 - replace electric furnace / CAC - Cooling</v>
      </c>
      <c r="G1357" s="3743"/>
      <c r="H1357" s="3743"/>
      <c r="I1357" s="3065"/>
      <c r="J1357" s="3065">
        <v>869</v>
      </c>
      <c r="K1357" s="903"/>
      <c r="L1357" s="3767" t="s">
        <v>1198</v>
      </c>
      <c r="M1357" s="1407"/>
      <c r="N1357" s="1407"/>
      <c r="O1357" s="157"/>
      <c r="P1357" s="157"/>
      <c r="Q1357" s="157"/>
      <c r="R1357" s="157"/>
      <c r="S1357" s="157"/>
      <c r="T1357" s="157"/>
      <c r="U1357" s="157"/>
      <c r="V1357" s="3588" t="s">
        <v>1325</v>
      </c>
      <c r="W1357" s="760">
        <v>869</v>
      </c>
      <c r="X1357" s="760">
        <v>869</v>
      </c>
      <c r="Y1357" s="760">
        <v>869</v>
      </c>
      <c r="Z1357" s="2428">
        <v>869</v>
      </c>
      <c r="AA1357" s="2428">
        <v>869</v>
      </c>
      <c r="AB1357" s="2428">
        <v>869</v>
      </c>
      <c r="AC1357" s="760"/>
      <c r="AD1357" s="760"/>
      <c r="AE1357" s="760"/>
      <c r="AF1357" s="760"/>
      <c r="AG1357" s="760"/>
      <c r="BB1357" s="647"/>
      <c r="BC1357" s="658"/>
      <c r="BD1357" s="757"/>
      <c r="BE1357" s="659"/>
    </row>
    <row r="1358" spans="1:57" s="64" customFormat="1" outlineLevel="1" x14ac:dyDescent="0.25">
      <c r="A1358" s="1393"/>
      <c r="B1358" s="157"/>
      <c r="C1358" s="385"/>
      <c r="D1358" s="3589"/>
      <c r="E1358" s="3527"/>
      <c r="F1358" s="3672" t="str">
        <f>$E$1297</f>
        <v>GSHP - EER 23 - replace electric furnace / CAC ER1- Cooling</v>
      </c>
      <c r="G1358" s="3672"/>
      <c r="H1358" s="3672"/>
      <c r="I1358" s="3056"/>
      <c r="J1358" s="3056">
        <v>869</v>
      </c>
      <c r="K1358" s="898"/>
      <c r="L1358" s="3768"/>
      <c r="M1358" s="1407"/>
      <c r="N1358" s="1407"/>
      <c r="O1358" s="157"/>
      <c r="P1358" s="157"/>
      <c r="Q1358" s="157"/>
      <c r="R1358" s="157"/>
      <c r="S1358" s="157"/>
      <c r="T1358" s="157"/>
      <c r="U1358" s="157"/>
      <c r="V1358" s="3589"/>
      <c r="W1358" s="766">
        <v>869</v>
      </c>
      <c r="X1358" s="766">
        <v>869</v>
      </c>
      <c r="Y1358" s="766">
        <v>869</v>
      </c>
      <c r="Z1358" s="2426">
        <v>869</v>
      </c>
      <c r="AA1358" s="2426">
        <v>869</v>
      </c>
      <c r="AB1358" s="2426">
        <v>869</v>
      </c>
      <c r="AC1358" s="766"/>
      <c r="AD1358" s="766"/>
      <c r="AE1358" s="766"/>
      <c r="AF1358" s="766"/>
      <c r="AG1358" s="766"/>
      <c r="BB1358" s="647"/>
      <c r="BC1358" s="658"/>
      <c r="BD1358" s="757"/>
      <c r="BE1358" s="659"/>
    </row>
    <row r="1359" spans="1:57" s="64" customFormat="1" outlineLevel="1" x14ac:dyDescent="0.25">
      <c r="A1359" s="1393"/>
      <c r="B1359" s="157"/>
      <c r="C1359" s="385"/>
      <c r="D1359" s="3589"/>
      <c r="E1359" s="3527"/>
      <c r="F1359" s="3672" t="str">
        <f>$E$1299</f>
        <v>GSHP - EER 23 - replace electric furnace / CAC ER2- Cooling</v>
      </c>
      <c r="G1359" s="3672"/>
      <c r="H1359" s="3672"/>
      <c r="I1359" s="3056"/>
      <c r="J1359" s="3056">
        <v>869</v>
      </c>
      <c r="K1359" s="898"/>
      <c r="L1359" s="3768"/>
      <c r="M1359" s="1407"/>
      <c r="N1359" s="1407"/>
      <c r="O1359" s="157"/>
      <c r="P1359" s="157"/>
      <c r="Q1359" s="157"/>
      <c r="R1359" s="157"/>
      <c r="S1359" s="157"/>
      <c r="T1359" s="157"/>
      <c r="U1359" s="157"/>
      <c r="V1359" s="3589"/>
      <c r="W1359" s="766">
        <v>869</v>
      </c>
      <c r="X1359" s="766">
        <v>869</v>
      </c>
      <c r="Y1359" s="766">
        <v>869</v>
      </c>
      <c r="Z1359" s="2426">
        <v>869</v>
      </c>
      <c r="AA1359" s="2426">
        <v>869</v>
      </c>
      <c r="AB1359" s="2426">
        <v>869</v>
      </c>
      <c r="AC1359" s="766"/>
      <c r="AD1359" s="766"/>
      <c r="AE1359" s="766"/>
      <c r="AF1359" s="766"/>
      <c r="AG1359" s="766"/>
      <c r="BB1359" s="647"/>
      <c r="BC1359" s="658"/>
      <c r="BD1359" s="757"/>
      <c r="BE1359" s="659"/>
    </row>
    <row r="1360" spans="1:57" s="64" customFormat="1" ht="15" customHeight="1" outlineLevel="1" x14ac:dyDescent="0.25">
      <c r="A1360" s="1393"/>
      <c r="B1360" s="157"/>
      <c r="C1360" s="385"/>
      <c r="D1360" s="3589"/>
      <c r="E1360" s="3527"/>
      <c r="F1360" s="3672" t="str">
        <f>$E$1301</f>
        <v>GSHP EER 23 ER1 - Cooling</v>
      </c>
      <c r="G1360" s="3672"/>
      <c r="H1360" s="3672"/>
      <c r="I1360" s="3056"/>
      <c r="J1360" s="3056">
        <v>869</v>
      </c>
      <c r="K1360" s="898"/>
      <c r="L1360" s="3768"/>
      <c r="M1360" s="1407"/>
      <c r="N1360" s="1407"/>
      <c r="O1360" s="157"/>
      <c r="P1360" s="157"/>
      <c r="Q1360" s="157"/>
      <c r="R1360" s="157"/>
      <c r="S1360" s="157"/>
      <c r="T1360" s="157"/>
      <c r="U1360" s="157"/>
      <c r="V1360" s="3589"/>
      <c r="W1360" s="766">
        <v>869</v>
      </c>
      <c r="X1360" s="766">
        <v>869</v>
      </c>
      <c r="Y1360" s="766">
        <v>869</v>
      </c>
      <c r="Z1360" s="2426">
        <v>869</v>
      </c>
      <c r="AA1360" s="2426">
        <v>869</v>
      </c>
      <c r="AB1360" s="2426">
        <v>869</v>
      </c>
      <c r="AC1360" s="766"/>
      <c r="AD1360" s="766"/>
      <c r="AE1360" s="766"/>
      <c r="AF1360" s="766"/>
      <c r="AG1360" s="766"/>
      <c r="BB1360" s="647"/>
      <c r="BC1360" s="658"/>
      <c r="BD1360" s="757"/>
      <c r="BE1360" s="659"/>
    </row>
    <row r="1361" spans="1:57" s="2289" customFormat="1" ht="15" customHeight="1" outlineLevel="1" x14ac:dyDescent="0.25">
      <c r="A1361" s="1393"/>
      <c r="B1361" s="157"/>
      <c r="C1361" s="385"/>
      <c r="D1361" s="3589"/>
      <c r="E1361" s="3527"/>
      <c r="F1361" s="3802" t="str">
        <f>$E$1303</f>
        <v>GSHP EER 23 ER2 - Cooling</v>
      </c>
      <c r="G1361" s="3802"/>
      <c r="H1361" s="3802"/>
      <c r="I1361" s="2703"/>
      <c r="J1361" s="3250">
        <v>869</v>
      </c>
      <c r="K1361" s="898"/>
      <c r="L1361" s="3768"/>
      <c r="M1361" s="2422"/>
      <c r="N1361" s="2422"/>
      <c r="O1361" s="157"/>
      <c r="P1361" s="157"/>
      <c r="Q1361" s="157"/>
      <c r="R1361" s="157"/>
      <c r="S1361" s="157"/>
      <c r="T1361" s="157"/>
      <c r="U1361" s="157"/>
      <c r="V1361" s="3589"/>
      <c r="W1361" s="2426"/>
      <c r="X1361" s="2426"/>
      <c r="Y1361" s="2426"/>
      <c r="Z1361" s="2426"/>
      <c r="AA1361" s="2426"/>
      <c r="AB1361" s="2702">
        <v>869</v>
      </c>
      <c r="AC1361" s="2426"/>
      <c r="AD1361" s="2426"/>
      <c r="AE1361" s="2426"/>
      <c r="AF1361" s="2426"/>
      <c r="AG1361" s="2426"/>
      <c r="BB1361" s="647"/>
      <c r="BC1361" s="658"/>
      <c r="BD1361" s="757"/>
      <c r="BE1361" s="659"/>
    </row>
    <row r="1362" spans="1:57" s="64" customFormat="1" ht="15" customHeight="1" outlineLevel="1" thickBot="1" x14ac:dyDescent="0.3">
      <c r="A1362" s="1393"/>
      <c r="B1362" s="157"/>
      <c r="C1362" s="385"/>
      <c r="D1362" s="3589"/>
      <c r="E1362" s="3527"/>
      <c r="F1362" s="3672" t="str">
        <f>$E$1305</f>
        <v>GSHP EER 23 Replace at Fail GSHP</v>
      </c>
      <c r="G1362" s="3672"/>
      <c r="H1362" s="3672"/>
      <c r="I1362" s="3056"/>
      <c r="J1362" s="3056">
        <v>869</v>
      </c>
      <c r="K1362" s="898"/>
      <c r="L1362" s="3769"/>
      <c r="M1362" s="1407"/>
      <c r="N1362" s="1407"/>
      <c r="O1362" s="157"/>
      <c r="P1362" s="157"/>
      <c r="Q1362" s="157"/>
      <c r="R1362" s="157"/>
      <c r="S1362" s="157"/>
      <c r="T1362" s="157"/>
      <c r="U1362" s="157"/>
      <c r="V1362" s="3589"/>
      <c r="W1362" s="766">
        <v>869</v>
      </c>
      <c r="X1362" s="766">
        <v>869</v>
      </c>
      <c r="Y1362" s="766">
        <v>869</v>
      </c>
      <c r="Z1362" s="2426">
        <v>869</v>
      </c>
      <c r="AA1362" s="2426">
        <v>869</v>
      </c>
      <c r="AB1362" s="2426">
        <v>869</v>
      </c>
      <c r="AC1362" s="766"/>
      <c r="AD1362" s="766"/>
      <c r="AE1362" s="766"/>
      <c r="AF1362" s="766"/>
      <c r="AG1362" s="766"/>
      <c r="BB1362" s="647"/>
      <c r="BC1362" s="658"/>
      <c r="BD1362" s="757"/>
      <c r="BE1362" s="659"/>
    </row>
    <row r="1363" spans="1:57" s="64" customFormat="1" outlineLevel="1" x14ac:dyDescent="0.25">
      <c r="A1363" s="1393"/>
      <c r="B1363" s="157"/>
      <c r="C1363" s="385"/>
      <c r="D1363" s="3588" t="s">
        <v>1326</v>
      </c>
      <c r="E1363" s="3765" t="s">
        <v>1301</v>
      </c>
      <c r="F1363" s="3743" t="str">
        <f>$E$1295</f>
        <v>GSHP - EER 23 - replace electric furnace / CAC - Cooling</v>
      </c>
      <c r="G1363" s="3743"/>
      <c r="H1363" s="3743"/>
      <c r="I1363" s="3065"/>
      <c r="J1363" s="901">
        <v>14.1</v>
      </c>
      <c r="K1363" s="903"/>
      <c r="L1363" s="3748" t="s">
        <v>1191</v>
      </c>
      <c r="M1363" s="1407"/>
      <c r="N1363" s="1407"/>
      <c r="O1363" s="157"/>
      <c r="P1363" s="157"/>
      <c r="Q1363" s="157"/>
      <c r="R1363" s="157"/>
      <c r="S1363" s="157"/>
      <c r="T1363" s="157"/>
      <c r="U1363" s="157"/>
      <c r="V1363" s="3588" t="s">
        <v>1326</v>
      </c>
      <c r="W1363" s="760">
        <v>13</v>
      </c>
      <c r="X1363" s="902">
        <v>14.1</v>
      </c>
      <c r="Y1363" s="901">
        <v>14.1</v>
      </c>
      <c r="Z1363" s="901">
        <v>14.1</v>
      </c>
      <c r="AA1363" s="901">
        <v>14.1</v>
      </c>
      <c r="AB1363" s="901">
        <v>14.1</v>
      </c>
      <c r="AC1363" s="760"/>
      <c r="AD1363" s="760"/>
      <c r="AE1363" s="760"/>
      <c r="AF1363" s="760"/>
      <c r="AG1363" s="760"/>
      <c r="BB1363" s="647"/>
      <c r="BC1363" s="658"/>
      <c r="BD1363" s="757"/>
      <c r="BE1363" s="659"/>
    </row>
    <row r="1364" spans="1:57" s="64" customFormat="1" outlineLevel="1" x14ac:dyDescent="0.25">
      <c r="A1364" s="1393"/>
      <c r="B1364" s="157"/>
      <c r="C1364" s="385"/>
      <c r="D1364" s="3589"/>
      <c r="E1364" s="3766"/>
      <c r="F1364" s="3672" t="str">
        <f>$E$1297</f>
        <v>GSHP - EER 23 - replace electric furnace / CAC ER1- Cooling</v>
      </c>
      <c r="G1364" s="3672"/>
      <c r="H1364" s="3672"/>
      <c r="I1364" s="3056"/>
      <c r="J1364" s="3056">
        <v>6.54</v>
      </c>
      <c r="K1364" s="898"/>
      <c r="L1364" s="3749" t="s">
        <v>1191</v>
      </c>
      <c r="M1364" s="1407"/>
      <c r="N1364" s="1407"/>
      <c r="O1364" s="157"/>
      <c r="P1364" s="157"/>
      <c r="Q1364" s="157"/>
      <c r="R1364" s="157"/>
      <c r="S1364" s="157"/>
      <c r="T1364" s="157"/>
      <c r="U1364" s="157"/>
      <c r="V1364" s="3589"/>
      <c r="W1364" s="766">
        <v>6.8</v>
      </c>
      <c r="X1364" s="765">
        <v>6.54</v>
      </c>
      <c r="Y1364" s="766">
        <v>6.54</v>
      </c>
      <c r="Z1364" s="2426">
        <v>6.54</v>
      </c>
      <c r="AA1364" s="2426">
        <v>6.54</v>
      </c>
      <c r="AB1364" s="2426">
        <v>6.54</v>
      </c>
      <c r="AC1364" s="766"/>
      <c r="AD1364" s="766"/>
      <c r="AE1364" s="766"/>
      <c r="AF1364" s="766"/>
      <c r="AG1364" s="766"/>
      <c r="BB1364" s="647"/>
      <c r="BC1364" s="658"/>
      <c r="BD1364" s="757"/>
      <c r="BE1364" s="659"/>
    </row>
    <row r="1365" spans="1:57" s="64" customFormat="1" outlineLevel="1" x14ac:dyDescent="0.25">
      <c r="A1365" s="1393"/>
      <c r="B1365" s="157"/>
      <c r="C1365" s="385"/>
      <c r="D1365" s="3589"/>
      <c r="E1365" s="3766"/>
      <c r="F1365" s="3672" t="str">
        <f>$E$1299</f>
        <v>GSHP - EER 23 - replace electric furnace / CAC ER2- Cooling</v>
      </c>
      <c r="G1365" s="3672"/>
      <c r="H1365" s="3672"/>
      <c r="I1365" s="3056"/>
      <c r="J1365" s="3056">
        <v>14.1</v>
      </c>
      <c r="K1365" s="898"/>
      <c r="L1365" s="3749" t="s">
        <v>1191</v>
      </c>
      <c r="M1365" s="1407"/>
      <c r="N1365" s="1407"/>
      <c r="O1365" s="157"/>
      <c r="P1365" s="157"/>
      <c r="Q1365" s="157"/>
      <c r="R1365" s="157"/>
      <c r="S1365" s="157"/>
      <c r="T1365" s="157"/>
      <c r="U1365" s="157"/>
      <c r="V1365" s="3589"/>
      <c r="W1365" s="766">
        <v>13</v>
      </c>
      <c r="X1365" s="765">
        <v>14.1</v>
      </c>
      <c r="Y1365" s="766">
        <v>14.1</v>
      </c>
      <c r="Z1365" s="2426">
        <v>14.1</v>
      </c>
      <c r="AA1365" s="2426">
        <v>14.1</v>
      </c>
      <c r="AB1365" s="2426">
        <v>14.1</v>
      </c>
      <c r="AC1365" s="766"/>
      <c r="AD1365" s="766"/>
      <c r="AE1365" s="766"/>
      <c r="AF1365" s="766"/>
      <c r="AG1365" s="766"/>
      <c r="BB1365" s="647"/>
      <c r="BC1365" s="658"/>
      <c r="BD1365" s="757"/>
      <c r="BE1365" s="659"/>
    </row>
    <row r="1366" spans="1:57" s="64" customFormat="1" ht="15" customHeight="1" outlineLevel="1" x14ac:dyDescent="0.25">
      <c r="A1366" s="1393"/>
      <c r="B1366" s="157"/>
      <c r="C1366" s="385"/>
      <c r="D1366" s="3589"/>
      <c r="E1366" s="3766"/>
      <c r="F1366" s="3672" t="str">
        <f>$E$1301</f>
        <v>GSHP EER 23 ER1 - Cooling</v>
      </c>
      <c r="G1366" s="3672"/>
      <c r="H1366" s="3672"/>
      <c r="I1366" s="3056"/>
      <c r="J1366" s="3056">
        <v>12</v>
      </c>
      <c r="K1366" s="898"/>
      <c r="L1366" s="3749" t="s">
        <v>1191</v>
      </c>
      <c r="M1366" s="1407"/>
      <c r="N1366" s="1407"/>
      <c r="O1366" s="157"/>
      <c r="P1366" s="157"/>
      <c r="Q1366" s="157"/>
      <c r="R1366" s="157"/>
      <c r="S1366" s="157"/>
      <c r="T1366" s="157"/>
      <c r="U1366" s="157"/>
      <c r="V1366" s="3589"/>
      <c r="W1366" s="766">
        <v>6.8</v>
      </c>
      <c r="X1366" s="765">
        <v>12</v>
      </c>
      <c r="Y1366" s="766">
        <v>12</v>
      </c>
      <c r="Z1366" s="2426">
        <v>12</v>
      </c>
      <c r="AA1366" s="2426">
        <v>12</v>
      </c>
      <c r="AB1366" s="2426">
        <v>12</v>
      </c>
      <c r="AC1366" s="766"/>
      <c r="AD1366" s="766"/>
      <c r="AE1366" s="766"/>
      <c r="AF1366" s="766"/>
      <c r="AG1366" s="766"/>
      <c r="BB1366" s="647"/>
      <c r="BC1366" s="658"/>
      <c r="BD1366" s="757"/>
      <c r="BE1366" s="659"/>
    </row>
    <row r="1367" spans="1:57" s="2289" customFormat="1" ht="15" customHeight="1" outlineLevel="1" x14ac:dyDescent="0.25">
      <c r="A1367" s="1393"/>
      <c r="B1367" s="157"/>
      <c r="C1367" s="385"/>
      <c r="D1367" s="3589"/>
      <c r="E1367" s="3766"/>
      <c r="F1367" s="3802" t="str">
        <f>$E$1303</f>
        <v>GSHP EER 23 ER2 - Cooling</v>
      </c>
      <c r="G1367" s="3802"/>
      <c r="H1367" s="3802"/>
      <c r="I1367" s="2703"/>
      <c r="J1367" s="3250">
        <v>12</v>
      </c>
      <c r="K1367" s="3251"/>
      <c r="L1367" s="3749"/>
      <c r="M1367" s="2422"/>
      <c r="N1367" s="2422"/>
      <c r="O1367" s="157"/>
      <c r="P1367" s="157"/>
      <c r="Q1367" s="157"/>
      <c r="R1367" s="157"/>
      <c r="S1367" s="157"/>
      <c r="T1367" s="157"/>
      <c r="U1367" s="157"/>
      <c r="V1367" s="3589"/>
      <c r="W1367" s="2426"/>
      <c r="X1367" s="765"/>
      <c r="Y1367" s="2426"/>
      <c r="Z1367" s="2426"/>
      <c r="AA1367" s="2426"/>
      <c r="AB1367" s="2702">
        <v>12</v>
      </c>
      <c r="AC1367" s="2426"/>
      <c r="AD1367" s="2426"/>
      <c r="AE1367" s="2426"/>
      <c r="AF1367" s="2426"/>
      <c r="AG1367" s="2426"/>
      <c r="BB1367" s="647"/>
      <c r="BC1367" s="658"/>
      <c r="BD1367" s="757"/>
      <c r="BE1367" s="659"/>
    </row>
    <row r="1368" spans="1:57" s="64" customFormat="1" ht="15" customHeight="1" outlineLevel="1" thickBot="1" x14ac:dyDescent="0.3">
      <c r="A1368" s="1393"/>
      <c r="B1368" s="157"/>
      <c r="C1368" s="385"/>
      <c r="D1368" s="3589"/>
      <c r="E1368" s="3766"/>
      <c r="F1368" s="3672" t="str">
        <f>$E$1305</f>
        <v>GSHP EER 23 Replace at Fail GSHP</v>
      </c>
      <c r="G1368" s="3672"/>
      <c r="H1368" s="3672"/>
      <c r="I1368" s="3056"/>
      <c r="J1368" s="3056">
        <v>14.1</v>
      </c>
      <c r="K1368" s="898"/>
      <c r="L1368" s="3750" t="s">
        <v>1191</v>
      </c>
      <c r="M1368" s="1407"/>
      <c r="N1368" s="1407"/>
      <c r="O1368" s="157"/>
      <c r="P1368" s="157"/>
      <c r="Q1368" s="157"/>
      <c r="R1368" s="157"/>
      <c r="S1368" s="157"/>
      <c r="T1368" s="157"/>
      <c r="U1368" s="157"/>
      <c r="V1368" s="3589"/>
      <c r="W1368" s="766">
        <v>14.1</v>
      </c>
      <c r="X1368" s="765">
        <v>14.1</v>
      </c>
      <c r="Y1368" s="766">
        <v>14.1</v>
      </c>
      <c r="Z1368" s="2426">
        <v>14.1</v>
      </c>
      <c r="AA1368" s="2426">
        <v>14.1</v>
      </c>
      <c r="AB1368" s="2426">
        <v>14.1</v>
      </c>
      <c r="AC1368" s="766"/>
      <c r="AD1368" s="766"/>
      <c r="AE1368" s="766"/>
      <c r="AF1368" s="766"/>
      <c r="AG1368" s="766"/>
      <c r="BB1368" s="647"/>
      <c r="BC1368" s="658"/>
      <c r="BD1368" s="757"/>
      <c r="BE1368" s="659"/>
    </row>
    <row r="1369" spans="1:57" s="64" customFormat="1" ht="15" customHeight="1" outlineLevel="1" x14ac:dyDescent="0.25">
      <c r="A1369" s="1393"/>
      <c r="B1369" s="157"/>
      <c r="C1369" s="385"/>
      <c r="D1369" s="3588" t="s">
        <v>291</v>
      </c>
      <c r="E1369" s="3765" t="s">
        <v>1327</v>
      </c>
      <c r="F1369" s="3743" t="str">
        <f>$E$1295</f>
        <v>GSHP - EER 23 - replace electric furnace / CAC - Cooling</v>
      </c>
      <c r="G1369" s="3743"/>
      <c r="H1369" s="3743"/>
      <c r="I1369" s="3065"/>
      <c r="J1369" s="3252">
        <v>27.751818181818177</v>
      </c>
      <c r="K1369" s="3253"/>
      <c r="L1369" s="3744" t="s">
        <v>3674</v>
      </c>
      <c r="M1369" s="1407"/>
      <c r="N1369" s="1407"/>
      <c r="O1369" s="157"/>
      <c r="P1369" s="157"/>
      <c r="Q1369" s="157"/>
      <c r="R1369" s="157"/>
      <c r="S1369" s="157"/>
      <c r="T1369" s="157"/>
      <c r="U1369" s="157"/>
      <c r="V1369" s="3588" t="s">
        <v>291</v>
      </c>
      <c r="W1369" s="2428">
        <v>26.7</v>
      </c>
      <c r="X1369" s="759">
        <v>27.07</v>
      </c>
      <c r="Y1369" s="902">
        <v>28</v>
      </c>
      <c r="Z1369" s="901">
        <v>28</v>
      </c>
      <c r="AA1369" s="901">
        <v>28</v>
      </c>
      <c r="AB1369" s="2704">
        <v>27.751818181818177</v>
      </c>
      <c r="AC1369" s="2428"/>
      <c r="AD1369" s="2428"/>
      <c r="AE1369" s="2428"/>
      <c r="AF1369" s="2428"/>
      <c r="AG1369" s="2428"/>
      <c r="BB1369" s="647"/>
      <c r="BC1369" s="658"/>
      <c r="BD1369" s="757"/>
      <c r="BE1369" s="659"/>
    </row>
    <row r="1370" spans="1:57" s="64" customFormat="1" ht="15" customHeight="1" outlineLevel="1" x14ac:dyDescent="0.25">
      <c r="A1370" s="1393"/>
      <c r="B1370" s="157"/>
      <c r="C1370" s="385"/>
      <c r="D1370" s="3589"/>
      <c r="E1370" s="3527"/>
      <c r="F1370" s="3672" t="str">
        <f>$E$1297</f>
        <v>GSHP - EER 23 - replace electric furnace / CAC ER1- Cooling</v>
      </c>
      <c r="G1370" s="3672"/>
      <c r="H1370" s="3672"/>
      <c r="I1370" s="3056"/>
      <c r="J1370" s="3254">
        <v>29.562499999999996</v>
      </c>
      <c r="K1370" s="3251"/>
      <c r="L1370" s="3745"/>
      <c r="M1370" s="1407"/>
      <c r="N1370" s="1407"/>
      <c r="O1370" s="157"/>
      <c r="P1370" s="157"/>
      <c r="Q1370" s="157"/>
      <c r="R1370" s="157"/>
      <c r="S1370" s="157"/>
      <c r="T1370" s="157"/>
      <c r="U1370" s="157"/>
      <c r="V1370" s="3589"/>
      <c r="W1370" s="2426">
        <v>27.2</v>
      </c>
      <c r="X1370" s="765">
        <v>27.07</v>
      </c>
      <c r="Y1370" s="904">
        <v>28.1</v>
      </c>
      <c r="Z1370" s="2645">
        <v>28.1</v>
      </c>
      <c r="AA1370" s="2645">
        <v>28.1</v>
      </c>
      <c r="AB1370" s="2705">
        <v>29.562499999999996</v>
      </c>
      <c r="AC1370" s="2426"/>
      <c r="AD1370" s="2426"/>
      <c r="AE1370" s="2426"/>
      <c r="AF1370" s="2426"/>
      <c r="AG1370" s="2426"/>
      <c r="BB1370" s="647"/>
      <c r="BC1370" s="658"/>
      <c r="BD1370" s="757"/>
      <c r="BE1370" s="659"/>
    </row>
    <row r="1371" spans="1:57" s="64" customFormat="1" ht="15" customHeight="1" outlineLevel="1" x14ac:dyDescent="0.25">
      <c r="A1371" s="1393"/>
      <c r="B1371" s="157"/>
      <c r="C1371" s="385"/>
      <c r="D1371" s="3589"/>
      <c r="E1371" s="3527"/>
      <c r="F1371" s="3672" t="str">
        <f>$E$1299</f>
        <v>GSHP - EER 23 - replace electric furnace / CAC ER2- Cooling</v>
      </c>
      <c r="G1371" s="3672"/>
      <c r="H1371" s="3672"/>
      <c r="I1371" s="3056"/>
      <c r="J1371" s="3254">
        <f>J1370</f>
        <v>29.562499999999996</v>
      </c>
      <c r="K1371" s="3051"/>
      <c r="L1371" s="3745"/>
      <c r="M1371" s="1407"/>
      <c r="N1371" s="1407"/>
      <c r="O1371" s="157"/>
      <c r="P1371" s="157"/>
      <c r="Q1371" s="157"/>
      <c r="R1371" s="157"/>
      <c r="S1371" s="157"/>
      <c r="T1371" s="157"/>
      <c r="U1371" s="157"/>
      <c r="V1371" s="3589"/>
      <c r="W1371" s="2426">
        <v>27.2</v>
      </c>
      <c r="X1371" s="765">
        <v>27.07</v>
      </c>
      <c r="Y1371" s="904">
        <v>28.1</v>
      </c>
      <c r="Z1371" s="2645">
        <v>28.1</v>
      </c>
      <c r="AA1371" s="2645">
        <v>28.1</v>
      </c>
      <c r="AB1371" s="2705">
        <v>29.562499999999996</v>
      </c>
      <c r="AC1371" s="2426"/>
      <c r="AD1371" s="2426"/>
      <c r="AE1371" s="2426"/>
      <c r="AF1371" s="2426"/>
      <c r="AG1371" s="2426"/>
      <c r="BB1371" s="647"/>
      <c r="BC1371" s="658"/>
      <c r="BD1371" s="757"/>
      <c r="BE1371" s="659"/>
    </row>
    <row r="1372" spans="1:57" s="64" customFormat="1" ht="15" customHeight="1" outlineLevel="1" x14ac:dyDescent="0.25">
      <c r="A1372" s="1393"/>
      <c r="B1372" s="157"/>
      <c r="C1372" s="385"/>
      <c r="D1372" s="3589"/>
      <c r="E1372" s="3527"/>
      <c r="F1372" s="3672" t="str">
        <f>$E$1301</f>
        <v>GSHP EER 23 ER1 - Cooling</v>
      </c>
      <c r="G1372" s="3672"/>
      <c r="H1372" s="3672"/>
      <c r="I1372" s="3056"/>
      <c r="J1372" s="3254">
        <v>27.412765957446812</v>
      </c>
      <c r="K1372" s="3051"/>
      <c r="L1372" s="3745"/>
      <c r="M1372" s="1407"/>
      <c r="N1372" s="1407"/>
      <c r="O1372" s="157"/>
      <c r="P1372" s="157"/>
      <c r="Q1372" s="157"/>
      <c r="R1372" s="157"/>
      <c r="S1372" s="157"/>
      <c r="T1372" s="157"/>
      <c r="U1372" s="157"/>
      <c r="V1372" s="3589"/>
      <c r="W1372" s="2426">
        <v>27.2</v>
      </c>
      <c r="X1372" s="765">
        <v>27.07</v>
      </c>
      <c r="Y1372" s="904">
        <v>28</v>
      </c>
      <c r="Z1372" s="2645">
        <v>28</v>
      </c>
      <c r="AA1372" s="2645">
        <v>28</v>
      </c>
      <c r="AB1372" s="2705">
        <v>27.412765957446812</v>
      </c>
      <c r="AC1372" s="2426"/>
      <c r="AD1372" s="2426"/>
      <c r="AE1372" s="2426"/>
      <c r="AF1372" s="2426"/>
      <c r="AG1372" s="2426"/>
      <c r="BB1372" s="647"/>
      <c r="BC1372" s="658"/>
      <c r="BD1372" s="757"/>
      <c r="BE1372" s="659"/>
    </row>
    <row r="1373" spans="1:57" s="2289" customFormat="1" ht="15" customHeight="1" outlineLevel="1" x14ac:dyDescent="0.25">
      <c r="A1373" s="1393"/>
      <c r="B1373" s="157"/>
      <c r="C1373" s="385"/>
      <c r="D1373" s="3589"/>
      <c r="E1373" s="3527"/>
      <c r="F1373" s="3802" t="str">
        <f>$E$1303</f>
        <v>GSHP EER 23 ER2 - Cooling</v>
      </c>
      <c r="G1373" s="3802"/>
      <c r="H1373" s="3802"/>
      <c r="I1373" s="3056"/>
      <c r="J1373" s="3255">
        <f>J1372</f>
        <v>27.412765957446812</v>
      </c>
      <c r="K1373" s="3256"/>
      <c r="L1373" s="3745"/>
      <c r="M1373" s="2422"/>
      <c r="N1373" s="2422"/>
      <c r="O1373" s="157"/>
      <c r="P1373" s="157"/>
      <c r="Q1373" s="157"/>
      <c r="R1373" s="157"/>
      <c r="S1373" s="157"/>
      <c r="T1373" s="157"/>
      <c r="U1373" s="157"/>
      <c r="V1373" s="3589"/>
      <c r="W1373" s="2426"/>
      <c r="X1373" s="765"/>
      <c r="Y1373" s="904"/>
      <c r="Z1373" s="2645"/>
      <c r="AA1373" s="2645"/>
      <c r="AB1373" s="2706">
        <v>27.412765957446812</v>
      </c>
      <c r="AC1373" s="2426"/>
      <c r="AD1373" s="2426"/>
      <c r="AE1373" s="2426"/>
      <c r="AF1373" s="2426"/>
      <c r="AG1373" s="2426"/>
      <c r="BB1373" s="647"/>
      <c r="BC1373" s="658"/>
      <c r="BD1373" s="757"/>
      <c r="BE1373" s="659"/>
    </row>
    <row r="1374" spans="1:57" s="64" customFormat="1" ht="15" customHeight="1" outlineLevel="1" thickBot="1" x14ac:dyDescent="0.3">
      <c r="A1374" s="1393"/>
      <c r="B1374" s="157"/>
      <c r="C1374" s="385"/>
      <c r="D1374" s="3687"/>
      <c r="E1374" s="3803"/>
      <c r="F1374" s="3764" t="str">
        <f>$E$1305</f>
        <v>GSHP EER 23 Replace at Fail GSHP</v>
      </c>
      <c r="G1374" s="3764"/>
      <c r="H1374" s="3764"/>
      <c r="I1374" s="3069"/>
      <c r="J1374" s="3257">
        <v>27.543478260869559</v>
      </c>
      <c r="K1374" s="3258"/>
      <c r="L1374" s="3746"/>
      <c r="M1374" s="1407"/>
      <c r="N1374" s="1407"/>
      <c r="O1374" s="157"/>
      <c r="P1374" s="157"/>
      <c r="Q1374" s="157"/>
      <c r="R1374" s="157"/>
      <c r="S1374" s="157"/>
      <c r="T1374" s="157"/>
      <c r="U1374" s="157"/>
      <c r="V1374" s="3687"/>
      <c r="W1374" s="2429">
        <v>26.7</v>
      </c>
      <c r="X1374" s="846">
        <v>27.07</v>
      </c>
      <c r="Y1374" s="2712">
        <v>28</v>
      </c>
      <c r="Z1374" s="2713">
        <v>28</v>
      </c>
      <c r="AA1374" s="2713">
        <v>28</v>
      </c>
      <c r="AB1374" s="2701">
        <v>27.543478260869559</v>
      </c>
      <c r="AC1374" s="2429"/>
      <c r="AD1374" s="2429"/>
      <c r="AE1374" s="2429"/>
      <c r="AF1374" s="2429"/>
      <c r="AG1374" s="2429"/>
      <c r="BB1374" s="647"/>
      <c r="BC1374" s="658"/>
      <c r="BD1374" s="757"/>
      <c r="BE1374" s="659"/>
    </row>
    <row r="1375" spans="1:57" s="2289" customFormat="1" ht="30.75" outlineLevel="1" thickBot="1" x14ac:dyDescent="0.3">
      <c r="A1375" s="1393"/>
      <c r="B1375" s="157"/>
      <c r="C1375" s="385"/>
      <c r="D1375" s="3261" t="s">
        <v>75</v>
      </c>
      <c r="E1375" s="3024" t="s">
        <v>3614</v>
      </c>
      <c r="F1375" s="3799" t="s">
        <v>591</v>
      </c>
      <c r="G1375" s="3800"/>
      <c r="H1375" s="3801"/>
      <c r="I1375" s="2717"/>
      <c r="J1375" s="2685">
        <v>1</v>
      </c>
      <c r="K1375" s="3259"/>
      <c r="L1375" s="3260" t="s">
        <v>3649</v>
      </c>
      <c r="M1375" s="2709"/>
      <c r="N1375" s="2709"/>
      <c r="O1375" s="2137"/>
      <c r="P1375" s="2137"/>
      <c r="Q1375" s="2137"/>
      <c r="R1375" s="2137"/>
      <c r="S1375" s="2137"/>
      <c r="T1375" s="2137"/>
      <c r="U1375" s="2137"/>
      <c r="V1375" s="3261" t="s">
        <v>75</v>
      </c>
      <c r="W1375" s="2707"/>
      <c r="X1375" s="2707"/>
      <c r="Y1375" s="2710"/>
      <c r="Z1375" s="2711"/>
      <c r="AA1375" s="2714"/>
      <c r="AB1375" s="2708">
        <v>1</v>
      </c>
      <c r="AC1375" s="2707"/>
      <c r="AD1375" s="2707"/>
      <c r="AE1375" s="2707"/>
      <c r="AF1375" s="2707"/>
      <c r="AG1375" s="2707"/>
      <c r="AH1375" s="2137"/>
      <c r="AI1375" s="2137"/>
      <c r="AJ1375" s="2137"/>
      <c r="AK1375" s="2137"/>
      <c r="AL1375" s="2137"/>
      <c r="AM1375" s="2137"/>
      <c r="AN1375" s="2137"/>
      <c r="AO1375" s="2137"/>
      <c r="AP1375" s="2137"/>
      <c r="AQ1375" s="2137"/>
      <c r="AR1375" s="2137"/>
      <c r="AS1375" s="2137"/>
      <c r="AT1375" s="2137"/>
      <c r="AU1375" s="2137"/>
      <c r="AV1375" s="2137"/>
      <c r="AW1375" s="2137"/>
      <c r="AX1375" s="2137"/>
      <c r="BB1375" s="647"/>
      <c r="BC1375" s="658"/>
      <c r="BD1375" s="757"/>
      <c r="BE1375" s="659"/>
    </row>
    <row r="1376" spans="1:57" s="64" customFormat="1" ht="15" customHeight="1" outlineLevel="1" x14ac:dyDescent="0.25">
      <c r="A1376" s="1393"/>
      <c r="B1376" s="1407"/>
      <c r="C1376" s="385"/>
      <c r="D1376" s="3588" t="s">
        <v>24</v>
      </c>
      <c r="E1376" s="3765" t="s">
        <v>611</v>
      </c>
      <c r="F1376" s="3759" t="str">
        <f t="shared" ref="F1376:F1387" si="133">E1295</f>
        <v>GSHP - EER 23 - replace electric furnace / CAC - Cooling</v>
      </c>
      <c r="G1376" s="3760"/>
      <c r="H1376" s="3761"/>
      <c r="I1376" s="3065"/>
      <c r="J1376" s="3065">
        <v>18</v>
      </c>
      <c r="K1376" s="903"/>
      <c r="L1376" s="835"/>
      <c r="M1376" s="1407"/>
      <c r="N1376" s="1407"/>
      <c r="O1376" s="157"/>
      <c r="P1376" s="157"/>
      <c r="Q1376" s="157"/>
      <c r="R1376" s="157"/>
      <c r="S1376" s="157"/>
      <c r="T1376" s="157"/>
      <c r="U1376" s="157"/>
      <c r="V1376" s="3588" t="str">
        <f>D1376</f>
        <v>EUL</v>
      </c>
      <c r="W1376" s="760">
        <v>18</v>
      </c>
      <c r="X1376" s="760">
        <v>18</v>
      </c>
      <c r="Y1376" s="760">
        <v>18</v>
      </c>
      <c r="Z1376" s="2428">
        <v>18</v>
      </c>
      <c r="AA1376" s="2428">
        <v>18</v>
      </c>
      <c r="AB1376" s="2428">
        <v>18</v>
      </c>
      <c r="AC1376" s="760"/>
      <c r="AD1376" s="760"/>
      <c r="AE1376" s="760"/>
      <c r="AF1376" s="760"/>
      <c r="AG1376" s="760"/>
      <c r="BB1376" s="647"/>
      <c r="BC1376" s="658"/>
      <c r="BD1376" s="757"/>
      <c r="BE1376" s="659"/>
    </row>
    <row r="1377" spans="1:57" s="64" customFormat="1" ht="15" customHeight="1" outlineLevel="1" x14ac:dyDescent="0.25">
      <c r="A1377" s="1393"/>
      <c r="B1377" s="1407"/>
      <c r="C1377" s="385"/>
      <c r="D1377" s="3589"/>
      <c r="E1377" s="3527"/>
      <c r="F1377" s="3736" t="str">
        <f t="shared" si="133"/>
        <v>GSHP - EER 23 - replace electric furnace / CAC - Heating</v>
      </c>
      <c r="G1377" s="3737"/>
      <c r="H1377" s="3738"/>
      <c r="I1377" s="3056"/>
      <c r="J1377" s="3056">
        <v>18</v>
      </c>
      <c r="K1377" s="898"/>
      <c r="L1377" s="782"/>
      <c r="M1377" s="1407"/>
      <c r="N1377" s="1407"/>
      <c r="O1377" s="157"/>
      <c r="P1377" s="157"/>
      <c r="Q1377" s="157"/>
      <c r="R1377" s="157"/>
      <c r="S1377" s="157"/>
      <c r="T1377" s="157"/>
      <c r="U1377" s="157"/>
      <c r="V1377" s="3589"/>
      <c r="W1377" s="766">
        <v>18</v>
      </c>
      <c r="X1377" s="766">
        <v>18</v>
      </c>
      <c r="Y1377" s="766">
        <v>18</v>
      </c>
      <c r="Z1377" s="2426">
        <v>18</v>
      </c>
      <c r="AA1377" s="2426">
        <v>18</v>
      </c>
      <c r="AB1377" s="2426">
        <v>18</v>
      </c>
      <c r="AC1377" s="766"/>
      <c r="AD1377" s="766"/>
      <c r="AE1377" s="766"/>
      <c r="AF1377" s="766"/>
      <c r="AG1377" s="766"/>
      <c r="BB1377" s="647"/>
      <c r="BC1377" s="658"/>
      <c r="BD1377" s="757"/>
      <c r="BE1377" s="659"/>
    </row>
    <row r="1378" spans="1:57" s="64" customFormat="1" ht="15" customHeight="1" outlineLevel="1" x14ac:dyDescent="0.25">
      <c r="A1378" s="1393"/>
      <c r="B1378" s="1407"/>
      <c r="C1378" s="385"/>
      <c r="D1378" s="3589"/>
      <c r="E1378" s="3527"/>
      <c r="F1378" s="3672" t="str">
        <f t="shared" si="133"/>
        <v>GSHP - EER 23 - replace electric furnace / CAC ER1- Cooling</v>
      </c>
      <c r="G1378" s="3672"/>
      <c r="H1378" s="3672"/>
      <c r="I1378" s="3056"/>
      <c r="J1378" s="3056">
        <v>6</v>
      </c>
      <c r="K1378" s="905"/>
      <c r="L1378" s="782"/>
      <c r="M1378" s="1407"/>
      <c r="N1378" s="1407"/>
      <c r="O1378" s="157"/>
      <c r="P1378" s="157"/>
      <c r="Q1378" s="157"/>
      <c r="R1378" s="157"/>
      <c r="S1378" s="157"/>
      <c r="T1378" s="157"/>
      <c r="U1378" s="157"/>
      <c r="V1378" s="3589"/>
      <c r="W1378" s="766">
        <v>6</v>
      </c>
      <c r="X1378" s="766">
        <v>6</v>
      </c>
      <c r="Y1378" s="766">
        <v>6</v>
      </c>
      <c r="Z1378" s="2426">
        <v>6</v>
      </c>
      <c r="AA1378" s="2426">
        <v>6</v>
      </c>
      <c r="AB1378" s="2426">
        <v>6</v>
      </c>
      <c r="AC1378" s="766"/>
      <c r="AD1378" s="766"/>
      <c r="AE1378" s="766"/>
      <c r="AF1378" s="766"/>
      <c r="AG1378" s="766"/>
      <c r="BB1378" s="647"/>
      <c r="BC1378" s="658"/>
      <c r="BD1378" s="757"/>
      <c r="BE1378" s="659"/>
    </row>
    <row r="1379" spans="1:57" s="64" customFormat="1" ht="15" customHeight="1" outlineLevel="1" x14ac:dyDescent="0.25">
      <c r="A1379" s="1393"/>
      <c r="B1379" s="1407"/>
      <c r="C1379" s="385"/>
      <c r="D1379" s="3589"/>
      <c r="E1379" s="3527"/>
      <c r="F1379" s="3672" t="str">
        <f t="shared" si="133"/>
        <v>GSHP - EER 23 - replace electric furnace / CAC ER1 - Heating</v>
      </c>
      <c r="G1379" s="3672"/>
      <c r="H1379" s="3672"/>
      <c r="I1379" s="3056"/>
      <c r="J1379" s="3056">
        <v>6</v>
      </c>
      <c r="K1379" s="905"/>
      <c r="L1379" s="782"/>
      <c r="M1379" s="1407"/>
      <c r="N1379" s="1407"/>
      <c r="O1379" s="157"/>
      <c r="P1379" s="157"/>
      <c r="Q1379" s="157"/>
      <c r="R1379" s="157"/>
      <c r="S1379" s="157"/>
      <c r="T1379" s="157"/>
      <c r="U1379" s="157"/>
      <c r="V1379" s="3589"/>
      <c r="W1379" s="766">
        <v>6</v>
      </c>
      <c r="X1379" s="766">
        <v>6</v>
      </c>
      <c r="Y1379" s="766">
        <v>6</v>
      </c>
      <c r="Z1379" s="2426">
        <v>6</v>
      </c>
      <c r="AA1379" s="2426">
        <v>6</v>
      </c>
      <c r="AB1379" s="2426">
        <v>6</v>
      </c>
      <c r="AC1379" s="766"/>
      <c r="AD1379" s="766"/>
      <c r="AE1379" s="766"/>
      <c r="AF1379" s="766"/>
      <c r="AG1379" s="766"/>
      <c r="BB1379" s="647"/>
      <c r="BC1379" s="658"/>
      <c r="BD1379" s="757"/>
      <c r="BE1379" s="659"/>
    </row>
    <row r="1380" spans="1:57" s="64" customFormat="1" ht="15" customHeight="1" outlineLevel="1" x14ac:dyDescent="0.25">
      <c r="A1380" s="1393"/>
      <c r="B1380" s="1407"/>
      <c r="C1380" s="385"/>
      <c r="D1380" s="3589"/>
      <c r="E1380" s="3527"/>
      <c r="F1380" s="3672" t="str">
        <f t="shared" si="133"/>
        <v>GSHP - EER 23 - replace electric furnace / CAC ER2- Cooling</v>
      </c>
      <c r="G1380" s="3672"/>
      <c r="H1380" s="3672"/>
      <c r="I1380" s="3056"/>
      <c r="J1380" s="3056">
        <v>12</v>
      </c>
      <c r="K1380" s="898"/>
      <c r="L1380" s="782"/>
      <c r="M1380" s="1407"/>
      <c r="N1380" s="1407"/>
      <c r="O1380" s="157"/>
      <c r="P1380" s="157"/>
      <c r="Q1380" s="157"/>
      <c r="R1380" s="157"/>
      <c r="S1380" s="157"/>
      <c r="T1380" s="157"/>
      <c r="U1380" s="157"/>
      <c r="V1380" s="3589"/>
      <c r="W1380" s="766">
        <v>12</v>
      </c>
      <c r="X1380" s="766">
        <v>12</v>
      </c>
      <c r="Y1380" s="766">
        <v>12</v>
      </c>
      <c r="Z1380" s="2426">
        <v>12</v>
      </c>
      <c r="AA1380" s="2426">
        <v>12</v>
      </c>
      <c r="AB1380" s="2426">
        <v>12</v>
      </c>
      <c r="AC1380" s="766"/>
      <c r="AD1380" s="766"/>
      <c r="AE1380" s="766"/>
      <c r="AF1380" s="766"/>
      <c r="AG1380" s="766"/>
      <c r="BB1380" s="647"/>
      <c r="BC1380" s="658"/>
      <c r="BD1380" s="757"/>
      <c r="BE1380" s="659"/>
    </row>
    <row r="1381" spans="1:57" s="64" customFormat="1" ht="15" customHeight="1" outlineLevel="1" x14ac:dyDescent="0.25">
      <c r="A1381" s="1393"/>
      <c r="B1381" s="1407"/>
      <c r="C1381" s="385"/>
      <c r="D1381" s="3589"/>
      <c r="E1381" s="3527"/>
      <c r="F1381" s="3672" t="str">
        <f t="shared" si="133"/>
        <v>GSHP - EER 23 - replace electric furnace / CAC ER2 - Heating</v>
      </c>
      <c r="G1381" s="3672"/>
      <c r="H1381" s="3672"/>
      <c r="I1381" s="3056"/>
      <c r="J1381" s="3056">
        <v>12</v>
      </c>
      <c r="K1381" s="898"/>
      <c r="L1381" s="782"/>
      <c r="M1381" s="1407"/>
      <c r="N1381" s="1407"/>
      <c r="O1381" s="157"/>
      <c r="P1381" s="157"/>
      <c r="Q1381" s="157"/>
      <c r="R1381" s="157"/>
      <c r="S1381" s="157"/>
      <c r="T1381" s="157"/>
      <c r="U1381" s="157"/>
      <c r="V1381" s="3589"/>
      <c r="W1381" s="766">
        <v>12</v>
      </c>
      <c r="X1381" s="766">
        <v>12</v>
      </c>
      <c r="Y1381" s="766">
        <v>12</v>
      </c>
      <c r="Z1381" s="2426">
        <v>12</v>
      </c>
      <c r="AA1381" s="2426">
        <v>12</v>
      </c>
      <c r="AB1381" s="2426">
        <v>12</v>
      </c>
      <c r="AC1381" s="766"/>
      <c r="AD1381" s="766"/>
      <c r="AE1381" s="766"/>
      <c r="AF1381" s="766"/>
      <c r="AG1381" s="766"/>
      <c r="BB1381" s="647"/>
      <c r="BC1381" s="658"/>
      <c r="BD1381" s="757"/>
      <c r="BE1381" s="659"/>
    </row>
    <row r="1382" spans="1:57" s="64" customFormat="1" ht="15" customHeight="1" outlineLevel="1" x14ac:dyDescent="0.25">
      <c r="A1382" s="1393"/>
      <c r="B1382" s="1407"/>
      <c r="C1382" s="385"/>
      <c r="D1382" s="3589"/>
      <c r="E1382" s="3527"/>
      <c r="F1382" s="3672" t="str">
        <f t="shared" si="133"/>
        <v>GSHP EER 23 ER1 - Cooling</v>
      </c>
      <c r="G1382" s="3672"/>
      <c r="H1382" s="3672"/>
      <c r="I1382" s="3056"/>
      <c r="J1382" s="3056">
        <v>6</v>
      </c>
      <c r="K1382" s="905"/>
      <c r="L1382" s="782"/>
      <c r="M1382" s="1407"/>
      <c r="N1382" s="1407"/>
      <c r="O1382" s="157"/>
      <c r="P1382" s="157"/>
      <c r="Q1382" s="157"/>
      <c r="R1382" s="157"/>
      <c r="S1382" s="157"/>
      <c r="T1382" s="157"/>
      <c r="U1382" s="157"/>
      <c r="V1382" s="3589"/>
      <c r="W1382" s="766">
        <v>6</v>
      </c>
      <c r="X1382" s="766">
        <v>6</v>
      </c>
      <c r="Y1382" s="766">
        <v>6</v>
      </c>
      <c r="Z1382" s="2426">
        <v>6</v>
      </c>
      <c r="AA1382" s="2426">
        <v>6</v>
      </c>
      <c r="AB1382" s="2426">
        <v>6</v>
      </c>
      <c r="AC1382" s="766"/>
      <c r="AD1382" s="766"/>
      <c r="AE1382" s="766"/>
      <c r="AF1382" s="766"/>
      <c r="AG1382" s="766"/>
      <c r="BB1382" s="647"/>
      <c r="BC1382" s="658"/>
      <c r="BD1382" s="757"/>
      <c r="BE1382" s="659"/>
    </row>
    <row r="1383" spans="1:57" s="64" customFormat="1" ht="15" customHeight="1" outlineLevel="1" x14ac:dyDescent="0.25">
      <c r="A1383" s="1393"/>
      <c r="B1383" s="1407"/>
      <c r="C1383" s="385"/>
      <c r="D1383" s="3589"/>
      <c r="E1383" s="3527"/>
      <c r="F1383" s="3672" t="str">
        <f t="shared" si="133"/>
        <v>GSHP EER 23 ER1 - Heating</v>
      </c>
      <c r="G1383" s="3672"/>
      <c r="H1383" s="3672"/>
      <c r="I1383" s="3056"/>
      <c r="J1383" s="3056">
        <v>6</v>
      </c>
      <c r="K1383" s="905"/>
      <c r="L1383" s="782"/>
      <c r="M1383" s="1407"/>
      <c r="N1383" s="1407"/>
      <c r="O1383" s="157"/>
      <c r="P1383" s="157"/>
      <c r="Q1383" s="157"/>
      <c r="R1383" s="157"/>
      <c r="S1383" s="157"/>
      <c r="T1383" s="157"/>
      <c r="U1383" s="157"/>
      <c r="V1383" s="3589"/>
      <c r="W1383" s="766">
        <v>6</v>
      </c>
      <c r="X1383" s="766">
        <v>6</v>
      </c>
      <c r="Y1383" s="766">
        <v>6</v>
      </c>
      <c r="Z1383" s="2426">
        <v>6</v>
      </c>
      <c r="AA1383" s="2426">
        <v>6</v>
      </c>
      <c r="AB1383" s="2426">
        <v>6</v>
      </c>
      <c r="AC1383" s="766"/>
      <c r="AD1383" s="766"/>
      <c r="AE1383" s="766"/>
      <c r="AF1383" s="766"/>
      <c r="AG1383" s="766"/>
      <c r="BB1383" s="647"/>
      <c r="BC1383" s="658"/>
      <c r="BD1383" s="757"/>
      <c r="BE1383" s="659"/>
    </row>
    <row r="1384" spans="1:57" s="64" customFormat="1" ht="15" customHeight="1" outlineLevel="1" x14ac:dyDescent="0.25">
      <c r="A1384" s="1393"/>
      <c r="B1384" s="1407"/>
      <c r="C1384" s="385"/>
      <c r="D1384" s="3589"/>
      <c r="E1384" s="3527"/>
      <c r="F1384" s="3672" t="str">
        <f t="shared" si="133"/>
        <v>GSHP EER 23 ER2 - Cooling</v>
      </c>
      <c r="G1384" s="3672"/>
      <c r="H1384" s="3672"/>
      <c r="I1384" s="3056"/>
      <c r="J1384" s="3056">
        <v>12</v>
      </c>
      <c r="K1384" s="898"/>
      <c r="L1384" s="782"/>
      <c r="M1384" s="1407"/>
      <c r="N1384" s="1407"/>
      <c r="O1384" s="157"/>
      <c r="P1384" s="157"/>
      <c r="Q1384" s="157"/>
      <c r="R1384" s="157"/>
      <c r="S1384" s="157"/>
      <c r="T1384" s="157"/>
      <c r="U1384" s="157"/>
      <c r="V1384" s="3589"/>
      <c r="W1384" s="766">
        <v>12</v>
      </c>
      <c r="X1384" s="766">
        <v>12</v>
      </c>
      <c r="Y1384" s="766">
        <v>12</v>
      </c>
      <c r="Z1384" s="2426">
        <v>12</v>
      </c>
      <c r="AA1384" s="2426">
        <v>12</v>
      </c>
      <c r="AB1384" s="2426">
        <v>12</v>
      </c>
      <c r="AC1384" s="766"/>
      <c r="AD1384" s="766"/>
      <c r="AE1384" s="766"/>
      <c r="AF1384" s="766"/>
      <c r="AG1384" s="766"/>
      <c r="BB1384" s="647"/>
      <c r="BC1384" s="658"/>
      <c r="BD1384" s="757"/>
      <c r="BE1384" s="659"/>
    </row>
    <row r="1385" spans="1:57" s="64" customFormat="1" ht="15" customHeight="1" outlineLevel="1" x14ac:dyDescent="0.25">
      <c r="A1385" s="1393"/>
      <c r="B1385" s="1407"/>
      <c r="C1385" s="385"/>
      <c r="D1385" s="3589"/>
      <c r="E1385" s="3527"/>
      <c r="F1385" s="3736" t="str">
        <f t="shared" si="133"/>
        <v>GSHP EER 23 ER2 - Heating</v>
      </c>
      <c r="G1385" s="3737"/>
      <c r="H1385" s="3738"/>
      <c r="I1385" s="3056"/>
      <c r="J1385" s="3056">
        <v>12</v>
      </c>
      <c r="K1385" s="905"/>
      <c r="L1385" s="782"/>
      <c r="M1385" s="1407"/>
      <c r="N1385" s="1407"/>
      <c r="O1385" s="157"/>
      <c r="P1385" s="157"/>
      <c r="Q1385" s="157"/>
      <c r="R1385" s="157"/>
      <c r="S1385" s="157"/>
      <c r="T1385" s="157"/>
      <c r="U1385" s="157"/>
      <c r="V1385" s="3589"/>
      <c r="W1385" s="766">
        <v>12</v>
      </c>
      <c r="X1385" s="766">
        <v>12</v>
      </c>
      <c r="Y1385" s="766">
        <v>12</v>
      </c>
      <c r="Z1385" s="2426">
        <v>12</v>
      </c>
      <c r="AA1385" s="2426">
        <v>12</v>
      </c>
      <c r="AB1385" s="2426">
        <v>12</v>
      </c>
      <c r="AC1385" s="766"/>
      <c r="AD1385" s="766"/>
      <c r="AE1385" s="766"/>
      <c r="AF1385" s="766"/>
      <c r="AG1385" s="766"/>
      <c r="BB1385" s="647"/>
      <c r="BC1385" s="658"/>
      <c r="BD1385" s="757"/>
      <c r="BE1385" s="659"/>
    </row>
    <row r="1386" spans="1:57" s="64" customFormat="1" ht="15" customHeight="1" outlineLevel="1" x14ac:dyDescent="0.25">
      <c r="A1386" s="1393"/>
      <c r="B1386" s="1407"/>
      <c r="C1386" s="385"/>
      <c r="D1386" s="3589"/>
      <c r="E1386" s="3527"/>
      <c r="F1386" s="3736" t="str">
        <f t="shared" si="133"/>
        <v>GSHP EER 23 Replace at Fail GSHP</v>
      </c>
      <c r="G1386" s="3737"/>
      <c r="H1386" s="3738"/>
      <c r="I1386" s="3056"/>
      <c r="J1386" s="3056">
        <v>18</v>
      </c>
      <c r="K1386" s="905"/>
      <c r="L1386" s="782"/>
      <c r="M1386" s="1407"/>
      <c r="N1386" s="1407"/>
      <c r="O1386" s="157"/>
      <c r="P1386" s="157"/>
      <c r="Q1386" s="157"/>
      <c r="R1386" s="157"/>
      <c r="S1386" s="157"/>
      <c r="T1386" s="157"/>
      <c r="U1386" s="157"/>
      <c r="V1386" s="3589"/>
      <c r="W1386" s="766">
        <v>18</v>
      </c>
      <c r="X1386" s="766">
        <v>18</v>
      </c>
      <c r="Y1386" s="766">
        <v>18</v>
      </c>
      <c r="Z1386" s="2426">
        <v>18</v>
      </c>
      <c r="AA1386" s="2426">
        <v>18</v>
      </c>
      <c r="AB1386" s="2426">
        <v>18</v>
      </c>
      <c r="AC1386" s="766"/>
      <c r="AD1386" s="766"/>
      <c r="AE1386" s="766"/>
      <c r="AF1386" s="766"/>
      <c r="AG1386" s="766"/>
      <c r="BB1386" s="647"/>
      <c r="BC1386" s="658"/>
      <c r="BD1386" s="757"/>
      <c r="BE1386" s="659"/>
    </row>
    <row r="1387" spans="1:57" s="64" customFormat="1" ht="15" customHeight="1" outlineLevel="1" thickBot="1" x14ac:dyDescent="0.3">
      <c r="A1387" s="1393"/>
      <c r="B1387" s="1407"/>
      <c r="C1387" s="385"/>
      <c r="D1387" s="3770"/>
      <c r="E1387" s="3527"/>
      <c r="F1387" s="3736" t="str">
        <f t="shared" si="133"/>
        <v>GSHP EER 23 Replace at Fail GSHP</v>
      </c>
      <c r="G1387" s="3737"/>
      <c r="H1387" s="3738"/>
      <c r="I1387" s="3056"/>
      <c r="J1387" s="3056">
        <v>18</v>
      </c>
      <c r="K1387" s="905"/>
      <c r="L1387" s="782"/>
      <c r="M1387" s="1407"/>
      <c r="N1387" s="1407"/>
      <c r="O1387" s="157"/>
      <c r="P1387" s="157"/>
      <c r="Q1387" s="157"/>
      <c r="R1387" s="157"/>
      <c r="S1387" s="157"/>
      <c r="T1387" s="157"/>
      <c r="U1387" s="157"/>
      <c r="V1387" s="3770"/>
      <c r="W1387" s="766">
        <v>18</v>
      </c>
      <c r="X1387" s="766">
        <v>18</v>
      </c>
      <c r="Y1387" s="766">
        <v>18</v>
      </c>
      <c r="Z1387" s="2426">
        <v>18</v>
      </c>
      <c r="AA1387" s="2426">
        <v>18</v>
      </c>
      <c r="AB1387" s="2426">
        <v>18</v>
      </c>
      <c r="AC1387" s="766"/>
      <c r="AD1387" s="766"/>
      <c r="AE1387" s="766"/>
      <c r="AF1387" s="766"/>
      <c r="AG1387" s="766"/>
      <c r="BB1387" s="647"/>
      <c r="BC1387" s="658"/>
      <c r="BD1387" s="757"/>
      <c r="BE1387" s="659"/>
    </row>
    <row r="1388" spans="1:57" s="64" customFormat="1" ht="15" customHeight="1" outlineLevel="1" x14ac:dyDescent="0.25">
      <c r="A1388" s="1393"/>
      <c r="B1388" s="1407"/>
      <c r="C1388" s="385"/>
      <c r="D1388" s="3588" t="s">
        <v>25</v>
      </c>
      <c r="E1388" s="3720" t="s">
        <v>897</v>
      </c>
      <c r="F1388" s="3759" t="str">
        <f t="shared" ref="F1388:F1399" si="134">E1295</f>
        <v>GSHP - EER 23 - replace electric furnace / CAC - Cooling</v>
      </c>
      <c r="G1388" s="3760"/>
      <c r="H1388" s="3761"/>
      <c r="I1388" s="3065"/>
      <c r="J1388" s="886">
        <v>4717</v>
      </c>
      <c r="K1388" s="903"/>
      <c r="L1388" s="835"/>
      <c r="M1388" s="1407"/>
      <c r="N1388" s="1407"/>
      <c r="O1388" s="157"/>
      <c r="P1388" s="157"/>
      <c r="Q1388" s="157"/>
      <c r="R1388" s="157"/>
      <c r="S1388" s="157"/>
      <c r="T1388" s="157"/>
      <c r="U1388" s="157"/>
      <c r="V1388" s="3588" t="str">
        <f>D1388</f>
        <v>Inc. Cost</v>
      </c>
      <c r="W1388" s="886">
        <v>4717</v>
      </c>
      <c r="X1388" s="886">
        <v>4717</v>
      </c>
      <c r="Y1388" s="886">
        <v>4717</v>
      </c>
      <c r="Z1388" s="886">
        <v>4717</v>
      </c>
      <c r="AA1388" s="886">
        <v>4717</v>
      </c>
      <c r="AB1388" s="886">
        <v>4717</v>
      </c>
      <c r="AC1388" s="886"/>
      <c r="AD1388" s="886"/>
      <c r="AE1388" s="886"/>
      <c r="AF1388" s="886"/>
      <c r="AG1388" s="886"/>
      <c r="BB1388" s="647"/>
      <c r="BC1388" s="658"/>
      <c r="BD1388" s="757"/>
      <c r="BE1388" s="659"/>
    </row>
    <row r="1389" spans="1:57" s="64" customFormat="1" ht="15" customHeight="1" outlineLevel="1" x14ac:dyDescent="0.25">
      <c r="A1389" s="1393"/>
      <c r="B1389" s="1407"/>
      <c r="C1389" s="385"/>
      <c r="D1389" s="3589"/>
      <c r="E1389" s="3721"/>
      <c r="F1389" s="3736" t="str">
        <f t="shared" si="134"/>
        <v>GSHP - EER 23 - replace electric furnace / CAC - Heating</v>
      </c>
      <c r="G1389" s="3737"/>
      <c r="H1389" s="3738"/>
      <c r="I1389" s="3056"/>
      <c r="J1389" s="889"/>
      <c r="K1389" s="898"/>
      <c r="L1389" s="782"/>
      <c r="M1389" s="1407"/>
      <c r="N1389" s="1407"/>
      <c r="O1389" s="157"/>
      <c r="P1389" s="157"/>
      <c r="Q1389" s="157"/>
      <c r="R1389" s="157"/>
      <c r="S1389" s="157"/>
      <c r="T1389" s="157"/>
      <c r="U1389" s="157"/>
      <c r="V1389" s="3589"/>
      <c r="W1389" s="889"/>
      <c r="X1389" s="889"/>
      <c r="Y1389" s="889"/>
      <c r="Z1389" s="889"/>
      <c r="AA1389" s="889"/>
      <c r="AB1389" s="889"/>
      <c r="AC1389" s="889"/>
      <c r="AD1389" s="889"/>
      <c r="AE1389" s="889"/>
      <c r="AF1389" s="889"/>
      <c r="AG1389" s="889"/>
      <c r="BB1389" s="647"/>
      <c r="BC1389" s="658"/>
      <c r="BD1389" s="757"/>
      <c r="BE1389" s="659"/>
    </row>
    <row r="1390" spans="1:57" s="64" customFormat="1" ht="15" customHeight="1" outlineLevel="1" x14ac:dyDescent="0.25">
      <c r="A1390" s="1393"/>
      <c r="B1390" s="1407"/>
      <c r="C1390" s="385"/>
      <c r="D1390" s="3589"/>
      <c r="E1390" s="3721"/>
      <c r="F1390" s="3672" t="str">
        <f t="shared" si="134"/>
        <v>GSHP - EER 23 - replace electric furnace / CAC ER1- Cooling</v>
      </c>
      <c r="G1390" s="3672"/>
      <c r="H1390" s="3672"/>
      <c r="I1390" s="3056"/>
      <c r="J1390" s="889">
        <v>5250</v>
      </c>
      <c r="K1390" s="905"/>
      <c r="L1390" s="782"/>
      <c r="M1390" s="1407"/>
      <c r="N1390" s="1407"/>
      <c r="O1390" s="157"/>
      <c r="P1390" s="157"/>
      <c r="Q1390" s="157"/>
      <c r="R1390" s="157"/>
      <c r="S1390" s="157"/>
      <c r="T1390" s="157"/>
      <c r="U1390" s="157"/>
      <c r="V1390" s="3589"/>
      <c r="W1390" s="889">
        <v>5250</v>
      </c>
      <c r="X1390" s="889">
        <v>5250</v>
      </c>
      <c r="Y1390" s="889">
        <v>5250</v>
      </c>
      <c r="Z1390" s="889">
        <v>5250</v>
      </c>
      <c r="AA1390" s="889">
        <v>5250</v>
      </c>
      <c r="AB1390" s="889">
        <v>5250</v>
      </c>
      <c r="AC1390" s="889"/>
      <c r="AD1390" s="889"/>
      <c r="AE1390" s="889"/>
      <c r="AF1390" s="889"/>
      <c r="AG1390" s="889"/>
      <c r="BB1390" s="647"/>
      <c r="BC1390" s="658"/>
      <c r="BD1390" s="757"/>
      <c r="BE1390" s="659"/>
    </row>
    <row r="1391" spans="1:57" s="64" customFormat="1" ht="15" customHeight="1" outlineLevel="1" x14ac:dyDescent="0.25">
      <c r="A1391" s="1393"/>
      <c r="B1391" s="1407"/>
      <c r="C1391" s="385"/>
      <c r="D1391" s="3589"/>
      <c r="E1391" s="3721"/>
      <c r="F1391" s="3672" t="str">
        <f t="shared" si="134"/>
        <v>GSHP - EER 23 - replace electric furnace / CAC ER1 - Heating</v>
      </c>
      <c r="G1391" s="3672"/>
      <c r="H1391" s="3672"/>
      <c r="I1391" s="3056"/>
      <c r="J1391" s="889"/>
      <c r="K1391" s="905"/>
      <c r="L1391" s="782"/>
      <c r="M1391" s="1407"/>
      <c r="N1391" s="1407"/>
      <c r="O1391" s="157"/>
      <c r="P1391" s="157"/>
      <c r="Q1391" s="157"/>
      <c r="R1391" s="157"/>
      <c r="S1391" s="157"/>
      <c r="T1391" s="157"/>
      <c r="U1391" s="157"/>
      <c r="V1391" s="3589"/>
      <c r="W1391" s="889"/>
      <c r="X1391" s="889"/>
      <c r="Y1391" s="889"/>
      <c r="Z1391" s="889"/>
      <c r="AA1391" s="889"/>
      <c r="AB1391" s="889"/>
      <c r="AC1391" s="889"/>
      <c r="AD1391" s="889"/>
      <c r="AE1391" s="889"/>
      <c r="AF1391" s="889"/>
      <c r="AG1391" s="889"/>
      <c r="BB1391" s="647"/>
      <c r="BC1391" s="658"/>
      <c r="BD1391" s="757"/>
      <c r="BE1391" s="659"/>
    </row>
    <row r="1392" spans="1:57" s="64" customFormat="1" ht="15" customHeight="1" outlineLevel="1" x14ac:dyDescent="0.25">
      <c r="A1392" s="1393"/>
      <c r="B1392" s="1407"/>
      <c r="C1392" s="385"/>
      <c r="D1392" s="3589"/>
      <c r="E1392" s="3721"/>
      <c r="F1392" s="3672" t="str">
        <f t="shared" si="134"/>
        <v>GSHP - EER 23 - replace electric furnace / CAC ER2- Cooling</v>
      </c>
      <c r="G1392" s="3672"/>
      <c r="H1392" s="3672"/>
      <c r="I1392" s="3056"/>
      <c r="J1392" s="889"/>
      <c r="K1392" s="898"/>
      <c r="L1392" s="782"/>
      <c r="M1392" s="1407"/>
      <c r="N1392" s="1407"/>
      <c r="O1392" s="157"/>
      <c r="P1392" s="157"/>
      <c r="Q1392" s="157"/>
      <c r="R1392" s="157"/>
      <c r="S1392" s="157"/>
      <c r="T1392" s="157"/>
      <c r="U1392" s="157"/>
      <c r="V1392" s="3589"/>
      <c r="W1392" s="889"/>
      <c r="X1392" s="889"/>
      <c r="Y1392" s="889"/>
      <c r="Z1392" s="889"/>
      <c r="AA1392" s="889"/>
      <c r="AB1392" s="889"/>
      <c r="AC1392" s="889"/>
      <c r="AD1392" s="889"/>
      <c r="AE1392" s="889"/>
      <c r="AF1392" s="889"/>
      <c r="AG1392" s="889"/>
      <c r="BB1392" s="647"/>
      <c r="BC1392" s="658"/>
      <c r="BD1392" s="757"/>
      <c r="BE1392" s="659"/>
    </row>
    <row r="1393" spans="1:61" s="64" customFormat="1" ht="15" customHeight="1" outlineLevel="1" x14ac:dyDescent="0.25">
      <c r="A1393" s="1393"/>
      <c r="B1393" s="1407"/>
      <c r="C1393" s="385"/>
      <c r="D1393" s="3589"/>
      <c r="E1393" s="3721"/>
      <c r="F1393" s="3672" t="str">
        <f t="shared" si="134"/>
        <v>GSHP - EER 23 - replace electric furnace / CAC ER2 - Heating</v>
      </c>
      <c r="G1393" s="3672"/>
      <c r="H1393" s="3672"/>
      <c r="I1393" s="3056"/>
      <c r="J1393" s="889"/>
      <c r="K1393" s="898"/>
      <c r="L1393" s="782"/>
      <c r="M1393" s="1407"/>
      <c r="N1393" s="1407"/>
      <c r="O1393" s="157"/>
      <c r="P1393" s="157"/>
      <c r="Q1393" s="157"/>
      <c r="R1393" s="157"/>
      <c r="S1393" s="157"/>
      <c r="T1393" s="157"/>
      <c r="U1393" s="157"/>
      <c r="V1393" s="3589"/>
      <c r="W1393" s="889"/>
      <c r="X1393" s="889"/>
      <c r="Y1393" s="889"/>
      <c r="Z1393" s="889"/>
      <c r="AA1393" s="889"/>
      <c r="AB1393" s="889"/>
      <c r="AC1393" s="889"/>
      <c r="AD1393" s="889"/>
      <c r="AE1393" s="889"/>
      <c r="AF1393" s="889"/>
      <c r="AG1393" s="889"/>
      <c r="BB1393" s="647"/>
      <c r="BC1393" s="658"/>
      <c r="BD1393" s="757"/>
      <c r="BE1393" s="659"/>
    </row>
    <row r="1394" spans="1:61" s="64" customFormat="1" ht="15" customHeight="1" outlineLevel="1" x14ac:dyDescent="0.25">
      <c r="A1394" s="1393"/>
      <c r="B1394" s="1407"/>
      <c r="C1394" s="385"/>
      <c r="D1394" s="3589"/>
      <c r="E1394" s="3721"/>
      <c r="F1394" s="3672" t="str">
        <f t="shared" si="134"/>
        <v>GSHP EER 23 ER1 - Cooling</v>
      </c>
      <c r="G1394" s="3672"/>
      <c r="H1394" s="3672"/>
      <c r="I1394" s="3056"/>
      <c r="J1394" s="889">
        <v>4859</v>
      </c>
      <c r="K1394" s="905"/>
      <c r="L1394" s="782"/>
      <c r="M1394" s="1407"/>
      <c r="N1394" s="1407"/>
      <c r="O1394" s="157"/>
      <c r="P1394" s="157"/>
      <c r="Q1394" s="157"/>
      <c r="R1394" s="157"/>
      <c r="S1394" s="157"/>
      <c r="T1394" s="157"/>
      <c r="U1394" s="157"/>
      <c r="V1394" s="3589"/>
      <c r="W1394" s="889">
        <v>4859</v>
      </c>
      <c r="X1394" s="889">
        <v>4859</v>
      </c>
      <c r="Y1394" s="889">
        <v>4859</v>
      </c>
      <c r="Z1394" s="889">
        <v>4859</v>
      </c>
      <c r="AA1394" s="889">
        <v>4859</v>
      </c>
      <c r="AB1394" s="889">
        <v>4859</v>
      </c>
      <c r="AC1394" s="889"/>
      <c r="AD1394" s="889"/>
      <c r="AE1394" s="889"/>
      <c r="AF1394" s="889"/>
      <c r="AG1394" s="889"/>
      <c r="BB1394" s="647"/>
      <c r="BC1394" s="658"/>
      <c r="BD1394" s="757"/>
      <c r="BE1394" s="659"/>
    </row>
    <row r="1395" spans="1:61" s="64" customFormat="1" ht="15" customHeight="1" outlineLevel="1" x14ac:dyDescent="0.25">
      <c r="A1395" s="1393"/>
      <c r="B1395" s="1407"/>
      <c r="C1395" s="385"/>
      <c r="D1395" s="3589"/>
      <c r="E1395" s="3721"/>
      <c r="F1395" s="3672" t="str">
        <f t="shared" si="134"/>
        <v>GSHP EER 23 ER1 - Heating</v>
      </c>
      <c r="G1395" s="3672"/>
      <c r="H1395" s="3672"/>
      <c r="I1395" s="3056"/>
      <c r="J1395" s="889"/>
      <c r="K1395" s="905"/>
      <c r="L1395" s="782"/>
      <c r="M1395" s="1407"/>
      <c r="N1395" s="1407"/>
      <c r="O1395" s="157"/>
      <c r="P1395" s="157"/>
      <c r="Q1395" s="157"/>
      <c r="R1395" s="157"/>
      <c r="S1395" s="157"/>
      <c r="T1395" s="157"/>
      <c r="U1395" s="157"/>
      <c r="V1395" s="3589"/>
      <c r="W1395" s="889"/>
      <c r="X1395" s="889"/>
      <c r="Y1395" s="889"/>
      <c r="Z1395" s="889"/>
      <c r="AA1395" s="889"/>
      <c r="AB1395" s="889"/>
      <c r="AC1395" s="889"/>
      <c r="AD1395" s="889"/>
      <c r="AE1395" s="889"/>
      <c r="AF1395" s="889"/>
      <c r="AG1395" s="889"/>
      <c r="BB1395" s="647"/>
      <c r="BC1395" s="658"/>
      <c r="BD1395" s="757"/>
      <c r="BE1395" s="659"/>
    </row>
    <row r="1396" spans="1:61" s="64" customFormat="1" ht="15" customHeight="1" outlineLevel="1" x14ac:dyDescent="0.25">
      <c r="A1396" s="1393"/>
      <c r="B1396" s="1407"/>
      <c r="C1396" s="385"/>
      <c r="D1396" s="3589"/>
      <c r="E1396" s="3721"/>
      <c r="F1396" s="3672" t="str">
        <f t="shared" si="134"/>
        <v>GSHP EER 23 ER2 - Cooling</v>
      </c>
      <c r="G1396" s="3672"/>
      <c r="H1396" s="3672"/>
      <c r="I1396" s="3056"/>
      <c r="J1396" s="889"/>
      <c r="K1396" s="898"/>
      <c r="L1396" s="782"/>
      <c r="M1396" s="1407"/>
      <c r="N1396" s="1407"/>
      <c r="O1396" s="157"/>
      <c r="P1396" s="157"/>
      <c r="Q1396" s="157"/>
      <c r="R1396" s="157"/>
      <c r="S1396" s="157"/>
      <c r="T1396" s="157"/>
      <c r="U1396" s="157"/>
      <c r="V1396" s="3589"/>
      <c r="W1396" s="889"/>
      <c r="X1396" s="889"/>
      <c r="Y1396" s="889"/>
      <c r="Z1396" s="889"/>
      <c r="AA1396" s="889"/>
      <c r="AB1396" s="889"/>
      <c r="AC1396" s="889"/>
      <c r="AD1396" s="889"/>
      <c r="AE1396" s="889"/>
      <c r="AF1396" s="889"/>
      <c r="AG1396" s="889"/>
      <c r="BB1396" s="647"/>
      <c r="BC1396" s="658"/>
      <c r="BD1396" s="757"/>
      <c r="BE1396" s="659"/>
    </row>
    <row r="1397" spans="1:61" s="64" customFormat="1" ht="15" customHeight="1" outlineLevel="1" x14ac:dyDescent="0.25">
      <c r="A1397" s="1393"/>
      <c r="B1397" s="1407"/>
      <c r="C1397" s="385"/>
      <c r="D1397" s="3589"/>
      <c r="E1397" s="3721"/>
      <c r="F1397" s="3736" t="str">
        <f t="shared" si="134"/>
        <v>GSHP EER 23 ER2 - Heating</v>
      </c>
      <c r="G1397" s="3737"/>
      <c r="H1397" s="3738"/>
      <c r="I1397" s="3056"/>
      <c r="J1397" s="889"/>
      <c r="K1397" s="905"/>
      <c r="L1397" s="782"/>
      <c r="M1397" s="1407"/>
      <c r="N1397" s="1407"/>
      <c r="O1397" s="157"/>
      <c r="P1397" s="157"/>
      <c r="Q1397" s="157"/>
      <c r="R1397" s="157"/>
      <c r="S1397" s="157"/>
      <c r="T1397" s="157"/>
      <c r="U1397" s="157"/>
      <c r="V1397" s="3589"/>
      <c r="W1397" s="889"/>
      <c r="X1397" s="889"/>
      <c r="Y1397" s="889"/>
      <c r="Z1397" s="889"/>
      <c r="AA1397" s="889"/>
      <c r="AB1397" s="889"/>
      <c r="AC1397" s="889"/>
      <c r="AD1397" s="889"/>
      <c r="AE1397" s="889"/>
      <c r="AF1397" s="889"/>
      <c r="AG1397" s="889"/>
      <c r="BB1397" s="647"/>
      <c r="BC1397" s="658"/>
      <c r="BD1397" s="757"/>
      <c r="BE1397" s="659"/>
    </row>
    <row r="1398" spans="1:61" s="64" customFormat="1" ht="15" customHeight="1" outlineLevel="1" x14ac:dyDescent="0.25">
      <c r="A1398" s="1393"/>
      <c r="B1398" s="1407"/>
      <c r="C1398" s="385"/>
      <c r="D1398" s="3589"/>
      <c r="E1398" s="3721"/>
      <c r="F1398" s="3736" t="str">
        <f t="shared" si="134"/>
        <v>GSHP EER 23 Replace at Fail GSHP</v>
      </c>
      <c r="G1398" s="3737"/>
      <c r="H1398" s="3738"/>
      <c r="I1398" s="3056"/>
      <c r="J1398" s="889">
        <v>3200</v>
      </c>
      <c r="K1398" s="905"/>
      <c r="L1398" s="782"/>
      <c r="M1398" s="1407"/>
      <c r="N1398" s="1407"/>
      <c r="O1398" s="157"/>
      <c r="P1398" s="157"/>
      <c r="Q1398" s="157"/>
      <c r="R1398" s="157"/>
      <c r="S1398" s="157"/>
      <c r="T1398" s="157"/>
      <c r="U1398" s="157"/>
      <c r="V1398" s="3589"/>
      <c r="W1398" s="889">
        <v>3200</v>
      </c>
      <c r="X1398" s="889">
        <v>3200</v>
      </c>
      <c r="Y1398" s="889">
        <v>3200</v>
      </c>
      <c r="Z1398" s="889">
        <v>3200</v>
      </c>
      <c r="AA1398" s="889">
        <v>3200</v>
      </c>
      <c r="AB1398" s="889">
        <v>3200</v>
      </c>
      <c r="AC1398" s="889"/>
      <c r="AD1398" s="889"/>
      <c r="AE1398" s="889"/>
      <c r="AF1398" s="889"/>
      <c r="AG1398" s="889"/>
      <c r="BB1398" s="647"/>
      <c r="BC1398" s="658"/>
      <c r="BD1398" s="757"/>
      <c r="BE1398" s="659"/>
    </row>
    <row r="1399" spans="1:61" s="64" customFormat="1" ht="15" customHeight="1" outlineLevel="1" thickBot="1" x14ac:dyDescent="0.3">
      <c r="A1399" s="1393"/>
      <c r="B1399" s="1407"/>
      <c r="C1399" s="385"/>
      <c r="D1399" s="3687"/>
      <c r="E1399" s="3742"/>
      <c r="F1399" s="3739" t="str">
        <f t="shared" si="134"/>
        <v>GSHP EER 23 Replace at Fail GSHP</v>
      </c>
      <c r="G1399" s="3740"/>
      <c r="H1399" s="3741"/>
      <c r="I1399" s="3069"/>
      <c r="J1399" s="906"/>
      <c r="K1399" s="907"/>
      <c r="L1399" s="840"/>
      <c r="M1399" s="1407"/>
      <c r="N1399" s="1407"/>
      <c r="O1399" s="157"/>
      <c r="P1399" s="157"/>
      <c r="Q1399" s="157"/>
      <c r="R1399" s="157"/>
      <c r="S1399" s="157"/>
      <c r="T1399" s="157"/>
      <c r="U1399" s="157"/>
      <c r="V1399" s="3687"/>
      <c r="W1399" s="906"/>
      <c r="X1399" s="906"/>
      <c r="Y1399" s="906"/>
      <c r="Z1399" s="906"/>
      <c r="AA1399" s="906"/>
      <c r="AB1399" s="906"/>
      <c r="AC1399" s="906"/>
      <c r="AD1399" s="906"/>
      <c r="AE1399" s="906"/>
      <c r="AF1399" s="906"/>
      <c r="AG1399" s="906"/>
      <c r="BB1399" s="647"/>
      <c r="BC1399" s="658"/>
      <c r="BD1399" s="757"/>
      <c r="BE1399" s="659"/>
    </row>
    <row r="1400" spans="1:61" x14ac:dyDescent="0.25">
      <c r="B1400" s="413"/>
      <c r="C1400" s="1792"/>
      <c r="D1400" s="545"/>
      <c r="E1400" s="545"/>
      <c r="F1400" s="1793"/>
      <c r="G1400" s="545"/>
      <c r="H1400" s="1793"/>
      <c r="I1400" s="1407"/>
      <c r="J1400" s="1793"/>
      <c r="K1400" s="1793"/>
      <c r="L1400" s="1793"/>
      <c r="M1400" s="768"/>
      <c r="P1400" s="768"/>
      <c r="Q1400" s="386"/>
      <c r="W1400" s="64"/>
      <c r="X1400" s="64"/>
      <c r="BC1400" s="658"/>
    </row>
    <row r="1401" spans="1:61" x14ac:dyDescent="0.25">
      <c r="E1401" s="545"/>
      <c r="F1401" s="1793"/>
      <c r="G1401" s="545"/>
      <c r="H1401" s="1793"/>
      <c r="I1401" s="1793"/>
      <c r="J1401" s="1793"/>
      <c r="K1401" s="1793"/>
      <c r="L1401" s="1793"/>
      <c r="M1401" s="1793"/>
      <c r="N1401" s="1793"/>
      <c r="O1401" s="892"/>
      <c r="P1401" s="892"/>
      <c r="Q1401" s="386"/>
      <c r="W1401" s="64"/>
      <c r="X1401" s="64"/>
    </row>
    <row r="1402" spans="1:61" s="64" customFormat="1" x14ac:dyDescent="0.25">
      <c r="A1402" s="1393"/>
      <c r="B1402" s="1404" t="s">
        <v>1328</v>
      </c>
      <c r="C1402" s="816"/>
      <c r="D1402" s="1405"/>
      <c r="E1402" s="1405"/>
      <c r="F1402" s="1405"/>
      <c r="G1402" s="1405"/>
      <c r="H1402" s="1405"/>
      <c r="I1402" s="1405"/>
      <c r="J1402" s="1405"/>
      <c r="K1402" s="1405"/>
      <c r="L1402" s="1405"/>
      <c r="M1402" s="1405"/>
      <c r="N1402" s="1405"/>
      <c r="O1402" s="1405"/>
      <c r="P1402" s="1405"/>
      <c r="Q1402" s="1428"/>
      <c r="R1402" s="157"/>
      <c r="S1402" s="157"/>
      <c r="T1402" s="157"/>
      <c r="U1402" s="157"/>
      <c r="V1402" s="3350" t="str">
        <f>B1402</f>
        <v>Air Source Heat Pumps</v>
      </c>
      <c r="W1402" s="3351"/>
      <c r="X1402" s="3351"/>
      <c r="Y1402" s="3351"/>
      <c r="Z1402" s="3351"/>
      <c r="AA1402" s="3351"/>
      <c r="AB1402" s="3351"/>
      <c r="AC1402" s="3354"/>
      <c r="AD1402" s="3354"/>
      <c r="AE1402" s="3354"/>
      <c r="AF1402" s="3354"/>
      <c r="AG1402" s="3354"/>
      <c r="AH1402" s="3355"/>
      <c r="BB1402" s="647"/>
      <c r="BC1402" s="648"/>
      <c r="BD1402" s="757"/>
    </row>
    <row r="1403" spans="1:61" s="64" customFormat="1" x14ac:dyDescent="0.25">
      <c r="A1403" s="1393"/>
      <c r="B1403" s="157"/>
      <c r="C1403" s="385"/>
      <c r="D1403" s="386"/>
      <c r="E1403" s="386"/>
      <c r="F1403" s="157"/>
      <c r="G1403" s="386"/>
      <c r="H1403" s="385"/>
      <c r="I1403" s="385"/>
      <c r="J1403" s="385"/>
      <c r="K1403" s="385"/>
      <c r="L1403" s="385"/>
      <c r="M1403" s="385"/>
      <c r="N1403" s="157"/>
      <c r="O1403" s="157"/>
      <c r="P1403" s="157"/>
      <c r="Q1403" s="386"/>
      <c r="R1403" s="157"/>
      <c r="S1403" s="157"/>
      <c r="T1403" s="157"/>
      <c r="U1403" s="157"/>
      <c r="V1403" s="157"/>
      <c r="BB1403" s="647"/>
      <c r="BC1403" s="648"/>
      <c r="BD1403" s="757"/>
    </row>
    <row r="1404" spans="1:61" s="64" customFormat="1" x14ac:dyDescent="0.25">
      <c r="A1404" s="1393"/>
      <c r="B1404" s="157"/>
      <c r="C1404" s="385"/>
      <c r="D1404" s="386" t="s">
        <v>1120</v>
      </c>
      <c r="E1404" s="386"/>
      <c r="F1404" s="157"/>
      <c r="G1404" s="386"/>
      <c r="H1404" s="157"/>
      <c r="I1404" s="385"/>
      <c r="J1404" s="385"/>
      <c r="K1404" s="385"/>
      <c r="L1404" s="385"/>
      <c r="M1404" s="385"/>
      <c r="N1404" s="157"/>
      <c r="O1404" s="157"/>
      <c r="P1404" s="157"/>
      <c r="Q1404" s="386"/>
      <c r="R1404" s="157"/>
      <c r="S1404" s="157"/>
      <c r="T1404" s="157"/>
      <c r="U1404" s="157"/>
      <c r="V1404" s="157"/>
      <c r="BB1404" s="647"/>
      <c r="BC1404" s="648"/>
      <c r="BD1404" s="757"/>
      <c r="BG1404" s="776"/>
      <c r="BH1404" s="776"/>
      <c r="BI1404" s="776"/>
    </row>
    <row r="1405" spans="1:61" s="64" customFormat="1" ht="30" x14ac:dyDescent="0.25">
      <c r="A1405" s="1393"/>
      <c r="B1405" s="157"/>
      <c r="C1405" s="1409" t="s">
        <v>17</v>
      </c>
      <c r="D1405" s="1409" t="s">
        <v>616</v>
      </c>
      <c r="E1405" s="1409" t="s">
        <v>19</v>
      </c>
      <c r="F1405" s="1409" t="s">
        <v>20</v>
      </c>
      <c r="G1405" s="1409" t="s">
        <v>21</v>
      </c>
      <c r="H1405" s="1409" t="s">
        <v>22</v>
      </c>
      <c r="I1405" s="1409" t="s">
        <v>23</v>
      </c>
      <c r="J1405" s="1413" t="s">
        <v>24</v>
      </c>
      <c r="K1405" s="1409" t="s">
        <v>25</v>
      </c>
      <c r="L1405" s="1409" t="s">
        <v>1121</v>
      </c>
      <c r="M1405" s="157"/>
      <c r="N1405" s="1794"/>
      <c r="O1405" s="157"/>
      <c r="P1405" s="157"/>
      <c r="Q1405" s="157"/>
      <c r="R1405" s="157"/>
      <c r="S1405" s="157"/>
      <c r="T1405" s="1795"/>
      <c r="U1405" s="157"/>
      <c r="V1405" s="623" t="str">
        <f>V1294</f>
        <v>REVISION DATE</v>
      </c>
      <c r="W1405" s="2284">
        <f>W$6</f>
        <v>43252</v>
      </c>
      <c r="X1405" s="2284">
        <f t="shared" ref="X1405:AG1405" si="135">X$6</f>
        <v>43465</v>
      </c>
      <c r="Y1405" s="2284">
        <f t="shared" si="135"/>
        <v>43800</v>
      </c>
      <c r="Z1405" s="2284">
        <f t="shared" si="135"/>
        <v>43862</v>
      </c>
      <c r="AA1405" s="2284">
        <f t="shared" si="135"/>
        <v>44013</v>
      </c>
      <c r="AB1405" s="2284">
        <f t="shared" si="135"/>
        <v>44166</v>
      </c>
      <c r="AC1405" s="2284" t="str">
        <f t="shared" si="135"/>
        <v>-</v>
      </c>
      <c r="AD1405" s="2284" t="str">
        <f t="shared" si="135"/>
        <v>-</v>
      </c>
      <c r="AE1405" s="2284" t="str">
        <f t="shared" si="135"/>
        <v>-</v>
      </c>
      <c r="AF1405" s="2284" t="str">
        <f t="shared" si="135"/>
        <v>-</v>
      </c>
      <c r="AG1405" s="2284" t="str">
        <f t="shared" si="135"/>
        <v>-</v>
      </c>
      <c r="BB1405" s="93" t="str">
        <f>$BB$6</f>
        <v>TRC (2020)</v>
      </c>
      <c r="BC1405" s="93" t="str">
        <f>$BC$6</f>
        <v>Benefit Lookup</v>
      </c>
      <c r="BD1405" s="741" t="str">
        <f>$BD$6</f>
        <v>Benefits (2019 $)</v>
      </c>
      <c r="BE1405" s="279" t="str">
        <f>$BE$6</f>
        <v>Incremental Cost (2019 $)</v>
      </c>
      <c r="BG1405" s="776"/>
      <c r="BH1405" s="375"/>
      <c r="BI1405" s="776"/>
    </row>
    <row r="1406" spans="1:61" s="64" customFormat="1" x14ac:dyDescent="0.25">
      <c r="A1406" s="1393" t="str">
        <f t="shared" ref="A1406:A1469" si="136">C1406&amp;G1406</f>
        <v>352300_2019_12_Cooling Res</v>
      </c>
      <c r="B1406" s="157"/>
      <c r="C1406" s="1352" t="s">
        <v>1329</v>
      </c>
      <c r="D1406" s="1658" t="s">
        <v>740</v>
      </c>
      <c r="E1406" s="1796" t="s">
        <v>1330</v>
      </c>
      <c r="F1406" s="2582">
        <f>ROUND(((K2194*K2322*(1/K2450-1/K2578)*K2706)/1000)*$K$2834,2)</f>
        <v>2165.13</v>
      </c>
      <c r="G1406" s="263" t="s">
        <v>1273</v>
      </c>
      <c r="H1406" s="202">
        <f>VLOOKUP(G1406,'CP FACTORS'!$A$3:$B$38, 2, FALSE)</f>
        <v>9.4741810000000004E-4</v>
      </c>
      <c r="I1406" s="1757">
        <f t="shared" ref="I1406:I1499" si="137">ROUND(F1406*H1406,6)</f>
        <v>2.0512830000000002</v>
      </c>
      <c r="J1406" s="141">
        <f t="shared" ref="J1406:J1433" si="138">K2835</f>
        <v>6</v>
      </c>
      <c r="K1406" s="908">
        <f t="shared" ref="K1406:K1433" si="139">K3005</f>
        <v>989.09301697589126</v>
      </c>
      <c r="L1406" s="909">
        <f>L1682</f>
        <v>2.8714285714285714</v>
      </c>
      <c r="M1406" s="1797"/>
      <c r="N1406" s="1794"/>
      <c r="O1406" s="1249"/>
      <c r="P1406" s="157"/>
      <c r="Q1406" s="157"/>
      <c r="R1406" s="1627"/>
      <c r="S1406" s="157"/>
      <c r="T1406" s="157"/>
      <c r="U1406" s="1798"/>
      <c r="V1406" s="2309" t="s">
        <v>20</v>
      </c>
      <c r="W1406" s="910">
        <v>2360.2134787689906</v>
      </c>
      <c r="X1406" s="911">
        <v>1720.2653061224485</v>
      </c>
      <c r="Y1406" s="830">
        <v>1628.99</v>
      </c>
      <c r="Z1406" s="825">
        <v>1628.99</v>
      </c>
      <c r="AA1406" s="825">
        <v>1628.99</v>
      </c>
      <c r="AB1406" s="488">
        <v>2165.13</v>
      </c>
      <c r="AC1406" s="910"/>
      <c r="AD1406" s="910"/>
      <c r="AE1406" s="910"/>
      <c r="AF1406" s="910"/>
      <c r="AG1406" s="910"/>
      <c r="AH1406" s="211"/>
      <c r="AK1406" s="912"/>
      <c r="BB1406" s="288">
        <f>(BD1406+BD1407+BD1408+BD1409)/(BE1406+BE1407+BE1408+BE1409)</f>
        <v>6.250354634852501</v>
      </c>
      <c r="BC1406" s="742" t="str">
        <f t="shared" ref="BC1406:BC1499" si="140">CONCATENATE(G1406," ",J1406," Year EUL")</f>
        <v>Cooling Res 6 Year EUL</v>
      </c>
      <c r="BD1406" s="749">
        <f>(INDEX('Avoided Cost Benefits'!$C$4:$C$857,MATCH(BC1406,'Avoided Cost Benefits'!$A$4:$A$857,0)))*F1406</f>
        <v>1258.9888056954726</v>
      </c>
      <c r="BE1406" s="69">
        <f t="shared" ref="BE1406:BE1469" si="141">K1406/(1.0595^(2020-2019))</f>
        <v>933.54697213392274</v>
      </c>
      <c r="BG1406" s="776"/>
      <c r="BH1406" s="913"/>
      <c r="BI1406" s="776"/>
    </row>
    <row r="1407" spans="1:61" s="64" customFormat="1" x14ac:dyDescent="0.25">
      <c r="A1407" s="1393" t="str">
        <f t="shared" si="136"/>
        <v>352300_2019_12_Heating Res</v>
      </c>
      <c r="B1407" s="157"/>
      <c r="C1407" s="1352" t="s">
        <v>1329</v>
      </c>
      <c r="D1407" s="1756" t="s">
        <v>740</v>
      </c>
      <c r="E1407" s="1457" t="s">
        <v>1330</v>
      </c>
      <c r="F1407" s="2582">
        <f>ROUND(((K1682*K1810*(1/K1938-1/K2066)*K2706)/1000)*$K$2834,2)</f>
        <v>9075</v>
      </c>
      <c r="G1407" s="263" t="s">
        <v>1275</v>
      </c>
      <c r="H1407" s="202">
        <f>VLOOKUP(G1407,'CP FACTORS'!$A$3:$B$38, 2, FALSE)</f>
        <v>0</v>
      </c>
      <c r="I1407" s="1757">
        <f t="shared" si="137"/>
        <v>0</v>
      </c>
      <c r="J1407" s="141">
        <f t="shared" si="138"/>
        <v>6</v>
      </c>
      <c r="K1407" s="908">
        <f t="shared" si="139"/>
        <v>0</v>
      </c>
      <c r="L1407" s="909"/>
      <c r="M1407" s="1797"/>
      <c r="N1407" s="1794"/>
      <c r="O1407" s="1249"/>
      <c r="P1407" s="157"/>
      <c r="Q1407" s="157"/>
      <c r="R1407" s="1627"/>
      <c r="S1407" s="157"/>
      <c r="T1407" s="157"/>
      <c r="U1407" s="1798"/>
      <c r="V1407" s="2309" t="s">
        <v>20</v>
      </c>
      <c r="W1407" s="910">
        <v>12036.528668217206</v>
      </c>
      <c r="X1407" s="911">
        <v>9788.00163331972</v>
      </c>
      <c r="Y1407" s="830">
        <v>9262.39</v>
      </c>
      <c r="Z1407" s="825">
        <v>9262.39</v>
      </c>
      <c r="AA1407" s="825">
        <v>9262.39</v>
      </c>
      <c r="AB1407" s="488">
        <v>9075</v>
      </c>
      <c r="AC1407" s="910"/>
      <c r="AD1407" s="910"/>
      <c r="AE1407" s="910"/>
      <c r="AF1407" s="910"/>
      <c r="AG1407" s="910"/>
      <c r="AH1407" s="211"/>
      <c r="AK1407" s="912"/>
      <c r="BB1407" s="822"/>
      <c r="BC1407" s="821" t="str">
        <f t="shared" si="140"/>
        <v>Heating Res 6 Year EUL</v>
      </c>
      <c r="BD1407" s="752">
        <f>(INDEX('Avoided Cost Benefits'!$C$4:$C$857,MATCH(BC1407,'Avoided Cost Benefits'!$A$4:$A$857,0)))*F1407</f>
        <v>1509.4765507832433</v>
      </c>
      <c r="BE1407" s="73">
        <f t="shared" si="141"/>
        <v>0</v>
      </c>
      <c r="BG1407" s="776"/>
      <c r="BH1407" s="913"/>
      <c r="BI1407" s="776"/>
    </row>
    <row r="1408" spans="1:61" s="64" customFormat="1" x14ac:dyDescent="0.25">
      <c r="A1408" s="1393" t="str">
        <f t="shared" si="136"/>
        <v>352300_2019_12_Cooling Res ER2</v>
      </c>
      <c r="B1408" s="157"/>
      <c r="C1408" s="1352" t="s">
        <v>1329</v>
      </c>
      <c r="D1408" s="1756" t="s">
        <v>740</v>
      </c>
      <c r="E1408" s="1457" t="s">
        <v>1331</v>
      </c>
      <c r="F1408" s="2582">
        <f>ROUND(((K2195*K2323*(1/K2451-1/K2579)*K2707)/1000)*$K$2834,2)</f>
        <v>324.12</v>
      </c>
      <c r="G1408" s="1787" t="s">
        <v>1314</v>
      </c>
      <c r="H1408" s="202">
        <f>VLOOKUP(G1408,'CP FACTORS'!$A$3:$B$38, 2, FALSE)</f>
        <v>9.4741810000000004E-4</v>
      </c>
      <c r="I1408" s="1757">
        <f t="shared" si="137"/>
        <v>0.30707699999999999</v>
      </c>
      <c r="J1408" s="141">
        <f t="shared" si="138"/>
        <v>12</v>
      </c>
      <c r="K1408" s="908">
        <f t="shared" si="139"/>
        <v>0</v>
      </c>
      <c r="L1408" s="909"/>
      <c r="M1408" s="1797"/>
      <c r="N1408" s="1794"/>
      <c r="O1408" s="1249"/>
      <c r="P1408" s="157"/>
      <c r="Q1408" s="157"/>
      <c r="R1408" s="1627"/>
      <c r="S1408" s="157"/>
      <c r="T1408" s="157"/>
      <c r="U1408" s="1798"/>
      <c r="V1408" s="2309" t="s">
        <v>20</v>
      </c>
      <c r="W1408" s="910">
        <v>312.36189505858374</v>
      </c>
      <c r="X1408" s="911">
        <v>344.16219780219757</v>
      </c>
      <c r="Y1408" s="830">
        <v>324.83999999999997</v>
      </c>
      <c r="Z1408" s="825">
        <v>324.83999999999997</v>
      </c>
      <c r="AA1408" s="825">
        <v>324.83999999999997</v>
      </c>
      <c r="AB1408" s="488">
        <v>324.12</v>
      </c>
      <c r="AC1408" s="910"/>
      <c r="AD1408" s="910"/>
      <c r="AE1408" s="910"/>
      <c r="AF1408" s="910"/>
      <c r="AG1408" s="910"/>
      <c r="AH1408" s="211"/>
      <c r="AK1408" s="912"/>
      <c r="BB1408" s="822"/>
      <c r="BC1408" s="821" t="str">
        <f t="shared" si="140"/>
        <v>Cooling Res ER2 12 Year EUL</v>
      </c>
      <c r="BD1408" s="752">
        <f>(INDEX('Avoided Cost Benefits'!$C$4:$C$857,MATCH(BC1408,'Avoided Cost Benefits'!$A$4:$A$857,0)))*F1408</f>
        <v>383.21469714582554</v>
      </c>
      <c r="BE1408" s="73">
        <f t="shared" si="141"/>
        <v>0</v>
      </c>
      <c r="BG1408" s="776"/>
      <c r="BH1408" s="913"/>
      <c r="BI1408" s="776"/>
    </row>
    <row r="1409" spans="1:61" s="64" customFormat="1" x14ac:dyDescent="0.25">
      <c r="A1409" s="1393" t="str">
        <f t="shared" si="136"/>
        <v>352300_2019_12_Heating Res ER2</v>
      </c>
      <c r="B1409" s="157"/>
      <c r="C1409" s="1352" t="s">
        <v>1329</v>
      </c>
      <c r="D1409" s="1756" t="s">
        <v>740</v>
      </c>
      <c r="E1409" s="1458" t="s">
        <v>1331</v>
      </c>
      <c r="F1409" s="2582">
        <f>ROUND(((K1683*K1811*(1/K1939-1/K2067)*K2707)/1000)*$K$2834,2)</f>
        <v>9075</v>
      </c>
      <c r="G1409" s="1787" t="s">
        <v>1332</v>
      </c>
      <c r="H1409" s="202">
        <f>VLOOKUP(G1409,'CP FACTORS'!$A$3:$B$38, 2, FALSE)</f>
        <v>0</v>
      </c>
      <c r="I1409" s="1757">
        <f t="shared" si="137"/>
        <v>0</v>
      </c>
      <c r="J1409" s="141">
        <f t="shared" si="138"/>
        <v>12</v>
      </c>
      <c r="K1409" s="908">
        <f t="shared" si="139"/>
        <v>0</v>
      </c>
      <c r="L1409" s="909"/>
      <c r="M1409" s="1797"/>
      <c r="N1409" s="1794"/>
      <c r="O1409" s="1249"/>
      <c r="P1409" s="157"/>
      <c r="Q1409" s="157"/>
      <c r="R1409" s="1627"/>
      <c r="S1409" s="157"/>
      <c r="T1409" s="157"/>
      <c r="U1409" s="1798"/>
      <c r="V1409" s="2309" t="s">
        <v>20</v>
      </c>
      <c r="W1409" s="910">
        <v>12036.528668217206</v>
      </c>
      <c r="X1409" s="911">
        <v>9788.00163331972</v>
      </c>
      <c r="Y1409" s="830">
        <v>9262.39</v>
      </c>
      <c r="Z1409" s="825">
        <v>9262.39</v>
      </c>
      <c r="AA1409" s="825">
        <v>9262.39</v>
      </c>
      <c r="AB1409" s="488">
        <v>9075</v>
      </c>
      <c r="AC1409" s="910"/>
      <c r="AD1409" s="910"/>
      <c r="AE1409" s="910"/>
      <c r="AF1409" s="910"/>
      <c r="AG1409" s="910"/>
      <c r="AH1409" s="211"/>
      <c r="AK1409" s="912"/>
      <c r="BB1409" s="822"/>
      <c r="BC1409" s="750" t="str">
        <f t="shared" si="140"/>
        <v>Heating Res ER2 12 Year EUL</v>
      </c>
      <c r="BD1409" s="752">
        <f>(INDEX('Avoided Cost Benefits'!$C$4:$C$857,MATCH(BC1409,'Avoided Cost Benefits'!$A$4:$A$857,0)))*F1409</f>
        <v>2683.3195905052416</v>
      </c>
      <c r="BE1409" s="73">
        <f t="shared" si="141"/>
        <v>0</v>
      </c>
      <c r="BG1409" s="776"/>
      <c r="BH1409" s="913"/>
      <c r="BI1409" s="776"/>
    </row>
    <row r="1410" spans="1:61" s="64" customFormat="1" x14ac:dyDescent="0.25">
      <c r="A1410" s="1393" t="str">
        <f t="shared" si="136"/>
        <v>352350_2019_12_Cooling Res</v>
      </c>
      <c r="B1410" s="157"/>
      <c r="C1410" s="1352" t="s">
        <v>1333</v>
      </c>
      <c r="D1410" s="1756" t="s">
        <v>740</v>
      </c>
      <c r="E1410" s="1796" t="s">
        <v>1334</v>
      </c>
      <c r="F1410" s="2582">
        <f>ROUND(((K2196*K2324*(1/K2452-1/K2580)*K2708)/1000)*$K$2834,2)</f>
        <v>2190.89</v>
      </c>
      <c r="G1410" s="263" t="s">
        <v>1273</v>
      </c>
      <c r="H1410" s="202">
        <f>VLOOKUP(G1410,'CP FACTORS'!$A$3:$B$38, 2, FALSE)</f>
        <v>9.4741810000000004E-4</v>
      </c>
      <c r="I1410" s="1757">
        <f t="shared" si="137"/>
        <v>2.0756890000000001</v>
      </c>
      <c r="J1410" s="141">
        <f t="shared" si="138"/>
        <v>6</v>
      </c>
      <c r="K1410" s="908">
        <f t="shared" si="139"/>
        <v>1044.1498640171662</v>
      </c>
      <c r="L1410" s="909">
        <f>L1684</f>
        <v>3.1018518518518516</v>
      </c>
      <c r="M1410" s="1797"/>
      <c r="N1410" s="1794"/>
      <c r="O1410" s="1249"/>
      <c r="P1410" s="157"/>
      <c r="Q1410" s="157"/>
      <c r="R1410" s="1627"/>
      <c r="S1410" s="157"/>
      <c r="T1410" s="157"/>
      <c r="U1410" s="1798"/>
      <c r="V1410" s="2309" t="s">
        <v>20</v>
      </c>
      <c r="W1410" s="910">
        <v>2348.9856512141278</v>
      </c>
      <c r="X1410" s="911">
        <v>1720.2653061224485</v>
      </c>
      <c r="Y1410" s="830">
        <v>1647.18</v>
      </c>
      <c r="Z1410" s="825">
        <v>1647.18</v>
      </c>
      <c r="AA1410" s="825">
        <v>1647.18</v>
      </c>
      <c r="AB1410" s="488">
        <v>2190.89</v>
      </c>
      <c r="AC1410" s="910"/>
      <c r="AD1410" s="910"/>
      <c r="AE1410" s="910"/>
      <c r="AF1410" s="910"/>
      <c r="AG1410" s="910"/>
      <c r="AH1410" s="211"/>
      <c r="AK1410" s="912"/>
      <c r="BB1410" s="293">
        <f>(BD1410+BD1411+BD1412+BD1413)/(BE1410+BE1411+BE1412+BE1413)</f>
        <v>1.8846243356412247</v>
      </c>
      <c r="BC1410" s="742" t="str">
        <f t="shared" si="140"/>
        <v>Cooling Res 6 Year EUL</v>
      </c>
      <c r="BD1410" s="752">
        <f>(INDEX('Avoided Cost Benefits'!$C$4:$C$857,MATCH(BC1410,'Avoided Cost Benefits'!$A$4:$A$857,0)))*F1410</f>
        <v>1273.9678377326782</v>
      </c>
      <c r="BE1410" s="73">
        <f t="shared" si="141"/>
        <v>985.51190563205864</v>
      </c>
      <c r="BG1410" s="776"/>
      <c r="BH1410" s="913"/>
      <c r="BI1410" s="776"/>
    </row>
    <row r="1411" spans="1:61" s="64" customFormat="1" x14ac:dyDescent="0.25">
      <c r="A1411" s="1393" t="str">
        <f t="shared" si="136"/>
        <v>352350_2019_12_Heating Res</v>
      </c>
      <c r="B1411" s="157"/>
      <c r="C1411" s="1352" t="s">
        <v>1333</v>
      </c>
      <c r="D1411" s="1756" t="s">
        <v>740</v>
      </c>
      <c r="E1411" s="1457" t="s">
        <v>1334</v>
      </c>
      <c r="F1411" s="2582">
        <f>ROUND(((K1684*K1812*(1/K1940-1/K2068)*K2708)/1000)*$K$2834,2)</f>
        <v>1893.17</v>
      </c>
      <c r="G1411" s="263" t="s">
        <v>1275</v>
      </c>
      <c r="H1411" s="202">
        <f>VLOOKUP(G1411,'CP FACTORS'!$A$3:$B$38, 2, FALSE)</f>
        <v>0</v>
      </c>
      <c r="I1411" s="1757">
        <f t="shared" si="137"/>
        <v>0</v>
      </c>
      <c r="J1411" s="141">
        <f t="shared" si="138"/>
        <v>6</v>
      </c>
      <c r="K1411" s="908">
        <f t="shared" si="139"/>
        <v>0</v>
      </c>
      <c r="L1411" s="909"/>
      <c r="M1411" s="1797"/>
      <c r="N1411" s="1794"/>
      <c r="O1411" s="1249"/>
      <c r="P1411" s="157"/>
      <c r="Q1411" s="157"/>
      <c r="R1411" s="1627"/>
      <c r="S1411" s="157"/>
      <c r="T1411" s="157"/>
      <c r="U1411" s="1798"/>
      <c r="V1411" s="2309" t="s">
        <v>20</v>
      </c>
      <c r="W1411" s="910">
        <v>5147.8078093306267</v>
      </c>
      <c r="X1411" s="911">
        <v>2027.0807587241729</v>
      </c>
      <c r="Y1411" s="830">
        <v>1982.47</v>
      </c>
      <c r="Z1411" s="825">
        <v>1982.47</v>
      </c>
      <c r="AA1411" s="825">
        <v>1982.47</v>
      </c>
      <c r="AB1411" s="488">
        <v>1893.17</v>
      </c>
      <c r="AC1411" s="910"/>
      <c r="AD1411" s="910"/>
      <c r="AE1411" s="910"/>
      <c r="AF1411" s="910"/>
      <c r="AG1411" s="910"/>
      <c r="AH1411" s="211"/>
      <c r="AK1411" s="912"/>
      <c r="BB1411" s="822"/>
      <c r="BC1411" s="821" t="str">
        <f t="shared" si="140"/>
        <v>Heating Res 6 Year EUL</v>
      </c>
      <c r="BD1411" s="752">
        <f>(INDEX('Avoided Cost Benefits'!$C$4:$C$857,MATCH(BC1411,'Avoided Cost Benefits'!$A$4:$A$857,0)))*F1411</f>
        <v>314.89760018141186</v>
      </c>
      <c r="BE1411" s="73">
        <f t="shared" si="141"/>
        <v>0</v>
      </c>
      <c r="BG1411" s="776"/>
      <c r="BH1411" s="913"/>
      <c r="BI1411" s="776"/>
    </row>
    <row r="1412" spans="1:61" s="64" customFormat="1" x14ac:dyDescent="0.25">
      <c r="A1412" s="1393" t="str">
        <f t="shared" si="136"/>
        <v>352350_2019_12_Cooling Res ER2</v>
      </c>
      <c r="B1412" s="157"/>
      <c r="C1412" s="1352" t="s">
        <v>1333</v>
      </c>
      <c r="D1412" s="1756" t="s">
        <v>740</v>
      </c>
      <c r="E1412" s="1457" t="s">
        <v>1335</v>
      </c>
      <c r="F1412" s="2582">
        <f>ROUND(((K2197*K2325*(1/K2453-1/K2581)*K2709)/1000)*$K$2834,2)</f>
        <v>171.72</v>
      </c>
      <c r="G1412" s="1787" t="s">
        <v>1314</v>
      </c>
      <c r="H1412" s="202">
        <f>VLOOKUP(G1412,'CP FACTORS'!$A$3:$B$38, 2, FALSE)</f>
        <v>9.4741810000000004E-4</v>
      </c>
      <c r="I1412" s="1757">
        <f t="shared" si="137"/>
        <v>0.162691</v>
      </c>
      <c r="J1412" s="141">
        <f t="shared" si="138"/>
        <v>12</v>
      </c>
      <c r="K1412" s="908">
        <f t="shared" si="139"/>
        <v>0</v>
      </c>
      <c r="L1412" s="909"/>
      <c r="M1412" s="1797"/>
      <c r="N1412" s="1794"/>
      <c r="O1412" s="1249"/>
      <c r="P1412" s="157"/>
      <c r="Q1412" s="157"/>
      <c r="R1412" s="1627"/>
      <c r="S1412" s="157"/>
      <c r="T1412" s="157"/>
      <c r="U1412" s="1798"/>
      <c r="V1412" s="2309" t="s">
        <v>20</v>
      </c>
      <c r="W1412" s="910">
        <v>168.20946073793726</v>
      </c>
      <c r="X1412" s="911">
        <v>168.83428571428527</v>
      </c>
      <c r="Y1412" s="830">
        <v>161.66</v>
      </c>
      <c r="Z1412" s="825">
        <v>161.66</v>
      </c>
      <c r="AA1412" s="825">
        <v>161.66</v>
      </c>
      <c r="AB1412" s="488">
        <v>171.72</v>
      </c>
      <c r="AC1412" s="910"/>
      <c r="AD1412" s="910"/>
      <c r="AE1412" s="910"/>
      <c r="AF1412" s="910"/>
      <c r="AG1412" s="910"/>
      <c r="AH1412" s="211"/>
      <c r="AK1412" s="912"/>
      <c r="BB1412" s="822"/>
      <c r="BC1412" s="821" t="str">
        <f t="shared" si="140"/>
        <v>Cooling Res ER2 12 Year EUL</v>
      </c>
      <c r="BD1412" s="752">
        <f>(INDEX('Avoided Cost Benefits'!$C$4:$C$857,MATCH(BC1412,'Avoided Cost Benefits'!$A$4:$A$857,0)))*F1412</f>
        <v>203.02859371183871</v>
      </c>
      <c r="BE1412" s="73">
        <f t="shared" si="141"/>
        <v>0</v>
      </c>
      <c r="BG1412" s="776"/>
      <c r="BH1412" s="913"/>
      <c r="BI1412" s="776"/>
    </row>
    <row r="1413" spans="1:61" s="64" customFormat="1" x14ac:dyDescent="0.25">
      <c r="A1413" s="1393" t="str">
        <f t="shared" si="136"/>
        <v>352350_2019_12_Heating Res ER2</v>
      </c>
      <c r="B1413" s="157"/>
      <c r="C1413" s="1352" t="s">
        <v>1333</v>
      </c>
      <c r="D1413" s="1756" t="s">
        <v>740</v>
      </c>
      <c r="E1413" s="1458" t="s">
        <v>1335</v>
      </c>
      <c r="F1413" s="2582">
        <f>ROUND(((K1685*K1813*(1/K1941-1/K2069)*K2709)/1000)*$K$2834,2)</f>
        <v>221.27</v>
      </c>
      <c r="G1413" s="1787" t="s">
        <v>1332</v>
      </c>
      <c r="H1413" s="202">
        <f>VLOOKUP(G1413,'CP FACTORS'!$A$3:$B$38, 2, FALSE)</f>
        <v>0</v>
      </c>
      <c r="I1413" s="1757">
        <f t="shared" si="137"/>
        <v>0</v>
      </c>
      <c r="J1413" s="141">
        <f t="shared" si="138"/>
        <v>12</v>
      </c>
      <c r="K1413" s="908">
        <f t="shared" si="139"/>
        <v>0</v>
      </c>
      <c r="L1413" s="909"/>
      <c r="M1413" s="1797"/>
      <c r="N1413" s="1794"/>
      <c r="O1413" s="1249"/>
      <c r="P1413" s="157"/>
      <c r="Q1413" s="157"/>
      <c r="R1413" s="1627"/>
      <c r="S1413" s="157"/>
      <c r="T1413" s="157"/>
      <c r="U1413" s="1798"/>
      <c r="V1413" s="2309" t="s">
        <v>20</v>
      </c>
      <c r="W1413" s="910">
        <v>523.79310344827582</v>
      </c>
      <c r="X1413" s="911">
        <v>377.74325409076874</v>
      </c>
      <c r="Y1413" s="830">
        <v>403.2</v>
      </c>
      <c r="Z1413" s="825">
        <v>403.2</v>
      </c>
      <c r="AA1413" s="825">
        <v>403.2</v>
      </c>
      <c r="AB1413" s="488">
        <v>221.27</v>
      </c>
      <c r="AC1413" s="910"/>
      <c r="AD1413" s="910"/>
      <c r="AE1413" s="910"/>
      <c r="AF1413" s="910"/>
      <c r="AG1413" s="910"/>
      <c r="AH1413" s="211"/>
      <c r="AK1413" s="912"/>
      <c r="BB1413" s="822"/>
      <c r="BC1413" s="750" t="str">
        <f t="shared" si="140"/>
        <v>Heating Res ER2 12 Year EUL</v>
      </c>
      <c r="BD1413" s="752">
        <f>(INDEX('Avoided Cost Benefits'!$C$4:$C$857,MATCH(BC1413,'Avoided Cost Benefits'!$A$4:$A$857,0)))*F1413</f>
        <v>65.425688792407144</v>
      </c>
      <c r="BE1413" s="73">
        <f t="shared" si="141"/>
        <v>0</v>
      </c>
      <c r="BG1413" s="776"/>
      <c r="BH1413" s="913"/>
      <c r="BI1413" s="776"/>
    </row>
    <row r="1414" spans="1:61" s="64" customFormat="1" x14ac:dyDescent="0.25">
      <c r="A1414" s="1393" t="str">
        <f t="shared" si="136"/>
        <v>352400_2019_12_Cooling Res</v>
      </c>
      <c r="B1414" s="157"/>
      <c r="C1414" s="1352" t="s">
        <v>1336</v>
      </c>
      <c r="D1414" s="1756" t="s">
        <v>740</v>
      </c>
      <c r="E1414" s="1799" t="s">
        <v>1337</v>
      </c>
      <c r="F1414" s="2582">
        <f>ROUND(((K2198*K2326*(1/K2454-1/K2582)*K2710)/1000)*$K$2834,2)</f>
        <v>345.06</v>
      </c>
      <c r="G1414" s="263" t="s">
        <v>1273</v>
      </c>
      <c r="H1414" s="202">
        <f>VLOOKUP(G1414,'CP FACTORS'!$A$3:$B$38, 2, FALSE)</f>
        <v>9.4741810000000004E-4</v>
      </c>
      <c r="I1414" s="1757">
        <f t="shared" si="137"/>
        <v>0.32691599999999998</v>
      </c>
      <c r="J1414" s="141">
        <f t="shared" si="138"/>
        <v>18</v>
      </c>
      <c r="K1414" s="908">
        <f t="shared" si="139"/>
        <v>303</v>
      </c>
      <c r="L1414" s="909">
        <f>L128</f>
        <v>3.2492627883650962</v>
      </c>
      <c r="M1414" s="1797"/>
      <c r="N1414" s="1794"/>
      <c r="O1414" s="1249"/>
      <c r="P1414" s="157"/>
      <c r="Q1414" s="157"/>
      <c r="R1414" s="1627"/>
      <c r="S1414" s="157"/>
      <c r="T1414" s="157"/>
      <c r="U1414" s="1798"/>
      <c r="V1414" s="2309" t="s">
        <v>20</v>
      </c>
      <c r="W1414" s="910">
        <v>301.86315789473701</v>
      </c>
      <c r="X1414" s="911">
        <v>344.16219780219757</v>
      </c>
      <c r="Y1414" s="830">
        <v>320.36</v>
      </c>
      <c r="Z1414" s="825">
        <v>320.36</v>
      </c>
      <c r="AA1414" s="825">
        <v>320.36</v>
      </c>
      <c r="AB1414" s="488">
        <v>345.06</v>
      </c>
      <c r="AC1414" s="910"/>
      <c r="AD1414" s="910"/>
      <c r="AE1414" s="910"/>
      <c r="AF1414" s="910"/>
      <c r="AG1414" s="910"/>
      <c r="AH1414" s="211"/>
      <c r="AK1414" s="912"/>
      <c r="BB1414" s="293">
        <f>(BD1414+BD1415)/(BE1414+BE1415)</f>
        <v>17.269292851874784</v>
      </c>
      <c r="BC1414" s="797" t="str">
        <f t="shared" si="140"/>
        <v>Cooling Res 18 Year EUL</v>
      </c>
      <c r="BD1414" s="752">
        <f>(INDEX('Avoided Cost Benefits'!$C$4:$C$857,MATCH(BC1414,'Avoided Cost Benefits'!$A$4:$A$857,0)))*F1414</f>
        <v>608.61947677765215</v>
      </c>
      <c r="BE1414" s="73">
        <f t="shared" si="141"/>
        <v>285.98395469561109</v>
      </c>
      <c r="BG1414" s="776"/>
      <c r="BH1414" s="913"/>
      <c r="BI1414" s="776"/>
    </row>
    <row r="1415" spans="1:61" s="64" customFormat="1" x14ac:dyDescent="0.25">
      <c r="A1415" s="1393" t="str">
        <f t="shared" si="136"/>
        <v>352400_2019_12_Heating Res</v>
      </c>
      <c r="B1415" s="157"/>
      <c r="C1415" s="1352" t="s">
        <v>1336</v>
      </c>
      <c r="D1415" s="1756" t="s">
        <v>740</v>
      </c>
      <c r="E1415" s="1800" t="s">
        <v>1337</v>
      </c>
      <c r="F1415" s="2582">
        <f>ROUND(((K1686*K1814*(1/K1942-1/K2070)*K2710)/1000)*$K$2834,2)</f>
        <v>9372.23</v>
      </c>
      <c r="G1415" s="263" t="s">
        <v>1275</v>
      </c>
      <c r="H1415" s="202">
        <f>VLOOKUP(G1415,'CP FACTORS'!$A$3:$B$38, 2, FALSE)</f>
        <v>0</v>
      </c>
      <c r="I1415" s="1757">
        <f t="shared" si="137"/>
        <v>0</v>
      </c>
      <c r="J1415" s="141">
        <f t="shared" si="138"/>
        <v>18</v>
      </c>
      <c r="K1415" s="908">
        <f t="shared" si="139"/>
        <v>0</v>
      </c>
      <c r="L1415" s="909"/>
      <c r="M1415" s="1797"/>
      <c r="N1415" s="1794"/>
      <c r="O1415" s="1249"/>
      <c r="P1415" s="157"/>
      <c r="Q1415" s="157"/>
      <c r="R1415" s="1627"/>
      <c r="S1415" s="157"/>
      <c r="T1415" s="157"/>
      <c r="U1415" s="1798"/>
      <c r="V1415" s="2309" t="s">
        <v>20</v>
      </c>
      <c r="W1415" s="910">
        <v>11093.001159380752</v>
      </c>
      <c r="X1415" s="911">
        <v>9788.00163331972</v>
      </c>
      <c r="Y1415" s="830">
        <v>9127.7999999999993</v>
      </c>
      <c r="Z1415" s="825">
        <v>9127.7999999999993</v>
      </c>
      <c r="AA1415" s="825">
        <v>9127.7999999999993</v>
      </c>
      <c r="AB1415" s="488">
        <v>9372.23</v>
      </c>
      <c r="AC1415" s="910"/>
      <c r="AD1415" s="910"/>
      <c r="AE1415" s="910"/>
      <c r="AF1415" s="910"/>
      <c r="AG1415" s="910"/>
      <c r="AH1415" s="211"/>
      <c r="AK1415" s="912"/>
      <c r="BB1415" s="291"/>
      <c r="BC1415" s="914" t="str">
        <f t="shared" si="140"/>
        <v>Heating Res 18 Year EUL</v>
      </c>
      <c r="BD1415" s="752">
        <f>(INDEX('Avoided Cost Benefits'!$C$4:$C$857,MATCH(BC1415,'Avoided Cost Benefits'!$A$4:$A$857,0)))*F1415</f>
        <v>4330.1211877981459</v>
      </c>
      <c r="BE1415" s="73">
        <f t="shared" si="141"/>
        <v>0</v>
      </c>
      <c r="BG1415" s="776"/>
      <c r="BH1415" s="913"/>
      <c r="BI1415" s="776"/>
    </row>
    <row r="1416" spans="1:61" s="64" customFormat="1" x14ac:dyDescent="0.25">
      <c r="A1416" s="1393" t="str">
        <f t="shared" si="136"/>
        <v>352450_2019_12_Cooling Res</v>
      </c>
      <c r="B1416" s="157"/>
      <c r="C1416" s="1352" t="s">
        <v>1338</v>
      </c>
      <c r="D1416" s="1756" t="s">
        <v>740</v>
      </c>
      <c r="E1416" s="1799" t="s">
        <v>1339</v>
      </c>
      <c r="F1416" s="2582">
        <f>ROUND(((K2199*K2327*(1/K2455-1/K2583)*K2711)/1000)*$K$2834,2)</f>
        <v>166.02</v>
      </c>
      <c r="G1416" s="263" t="s">
        <v>1273</v>
      </c>
      <c r="H1416" s="202">
        <f>VLOOKUP(G1416,'CP FACTORS'!$A$3:$B$38, 2, FALSE)</f>
        <v>9.4741810000000004E-4</v>
      </c>
      <c r="I1416" s="1757">
        <f t="shared" si="137"/>
        <v>0.15729000000000001</v>
      </c>
      <c r="J1416" s="141">
        <f t="shared" si="138"/>
        <v>18</v>
      </c>
      <c r="K1416" s="908">
        <f t="shared" si="139"/>
        <v>303</v>
      </c>
      <c r="L1416" s="909">
        <f>L1687</f>
        <v>2.89</v>
      </c>
      <c r="M1416" s="1797"/>
      <c r="N1416" s="1794"/>
      <c r="O1416" s="1249"/>
      <c r="P1416" s="157"/>
      <c r="Q1416" s="157"/>
      <c r="R1416" s="1627"/>
      <c r="S1416" s="157"/>
      <c r="T1416" s="157"/>
      <c r="U1416" s="1798"/>
      <c r="V1416" s="2309" t="s">
        <v>20</v>
      </c>
      <c r="W1416" s="910">
        <v>168.20946073793726</v>
      </c>
      <c r="X1416" s="911">
        <v>168.83428571428527</v>
      </c>
      <c r="Y1416" s="830">
        <v>166.02</v>
      </c>
      <c r="Z1416" s="825">
        <v>166.02</v>
      </c>
      <c r="AA1416" s="825">
        <v>166.02</v>
      </c>
      <c r="AB1416" s="2582">
        <v>166.02</v>
      </c>
      <c r="AC1416" s="910"/>
      <c r="AD1416" s="910"/>
      <c r="AE1416" s="910"/>
      <c r="AF1416" s="910"/>
      <c r="AG1416" s="910"/>
      <c r="AH1416" s="211"/>
      <c r="AK1416" s="912"/>
      <c r="BB1416" s="293">
        <f>(BD1416+BD1417)/(BE1416+BE1417)</f>
        <v>1.6113688844626437</v>
      </c>
      <c r="BC1416" s="797" t="str">
        <f t="shared" si="140"/>
        <v>Cooling Res 18 Year EUL</v>
      </c>
      <c r="BD1416" s="752">
        <f>(INDEX('Avoided Cost Benefits'!$C$4:$C$857,MATCH(BC1416,'Avoided Cost Benefits'!$A$4:$A$857,0)))*F1416</f>
        <v>292.82735041623431</v>
      </c>
      <c r="BE1416" s="73">
        <f t="shared" si="141"/>
        <v>285.98395469561109</v>
      </c>
      <c r="BG1416" s="776"/>
      <c r="BH1416" s="913"/>
      <c r="BI1416" s="776"/>
    </row>
    <row r="1417" spans="1:61" s="64" customFormat="1" x14ac:dyDescent="0.25">
      <c r="A1417" s="1393" t="str">
        <f t="shared" si="136"/>
        <v>352450_2019_12_Heating Res</v>
      </c>
      <c r="B1417" s="157"/>
      <c r="C1417" s="1352" t="s">
        <v>1338</v>
      </c>
      <c r="D1417" s="1756" t="s">
        <v>740</v>
      </c>
      <c r="E1417" s="1800" t="s">
        <v>1339</v>
      </c>
      <c r="F1417" s="2582">
        <f>ROUND(((K1687*K1815*(1/K1943-1/K2071)*K2711)/1000)*$K$2834,2)</f>
        <v>363.62</v>
      </c>
      <c r="G1417" s="263" t="s">
        <v>1275</v>
      </c>
      <c r="H1417" s="202">
        <f>VLOOKUP(G1417,'CP FACTORS'!$A$3:$B$38, 2, FALSE)</f>
        <v>0</v>
      </c>
      <c r="I1417" s="1757">
        <f t="shared" si="137"/>
        <v>0</v>
      </c>
      <c r="J1417" s="141">
        <f t="shared" si="138"/>
        <v>18</v>
      </c>
      <c r="K1417" s="908">
        <f t="shared" si="139"/>
        <v>0</v>
      </c>
      <c r="L1417" s="909"/>
      <c r="M1417" s="1797"/>
      <c r="N1417" s="1794"/>
      <c r="O1417" s="1249"/>
      <c r="P1417" s="157"/>
      <c r="Q1417" s="157"/>
      <c r="R1417" s="1627"/>
      <c r="S1417" s="157"/>
      <c r="T1417" s="157"/>
      <c r="U1417" s="1798"/>
      <c r="V1417" s="2309" t="s">
        <v>20</v>
      </c>
      <c r="W1417" s="910">
        <v>523.79310344827582</v>
      </c>
      <c r="X1417" s="911">
        <v>377.74325409076874</v>
      </c>
      <c r="Y1417" s="830">
        <v>363.62</v>
      </c>
      <c r="Z1417" s="825">
        <v>363.62</v>
      </c>
      <c r="AA1417" s="825">
        <v>363.62</v>
      </c>
      <c r="AB1417" s="2582">
        <v>363.62</v>
      </c>
      <c r="AC1417" s="910"/>
      <c r="AD1417" s="910"/>
      <c r="AE1417" s="910"/>
      <c r="AF1417" s="910"/>
      <c r="AG1417" s="910"/>
      <c r="AH1417" s="211"/>
      <c r="AK1417" s="912"/>
      <c r="BB1417" s="291"/>
      <c r="BC1417" s="914" t="str">
        <f t="shared" si="140"/>
        <v>Heating Res 18 Year EUL</v>
      </c>
      <c r="BD1417" s="752">
        <f>(INDEX('Avoided Cost Benefits'!$C$4:$C$857,MATCH(BC1417,'Avoided Cost Benefits'!$A$4:$A$857,0)))*F1417</f>
        <v>167.99829563584782</v>
      </c>
      <c r="BE1417" s="73">
        <f t="shared" si="141"/>
        <v>0</v>
      </c>
      <c r="BG1417" s="776"/>
      <c r="BH1417" s="913"/>
      <c r="BI1417" s="776"/>
    </row>
    <row r="1418" spans="1:61" s="64" customFormat="1" x14ac:dyDescent="0.25">
      <c r="A1418" s="1393" t="str">
        <f t="shared" si="136"/>
        <v>352500_2019_12_Cooling Res</v>
      </c>
      <c r="B1418" s="157"/>
      <c r="C1418" s="1352" t="s">
        <v>1340</v>
      </c>
      <c r="D1418" s="1756" t="s">
        <v>740</v>
      </c>
      <c r="E1418" s="1796" t="s">
        <v>1341</v>
      </c>
      <c r="F1418" s="2582">
        <f>ROUND(((K2200*K2328*(1/K2456-1/K2584)*K2712)/1000)*$K$2834,2)</f>
        <v>2277.63</v>
      </c>
      <c r="G1418" s="263" t="s">
        <v>1273</v>
      </c>
      <c r="H1418" s="202">
        <f>VLOOKUP(G1418,'CP FACTORS'!$A$3:$B$38, 2, FALSE)</f>
        <v>9.4741810000000004E-4</v>
      </c>
      <c r="I1418" s="1757">
        <f t="shared" si="137"/>
        <v>2.1578680000000001</v>
      </c>
      <c r="J1418" s="141">
        <f t="shared" si="138"/>
        <v>6</v>
      </c>
      <c r="K1418" s="908">
        <f t="shared" si="139"/>
        <v>1142.384378503531</v>
      </c>
      <c r="L1418" s="909">
        <f>L1688</f>
        <v>2.9479813664596275</v>
      </c>
      <c r="M1418" s="1797"/>
      <c r="N1418" s="1794"/>
      <c r="O1418" s="1249"/>
      <c r="P1418" s="157"/>
      <c r="Q1418" s="157"/>
      <c r="R1418" s="1627"/>
      <c r="S1418" s="157"/>
      <c r="T1418" s="157"/>
      <c r="U1418" s="1798"/>
      <c r="V1418" s="2309" t="s">
        <v>20</v>
      </c>
      <c r="W1418" s="910">
        <v>2733.5161764705886</v>
      </c>
      <c r="X1418" s="911">
        <v>1836.3388775510205</v>
      </c>
      <c r="Y1418" s="830">
        <v>1908.35</v>
      </c>
      <c r="Z1418" s="825">
        <v>1908.35</v>
      </c>
      <c r="AA1418" s="825">
        <v>1908.35</v>
      </c>
      <c r="AB1418" s="488">
        <v>2277.63</v>
      </c>
      <c r="AC1418" s="910"/>
      <c r="AD1418" s="910"/>
      <c r="AE1418" s="910"/>
      <c r="AF1418" s="910"/>
      <c r="AG1418" s="910"/>
      <c r="AH1418" s="211"/>
      <c r="AK1418" s="912"/>
      <c r="BB1418" s="293">
        <f>(BD1418+BD1419+BD1420+BD1421)/(BE1418+BE1419+BE1420+BE1421)</f>
        <v>5.7065794907556047</v>
      </c>
      <c r="BC1418" s="742" t="str">
        <f t="shared" si="140"/>
        <v>Cooling Res 6 Year EUL</v>
      </c>
      <c r="BD1418" s="752">
        <f>(INDEX('Avoided Cost Benefits'!$C$4:$C$857,MATCH(BC1418,'Avoided Cost Benefits'!$A$4:$A$857,0)))*F1418</f>
        <v>1324.405774025661</v>
      </c>
      <c r="BE1418" s="73">
        <f t="shared" si="141"/>
        <v>1078.2297107159329</v>
      </c>
      <c r="BG1418" s="776"/>
      <c r="BH1418" s="913"/>
      <c r="BI1418" s="776"/>
    </row>
    <row r="1419" spans="1:61" s="64" customFormat="1" x14ac:dyDescent="0.25">
      <c r="A1419" s="1393" t="str">
        <f t="shared" si="136"/>
        <v>352500_2019_12_Heating Res</v>
      </c>
      <c r="B1419" s="157"/>
      <c r="C1419" s="1352" t="s">
        <v>1340</v>
      </c>
      <c r="D1419" s="1756" t="s">
        <v>740</v>
      </c>
      <c r="E1419" s="1457" t="s">
        <v>1341</v>
      </c>
      <c r="F1419" s="2582">
        <f>ROUND(((K1688*K1816*(1/K1944-1/K2072)*K2712)/1000)*$K$2834,2)</f>
        <v>9240.1</v>
      </c>
      <c r="G1419" s="263" t="s">
        <v>1275</v>
      </c>
      <c r="H1419" s="202">
        <f>VLOOKUP(G1419,'CP FACTORS'!$A$3:$B$38, 2, FALSE)</f>
        <v>0</v>
      </c>
      <c r="I1419" s="1757">
        <f t="shared" si="137"/>
        <v>0</v>
      </c>
      <c r="J1419" s="141">
        <f t="shared" si="138"/>
        <v>6</v>
      </c>
      <c r="K1419" s="908">
        <f t="shared" si="139"/>
        <v>0</v>
      </c>
      <c r="L1419" s="909"/>
      <c r="M1419" s="1797"/>
      <c r="N1419" s="1794"/>
      <c r="O1419" s="1249"/>
      <c r="P1419" s="157"/>
      <c r="Q1419" s="157"/>
      <c r="R1419" s="1627"/>
      <c r="S1419" s="157"/>
      <c r="T1419" s="157"/>
      <c r="U1419" s="1798"/>
      <c r="V1419" s="2309" t="s">
        <v>20</v>
      </c>
      <c r="W1419" s="910">
        <v>13965.852998065762</v>
      </c>
      <c r="X1419" s="911">
        <v>9788.00163331972</v>
      </c>
      <c r="Y1419" s="830">
        <v>10635.56</v>
      </c>
      <c r="Z1419" s="825">
        <v>10635.56</v>
      </c>
      <c r="AA1419" s="825">
        <v>10635.56</v>
      </c>
      <c r="AB1419" s="488">
        <v>9240.1</v>
      </c>
      <c r="AC1419" s="910"/>
      <c r="AD1419" s="910"/>
      <c r="AE1419" s="910"/>
      <c r="AF1419" s="910"/>
      <c r="AG1419" s="910"/>
      <c r="AH1419" s="211"/>
      <c r="AK1419" s="912"/>
      <c r="BB1419" s="822"/>
      <c r="BC1419" s="821" t="str">
        <f t="shared" si="140"/>
        <v>Heating Res 6 Year EUL</v>
      </c>
      <c r="BD1419" s="752">
        <f>(INDEX('Avoided Cost Benefits'!$C$4:$C$857,MATCH(BC1419,'Avoided Cost Benefits'!$A$4:$A$857,0)))*F1419</f>
        <v>1536.9382123297241</v>
      </c>
      <c r="BE1419" s="73">
        <f t="shared" si="141"/>
        <v>0</v>
      </c>
      <c r="BG1419" s="776"/>
      <c r="BH1419" s="913"/>
      <c r="BI1419" s="776"/>
    </row>
    <row r="1420" spans="1:61" s="64" customFormat="1" x14ac:dyDescent="0.25">
      <c r="A1420" s="1393" t="str">
        <f t="shared" si="136"/>
        <v>352500_2019_12_Cooling Res ER2</v>
      </c>
      <c r="B1420" s="157"/>
      <c r="C1420" s="1352" t="s">
        <v>1340</v>
      </c>
      <c r="D1420" s="1756" t="s">
        <v>740</v>
      </c>
      <c r="E1420" s="1457" t="s">
        <v>1342</v>
      </c>
      <c r="F1420" s="2582">
        <f>ROUND(((K2201*K2329*(1/K2457-1/K2585)*K2713)/1000)*$K$2834,2)</f>
        <v>473.24</v>
      </c>
      <c r="G1420" s="1787" t="s">
        <v>1314</v>
      </c>
      <c r="H1420" s="202">
        <f>VLOOKUP(G1420,'CP FACTORS'!$A$3:$B$38, 2, FALSE)</f>
        <v>9.4741810000000004E-4</v>
      </c>
      <c r="I1420" s="1757">
        <f t="shared" si="137"/>
        <v>0.44835599999999998</v>
      </c>
      <c r="J1420" s="141">
        <f t="shared" si="138"/>
        <v>12</v>
      </c>
      <c r="K1420" s="908">
        <f t="shared" si="139"/>
        <v>0</v>
      </c>
      <c r="L1420" s="909"/>
      <c r="M1420" s="1797"/>
      <c r="N1420" s="1794"/>
      <c r="O1420" s="1249"/>
      <c r="P1420" s="157"/>
      <c r="Q1420" s="157"/>
      <c r="R1420" s="1627"/>
      <c r="S1420" s="157"/>
      <c r="T1420" s="157"/>
      <c r="U1420" s="1798"/>
      <c r="V1420" s="2309" t="s">
        <v>20</v>
      </c>
      <c r="W1420" s="910">
        <v>466.25192307692322</v>
      </c>
      <c r="X1420" s="911">
        <v>460.23576923076939</v>
      </c>
      <c r="Y1420" s="830">
        <v>478.28</v>
      </c>
      <c r="Z1420" s="825">
        <v>478.28</v>
      </c>
      <c r="AA1420" s="825">
        <v>478.28</v>
      </c>
      <c r="AB1420" s="488">
        <v>473.24</v>
      </c>
      <c r="AC1420" s="910"/>
      <c r="AD1420" s="910"/>
      <c r="AE1420" s="910"/>
      <c r="AF1420" s="910"/>
      <c r="AG1420" s="910"/>
      <c r="AH1420" s="211"/>
      <c r="AK1420" s="912"/>
      <c r="BB1420" s="822"/>
      <c r="BC1420" s="821" t="str">
        <f t="shared" si="140"/>
        <v>Cooling Res ER2 12 Year EUL</v>
      </c>
      <c r="BD1420" s="752">
        <f>(INDEX('Avoided Cost Benefits'!$C$4:$C$857,MATCH(BC1420,'Avoided Cost Benefits'!$A$4:$A$857,0)))*F1420</f>
        <v>559.52277945603635</v>
      </c>
      <c r="BE1420" s="73">
        <f t="shared" si="141"/>
        <v>0</v>
      </c>
      <c r="BG1420" s="776"/>
      <c r="BH1420" s="913"/>
      <c r="BI1420" s="776"/>
    </row>
    <row r="1421" spans="1:61" s="64" customFormat="1" x14ac:dyDescent="0.25">
      <c r="A1421" s="1393" t="str">
        <f t="shared" si="136"/>
        <v>352500_2019_12_Heating Res ER2</v>
      </c>
      <c r="B1421" s="157"/>
      <c r="C1421" s="1352" t="s">
        <v>1340</v>
      </c>
      <c r="D1421" s="1756" t="s">
        <v>740</v>
      </c>
      <c r="E1421" s="1458" t="s">
        <v>1342</v>
      </c>
      <c r="F1421" s="2582">
        <f>ROUND(((K1689*K1817*(1/K1945-1/K2073)*K2713)/1000)*$K$2834,2)</f>
        <v>9240.1</v>
      </c>
      <c r="G1421" s="1787" t="s">
        <v>1332</v>
      </c>
      <c r="H1421" s="202">
        <f>VLOOKUP(G1421,'CP FACTORS'!$A$3:$B$38, 2, FALSE)</f>
        <v>0</v>
      </c>
      <c r="I1421" s="1757">
        <f t="shared" si="137"/>
        <v>0</v>
      </c>
      <c r="J1421" s="141">
        <f t="shared" si="138"/>
        <v>12</v>
      </c>
      <c r="K1421" s="908">
        <f t="shared" si="139"/>
        <v>0</v>
      </c>
      <c r="L1421" s="909"/>
      <c r="M1421" s="1797"/>
      <c r="N1421" s="1794"/>
      <c r="O1421" s="1249"/>
      <c r="P1421" s="157"/>
      <c r="Q1421" s="157"/>
      <c r="R1421" s="1627"/>
      <c r="S1421" s="157"/>
      <c r="T1421" s="157"/>
      <c r="U1421" s="1798"/>
      <c r="V1421" s="2309" t="s">
        <v>20</v>
      </c>
      <c r="W1421" s="910">
        <v>13965.852998065762</v>
      </c>
      <c r="X1421" s="911">
        <v>9788.00163331972</v>
      </c>
      <c r="Y1421" s="830">
        <v>10635.56</v>
      </c>
      <c r="Z1421" s="825">
        <v>10635.56</v>
      </c>
      <c r="AA1421" s="825">
        <v>10635.56</v>
      </c>
      <c r="AB1421" s="488">
        <v>9240.1</v>
      </c>
      <c r="AC1421" s="910"/>
      <c r="AD1421" s="910"/>
      <c r="AE1421" s="910"/>
      <c r="AF1421" s="910"/>
      <c r="AG1421" s="910"/>
      <c r="AH1421" s="211"/>
      <c r="AK1421" s="912"/>
      <c r="BB1421" s="822"/>
      <c r="BC1421" s="750" t="str">
        <f t="shared" si="140"/>
        <v>Heating Res ER2 12 Year EUL</v>
      </c>
      <c r="BD1421" s="752">
        <f>(INDEX('Avoided Cost Benefits'!$C$4:$C$857,MATCH(BC1421,'Avoided Cost Benefits'!$A$4:$A$857,0)))*F1421</f>
        <v>2732.1367876834693</v>
      </c>
      <c r="BE1421" s="73">
        <f t="shared" si="141"/>
        <v>0</v>
      </c>
      <c r="BG1421" s="776"/>
      <c r="BH1421" s="913"/>
      <c r="BI1421" s="776"/>
    </row>
    <row r="1422" spans="1:61" s="64" customFormat="1" x14ac:dyDescent="0.25">
      <c r="A1422" s="1393" t="str">
        <f t="shared" si="136"/>
        <v>352550_2019_12_Cooling Res</v>
      </c>
      <c r="B1422" s="157"/>
      <c r="C1422" s="1352" t="s">
        <v>1343</v>
      </c>
      <c r="D1422" s="1756" t="s">
        <v>740</v>
      </c>
      <c r="E1422" s="1796" t="s">
        <v>1344</v>
      </c>
      <c r="F1422" s="2582">
        <f>ROUND(((K2202*K2330*(1/K2458-1/K2586)*K2714)/1000)*$K$2834,2)</f>
        <v>2180.1</v>
      </c>
      <c r="G1422" s="263" t="s">
        <v>1273</v>
      </c>
      <c r="H1422" s="202">
        <f>VLOOKUP(G1422,'CP FACTORS'!$A$3:$B$38, 2, FALSE)</f>
        <v>9.4741810000000004E-4</v>
      </c>
      <c r="I1422" s="1757">
        <f t="shared" si="137"/>
        <v>2.0654659999999998</v>
      </c>
      <c r="J1422" s="141">
        <f t="shared" si="138"/>
        <v>6</v>
      </c>
      <c r="K1422" s="908">
        <f t="shared" si="139"/>
        <v>1181.0521038690172</v>
      </c>
      <c r="L1422" s="909">
        <f>L1690</f>
        <v>3.1098130841121496</v>
      </c>
      <c r="M1422" s="1797"/>
      <c r="N1422" s="1794"/>
      <c r="O1422" s="1249"/>
      <c r="P1422" s="157"/>
      <c r="Q1422" s="157"/>
      <c r="R1422" s="1627"/>
      <c r="S1422" s="157"/>
      <c r="T1422" s="157"/>
      <c r="U1422" s="1798"/>
      <c r="V1422" s="2309" t="s">
        <v>20</v>
      </c>
      <c r="W1422" s="910">
        <v>2628.7249999999999</v>
      </c>
      <c r="X1422" s="911">
        <v>1836.3388775510205</v>
      </c>
      <c r="Y1422" s="830">
        <v>1890.35</v>
      </c>
      <c r="Z1422" s="825">
        <v>1890.35</v>
      </c>
      <c r="AA1422" s="825">
        <v>1890.35</v>
      </c>
      <c r="AB1422" s="488">
        <v>2180.1</v>
      </c>
      <c r="AC1422" s="910"/>
      <c r="AD1422" s="910"/>
      <c r="AE1422" s="910"/>
      <c r="AF1422" s="910"/>
      <c r="AG1422" s="910"/>
      <c r="AH1422" s="211"/>
      <c r="AK1422" s="912"/>
      <c r="BB1422" s="293">
        <f>(BD1422+BD1423+BD1424+BD1425)/(BE1422+BE1423+BE1424+BE1425)</f>
        <v>1.9589325784413851</v>
      </c>
      <c r="BC1422" s="742" t="str">
        <f t="shared" si="140"/>
        <v>Cooling Res 6 Year EUL</v>
      </c>
      <c r="BD1422" s="752">
        <f>(INDEX('Avoided Cost Benefits'!$C$4:$C$857,MATCH(BC1422,'Avoided Cost Benefits'!$A$4:$A$857,0)))*F1422</f>
        <v>1267.6936236146096</v>
      </c>
      <c r="BE1422" s="73">
        <f t="shared" si="141"/>
        <v>1114.7259120991193</v>
      </c>
      <c r="BG1422" s="776"/>
      <c r="BH1422" s="913"/>
      <c r="BI1422" s="776"/>
    </row>
    <row r="1423" spans="1:61" s="64" customFormat="1" x14ac:dyDescent="0.25">
      <c r="A1423" s="1393" t="str">
        <f t="shared" si="136"/>
        <v>352550_2019_12_Heating Res</v>
      </c>
      <c r="B1423" s="157"/>
      <c r="C1423" s="1352" t="s">
        <v>1343</v>
      </c>
      <c r="D1423" s="1756" t="s">
        <v>740</v>
      </c>
      <c r="E1423" s="1457" t="s">
        <v>1344</v>
      </c>
      <c r="F1423" s="2582">
        <f>ROUND(((K1690*K1818*(1/K1946-1/K2074)*K2714)/1000)*$K$2834,2)</f>
        <v>2201.9299999999998</v>
      </c>
      <c r="G1423" s="263" t="s">
        <v>1275</v>
      </c>
      <c r="H1423" s="202">
        <f>VLOOKUP(G1423,'CP FACTORS'!$A$3:$B$38, 2, FALSE)</f>
        <v>0</v>
      </c>
      <c r="I1423" s="1757">
        <f t="shared" si="137"/>
        <v>0</v>
      </c>
      <c r="J1423" s="141">
        <f t="shared" si="138"/>
        <v>6</v>
      </c>
      <c r="K1423" s="908">
        <f t="shared" si="139"/>
        <v>0</v>
      </c>
      <c r="L1423" s="909"/>
      <c r="M1423" s="1797"/>
      <c r="N1423" s="1794"/>
      <c r="O1423" s="1249"/>
      <c r="P1423" s="157"/>
      <c r="Q1423" s="157"/>
      <c r="R1423" s="1627"/>
      <c r="S1423" s="157"/>
      <c r="T1423" s="157"/>
      <c r="U1423" s="1798"/>
      <c r="V1423" s="2309" t="s">
        <v>20</v>
      </c>
      <c r="W1423" s="910">
        <v>6249.9803405572748</v>
      </c>
      <c r="X1423" s="911">
        <v>2027.0807587241729</v>
      </c>
      <c r="Y1423" s="830">
        <v>2533.08</v>
      </c>
      <c r="Z1423" s="825">
        <v>2533.08</v>
      </c>
      <c r="AA1423" s="825">
        <v>2533.08</v>
      </c>
      <c r="AB1423" s="488">
        <v>2201.9299999999998</v>
      </c>
      <c r="AC1423" s="910"/>
      <c r="AD1423" s="910"/>
      <c r="AE1423" s="910"/>
      <c r="AF1423" s="910"/>
      <c r="AG1423" s="910"/>
      <c r="AH1423" s="211"/>
      <c r="AK1423" s="912"/>
      <c r="BB1423" s="822"/>
      <c r="BC1423" s="821" t="str">
        <f t="shared" si="140"/>
        <v>Heating Res 6 Year EUL</v>
      </c>
      <c r="BD1423" s="752">
        <f>(INDEX('Avoided Cost Benefits'!$C$4:$C$857,MATCH(BC1423,'Avoided Cost Benefits'!$A$4:$A$857,0)))*F1423</f>
        <v>366.25473294392799</v>
      </c>
      <c r="BE1423" s="73">
        <f t="shared" si="141"/>
        <v>0</v>
      </c>
      <c r="BG1423" s="776"/>
      <c r="BH1423" s="913"/>
      <c r="BI1423" s="776"/>
    </row>
    <row r="1424" spans="1:61" s="64" customFormat="1" x14ac:dyDescent="0.25">
      <c r="A1424" s="1393" t="str">
        <f t="shared" si="136"/>
        <v>352550_2019_12_Cooling Res ER2</v>
      </c>
      <c r="B1424" s="157"/>
      <c r="C1424" s="1352" t="s">
        <v>1343</v>
      </c>
      <c r="D1424" s="1756" t="s">
        <v>740</v>
      </c>
      <c r="E1424" s="1457" t="s">
        <v>1345</v>
      </c>
      <c r="F1424" s="2582">
        <f>ROUND(((K2203*K2331*(1/K2459-1/K2587)*K2715)/1000)*$K$2834,2)</f>
        <v>333.47</v>
      </c>
      <c r="G1424" s="1787" t="s">
        <v>1314</v>
      </c>
      <c r="H1424" s="202">
        <f>VLOOKUP(G1424,'CP FACTORS'!$A$3:$B$38, 2, FALSE)</f>
        <v>9.4741810000000004E-4</v>
      </c>
      <c r="I1424" s="1757">
        <f t="shared" si="137"/>
        <v>0.31593599999999999</v>
      </c>
      <c r="J1424" s="141">
        <f t="shared" si="138"/>
        <v>12</v>
      </c>
      <c r="K1424" s="908">
        <f t="shared" si="139"/>
        <v>0</v>
      </c>
      <c r="L1424" s="909"/>
      <c r="M1424" s="1797"/>
      <c r="N1424" s="1794"/>
      <c r="O1424" s="1249"/>
      <c r="P1424" s="157"/>
      <c r="Q1424" s="157"/>
      <c r="R1424" s="1627"/>
      <c r="S1424" s="157"/>
      <c r="T1424" s="157"/>
      <c r="U1424" s="1798"/>
      <c r="V1424" s="2309" t="s">
        <v>20</v>
      </c>
      <c r="W1424" s="910">
        <v>307.25357142857132</v>
      </c>
      <c r="X1424" s="911">
        <v>284.90785714285704</v>
      </c>
      <c r="Y1424" s="830">
        <v>293.29000000000002</v>
      </c>
      <c r="Z1424" s="825">
        <v>293.29000000000002</v>
      </c>
      <c r="AA1424" s="825">
        <v>293.29000000000002</v>
      </c>
      <c r="AB1424" s="488">
        <v>333.47</v>
      </c>
      <c r="AC1424" s="910"/>
      <c r="AD1424" s="910"/>
      <c r="AE1424" s="910"/>
      <c r="AF1424" s="910"/>
      <c r="AG1424" s="910"/>
      <c r="AH1424" s="211"/>
      <c r="AK1424" s="912"/>
      <c r="BB1424" s="822"/>
      <c r="BC1424" s="821" t="str">
        <f t="shared" si="140"/>
        <v>Cooling Res ER2 12 Year EUL</v>
      </c>
      <c r="BD1424" s="752">
        <f>(INDEX('Avoided Cost Benefits'!$C$4:$C$857,MATCH(BC1424,'Avoided Cost Benefits'!$A$4:$A$857,0)))*F1424</f>
        <v>394.26942199561415</v>
      </c>
      <c r="BE1424" s="73">
        <f t="shared" si="141"/>
        <v>0</v>
      </c>
      <c r="BG1424" s="776"/>
      <c r="BH1424" s="913"/>
      <c r="BI1424" s="776"/>
    </row>
    <row r="1425" spans="1:61" s="64" customFormat="1" x14ac:dyDescent="0.25">
      <c r="A1425" s="1393" t="str">
        <f t="shared" si="136"/>
        <v>352550_2019_12_Heating Res ER2</v>
      </c>
      <c r="B1425" s="157"/>
      <c r="C1425" s="1352" t="s">
        <v>1343</v>
      </c>
      <c r="D1425" s="1756" t="s">
        <v>740</v>
      </c>
      <c r="E1425" s="1458" t="s">
        <v>1345</v>
      </c>
      <c r="F1425" s="2582">
        <f>ROUND(((K1691*K1819*(1/K1947-1/K2075)*K2715)/1000)*$K$2834,2)</f>
        <v>525.75</v>
      </c>
      <c r="G1425" s="1787" t="s">
        <v>1332</v>
      </c>
      <c r="H1425" s="202">
        <f>VLOOKUP(G1425,'CP FACTORS'!$A$3:$B$38, 2, FALSE)</f>
        <v>0</v>
      </c>
      <c r="I1425" s="1757">
        <f t="shared" si="137"/>
        <v>0</v>
      </c>
      <c r="J1425" s="141">
        <f t="shared" si="138"/>
        <v>12</v>
      </c>
      <c r="K1425" s="908">
        <f t="shared" si="139"/>
        <v>0</v>
      </c>
      <c r="L1425" s="909"/>
      <c r="M1425" s="1797"/>
      <c r="N1425" s="1794"/>
      <c r="O1425" s="1249"/>
      <c r="P1425" s="157"/>
      <c r="Q1425" s="157"/>
      <c r="R1425" s="1627"/>
      <c r="S1425" s="157"/>
      <c r="T1425" s="157"/>
      <c r="U1425" s="1798"/>
      <c r="V1425" s="2309" t="s">
        <v>20</v>
      </c>
      <c r="W1425" s="910">
        <v>1327.6421052631592</v>
      </c>
      <c r="X1425" s="911">
        <v>377.74325409076874</v>
      </c>
      <c r="Y1425" s="830">
        <v>835.23</v>
      </c>
      <c r="Z1425" s="825">
        <v>835.23</v>
      </c>
      <c r="AA1425" s="825">
        <v>835.23</v>
      </c>
      <c r="AB1425" s="488">
        <v>525.75</v>
      </c>
      <c r="AC1425" s="910"/>
      <c r="AD1425" s="910"/>
      <c r="AE1425" s="910"/>
      <c r="AF1425" s="910"/>
      <c r="AG1425" s="910"/>
      <c r="AH1425" s="211"/>
      <c r="AK1425" s="912"/>
      <c r="BB1425" s="822"/>
      <c r="BC1425" s="750" t="str">
        <f t="shared" si="140"/>
        <v>Heating Res ER2 12 Year EUL</v>
      </c>
      <c r="BD1425" s="752">
        <f>(INDEX('Avoided Cost Benefits'!$C$4:$C$857,MATCH(BC1425,'Avoided Cost Benefits'!$A$4:$A$857,0)))*F1425</f>
        <v>155.4551266896012</v>
      </c>
      <c r="BE1425" s="73">
        <f t="shared" si="141"/>
        <v>0</v>
      </c>
      <c r="BG1425" s="776"/>
      <c r="BH1425" s="913"/>
      <c r="BI1425" s="776"/>
    </row>
    <row r="1426" spans="1:61" s="64" customFormat="1" x14ac:dyDescent="0.25">
      <c r="A1426" s="1393" t="str">
        <f t="shared" si="136"/>
        <v>352600_2019_12_Cooling Res</v>
      </c>
      <c r="B1426" s="157"/>
      <c r="C1426" s="1352" t="s">
        <v>1346</v>
      </c>
      <c r="D1426" s="1756" t="s">
        <v>740</v>
      </c>
      <c r="E1426" s="1799" t="s">
        <v>1347</v>
      </c>
      <c r="F1426" s="2582">
        <f>ROUND(((K2204*K2332*(1/K2460-1/K2588)*K2716)/1000)*$K$2834,2)</f>
        <v>463.89</v>
      </c>
      <c r="G1426" s="263" t="s">
        <v>1273</v>
      </c>
      <c r="H1426" s="202">
        <f>VLOOKUP(G1426,'CP FACTORS'!$A$3:$B$38, 2, FALSE)</f>
        <v>9.4741810000000004E-4</v>
      </c>
      <c r="I1426" s="1757">
        <f t="shared" si="137"/>
        <v>0.439498</v>
      </c>
      <c r="J1426" s="141">
        <f t="shared" si="138"/>
        <v>18</v>
      </c>
      <c r="K1426" s="908">
        <f t="shared" si="139"/>
        <v>438</v>
      </c>
      <c r="L1426" s="909">
        <f>L1692</f>
        <v>2.9523809523809521</v>
      </c>
      <c r="M1426" s="1797"/>
      <c r="N1426" s="1794"/>
      <c r="O1426" s="1249"/>
      <c r="P1426" s="157"/>
      <c r="Q1426" s="157"/>
      <c r="R1426" s="1627"/>
      <c r="S1426" s="157"/>
      <c r="T1426" s="157"/>
      <c r="U1426" s="1798"/>
      <c r="V1426" s="2309" t="s">
        <v>20</v>
      </c>
      <c r="W1426" s="910">
        <v>481.29230769230787</v>
      </c>
      <c r="X1426" s="911">
        <v>460.23576923076939</v>
      </c>
      <c r="Y1426" s="830">
        <v>467.76</v>
      </c>
      <c r="Z1426" s="825">
        <v>467.76</v>
      </c>
      <c r="AA1426" s="825">
        <v>467.76</v>
      </c>
      <c r="AB1426" s="488">
        <v>463.89</v>
      </c>
      <c r="AC1426" s="910"/>
      <c r="AD1426" s="910"/>
      <c r="AE1426" s="910"/>
      <c r="AF1426" s="910"/>
      <c r="AG1426" s="910"/>
      <c r="AH1426" s="211"/>
      <c r="AK1426" s="912"/>
      <c r="BB1426" s="293">
        <f>(BD1426+BD1427)/(BE1426+BE1427)</f>
        <v>12.601061209307561</v>
      </c>
      <c r="BC1426" s="797" t="str">
        <f t="shared" si="140"/>
        <v>Cooling Res 18 Year EUL</v>
      </c>
      <c r="BD1426" s="752">
        <f>(INDEX('Avoided Cost Benefits'!$C$4:$C$857,MATCH(BC1426,'Avoided Cost Benefits'!$A$4:$A$857,0)))*F1426</f>
        <v>818.21274295016815</v>
      </c>
      <c r="BE1426" s="73">
        <f t="shared" si="141"/>
        <v>413.40254837187348</v>
      </c>
      <c r="BG1426" s="776"/>
      <c r="BH1426" s="913"/>
      <c r="BI1426" s="776"/>
    </row>
    <row r="1427" spans="1:61" s="64" customFormat="1" x14ac:dyDescent="0.25">
      <c r="A1427" s="1393" t="str">
        <f t="shared" si="136"/>
        <v>352600_2019_12_Heating Res</v>
      </c>
      <c r="B1427" s="157"/>
      <c r="C1427" s="1352" t="s">
        <v>1346</v>
      </c>
      <c r="D1427" s="1756" t="s">
        <v>740</v>
      </c>
      <c r="E1427" s="1800" t="s">
        <v>1347</v>
      </c>
      <c r="F1427" s="2582">
        <f>ROUND(((K1692*K1820*(1/K1948-1/K2076)*K2716)/1000)*$K$2834,2)</f>
        <v>9504.2099999999991</v>
      </c>
      <c r="G1427" s="263" t="s">
        <v>1275</v>
      </c>
      <c r="H1427" s="202">
        <f>VLOOKUP(G1427,'CP FACTORS'!$A$3:$B$38, 2, FALSE)</f>
        <v>0</v>
      </c>
      <c r="I1427" s="1757">
        <f t="shared" si="137"/>
        <v>0</v>
      </c>
      <c r="J1427" s="141">
        <f t="shared" si="138"/>
        <v>18</v>
      </c>
      <c r="K1427" s="908">
        <f t="shared" si="139"/>
        <v>0</v>
      </c>
      <c r="L1427" s="909"/>
      <c r="M1427" s="1797"/>
      <c r="N1427" s="1794"/>
      <c r="O1427" s="1249"/>
      <c r="P1427" s="157"/>
      <c r="Q1427" s="157"/>
      <c r="R1427" s="1627"/>
      <c r="S1427" s="157"/>
      <c r="T1427" s="157"/>
      <c r="U1427" s="1798"/>
      <c r="V1427" s="2309" t="s">
        <v>20</v>
      </c>
      <c r="W1427" s="910">
        <v>14670.188469329136</v>
      </c>
      <c r="X1427" s="911">
        <v>9788.00163331972</v>
      </c>
      <c r="Y1427" s="830">
        <v>10452.1</v>
      </c>
      <c r="Z1427" s="825">
        <v>10452.1</v>
      </c>
      <c r="AA1427" s="825">
        <v>10452.1</v>
      </c>
      <c r="AB1427" s="488">
        <v>9504.2099999999991</v>
      </c>
      <c r="AC1427" s="910"/>
      <c r="AD1427" s="910"/>
      <c r="AE1427" s="910"/>
      <c r="AF1427" s="910"/>
      <c r="AG1427" s="910"/>
      <c r="AH1427" s="211"/>
      <c r="AK1427" s="912"/>
      <c r="BB1427" s="291"/>
      <c r="BC1427" s="914" t="str">
        <f t="shared" si="140"/>
        <v>Heating Res 18 Year EUL</v>
      </c>
      <c r="BD1427" s="752">
        <f>(INDEX('Avoided Cost Benefits'!$C$4:$C$857,MATCH(BC1427,'Avoided Cost Benefits'!$A$4:$A$857,0)))*F1427</f>
        <v>4391.09807316754</v>
      </c>
      <c r="BE1427" s="73">
        <f t="shared" si="141"/>
        <v>0</v>
      </c>
      <c r="BG1427" s="776"/>
      <c r="BH1427" s="913"/>
      <c r="BI1427" s="776"/>
    </row>
    <row r="1428" spans="1:61" s="64" customFormat="1" x14ac:dyDescent="0.25">
      <c r="A1428" s="1393" t="str">
        <f t="shared" si="136"/>
        <v>352650_2019_12_Cooling Res</v>
      </c>
      <c r="B1428" s="157"/>
      <c r="C1428" s="1352" t="s">
        <v>1348</v>
      </c>
      <c r="D1428" s="1756" t="s">
        <v>740</v>
      </c>
      <c r="E1428" s="1799" t="s">
        <v>1349</v>
      </c>
      <c r="F1428" s="2582">
        <f>ROUND(((K2205*K2333*(1/K2461-1/K2589)*K2717)/1000)*$K$2834,2)</f>
        <v>302.60000000000002</v>
      </c>
      <c r="G1428" s="263" t="s">
        <v>1273</v>
      </c>
      <c r="H1428" s="202">
        <f>VLOOKUP(G1428,'CP FACTORS'!$A$3:$B$38, 2, FALSE)</f>
        <v>9.4741810000000004E-4</v>
      </c>
      <c r="I1428" s="1757">
        <f t="shared" si="137"/>
        <v>0.28668900000000003</v>
      </c>
      <c r="J1428" s="141">
        <f t="shared" si="138"/>
        <v>18</v>
      </c>
      <c r="K1428" s="908">
        <f t="shared" si="139"/>
        <v>438</v>
      </c>
      <c r="L1428" s="909">
        <f>L1693</f>
        <v>3.25</v>
      </c>
      <c r="M1428" s="1797"/>
      <c r="N1428" s="1794"/>
      <c r="O1428" s="1249"/>
      <c r="P1428" s="157"/>
      <c r="Q1428" s="157"/>
      <c r="R1428" s="1627"/>
      <c r="S1428" s="157"/>
      <c r="T1428" s="157"/>
      <c r="U1428" s="1798"/>
      <c r="V1428" s="2309" t="s">
        <v>20</v>
      </c>
      <c r="W1428" s="910">
        <v>307.25357142857132</v>
      </c>
      <c r="X1428" s="911">
        <v>284.90785714285704</v>
      </c>
      <c r="Y1428" s="830">
        <v>302.60000000000002</v>
      </c>
      <c r="Z1428" s="825">
        <v>302.60000000000002</v>
      </c>
      <c r="AA1428" s="825">
        <v>302.60000000000002</v>
      </c>
      <c r="AB1428" s="2582">
        <v>302.60000000000002</v>
      </c>
      <c r="AC1428" s="910"/>
      <c r="AD1428" s="910"/>
      <c r="AE1428" s="910"/>
      <c r="AF1428" s="910"/>
      <c r="AG1428" s="910"/>
      <c r="AH1428" s="211"/>
      <c r="AK1428" s="912"/>
      <c r="BB1428" s="293">
        <f>(BD1428+BD1429)/(BE1428+BE1429)</f>
        <v>2.3282557687533334</v>
      </c>
      <c r="BC1428" s="797" t="str">
        <f t="shared" si="140"/>
        <v>Cooling Res 18 Year EUL</v>
      </c>
      <c r="BD1428" s="752">
        <f>(INDEX('Avoided Cost Benefits'!$C$4:$C$857,MATCH(BC1428,'Avoided Cost Benefits'!$A$4:$A$857,0)))*F1428</f>
        <v>533.72820284274485</v>
      </c>
      <c r="BE1428" s="73">
        <f t="shared" si="141"/>
        <v>413.40254837187348</v>
      </c>
      <c r="BG1428" s="776"/>
      <c r="BH1428" s="913"/>
      <c r="BI1428" s="776"/>
    </row>
    <row r="1429" spans="1:61" s="64" customFormat="1" x14ac:dyDescent="0.25">
      <c r="A1429" s="1393" t="str">
        <f t="shared" si="136"/>
        <v>352650_2019_12_Heating Res</v>
      </c>
      <c r="B1429" s="157"/>
      <c r="C1429" s="1352" t="s">
        <v>1348</v>
      </c>
      <c r="D1429" s="1756" t="s">
        <v>740</v>
      </c>
      <c r="E1429" s="1800" t="s">
        <v>1349</v>
      </c>
      <c r="F1429" s="2582">
        <f>ROUND(((K1693*K1821*(1/K1949-1/K2077)*K2717)/1000)*$K$2834,2)</f>
        <v>928.06</v>
      </c>
      <c r="G1429" s="263" t="s">
        <v>1275</v>
      </c>
      <c r="H1429" s="202">
        <f>VLOOKUP(G1429,'CP FACTORS'!$A$3:$B$38, 2, FALSE)</f>
        <v>0</v>
      </c>
      <c r="I1429" s="1757">
        <f t="shared" si="137"/>
        <v>0</v>
      </c>
      <c r="J1429" s="141">
        <f t="shared" si="138"/>
        <v>18</v>
      </c>
      <c r="K1429" s="908">
        <f t="shared" si="139"/>
        <v>0</v>
      </c>
      <c r="L1429" s="909"/>
      <c r="M1429" s="1797"/>
      <c r="N1429" s="1794"/>
      <c r="O1429" s="1249"/>
      <c r="P1429" s="157"/>
      <c r="Q1429" s="157"/>
      <c r="R1429" s="1627"/>
      <c r="S1429" s="157"/>
      <c r="T1429" s="157"/>
      <c r="U1429" s="1798"/>
      <c r="V1429" s="2309" t="s">
        <v>20</v>
      </c>
      <c r="W1429" s="910">
        <v>1584.0000000000018</v>
      </c>
      <c r="X1429" s="911">
        <v>377.74325409076874</v>
      </c>
      <c r="Y1429" s="830">
        <v>928.06</v>
      </c>
      <c r="Z1429" s="825">
        <v>928.06</v>
      </c>
      <c r="AA1429" s="825">
        <v>928.06</v>
      </c>
      <c r="AB1429" s="2582">
        <v>928.06</v>
      </c>
      <c r="AC1429" s="910"/>
      <c r="AD1429" s="910"/>
      <c r="AE1429" s="910"/>
      <c r="AF1429" s="910"/>
      <c r="AG1429" s="910"/>
      <c r="AH1429" s="211"/>
      <c r="AK1429" s="912"/>
      <c r="BB1429" s="291"/>
      <c r="BC1429" s="914" t="str">
        <f t="shared" si="140"/>
        <v>Heating Res 18 Year EUL</v>
      </c>
      <c r="BD1429" s="752">
        <f>(INDEX('Avoided Cost Benefits'!$C$4:$C$857,MATCH(BC1429,'Avoided Cost Benefits'!$A$4:$A$857,0)))*F1429</f>
        <v>428.77866522139846</v>
      </c>
      <c r="BE1429" s="73">
        <f t="shared" si="141"/>
        <v>0</v>
      </c>
      <c r="BG1429" s="776"/>
      <c r="BH1429" s="913"/>
      <c r="BI1429" s="776"/>
    </row>
    <row r="1430" spans="1:61" s="64" customFormat="1" x14ac:dyDescent="0.25">
      <c r="A1430" s="1393" t="str">
        <f t="shared" si="136"/>
        <v>352700_2019_12_Cooling Res</v>
      </c>
      <c r="B1430" s="157"/>
      <c r="C1430" s="1352" t="s">
        <v>1350</v>
      </c>
      <c r="D1430" s="1756" t="s">
        <v>742</v>
      </c>
      <c r="E1430" s="742" t="s">
        <v>1351</v>
      </c>
      <c r="F1430" s="2582">
        <f>ROUND(((K2206*K2334*(1/K2462-1/K2590)*K2718)/1000)*$K$2834,2)</f>
        <v>1328.6</v>
      </c>
      <c r="G1430" s="263" t="s">
        <v>1273</v>
      </c>
      <c r="H1430" s="202">
        <f>VLOOKUP(G1430,'CP FACTORS'!$A$3:$B$38, 2, FALSE)</f>
        <v>9.4741810000000004E-4</v>
      </c>
      <c r="I1430" s="1757">
        <f t="shared" si="137"/>
        <v>1.25874</v>
      </c>
      <c r="J1430" s="141">
        <f t="shared" si="138"/>
        <v>6</v>
      </c>
      <c r="K1430" s="908">
        <f t="shared" si="139"/>
        <v>749.51513822467041</v>
      </c>
      <c r="L1430" s="909">
        <f>L1694</f>
        <v>2.875</v>
      </c>
      <c r="M1430" s="1797"/>
      <c r="N1430" s="1794"/>
      <c r="O1430" s="1249"/>
      <c r="P1430" s="157"/>
      <c r="Q1430" s="157"/>
      <c r="R1430" s="1627"/>
      <c r="S1430" s="157"/>
      <c r="T1430" s="157"/>
      <c r="U1430" s="1798"/>
      <c r="V1430" s="2309" t="s">
        <v>20</v>
      </c>
      <c r="W1430" s="910">
        <v>1526.8406732891833</v>
      </c>
      <c r="X1430" s="911">
        <v>1130.9484063824204</v>
      </c>
      <c r="Y1430" s="825">
        <v>1130.95</v>
      </c>
      <c r="Z1430" s="825">
        <v>1130.95</v>
      </c>
      <c r="AA1430" s="825">
        <v>1130.95</v>
      </c>
      <c r="AB1430" s="488">
        <v>1328.6</v>
      </c>
      <c r="AC1430" s="910"/>
      <c r="AD1430" s="910"/>
      <c r="AE1430" s="910"/>
      <c r="AF1430" s="910"/>
      <c r="AG1430" s="910"/>
      <c r="AH1430" s="211"/>
      <c r="AK1430" s="912"/>
      <c r="BB1430" s="293">
        <f>(BD1430+BD1431+BD1432+BD1433)/(BE1430+BE1431+BE1432+BE1433)</f>
        <v>1.7562330685103966</v>
      </c>
      <c r="BC1430" s="742" t="str">
        <f t="shared" si="140"/>
        <v>Cooling Res 6 Year EUL</v>
      </c>
      <c r="BD1430" s="752">
        <f>(INDEX('Avoided Cost Benefits'!$C$4:$C$857,MATCH(BC1430,'Avoided Cost Benefits'!$A$4:$A$857,0)))*F1430</f>
        <v>772.5598588754508</v>
      </c>
      <c r="BE1430" s="73">
        <f t="shared" si="141"/>
        <v>707.42344334560676</v>
      </c>
      <c r="BG1430" s="776"/>
      <c r="BH1430" s="913"/>
      <c r="BI1430" s="776"/>
    </row>
    <row r="1431" spans="1:61" s="64" customFormat="1" x14ac:dyDescent="0.25">
      <c r="A1431" s="1393" t="str">
        <f t="shared" si="136"/>
        <v>352700_2019_12_Heating Res</v>
      </c>
      <c r="B1431" s="157"/>
      <c r="C1431" s="1352" t="s">
        <v>1350</v>
      </c>
      <c r="D1431" s="1756" t="s">
        <v>742</v>
      </c>
      <c r="E1431" s="821" t="s">
        <v>1351</v>
      </c>
      <c r="F1431" s="2582">
        <f>ROUND(((K1694*K1822*(1/K1950-1/K2078)*K2718)/1000)*$K$2834,2)</f>
        <v>1396.62</v>
      </c>
      <c r="G1431" s="263" t="s">
        <v>1275</v>
      </c>
      <c r="H1431" s="202">
        <f>VLOOKUP(G1431,'CP FACTORS'!$A$3:$B$38, 2, FALSE)</f>
        <v>0</v>
      </c>
      <c r="I1431" s="1757">
        <f t="shared" si="137"/>
        <v>0</v>
      </c>
      <c r="J1431" s="141">
        <f t="shared" si="138"/>
        <v>6</v>
      </c>
      <c r="K1431" s="908">
        <f t="shared" si="139"/>
        <v>0</v>
      </c>
      <c r="L1431" s="909"/>
      <c r="M1431" s="1797"/>
      <c r="N1431" s="1794"/>
      <c r="O1431" s="1249"/>
      <c r="P1431" s="157"/>
      <c r="Q1431" s="157"/>
      <c r="R1431" s="1627"/>
      <c r="S1431" s="157"/>
      <c r="T1431" s="157"/>
      <c r="U1431" s="1798"/>
      <c r="V1431" s="2309" t="s">
        <v>20</v>
      </c>
      <c r="W1431" s="910">
        <v>3346.0750760649075</v>
      </c>
      <c r="X1431" s="911">
        <v>2491.6517241379302</v>
      </c>
      <c r="Y1431" s="825">
        <v>2491.65</v>
      </c>
      <c r="Z1431" s="825">
        <v>2491.65</v>
      </c>
      <c r="AA1431" s="825">
        <v>2491.65</v>
      </c>
      <c r="AB1431" s="488">
        <v>1396.62</v>
      </c>
      <c r="AC1431" s="910"/>
      <c r="AD1431" s="910"/>
      <c r="AE1431" s="910"/>
      <c r="AF1431" s="910"/>
      <c r="AG1431" s="910"/>
      <c r="AH1431" s="211"/>
      <c r="AK1431" s="912"/>
      <c r="BB1431" s="822"/>
      <c r="BC1431" s="821" t="str">
        <f t="shared" si="140"/>
        <v>Heating Res 6 Year EUL</v>
      </c>
      <c r="BD1431" s="752">
        <f>(INDEX('Avoided Cost Benefits'!$C$4:$C$857,MATCH(BC1431,'Avoided Cost Benefits'!$A$4:$A$857,0)))*F1431</f>
        <v>232.30469866169622</v>
      </c>
      <c r="BE1431" s="73">
        <f t="shared" si="141"/>
        <v>0</v>
      </c>
      <c r="BG1431" s="776"/>
      <c r="BH1431" s="913"/>
      <c r="BI1431" s="776"/>
    </row>
    <row r="1432" spans="1:61" s="64" customFormat="1" x14ac:dyDescent="0.25">
      <c r="A1432" s="1393" t="str">
        <f t="shared" si="136"/>
        <v>352700_2019_12_Cooling Res ER2</v>
      </c>
      <c r="B1432" s="157"/>
      <c r="C1432" s="1352" t="s">
        <v>1350</v>
      </c>
      <c r="D1432" s="1756" t="s">
        <v>742</v>
      </c>
      <c r="E1432" s="821" t="s">
        <v>1352</v>
      </c>
      <c r="F1432" s="2582">
        <f>ROUND(((K2207*K2335*(1/K2463-1/K2591)*K2719)/1000)*$K$2834,2)</f>
        <v>103.53</v>
      </c>
      <c r="G1432" s="1787" t="s">
        <v>1314</v>
      </c>
      <c r="H1432" s="202">
        <f>VLOOKUP(G1432,'CP FACTORS'!$A$3:$B$38, 2, FALSE)</f>
        <v>9.4741810000000004E-4</v>
      </c>
      <c r="I1432" s="1757">
        <f t="shared" si="137"/>
        <v>9.8086000000000007E-2</v>
      </c>
      <c r="J1432" s="141">
        <f t="shared" si="138"/>
        <v>12</v>
      </c>
      <c r="K1432" s="908">
        <f t="shared" si="139"/>
        <v>0</v>
      </c>
      <c r="L1432" s="909"/>
      <c r="M1432" s="1797"/>
      <c r="N1432" s="1794"/>
      <c r="O1432" s="1249"/>
      <c r="P1432" s="157"/>
      <c r="Q1432" s="157"/>
      <c r="R1432" s="1627"/>
      <c r="S1432" s="157"/>
      <c r="T1432" s="157"/>
      <c r="U1432" s="1798"/>
      <c r="V1432" s="2309" t="s">
        <v>20</v>
      </c>
      <c r="W1432" s="910">
        <v>109.33614947965923</v>
      </c>
      <c r="X1432" s="911">
        <v>109.33614947965923</v>
      </c>
      <c r="Y1432" s="825">
        <v>109.34</v>
      </c>
      <c r="Z1432" s="825">
        <v>109.34</v>
      </c>
      <c r="AA1432" s="825">
        <v>109.34</v>
      </c>
      <c r="AB1432" s="488">
        <v>103.53</v>
      </c>
      <c r="AC1432" s="910"/>
      <c r="AD1432" s="910"/>
      <c r="AE1432" s="910"/>
      <c r="AF1432" s="910"/>
      <c r="AG1432" s="910"/>
      <c r="AH1432" s="211"/>
      <c r="AK1432" s="912"/>
      <c r="BB1432" s="822"/>
      <c r="BC1432" s="821" t="str">
        <f t="shared" si="140"/>
        <v>Cooling Res ER2 12 Year EUL</v>
      </c>
      <c r="BD1432" s="752">
        <f>(INDEX('Avoided Cost Benefits'!$C$4:$C$857,MATCH(BC1432,'Avoided Cost Benefits'!$A$4:$A$857,0)))*F1432</f>
        <v>122.40595333674972</v>
      </c>
      <c r="BE1432" s="73">
        <f t="shared" si="141"/>
        <v>0</v>
      </c>
      <c r="BG1432" s="776"/>
      <c r="BH1432" s="913"/>
      <c r="BI1432" s="776"/>
    </row>
    <row r="1433" spans="1:61" s="64" customFormat="1" x14ac:dyDescent="0.25">
      <c r="A1433" s="1393" t="str">
        <f t="shared" si="136"/>
        <v>352700_2019_12_Heating Res ER2</v>
      </c>
      <c r="B1433" s="157"/>
      <c r="C1433" s="1352" t="s">
        <v>1350</v>
      </c>
      <c r="D1433" s="1756" t="s">
        <v>742</v>
      </c>
      <c r="E1433" s="750" t="s">
        <v>1352</v>
      </c>
      <c r="F1433" s="2582">
        <f>ROUND(((K1695*K1823*(1/K1951-1/K2079)*K2719)/1000)*$K$2834,2)</f>
        <v>389.37</v>
      </c>
      <c r="G1433" s="1787" t="s">
        <v>1332</v>
      </c>
      <c r="H1433" s="202">
        <f>VLOOKUP(G1433,'CP FACTORS'!$A$3:$B$38, 2, FALSE)</f>
        <v>0</v>
      </c>
      <c r="I1433" s="1757">
        <f t="shared" si="137"/>
        <v>0</v>
      </c>
      <c r="J1433" s="141">
        <f t="shared" si="138"/>
        <v>12</v>
      </c>
      <c r="K1433" s="908">
        <f t="shared" si="139"/>
        <v>0</v>
      </c>
      <c r="L1433" s="909"/>
      <c r="M1433" s="1797"/>
      <c r="N1433" s="1794"/>
      <c r="O1433" s="1249"/>
      <c r="P1433" s="157"/>
      <c r="Q1433" s="157"/>
      <c r="R1433" s="1627"/>
      <c r="S1433" s="157"/>
      <c r="T1433" s="157"/>
      <c r="U1433" s="1798"/>
      <c r="V1433" s="2309" t="s">
        <v>20</v>
      </c>
      <c r="W1433" s="910">
        <v>340.46551724137925</v>
      </c>
      <c r="X1433" s="911">
        <v>253.52733389402857</v>
      </c>
      <c r="Y1433" s="825">
        <v>253.53</v>
      </c>
      <c r="Z1433" s="825">
        <v>253.53</v>
      </c>
      <c r="AA1433" s="825">
        <v>253.53</v>
      </c>
      <c r="AB1433" s="488">
        <v>389.37</v>
      </c>
      <c r="AC1433" s="910"/>
      <c r="AD1433" s="910"/>
      <c r="AE1433" s="910"/>
      <c r="AF1433" s="910"/>
      <c r="AG1433" s="910"/>
      <c r="AH1433" s="211"/>
      <c r="AK1433" s="912"/>
      <c r="BB1433" s="822"/>
      <c r="BC1433" s="750" t="str">
        <f t="shared" si="140"/>
        <v>Heating Res ER2 12 Year EUL</v>
      </c>
      <c r="BD1433" s="752">
        <f>(INDEX('Avoided Cost Benefits'!$C$4:$C$857,MATCH(BC1433,'Avoided Cost Benefits'!$A$4:$A$857,0)))*F1433</f>
        <v>115.12993376914886</v>
      </c>
      <c r="BE1433" s="73">
        <f t="shared" si="141"/>
        <v>0</v>
      </c>
      <c r="BG1433" s="776"/>
      <c r="BH1433" s="913"/>
      <c r="BI1433" s="776"/>
    </row>
    <row r="1434" spans="1:61" s="64" customFormat="1" x14ac:dyDescent="0.25">
      <c r="A1434" s="1393" t="str">
        <f t="shared" si="136"/>
        <v>352701_2019_12_Cooling Res</v>
      </c>
      <c r="B1434" s="157"/>
      <c r="C1434" s="1352" t="s">
        <v>1353</v>
      </c>
      <c r="D1434" s="1756" t="s">
        <v>737</v>
      </c>
      <c r="E1434" s="742" t="str">
        <f>CONCATENATE(E1430,"_CompE")</f>
        <v>ASHP SEER 15 MF ER replace ASHP: HVAC ER1_CompE</v>
      </c>
      <c r="F1434" s="2582">
        <f>ROUND((($K$2208*$K$2336*(1/$K$2464-1/$K$2592)*$K$2720)/1000)*$K$2834,2)</f>
        <v>1041.8800000000001</v>
      </c>
      <c r="G1434" s="263" t="str">
        <f t="shared" ref="G1434:K1437" si="142">G1430</f>
        <v>Cooling Res</v>
      </c>
      <c r="H1434" s="202">
        <f t="shared" si="142"/>
        <v>9.4741810000000004E-4</v>
      </c>
      <c r="I1434" s="1801">
        <f>ROUND(F1434*H1434,6)</f>
        <v>0.98709599999999997</v>
      </c>
      <c r="J1434" s="141">
        <f>J1430</f>
        <v>6</v>
      </c>
      <c r="K1434" s="908">
        <f>K1430</f>
        <v>749.51513822467041</v>
      </c>
      <c r="L1434" s="909">
        <f>L1430</f>
        <v>2.875</v>
      </c>
      <c r="M1434" s="1797"/>
      <c r="N1434" s="1794"/>
      <c r="O1434" s="1249"/>
      <c r="P1434" s="157"/>
      <c r="Q1434" s="157"/>
      <c r="R1434" s="1627"/>
      <c r="S1434" s="157"/>
      <c r="T1434" s="157"/>
      <c r="U1434" s="1798"/>
      <c r="V1434" s="2309" t="s">
        <v>20</v>
      </c>
      <c r="W1434" s="910"/>
      <c r="X1434" s="911"/>
      <c r="Y1434" s="830">
        <v>822.51</v>
      </c>
      <c r="Z1434" s="825">
        <v>822.51</v>
      </c>
      <c r="AA1434" s="825">
        <v>822.51</v>
      </c>
      <c r="AB1434" s="488">
        <v>1041.8800000000001</v>
      </c>
      <c r="AC1434" s="910"/>
      <c r="AD1434" s="910"/>
      <c r="AE1434" s="910"/>
      <c r="AF1434" s="910"/>
      <c r="AG1434" s="910"/>
      <c r="AH1434" s="211"/>
      <c r="AK1434" s="912"/>
      <c r="BB1434" s="293">
        <f>(BD1434+BD1435+BD1436+BD1437)/(BE1434+BE1435+BE1436+BE1437)</f>
        <v>1.1251823540310133</v>
      </c>
      <c r="BC1434" s="742" t="str">
        <f t="shared" si="140"/>
        <v>Cooling Res 6 Year EUL</v>
      </c>
      <c r="BD1434" s="752">
        <f>(INDEX('Avoided Cost Benefits'!$C$4:$C$857,MATCH(BC1434,'Avoided Cost Benefits'!$A$4:$A$857,0)))*F1434</f>
        <v>605.83671967872556</v>
      </c>
      <c r="BE1434" s="73">
        <f t="shared" si="141"/>
        <v>707.42344334560676</v>
      </c>
      <c r="BG1434" s="776"/>
      <c r="BH1434" s="916"/>
      <c r="BI1434" s="776"/>
    </row>
    <row r="1435" spans="1:61" s="64" customFormat="1" x14ac:dyDescent="0.25">
      <c r="A1435" s="1393" t="str">
        <f t="shared" si="136"/>
        <v>352701_2019_12_Heating Res</v>
      </c>
      <c r="B1435" s="157"/>
      <c r="C1435" s="1352" t="str">
        <f>C1434</f>
        <v>352701_2019_12_</v>
      </c>
      <c r="D1435" s="1756" t="s">
        <v>737</v>
      </c>
      <c r="E1435" s="821" t="str">
        <f>CONCATENATE(E1431,"_CompE")</f>
        <v>ASHP SEER 15 MF ER replace ASHP: HVAC ER1_CompE</v>
      </c>
      <c r="F1435" s="2582">
        <f>ROUND((($K$1696*$K$1824*(1/$K$1952-1/$K$2080)*$K$2720)/1000)*$K$2834,2)</f>
        <v>423.54</v>
      </c>
      <c r="G1435" s="263" t="str">
        <f t="shared" si="142"/>
        <v>Heating Res</v>
      </c>
      <c r="H1435" s="202">
        <f t="shared" si="142"/>
        <v>0</v>
      </c>
      <c r="I1435" s="1801">
        <f>ROUND(F1435*H1435,6)</f>
        <v>0</v>
      </c>
      <c r="J1435" s="141">
        <f t="shared" si="142"/>
        <v>6</v>
      </c>
      <c r="K1435" s="908">
        <f t="shared" si="142"/>
        <v>0</v>
      </c>
      <c r="L1435" s="909"/>
      <c r="M1435" s="1797"/>
      <c r="N1435" s="1794"/>
      <c r="O1435" s="1249"/>
      <c r="P1435" s="157"/>
      <c r="Q1435" s="157"/>
      <c r="R1435" s="1627"/>
      <c r="S1435" s="157"/>
      <c r="T1435" s="157"/>
      <c r="U1435" s="1798"/>
      <c r="V1435" s="2309" t="s">
        <v>20</v>
      </c>
      <c r="W1435" s="910"/>
      <c r="X1435" s="911"/>
      <c r="Y1435" s="830">
        <v>849.43</v>
      </c>
      <c r="Z1435" s="825">
        <v>849.43</v>
      </c>
      <c r="AA1435" s="825">
        <v>849.43</v>
      </c>
      <c r="AB1435" s="488">
        <v>423.54</v>
      </c>
      <c r="AC1435" s="910"/>
      <c r="AD1435" s="910"/>
      <c r="AE1435" s="910"/>
      <c r="AF1435" s="910"/>
      <c r="AG1435" s="910"/>
      <c r="AH1435" s="211"/>
      <c r="AK1435" s="912"/>
      <c r="BB1435" s="822"/>
      <c r="BC1435" s="821" t="str">
        <f t="shared" si="140"/>
        <v>Heating Res 6 Year EUL</v>
      </c>
      <c r="BD1435" s="752">
        <f>(INDEX('Avoided Cost Benefits'!$C$4:$C$857,MATCH(BC1435,'Avoided Cost Benefits'!$A$4:$A$857,0)))*F1435</f>
        <v>70.448892376720096</v>
      </c>
      <c r="BE1435" s="73">
        <f t="shared" si="141"/>
        <v>0</v>
      </c>
      <c r="BG1435" s="776"/>
      <c r="BH1435" s="916"/>
      <c r="BI1435" s="776"/>
    </row>
    <row r="1436" spans="1:61" s="64" customFormat="1" x14ac:dyDescent="0.25">
      <c r="A1436" s="1393" t="str">
        <f t="shared" si="136"/>
        <v>352701_2019_12_Cooling Res ER2</v>
      </c>
      <c r="B1436" s="157"/>
      <c r="C1436" s="1352" t="str">
        <f>C1435</f>
        <v>352701_2019_12_</v>
      </c>
      <c r="D1436" s="1756" t="s">
        <v>737</v>
      </c>
      <c r="E1436" s="821" t="str">
        <f>CONCATENATE(E1432,"_CompE")</f>
        <v>ASHP SEER 15 MF ER replace ASHP: HVAC ER2_CompE</v>
      </c>
      <c r="F1436" s="2582">
        <f>ROUND((($K$2209*$K$2337*(1/$K$2465-1/$K$2593)*$K$2721)/1000)*$K$2834,2)</f>
        <v>81.19</v>
      </c>
      <c r="G1436" s="263" t="str">
        <f t="shared" si="142"/>
        <v>Cooling Res ER2</v>
      </c>
      <c r="H1436" s="202">
        <f t="shared" si="142"/>
        <v>9.4741810000000004E-4</v>
      </c>
      <c r="I1436" s="1801">
        <f>ROUND(F1436*H1436,6)</f>
        <v>7.6921000000000003E-2</v>
      </c>
      <c r="J1436" s="141">
        <f t="shared" si="142"/>
        <v>12</v>
      </c>
      <c r="K1436" s="908">
        <f t="shared" si="142"/>
        <v>0</v>
      </c>
      <c r="L1436" s="909"/>
      <c r="M1436" s="1797"/>
      <c r="N1436" s="1794"/>
      <c r="O1436" s="1249"/>
      <c r="P1436" s="157"/>
      <c r="Q1436" s="157"/>
      <c r="R1436" s="1627"/>
      <c r="S1436" s="157"/>
      <c r="T1436" s="157"/>
      <c r="U1436" s="1798"/>
      <c r="V1436" s="2309" t="s">
        <v>20</v>
      </c>
      <c r="W1436" s="910"/>
      <c r="X1436" s="911"/>
      <c r="Y1436" s="830">
        <v>79.52</v>
      </c>
      <c r="Z1436" s="825">
        <v>79.52</v>
      </c>
      <c r="AA1436" s="825">
        <v>79.52</v>
      </c>
      <c r="AB1436" s="488">
        <v>81.19</v>
      </c>
      <c r="AC1436" s="910"/>
      <c r="AD1436" s="910"/>
      <c r="AE1436" s="910"/>
      <c r="AF1436" s="910"/>
      <c r="AG1436" s="910"/>
      <c r="AH1436" s="211"/>
      <c r="AK1436" s="912"/>
      <c r="BB1436" s="822"/>
      <c r="BC1436" s="821" t="str">
        <f t="shared" si="140"/>
        <v>Cooling Res ER2 12 Year EUL</v>
      </c>
      <c r="BD1436" s="752">
        <f>(INDEX('Avoided Cost Benefits'!$C$4:$C$857,MATCH(BC1436,'Avoided Cost Benefits'!$A$4:$A$857,0)))*F1436</f>
        <v>95.992846048591801</v>
      </c>
      <c r="BE1436" s="73">
        <f t="shared" si="141"/>
        <v>0</v>
      </c>
      <c r="BG1436" s="776"/>
      <c r="BH1436" s="916"/>
      <c r="BI1436" s="776"/>
    </row>
    <row r="1437" spans="1:61" s="64" customFormat="1" x14ac:dyDescent="0.25">
      <c r="A1437" s="1393" t="str">
        <f t="shared" si="136"/>
        <v>352701_2019_12_Heating Res ER2</v>
      </c>
      <c r="B1437" s="157"/>
      <c r="C1437" s="1352" t="str">
        <f>C1436</f>
        <v>352701_2019_12_</v>
      </c>
      <c r="D1437" s="1756" t="s">
        <v>737</v>
      </c>
      <c r="E1437" s="750" t="str">
        <f>CONCATENATE(E1433,"_CompE")</f>
        <v>ASHP SEER 15 MF ER replace ASHP: HVAC ER2_CompE</v>
      </c>
      <c r="F1437" s="2582">
        <f>ROUND((($K$1697*$K$1825*(1/$K$1953-1/$K$2081)*$K$2721)/1000)*$K$2834,2)</f>
        <v>80.16</v>
      </c>
      <c r="G1437" s="263" t="str">
        <f t="shared" si="142"/>
        <v>Heating Res ER2</v>
      </c>
      <c r="H1437" s="202">
        <f t="shared" si="142"/>
        <v>0</v>
      </c>
      <c r="I1437" s="1801">
        <f>ROUND(F1437*H1437,6)</f>
        <v>0</v>
      </c>
      <c r="J1437" s="141">
        <f t="shared" si="142"/>
        <v>12</v>
      </c>
      <c r="K1437" s="908">
        <f t="shared" si="142"/>
        <v>0</v>
      </c>
      <c r="L1437" s="909"/>
      <c r="M1437" s="1797"/>
      <c r="N1437" s="1794"/>
      <c r="O1437" s="1249"/>
      <c r="P1437" s="157"/>
      <c r="Q1437" s="157"/>
      <c r="R1437" s="1627"/>
      <c r="S1437" s="157"/>
      <c r="T1437" s="157"/>
      <c r="U1437" s="1798"/>
      <c r="V1437" s="2309" t="s">
        <v>20</v>
      </c>
      <c r="W1437" s="910"/>
      <c r="X1437" s="911"/>
      <c r="Y1437" s="830">
        <v>86.43</v>
      </c>
      <c r="Z1437" s="825">
        <v>86.43</v>
      </c>
      <c r="AA1437" s="825">
        <v>86.43</v>
      </c>
      <c r="AB1437" s="488">
        <v>80.16</v>
      </c>
      <c r="AC1437" s="910"/>
      <c r="AD1437" s="910"/>
      <c r="AE1437" s="910"/>
      <c r="AF1437" s="910"/>
      <c r="AG1437" s="910"/>
      <c r="AH1437" s="211"/>
      <c r="AK1437" s="912"/>
      <c r="BB1437" s="822"/>
      <c r="BC1437" s="750" t="str">
        <f t="shared" si="140"/>
        <v>Heating Res ER2 12 Year EUL</v>
      </c>
      <c r="BD1437" s="752">
        <f>(INDEX('Avoided Cost Benefits'!$C$4:$C$857,MATCH(BC1437,'Avoided Cost Benefits'!$A$4:$A$857,0)))*F1437</f>
        <v>23.701917176297538</v>
      </c>
      <c r="BE1437" s="73">
        <f t="shared" si="141"/>
        <v>0</v>
      </c>
      <c r="BG1437" s="776"/>
      <c r="BH1437" s="916"/>
      <c r="BI1437" s="776"/>
    </row>
    <row r="1438" spans="1:61" s="64" customFormat="1" x14ac:dyDescent="0.25">
      <c r="A1438" s="1393" t="str">
        <f t="shared" si="136"/>
        <v>352750_2019_12_Cooling Res</v>
      </c>
      <c r="B1438" s="157"/>
      <c r="C1438" s="1352" t="s">
        <v>1354</v>
      </c>
      <c r="D1438" s="1756" t="s">
        <v>742</v>
      </c>
      <c r="E1438" s="742" t="s">
        <v>1355</v>
      </c>
      <c r="F1438" s="2582">
        <f>ROUND(((K2210*K2338*(1/K2466-1/K2594)*K2722)/1000)*$K$2834,2)</f>
        <v>1281.8399999999999</v>
      </c>
      <c r="G1438" s="263" t="s">
        <v>1273</v>
      </c>
      <c r="H1438" s="202">
        <f>VLOOKUP(G1438,'CP FACTORS'!$A$3:$B$38, 2, FALSE)</f>
        <v>9.4741810000000004E-4</v>
      </c>
      <c r="I1438" s="1757">
        <f t="shared" si="137"/>
        <v>1.2144379999999999</v>
      </c>
      <c r="J1438" s="141">
        <f>K2863</f>
        <v>6</v>
      </c>
      <c r="K1438" s="908">
        <f>K3033</f>
        <v>730.10143656272817</v>
      </c>
      <c r="L1438" s="909">
        <f>L1698</f>
        <v>2.75</v>
      </c>
      <c r="M1438" s="1797"/>
      <c r="N1438" s="1794"/>
      <c r="O1438" s="1249"/>
      <c r="P1438" s="157"/>
      <c r="Q1438" s="157"/>
      <c r="R1438" s="1627"/>
      <c r="S1438" s="157"/>
      <c r="T1438" s="157"/>
      <c r="U1438" s="1798"/>
      <c r="V1438" s="2309" t="s">
        <v>20</v>
      </c>
      <c r="W1438" s="910">
        <v>1534.1387611998441</v>
      </c>
      <c r="X1438" s="911">
        <v>1021.5017864099281</v>
      </c>
      <c r="Y1438" s="825">
        <v>1021.5</v>
      </c>
      <c r="Z1438" s="825">
        <v>1021.5</v>
      </c>
      <c r="AA1438" s="825">
        <v>1021.5</v>
      </c>
      <c r="AB1438" s="488">
        <v>1281.8399999999999</v>
      </c>
      <c r="AC1438" s="910"/>
      <c r="AD1438" s="910"/>
      <c r="AE1438" s="910"/>
      <c r="AF1438" s="910"/>
      <c r="AG1438" s="910"/>
      <c r="AH1438" s="211"/>
      <c r="AK1438" s="912"/>
      <c r="BB1438" s="293">
        <f>(BD1438+BD1439+BD1440+BD1441)/(BE1438+BE1439+BE1440+BE1441)</f>
        <v>5.2742573235033703</v>
      </c>
      <c r="BC1438" s="742" t="str">
        <f t="shared" si="140"/>
        <v>Cooling Res 6 Year EUL</v>
      </c>
      <c r="BD1438" s="752">
        <f>(INDEX('Avoided Cost Benefits'!$C$4:$C$857,MATCH(BC1438,'Avoided Cost Benefits'!$A$4:$A$857,0)))*F1438</f>
        <v>745.36965941660981</v>
      </c>
      <c r="BE1438" s="73">
        <f t="shared" si="141"/>
        <v>689.09998731734595</v>
      </c>
      <c r="BG1438" s="776"/>
      <c r="BH1438" s="913"/>
      <c r="BI1438" s="776"/>
    </row>
    <row r="1439" spans="1:61" s="64" customFormat="1" x14ac:dyDescent="0.25">
      <c r="A1439" s="1393" t="str">
        <f t="shared" si="136"/>
        <v>352750_2019_12_Heating Res</v>
      </c>
      <c r="B1439" s="157"/>
      <c r="C1439" s="1352" t="s">
        <v>1354</v>
      </c>
      <c r="D1439" s="1756" t="s">
        <v>742</v>
      </c>
      <c r="E1439" s="821" t="s">
        <v>1355</v>
      </c>
      <c r="F1439" s="2582">
        <f>ROUND(((K1698*K1826*(1/K1954-1/K2082)*K2722)/1000)*$K$2834,2)</f>
        <v>5742.99</v>
      </c>
      <c r="G1439" s="263" t="s">
        <v>1275</v>
      </c>
      <c r="H1439" s="202">
        <f>VLOOKUP(G1439,'CP FACTORS'!$A$3:$B$38, 2, FALSE)</f>
        <v>0</v>
      </c>
      <c r="I1439" s="1757">
        <f t="shared" si="137"/>
        <v>0</v>
      </c>
      <c r="J1439" s="141">
        <f>K2864</f>
        <v>6</v>
      </c>
      <c r="K1439" s="908">
        <f>K3034</f>
        <v>0</v>
      </c>
      <c r="L1439" s="909"/>
      <c r="M1439" s="1797"/>
      <c r="N1439" s="1794"/>
      <c r="O1439" s="1249"/>
      <c r="P1439" s="157"/>
      <c r="Q1439" s="157"/>
      <c r="R1439" s="1627"/>
      <c r="S1439" s="157"/>
      <c r="T1439" s="157"/>
      <c r="U1439" s="1798"/>
      <c r="V1439" s="2309" t="s">
        <v>20</v>
      </c>
      <c r="W1439" s="910">
        <v>7823.7436343411837</v>
      </c>
      <c r="X1439" s="911">
        <v>5825.9434927697412</v>
      </c>
      <c r="Y1439" s="825">
        <v>5825.94</v>
      </c>
      <c r="Z1439" s="825">
        <v>5825.94</v>
      </c>
      <c r="AA1439" s="825">
        <v>5825.94</v>
      </c>
      <c r="AB1439" s="488">
        <v>5742.99</v>
      </c>
      <c r="AC1439" s="910"/>
      <c r="AD1439" s="910"/>
      <c r="AE1439" s="910"/>
      <c r="AF1439" s="910"/>
      <c r="AG1439" s="910"/>
      <c r="AH1439" s="211"/>
      <c r="AK1439" s="912"/>
      <c r="BB1439" s="822"/>
      <c r="BC1439" s="821" t="str">
        <f t="shared" si="140"/>
        <v>Heating Res 6 Year EUL</v>
      </c>
      <c r="BD1439" s="752">
        <f>(INDEX('Avoided Cost Benefits'!$C$4:$C$857,MATCH(BC1439,'Avoided Cost Benefits'!$A$4:$A$857,0)))*F1439</f>
        <v>955.25165139202841</v>
      </c>
      <c r="BE1439" s="73">
        <f t="shared" si="141"/>
        <v>0</v>
      </c>
      <c r="BG1439" s="776"/>
      <c r="BH1439" s="913"/>
      <c r="BI1439" s="776"/>
    </row>
    <row r="1440" spans="1:61" s="64" customFormat="1" x14ac:dyDescent="0.25">
      <c r="A1440" s="1393" t="str">
        <f t="shared" si="136"/>
        <v>352750_2019_12_Cooling Res ER2</v>
      </c>
      <c r="B1440" s="157"/>
      <c r="C1440" s="1352" t="s">
        <v>1354</v>
      </c>
      <c r="D1440" s="1756" t="s">
        <v>742</v>
      </c>
      <c r="E1440" s="821" t="s">
        <v>1356</v>
      </c>
      <c r="F1440" s="2582">
        <f>ROUND(((K2211*K2339*(1/K2467-1/K2595)*K2723)/1000)*$K$2834,2)</f>
        <v>199.41</v>
      </c>
      <c r="G1440" s="1787" t="s">
        <v>1314</v>
      </c>
      <c r="H1440" s="202">
        <f>VLOOKUP(G1440,'CP FACTORS'!$A$3:$B$38, 2, FALSE)</f>
        <v>9.4741810000000004E-4</v>
      </c>
      <c r="I1440" s="1757">
        <f t="shared" si="137"/>
        <v>0.18892500000000001</v>
      </c>
      <c r="J1440" s="141">
        <f>K2865</f>
        <v>12</v>
      </c>
      <c r="K1440" s="908">
        <f>K3035</f>
        <v>0</v>
      </c>
      <c r="L1440" s="909"/>
      <c r="M1440" s="1797"/>
      <c r="N1440" s="1794"/>
      <c r="O1440" s="1249"/>
      <c r="P1440" s="157"/>
      <c r="Q1440" s="157"/>
      <c r="R1440" s="1627"/>
      <c r="S1440" s="157"/>
      <c r="T1440" s="157"/>
      <c r="U1440" s="1798"/>
      <c r="V1440" s="2309" t="s">
        <v>20</v>
      </c>
      <c r="W1440" s="910">
        <v>203.03523178807947</v>
      </c>
      <c r="X1440" s="917">
        <v>203.03523178807947</v>
      </c>
      <c r="Y1440" s="825">
        <v>203.04</v>
      </c>
      <c r="Z1440" s="825">
        <v>203.04</v>
      </c>
      <c r="AA1440" s="825">
        <v>203.04</v>
      </c>
      <c r="AB1440" s="488">
        <v>199.41</v>
      </c>
      <c r="AC1440" s="910"/>
      <c r="AD1440" s="910"/>
      <c r="AE1440" s="910"/>
      <c r="AF1440" s="910"/>
      <c r="AG1440" s="910"/>
      <c r="AH1440" s="211"/>
      <c r="AK1440" s="912"/>
      <c r="BB1440" s="822"/>
      <c r="BC1440" s="821" t="str">
        <f t="shared" si="140"/>
        <v>Cooling Res ER2 12 Year EUL</v>
      </c>
      <c r="BD1440" s="752">
        <f>(INDEX('Avoided Cost Benefits'!$C$4:$C$857,MATCH(BC1440,'Avoided Cost Benefits'!$A$4:$A$857,0)))*F1440</f>
        <v>235.7671317963997</v>
      </c>
      <c r="BE1440" s="73">
        <f t="shared" si="141"/>
        <v>0</v>
      </c>
      <c r="BG1440" s="776"/>
      <c r="BH1440" s="913"/>
      <c r="BI1440" s="776"/>
    </row>
    <row r="1441" spans="1:61" s="64" customFormat="1" x14ac:dyDescent="0.25">
      <c r="A1441" s="1393" t="str">
        <f t="shared" si="136"/>
        <v>352750_2019_12_Heating Res ER2</v>
      </c>
      <c r="B1441" s="157"/>
      <c r="C1441" s="1352" t="s">
        <v>1354</v>
      </c>
      <c r="D1441" s="1756" t="s">
        <v>742</v>
      </c>
      <c r="E1441" s="750" t="s">
        <v>1356</v>
      </c>
      <c r="F1441" s="2582">
        <f>ROUND(((K1699*K1827*(1/K1955-1/K2083)*K2723)/1000)*$K$2834,2)</f>
        <v>5742.99</v>
      </c>
      <c r="G1441" s="1787" t="s">
        <v>1332</v>
      </c>
      <c r="H1441" s="202">
        <f>VLOOKUP(G1441,'CP FACTORS'!$A$3:$B$38, 2, FALSE)</f>
        <v>0</v>
      </c>
      <c r="I1441" s="1757">
        <f t="shared" si="137"/>
        <v>0</v>
      </c>
      <c r="J1441" s="141">
        <f>K2866</f>
        <v>12</v>
      </c>
      <c r="K1441" s="908">
        <f>K3036</f>
        <v>0</v>
      </c>
      <c r="L1441" s="909"/>
      <c r="M1441" s="1797"/>
      <c r="N1441" s="1794"/>
      <c r="O1441" s="1249"/>
      <c r="P1441" s="157"/>
      <c r="Q1441" s="157"/>
      <c r="R1441" s="1627"/>
      <c r="S1441" s="157"/>
      <c r="T1441" s="157"/>
      <c r="U1441" s="1798"/>
      <c r="V1441" s="2309" t="s">
        <v>20</v>
      </c>
      <c r="W1441" s="910">
        <v>7823.7436343411837</v>
      </c>
      <c r="X1441" s="911">
        <v>5825.9434927697412</v>
      </c>
      <c r="Y1441" s="825">
        <v>5825.94</v>
      </c>
      <c r="Z1441" s="825">
        <v>5825.94</v>
      </c>
      <c r="AA1441" s="825">
        <v>5825.94</v>
      </c>
      <c r="AB1441" s="488">
        <v>5742.99</v>
      </c>
      <c r="AC1441" s="910"/>
      <c r="AD1441" s="910"/>
      <c r="AE1441" s="910"/>
      <c r="AF1441" s="910"/>
      <c r="AG1441" s="910"/>
      <c r="AH1441" s="211"/>
      <c r="AK1441" s="912"/>
      <c r="BB1441" s="822"/>
      <c r="BC1441" s="750" t="str">
        <f t="shared" si="140"/>
        <v>Heating Res ER2 12 Year EUL</v>
      </c>
      <c r="BD1441" s="752">
        <f>(INDEX('Avoided Cost Benefits'!$C$4:$C$857,MATCH(BC1441,'Avoided Cost Benefits'!$A$4:$A$857,0)))*F1441</f>
        <v>1698.1022121295534</v>
      </c>
      <c r="BE1441" s="73">
        <f t="shared" si="141"/>
        <v>0</v>
      </c>
      <c r="BG1441" s="776"/>
      <c r="BH1441" s="913"/>
      <c r="BI1441" s="776"/>
    </row>
    <row r="1442" spans="1:61" s="64" customFormat="1" x14ac:dyDescent="0.25">
      <c r="A1442" s="1393" t="str">
        <f t="shared" si="136"/>
        <v>352751_2019_12_Cooling Res</v>
      </c>
      <c r="B1442" s="157"/>
      <c r="C1442" s="1352" t="s">
        <v>1357</v>
      </c>
      <c r="D1442" s="1756" t="s">
        <v>737</v>
      </c>
      <c r="E1442" s="742" t="str">
        <f>CONCATENATE(E1438,"_CompE")</f>
        <v>ASHP SEER 15 MF ER replace Elec Resist Furnace: HVAC ER1_CompE</v>
      </c>
      <c r="F1442" s="2582">
        <f>ROUND((($K$2212*$K$2340*(1/$K$2468-1/$K$2596)*$K$2724)/1000)*$K$2834,2)</f>
        <v>923.42</v>
      </c>
      <c r="G1442" s="263" t="str">
        <f t="shared" ref="G1442:K1445" si="143">G1438</f>
        <v>Cooling Res</v>
      </c>
      <c r="H1442" s="202">
        <f t="shared" si="143"/>
        <v>9.4741810000000004E-4</v>
      </c>
      <c r="I1442" s="1801">
        <f t="shared" si="137"/>
        <v>0.874865</v>
      </c>
      <c r="J1442" s="141">
        <f>J1438</f>
        <v>6</v>
      </c>
      <c r="K1442" s="908">
        <f>K1438</f>
        <v>730.10143656272817</v>
      </c>
      <c r="L1442" s="909">
        <f>L1438</f>
        <v>2.75</v>
      </c>
      <c r="M1442" s="1797"/>
      <c r="N1442" s="1794"/>
      <c r="O1442" s="1249"/>
      <c r="P1442" s="157"/>
      <c r="Q1442" s="157"/>
      <c r="R1442" s="1627"/>
      <c r="S1442" s="157"/>
      <c r="T1442" s="157"/>
      <c r="U1442" s="1798"/>
      <c r="V1442" s="2309" t="s">
        <v>20</v>
      </c>
      <c r="W1442" s="910"/>
      <c r="X1442" s="911"/>
      <c r="Y1442" s="830">
        <v>742.91</v>
      </c>
      <c r="Z1442" s="825">
        <v>742.91</v>
      </c>
      <c r="AA1442" s="825">
        <v>742.91</v>
      </c>
      <c r="AB1442" s="488">
        <v>923.42</v>
      </c>
      <c r="AC1442" s="910"/>
      <c r="AD1442" s="910"/>
      <c r="AE1442" s="910"/>
      <c r="AF1442" s="910"/>
      <c r="AG1442" s="910"/>
      <c r="AH1442" s="211"/>
      <c r="AK1442" s="912"/>
      <c r="BB1442" s="293">
        <f>(BD1442+BD1443+BD1444+BD1445)/(BE1442+BE1443+BE1444+BE1445)</f>
        <v>2.3407054463473398</v>
      </c>
      <c r="BC1442" s="742" t="str">
        <f t="shared" si="140"/>
        <v>Cooling Res 6 Year EUL</v>
      </c>
      <c r="BD1442" s="752">
        <f>(INDEX('Avoided Cost Benefits'!$C$4:$C$857,MATCH(BC1442,'Avoided Cost Benefits'!$A$4:$A$857,0)))*F1442</f>
        <v>536.95410573744448</v>
      </c>
      <c r="BE1442" s="73">
        <f t="shared" si="141"/>
        <v>689.09998731734595</v>
      </c>
      <c r="BG1442" s="776"/>
      <c r="BH1442" s="916"/>
      <c r="BI1442" s="776"/>
    </row>
    <row r="1443" spans="1:61" s="64" customFormat="1" x14ac:dyDescent="0.25">
      <c r="A1443" s="1393" t="str">
        <f t="shared" si="136"/>
        <v>352751_2019_12_Heating Res</v>
      </c>
      <c r="B1443" s="157"/>
      <c r="C1443" s="1352" t="str">
        <f>C1442</f>
        <v>352751_2019_12_</v>
      </c>
      <c r="D1443" s="1756" t="s">
        <v>737</v>
      </c>
      <c r="E1443" s="821" t="str">
        <f>CONCATENATE(E1439,"_CompE")</f>
        <v>ASHP SEER 15 MF ER replace Elec Resist Furnace: HVAC ER1_CompE</v>
      </c>
      <c r="F1443" s="2582">
        <f>ROUND((($K$1700*$K$1828*(1/$K$1956-1/$K$2084)*$K$2724)/1000)*$K$2834,2)</f>
        <v>1957.84</v>
      </c>
      <c r="G1443" s="263" t="str">
        <f t="shared" si="143"/>
        <v>Heating Res</v>
      </c>
      <c r="H1443" s="202">
        <f t="shared" si="143"/>
        <v>0</v>
      </c>
      <c r="I1443" s="1801">
        <f t="shared" si="137"/>
        <v>0</v>
      </c>
      <c r="J1443" s="141">
        <f t="shared" si="143"/>
        <v>6</v>
      </c>
      <c r="K1443" s="908">
        <f t="shared" si="143"/>
        <v>0</v>
      </c>
      <c r="L1443" s="909"/>
      <c r="M1443" s="1797"/>
      <c r="N1443" s="1794"/>
      <c r="O1443" s="1249"/>
      <c r="P1443" s="157"/>
      <c r="Q1443" s="157"/>
      <c r="R1443" s="1627"/>
      <c r="S1443" s="157"/>
      <c r="T1443" s="157"/>
      <c r="U1443" s="1798"/>
      <c r="V1443" s="2309" t="s">
        <v>20</v>
      </c>
      <c r="W1443" s="910"/>
      <c r="X1443" s="911"/>
      <c r="Y1443" s="830">
        <v>1986.12</v>
      </c>
      <c r="Z1443" s="825">
        <v>1986.12</v>
      </c>
      <c r="AA1443" s="825">
        <v>1986.12</v>
      </c>
      <c r="AB1443" s="488">
        <v>1957.84</v>
      </c>
      <c r="AC1443" s="910"/>
      <c r="AD1443" s="910"/>
      <c r="AE1443" s="910"/>
      <c r="AF1443" s="910"/>
      <c r="AG1443" s="910"/>
      <c r="AH1443" s="211"/>
      <c r="AK1443" s="912"/>
      <c r="BB1443" s="822"/>
      <c r="BC1443" s="821" t="str">
        <f t="shared" si="140"/>
        <v>Heating Res 6 Year EUL</v>
      </c>
      <c r="BD1443" s="752">
        <f>(INDEX('Avoided Cost Benefits'!$C$4:$C$857,MATCH(BC1443,'Avoided Cost Benefits'!$A$4:$A$857,0)))*F1443</f>
        <v>325.65438789922479</v>
      </c>
      <c r="BE1443" s="73">
        <f t="shared" si="141"/>
        <v>0</v>
      </c>
      <c r="BG1443" s="776"/>
      <c r="BH1443" s="916"/>
      <c r="BI1443" s="776"/>
    </row>
    <row r="1444" spans="1:61" s="64" customFormat="1" x14ac:dyDescent="0.25">
      <c r="A1444" s="1393" t="str">
        <f t="shared" si="136"/>
        <v>352751_2019_12_Cooling Res ER2</v>
      </c>
      <c r="B1444" s="157"/>
      <c r="C1444" s="1352" t="str">
        <f>C1443</f>
        <v>352751_2019_12_</v>
      </c>
      <c r="D1444" s="1756" t="s">
        <v>737</v>
      </c>
      <c r="E1444" s="821" t="str">
        <f>CONCATENATE(E1440,"_CompE")</f>
        <v>ASHP SEER 15 MF ER replace Elec Resist Furnace: HVAC ER2_CompE</v>
      </c>
      <c r="F1444" s="2582">
        <f>ROUND((($K$2213*$K$2341*(1/$K$2469-1/$K$2597)*$K$2725)/1000)*$K$2834,2)</f>
        <v>145.03</v>
      </c>
      <c r="G1444" s="263" t="str">
        <f t="shared" si="143"/>
        <v>Cooling Res ER2</v>
      </c>
      <c r="H1444" s="202">
        <f t="shared" si="143"/>
        <v>9.4741810000000004E-4</v>
      </c>
      <c r="I1444" s="1801">
        <f t="shared" si="137"/>
        <v>0.137404</v>
      </c>
      <c r="J1444" s="141">
        <f t="shared" si="143"/>
        <v>12</v>
      </c>
      <c r="K1444" s="908">
        <f t="shared" si="143"/>
        <v>0</v>
      </c>
      <c r="L1444" s="909"/>
      <c r="M1444" s="1797"/>
      <c r="N1444" s="1794"/>
      <c r="O1444" s="1249"/>
      <c r="P1444" s="157"/>
      <c r="Q1444" s="157"/>
      <c r="R1444" s="1627"/>
      <c r="S1444" s="157"/>
      <c r="T1444" s="157"/>
      <c r="U1444" s="1798"/>
      <c r="V1444" s="2309" t="s">
        <v>20</v>
      </c>
      <c r="W1444" s="910"/>
      <c r="X1444" s="911"/>
      <c r="Y1444" s="830">
        <v>147.66</v>
      </c>
      <c r="Z1444" s="825">
        <v>147.66</v>
      </c>
      <c r="AA1444" s="825">
        <v>147.66</v>
      </c>
      <c r="AB1444" s="488">
        <v>145.03</v>
      </c>
      <c r="AC1444" s="910"/>
      <c r="AD1444" s="910"/>
      <c r="AE1444" s="910"/>
      <c r="AF1444" s="910"/>
      <c r="AG1444" s="910"/>
      <c r="AH1444" s="211"/>
      <c r="AK1444" s="912"/>
      <c r="BB1444" s="822"/>
      <c r="BC1444" s="821" t="str">
        <f t="shared" si="140"/>
        <v>Cooling Res ER2 12 Year EUL</v>
      </c>
      <c r="BD1444" s="752">
        <f>(INDEX('Avoided Cost Benefits'!$C$4:$C$857,MATCH(BC1444,'Avoided Cost Benefits'!$A$4:$A$857,0)))*F1444</f>
        <v>171.4723791406241</v>
      </c>
      <c r="BE1444" s="73">
        <f t="shared" si="141"/>
        <v>0</v>
      </c>
      <c r="BG1444" s="776"/>
      <c r="BH1444" s="916"/>
      <c r="BI1444" s="776"/>
    </row>
    <row r="1445" spans="1:61" s="64" customFormat="1" x14ac:dyDescent="0.25">
      <c r="A1445" s="1393" t="str">
        <f t="shared" si="136"/>
        <v>352751_2019_12_Heating Res ER2</v>
      </c>
      <c r="B1445" s="157"/>
      <c r="C1445" s="1352" t="str">
        <f>C1444</f>
        <v>352751_2019_12_</v>
      </c>
      <c r="D1445" s="1756" t="s">
        <v>737</v>
      </c>
      <c r="E1445" s="750" t="str">
        <f>CONCATENATE(E1441,"_CompE")</f>
        <v>ASHP SEER 15 MF ER replace Elec Resist Furnace: HVAC ER2_CompE</v>
      </c>
      <c r="F1445" s="2582">
        <f>ROUND((($K$1701*$K$1829*(1/$K$1957-1/$K$2085)*$K$2725)/1000)*$K$2834,2)</f>
        <v>1957.84</v>
      </c>
      <c r="G1445" s="263" t="str">
        <f t="shared" si="143"/>
        <v>Heating Res ER2</v>
      </c>
      <c r="H1445" s="202">
        <f t="shared" si="143"/>
        <v>0</v>
      </c>
      <c r="I1445" s="1801">
        <f t="shared" si="137"/>
        <v>0</v>
      </c>
      <c r="J1445" s="141">
        <f t="shared" si="143"/>
        <v>12</v>
      </c>
      <c r="K1445" s="908">
        <f t="shared" si="143"/>
        <v>0</v>
      </c>
      <c r="L1445" s="909"/>
      <c r="M1445" s="1797"/>
      <c r="N1445" s="1794"/>
      <c r="O1445" s="1249"/>
      <c r="P1445" s="157"/>
      <c r="Q1445" s="157"/>
      <c r="R1445" s="1627"/>
      <c r="S1445" s="157"/>
      <c r="T1445" s="157"/>
      <c r="U1445" s="1798"/>
      <c r="V1445" s="2309" t="s">
        <v>20</v>
      </c>
      <c r="W1445" s="910"/>
      <c r="X1445" s="911"/>
      <c r="Y1445" s="830">
        <v>1986.12</v>
      </c>
      <c r="Z1445" s="825">
        <v>1986.12</v>
      </c>
      <c r="AA1445" s="825">
        <v>1986.12</v>
      </c>
      <c r="AB1445" s="488">
        <v>1957.84</v>
      </c>
      <c r="AC1445" s="910"/>
      <c r="AD1445" s="910"/>
      <c r="AE1445" s="910"/>
      <c r="AF1445" s="910"/>
      <c r="AG1445" s="910"/>
      <c r="AH1445" s="211"/>
      <c r="AK1445" s="912"/>
      <c r="BB1445" s="822"/>
      <c r="BC1445" s="750" t="str">
        <f t="shared" si="140"/>
        <v>Heating Res ER2 12 Year EUL</v>
      </c>
      <c r="BD1445" s="752">
        <f>(INDEX('Avoided Cost Benefits'!$C$4:$C$857,MATCH(BC1445,'Avoided Cost Benefits'!$A$4:$A$857,0)))*F1445</f>
        <v>578.89922061430104</v>
      </c>
      <c r="BE1445" s="73">
        <f t="shared" si="141"/>
        <v>0</v>
      </c>
      <c r="BG1445" s="776"/>
      <c r="BH1445" s="916"/>
      <c r="BI1445" s="776"/>
    </row>
    <row r="1446" spans="1:61" s="64" customFormat="1" x14ac:dyDescent="0.25">
      <c r="A1446" s="1393" t="str">
        <f t="shared" si="136"/>
        <v>352800_2019_12_Cooling Res</v>
      </c>
      <c r="B1446" s="157"/>
      <c r="C1446" s="1352" t="s">
        <v>1358</v>
      </c>
      <c r="D1446" s="1756" t="s">
        <v>742</v>
      </c>
      <c r="E1446" s="797" t="s">
        <v>1359</v>
      </c>
      <c r="F1446" s="2582">
        <f>ROUND(((K2214*K2342*(1/K2470-1/K2598)*K2726)/1000)*$K$2834,2)</f>
        <v>196.21</v>
      </c>
      <c r="G1446" s="263" t="s">
        <v>1273</v>
      </c>
      <c r="H1446" s="202">
        <f>VLOOKUP(G1446,'CP FACTORS'!$A$3:$B$38, 2, FALSE)</f>
        <v>9.4741810000000004E-4</v>
      </c>
      <c r="I1446" s="1757">
        <f t="shared" si="137"/>
        <v>0.185893</v>
      </c>
      <c r="J1446" s="141">
        <f>K2867</f>
        <v>18</v>
      </c>
      <c r="K1446" s="908">
        <f>K3037</f>
        <v>303</v>
      </c>
      <c r="L1446" s="909">
        <f>L1702</f>
        <v>2.6</v>
      </c>
      <c r="M1446" s="1797"/>
      <c r="N1446" s="1794"/>
      <c r="O1446" s="1249"/>
      <c r="P1446" s="157"/>
      <c r="Q1446" s="157"/>
      <c r="R1446" s="1627"/>
      <c r="S1446" s="157"/>
      <c r="T1446" s="157"/>
      <c r="U1446" s="1798"/>
      <c r="V1446" s="2309" t="s">
        <v>20</v>
      </c>
      <c r="W1446" s="910">
        <v>196.21105263157907</v>
      </c>
      <c r="X1446" s="918">
        <v>196.21105263157907</v>
      </c>
      <c r="Y1446" s="825">
        <v>196.21</v>
      </c>
      <c r="Z1446" s="825">
        <v>196.21</v>
      </c>
      <c r="AA1446" s="825">
        <v>196.21</v>
      </c>
      <c r="AB1446" s="2582">
        <v>196.21</v>
      </c>
      <c r="AC1446" s="910"/>
      <c r="AD1446" s="910"/>
      <c r="AE1446" s="910"/>
      <c r="AF1446" s="910"/>
      <c r="AG1446" s="910"/>
      <c r="AH1446" s="211"/>
      <c r="AK1446" s="912"/>
      <c r="BB1446" s="293">
        <f>(BD1446+BD1447)/(BE1446+BE1447)</f>
        <v>9.8843352671619051</v>
      </c>
      <c r="BC1446" s="797" t="str">
        <f t="shared" si="140"/>
        <v>Cooling Res 18 Year EUL</v>
      </c>
      <c r="BD1446" s="752">
        <f>(INDEX('Avoided Cost Benefits'!$C$4:$C$857,MATCH(BC1446,'Avoided Cost Benefits'!$A$4:$A$857,0)))*F1446</f>
        <v>346.0767041631691</v>
      </c>
      <c r="BE1446" s="73">
        <f t="shared" si="141"/>
        <v>285.98395469561109</v>
      </c>
      <c r="BG1446" s="776"/>
      <c r="BH1446" s="913"/>
      <c r="BI1446" s="776"/>
    </row>
    <row r="1447" spans="1:61" s="64" customFormat="1" x14ac:dyDescent="0.25">
      <c r="A1447" s="1393" t="str">
        <f t="shared" si="136"/>
        <v>352800_2019_12_Heating Res</v>
      </c>
      <c r="B1447" s="157"/>
      <c r="C1447" s="1352" t="s">
        <v>1358</v>
      </c>
      <c r="D1447" s="1756" t="s">
        <v>742</v>
      </c>
      <c r="E1447" s="914" t="s">
        <v>1359</v>
      </c>
      <c r="F1447" s="2582">
        <f>ROUND(((K1702*K1830*(1/K1958-1/K2086)*K2726)/1000)*$K$2834,2)</f>
        <v>5369.26</v>
      </c>
      <c r="G1447" s="263" t="s">
        <v>1275</v>
      </c>
      <c r="H1447" s="202">
        <f>VLOOKUP(G1447,'CP FACTORS'!$A$3:$B$38, 2, FALSE)</f>
        <v>0</v>
      </c>
      <c r="I1447" s="1757">
        <f t="shared" si="137"/>
        <v>0</v>
      </c>
      <c r="J1447" s="141">
        <f>K2868</f>
        <v>18</v>
      </c>
      <c r="K1447" s="908">
        <f>K3038</f>
        <v>0</v>
      </c>
      <c r="L1447" s="909"/>
      <c r="M1447" s="1797"/>
      <c r="N1447" s="1794"/>
      <c r="O1447" s="1249"/>
      <c r="P1447" s="157"/>
      <c r="Q1447" s="157"/>
      <c r="R1447" s="1627"/>
      <c r="S1447" s="157"/>
      <c r="T1447" s="157"/>
      <c r="U1447" s="1798"/>
      <c r="V1447" s="2309" t="s">
        <v>20</v>
      </c>
      <c r="W1447" s="910">
        <v>7210.4507535974899</v>
      </c>
      <c r="X1447" s="911">
        <v>5369.2555138784683</v>
      </c>
      <c r="Y1447" s="825">
        <v>5369.26</v>
      </c>
      <c r="Z1447" s="825">
        <v>5369.26</v>
      </c>
      <c r="AA1447" s="825">
        <v>5369.26</v>
      </c>
      <c r="AB1447" s="2582">
        <v>5369.26</v>
      </c>
      <c r="AC1447" s="910"/>
      <c r="AD1447" s="910"/>
      <c r="AE1447" s="910"/>
      <c r="AF1447" s="910"/>
      <c r="AG1447" s="910"/>
      <c r="AH1447" s="211"/>
      <c r="AK1447" s="912"/>
      <c r="BB1447" s="291"/>
      <c r="BC1447" s="914" t="str">
        <f t="shared" si="140"/>
        <v>Heating Res 18 Year EUL</v>
      </c>
      <c r="BD1447" s="752">
        <f>(INDEX('Avoided Cost Benefits'!$C$4:$C$857,MATCH(BC1447,'Avoided Cost Benefits'!$A$4:$A$857,0)))*F1447</f>
        <v>2480.6845850770924</v>
      </c>
      <c r="BE1447" s="73">
        <f t="shared" si="141"/>
        <v>0</v>
      </c>
      <c r="BG1447" s="776"/>
      <c r="BH1447" s="913"/>
      <c r="BI1447" s="776"/>
    </row>
    <row r="1448" spans="1:61" s="64" customFormat="1" x14ac:dyDescent="0.25">
      <c r="A1448" s="1393" t="str">
        <f t="shared" si="136"/>
        <v>352801_2019_12_Cooling Res</v>
      </c>
      <c r="B1448" s="157"/>
      <c r="C1448" s="1352" t="s">
        <v>1360</v>
      </c>
      <c r="D1448" s="1756" t="s">
        <v>737</v>
      </c>
      <c r="E1448" s="742" t="str">
        <f>CONCATENATE(E1446,"_CompE")</f>
        <v>ASHP SEER 15 MF replace at Fail Elec Resist Furnace: HVAC_CompE</v>
      </c>
      <c r="F1448" s="2582">
        <f>ROUND((($K$2215*$K$2343*(1/$K$2471-1/$K$2599)*$K$2727)/1000)*$K$2834,2)</f>
        <v>219.54</v>
      </c>
      <c r="G1448" s="263" t="str">
        <f>G1446</f>
        <v>Cooling Res</v>
      </c>
      <c r="H1448" s="202">
        <f t="shared" ref="H1448:K1449" si="144">H1446</f>
        <v>9.4741810000000004E-4</v>
      </c>
      <c r="I1448" s="1801">
        <f t="shared" si="137"/>
        <v>0.20799599999999999</v>
      </c>
      <c r="J1448" s="141">
        <f t="shared" si="144"/>
        <v>18</v>
      </c>
      <c r="K1448" s="908">
        <f t="shared" si="144"/>
        <v>303</v>
      </c>
      <c r="L1448" s="909">
        <f>L1446</f>
        <v>2.6</v>
      </c>
      <c r="M1448" s="1797"/>
      <c r="N1448" s="1794"/>
      <c r="O1448" s="1249"/>
      <c r="P1448" s="157"/>
      <c r="Q1448" s="157"/>
      <c r="R1448" s="1627"/>
      <c r="S1448" s="157"/>
      <c r="T1448" s="157"/>
      <c r="U1448" s="1798"/>
      <c r="V1448" s="2309" t="s">
        <v>20</v>
      </c>
      <c r="W1448" s="910"/>
      <c r="X1448" s="911"/>
      <c r="Y1448" s="830">
        <v>219.54</v>
      </c>
      <c r="Z1448" s="825">
        <v>219.54</v>
      </c>
      <c r="AA1448" s="825">
        <v>219.54</v>
      </c>
      <c r="AB1448" s="2582">
        <v>219.54</v>
      </c>
      <c r="AC1448" s="910"/>
      <c r="AD1448" s="910"/>
      <c r="AE1448" s="910"/>
      <c r="AF1448" s="910"/>
      <c r="AG1448" s="910"/>
      <c r="AH1448" s="211"/>
      <c r="AK1448" s="912"/>
      <c r="BB1448" s="293">
        <f>(BD1448+BD1449)/(BE1448+BE1449)</f>
        <v>5.9034156925921462</v>
      </c>
      <c r="BC1448" s="797" t="str">
        <f t="shared" si="140"/>
        <v>Cooling Res 18 Year EUL</v>
      </c>
      <c r="BD1448" s="752">
        <f>(INDEX('Avoided Cost Benefits'!$C$4:$C$857,MATCH(BC1448,'Avoided Cost Benefits'!$A$4:$A$857,0)))*F1448</f>
        <v>387.22633725081357</v>
      </c>
      <c r="BE1448" s="73">
        <f t="shared" si="141"/>
        <v>285.98395469561109</v>
      </c>
      <c r="BG1448" s="776"/>
      <c r="BH1448" s="916"/>
      <c r="BI1448" s="776"/>
    </row>
    <row r="1449" spans="1:61" s="64" customFormat="1" x14ac:dyDescent="0.25">
      <c r="A1449" s="1393" t="str">
        <f t="shared" si="136"/>
        <v>352801_2019_12_Heating Res</v>
      </c>
      <c r="B1449" s="157"/>
      <c r="C1449" s="1352" t="str">
        <f>C1448</f>
        <v>352801_2019_12_</v>
      </c>
      <c r="D1449" s="1756" t="s">
        <v>737</v>
      </c>
      <c r="E1449" s="750" t="str">
        <f>CONCATENATE(E1447,"_CompE")</f>
        <v>ASHP SEER 15 MF replace at Fail Elec Resist Furnace: HVAC_CompE</v>
      </c>
      <c r="F1449" s="2582">
        <f>ROUND((($K$1703*$K$1831*(1/$K$1959-1/$K$2087)*$K$2727)/1000)*$K$2834,2)</f>
        <v>2816.04</v>
      </c>
      <c r="G1449" s="263" t="str">
        <f>G1447</f>
        <v>Heating Res</v>
      </c>
      <c r="H1449" s="202">
        <f t="shared" si="144"/>
        <v>0</v>
      </c>
      <c r="I1449" s="1801">
        <f t="shared" si="137"/>
        <v>0</v>
      </c>
      <c r="J1449" s="141">
        <f t="shared" si="144"/>
        <v>18</v>
      </c>
      <c r="K1449" s="908">
        <f t="shared" si="144"/>
        <v>0</v>
      </c>
      <c r="L1449" s="909"/>
      <c r="M1449" s="1797"/>
      <c r="N1449" s="1794"/>
      <c r="O1449" s="1249"/>
      <c r="P1449" s="157"/>
      <c r="Q1449" s="157"/>
      <c r="R1449" s="1627"/>
      <c r="S1449" s="157"/>
      <c r="T1449" s="157"/>
      <c r="U1449" s="1798"/>
      <c r="V1449" s="2309" t="s">
        <v>20</v>
      </c>
      <c r="W1449" s="910"/>
      <c r="X1449" s="911"/>
      <c r="Y1449" s="830">
        <v>2816.04</v>
      </c>
      <c r="Z1449" s="825">
        <v>2816.04</v>
      </c>
      <c r="AA1449" s="825">
        <v>2816.04</v>
      </c>
      <c r="AB1449" s="2582">
        <v>2816.04</v>
      </c>
      <c r="AC1449" s="910"/>
      <c r="AD1449" s="910"/>
      <c r="AE1449" s="910"/>
      <c r="AF1449" s="910"/>
      <c r="AG1449" s="910"/>
      <c r="AH1449" s="211"/>
      <c r="AK1449" s="912"/>
      <c r="BB1449" s="291"/>
      <c r="BC1449" s="914" t="str">
        <f t="shared" si="140"/>
        <v>Heating Res 18 Year EUL</v>
      </c>
      <c r="BD1449" s="752">
        <f>(INDEX('Avoided Cost Benefits'!$C$4:$C$857,MATCH(BC1449,'Avoided Cost Benefits'!$A$4:$A$857,0)))*F1449</f>
        <v>1301.0558287288181</v>
      </c>
      <c r="BE1449" s="73">
        <f t="shared" si="141"/>
        <v>0</v>
      </c>
      <c r="BG1449" s="776"/>
      <c r="BH1449" s="916"/>
      <c r="BI1449" s="776"/>
    </row>
    <row r="1450" spans="1:61" s="64" customFormat="1" x14ac:dyDescent="0.25">
      <c r="A1450" s="1393" t="str">
        <f t="shared" si="136"/>
        <v>352850_2019_12_Cooling Res</v>
      </c>
      <c r="B1450" s="157"/>
      <c r="C1450" s="1352" t="s">
        <v>1361</v>
      </c>
      <c r="D1450" s="1756" t="s">
        <v>742</v>
      </c>
      <c r="E1450" s="742" t="s">
        <v>1362</v>
      </c>
      <c r="F1450" s="2582">
        <f>ROUND(((K2216*K2344*(1/K2472-1/K2600)*K2728)/1000)*$K$2834,2)</f>
        <v>1287.24</v>
      </c>
      <c r="G1450" s="263" t="s">
        <v>1273</v>
      </c>
      <c r="H1450" s="202">
        <f>VLOOKUP(G1450,'CP FACTORS'!$A$3:$B$38, 2, FALSE)</f>
        <v>9.4741810000000004E-4</v>
      </c>
      <c r="I1450" s="1757">
        <f t="shared" si="137"/>
        <v>1.219554</v>
      </c>
      <c r="J1450" s="141">
        <f>K2869</f>
        <v>6</v>
      </c>
      <c r="K1450" s="908">
        <f>K3039</f>
        <v>950.52172387527389</v>
      </c>
      <c r="L1450" s="909">
        <f>L1704</f>
        <v>3.3</v>
      </c>
      <c r="M1450" s="1797"/>
      <c r="N1450" s="1794"/>
      <c r="O1450" s="1249"/>
      <c r="P1450" s="157"/>
      <c r="Q1450" s="157"/>
      <c r="R1450" s="1627"/>
      <c r="S1450" s="157"/>
      <c r="T1450" s="157"/>
      <c r="U1450" s="1798"/>
      <c r="V1450" s="2309" t="s">
        <v>20</v>
      </c>
      <c r="W1450" s="910">
        <v>1708.6712500000001</v>
      </c>
      <c r="X1450" s="911">
        <v>1287.2375465186074</v>
      </c>
      <c r="Y1450" s="825">
        <v>1287.24</v>
      </c>
      <c r="Z1450" s="825">
        <v>1287.24</v>
      </c>
      <c r="AA1450" s="825">
        <v>1287.24</v>
      </c>
      <c r="AB1450" s="2582">
        <v>1287.24</v>
      </c>
      <c r="AC1450" s="910"/>
      <c r="AD1450" s="910"/>
      <c r="AE1450" s="910"/>
      <c r="AF1450" s="910"/>
      <c r="AG1450" s="910"/>
      <c r="AH1450" s="211"/>
      <c r="AK1450" s="912"/>
      <c r="BB1450" s="293">
        <f>(BD1450+BD1451+BD1452+BD1453)/(BE1450+BE1451+BE1452+BE1453)</f>
        <v>1.6428107268754624</v>
      </c>
      <c r="BC1450" s="742" t="str">
        <f t="shared" si="140"/>
        <v>Cooling Res 6 Year EUL</v>
      </c>
      <c r="BD1450" s="752">
        <f>(INDEX('Avoided Cost Benefits'!$C$4:$C$857,MATCH(BC1450,'Avoided Cost Benefits'!$A$4:$A$857,0)))*F1450</f>
        <v>748.50967389645893</v>
      </c>
      <c r="BE1450" s="73">
        <f t="shared" si="141"/>
        <v>897.14178751795544</v>
      </c>
      <c r="BG1450" s="776"/>
      <c r="BH1450" s="913"/>
      <c r="BI1450" s="776"/>
    </row>
    <row r="1451" spans="1:61" s="64" customFormat="1" x14ac:dyDescent="0.25">
      <c r="A1451" s="1393" t="str">
        <f t="shared" si="136"/>
        <v>352850_2019_12_Heating Res</v>
      </c>
      <c r="B1451" s="157"/>
      <c r="C1451" s="1352" t="s">
        <v>1361</v>
      </c>
      <c r="D1451" s="1756" t="s">
        <v>742</v>
      </c>
      <c r="E1451" s="821" t="s">
        <v>1362</v>
      </c>
      <c r="F1451" s="2582">
        <f>ROUND(((K1704*K1832*(1/K1960-1/K2088)*K2728)/1000)*$K$2834,2)</f>
        <v>1798.76</v>
      </c>
      <c r="G1451" s="263" t="s">
        <v>1275</v>
      </c>
      <c r="H1451" s="202">
        <f>VLOOKUP(G1451,'CP FACTORS'!$A$3:$B$38, 2, FALSE)</f>
        <v>0</v>
      </c>
      <c r="I1451" s="1757">
        <f t="shared" si="137"/>
        <v>0</v>
      </c>
      <c r="J1451" s="141">
        <f>K2870</f>
        <v>6</v>
      </c>
      <c r="K1451" s="908">
        <f>K3040</f>
        <v>0</v>
      </c>
      <c r="L1451" s="909"/>
      <c r="M1451" s="1797"/>
      <c r="N1451" s="1794"/>
      <c r="O1451" s="1249"/>
      <c r="P1451" s="157"/>
      <c r="Q1451" s="157"/>
      <c r="R1451" s="1627"/>
      <c r="S1451" s="157"/>
      <c r="T1451" s="157"/>
      <c r="U1451" s="1798"/>
      <c r="V1451" s="2309" t="s">
        <v>20</v>
      </c>
      <c r="W1451" s="910">
        <v>4062.4872213622284</v>
      </c>
      <c r="X1451" s="911">
        <v>1798.7611070228763</v>
      </c>
      <c r="Y1451" s="825">
        <v>1798.76</v>
      </c>
      <c r="Z1451" s="825">
        <v>1798.76</v>
      </c>
      <c r="AA1451" s="825">
        <v>1798.76</v>
      </c>
      <c r="AB1451" s="2582">
        <v>1798.76</v>
      </c>
      <c r="AC1451" s="910"/>
      <c r="AD1451" s="910"/>
      <c r="AE1451" s="910"/>
      <c r="AF1451" s="910"/>
      <c r="AG1451" s="910"/>
      <c r="AH1451" s="211"/>
      <c r="AK1451" s="912"/>
      <c r="BB1451" s="822"/>
      <c r="BC1451" s="821" t="str">
        <f t="shared" si="140"/>
        <v>Heating Res 6 Year EUL</v>
      </c>
      <c r="BD1451" s="752">
        <f>(INDEX('Avoided Cost Benefits'!$C$4:$C$857,MATCH(BC1451,'Avoided Cost Benefits'!$A$4:$A$857,0)))*F1451</f>
        <v>299.19405404813961</v>
      </c>
      <c r="BE1451" s="73">
        <f t="shared" si="141"/>
        <v>0</v>
      </c>
      <c r="BG1451" s="776"/>
      <c r="BH1451" s="913"/>
      <c r="BI1451" s="776"/>
    </row>
    <row r="1452" spans="1:61" s="64" customFormat="1" x14ac:dyDescent="0.25">
      <c r="A1452" s="1393" t="str">
        <f t="shared" si="136"/>
        <v>352850_2019_12_Cooling Res ER2</v>
      </c>
      <c r="B1452" s="157"/>
      <c r="C1452" s="1352" t="s">
        <v>1361</v>
      </c>
      <c r="D1452" s="1756" t="s">
        <v>742</v>
      </c>
      <c r="E1452" s="821" t="s">
        <v>1363</v>
      </c>
      <c r="F1452" s="2582">
        <f>ROUND(((K2217*K2345*(1/K2473-1/K2601)*K2729)/1000)*$K$2834,2)</f>
        <v>199.71</v>
      </c>
      <c r="G1452" s="1787" t="s">
        <v>1314</v>
      </c>
      <c r="H1452" s="202">
        <f>VLOOKUP(G1452,'CP FACTORS'!$A$3:$B$38, 2, FALSE)</f>
        <v>9.4741810000000004E-4</v>
      </c>
      <c r="I1452" s="1757">
        <f t="shared" si="137"/>
        <v>0.18920899999999999</v>
      </c>
      <c r="J1452" s="141">
        <f>K2871</f>
        <v>12</v>
      </c>
      <c r="K1452" s="908">
        <f>K3041</f>
        <v>0</v>
      </c>
      <c r="L1452" s="909"/>
      <c r="M1452" s="1797"/>
      <c r="N1452" s="1794"/>
      <c r="O1452" s="1249"/>
      <c r="P1452" s="157"/>
      <c r="Q1452" s="157"/>
      <c r="R1452" s="1627"/>
      <c r="S1452" s="157"/>
      <c r="T1452" s="157"/>
      <c r="U1452" s="1798"/>
      <c r="V1452" s="2309" t="s">
        <v>20</v>
      </c>
      <c r="W1452" s="910">
        <v>199.71482142857135</v>
      </c>
      <c r="X1452" s="911">
        <v>199.71482142857135</v>
      </c>
      <c r="Y1452" s="825">
        <v>199.71</v>
      </c>
      <c r="Z1452" s="825">
        <v>199.71</v>
      </c>
      <c r="AA1452" s="825">
        <v>199.71</v>
      </c>
      <c r="AB1452" s="2582">
        <v>199.71</v>
      </c>
      <c r="AC1452" s="910"/>
      <c r="AD1452" s="910"/>
      <c r="AE1452" s="910"/>
      <c r="AF1452" s="910"/>
      <c r="AG1452" s="910"/>
      <c r="AH1452" s="211"/>
      <c r="AK1452" s="912"/>
      <c r="BB1452" s="822"/>
      <c r="BC1452" s="821" t="str">
        <f t="shared" si="140"/>
        <v>Cooling Res ER2 12 Year EUL</v>
      </c>
      <c r="BD1452" s="752">
        <f>(INDEX('Avoided Cost Benefits'!$C$4:$C$857,MATCH(BC1452,'Avoided Cost Benefits'!$A$4:$A$857,0)))*F1452</f>
        <v>236.12182885040363</v>
      </c>
      <c r="BE1452" s="73">
        <f t="shared" si="141"/>
        <v>0</v>
      </c>
      <c r="BG1452" s="776"/>
      <c r="BH1452" s="913"/>
      <c r="BI1452" s="776"/>
    </row>
    <row r="1453" spans="1:61" s="64" customFormat="1" x14ac:dyDescent="0.25">
      <c r="A1453" s="1393" t="str">
        <f t="shared" si="136"/>
        <v>352850_2019_12_Heating Res ER2</v>
      </c>
      <c r="B1453" s="157"/>
      <c r="C1453" s="1352" t="s">
        <v>1361</v>
      </c>
      <c r="D1453" s="1756" t="s">
        <v>742</v>
      </c>
      <c r="E1453" s="750" t="s">
        <v>1363</v>
      </c>
      <c r="F1453" s="2582">
        <f>ROUND(((K1705*K1833*(1/K1961-1/K2089)*K2729)/1000)*$K$2834,2)</f>
        <v>642.61</v>
      </c>
      <c r="G1453" s="1787" t="s">
        <v>1332</v>
      </c>
      <c r="H1453" s="202">
        <f>VLOOKUP(G1453,'CP FACTORS'!$A$3:$B$38, 2, FALSE)</f>
        <v>0</v>
      </c>
      <c r="I1453" s="1757">
        <f t="shared" si="137"/>
        <v>0</v>
      </c>
      <c r="J1453" s="141">
        <f>K2872</f>
        <v>12</v>
      </c>
      <c r="K1453" s="908">
        <f>K3042</f>
        <v>0</v>
      </c>
      <c r="L1453" s="909"/>
      <c r="M1453" s="1797"/>
      <c r="N1453" s="1794"/>
      <c r="O1453" s="1249"/>
      <c r="P1453" s="157"/>
      <c r="Q1453" s="157"/>
      <c r="R1453" s="1627"/>
      <c r="S1453" s="157"/>
      <c r="T1453" s="157"/>
      <c r="U1453" s="1798"/>
      <c r="V1453" s="2309" t="s">
        <v>20</v>
      </c>
      <c r="W1453" s="910">
        <v>862.96736842105349</v>
      </c>
      <c r="X1453" s="911">
        <v>642.6078562259313</v>
      </c>
      <c r="Y1453" s="825">
        <v>642.61</v>
      </c>
      <c r="Z1453" s="825">
        <v>642.61</v>
      </c>
      <c r="AA1453" s="825">
        <v>642.61</v>
      </c>
      <c r="AB1453" s="2582">
        <v>642.61</v>
      </c>
      <c r="AC1453" s="910"/>
      <c r="AD1453" s="910"/>
      <c r="AE1453" s="910"/>
      <c r="AF1453" s="910"/>
      <c r="AG1453" s="910"/>
      <c r="AH1453" s="211"/>
      <c r="AK1453" s="912"/>
      <c r="BB1453" s="822"/>
      <c r="BC1453" s="750" t="str">
        <f t="shared" si="140"/>
        <v>Heating Res ER2 12 Year EUL</v>
      </c>
      <c r="BD1453" s="752">
        <f>(INDEX('Avoided Cost Benefits'!$C$4:$C$857,MATCH(BC1453,'Avoided Cost Benefits'!$A$4:$A$857,0)))*F1453</f>
        <v>190.00859526772157</v>
      </c>
      <c r="BE1453" s="73">
        <f t="shared" si="141"/>
        <v>0</v>
      </c>
      <c r="BG1453" s="776"/>
      <c r="BH1453" s="913"/>
      <c r="BI1453" s="776"/>
    </row>
    <row r="1454" spans="1:61" s="64" customFormat="1" x14ac:dyDescent="0.25">
      <c r="A1454" s="1393" t="str">
        <f t="shared" si="136"/>
        <v>352851_2019_12_Cooling Res</v>
      </c>
      <c r="B1454" s="157"/>
      <c r="C1454" s="1352" t="s">
        <v>1364</v>
      </c>
      <c r="D1454" s="1756" t="s">
        <v>737</v>
      </c>
      <c r="E1454" s="742" t="str">
        <f>CONCATENATE(E1450,"_CompE")</f>
        <v>ASHP SEER 16 MF ER replace ASHP: HVAC ER1_CompE</v>
      </c>
      <c r="F1454" s="2582">
        <f>ROUND((($K$2218*$K$2346*(1/$K$2474-1/$K$2602)*$K$2730)/1000)*$K$2834,2)</f>
        <v>936.17</v>
      </c>
      <c r="G1454" s="263" t="str">
        <f t="shared" ref="G1454:K1457" si="145">G1450</f>
        <v>Cooling Res</v>
      </c>
      <c r="H1454" s="202">
        <f t="shared" si="145"/>
        <v>9.4741810000000004E-4</v>
      </c>
      <c r="I1454" s="1801">
        <f t="shared" si="137"/>
        <v>0.88694399999999995</v>
      </c>
      <c r="J1454" s="141">
        <f>J1450</f>
        <v>6</v>
      </c>
      <c r="K1454" s="908">
        <f>K1450</f>
        <v>950.52172387527389</v>
      </c>
      <c r="L1454" s="909">
        <f>L1450</f>
        <v>3.3</v>
      </c>
      <c r="M1454" s="1797"/>
      <c r="N1454" s="1794"/>
      <c r="O1454" s="1249"/>
      <c r="P1454" s="157"/>
      <c r="Q1454" s="157"/>
      <c r="R1454" s="1627"/>
      <c r="S1454" s="157"/>
      <c r="T1454" s="157"/>
      <c r="U1454" s="1798"/>
      <c r="V1454" s="2309" t="s">
        <v>20</v>
      </c>
      <c r="W1454" s="910"/>
      <c r="X1454" s="911"/>
      <c r="Y1454" s="830">
        <v>936.17</v>
      </c>
      <c r="Z1454" s="825">
        <v>936.17</v>
      </c>
      <c r="AA1454" s="825">
        <v>936.17</v>
      </c>
      <c r="AB1454" s="2582">
        <v>936.17</v>
      </c>
      <c r="AC1454" s="910"/>
      <c r="AD1454" s="910"/>
      <c r="AE1454" s="910"/>
      <c r="AF1454" s="910"/>
      <c r="AG1454" s="910"/>
      <c r="AH1454" s="211"/>
      <c r="AK1454" s="912"/>
      <c r="BB1454" s="293">
        <f>(BD1454+BD1455+BD1456+BD1457)/(BE1454+BE1455+BE1456+BE1457)</f>
        <v>0.984095364419867</v>
      </c>
      <c r="BC1454" s="742" t="str">
        <f t="shared" si="140"/>
        <v>Cooling Res 6 Year EUL</v>
      </c>
      <c r="BD1454" s="752">
        <f>(INDEX('Avoided Cost Benefits'!$C$4:$C$857,MATCH(BC1454,'Avoided Cost Benefits'!$A$4:$A$857,0)))*F1454</f>
        <v>544.36802881486585</v>
      </c>
      <c r="BE1454" s="73">
        <f t="shared" si="141"/>
        <v>897.14178751795544</v>
      </c>
      <c r="BG1454" s="776"/>
      <c r="BH1454" s="916"/>
      <c r="BI1454" s="776"/>
    </row>
    <row r="1455" spans="1:61" s="64" customFormat="1" x14ac:dyDescent="0.25">
      <c r="A1455" s="1393" t="str">
        <f t="shared" si="136"/>
        <v>352851_2019_12_Heating Res</v>
      </c>
      <c r="B1455" s="157"/>
      <c r="C1455" s="1352" t="str">
        <f>C1454</f>
        <v>352851_2019_12_</v>
      </c>
      <c r="D1455" s="1756" t="s">
        <v>737</v>
      </c>
      <c r="E1455" s="821" t="str">
        <f>CONCATENATE(E1451,"_CompE")</f>
        <v>ASHP SEER 16 MF ER replace ASHP: HVAC ER1_CompE</v>
      </c>
      <c r="F1455" s="2582">
        <f>ROUND((($K$1706*$K$1834*(1/$K$1962-1/$K$2090)*$K$2730)/1000)*$K$2834,2)</f>
        <v>613.21</v>
      </c>
      <c r="G1455" s="263" t="str">
        <f t="shared" si="145"/>
        <v>Heating Res</v>
      </c>
      <c r="H1455" s="202">
        <f t="shared" si="145"/>
        <v>0</v>
      </c>
      <c r="I1455" s="1801">
        <f t="shared" si="137"/>
        <v>0</v>
      </c>
      <c r="J1455" s="141">
        <f t="shared" si="145"/>
        <v>6</v>
      </c>
      <c r="K1455" s="908">
        <f t="shared" si="145"/>
        <v>0</v>
      </c>
      <c r="L1455" s="909"/>
      <c r="M1455" s="1797"/>
      <c r="N1455" s="1794"/>
      <c r="O1455" s="1249"/>
      <c r="P1455" s="157"/>
      <c r="Q1455" s="157"/>
      <c r="R1455" s="1627"/>
      <c r="S1455" s="157"/>
      <c r="T1455" s="157"/>
      <c r="U1455" s="1798"/>
      <c r="V1455" s="2309" t="s">
        <v>20</v>
      </c>
      <c r="W1455" s="910"/>
      <c r="X1455" s="911"/>
      <c r="Y1455" s="830">
        <v>613.21</v>
      </c>
      <c r="Z1455" s="825">
        <v>613.21</v>
      </c>
      <c r="AA1455" s="825">
        <v>613.21</v>
      </c>
      <c r="AB1455" s="2582">
        <v>613.21</v>
      </c>
      <c r="AC1455" s="910"/>
      <c r="AD1455" s="910"/>
      <c r="AE1455" s="910"/>
      <c r="AF1455" s="910"/>
      <c r="AG1455" s="910"/>
      <c r="AH1455" s="211"/>
      <c r="AK1455" s="912"/>
      <c r="BB1455" s="822"/>
      <c r="BC1455" s="821" t="str">
        <f t="shared" si="140"/>
        <v>Heating Res 6 Year EUL</v>
      </c>
      <c r="BD1455" s="752">
        <f>(INDEX('Avoided Cost Benefits'!$C$4:$C$857,MATCH(BC1455,'Avoided Cost Benefits'!$A$4:$A$857,0)))*F1455</f>
        <v>101.99736812185043</v>
      </c>
      <c r="BE1455" s="73">
        <f t="shared" si="141"/>
        <v>0</v>
      </c>
      <c r="BG1455" s="776"/>
      <c r="BH1455" s="916"/>
      <c r="BI1455" s="776"/>
    </row>
    <row r="1456" spans="1:61" s="64" customFormat="1" x14ac:dyDescent="0.25">
      <c r="A1456" s="1393" t="str">
        <f t="shared" si="136"/>
        <v>352851_2019_12_Cooling Res ER2</v>
      </c>
      <c r="B1456" s="157"/>
      <c r="C1456" s="1352" t="str">
        <f>C1455</f>
        <v>352851_2019_12_</v>
      </c>
      <c r="D1456" s="1756" t="s">
        <v>737</v>
      </c>
      <c r="E1456" s="821" t="str">
        <f>CONCATENATE(E1452,"_CompE")</f>
        <v>ASHP SEER 16 MF ER replace ASHP: HVAC ER2_CompE</v>
      </c>
      <c r="F1456" s="2582">
        <f>ROUND((($K$2219*$K$2347*(1/$K$2475-1/$K$2603)*$K$2731)/1000)*$K$2834,2)</f>
        <v>145.25</v>
      </c>
      <c r="G1456" s="263" t="str">
        <f t="shared" si="145"/>
        <v>Cooling Res ER2</v>
      </c>
      <c r="H1456" s="202">
        <f t="shared" si="145"/>
        <v>9.4741810000000004E-4</v>
      </c>
      <c r="I1456" s="1801">
        <f t="shared" si="137"/>
        <v>0.13761200000000001</v>
      </c>
      <c r="J1456" s="141">
        <f t="shared" si="145"/>
        <v>12</v>
      </c>
      <c r="K1456" s="908">
        <f t="shared" si="145"/>
        <v>0</v>
      </c>
      <c r="L1456" s="909"/>
      <c r="M1456" s="1797"/>
      <c r="N1456" s="1794"/>
      <c r="O1456" s="1249"/>
      <c r="P1456" s="157"/>
      <c r="Q1456" s="157"/>
      <c r="R1456" s="1627"/>
      <c r="S1456" s="157"/>
      <c r="T1456" s="157"/>
      <c r="U1456" s="1798"/>
      <c r="V1456" s="2309" t="s">
        <v>20</v>
      </c>
      <c r="W1456" s="910"/>
      <c r="X1456" s="911"/>
      <c r="Y1456" s="830">
        <v>145.25</v>
      </c>
      <c r="Z1456" s="825">
        <v>145.25</v>
      </c>
      <c r="AA1456" s="825">
        <v>145.25</v>
      </c>
      <c r="AB1456" s="2582">
        <v>145.25</v>
      </c>
      <c r="AC1456" s="910"/>
      <c r="AD1456" s="910"/>
      <c r="AE1456" s="910"/>
      <c r="AF1456" s="910"/>
      <c r="AG1456" s="910"/>
      <c r="AH1456" s="211"/>
      <c r="AK1456" s="912"/>
      <c r="BB1456" s="822"/>
      <c r="BC1456" s="821" t="str">
        <f t="shared" si="140"/>
        <v>Cooling Res ER2 12 Year EUL</v>
      </c>
      <c r="BD1456" s="752">
        <f>(INDEX('Avoided Cost Benefits'!$C$4:$C$857,MATCH(BC1456,'Avoided Cost Benefits'!$A$4:$A$857,0)))*F1456</f>
        <v>171.73249031356028</v>
      </c>
      <c r="BE1456" s="73">
        <f t="shared" si="141"/>
        <v>0</v>
      </c>
      <c r="BG1456" s="776"/>
      <c r="BH1456" s="916"/>
      <c r="BI1456" s="776"/>
    </row>
    <row r="1457" spans="1:61" s="64" customFormat="1" x14ac:dyDescent="0.25">
      <c r="A1457" s="1393" t="str">
        <f t="shared" si="136"/>
        <v>352851_2019_12_Heating Res ER2</v>
      </c>
      <c r="B1457" s="157"/>
      <c r="C1457" s="1352" t="str">
        <f>C1456</f>
        <v>352851_2019_12_</v>
      </c>
      <c r="D1457" s="1756" t="s">
        <v>737</v>
      </c>
      <c r="E1457" s="750" t="str">
        <f>CONCATENATE(E1453,"_CompE")</f>
        <v>ASHP SEER 16 MF ER replace ASHP: HVAC ER2_CompE</v>
      </c>
      <c r="F1457" s="2582">
        <f>ROUND((($K$1707*$K$1835*(1/$K$1963-1/$K$2091)*$K$2731)/1000)*$K$2834,2)</f>
        <v>219.07</v>
      </c>
      <c r="G1457" s="263" t="str">
        <f t="shared" si="145"/>
        <v>Heating Res ER2</v>
      </c>
      <c r="H1457" s="202">
        <f t="shared" si="145"/>
        <v>0</v>
      </c>
      <c r="I1457" s="1801">
        <f t="shared" si="137"/>
        <v>0</v>
      </c>
      <c r="J1457" s="141">
        <f t="shared" si="145"/>
        <v>12</v>
      </c>
      <c r="K1457" s="908">
        <f t="shared" si="145"/>
        <v>0</v>
      </c>
      <c r="L1457" s="909"/>
      <c r="M1457" s="1797"/>
      <c r="N1457" s="1794"/>
      <c r="O1457" s="1249"/>
      <c r="P1457" s="157"/>
      <c r="Q1457" s="157"/>
      <c r="R1457" s="1627"/>
      <c r="S1457" s="157"/>
      <c r="T1457" s="157"/>
      <c r="U1457" s="1798"/>
      <c r="V1457" s="2309" t="s">
        <v>20</v>
      </c>
      <c r="W1457" s="910"/>
      <c r="X1457" s="911"/>
      <c r="Y1457" s="830">
        <v>219.07</v>
      </c>
      <c r="Z1457" s="825">
        <v>219.07</v>
      </c>
      <c r="AA1457" s="825">
        <v>219.07</v>
      </c>
      <c r="AB1457" s="2582">
        <v>219.07</v>
      </c>
      <c r="AC1457" s="910"/>
      <c r="AD1457" s="910"/>
      <c r="AE1457" s="910"/>
      <c r="AF1457" s="910"/>
      <c r="AG1457" s="910"/>
      <c r="AH1457" s="211"/>
      <c r="AK1457" s="912"/>
      <c r="BB1457" s="822"/>
      <c r="BC1457" s="750" t="str">
        <f t="shared" si="140"/>
        <v>Heating Res ER2 12 Year EUL</v>
      </c>
      <c r="BD1457" s="752">
        <f>(INDEX('Avoided Cost Benefits'!$C$4:$C$857,MATCH(BC1457,'Avoided Cost Benefits'!$A$4:$A$857,0)))*F1457</f>
        <v>64.775187073496781</v>
      </c>
      <c r="BE1457" s="73">
        <f t="shared" si="141"/>
        <v>0</v>
      </c>
      <c r="BG1457" s="776"/>
      <c r="BH1457" s="916"/>
      <c r="BI1457" s="776"/>
    </row>
    <row r="1458" spans="1:61" s="64" customFormat="1" x14ac:dyDescent="0.25">
      <c r="A1458" s="1393" t="str">
        <f t="shared" si="136"/>
        <v>352900_2019_12_Cooling Res</v>
      </c>
      <c r="B1458" s="157"/>
      <c r="C1458" s="1352" t="s">
        <v>1365</v>
      </c>
      <c r="D1458" s="1756" t="s">
        <v>742</v>
      </c>
      <c r="E1458" s="797" t="s">
        <v>1366</v>
      </c>
      <c r="F1458" s="2582">
        <f>ROUND(((K2220*K2348*(1/K2476-1/K2604)*K2732)/1000)*$K$2834,2)</f>
        <v>199.71</v>
      </c>
      <c r="G1458" s="263" t="s">
        <v>1273</v>
      </c>
      <c r="H1458" s="202">
        <f>VLOOKUP(G1458,'CP FACTORS'!$A$3:$B$38, 2, FALSE)</f>
        <v>9.4741810000000004E-4</v>
      </c>
      <c r="I1458" s="1757">
        <f t="shared" si="137"/>
        <v>0.18920899999999999</v>
      </c>
      <c r="J1458" s="141">
        <f>K2873</f>
        <v>18</v>
      </c>
      <c r="K1458" s="908">
        <f>K3043</f>
        <v>438</v>
      </c>
      <c r="L1458" s="909">
        <f>L1708</f>
        <v>3.3</v>
      </c>
      <c r="M1458" s="1797"/>
      <c r="N1458" s="1794"/>
      <c r="O1458" s="1249"/>
      <c r="P1458" s="157"/>
      <c r="Q1458" s="157"/>
      <c r="R1458" s="1627"/>
      <c r="S1458" s="157"/>
      <c r="T1458" s="157"/>
      <c r="U1458" s="1798"/>
      <c r="V1458" s="2309" t="s">
        <v>20</v>
      </c>
      <c r="W1458" s="910">
        <v>199.71482142857135</v>
      </c>
      <c r="X1458" s="918">
        <v>199.71482142857135</v>
      </c>
      <c r="Y1458" s="825">
        <v>199.71</v>
      </c>
      <c r="Z1458" s="825">
        <v>199.71</v>
      </c>
      <c r="AA1458" s="825">
        <v>199.71</v>
      </c>
      <c r="AB1458" s="2582">
        <v>199.71</v>
      </c>
      <c r="AC1458" s="910"/>
      <c r="AD1458" s="910"/>
      <c r="AE1458" s="910"/>
      <c r="AF1458" s="910"/>
      <c r="AG1458" s="910"/>
      <c r="AH1458" s="211"/>
      <c r="AK1458" s="912"/>
      <c r="BB1458" s="293">
        <f>(BD1458+BD1459)/(BE1458+BE1459)</f>
        <v>1.708923083266116</v>
      </c>
      <c r="BC1458" s="797" t="str">
        <f t="shared" si="140"/>
        <v>Cooling Res 18 Year EUL</v>
      </c>
      <c r="BD1458" s="752">
        <f>(INDEX('Avoided Cost Benefits'!$C$4:$C$857,MATCH(BC1458,'Avoided Cost Benefits'!$A$4:$A$857,0)))*F1458</f>
        <v>352.25003103015393</v>
      </c>
      <c r="BE1458" s="73">
        <f t="shared" si="141"/>
        <v>413.40254837187348</v>
      </c>
      <c r="BG1458" s="776"/>
      <c r="BH1458" s="913"/>
      <c r="BI1458" s="776"/>
    </row>
    <row r="1459" spans="1:61" s="64" customFormat="1" x14ac:dyDescent="0.25">
      <c r="A1459" s="1393" t="str">
        <f t="shared" si="136"/>
        <v>352900_2019_12_Heating Res</v>
      </c>
      <c r="B1459" s="157"/>
      <c r="C1459" s="1352" t="s">
        <v>1365</v>
      </c>
      <c r="D1459" s="1756" t="s">
        <v>742</v>
      </c>
      <c r="E1459" s="914" t="s">
        <v>1366</v>
      </c>
      <c r="F1459" s="2582">
        <f>ROUND(((K1708*K1836*(1/K1964-1/K2092)*K2732)/1000)*$K$2834,2)</f>
        <v>766.69</v>
      </c>
      <c r="G1459" s="263" t="s">
        <v>1275</v>
      </c>
      <c r="H1459" s="202">
        <f>VLOOKUP(G1459,'CP FACTORS'!$A$3:$B$38, 2, FALSE)</f>
        <v>0</v>
      </c>
      <c r="I1459" s="1757">
        <f t="shared" si="137"/>
        <v>0</v>
      </c>
      <c r="J1459" s="141">
        <f>K2874</f>
        <v>18</v>
      </c>
      <c r="K1459" s="908">
        <f>K3044</f>
        <v>0</v>
      </c>
      <c r="L1459" s="909"/>
      <c r="M1459" s="1797"/>
      <c r="N1459" s="1794"/>
      <c r="O1459" s="1249"/>
      <c r="P1459" s="157"/>
      <c r="Q1459" s="157"/>
      <c r="R1459" s="1627"/>
      <c r="S1459" s="157"/>
      <c r="T1459" s="157"/>
      <c r="U1459" s="1798"/>
      <c r="V1459" s="2309" t="s">
        <v>20</v>
      </c>
      <c r="W1459" s="910">
        <v>1029.6000000000013</v>
      </c>
      <c r="X1459" s="911">
        <v>766.69069188651167</v>
      </c>
      <c r="Y1459" s="825">
        <v>766.69</v>
      </c>
      <c r="Z1459" s="825">
        <v>766.69</v>
      </c>
      <c r="AA1459" s="825">
        <v>766.69</v>
      </c>
      <c r="AB1459" s="2582">
        <v>766.69</v>
      </c>
      <c r="AC1459" s="910"/>
      <c r="AD1459" s="910"/>
      <c r="AE1459" s="910"/>
      <c r="AF1459" s="910"/>
      <c r="AG1459" s="910"/>
      <c r="AH1459" s="211"/>
      <c r="AK1459" s="912"/>
      <c r="BB1459" s="291"/>
      <c r="BC1459" s="914" t="str">
        <f t="shared" si="140"/>
        <v>Heating Res 18 Year EUL</v>
      </c>
      <c r="BD1459" s="752">
        <f>(INDEX('Avoided Cost Benefits'!$C$4:$C$857,MATCH(BC1459,'Avoided Cost Benefits'!$A$4:$A$857,0)))*F1459</f>
        <v>354.22312656357781</v>
      </c>
      <c r="BE1459" s="73">
        <f t="shared" si="141"/>
        <v>0</v>
      </c>
      <c r="BG1459" s="776"/>
      <c r="BH1459" s="913"/>
      <c r="BI1459" s="776"/>
    </row>
    <row r="1460" spans="1:61" s="64" customFormat="1" x14ac:dyDescent="0.25">
      <c r="A1460" s="1393" t="str">
        <f t="shared" si="136"/>
        <v>352901_2019_12_Cooling Res</v>
      </c>
      <c r="B1460" s="157"/>
      <c r="C1460" s="1352" t="s">
        <v>1367</v>
      </c>
      <c r="D1460" s="1756" t="s">
        <v>737</v>
      </c>
      <c r="E1460" s="742" t="str">
        <f>CONCATENATE(E1458,"_CompE")</f>
        <v>ASHP - SEER 16 - replace on fail MF_CompE</v>
      </c>
      <c r="F1460" s="2582">
        <f>ROUND((($K$2221*$K$2349*(1/$K$2477-1/$K$2605)*$K$2733)/1000)*$K$2834,2)</f>
        <v>145.25</v>
      </c>
      <c r="G1460" s="263" t="str">
        <f>G1458</f>
        <v>Cooling Res</v>
      </c>
      <c r="H1460" s="202">
        <f t="shared" ref="H1460:K1461" si="146">H1458</f>
        <v>9.4741810000000004E-4</v>
      </c>
      <c r="I1460" s="1801">
        <f t="shared" si="137"/>
        <v>0.13761200000000001</v>
      </c>
      <c r="J1460" s="141">
        <f t="shared" si="146"/>
        <v>18</v>
      </c>
      <c r="K1460" s="908">
        <f t="shared" si="146"/>
        <v>438</v>
      </c>
      <c r="L1460" s="909">
        <f>L1458</f>
        <v>3.3</v>
      </c>
      <c r="M1460" s="1797"/>
      <c r="N1460" s="1794"/>
      <c r="O1460" s="1249"/>
      <c r="P1460" s="157"/>
      <c r="Q1460" s="157"/>
      <c r="R1460" s="1627"/>
      <c r="S1460" s="157"/>
      <c r="T1460" s="157"/>
      <c r="U1460" s="1798"/>
      <c r="V1460" s="2309" t="s">
        <v>20</v>
      </c>
      <c r="W1460" s="910"/>
      <c r="X1460" s="911"/>
      <c r="Y1460" s="830">
        <v>145.25</v>
      </c>
      <c r="Z1460" s="825">
        <v>145.25</v>
      </c>
      <c r="AA1460" s="825">
        <v>145.25</v>
      </c>
      <c r="AB1460" s="2582">
        <v>145.25</v>
      </c>
      <c r="AC1460" s="910"/>
      <c r="AD1460" s="910"/>
      <c r="AE1460" s="910"/>
      <c r="AF1460" s="910"/>
      <c r="AG1460" s="910"/>
      <c r="AH1460" s="211"/>
      <c r="AK1460" s="912"/>
      <c r="BB1460" s="293">
        <f>(BD1460+BD1461)/(BE1460+BE1461)</f>
        <v>0.91182363411783474</v>
      </c>
      <c r="BC1460" s="797" t="str">
        <f t="shared" si="140"/>
        <v>Cooling Res 18 Year EUL</v>
      </c>
      <c r="BD1460" s="752">
        <f>(INDEX('Avoided Cost Benefits'!$C$4:$C$857,MATCH(BC1460,'Avoided Cost Benefits'!$A$4:$A$857,0)))*F1460</f>
        <v>256.19306497987009</v>
      </c>
      <c r="BE1460" s="73">
        <f t="shared" si="141"/>
        <v>413.40254837187348</v>
      </c>
      <c r="BG1460" s="776"/>
      <c r="BH1460" s="916"/>
      <c r="BI1460" s="776"/>
    </row>
    <row r="1461" spans="1:61" s="64" customFormat="1" x14ac:dyDescent="0.25">
      <c r="A1461" s="1393" t="str">
        <f t="shared" si="136"/>
        <v>352901_2019_12_Heating Res</v>
      </c>
      <c r="B1461" s="157"/>
      <c r="C1461" s="1352" t="str">
        <f>C1460</f>
        <v>352901_2019_12_</v>
      </c>
      <c r="D1461" s="1756" t="s">
        <v>737</v>
      </c>
      <c r="E1461" s="750" t="str">
        <f>CONCATENATE(E1459,"_CompE")</f>
        <v>ASHP - SEER 16 - replace on fail MF_CompE</v>
      </c>
      <c r="F1461" s="2582">
        <f>ROUND((($K$1709*$K$1837*(1/$K$1965-1/$K$2093)*$K$2733)/1000)*$K$2834,2)</f>
        <v>261.37</v>
      </c>
      <c r="G1461" s="263" t="str">
        <f>G1459</f>
        <v>Heating Res</v>
      </c>
      <c r="H1461" s="202">
        <f t="shared" si="146"/>
        <v>0</v>
      </c>
      <c r="I1461" s="1801">
        <f t="shared" si="137"/>
        <v>0</v>
      </c>
      <c r="J1461" s="141">
        <f t="shared" si="146"/>
        <v>18</v>
      </c>
      <c r="K1461" s="908">
        <f t="shared" si="146"/>
        <v>0</v>
      </c>
      <c r="L1461" s="909"/>
      <c r="M1461" s="1797"/>
      <c r="N1461" s="1794"/>
      <c r="O1461" s="1249"/>
      <c r="P1461" s="157"/>
      <c r="Q1461" s="157"/>
      <c r="R1461" s="1627"/>
      <c r="S1461" s="157"/>
      <c r="T1461" s="157"/>
      <c r="U1461" s="1798"/>
      <c r="V1461" s="2309" t="s">
        <v>20</v>
      </c>
      <c r="W1461" s="910"/>
      <c r="X1461" s="911"/>
      <c r="Y1461" s="830">
        <v>261.37</v>
      </c>
      <c r="Z1461" s="825">
        <v>261.37</v>
      </c>
      <c r="AA1461" s="825">
        <v>261.37</v>
      </c>
      <c r="AB1461" s="2582">
        <v>261.37</v>
      </c>
      <c r="AC1461" s="910"/>
      <c r="AD1461" s="910"/>
      <c r="AE1461" s="910"/>
      <c r="AF1461" s="910"/>
      <c r="AG1461" s="910"/>
      <c r="AH1461" s="211"/>
      <c r="AK1461" s="912"/>
      <c r="BB1461" s="291"/>
      <c r="BC1461" s="914" t="str">
        <f t="shared" si="140"/>
        <v>Heating Res 18 Year EUL</v>
      </c>
      <c r="BD1461" s="752">
        <f>(INDEX('Avoided Cost Benefits'!$C$4:$C$857,MATCH(BC1461,'Avoided Cost Benefits'!$A$4:$A$857,0)))*F1461</f>
        <v>120.7571490301456</v>
      </c>
      <c r="BE1461" s="73">
        <f t="shared" si="141"/>
        <v>0</v>
      </c>
      <c r="BG1461" s="776"/>
      <c r="BH1461" s="916"/>
      <c r="BI1461" s="776"/>
    </row>
    <row r="1462" spans="1:61" s="64" customFormat="1" x14ac:dyDescent="0.25">
      <c r="A1462" s="1393" t="str">
        <f t="shared" si="136"/>
        <v>352950_2019_12_Cooling Res</v>
      </c>
      <c r="B1462" s="157"/>
      <c r="C1462" s="1352" t="s">
        <v>1368</v>
      </c>
      <c r="D1462" s="1756" t="s">
        <v>742</v>
      </c>
      <c r="E1462" s="797" t="s">
        <v>1369</v>
      </c>
      <c r="F1462" s="2582">
        <f>ROUND(((K2222*K2350*(1/K2478-1/K2606)*K2734)/1000)*$K$2834,2)</f>
        <v>245.36</v>
      </c>
      <c r="G1462" s="263" t="s">
        <v>1273</v>
      </c>
      <c r="H1462" s="202">
        <f>VLOOKUP(G1462,'CP FACTORS'!$A$3:$B$38, 2, FALSE)</f>
        <v>9.4741810000000004E-4</v>
      </c>
      <c r="I1462" s="1757">
        <f t="shared" si="137"/>
        <v>0.232459</v>
      </c>
      <c r="J1462" s="141">
        <f>K2875</f>
        <v>18</v>
      </c>
      <c r="K1462" s="908">
        <f>K3045</f>
        <v>438</v>
      </c>
      <c r="L1462" s="909">
        <f>L1710</f>
        <v>2</v>
      </c>
      <c r="M1462" s="1797"/>
      <c r="N1462" s="1794"/>
      <c r="O1462" s="1249"/>
      <c r="P1462" s="157"/>
      <c r="Q1462" s="157"/>
      <c r="R1462" s="1627"/>
      <c r="S1462" s="157"/>
      <c r="T1462" s="157"/>
      <c r="U1462" s="1798"/>
      <c r="V1462" s="2309" t="s">
        <v>20</v>
      </c>
      <c r="W1462" s="910">
        <v>312.84000000000009</v>
      </c>
      <c r="X1462" s="917">
        <v>312.84000000000009</v>
      </c>
      <c r="Y1462" s="825">
        <v>312.83999999999997</v>
      </c>
      <c r="Z1462" s="825">
        <v>312.83999999999997</v>
      </c>
      <c r="AA1462" s="825">
        <v>312.83999999999997</v>
      </c>
      <c r="AB1462" s="488">
        <v>245.36</v>
      </c>
      <c r="AC1462" s="910"/>
      <c r="AD1462" s="910"/>
      <c r="AE1462" s="910"/>
      <c r="AF1462" s="910"/>
      <c r="AG1462" s="910"/>
      <c r="AH1462" s="211"/>
      <c r="AK1462" s="912"/>
      <c r="BB1462" s="293">
        <f>(BD1462+BD1463)/(BE1462+BE1463)</f>
        <v>5.8605211376387798</v>
      </c>
      <c r="BC1462" s="797" t="str">
        <f t="shared" si="140"/>
        <v>Cooling Res 18 Year EUL</v>
      </c>
      <c r="BD1462" s="752">
        <f>(INDEX('Avoided Cost Benefits'!$C$4:$C$857,MATCH(BC1462,'Avoided Cost Benefits'!$A$4:$A$857,0)))*F1462</f>
        <v>432.76785145239882</v>
      </c>
      <c r="BE1462" s="73">
        <f t="shared" si="141"/>
        <v>413.40254837187348</v>
      </c>
      <c r="BG1462" s="776"/>
      <c r="BH1462" s="913"/>
      <c r="BI1462" s="776"/>
    </row>
    <row r="1463" spans="1:61" s="64" customFormat="1" x14ac:dyDescent="0.25">
      <c r="A1463" s="1393" t="str">
        <f t="shared" si="136"/>
        <v>352950_2019_12_Heating Res</v>
      </c>
      <c r="B1463" s="157"/>
      <c r="C1463" s="1352" t="s">
        <v>1368</v>
      </c>
      <c r="D1463" s="1756" t="s">
        <v>742</v>
      </c>
      <c r="E1463" s="914" t="s">
        <v>1369</v>
      </c>
      <c r="F1463" s="2582">
        <f>ROUND(((K1710*K1838*(1/K1966-1/K2094)*K2734)/1000)*$K$2834,2)</f>
        <v>4307.18</v>
      </c>
      <c r="G1463" s="263" t="s">
        <v>1275</v>
      </c>
      <c r="H1463" s="202">
        <f>VLOOKUP(G1463,'CP FACTORS'!$A$3:$B$38, 2, FALSE)</f>
        <v>0</v>
      </c>
      <c r="I1463" s="1757">
        <f t="shared" si="137"/>
        <v>0</v>
      </c>
      <c r="J1463" s="141">
        <f>K2876</f>
        <v>18</v>
      </c>
      <c r="K1463" s="908">
        <f>K3046</f>
        <v>0</v>
      </c>
      <c r="L1463" s="909"/>
      <c r="M1463" s="1797"/>
      <c r="N1463" s="1794"/>
      <c r="O1463" s="1249"/>
      <c r="P1463" s="157"/>
      <c r="Q1463" s="157"/>
      <c r="R1463" s="1627"/>
      <c r="S1463" s="157"/>
      <c r="T1463" s="157"/>
      <c r="U1463" s="1798"/>
      <c r="V1463" s="2309" t="s">
        <v>20</v>
      </c>
      <c r="W1463" s="910">
        <v>9535.6225050639387</v>
      </c>
      <c r="X1463" s="911">
        <v>7100.6925174592607</v>
      </c>
      <c r="Y1463" s="825">
        <v>7100.69</v>
      </c>
      <c r="Z1463" s="825">
        <v>7100.69</v>
      </c>
      <c r="AA1463" s="825">
        <v>7100.69</v>
      </c>
      <c r="AB1463" s="488">
        <v>4307.18</v>
      </c>
      <c r="AC1463" s="910"/>
      <c r="AD1463" s="910"/>
      <c r="AE1463" s="910"/>
      <c r="AF1463" s="910"/>
      <c r="AG1463" s="910"/>
      <c r="AH1463" s="211"/>
      <c r="AK1463" s="912"/>
      <c r="BB1463" s="291"/>
      <c r="BC1463" s="914" t="str">
        <f t="shared" si="140"/>
        <v>Heating Res 18 Year EUL</v>
      </c>
      <c r="BD1463" s="752">
        <f>(INDEX('Avoided Cost Benefits'!$C$4:$C$857,MATCH(BC1463,'Avoided Cost Benefits'!$A$4:$A$857,0)))*F1463</f>
        <v>1989.9865216347039</v>
      </c>
      <c r="BE1463" s="73">
        <f t="shared" si="141"/>
        <v>0</v>
      </c>
      <c r="BG1463" s="776"/>
      <c r="BH1463" s="913"/>
      <c r="BI1463" s="776"/>
    </row>
    <row r="1464" spans="1:61" s="64" customFormat="1" x14ac:dyDescent="0.25">
      <c r="A1464" s="1393" t="str">
        <f t="shared" si="136"/>
        <v>352951_2019_12_Cooling Res</v>
      </c>
      <c r="B1464" s="157"/>
      <c r="C1464" s="1352" t="s">
        <v>1370</v>
      </c>
      <c r="D1464" s="1756" t="s">
        <v>737</v>
      </c>
      <c r="E1464" s="742" t="str">
        <f>CONCATENATE(E1462,"_CompE")</f>
        <v>ASHP - SEER 16 - replace electric furnace / CAC MF_CompE</v>
      </c>
      <c r="F1464" s="2582">
        <f>ROUND((($K$2223*$K$2351*(1/$K$2479-1/$K$2607)*$K$2735)/1000)*$K$2834,2)</f>
        <v>178.45</v>
      </c>
      <c r="G1464" s="263" t="str">
        <f>G1462</f>
        <v>Cooling Res</v>
      </c>
      <c r="H1464" s="202">
        <f t="shared" ref="H1464:K1465" si="147">H1462</f>
        <v>9.4741810000000004E-4</v>
      </c>
      <c r="I1464" s="1757">
        <f t="shared" si="137"/>
        <v>0.169067</v>
      </c>
      <c r="J1464" s="141">
        <f t="shared" si="147"/>
        <v>18</v>
      </c>
      <c r="K1464" s="908">
        <f t="shared" si="147"/>
        <v>438</v>
      </c>
      <c r="L1464" s="909">
        <f>L1462</f>
        <v>2</v>
      </c>
      <c r="M1464" s="1797"/>
      <c r="N1464" s="1794"/>
      <c r="O1464" s="1249"/>
      <c r="P1464" s="157"/>
      <c r="Q1464" s="157"/>
      <c r="R1464" s="1627"/>
      <c r="S1464" s="157"/>
      <c r="T1464" s="157"/>
      <c r="U1464" s="1798"/>
      <c r="V1464" s="2309" t="s">
        <v>20</v>
      </c>
      <c r="W1464" s="910"/>
      <c r="X1464" s="911"/>
      <c r="Y1464" s="830">
        <v>227.52</v>
      </c>
      <c r="Z1464" s="825">
        <v>227.52</v>
      </c>
      <c r="AA1464" s="825">
        <v>227.52</v>
      </c>
      <c r="AB1464" s="488">
        <v>178.45</v>
      </c>
      <c r="AC1464" s="910"/>
      <c r="AD1464" s="910"/>
      <c r="AE1464" s="910"/>
      <c r="AF1464" s="910"/>
      <c r="AG1464" s="910"/>
      <c r="AH1464" s="211"/>
      <c r="AK1464" s="912"/>
      <c r="BB1464" s="293">
        <f>(BD1464+BD1465)/(BE1464+BE1465)</f>
        <v>2.4023979770006005</v>
      </c>
      <c r="BC1464" s="797" t="str">
        <f t="shared" si="140"/>
        <v>Cooling Res 18 Year EUL</v>
      </c>
      <c r="BD1464" s="752">
        <f>(INDEX('Avoided Cost Benefits'!$C$4:$C$857,MATCH(BC1464,'Avoided Cost Benefits'!$A$4:$A$857,0)))*F1464</f>
        <v>314.7514798324118</v>
      </c>
      <c r="BE1464" s="73">
        <f t="shared" si="141"/>
        <v>413.40254837187348</v>
      </c>
      <c r="BG1464" s="776"/>
      <c r="BH1464" s="916"/>
      <c r="BI1464" s="776"/>
    </row>
    <row r="1465" spans="1:61" s="64" customFormat="1" x14ac:dyDescent="0.25">
      <c r="A1465" s="1393" t="str">
        <f t="shared" si="136"/>
        <v>352951_2019_12_Heating Res</v>
      </c>
      <c r="B1465" s="157"/>
      <c r="C1465" s="1352" t="str">
        <f>C1464</f>
        <v>352951_2019_12_</v>
      </c>
      <c r="D1465" s="1756" t="s">
        <v>737</v>
      </c>
      <c r="E1465" s="750" t="str">
        <f>CONCATENATE(E1463,"_CompE")</f>
        <v>ASHP - SEER 16 - replace electric furnace / CAC MF_CompE</v>
      </c>
      <c r="F1465" s="2582">
        <f>ROUND((($K$1711*$K$1839*(1/$K$1967-1/$K$2095)*$K$2735)/1000)*$K$2834,2)</f>
        <v>1468.36</v>
      </c>
      <c r="G1465" s="263" t="str">
        <f>G1463</f>
        <v>Heating Res</v>
      </c>
      <c r="H1465" s="202">
        <f t="shared" si="147"/>
        <v>0</v>
      </c>
      <c r="I1465" s="1801">
        <f>ROUND(F1465*H1465,6)</f>
        <v>0</v>
      </c>
      <c r="J1465" s="141">
        <f t="shared" si="147"/>
        <v>18</v>
      </c>
      <c r="K1465" s="908">
        <f t="shared" si="147"/>
        <v>0</v>
      </c>
      <c r="L1465" s="909"/>
      <c r="M1465" s="1797"/>
      <c r="N1465" s="1794"/>
      <c r="O1465" s="1249"/>
      <c r="P1465" s="157"/>
      <c r="Q1465" s="157"/>
      <c r="R1465" s="1627"/>
      <c r="S1465" s="157"/>
      <c r="T1465" s="157"/>
      <c r="U1465" s="1798"/>
      <c r="V1465" s="2309" t="s">
        <v>20</v>
      </c>
      <c r="W1465" s="910"/>
      <c r="X1465" s="911"/>
      <c r="Y1465" s="830">
        <v>2420.69</v>
      </c>
      <c r="Z1465" s="825">
        <v>2420.69</v>
      </c>
      <c r="AA1465" s="825">
        <v>2420.69</v>
      </c>
      <c r="AB1465" s="488">
        <v>1468.36</v>
      </c>
      <c r="AC1465" s="910"/>
      <c r="AD1465" s="910"/>
      <c r="AE1465" s="910"/>
      <c r="AF1465" s="910"/>
      <c r="AG1465" s="910"/>
      <c r="AH1465" s="211"/>
      <c r="AK1465" s="912"/>
      <c r="BB1465" s="291"/>
      <c r="BC1465" s="914" t="str">
        <f t="shared" si="140"/>
        <v>Heating Res 18 Year EUL</v>
      </c>
      <c r="BD1465" s="752">
        <f>(INDEX('Avoided Cost Benefits'!$C$4:$C$857,MATCH(BC1465,'Avoided Cost Benefits'!$A$4:$A$857,0)))*F1465</f>
        <v>678.40596606306985</v>
      </c>
      <c r="BE1465" s="73">
        <f t="shared" si="141"/>
        <v>0</v>
      </c>
      <c r="BG1465" s="776"/>
      <c r="BH1465" s="916"/>
      <c r="BI1465" s="776"/>
    </row>
    <row r="1466" spans="1:61" s="64" customFormat="1" x14ac:dyDescent="0.25">
      <c r="A1466" s="1393" t="str">
        <f t="shared" si="136"/>
        <v>353000_2019_12_Cooling Res</v>
      </c>
      <c r="B1466" s="157"/>
      <c r="C1466" s="1352" t="s">
        <v>1371</v>
      </c>
      <c r="D1466" s="1756" t="s">
        <v>742</v>
      </c>
      <c r="E1466" s="742" t="s">
        <v>1372</v>
      </c>
      <c r="F1466" s="2582">
        <f>ROUND(((K2224*K2352*(1/K2480-1/K2608)*K2736)/1000)*$K$2834,2)</f>
        <v>1329.6</v>
      </c>
      <c r="G1466" s="263" t="s">
        <v>1273</v>
      </c>
      <c r="H1466" s="202">
        <f>VLOOKUP(G1466,'CP FACTORS'!$A$3:$B$38, 2, FALSE)</f>
        <v>9.4741810000000004E-4</v>
      </c>
      <c r="I1466" s="1801">
        <f>ROUND(F1466*H1466,6)</f>
        <v>1.259687</v>
      </c>
      <c r="J1466" s="141">
        <f>K2877</f>
        <v>6</v>
      </c>
      <c r="K1466" s="908">
        <f>K3047</f>
        <v>950.52172387527389</v>
      </c>
      <c r="L1466" s="909">
        <f>L1712</f>
        <v>3.3</v>
      </c>
      <c r="M1466" s="1797"/>
      <c r="N1466" s="1794"/>
      <c r="O1466" s="1249"/>
      <c r="P1466" s="157"/>
      <c r="Q1466" s="157"/>
      <c r="R1466" s="1627"/>
      <c r="S1466" s="157"/>
      <c r="T1466" s="157"/>
      <c r="U1466" s="1798"/>
      <c r="V1466" s="2309" t="s">
        <v>20</v>
      </c>
      <c r="W1466" s="910">
        <v>1776.7855147058826</v>
      </c>
      <c r="X1466" s="911">
        <v>1209.2231497599041</v>
      </c>
      <c r="Y1466" s="825">
        <v>1209.22</v>
      </c>
      <c r="Z1466" s="825">
        <v>1209.22</v>
      </c>
      <c r="AA1466" s="825">
        <v>1209.22</v>
      </c>
      <c r="AB1466" s="488">
        <v>1329.6</v>
      </c>
      <c r="AC1466" s="910"/>
      <c r="AD1466" s="910"/>
      <c r="AE1466" s="910"/>
      <c r="AF1466" s="910"/>
      <c r="AG1466" s="910"/>
      <c r="AH1466" s="211"/>
      <c r="AK1466" s="912"/>
      <c r="BB1466" s="293">
        <f>(BD1466+BD1467+BD1468+BD1469)/(BE1466+BE1467+BE1468+BE1469)</f>
        <v>4.4856222640471959</v>
      </c>
      <c r="BC1466" s="742" t="str">
        <f t="shared" si="140"/>
        <v>Cooling Res 6 Year EUL</v>
      </c>
      <c r="BD1466" s="752">
        <f>(INDEX('Avoided Cost Benefits'!$C$4:$C$857,MATCH(BC1466,'Avoided Cost Benefits'!$A$4:$A$857,0)))*F1466</f>
        <v>773.1413430383858</v>
      </c>
      <c r="BE1466" s="73">
        <f t="shared" si="141"/>
        <v>897.14178751795544</v>
      </c>
      <c r="BG1466" s="776"/>
      <c r="BH1466" s="913"/>
      <c r="BI1466" s="776"/>
    </row>
    <row r="1467" spans="1:61" s="64" customFormat="1" x14ac:dyDescent="0.25">
      <c r="A1467" s="1393" t="str">
        <f t="shared" si="136"/>
        <v>353000_2019_12_Heating Res</v>
      </c>
      <c r="B1467" s="157"/>
      <c r="C1467" s="1352" t="s">
        <v>1371</v>
      </c>
      <c r="D1467" s="1756" t="s">
        <v>742</v>
      </c>
      <c r="E1467" s="821" t="s">
        <v>1372</v>
      </c>
      <c r="F1467" s="2582">
        <f>ROUND(((K1712*K1840*(1/K1968-1/K2096)*K2736)/1000)*$K$2834,2)</f>
        <v>6102.76</v>
      </c>
      <c r="G1467" s="263" t="s">
        <v>1275</v>
      </c>
      <c r="H1467" s="202">
        <f>VLOOKUP(G1467,'CP FACTORS'!$A$3:$B$38, 2, FALSE)</f>
        <v>0</v>
      </c>
      <c r="I1467" s="1757">
        <f t="shared" si="137"/>
        <v>0</v>
      </c>
      <c r="J1467" s="141">
        <f>K2878</f>
        <v>6</v>
      </c>
      <c r="K1467" s="908">
        <f>K3048</f>
        <v>0</v>
      </c>
      <c r="L1467" s="909"/>
      <c r="M1467" s="1797"/>
      <c r="N1467" s="1794"/>
      <c r="O1467" s="1249"/>
      <c r="P1467" s="157"/>
      <c r="Q1467" s="157"/>
      <c r="R1467" s="1627"/>
      <c r="S1467" s="157"/>
      <c r="T1467" s="157"/>
      <c r="U1467" s="1798"/>
      <c r="V1467" s="2309" t="s">
        <v>20</v>
      </c>
      <c r="W1467" s="910">
        <v>9077.8044487427451</v>
      </c>
      <c r="X1467" s="911">
        <v>6759.7787234042544</v>
      </c>
      <c r="Y1467" s="825">
        <v>6759.78</v>
      </c>
      <c r="Z1467" s="825">
        <v>6759.78</v>
      </c>
      <c r="AA1467" s="825">
        <v>6759.78</v>
      </c>
      <c r="AB1467" s="488">
        <v>6102.76</v>
      </c>
      <c r="AC1467" s="910"/>
      <c r="AD1467" s="910"/>
      <c r="AE1467" s="910"/>
      <c r="AF1467" s="910"/>
      <c r="AG1467" s="910"/>
      <c r="AH1467" s="211"/>
      <c r="AK1467" s="912"/>
      <c r="BB1467" s="822"/>
      <c r="BC1467" s="821" t="str">
        <f t="shared" si="140"/>
        <v>Heating Res 6 Year EUL</v>
      </c>
      <c r="BD1467" s="752">
        <f>(INDEX('Avoided Cost Benefits'!$C$4:$C$857,MATCH(BC1467,'Avoided Cost Benefits'!$A$4:$A$857,0)))*F1467</f>
        <v>1015.0934562047323</v>
      </c>
      <c r="BE1467" s="73">
        <f t="shared" si="141"/>
        <v>0</v>
      </c>
      <c r="BG1467" s="776"/>
      <c r="BH1467" s="913"/>
      <c r="BI1467" s="776"/>
    </row>
    <row r="1468" spans="1:61" s="64" customFormat="1" x14ac:dyDescent="0.25">
      <c r="A1468" s="1393" t="str">
        <f t="shared" si="136"/>
        <v>353000_2019_12_Cooling Res ER2</v>
      </c>
      <c r="B1468" s="157"/>
      <c r="C1468" s="1352" t="s">
        <v>1371</v>
      </c>
      <c r="D1468" s="1756" t="s">
        <v>742</v>
      </c>
      <c r="E1468" s="821" t="s">
        <v>1373</v>
      </c>
      <c r="F1468" s="2582">
        <f>ROUND(((K2225*K2353*(1/K2481-1/K2609)*K2737)/1000)*$K$2834,2)</f>
        <v>364.98</v>
      </c>
      <c r="G1468" s="1787" t="s">
        <v>1314</v>
      </c>
      <c r="H1468" s="202">
        <f>VLOOKUP(G1468,'CP FACTORS'!$A$3:$B$38, 2, FALSE)</f>
        <v>9.4741810000000004E-4</v>
      </c>
      <c r="I1468" s="1757">
        <f t="shared" si="137"/>
        <v>0.34578900000000001</v>
      </c>
      <c r="J1468" s="141">
        <f>K2879</f>
        <v>12</v>
      </c>
      <c r="K1468" s="908">
        <f>K3049</f>
        <v>0</v>
      </c>
      <c r="L1468" s="909"/>
      <c r="M1468" s="1797"/>
      <c r="N1468" s="1794"/>
      <c r="O1468" s="1249"/>
      <c r="P1468" s="157"/>
      <c r="Q1468" s="157"/>
      <c r="R1468" s="1627"/>
      <c r="S1468" s="157"/>
      <c r="T1468" s="157"/>
      <c r="U1468" s="1798"/>
      <c r="V1468" s="2309" t="s">
        <v>20</v>
      </c>
      <c r="W1468" s="910">
        <v>303.06375000000014</v>
      </c>
      <c r="X1468" s="917">
        <v>303.06375000000014</v>
      </c>
      <c r="Y1468" s="825">
        <v>303.06</v>
      </c>
      <c r="Z1468" s="825">
        <v>303.06</v>
      </c>
      <c r="AA1468" s="825">
        <v>303.06</v>
      </c>
      <c r="AB1468" s="488">
        <v>364.98</v>
      </c>
      <c r="AC1468" s="910"/>
      <c r="AD1468" s="910"/>
      <c r="AE1468" s="910"/>
      <c r="AF1468" s="910"/>
      <c r="AG1468" s="910"/>
      <c r="AH1468" s="211"/>
      <c r="AK1468" s="912"/>
      <c r="BB1468" s="822"/>
      <c r="BC1468" s="821" t="str">
        <f t="shared" si="140"/>
        <v>Cooling Res ER2 12 Year EUL</v>
      </c>
      <c r="BD1468" s="752">
        <f>(INDEX('Avoided Cost Benefits'!$C$4:$C$857,MATCH(BC1468,'Avoided Cost Benefits'!$A$4:$A$857,0)))*F1468</f>
        <v>431.52443590115826</v>
      </c>
      <c r="BE1468" s="73">
        <f t="shared" si="141"/>
        <v>0</v>
      </c>
      <c r="BG1468" s="776"/>
      <c r="BH1468" s="913"/>
      <c r="BI1468" s="776"/>
    </row>
    <row r="1469" spans="1:61" s="64" customFormat="1" x14ac:dyDescent="0.25">
      <c r="A1469" s="1393" t="str">
        <f t="shared" si="136"/>
        <v>353000_2019_12_Heating Res ER2</v>
      </c>
      <c r="B1469" s="157"/>
      <c r="C1469" s="1352" t="s">
        <v>1371</v>
      </c>
      <c r="D1469" s="1756" t="s">
        <v>742</v>
      </c>
      <c r="E1469" s="750" t="s">
        <v>1373</v>
      </c>
      <c r="F1469" s="2582">
        <f>ROUND(((K1713*K1841*(1/K1969-1/K2097)*K2737)/1000)*$K$2834,2)</f>
        <v>6102.76</v>
      </c>
      <c r="G1469" s="1787" t="s">
        <v>1332</v>
      </c>
      <c r="H1469" s="202">
        <f>VLOOKUP(G1469,'CP FACTORS'!$A$3:$B$38, 2, FALSE)</f>
        <v>0</v>
      </c>
      <c r="I1469" s="1757">
        <f t="shared" si="137"/>
        <v>0</v>
      </c>
      <c r="J1469" s="141">
        <f>K2880</f>
        <v>12</v>
      </c>
      <c r="K1469" s="908">
        <f>K3050</f>
        <v>0</v>
      </c>
      <c r="L1469" s="909"/>
      <c r="M1469" s="1797"/>
      <c r="N1469" s="1794"/>
      <c r="O1469" s="1249"/>
      <c r="P1469" s="157"/>
      <c r="Q1469" s="157"/>
      <c r="R1469" s="1627"/>
      <c r="S1469" s="157"/>
      <c r="T1469" s="157"/>
      <c r="U1469" s="1798"/>
      <c r="V1469" s="2309" t="s">
        <v>20</v>
      </c>
      <c r="W1469" s="910">
        <v>9077.8044487427451</v>
      </c>
      <c r="X1469" s="911">
        <v>6759.7787234042544</v>
      </c>
      <c r="Y1469" s="825">
        <v>6759.78</v>
      </c>
      <c r="Z1469" s="825">
        <v>6759.78</v>
      </c>
      <c r="AA1469" s="825">
        <v>6759.78</v>
      </c>
      <c r="AB1469" s="488">
        <v>6102.76</v>
      </c>
      <c r="AC1469" s="910"/>
      <c r="AD1469" s="910"/>
      <c r="AE1469" s="910"/>
      <c r="AF1469" s="910"/>
      <c r="AG1469" s="910"/>
      <c r="AH1469" s="211"/>
      <c r="AK1469" s="912"/>
      <c r="BB1469" s="822"/>
      <c r="BC1469" s="750" t="str">
        <f t="shared" si="140"/>
        <v>Heating Res ER2 12 Year EUL</v>
      </c>
      <c r="BD1469" s="752">
        <f>(INDEX('Avoided Cost Benefits'!$C$4:$C$857,MATCH(BC1469,'Avoided Cost Benefits'!$A$4:$A$857,0)))*F1469</f>
        <v>1804.479940953363</v>
      </c>
      <c r="BE1469" s="73">
        <f t="shared" si="141"/>
        <v>0</v>
      </c>
      <c r="BG1469" s="776"/>
      <c r="BH1469" s="913"/>
      <c r="BI1469" s="776"/>
    </row>
    <row r="1470" spans="1:61" s="64" customFormat="1" x14ac:dyDescent="0.25">
      <c r="A1470" s="1393" t="str">
        <f t="shared" ref="A1470:A1533" si="148">C1470&amp;G1470</f>
        <v>353001_2019_12_Cooling Res</v>
      </c>
      <c r="B1470" s="157"/>
      <c r="C1470" s="1352" t="s">
        <v>1374</v>
      </c>
      <c r="D1470" s="1756" t="s">
        <v>737</v>
      </c>
      <c r="E1470" s="742" t="str">
        <f>CONCATENATE(E1466,"_CompE")</f>
        <v>ASHP - SEER 16 - replace electric furnace / CAC - early replacement MF ER1_CompE</v>
      </c>
      <c r="F1470" s="2582">
        <f>ROUND((($K$2226*$K$2354*(1/$K$2482-1/$K$2610)*$K$2738)/1000)*$K$2834,2)</f>
        <v>966.98</v>
      </c>
      <c r="G1470" s="263" t="str">
        <f t="shared" ref="G1470:K1473" si="149">G1466</f>
        <v>Cooling Res</v>
      </c>
      <c r="H1470" s="202">
        <f t="shared" si="149"/>
        <v>9.4741810000000004E-4</v>
      </c>
      <c r="I1470" s="1801">
        <f t="shared" si="137"/>
        <v>0.916134</v>
      </c>
      <c r="J1470" s="141">
        <f>J1466</f>
        <v>6</v>
      </c>
      <c r="K1470" s="908">
        <f>K1466</f>
        <v>950.52172387527389</v>
      </c>
      <c r="L1470" s="909">
        <f>L1466</f>
        <v>3.3</v>
      </c>
      <c r="M1470" s="1797"/>
      <c r="N1470" s="1794"/>
      <c r="O1470" s="1249"/>
      <c r="P1470" s="157"/>
      <c r="Q1470" s="157"/>
      <c r="R1470" s="1627"/>
      <c r="S1470" s="157"/>
      <c r="T1470" s="157"/>
      <c r="U1470" s="1798"/>
      <c r="V1470" s="2309" t="s">
        <v>20</v>
      </c>
      <c r="W1470" s="910"/>
      <c r="X1470" s="911"/>
      <c r="Y1470" s="830">
        <v>879.44</v>
      </c>
      <c r="Z1470" s="825">
        <v>879.44</v>
      </c>
      <c r="AA1470" s="825">
        <v>879.44</v>
      </c>
      <c r="AB1470" s="488">
        <v>966.98</v>
      </c>
      <c r="AC1470" s="910"/>
      <c r="AD1470" s="910"/>
      <c r="AE1470" s="910"/>
      <c r="AF1470" s="910"/>
      <c r="AG1470" s="910"/>
      <c r="AH1470" s="211"/>
      <c r="AK1470" s="912"/>
      <c r="BB1470" s="293">
        <f>(BD1470+BD1471+BD1472+BD1473)/(BE1470+BE1471+BE1472+BE1473)</f>
        <v>2.0479922108811186</v>
      </c>
      <c r="BC1470" s="742" t="str">
        <f t="shared" si="140"/>
        <v>Cooling Res 6 Year EUL</v>
      </c>
      <c r="BD1470" s="752">
        <f>(INDEX('Avoided Cost Benefits'!$C$4:$C$857,MATCH(BC1470,'Avoided Cost Benefits'!$A$4:$A$857,0)))*F1470</f>
        <v>562.28355587489341</v>
      </c>
      <c r="BE1470" s="73">
        <f t="shared" ref="BE1470:BE1533" si="150">K1470/(1.0595^(2020-2019))</f>
        <v>897.14178751795544</v>
      </c>
      <c r="BG1470" s="776"/>
      <c r="BH1470" s="916"/>
      <c r="BI1470" s="776"/>
    </row>
    <row r="1471" spans="1:61" s="64" customFormat="1" x14ac:dyDescent="0.25">
      <c r="A1471" s="1393" t="str">
        <f t="shared" si="148"/>
        <v>353001_2019_12_Heating Res</v>
      </c>
      <c r="B1471" s="157"/>
      <c r="C1471" s="1352" t="str">
        <f>C1470</f>
        <v>353001_2019_12_</v>
      </c>
      <c r="D1471" s="1756" t="s">
        <v>737</v>
      </c>
      <c r="E1471" s="821" t="str">
        <f>CONCATENATE(E1467,"_CompE")</f>
        <v>ASHP - SEER 16 - replace electric furnace / CAC - early replacement MF ER1_CompE</v>
      </c>
      <c r="F1471" s="2582">
        <f>ROUND((($K$1714*$K$1842*(1/$K$1970-1/$K$2098)*$K$2738)/1000)*$K$2834,2)</f>
        <v>2080.4899999999998</v>
      </c>
      <c r="G1471" s="263" t="str">
        <f t="shared" si="149"/>
        <v>Heating Res</v>
      </c>
      <c r="H1471" s="202">
        <f t="shared" si="149"/>
        <v>0</v>
      </c>
      <c r="I1471" s="1801">
        <f t="shared" si="137"/>
        <v>0</v>
      </c>
      <c r="J1471" s="141">
        <f t="shared" si="149"/>
        <v>6</v>
      </c>
      <c r="K1471" s="908">
        <f t="shared" si="149"/>
        <v>0</v>
      </c>
      <c r="L1471" s="909"/>
      <c r="M1471" s="1797"/>
      <c r="N1471" s="1794"/>
      <c r="O1471" s="1249"/>
      <c r="P1471" s="157"/>
      <c r="Q1471" s="157"/>
      <c r="R1471" s="1627"/>
      <c r="S1471" s="157"/>
      <c r="T1471" s="157"/>
      <c r="U1471" s="1798"/>
      <c r="V1471" s="2309" t="s">
        <v>20</v>
      </c>
      <c r="W1471" s="910"/>
      <c r="X1471" s="911"/>
      <c r="Y1471" s="830">
        <v>2304.4699999999998</v>
      </c>
      <c r="Z1471" s="825">
        <v>2304.4699999999998</v>
      </c>
      <c r="AA1471" s="825">
        <v>2304.4699999999998</v>
      </c>
      <c r="AB1471" s="488">
        <v>2080.4899999999998</v>
      </c>
      <c r="AC1471" s="910"/>
      <c r="AD1471" s="910"/>
      <c r="AE1471" s="910"/>
      <c r="AF1471" s="910"/>
      <c r="AG1471" s="910"/>
      <c r="AH1471" s="211"/>
      <c r="AK1471" s="912"/>
      <c r="BB1471" s="822"/>
      <c r="BC1471" s="821" t="str">
        <f t="shared" si="140"/>
        <v>Heating Res 6 Year EUL</v>
      </c>
      <c r="BD1471" s="752">
        <f>(INDEX('Avoided Cost Benefits'!$C$4:$C$857,MATCH(BC1471,'Avoided Cost Benefits'!$A$4:$A$857,0)))*F1471</f>
        <v>346.05519219162858</v>
      </c>
      <c r="BE1471" s="73">
        <f t="shared" si="150"/>
        <v>0</v>
      </c>
      <c r="BG1471" s="776"/>
      <c r="BH1471" s="916"/>
      <c r="BI1471" s="776"/>
    </row>
    <row r="1472" spans="1:61" s="64" customFormat="1" x14ac:dyDescent="0.25">
      <c r="A1472" s="1393" t="str">
        <f t="shared" si="148"/>
        <v>353001_2019_12_Cooling Res ER2</v>
      </c>
      <c r="B1472" s="157"/>
      <c r="C1472" s="1352" t="str">
        <f>C1471</f>
        <v>353001_2019_12_</v>
      </c>
      <c r="D1472" s="1756" t="s">
        <v>737</v>
      </c>
      <c r="E1472" s="821" t="str">
        <f>CONCATENATE(E1468,"_CompE")</f>
        <v>ASHP - SEER 16 - replace electric furnace / CAC - early replacement MF ER2_CompE</v>
      </c>
      <c r="F1472" s="2582">
        <f>ROUND((($K$2227*$K$2355*(1/$K$2483-1/$K$2611)*$K$2739)/1000)*$K$2834,2)</f>
        <v>265.44</v>
      </c>
      <c r="G1472" s="263" t="str">
        <f t="shared" si="149"/>
        <v>Cooling Res ER2</v>
      </c>
      <c r="H1472" s="202">
        <f t="shared" si="149"/>
        <v>9.4741810000000004E-4</v>
      </c>
      <c r="I1472" s="1801">
        <f t="shared" si="137"/>
        <v>0.25148300000000001</v>
      </c>
      <c r="J1472" s="141">
        <f t="shared" si="149"/>
        <v>12</v>
      </c>
      <c r="K1472" s="908">
        <f t="shared" si="149"/>
        <v>0</v>
      </c>
      <c r="L1472" s="909"/>
      <c r="M1472" s="1797"/>
      <c r="N1472" s="1794"/>
      <c r="O1472" s="1249"/>
      <c r="P1472" s="157"/>
      <c r="Q1472" s="157"/>
      <c r="R1472" s="1627"/>
      <c r="S1472" s="157"/>
      <c r="T1472" s="157"/>
      <c r="U1472" s="1798"/>
      <c r="V1472" s="2309" t="s">
        <v>20</v>
      </c>
      <c r="W1472" s="910"/>
      <c r="X1472" s="911"/>
      <c r="Y1472" s="830">
        <v>220.41</v>
      </c>
      <c r="Z1472" s="825">
        <v>220.41</v>
      </c>
      <c r="AA1472" s="825">
        <v>220.41</v>
      </c>
      <c r="AB1472" s="488">
        <v>265.44</v>
      </c>
      <c r="AC1472" s="910"/>
      <c r="AD1472" s="910"/>
      <c r="AE1472" s="910"/>
      <c r="AF1472" s="910"/>
      <c r="AG1472" s="910"/>
      <c r="AH1472" s="211"/>
      <c r="AK1472" s="912"/>
      <c r="BB1472" s="822"/>
      <c r="BC1472" s="821" t="str">
        <f t="shared" si="140"/>
        <v>Cooling Res ER2 12 Year EUL</v>
      </c>
      <c r="BD1472" s="752">
        <f>(INDEX('Avoided Cost Benefits'!$C$4:$C$857,MATCH(BC1472,'Avoided Cost Benefits'!$A$4:$A$857,0)))*F1472</f>
        <v>313.83595338266053</v>
      </c>
      <c r="BE1472" s="73">
        <f t="shared" si="150"/>
        <v>0</v>
      </c>
      <c r="BG1472" s="776"/>
      <c r="BH1472" s="916"/>
      <c r="BI1472" s="776"/>
    </row>
    <row r="1473" spans="1:61" s="64" customFormat="1" x14ac:dyDescent="0.25">
      <c r="A1473" s="1393" t="str">
        <f t="shared" si="148"/>
        <v>353001_2019_12_Heating Res ER2</v>
      </c>
      <c r="B1473" s="157"/>
      <c r="C1473" s="1352" t="str">
        <f>C1472</f>
        <v>353001_2019_12_</v>
      </c>
      <c r="D1473" s="1756" t="s">
        <v>737</v>
      </c>
      <c r="E1473" s="750" t="str">
        <f>CONCATENATE(E1469,"_CompE")</f>
        <v>ASHP - SEER 16 - replace electric furnace / CAC - early replacement MF ER2_CompE</v>
      </c>
      <c r="F1473" s="2582">
        <f>ROUND((($K$1715*$K$1843*(1/$K$1971-1/$K$2099)*$K$2739)/1000)*$K$2834,2)</f>
        <v>2080.4899999999998</v>
      </c>
      <c r="G1473" s="263" t="str">
        <f t="shared" si="149"/>
        <v>Heating Res ER2</v>
      </c>
      <c r="H1473" s="202">
        <f t="shared" si="149"/>
        <v>0</v>
      </c>
      <c r="I1473" s="1801">
        <f t="shared" si="137"/>
        <v>0</v>
      </c>
      <c r="J1473" s="141">
        <f t="shared" si="149"/>
        <v>12</v>
      </c>
      <c r="K1473" s="908">
        <f t="shared" si="149"/>
        <v>0</v>
      </c>
      <c r="L1473" s="909"/>
      <c r="M1473" s="1797"/>
      <c r="N1473" s="1794"/>
      <c r="O1473" s="1249"/>
      <c r="P1473" s="157"/>
      <c r="Q1473" s="157"/>
      <c r="R1473" s="1627"/>
      <c r="S1473" s="157"/>
      <c r="T1473" s="157"/>
      <c r="U1473" s="1798"/>
      <c r="V1473" s="2309" t="s">
        <v>20</v>
      </c>
      <c r="W1473" s="910"/>
      <c r="X1473" s="911"/>
      <c r="Y1473" s="830">
        <v>2304.4699999999998</v>
      </c>
      <c r="Z1473" s="825">
        <v>2304.4699999999998</v>
      </c>
      <c r="AA1473" s="825">
        <v>2304.4699999999998</v>
      </c>
      <c r="AB1473" s="488">
        <v>2080.4899999999998</v>
      </c>
      <c r="AC1473" s="910"/>
      <c r="AD1473" s="910"/>
      <c r="AE1473" s="910"/>
      <c r="AF1473" s="910"/>
      <c r="AG1473" s="910"/>
      <c r="AH1473" s="211"/>
      <c r="AK1473" s="912"/>
      <c r="BB1473" s="822"/>
      <c r="BC1473" s="750" t="str">
        <f t="shared" si="140"/>
        <v>Heating Res ER2 12 Year EUL</v>
      </c>
      <c r="BD1473" s="752">
        <f>(INDEX('Avoided Cost Benefits'!$C$4:$C$857,MATCH(BC1473,'Avoided Cost Benefits'!$A$4:$A$857,0)))*F1473</f>
        <v>615.16469144355369</v>
      </c>
      <c r="BE1473" s="73">
        <f t="shared" si="150"/>
        <v>0</v>
      </c>
      <c r="BG1473" s="776"/>
      <c r="BH1473" s="916"/>
      <c r="BI1473" s="776"/>
    </row>
    <row r="1474" spans="1:61" s="64" customFormat="1" x14ac:dyDescent="0.25">
      <c r="A1474" s="1393" t="str">
        <f t="shared" si="148"/>
        <v>353050_2019_12_Cooling Res</v>
      </c>
      <c r="B1474" s="157"/>
      <c r="C1474" s="1352" t="s">
        <v>1375</v>
      </c>
      <c r="D1474" s="1756" t="s">
        <v>742</v>
      </c>
      <c r="E1474" s="797" t="s">
        <v>3225</v>
      </c>
      <c r="F1474" s="2582">
        <f>ROUND(((K2228*K2356*(1/K2484-1/K2612)*K2740)/1000)*$K$2834,2)</f>
        <v>109.34</v>
      </c>
      <c r="G1474" s="263" t="s">
        <v>1273</v>
      </c>
      <c r="H1474" s="202">
        <f>VLOOKUP(G1474,'CP FACTORS'!$A$3:$B$38, 2, FALSE)</f>
        <v>9.4741810000000004E-4</v>
      </c>
      <c r="I1474" s="1757">
        <f t="shared" si="137"/>
        <v>0.103591</v>
      </c>
      <c r="J1474" s="141">
        <f>K2881</f>
        <v>18</v>
      </c>
      <c r="K1474" s="908">
        <f>K3051</f>
        <v>303</v>
      </c>
      <c r="L1474" s="909">
        <f>L1716</f>
        <v>3.1</v>
      </c>
      <c r="M1474" s="1797"/>
      <c r="N1474" s="1794"/>
      <c r="O1474" s="1249"/>
      <c r="P1474" s="157"/>
      <c r="Q1474" s="157"/>
      <c r="R1474" s="1627"/>
      <c r="S1474" s="157"/>
      <c r="T1474" s="157"/>
      <c r="U1474" s="1798"/>
      <c r="V1474" s="2309" t="s">
        <v>20</v>
      </c>
      <c r="W1474" s="910">
        <v>109.33614947965923</v>
      </c>
      <c r="X1474" s="917">
        <v>109.33614947965923</v>
      </c>
      <c r="Y1474" s="825">
        <v>109.34</v>
      </c>
      <c r="Z1474" s="825">
        <v>109.34</v>
      </c>
      <c r="AA1474" s="825">
        <v>109.34</v>
      </c>
      <c r="AB1474" s="2582">
        <v>109.34</v>
      </c>
      <c r="AC1474" s="910"/>
      <c r="AD1474" s="910"/>
      <c r="AE1474" s="910"/>
      <c r="AF1474" s="910"/>
      <c r="AG1474" s="910"/>
      <c r="AH1474" s="211"/>
      <c r="AK1474" s="912"/>
      <c r="BB1474" s="293">
        <f>(BD1474+BD1475)/(BE1474+BE1475)</f>
        <v>1.0839407911241059</v>
      </c>
      <c r="BC1474" s="797" t="str">
        <f t="shared" si="140"/>
        <v>Cooling Res 18 Year EUL</v>
      </c>
      <c r="BD1474" s="752">
        <f>(INDEX('Avoided Cost Benefits'!$C$4:$C$857,MATCH(BC1474,'Avoided Cost Benefits'!$A$4:$A$857,0)))*F1474</f>
        <v>192.85473132460581</v>
      </c>
      <c r="BE1474" s="73">
        <f t="shared" si="150"/>
        <v>285.98395469561109</v>
      </c>
      <c r="BG1474" s="776"/>
      <c r="BH1474" s="913"/>
      <c r="BI1474" s="776"/>
    </row>
    <row r="1475" spans="1:61" s="64" customFormat="1" x14ac:dyDescent="0.25">
      <c r="A1475" s="1393" t="str">
        <f t="shared" si="148"/>
        <v>353050_2019_12_Heating Res</v>
      </c>
      <c r="B1475" s="157"/>
      <c r="C1475" s="1352" t="s">
        <v>1375</v>
      </c>
      <c r="D1475" s="1756" t="s">
        <v>742</v>
      </c>
      <c r="E1475" s="914" t="s">
        <v>3225</v>
      </c>
      <c r="F1475" s="2582">
        <f>ROUND(((K1716*K1844*(1/K1972-1/K2100)*K2740)/1000)*$K$2834,2)</f>
        <v>253.53</v>
      </c>
      <c r="G1475" s="263" t="s">
        <v>1275</v>
      </c>
      <c r="H1475" s="202">
        <f>VLOOKUP(G1475,'CP FACTORS'!$A$3:$B$38, 2, FALSE)</f>
        <v>0</v>
      </c>
      <c r="I1475" s="1757">
        <f t="shared" si="137"/>
        <v>0</v>
      </c>
      <c r="J1475" s="141">
        <f>K2882</f>
        <v>18</v>
      </c>
      <c r="K1475" s="908">
        <f>K3052</f>
        <v>0</v>
      </c>
      <c r="L1475" s="909"/>
      <c r="M1475" s="1797"/>
      <c r="N1475" s="1794"/>
      <c r="O1475" s="1249"/>
      <c r="P1475" s="157"/>
      <c r="Q1475" s="157"/>
      <c r="R1475" s="1627"/>
      <c r="S1475" s="157"/>
      <c r="T1475" s="157"/>
      <c r="U1475" s="1798"/>
      <c r="V1475" s="2309" t="s">
        <v>20</v>
      </c>
      <c r="W1475" s="910">
        <v>340.46551724137925</v>
      </c>
      <c r="X1475" s="911">
        <v>253.52733389402857</v>
      </c>
      <c r="Y1475" s="825">
        <v>253.53</v>
      </c>
      <c r="Z1475" s="825">
        <v>253.53</v>
      </c>
      <c r="AA1475" s="825">
        <v>253.53</v>
      </c>
      <c r="AB1475" s="2582">
        <v>253.53</v>
      </c>
      <c r="AC1475" s="910"/>
      <c r="AD1475" s="910"/>
      <c r="AE1475" s="910"/>
      <c r="AF1475" s="910"/>
      <c r="AG1475" s="910"/>
      <c r="AH1475" s="211"/>
      <c r="AK1475" s="912"/>
      <c r="BB1475" s="291"/>
      <c r="BC1475" s="914" t="str">
        <f t="shared" si="140"/>
        <v>Heating Res 18 Year EUL</v>
      </c>
      <c r="BD1475" s="752">
        <f>(INDEX('Avoided Cost Benefits'!$C$4:$C$857,MATCH(BC1475,'Avoided Cost Benefits'!$A$4:$A$857,0)))*F1475</f>
        <v>117.13494277695533</v>
      </c>
      <c r="BE1475" s="73">
        <f t="shared" si="150"/>
        <v>0</v>
      </c>
      <c r="BG1475" s="776"/>
      <c r="BH1475" s="913"/>
      <c r="BI1475" s="776"/>
    </row>
    <row r="1476" spans="1:61" s="64" customFormat="1" x14ac:dyDescent="0.25">
      <c r="A1476" s="1393" t="str">
        <f t="shared" si="148"/>
        <v>353051_2019_12_Cooling Res</v>
      </c>
      <c r="B1476" s="157"/>
      <c r="C1476" s="1352" t="s">
        <v>1376</v>
      </c>
      <c r="D1476" s="1756" t="s">
        <v>737</v>
      </c>
      <c r="E1476" s="742" t="str">
        <f>CONCATENATE(E1474,"_CompE")</f>
        <v>ASHP SEER 15 - replace on Fail MF _CompE</v>
      </c>
      <c r="F1476" s="2582">
        <f>ROUND((($K$2229*$K$2357*(1/$K$2485-1/$K$2613)*$K$2741)/1000)*$K$2834,2)</f>
        <v>79.52</v>
      </c>
      <c r="G1476" s="263" t="str">
        <f>G1474</f>
        <v>Cooling Res</v>
      </c>
      <c r="H1476" s="202">
        <f t="shared" ref="H1476:K1477" si="151">H1474</f>
        <v>9.4741810000000004E-4</v>
      </c>
      <c r="I1476" s="1801">
        <f t="shared" si="137"/>
        <v>7.5339000000000003E-2</v>
      </c>
      <c r="J1476" s="141">
        <f t="shared" si="151"/>
        <v>18</v>
      </c>
      <c r="K1476" s="908">
        <f t="shared" si="151"/>
        <v>303</v>
      </c>
      <c r="L1476" s="909">
        <f>L1474</f>
        <v>3.1</v>
      </c>
      <c r="M1476" s="1797"/>
      <c r="N1476" s="1794"/>
      <c r="O1476" s="1249"/>
      <c r="P1476" s="157"/>
      <c r="Q1476" s="157"/>
      <c r="R1476" s="1627"/>
      <c r="S1476" s="157"/>
      <c r="T1476" s="157"/>
      <c r="U1476" s="1798"/>
      <c r="V1476" s="2309" t="s">
        <v>20</v>
      </c>
      <c r="W1476" s="910"/>
      <c r="X1476" s="911"/>
      <c r="Y1476" s="830">
        <v>79.52</v>
      </c>
      <c r="Z1476" s="825">
        <v>79.52</v>
      </c>
      <c r="AA1476" s="825">
        <v>79.52</v>
      </c>
      <c r="AB1476" s="2582">
        <v>79.52</v>
      </c>
      <c r="AC1476" s="910"/>
      <c r="AD1476" s="910"/>
      <c r="AE1476" s="910"/>
      <c r="AF1476" s="910"/>
      <c r="AG1476" s="910"/>
      <c r="AH1476" s="211"/>
      <c r="AK1476" s="912"/>
      <c r="BB1476" s="293">
        <f>(BD1476+BD1477)/(BE1476+BE1477)</f>
        <v>0.63007044732450812</v>
      </c>
      <c r="BC1476" s="797" t="str">
        <f t="shared" si="140"/>
        <v>Cooling Res 18 Year EUL</v>
      </c>
      <c r="BD1476" s="752">
        <f>(INDEX('Avoided Cost Benefits'!$C$4:$C$857,MATCH(BC1476,'Avoided Cost Benefits'!$A$4:$A$857,0)))*F1476</f>
        <v>140.25798641789513</v>
      </c>
      <c r="BE1476" s="73">
        <f t="shared" si="150"/>
        <v>285.98395469561109</v>
      </c>
      <c r="BG1476" s="776"/>
      <c r="BH1476" s="916"/>
      <c r="BI1476" s="776"/>
    </row>
    <row r="1477" spans="1:61" s="64" customFormat="1" x14ac:dyDescent="0.25">
      <c r="A1477" s="1393" t="str">
        <f t="shared" si="148"/>
        <v>353051_2019_12_Heating Res</v>
      </c>
      <c r="B1477" s="157"/>
      <c r="C1477" s="1352" t="str">
        <f>C1476</f>
        <v>353051_2019_12_</v>
      </c>
      <c r="D1477" s="1756" t="s">
        <v>737</v>
      </c>
      <c r="E1477" s="750" t="str">
        <f>CONCATENATE(E1475,"_CompE")</f>
        <v>ASHP SEER 15 - replace on Fail MF _CompE</v>
      </c>
      <c r="F1477" s="2582">
        <f>ROUND((($K$1717*$K$1845*(1/$K$1973-1/$K$2101)*$K$2741)/1000)*$K$2834,2)</f>
        <v>86.43</v>
      </c>
      <c r="G1477" s="263" t="str">
        <f>G1475</f>
        <v>Heating Res</v>
      </c>
      <c r="H1477" s="202">
        <f t="shared" si="151"/>
        <v>0</v>
      </c>
      <c r="I1477" s="1801">
        <f t="shared" si="137"/>
        <v>0</v>
      </c>
      <c r="J1477" s="141">
        <f t="shared" si="151"/>
        <v>18</v>
      </c>
      <c r="K1477" s="908">
        <f t="shared" si="151"/>
        <v>0</v>
      </c>
      <c r="L1477" s="909"/>
      <c r="M1477" s="1797"/>
      <c r="N1477" s="1794"/>
      <c r="O1477" s="1249"/>
      <c r="P1477" s="157"/>
      <c r="Q1477" s="157"/>
      <c r="R1477" s="1627"/>
      <c r="S1477" s="157"/>
      <c r="T1477" s="157"/>
      <c r="U1477" s="1798"/>
      <c r="V1477" s="2309" t="s">
        <v>20</v>
      </c>
      <c r="W1477" s="910"/>
      <c r="X1477" s="911"/>
      <c r="Y1477" s="830">
        <v>86.43</v>
      </c>
      <c r="Z1477" s="825">
        <v>86.43</v>
      </c>
      <c r="AA1477" s="825">
        <v>86.43</v>
      </c>
      <c r="AB1477" s="2582">
        <v>86.43</v>
      </c>
      <c r="AC1477" s="910"/>
      <c r="AD1477" s="910"/>
      <c r="AE1477" s="910"/>
      <c r="AF1477" s="910"/>
      <c r="AG1477" s="910"/>
      <c r="AH1477" s="211"/>
      <c r="AK1477" s="912"/>
      <c r="BB1477" s="291"/>
      <c r="BC1477" s="914" t="str">
        <f t="shared" si="140"/>
        <v>Heating Res 18 Year EUL</v>
      </c>
      <c r="BD1477" s="752">
        <f>(INDEX('Avoided Cost Benefits'!$C$4:$C$857,MATCH(BC1477,'Avoided Cost Benefits'!$A$4:$A$857,0)))*F1477</f>
        <v>39.932051844800419</v>
      </c>
      <c r="BE1477" s="73">
        <f t="shared" si="150"/>
        <v>0</v>
      </c>
      <c r="BG1477" s="776"/>
      <c r="BH1477" s="916"/>
      <c r="BI1477" s="776"/>
    </row>
    <row r="1478" spans="1:61" s="64" customFormat="1" x14ac:dyDescent="0.25">
      <c r="A1478" s="1393" t="str">
        <f t="shared" si="148"/>
        <v>353100_2019_12_Cooling Res</v>
      </c>
      <c r="B1478" s="157"/>
      <c r="C1478" s="1352" t="s">
        <v>1377</v>
      </c>
      <c r="D1478" s="1756" t="s">
        <v>740</v>
      </c>
      <c r="E1478" s="797" t="s">
        <v>1378</v>
      </c>
      <c r="F1478" s="2582">
        <f>ROUND(((K2230*K2358*(1/K2486-1/K2614)*K2742)/1000)*$K$2834,2)</f>
        <v>528.48</v>
      </c>
      <c r="G1478" s="263" t="s">
        <v>1273</v>
      </c>
      <c r="H1478" s="202">
        <f>VLOOKUP(G1478,'CP FACTORS'!$A$3:$B$38, 2, FALSE)</f>
        <v>9.4741810000000004E-4</v>
      </c>
      <c r="I1478" s="1757">
        <f t="shared" si="137"/>
        <v>0.50069200000000003</v>
      </c>
      <c r="J1478" s="141">
        <f>K2883</f>
        <v>18</v>
      </c>
      <c r="K1478" s="908">
        <f>K3053</f>
        <v>724</v>
      </c>
      <c r="L1478" s="909">
        <f>L1718</f>
        <v>2.8</v>
      </c>
      <c r="M1478" s="1797"/>
      <c r="N1478" s="1794"/>
      <c r="O1478" s="1249"/>
      <c r="P1478" s="157"/>
      <c r="Q1478" s="157"/>
      <c r="R1478" s="1627"/>
      <c r="S1478" s="157"/>
      <c r="T1478" s="157"/>
      <c r="U1478" s="1798"/>
      <c r="V1478" s="2309" t="s">
        <v>20</v>
      </c>
      <c r="W1478" s="910">
        <v>2576.329411764706</v>
      </c>
      <c r="X1478" s="911">
        <v>1787.6571428571426</v>
      </c>
      <c r="Y1478" s="830">
        <v>528.48</v>
      </c>
      <c r="Z1478" s="825">
        <v>528.48</v>
      </c>
      <c r="AA1478" s="825">
        <v>528.48</v>
      </c>
      <c r="AB1478" s="2582">
        <v>528.48</v>
      </c>
      <c r="AC1478" s="910"/>
      <c r="AD1478" s="910"/>
      <c r="AE1478" s="910"/>
      <c r="AF1478" s="910"/>
      <c r="AG1478" s="910"/>
      <c r="AH1478" s="211"/>
      <c r="AK1478" s="912"/>
      <c r="BB1478" s="293">
        <f>(BD1478+BD1479)/(BE1478+BE1479)</f>
        <v>7.8267978873137816</v>
      </c>
      <c r="BC1478" s="797" t="str">
        <f t="shared" si="140"/>
        <v>Cooling Res 18 Year EUL</v>
      </c>
      <c r="BD1478" s="752">
        <f>(INDEX('Avoided Cost Benefits'!$C$4:$C$857,MATCH(BC1478,'Avoided Cost Benefits'!$A$4:$A$857,0)))*F1478</f>
        <v>932.13708076118235</v>
      </c>
      <c r="BE1478" s="73">
        <f t="shared" si="150"/>
        <v>683.34119867862194</v>
      </c>
      <c r="BG1478" s="776"/>
      <c r="BH1478" s="913"/>
      <c r="BI1478" s="776"/>
    </row>
    <row r="1479" spans="1:61" s="64" customFormat="1" x14ac:dyDescent="0.25">
      <c r="A1479" s="1393" t="str">
        <f t="shared" si="148"/>
        <v>353100_2019_12_Heating Res</v>
      </c>
      <c r="B1479" s="157"/>
      <c r="C1479" s="1352" t="s">
        <v>1377</v>
      </c>
      <c r="D1479" s="1756" t="s">
        <v>740</v>
      </c>
      <c r="E1479" s="914" t="s">
        <v>1378</v>
      </c>
      <c r="F1479" s="2582">
        <f>ROUND(((K1718*K1846*(1/K1974-1/K2102)*K2742)/1000)*$K$2834,2)</f>
        <v>9558.6200000000008</v>
      </c>
      <c r="G1479" s="263" t="s">
        <v>1275</v>
      </c>
      <c r="H1479" s="202">
        <f>VLOOKUP(G1479,'CP FACTORS'!$A$3:$B$38, 2, FALSE)</f>
        <v>0</v>
      </c>
      <c r="I1479" s="1757">
        <f t="shared" si="137"/>
        <v>0</v>
      </c>
      <c r="J1479" s="141">
        <f>K2884</f>
        <v>18</v>
      </c>
      <c r="K1479" s="908">
        <f>K3054</f>
        <v>0</v>
      </c>
      <c r="L1479" s="909"/>
      <c r="M1479" s="1797"/>
      <c r="N1479" s="1794"/>
      <c r="O1479" s="1249"/>
      <c r="P1479" s="157"/>
      <c r="Q1479" s="157"/>
      <c r="R1479" s="1627"/>
      <c r="S1479" s="157"/>
      <c r="T1479" s="157"/>
      <c r="U1479" s="1798"/>
      <c r="V1479" s="2309" t="s">
        <v>20</v>
      </c>
      <c r="W1479" s="910">
        <v>12836.414910662994</v>
      </c>
      <c r="X1479" s="911">
        <v>9558.6245427336198</v>
      </c>
      <c r="Y1479" s="825">
        <v>9558.6200000000008</v>
      </c>
      <c r="Z1479" s="825">
        <v>9558.6200000000008</v>
      </c>
      <c r="AA1479" s="825">
        <v>9558.6200000000008</v>
      </c>
      <c r="AB1479" s="2582">
        <v>9558.6200000000008</v>
      </c>
      <c r="AC1479" s="910"/>
      <c r="AD1479" s="910"/>
      <c r="AE1479" s="910"/>
      <c r="AF1479" s="910"/>
      <c r="AG1479" s="910"/>
      <c r="AH1479" s="211"/>
      <c r="AK1479" s="912"/>
      <c r="BB1479" s="291"/>
      <c r="BC1479" s="914" t="str">
        <f t="shared" si="140"/>
        <v>Heating Res 18 Year EUL</v>
      </c>
      <c r="BD1479" s="752">
        <f>(INDEX('Avoided Cost Benefits'!$C$4:$C$857,MATCH(BC1479,'Avoided Cost Benefits'!$A$4:$A$857,0)))*F1479</f>
        <v>4416.2363693711231</v>
      </c>
      <c r="BE1479" s="73">
        <f t="shared" si="150"/>
        <v>0</v>
      </c>
      <c r="BG1479" s="776"/>
      <c r="BH1479" s="913"/>
      <c r="BI1479" s="776"/>
    </row>
    <row r="1480" spans="1:61" s="64" customFormat="1" x14ac:dyDescent="0.25">
      <c r="A1480" s="1393" t="str">
        <f t="shared" si="148"/>
        <v>353150_2019_12_Cooling Res</v>
      </c>
      <c r="B1480" s="157"/>
      <c r="C1480" s="1352" t="s">
        <v>1379</v>
      </c>
      <c r="D1480" s="1756" t="s">
        <v>742</v>
      </c>
      <c r="E1480" s="797" t="s">
        <v>1380</v>
      </c>
      <c r="F1480" s="2582">
        <f>ROUND(((K2231*K2359*(1/K2487-1/K2615)*K2743)/1000)*$K$2834,2)</f>
        <v>343.51</v>
      </c>
      <c r="G1480" s="263" t="s">
        <v>1273</v>
      </c>
      <c r="H1480" s="202">
        <f>VLOOKUP(G1480,'CP FACTORS'!$A$3:$B$38, 2, FALSE)</f>
        <v>9.4741810000000004E-4</v>
      </c>
      <c r="I1480" s="1757">
        <f t="shared" si="137"/>
        <v>0.32544800000000002</v>
      </c>
      <c r="J1480" s="141">
        <f>K2885</f>
        <v>18</v>
      </c>
      <c r="K1480" s="908">
        <f>K3055</f>
        <v>724</v>
      </c>
      <c r="L1480" s="909">
        <f>L1719</f>
        <v>2.8</v>
      </c>
      <c r="M1480" s="1797"/>
      <c r="N1480" s="1794"/>
      <c r="O1480" s="1249"/>
      <c r="P1480" s="157"/>
      <c r="Q1480" s="157"/>
      <c r="R1480" s="1627"/>
      <c r="S1480" s="157"/>
      <c r="T1480" s="157"/>
      <c r="U1480" s="1798"/>
      <c r="V1480" s="2309" t="s">
        <v>20</v>
      </c>
      <c r="W1480" s="910">
        <v>1674.6141176470589</v>
      </c>
      <c r="X1480" s="911">
        <v>1161.9771428571428</v>
      </c>
      <c r="Y1480" s="830">
        <v>343.51</v>
      </c>
      <c r="Z1480" s="825">
        <v>343.51</v>
      </c>
      <c r="AA1480" s="825">
        <v>343.51</v>
      </c>
      <c r="AB1480" s="2582">
        <v>343.51</v>
      </c>
      <c r="AC1480" s="910"/>
      <c r="AD1480" s="910"/>
      <c r="AE1480" s="910"/>
      <c r="AF1480" s="910"/>
      <c r="AG1480" s="910"/>
      <c r="AH1480" s="211"/>
      <c r="AK1480" s="912"/>
      <c r="BB1480" s="293">
        <f>(BD1480+BD1481)/(BE1480+BE1481)</f>
        <v>5.0874181972428625</v>
      </c>
      <c r="BC1480" s="797" t="str">
        <f t="shared" si="140"/>
        <v>Cooling Res 18 Year EUL</v>
      </c>
      <c r="BD1480" s="752">
        <f>(INDEX('Avoided Cost Benefits'!$C$4:$C$857,MATCH(BC1480,'Avoided Cost Benefits'!$A$4:$A$857,0)))*F1480</f>
        <v>605.88557487941591</v>
      </c>
      <c r="BE1480" s="73">
        <f t="shared" si="150"/>
        <v>683.34119867862194</v>
      </c>
      <c r="BG1480" s="776"/>
      <c r="BH1480" s="913"/>
      <c r="BI1480" s="776"/>
    </row>
    <row r="1481" spans="1:61" s="64" customFormat="1" x14ac:dyDescent="0.25">
      <c r="A1481" s="1393" t="str">
        <f t="shared" si="148"/>
        <v>353150_2019_12_Heating Res</v>
      </c>
      <c r="B1481" s="157"/>
      <c r="C1481" s="1352" t="s">
        <v>1379</v>
      </c>
      <c r="D1481" s="1756" t="s">
        <v>742</v>
      </c>
      <c r="E1481" s="914" t="s">
        <v>1380</v>
      </c>
      <c r="F1481" s="2582">
        <f>ROUND(((K1719*K1847*(1/K1975-1/K2103)*K2743)/1000)*$K$2834,2)</f>
        <v>6213.11</v>
      </c>
      <c r="G1481" s="263" t="s">
        <v>1275</v>
      </c>
      <c r="H1481" s="202">
        <f>VLOOKUP(G1481,'CP FACTORS'!$A$3:$B$38, 2, FALSE)</f>
        <v>0</v>
      </c>
      <c r="I1481" s="1757">
        <f t="shared" si="137"/>
        <v>0</v>
      </c>
      <c r="J1481" s="141">
        <f>K2886</f>
        <v>18</v>
      </c>
      <c r="K1481" s="908">
        <f>K3056</f>
        <v>0</v>
      </c>
      <c r="L1481" s="909"/>
      <c r="M1481" s="1797"/>
      <c r="N1481" s="1794"/>
      <c r="O1481" s="1249"/>
      <c r="P1481" s="157"/>
      <c r="Q1481" s="157"/>
      <c r="R1481" s="1627"/>
      <c r="S1481" s="157"/>
      <c r="T1481" s="157"/>
      <c r="U1481" s="1798"/>
      <c r="V1481" s="2309" t="s">
        <v>20</v>
      </c>
      <c r="W1481" s="910">
        <v>8343.6696919309452</v>
      </c>
      <c r="X1481" s="911">
        <v>6213.105952776853</v>
      </c>
      <c r="Y1481" s="825">
        <v>6213.11</v>
      </c>
      <c r="Z1481" s="825">
        <v>6213.11</v>
      </c>
      <c r="AA1481" s="825">
        <v>6213.11</v>
      </c>
      <c r="AB1481" s="2582">
        <v>6213.11</v>
      </c>
      <c r="AC1481" s="910"/>
      <c r="AD1481" s="910"/>
      <c r="AE1481" s="910"/>
      <c r="AF1481" s="910"/>
      <c r="AG1481" s="910"/>
      <c r="AH1481" s="211"/>
      <c r="AK1481" s="912"/>
      <c r="BB1481" s="291"/>
      <c r="BC1481" s="914" t="str">
        <f t="shared" si="140"/>
        <v>Heating Res 18 Year EUL</v>
      </c>
      <c r="BD1481" s="752">
        <f>(INDEX('Avoided Cost Benefits'!$C$4:$C$857,MATCH(BC1481,'Avoided Cost Benefits'!$A$4:$A$857,0)))*F1481</f>
        <v>2870.5568742039554</v>
      </c>
      <c r="BE1481" s="73">
        <f t="shared" si="150"/>
        <v>0</v>
      </c>
      <c r="BG1481" s="776"/>
      <c r="BH1481" s="913"/>
      <c r="BI1481" s="776"/>
    </row>
    <row r="1482" spans="1:61" s="64" customFormat="1" x14ac:dyDescent="0.25">
      <c r="A1482" s="1393" t="str">
        <f t="shared" si="148"/>
        <v>353151_2019_12_Cooling Res</v>
      </c>
      <c r="B1482" s="157"/>
      <c r="C1482" s="1352" t="s">
        <v>1381</v>
      </c>
      <c r="D1482" s="1756" t="s">
        <v>737</v>
      </c>
      <c r="E1482" s="742" t="str">
        <f>CONCATENATE(E1480,"_CompE")</f>
        <v>ASHP - SEER 17 - replace electric furnace / CAC MF_CompE</v>
      </c>
      <c r="F1482" s="2582">
        <f>ROUND((($K$2232*$K$2360*(1/$K$2488-1/$K$2616)*$K$2744)/1000)*$K$2834,2)</f>
        <v>249.83</v>
      </c>
      <c r="G1482" s="263" t="str">
        <f>G1480</f>
        <v>Cooling Res</v>
      </c>
      <c r="H1482" s="202">
        <f t="shared" ref="H1482:K1483" si="152">H1480</f>
        <v>9.4741810000000004E-4</v>
      </c>
      <c r="I1482" s="1801">
        <f t="shared" si="137"/>
        <v>0.23669299999999999</v>
      </c>
      <c r="J1482" s="141">
        <f t="shared" si="152"/>
        <v>18</v>
      </c>
      <c r="K1482" s="908">
        <f t="shared" si="152"/>
        <v>724</v>
      </c>
      <c r="L1482" s="909">
        <f>L1480</f>
        <v>2.8</v>
      </c>
      <c r="M1482" s="1797"/>
      <c r="N1482" s="1794"/>
      <c r="O1482" s="1249"/>
      <c r="P1482" s="157"/>
      <c r="Q1482" s="157"/>
      <c r="R1482" s="1627"/>
      <c r="S1482" s="157"/>
      <c r="T1482" s="157"/>
      <c r="U1482" s="1798"/>
      <c r="V1482" s="2309" t="s">
        <v>20</v>
      </c>
      <c r="W1482" s="910"/>
      <c r="X1482" s="911"/>
      <c r="Y1482" s="830">
        <v>249.83</v>
      </c>
      <c r="Z1482" s="825">
        <v>249.83</v>
      </c>
      <c r="AA1482" s="825">
        <v>249.83</v>
      </c>
      <c r="AB1482" s="2582">
        <v>249.83</v>
      </c>
      <c r="AC1482" s="910"/>
      <c r="AD1482" s="910"/>
      <c r="AE1482" s="910"/>
      <c r="AF1482" s="910"/>
      <c r="AG1482" s="910"/>
      <c r="AH1482" s="211"/>
      <c r="AK1482" s="912"/>
      <c r="BB1482" s="293">
        <f>(BD1482+BD1483)/(BE1482+BE1483)</f>
        <v>2.0769249443850204</v>
      </c>
      <c r="BC1482" s="797" t="str">
        <f t="shared" si="140"/>
        <v>Cooling Res 18 Year EUL</v>
      </c>
      <c r="BD1482" s="752">
        <f>(INDEX('Avoided Cost Benefits'!$C$4:$C$857,MATCH(BC1482,'Avoided Cost Benefits'!$A$4:$A$857,0)))*F1482</f>
        <v>440.65207176537655</v>
      </c>
      <c r="BE1482" s="73">
        <f t="shared" si="150"/>
        <v>683.34119867862194</v>
      </c>
      <c r="BG1482" s="776"/>
      <c r="BH1482" s="916"/>
      <c r="BI1482" s="776"/>
    </row>
    <row r="1483" spans="1:61" s="64" customFormat="1" x14ac:dyDescent="0.25">
      <c r="A1483" s="1393" t="str">
        <f t="shared" si="148"/>
        <v>353151_2019_12_Heating Res</v>
      </c>
      <c r="B1483" s="157"/>
      <c r="C1483" s="1352" t="str">
        <f>C1482</f>
        <v>353151_2019_12_</v>
      </c>
      <c r="D1483" s="1756" t="s">
        <v>737</v>
      </c>
      <c r="E1483" s="750" t="str">
        <f>CONCATENATE(E1481,"_CompE")</f>
        <v>ASHP - SEER 17 - replace electric furnace / CAC MF_CompE</v>
      </c>
      <c r="F1483" s="2582">
        <f>ROUND((($K$1720*$K$1848*(1/$K$1976-1/$K$2104)*$K$2744)/1000)*$K$2834,2)</f>
        <v>2118.1</v>
      </c>
      <c r="G1483" s="263" t="str">
        <f>G1481</f>
        <v>Heating Res</v>
      </c>
      <c r="H1483" s="202">
        <f t="shared" si="152"/>
        <v>0</v>
      </c>
      <c r="I1483" s="1801">
        <f t="shared" si="137"/>
        <v>0</v>
      </c>
      <c r="J1483" s="141">
        <f t="shared" si="152"/>
        <v>18</v>
      </c>
      <c r="K1483" s="908">
        <f t="shared" si="152"/>
        <v>0</v>
      </c>
      <c r="L1483" s="909"/>
      <c r="M1483" s="1797"/>
      <c r="N1483" s="1794"/>
      <c r="O1483" s="1249"/>
      <c r="P1483" s="157"/>
      <c r="Q1483" s="157"/>
      <c r="R1483" s="1627"/>
      <c r="S1483" s="157"/>
      <c r="T1483" s="157"/>
      <c r="U1483" s="1798"/>
      <c r="V1483" s="2309" t="s">
        <v>20</v>
      </c>
      <c r="W1483" s="910"/>
      <c r="X1483" s="911"/>
      <c r="Y1483" s="830">
        <v>2118.1</v>
      </c>
      <c r="Z1483" s="825">
        <v>2118.1</v>
      </c>
      <c r="AA1483" s="825">
        <v>2118.1</v>
      </c>
      <c r="AB1483" s="2582">
        <v>2118.1</v>
      </c>
      <c r="AC1483" s="910"/>
      <c r="AD1483" s="910"/>
      <c r="AE1483" s="910"/>
      <c r="AF1483" s="910"/>
      <c r="AG1483" s="910"/>
      <c r="AH1483" s="211"/>
      <c r="AK1483" s="912"/>
      <c r="BB1483" s="291"/>
      <c r="BC1483" s="914" t="str">
        <f t="shared" si="140"/>
        <v>Heating Res 18 Year EUL</v>
      </c>
      <c r="BD1483" s="752">
        <f>(INDEX('Avoided Cost Benefits'!$C$4:$C$857,MATCH(BC1483,'Avoided Cost Benefits'!$A$4:$A$857,0)))*F1483</f>
        <v>978.59630929621369</v>
      </c>
      <c r="BE1483" s="73">
        <f t="shared" si="150"/>
        <v>0</v>
      </c>
      <c r="BG1483" s="776"/>
      <c r="BH1483" s="916"/>
      <c r="BI1483" s="776"/>
    </row>
    <row r="1484" spans="1:61" s="64" customFormat="1" x14ac:dyDescent="0.25">
      <c r="A1484" s="1393" t="str">
        <f t="shared" si="148"/>
        <v>353200_2019_12_Cooling Res</v>
      </c>
      <c r="B1484" s="157"/>
      <c r="C1484" s="1352" t="s">
        <v>1382</v>
      </c>
      <c r="D1484" s="1756" t="s">
        <v>740</v>
      </c>
      <c r="E1484" s="797" t="s">
        <v>1383</v>
      </c>
      <c r="F1484" s="2582">
        <f>ROUND(((K2233*K2361*(1/K2489-1/K2617)*K2745)/1000)*$K$2834,2)</f>
        <v>759.94</v>
      </c>
      <c r="G1484" s="263" t="s">
        <v>1273</v>
      </c>
      <c r="H1484" s="202">
        <f>VLOOKUP(G1484,'CP FACTORS'!$A$3:$B$38, 2, FALSE)</f>
        <v>9.4741810000000004E-4</v>
      </c>
      <c r="I1484" s="1757">
        <f t="shared" si="137"/>
        <v>0.71998099999999998</v>
      </c>
      <c r="J1484" s="141">
        <f>K2887</f>
        <v>18</v>
      </c>
      <c r="K1484" s="908">
        <f>K3057</f>
        <v>962.92000000000007</v>
      </c>
      <c r="L1484" s="909">
        <f>L1721</f>
        <v>3</v>
      </c>
      <c r="M1484" s="1797"/>
      <c r="N1484" s="1794"/>
      <c r="O1484" s="1249"/>
      <c r="P1484" s="157"/>
      <c r="Q1484" s="157"/>
      <c r="R1484" s="1627"/>
      <c r="S1484" s="157"/>
      <c r="T1484" s="157"/>
      <c r="U1484" s="1798"/>
      <c r="V1484" s="2309" t="s">
        <v>20</v>
      </c>
      <c r="W1484" s="910">
        <v>2671.7490196078434</v>
      </c>
      <c r="X1484" s="911">
        <v>1883.0767507002802</v>
      </c>
      <c r="Y1484" s="830">
        <v>623.9</v>
      </c>
      <c r="Z1484" s="825">
        <v>623.9</v>
      </c>
      <c r="AA1484" s="825">
        <v>623.9</v>
      </c>
      <c r="AB1484" s="488">
        <v>759.94</v>
      </c>
      <c r="AC1484" s="910"/>
      <c r="AD1484" s="910"/>
      <c r="AE1484" s="910"/>
      <c r="AF1484" s="910"/>
      <c r="AG1484" s="910"/>
      <c r="AH1484" s="211"/>
      <c r="AK1484" s="912"/>
      <c r="BB1484" s="293">
        <f>(BD1484+BD1485)/(BE1484+BE1485)</f>
        <v>6.8961434318247061</v>
      </c>
      <c r="BC1484" s="797" t="str">
        <f t="shared" si="140"/>
        <v>Cooling Res 18 Year EUL</v>
      </c>
      <c r="BD1484" s="752">
        <f>(INDEX('Avoided Cost Benefits'!$C$4:$C$857,MATCH(BC1484,'Avoided Cost Benefits'!$A$4:$A$857,0)))*F1484</f>
        <v>1340.3880055132702</v>
      </c>
      <c r="BE1484" s="73">
        <f t="shared" si="150"/>
        <v>908.84379424256724</v>
      </c>
      <c r="BG1484" s="776"/>
      <c r="BH1484" s="913"/>
      <c r="BI1484" s="776"/>
    </row>
    <row r="1485" spans="1:61" s="64" customFormat="1" x14ac:dyDescent="0.25">
      <c r="A1485" s="1393" t="str">
        <f t="shared" si="148"/>
        <v>353200_2019_12_Heating Res</v>
      </c>
      <c r="B1485" s="157"/>
      <c r="C1485" s="1352" t="s">
        <v>1382</v>
      </c>
      <c r="D1485" s="1756" t="s">
        <v>740</v>
      </c>
      <c r="E1485" s="914" t="s">
        <v>1383</v>
      </c>
      <c r="F1485" s="2582">
        <f>ROUND(((K1721*K1849*(1/K1977-1/K2105)*K2745)/1000)*$K$2834,2)</f>
        <v>10664.41</v>
      </c>
      <c r="G1485" s="263" t="s">
        <v>1275</v>
      </c>
      <c r="H1485" s="202">
        <f>VLOOKUP(G1485,'CP FACTORS'!$A$3:$B$38, 2, FALSE)</f>
        <v>0</v>
      </c>
      <c r="I1485" s="1757">
        <f t="shared" si="137"/>
        <v>0</v>
      </c>
      <c r="J1485" s="141">
        <f>K2888</f>
        <v>18</v>
      </c>
      <c r="K1485" s="908">
        <f>K3058</f>
        <v>0</v>
      </c>
      <c r="L1485" s="909"/>
      <c r="M1485" s="1797"/>
      <c r="N1485" s="1794"/>
      <c r="O1485" s="1249"/>
      <c r="P1485" s="157"/>
      <c r="Q1485" s="157"/>
      <c r="R1485" s="1627"/>
      <c r="S1485" s="157"/>
      <c r="T1485" s="157"/>
      <c r="U1485" s="1798"/>
      <c r="V1485" s="2309" t="s">
        <v>20</v>
      </c>
      <c r="W1485" s="910">
        <v>12836.414910662994</v>
      </c>
      <c r="X1485" s="911">
        <v>9558.6245427336198</v>
      </c>
      <c r="Y1485" s="825">
        <v>9558.6200000000008</v>
      </c>
      <c r="Z1485" s="825">
        <v>9558.6200000000008</v>
      </c>
      <c r="AA1485" s="825">
        <v>9558.6200000000008</v>
      </c>
      <c r="AB1485" s="488">
        <v>10664.41</v>
      </c>
      <c r="AC1485" s="910"/>
      <c r="AD1485" s="910"/>
      <c r="AE1485" s="910"/>
      <c r="AF1485" s="910"/>
      <c r="AG1485" s="910"/>
      <c r="AH1485" s="211"/>
      <c r="AK1485" s="912"/>
      <c r="BB1485" s="291"/>
      <c r="BC1485" s="914" t="str">
        <f t="shared" si="140"/>
        <v>Heating Res 18 Year EUL</v>
      </c>
      <c r="BD1485" s="752">
        <f>(INDEX('Avoided Cost Benefits'!$C$4:$C$857,MATCH(BC1485,'Avoided Cost Benefits'!$A$4:$A$857,0)))*F1485</f>
        <v>4927.129156707254</v>
      </c>
      <c r="BE1485" s="73">
        <f t="shared" si="150"/>
        <v>0</v>
      </c>
      <c r="BG1485" s="776"/>
      <c r="BH1485" s="913"/>
      <c r="BI1485" s="776"/>
    </row>
    <row r="1486" spans="1:61" s="64" customFormat="1" x14ac:dyDescent="0.25">
      <c r="A1486" s="1393" t="str">
        <f t="shared" si="148"/>
        <v>353250_2019_12_Cooling Res</v>
      </c>
      <c r="B1486" s="157"/>
      <c r="C1486" s="1352" t="s">
        <v>1384</v>
      </c>
      <c r="D1486" s="1756" t="s">
        <v>742</v>
      </c>
      <c r="E1486" s="797" t="s">
        <v>1385</v>
      </c>
      <c r="F1486" s="2582">
        <f>ROUND(((K2234*K2362*(1/K2490-1/K2618)*K2746)/1000)*$K$2834,2)</f>
        <v>658.61</v>
      </c>
      <c r="G1486" s="263" t="s">
        <v>1273</v>
      </c>
      <c r="H1486" s="202">
        <f>VLOOKUP(G1486,'CP FACTORS'!$A$3:$B$38, 2, FALSE)</f>
        <v>9.4741810000000004E-4</v>
      </c>
      <c r="I1486" s="1757">
        <f t="shared" si="137"/>
        <v>0.62397899999999995</v>
      </c>
      <c r="J1486" s="141">
        <f>K2889</f>
        <v>18</v>
      </c>
      <c r="K1486" s="908">
        <f>K3059</f>
        <v>962.92000000000007</v>
      </c>
      <c r="L1486" s="909">
        <f>L1722</f>
        <v>4</v>
      </c>
      <c r="M1486" s="1797"/>
      <c r="N1486" s="1794"/>
      <c r="O1486" s="1249"/>
      <c r="P1486" s="157"/>
      <c r="Q1486" s="157"/>
      <c r="R1486" s="1627"/>
      <c r="S1486" s="157"/>
      <c r="T1486" s="157"/>
      <c r="U1486" s="1798"/>
      <c r="V1486" s="2309" t="s">
        <v>20</v>
      </c>
      <c r="W1486" s="910">
        <v>1736.6368627450984</v>
      </c>
      <c r="X1486" s="911">
        <v>1223.999887955182</v>
      </c>
      <c r="Y1486" s="830">
        <v>405.53</v>
      </c>
      <c r="Z1486" s="825">
        <v>405.53</v>
      </c>
      <c r="AA1486" s="825">
        <v>405.53</v>
      </c>
      <c r="AB1486" s="488">
        <v>658.61</v>
      </c>
      <c r="AC1486" s="910"/>
      <c r="AD1486" s="910"/>
      <c r="AE1486" s="910"/>
      <c r="AF1486" s="910"/>
      <c r="AG1486" s="910"/>
      <c r="AH1486" s="211"/>
      <c r="AK1486" s="912"/>
      <c r="BB1486" s="293">
        <f>(BD1486+BD1487)/(BE1486+BE1487)</f>
        <v>5.8636569964627734</v>
      </c>
      <c r="BC1486" s="797" t="str">
        <f t="shared" si="140"/>
        <v>Cooling Res 18 Year EUL</v>
      </c>
      <c r="BD1486" s="752">
        <f>(INDEX('Avoided Cost Benefits'!$C$4:$C$857,MATCH(BC1486,'Avoided Cost Benefits'!$A$4:$A$857,0)))*F1486</f>
        <v>1161.6613736756781</v>
      </c>
      <c r="BE1486" s="73">
        <f t="shared" si="150"/>
        <v>908.84379424256724</v>
      </c>
      <c r="BG1486" s="776"/>
      <c r="BH1486" s="913"/>
      <c r="BI1486" s="776"/>
    </row>
    <row r="1487" spans="1:61" s="64" customFormat="1" x14ac:dyDescent="0.25">
      <c r="A1487" s="1393" t="str">
        <f t="shared" si="148"/>
        <v>353250_2019_12_Heating Res</v>
      </c>
      <c r="B1487" s="157"/>
      <c r="C1487" s="1352" t="s">
        <v>1384</v>
      </c>
      <c r="D1487" s="1756" t="s">
        <v>742</v>
      </c>
      <c r="E1487" s="914" t="s">
        <v>1385</v>
      </c>
      <c r="F1487" s="2582">
        <f>ROUND(((K1722*K1850*(1/K1978-1/K2106)*K2746)/1000)*$K$2834,2)</f>
        <v>9020.2199999999993</v>
      </c>
      <c r="G1487" s="263" t="s">
        <v>1275</v>
      </c>
      <c r="H1487" s="202">
        <f>VLOOKUP(G1487,'CP FACTORS'!$A$3:$B$38, 2, FALSE)</f>
        <v>0</v>
      </c>
      <c r="I1487" s="1757">
        <f t="shared" si="137"/>
        <v>0</v>
      </c>
      <c r="J1487" s="141">
        <f>K2890</f>
        <v>18</v>
      </c>
      <c r="K1487" s="908">
        <f>K3060</f>
        <v>0</v>
      </c>
      <c r="L1487" s="909"/>
      <c r="M1487" s="1797"/>
      <c r="N1487" s="1794"/>
      <c r="O1487" s="1249"/>
      <c r="P1487" s="157"/>
      <c r="Q1487" s="157"/>
      <c r="R1487" s="1627"/>
      <c r="S1487" s="157"/>
      <c r="T1487" s="157"/>
      <c r="U1487" s="1798"/>
      <c r="V1487" s="2309" t="s">
        <v>20</v>
      </c>
      <c r="W1487" s="910">
        <v>8343.6696919309452</v>
      </c>
      <c r="X1487" s="911">
        <v>6213.105952776853</v>
      </c>
      <c r="Y1487" s="825">
        <v>6213.11</v>
      </c>
      <c r="Z1487" s="825">
        <v>6213.11</v>
      </c>
      <c r="AA1487" s="825">
        <v>6213.11</v>
      </c>
      <c r="AB1487" s="488">
        <v>9020.2199999999993</v>
      </c>
      <c r="AC1487" s="910"/>
      <c r="AD1487" s="910"/>
      <c r="AE1487" s="910"/>
      <c r="AF1487" s="910"/>
      <c r="AG1487" s="910"/>
      <c r="AH1487" s="211"/>
      <c r="AK1487" s="912"/>
      <c r="BB1487" s="291"/>
      <c r="BC1487" s="914" t="str">
        <f t="shared" si="140"/>
        <v>Heating Res 18 Year EUL</v>
      </c>
      <c r="BD1487" s="752">
        <f>(INDEX('Avoided Cost Benefits'!$C$4:$C$857,MATCH(BC1487,'Avoided Cost Benefits'!$A$4:$A$857,0)))*F1487</f>
        <v>4167.4868991265248</v>
      </c>
      <c r="BE1487" s="73">
        <f t="shared" si="150"/>
        <v>0</v>
      </c>
      <c r="BG1487" s="776"/>
      <c r="BH1487" s="913"/>
      <c r="BI1487" s="776"/>
    </row>
    <row r="1488" spans="1:61" s="64" customFormat="1" x14ac:dyDescent="0.25">
      <c r="A1488" s="1393" t="str">
        <f t="shared" si="148"/>
        <v>353251_2019_12_Cooling Res</v>
      </c>
      <c r="B1488" s="157"/>
      <c r="C1488" s="1352" t="s">
        <v>1386</v>
      </c>
      <c r="D1488" s="1756" t="s">
        <v>737</v>
      </c>
      <c r="E1488" s="742" t="str">
        <f>CONCATENATE(E1486,"_CompE")</f>
        <v>ASHP - SEER 18 - replace electric furnace / CAC MF_CompE</v>
      </c>
      <c r="F1488" s="2582">
        <f>ROUND((($K$2235*$K$2363*(1/$K$2491-1/$K$2619)*$K$2747)/1000)*$K$2834,2)</f>
        <v>478.99</v>
      </c>
      <c r="G1488" s="263" t="str">
        <f>G1486</f>
        <v>Cooling Res</v>
      </c>
      <c r="H1488" s="202">
        <f t="shared" ref="H1488:K1489" si="153">H1486</f>
        <v>9.4741810000000004E-4</v>
      </c>
      <c r="I1488" s="1801">
        <f t="shared" si="137"/>
        <v>0.45380399999999999</v>
      </c>
      <c r="J1488" s="141">
        <f t="shared" si="153"/>
        <v>18</v>
      </c>
      <c r="K1488" s="908">
        <f t="shared" si="153"/>
        <v>962.92000000000007</v>
      </c>
      <c r="L1488" s="909">
        <f>L1486</f>
        <v>4</v>
      </c>
      <c r="M1488" s="1797"/>
      <c r="N1488" s="1794"/>
      <c r="O1488" s="1249"/>
      <c r="P1488" s="157"/>
      <c r="Q1488" s="157"/>
      <c r="R1488" s="1627"/>
      <c r="S1488" s="157"/>
      <c r="T1488" s="157"/>
      <c r="U1488" s="1798"/>
      <c r="V1488" s="2309" t="s">
        <v>20</v>
      </c>
      <c r="W1488" s="910"/>
      <c r="X1488" s="911"/>
      <c r="Y1488" s="830">
        <v>294.93</v>
      </c>
      <c r="Z1488" s="825">
        <v>294.93</v>
      </c>
      <c r="AA1488" s="825">
        <v>294.93</v>
      </c>
      <c r="AB1488" s="488">
        <v>478.99</v>
      </c>
      <c r="AC1488" s="910"/>
      <c r="AD1488" s="910"/>
      <c r="AE1488" s="910"/>
      <c r="AF1488" s="910"/>
      <c r="AG1488" s="910"/>
      <c r="AH1488" s="211"/>
      <c r="AK1488" s="912"/>
      <c r="BB1488" s="293">
        <f>(BD1488+BD1489)/(BE1488+BE1489)</f>
        <v>2.492818604749838</v>
      </c>
      <c r="BC1488" s="797" t="str">
        <f t="shared" si="140"/>
        <v>Cooling Res 18 Year EUL</v>
      </c>
      <c r="BD1488" s="752">
        <f>(INDEX('Avoided Cost Benefits'!$C$4:$C$857,MATCH(BC1488,'Avoided Cost Benefits'!$A$4:$A$857,0)))*F1488</f>
        <v>844.846238862017</v>
      </c>
      <c r="BE1488" s="73">
        <f t="shared" si="150"/>
        <v>908.84379424256724</v>
      </c>
      <c r="BG1488" s="776"/>
      <c r="BH1488" s="916"/>
      <c r="BI1488" s="776"/>
    </row>
    <row r="1489" spans="1:61" s="64" customFormat="1" x14ac:dyDescent="0.25">
      <c r="A1489" s="1393" t="str">
        <f t="shared" si="148"/>
        <v>353251_2019_12_Heating Res</v>
      </c>
      <c r="B1489" s="157"/>
      <c r="C1489" s="1352" t="str">
        <f>C1488</f>
        <v>353251_2019_12_</v>
      </c>
      <c r="D1489" s="1756" t="s">
        <v>737</v>
      </c>
      <c r="E1489" s="750" t="str">
        <f>CONCATENATE(E1487,"_CompE")</f>
        <v>ASHP - SEER 18 - replace electric furnace / CAC MF_CompE</v>
      </c>
      <c r="F1489" s="2582">
        <f>ROUND((($K$1723*$K$1851*(1/$K$1979-1/$K$2107)*$K$2747)/1000)*$K$2834,2)</f>
        <v>3075.08</v>
      </c>
      <c r="G1489" s="263" t="str">
        <f>G1487</f>
        <v>Heating Res</v>
      </c>
      <c r="H1489" s="202">
        <f t="shared" si="153"/>
        <v>0</v>
      </c>
      <c r="I1489" s="1801">
        <f t="shared" si="137"/>
        <v>0</v>
      </c>
      <c r="J1489" s="141">
        <f t="shared" si="153"/>
        <v>18</v>
      </c>
      <c r="K1489" s="908">
        <f t="shared" si="153"/>
        <v>0</v>
      </c>
      <c r="L1489" s="909"/>
      <c r="M1489" s="1797"/>
      <c r="N1489" s="1794"/>
      <c r="O1489" s="1249"/>
      <c r="P1489" s="157"/>
      <c r="Q1489" s="157"/>
      <c r="R1489" s="1627"/>
      <c r="S1489" s="157"/>
      <c r="T1489" s="157"/>
      <c r="U1489" s="1798"/>
      <c r="V1489" s="2309" t="s">
        <v>20</v>
      </c>
      <c r="W1489" s="910"/>
      <c r="X1489" s="911"/>
      <c r="Y1489" s="830">
        <v>2118.1</v>
      </c>
      <c r="Z1489" s="825">
        <v>2118.1</v>
      </c>
      <c r="AA1489" s="825">
        <v>2118.1</v>
      </c>
      <c r="AB1489" s="488">
        <v>3075.08</v>
      </c>
      <c r="AC1489" s="910"/>
      <c r="AD1489" s="910"/>
      <c r="AE1489" s="910"/>
      <c r="AF1489" s="910"/>
      <c r="AG1489" s="910"/>
      <c r="AH1489" s="211"/>
      <c r="AK1489" s="912"/>
      <c r="BB1489" s="291"/>
      <c r="BC1489" s="914" t="str">
        <f t="shared" si="140"/>
        <v>Heating Res 18 Year EUL</v>
      </c>
      <c r="BD1489" s="752">
        <f>(INDEX('Avoided Cost Benefits'!$C$4:$C$857,MATCH(BC1489,'Avoided Cost Benefits'!$A$4:$A$857,0)))*F1489</f>
        <v>1420.7364802372886</v>
      </c>
      <c r="BE1489" s="73">
        <f t="shared" si="150"/>
        <v>0</v>
      </c>
      <c r="BG1489" s="776"/>
      <c r="BH1489" s="916"/>
      <c r="BI1489" s="776"/>
    </row>
    <row r="1490" spans="1:61" s="64" customFormat="1" x14ac:dyDescent="0.25">
      <c r="A1490" s="1393" t="str">
        <f t="shared" si="148"/>
        <v>353300_2019_12_Cooling Res</v>
      </c>
      <c r="B1490" s="157"/>
      <c r="C1490" s="1352" t="s">
        <v>1387</v>
      </c>
      <c r="D1490" s="1756" t="s">
        <v>740</v>
      </c>
      <c r="E1490" s="797" t="s">
        <v>1388</v>
      </c>
      <c r="F1490" s="2582">
        <f>ROUND(((K2236*K2364*(1/K2492-1/K2620)*K2748)/1000)*$K$2834,2)</f>
        <v>709.27</v>
      </c>
      <c r="G1490" s="263" t="s">
        <v>1273</v>
      </c>
      <c r="H1490" s="202">
        <f>VLOOKUP(G1490,'CP FACTORS'!$A$3:$B$38, 2, FALSE)</f>
        <v>9.4741810000000004E-4</v>
      </c>
      <c r="I1490" s="1757">
        <f t="shared" si="137"/>
        <v>0.67197499999999999</v>
      </c>
      <c r="J1490" s="141">
        <f>K2891</f>
        <v>18</v>
      </c>
      <c r="K1490" s="908">
        <f>K3061</f>
        <v>1203.6500000000003</v>
      </c>
      <c r="L1490" s="909">
        <f>L1724</f>
        <v>2.8</v>
      </c>
      <c r="M1490" s="1797"/>
      <c r="N1490" s="1794"/>
      <c r="O1490" s="1249"/>
      <c r="P1490" s="157"/>
      <c r="Q1490" s="157"/>
      <c r="R1490" s="1627"/>
      <c r="S1490" s="157"/>
      <c r="T1490" s="157"/>
      <c r="U1490" s="1798"/>
      <c r="V1490" s="2309" t="s">
        <v>20</v>
      </c>
      <c r="W1490" s="910">
        <v>2757.1244582043346</v>
      </c>
      <c r="X1490" s="911">
        <v>1968.4521892967714</v>
      </c>
      <c r="Y1490" s="830">
        <v>709.27</v>
      </c>
      <c r="Z1490" s="825">
        <v>709.27</v>
      </c>
      <c r="AA1490" s="825">
        <v>709.27</v>
      </c>
      <c r="AB1490" s="2582">
        <v>709.27</v>
      </c>
      <c r="AC1490" s="910"/>
      <c r="AD1490" s="910"/>
      <c r="AE1490" s="910"/>
      <c r="AF1490" s="910"/>
      <c r="AG1490" s="910"/>
      <c r="AH1490" s="211"/>
      <c r="AK1490" s="912"/>
      <c r="BB1490" s="293">
        <f>(BD1490+BD1491)/(BE1490+BE1491)</f>
        <v>4.9885379871248992</v>
      </c>
      <c r="BC1490" s="797" t="str">
        <f t="shared" si="140"/>
        <v>Cooling Res 18 Year EUL</v>
      </c>
      <c r="BD1490" s="752">
        <f>(INDEX('Avoided Cost Benefits'!$C$4:$C$857,MATCH(BC1490,'Avoided Cost Benefits'!$A$4:$A$857,0)))*F1490</f>
        <v>1251.0158705560925</v>
      </c>
      <c r="BE1490" s="73">
        <f t="shared" si="150"/>
        <v>1136.0547428032091</v>
      </c>
      <c r="BG1490" s="776"/>
      <c r="BH1490" s="913"/>
      <c r="BI1490" s="776"/>
    </row>
    <row r="1491" spans="1:61" s="64" customFormat="1" x14ac:dyDescent="0.25">
      <c r="A1491" s="1393" t="str">
        <f t="shared" si="148"/>
        <v>353300_2019_12_Heating Res</v>
      </c>
      <c r="B1491" s="157"/>
      <c r="C1491" s="1352" t="s">
        <v>1387</v>
      </c>
      <c r="D1491" s="1756" t="s">
        <v>740</v>
      </c>
      <c r="E1491" s="914" t="s">
        <v>1388</v>
      </c>
      <c r="F1491" s="2582">
        <f>ROUND(((K1724*K1852*(1/K1980-1/K2108)*K2748)/1000)*$K$2834,2)</f>
        <v>9558.6200000000008</v>
      </c>
      <c r="G1491" s="263" t="s">
        <v>1275</v>
      </c>
      <c r="H1491" s="202">
        <f>VLOOKUP(G1491,'CP FACTORS'!$A$3:$B$38, 2, FALSE)</f>
        <v>0</v>
      </c>
      <c r="I1491" s="1757">
        <f t="shared" si="137"/>
        <v>0</v>
      </c>
      <c r="J1491" s="141">
        <f>K2892</f>
        <v>18</v>
      </c>
      <c r="K1491" s="908">
        <f>K3062</f>
        <v>0</v>
      </c>
      <c r="L1491" s="909"/>
      <c r="M1491" s="1797"/>
      <c r="N1491" s="1794"/>
      <c r="O1491" s="1249"/>
      <c r="P1491" s="157"/>
      <c r="Q1491" s="157"/>
      <c r="R1491" s="1627"/>
      <c r="S1491" s="157"/>
      <c r="T1491" s="157"/>
      <c r="U1491" s="1798"/>
      <c r="V1491" s="2309" t="s">
        <v>20</v>
      </c>
      <c r="W1491" s="910">
        <v>12836.414910662994</v>
      </c>
      <c r="X1491" s="911">
        <v>9558.6245427336198</v>
      </c>
      <c r="Y1491" s="825">
        <v>9558.6200000000008</v>
      </c>
      <c r="Z1491" s="825">
        <v>9558.6200000000008</v>
      </c>
      <c r="AA1491" s="825">
        <v>9558.6200000000008</v>
      </c>
      <c r="AB1491" s="2582">
        <v>9558.6200000000008</v>
      </c>
      <c r="AC1491" s="910"/>
      <c r="AD1491" s="910"/>
      <c r="AE1491" s="910"/>
      <c r="AF1491" s="910"/>
      <c r="AG1491" s="910"/>
      <c r="AH1491" s="211"/>
      <c r="AK1491" s="912"/>
      <c r="BB1491" s="291"/>
      <c r="BC1491" s="914" t="str">
        <f t="shared" si="140"/>
        <v>Heating Res 18 Year EUL</v>
      </c>
      <c r="BD1491" s="752">
        <f>(INDEX('Avoided Cost Benefits'!$C$4:$C$857,MATCH(BC1491,'Avoided Cost Benefits'!$A$4:$A$857,0)))*F1491</f>
        <v>4416.2363693711231</v>
      </c>
      <c r="BE1491" s="73">
        <f t="shared" si="150"/>
        <v>0</v>
      </c>
      <c r="BG1491" s="776"/>
      <c r="BH1491" s="913"/>
      <c r="BI1491" s="776"/>
    </row>
    <row r="1492" spans="1:61" s="64" customFormat="1" x14ac:dyDescent="0.25">
      <c r="A1492" s="1393" t="str">
        <f t="shared" si="148"/>
        <v>353350_2019_12_Cooling Res</v>
      </c>
      <c r="B1492" s="157"/>
      <c r="C1492" s="1352" t="s">
        <v>1389</v>
      </c>
      <c r="D1492" s="1756" t="s">
        <v>742</v>
      </c>
      <c r="E1492" s="797" t="s">
        <v>1390</v>
      </c>
      <c r="F1492" s="2582">
        <f>ROUND(((K2237*K2365*(1/K2493-1/K2621)*K2749)/1000)*$K$2834,2)</f>
        <v>461.03</v>
      </c>
      <c r="G1492" s="263" t="s">
        <v>1273</v>
      </c>
      <c r="H1492" s="202">
        <f>VLOOKUP(G1492,'CP FACTORS'!$A$3:$B$38, 2, FALSE)</f>
        <v>9.4741810000000004E-4</v>
      </c>
      <c r="I1492" s="1757">
        <f t="shared" si="137"/>
        <v>0.43678800000000001</v>
      </c>
      <c r="J1492" s="141">
        <f>K2893</f>
        <v>18</v>
      </c>
      <c r="K1492" s="908">
        <f>K3063</f>
        <v>1203.6500000000003</v>
      </c>
      <c r="L1492" s="909">
        <f>L1725</f>
        <v>2.8</v>
      </c>
      <c r="M1492" s="1797"/>
      <c r="N1492" s="1794"/>
      <c r="O1492" s="1249"/>
      <c r="P1492" s="157"/>
      <c r="Q1492" s="157"/>
      <c r="R1492" s="1627"/>
      <c r="S1492" s="157"/>
      <c r="T1492" s="157"/>
      <c r="U1492" s="1798"/>
      <c r="V1492" s="2309" t="s">
        <v>20</v>
      </c>
      <c r="W1492" s="910">
        <v>1792.1308978328177</v>
      </c>
      <c r="X1492" s="911">
        <v>1279.4939230429013</v>
      </c>
      <c r="Y1492" s="830">
        <v>461.03</v>
      </c>
      <c r="Z1492" s="825">
        <v>461.03</v>
      </c>
      <c r="AA1492" s="825">
        <v>461.03</v>
      </c>
      <c r="AB1492" s="2582">
        <v>461.03</v>
      </c>
      <c r="AC1492" s="910"/>
      <c r="AD1492" s="910"/>
      <c r="AE1492" s="910"/>
      <c r="AF1492" s="910"/>
      <c r="AG1492" s="910"/>
      <c r="AH1492" s="211"/>
      <c r="AK1492" s="912"/>
      <c r="BB1492" s="293">
        <f>(BD1492+BD1493)/(BE1492+BE1493)</f>
        <v>3.24255952500175</v>
      </c>
      <c r="BC1492" s="797" t="str">
        <f t="shared" si="140"/>
        <v>Cooling Res 18 Year EUL</v>
      </c>
      <c r="BD1492" s="752">
        <f>(INDEX('Avoided Cost Benefits'!$C$4:$C$857,MATCH(BC1492,'Avoided Cost Benefits'!$A$4:$A$857,0)))*F1492</f>
        <v>813.16825299600339</v>
      </c>
      <c r="BE1492" s="73">
        <f t="shared" si="150"/>
        <v>1136.0547428032091</v>
      </c>
      <c r="BG1492" s="776"/>
      <c r="BH1492" s="913"/>
      <c r="BI1492" s="776"/>
    </row>
    <row r="1493" spans="1:61" s="64" customFormat="1" x14ac:dyDescent="0.25">
      <c r="A1493" s="1393" t="str">
        <f t="shared" si="148"/>
        <v>353350_2019_12_Heating Res</v>
      </c>
      <c r="B1493" s="157"/>
      <c r="C1493" s="1352" t="s">
        <v>1389</v>
      </c>
      <c r="D1493" s="1756" t="s">
        <v>742</v>
      </c>
      <c r="E1493" s="914" t="s">
        <v>1390</v>
      </c>
      <c r="F1493" s="2582">
        <f>ROUND(((K1725*K1853*(1/K1981-1/K2109)*K2749)/1000)*$K$2834,2)</f>
        <v>6213.11</v>
      </c>
      <c r="G1493" s="263" t="s">
        <v>1275</v>
      </c>
      <c r="H1493" s="202">
        <f>VLOOKUP(G1493,'CP FACTORS'!$A$3:$B$38, 2, FALSE)</f>
        <v>0</v>
      </c>
      <c r="I1493" s="1757">
        <f t="shared" si="137"/>
        <v>0</v>
      </c>
      <c r="J1493" s="141">
        <f>K2894</f>
        <v>18</v>
      </c>
      <c r="K1493" s="908">
        <f>K3064</f>
        <v>0</v>
      </c>
      <c r="L1493" s="909"/>
      <c r="M1493" s="1797"/>
      <c r="N1493" s="1794"/>
      <c r="O1493" s="1249"/>
      <c r="P1493" s="157"/>
      <c r="Q1493" s="157"/>
      <c r="R1493" s="1627"/>
      <c r="S1493" s="157"/>
      <c r="T1493" s="157"/>
      <c r="U1493" s="1798"/>
      <c r="V1493" s="2309" t="s">
        <v>20</v>
      </c>
      <c r="W1493" s="910">
        <v>8343.6696919309452</v>
      </c>
      <c r="X1493" s="911">
        <v>6213.105952776853</v>
      </c>
      <c r="Y1493" s="825">
        <v>6213.11</v>
      </c>
      <c r="Z1493" s="825">
        <v>6213.11</v>
      </c>
      <c r="AA1493" s="825">
        <v>6213.11</v>
      </c>
      <c r="AB1493" s="2582">
        <v>6213.11</v>
      </c>
      <c r="AC1493" s="910"/>
      <c r="AD1493" s="910"/>
      <c r="AE1493" s="910"/>
      <c r="AF1493" s="910"/>
      <c r="AG1493" s="910"/>
      <c r="AH1493" s="211"/>
      <c r="AK1493" s="912"/>
      <c r="BB1493" s="291"/>
      <c r="BC1493" s="914" t="str">
        <f t="shared" si="140"/>
        <v>Heating Res 18 Year EUL</v>
      </c>
      <c r="BD1493" s="752">
        <f>(INDEX('Avoided Cost Benefits'!$C$4:$C$857,MATCH(BC1493,'Avoided Cost Benefits'!$A$4:$A$857,0)))*F1493</f>
        <v>2870.5568742039554</v>
      </c>
      <c r="BE1493" s="73">
        <f t="shared" si="150"/>
        <v>0</v>
      </c>
      <c r="BG1493" s="776"/>
      <c r="BH1493" s="913"/>
      <c r="BI1493" s="776"/>
    </row>
    <row r="1494" spans="1:61" s="64" customFormat="1" x14ac:dyDescent="0.25">
      <c r="A1494" s="1393" t="str">
        <f t="shared" si="148"/>
        <v>353351_2019_12_Cooling Res</v>
      </c>
      <c r="B1494" s="157"/>
      <c r="C1494" s="1352" t="s">
        <v>1391</v>
      </c>
      <c r="D1494" s="1756" t="s">
        <v>737</v>
      </c>
      <c r="E1494" s="742" t="str">
        <f>CONCATENATE(E1492,"_CompE")</f>
        <v>ASHP - SEER 19 - replace electric furnace / CAC MF_CompE</v>
      </c>
      <c r="F1494" s="2582">
        <f>ROUND((($K$2238*$K$2366*(1/$K$2494-1/$K$2622)*$K$2750)/1000)*$K$2834,2)</f>
        <v>335.29</v>
      </c>
      <c r="G1494" s="263" t="str">
        <f>G1492</f>
        <v>Cooling Res</v>
      </c>
      <c r="H1494" s="202">
        <f t="shared" ref="H1494:K1495" si="154">H1492</f>
        <v>9.4741810000000004E-4</v>
      </c>
      <c r="I1494" s="1801">
        <f t="shared" si="137"/>
        <v>0.31766</v>
      </c>
      <c r="J1494" s="141">
        <f t="shared" si="154"/>
        <v>18</v>
      </c>
      <c r="K1494" s="908">
        <f t="shared" si="154"/>
        <v>1203.6500000000003</v>
      </c>
      <c r="L1494" s="909">
        <f>L1492</f>
        <v>2.8</v>
      </c>
      <c r="M1494" s="1797"/>
      <c r="N1494" s="1794"/>
      <c r="O1494" s="1249"/>
      <c r="P1494" s="157"/>
      <c r="Q1494" s="157"/>
      <c r="R1494" s="1627"/>
      <c r="S1494" s="157"/>
      <c r="T1494" s="157"/>
      <c r="U1494" s="1798"/>
      <c r="V1494" s="2309" t="s">
        <v>20</v>
      </c>
      <c r="W1494" s="910"/>
      <c r="X1494" s="911"/>
      <c r="Y1494" s="830">
        <v>335.29</v>
      </c>
      <c r="Z1494" s="825">
        <v>335.29</v>
      </c>
      <c r="AA1494" s="825">
        <v>335.29</v>
      </c>
      <c r="AB1494" s="2582">
        <v>335.29</v>
      </c>
      <c r="AC1494" s="910"/>
      <c r="AD1494" s="910"/>
      <c r="AE1494" s="910"/>
      <c r="AF1494" s="910"/>
      <c r="AG1494" s="910"/>
      <c r="AH1494" s="211"/>
      <c r="AK1494" s="912"/>
      <c r="BB1494" s="293">
        <f>(BD1494+BD1495)/(BE1494+BE1495)</f>
        <v>1.3819610322673985</v>
      </c>
      <c r="BC1494" s="797" t="str">
        <f t="shared" si="140"/>
        <v>Cooling Res 18 Year EUL</v>
      </c>
      <c r="BD1494" s="752">
        <f>(INDEX('Avoided Cost Benefits'!$C$4:$C$857,MATCH(BC1494,'Avoided Cost Benefits'!$A$4:$A$857,0)))*F1494</f>
        <v>591.38707578038304</v>
      </c>
      <c r="BE1494" s="73">
        <f t="shared" si="150"/>
        <v>1136.0547428032091</v>
      </c>
      <c r="BG1494" s="776"/>
      <c r="BH1494" s="916"/>
      <c r="BI1494" s="776"/>
    </row>
    <row r="1495" spans="1:61" s="64" customFormat="1" x14ac:dyDescent="0.25">
      <c r="A1495" s="1393" t="str">
        <f t="shared" si="148"/>
        <v>353351_2019_12_Heating Res</v>
      </c>
      <c r="B1495" s="157"/>
      <c r="C1495" s="1352" t="str">
        <f>C1494</f>
        <v>353351_2019_12_</v>
      </c>
      <c r="D1495" s="1756" t="s">
        <v>737</v>
      </c>
      <c r="E1495" s="750" t="str">
        <f>CONCATENATE(E1493,"_CompE")</f>
        <v>ASHP - SEER 19 - replace electric furnace / CAC MF_CompE</v>
      </c>
      <c r="F1495" s="2582">
        <f>ROUND((($K$1726*$K$1854*(1/$K$1982-1/$K$2110)*$K$2750)/1000)*$K$2834,2)</f>
        <v>2118.1</v>
      </c>
      <c r="G1495" s="263" t="str">
        <f>G1493</f>
        <v>Heating Res</v>
      </c>
      <c r="H1495" s="202">
        <f t="shared" si="154"/>
        <v>0</v>
      </c>
      <c r="I1495" s="1801">
        <f t="shared" si="137"/>
        <v>0</v>
      </c>
      <c r="J1495" s="141">
        <f t="shared" si="154"/>
        <v>18</v>
      </c>
      <c r="K1495" s="908">
        <f t="shared" si="154"/>
        <v>0</v>
      </c>
      <c r="L1495" s="909"/>
      <c r="M1495" s="1797"/>
      <c r="N1495" s="1794"/>
      <c r="O1495" s="1249"/>
      <c r="P1495" s="157"/>
      <c r="Q1495" s="157"/>
      <c r="R1495" s="1627"/>
      <c r="S1495" s="157"/>
      <c r="T1495" s="157"/>
      <c r="U1495" s="1798"/>
      <c r="V1495" s="2309" t="s">
        <v>20</v>
      </c>
      <c r="W1495" s="910"/>
      <c r="X1495" s="911"/>
      <c r="Y1495" s="830">
        <v>2118.1</v>
      </c>
      <c r="Z1495" s="825">
        <v>2118.1</v>
      </c>
      <c r="AA1495" s="825">
        <v>2118.1</v>
      </c>
      <c r="AB1495" s="2582">
        <v>2118.1</v>
      </c>
      <c r="AC1495" s="910"/>
      <c r="AD1495" s="910"/>
      <c r="AE1495" s="910"/>
      <c r="AF1495" s="910"/>
      <c r="AG1495" s="910"/>
      <c r="AH1495" s="211"/>
      <c r="AK1495" s="912"/>
      <c r="BB1495" s="291"/>
      <c r="BC1495" s="914" t="str">
        <f t="shared" si="140"/>
        <v>Heating Res 18 Year EUL</v>
      </c>
      <c r="BD1495" s="752">
        <f>(INDEX('Avoided Cost Benefits'!$C$4:$C$857,MATCH(BC1495,'Avoided Cost Benefits'!$A$4:$A$857,0)))*F1495</f>
        <v>978.59630929621369</v>
      </c>
      <c r="BE1495" s="73">
        <f t="shared" si="150"/>
        <v>0</v>
      </c>
      <c r="BG1495" s="776"/>
      <c r="BH1495" s="916"/>
      <c r="BI1495" s="776"/>
    </row>
    <row r="1496" spans="1:61" s="64" customFormat="1" x14ac:dyDescent="0.25">
      <c r="A1496" s="1393" t="str">
        <f t="shared" si="148"/>
        <v>353400_2019_12_Cooling Res</v>
      </c>
      <c r="B1496" s="157"/>
      <c r="C1496" s="1352" t="s">
        <v>1392</v>
      </c>
      <c r="D1496" s="1756" t="s">
        <v>740</v>
      </c>
      <c r="E1496" s="742" t="s">
        <v>1393</v>
      </c>
      <c r="F1496" s="2582">
        <f>ROUND(((K2239*K2367*(1/K2495-1/K2623)*K2751)/1000)*$K$2834,2)</f>
        <v>2264.4299999999998</v>
      </c>
      <c r="G1496" s="263" t="s">
        <v>1273</v>
      </c>
      <c r="H1496" s="202">
        <f>VLOOKUP(G1496,'CP FACTORS'!$A$3:$B$38, 2, FALSE)</f>
        <v>9.4741810000000004E-4</v>
      </c>
      <c r="I1496" s="1757">
        <f t="shared" si="137"/>
        <v>2.145362</v>
      </c>
      <c r="J1496" s="141">
        <f t="shared" ref="J1496:J1503" si="155">K2895</f>
        <v>6</v>
      </c>
      <c r="K1496" s="908">
        <f t="shared" ref="K1496:K1503" si="156">K3065</f>
        <v>2185.0873864864097</v>
      </c>
      <c r="L1496" s="909">
        <f>L1727</f>
        <v>3.1</v>
      </c>
      <c r="M1496" s="1797"/>
      <c r="N1496" s="1794"/>
      <c r="O1496" s="1249"/>
      <c r="P1496" s="157"/>
      <c r="Q1496" s="157"/>
      <c r="R1496" s="1627"/>
      <c r="S1496" s="157"/>
      <c r="T1496" s="157"/>
      <c r="U1496" s="1798"/>
      <c r="V1496" s="2309" t="s">
        <v>20</v>
      </c>
      <c r="W1496" s="910">
        <v>3137.6011764705886</v>
      </c>
      <c r="X1496" s="911">
        <v>2264.428307322929</v>
      </c>
      <c r="Y1496" s="825">
        <v>2264.4299999999998</v>
      </c>
      <c r="Z1496" s="825">
        <v>2264.4299999999998</v>
      </c>
      <c r="AA1496" s="825">
        <v>2264.4299999999998</v>
      </c>
      <c r="AB1496" s="2582">
        <v>2264.4299999999998</v>
      </c>
      <c r="AC1496" s="910"/>
      <c r="AD1496" s="910"/>
      <c r="AE1496" s="910"/>
      <c r="AF1496" s="910"/>
      <c r="AG1496" s="910"/>
      <c r="AH1496" s="211"/>
      <c r="AK1496" s="912"/>
      <c r="BB1496" s="293">
        <f>(BD1496+BD1497+BD1498+BD1499)/(BE1496+BE1497+BE1498+BE1499)</f>
        <v>3.4671485585176707</v>
      </c>
      <c r="BC1496" s="742" t="str">
        <f t="shared" si="140"/>
        <v>Cooling Res 6 Year EUL</v>
      </c>
      <c r="BD1496" s="752">
        <f>(INDEX('Avoided Cost Benefits'!$C$4:$C$857,MATCH(BC1496,'Avoided Cost Benefits'!$A$4:$A$857,0)))*F1496</f>
        <v>1316.7301830749186</v>
      </c>
      <c r="BE1496" s="73">
        <f t="shared" si="150"/>
        <v>2062.3760136728733</v>
      </c>
      <c r="BG1496" s="776"/>
      <c r="BH1496" s="913"/>
      <c r="BI1496" s="776"/>
    </row>
    <row r="1497" spans="1:61" s="64" customFormat="1" x14ac:dyDescent="0.25">
      <c r="A1497" s="1393" t="str">
        <f t="shared" si="148"/>
        <v>353400_2019_12_Heating Res</v>
      </c>
      <c r="B1497" s="157"/>
      <c r="C1497" s="1352" t="s">
        <v>1392</v>
      </c>
      <c r="D1497" s="1756" t="s">
        <v>740</v>
      </c>
      <c r="E1497" s="821" t="s">
        <v>1393</v>
      </c>
      <c r="F1497" s="2582">
        <f>ROUND(((K1727*K1855*(1/K1983-1/K2111)*K2751)/1000)*$K$2834,2)</f>
        <v>10399.66</v>
      </c>
      <c r="G1497" s="263" t="s">
        <v>1275</v>
      </c>
      <c r="H1497" s="202">
        <f>VLOOKUP(G1497,'CP FACTORS'!$A$3:$B$38, 2, FALSE)</f>
        <v>0</v>
      </c>
      <c r="I1497" s="1757">
        <f t="shared" si="137"/>
        <v>0</v>
      </c>
      <c r="J1497" s="141">
        <f t="shared" si="155"/>
        <v>6</v>
      </c>
      <c r="K1497" s="908">
        <f t="shared" si="156"/>
        <v>0</v>
      </c>
      <c r="L1497" s="909"/>
      <c r="M1497" s="1797"/>
      <c r="N1497" s="1794"/>
      <c r="O1497" s="1249"/>
      <c r="P1497" s="157"/>
      <c r="Q1497" s="157"/>
      <c r="R1497" s="1627"/>
      <c r="S1497" s="157"/>
      <c r="T1497" s="157"/>
      <c r="U1497" s="1798"/>
      <c r="V1497" s="2309" t="s">
        <v>20</v>
      </c>
      <c r="W1497" s="910">
        <v>13965.852998065762</v>
      </c>
      <c r="X1497" s="911">
        <v>10399.659574468084</v>
      </c>
      <c r="Y1497" s="825">
        <v>10399.66</v>
      </c>
      <c r="Z1497" s="825">
        <v>10399.66</v>
      </c>
      <c r="AA1497" s="825">
        <v>10399.66</v>
      </c>
      <c r="AB1497" s="2582">
        <v>10399.66</v>
      </c>
      <c r="AC1497" s="910"/>
      <c r="AD1497" s="910"/>
      <c r="AE1497" s="910"/>
      <c r="AF1497" s="910"/>
      <c r="AG1497" s="910"/>
      <c r="AH1497" s="211"/>
      <c r="AK1497" s="912"/>
      <c r="BB1497" s="822"/>
      <c r="BC1497" s="821" t="str">
        <f t="shared" si="140"/>
        <v>Heating Res 6 Year EUL</v>
      </c>
      <c r="BD1497" s="752">
        <f>(INDEX('Avoided Cost Benefits'!$C$4:$C$857,MATCH(BC1497,'Avoided Cost Benefits'!$A$4:$A$857,0)))*F1497</f>
        <v>1729.8118904813734</v>
      </c>
      <c r="BE1497" s="73">
        <f t="shared" si="150"/>
        <v>0</v>
      </c>
      <c r="BG1497" s="776"/>
      <c r="BH1497" s="913"/>
      <c r="BI1497" s="776"/>
    </row>
    <row r="1498" spans="1:61" s="64" customFormat="1" x14ac:dyDescent="0.25">
      <c r="A1498" s="1393" t="str">
        <f t="shared" si="148"/>
        <v>353400_2019_12_Cooling Res ER2</v>
      </c>
      <c r="B1498" s="157"/>
      <c r="C1498" s="1352" t="s">
        <v>1392</v>
      </c>
      <c r="D1498" s="1756" t="s">
        <v>740</v>
      </c>
      <c r="E1498" s="821" t="s">
        <v>1394</v>
      </c>
      <c r="F1498" s="2582">
        <f>ROUND(((K2240*K2368*(1/K2496-1/K2624)*K2752)/1000)*$K$2834,2)</f>
        <v>870.34</v>
      </c>
      <c r="G1498" s="1787" t="s">
        <v>1314</v>
      </c>
      <c r="H1498" s="202">
        <f>VLOOKUP(G1498,'CP FACTORS'!$A$3:$B$38, 2, FALSE)</f>
        <v>9.4741810000000004E-4</v>
      </c>
      <c r="I1498" s="1757">
        <f t="shared" si="137"/>
        <v>0.82457599999999998</v>
      </c>
      <c r="J1498" s="141">
        <f t="shared" si="155"/>
        <v>12</v>
      </c>
      <c r="K1498" s="908">
        <f t="shared" si="156"/>
        <v>0</v>
      </c>
      <c r="L1498" s="909"/>
      <c r="M1498" s="1797"/>
      <c r="N1498" s="1794"/>
      <c r="O1498" s="1249"/>
      <c r="P1498" s="157"/>
      <c r="Q1498" s="157"/>
      <c r="R1498" s="1627"/>
      <c r="S1498" s="157"/>
      <c r="T1498" s="157"/>
      <c r="U1498" s="1798"/>
      <c r="V1498" s="2309" t="s">
        <v>20</v>
      </c>
      <c r="W1498" s="910">
        <v>870.33692307692309</v>
      </c>
      <c r="X1498" s="917">
        <v>870.33692307692309</v>
      </c>
      <c r="Y1498" s="825">
        <v>870.34</v>
      </c>
      <c r="Z1498" s="825">
        <v>870.34</v>
      </c>
      <c r="AA1498" s="825">
        <v>870.34</v>
      </c>
      <c r="AB1498" s="2582">
        <v>870.34</v>
      </c>
      <c r="AC1498" s="910"/>
      <c r="AD1498" s="910"/>
      <c r="AE1498" s="910"/>
      <c r="AF1498" s="910"/>
      <c r="AG1498" s="910"/>
      <c r="AH1498" s="211"/>
      <c r="AK1498" s="912"/>
      <c r="BB1498" s="822"/>
      <c r="BC1498" s="821" t="str">
        <f t="shared" si="140"/>
        <v>Cooling Res ER2 12 Year EUL</v>
      </c>
      <c r="BD1498" s="752">
        <f>(INDEX('Avoided Cost Benefits'!$C$4:$C$857,MATCH(BC1498,'Avoided Cost Benefits'!$A$4:$A$857,0)))*F1498</f>
        <v>1029.0234466058801</v>
      </c>
      <c r="BE1498" s="73">
        <f t="shared" si="150"/>
        <v>0</v>
      </c>
      <c r="BG1498" s="776"/>
      <c r="BH1498" s="913"/>
      <c r="BI1498" s="776"/>
    </row>
    <row r="1499" spans="1:61" s="64" customFormat="1" x14ac:dyDescent="0.25">
      <c r="A1499" s="1393" t="str">
        <f t="shared" si="148"/>
        <v>353400_2019_12_Heating Res ER2</v>
      </c>
      <c r="B1499" s="157"/>
      <c r="C1499" s="1352" t="s">
        <v>1392</v>
      </c>
      <c r="D1499" s="1756" t="s">
        <v>740</v>
      </c>
      <c r="E1499" s="750" t="s">
        <v>1394</v>
      </c>
      <c r="F1499" s="2582">
        <f>ROUND(((K1728*K1856*(1/K1984-1/K2112)*K2752)/1000)*$K$2834,2)</f>
        <v>10399.66</v>
      </c>
      <c r="G1499" s="1787" t="s">
        <v>1332</v>
      </c>
      <c r="H1499" s="202">
        <f>VLOOKUP(G1499,'CP FACTORS'!$A$3:$B$38, 2, FALSE)</f>
        <v>0</v>
      </c>
      <c r="I1499" s="1757">
        <f t="shared" si="137"/>
        <v>0</v>
      </c>
      <c r="J1499" s="141">
        <f t="shared" si="155"/>
        <v>12</v>
      </c>
      <c r="K1499" s="908">
        <f t="shared" si="156"/>
        <v>0</v>
      </c>
      <c r="L1499" s="909"/>
      <c r="M1499" s="1797"/>
      <c r="N1499" s="1794"/>
      <c r="O1499" s="1249"/>
      <c r="P1499" s="157"/>
      <c r="Q1499" s="157"/>
      <c r="R1499" s="1627"/>
      <c r="S1499" s="157"/>
      <c r="T1499" s="157"/>
      <c r="U1499" s="1798"/>
      <c r="V1499" s="2309" t="s">
        <v>20</v>
      </c>
      <c r="W1499" s="910">
        <v>13965.852998065762</v>
      </c>
      <c r="X1499" s="911">
        <v>10399.659574468084</v>
      </c>
      <c r="Y1499" s="825">
        <v>10399.66</v>
      </c>
      <c r="Z1499" s="825">
        <v>10399.66</v>
      </c>
      <c r="AA1499" s="825">
        <v>10399.66</v>
      </c>
      <c r="AB1499" s="2582">
        <v>10399.66</v>
      </c>
      <c r="AC1499" s="910"/>
      <c r="AD1499" s="910"/>
      <c r="AE1499" s="910"/>
      <c r="AF1499" s="910"/>
      <c r="AG1499" s="910"/>
      <c r="AH1499" s="211"/>
      <c r="AK1499" s="912"/>
      <c r="BB1499" s="822"/>
      <c r="BC1499" s="750" t="str">
        <f t="shared" si="140"/>
        <v>Heating Res ER2 12 Year EUL</v>
      </c>
      <c r="BD1499" s="752">
        <f>(INDEX('Avoided Cost Benefits'!$C$4:$C$857,MATCH(BC1499,'Avoided Cost Benefits'!$A$4:$A$857,0)))*F1499</f>
        <v>3074.9985027651505</v>
      </c>
      <c r="BE1499" s="73">
        <f t="shared" si="150"/>
        <v>0</v>
      </c>
      <c r="BG1499" s="776"/>
      <c r="BH1499" s="913"/>
      <c r="BI1499" s="776"/>
    </row>
    <row r="1500" spans="1:61" s="64" customFormat="1" x14ac:dyDescent="0.25">
      <c r="A1500" s="1393" t="str">
        <f t="shared" si="148"/>
        <v>353450_2019_12_Cooling Res</v>
      </c>
      <c r="B1500" s="157"/>
      <c r="C1500" s="1352" t="s">
        <v>1395</v>
      </c>
      <c r="D1500" s="1756" t="s">
        <v>740</v>
      </c>
      <c r="E1500" s="797" t="s">
        <v>1396</v>
      </c>
      <c r="F1500" s="2582">
        <f>ROUND(((K2241*K2369*(1/K2497-1/K2625)*K2753)/1000)*$K$2834,2)</f>
        <v>898.41</v>
      </c>
      <c r="G1500" s="263" t="s">
        <v>1273</v>
      </c>
      <c r="H1500" s="202">
        <f>VLOOKUP(G1500,'CP FACTORS'!$A$3:$B$38, 2, FALSE)</f>
        <v>9.4741810000000004E-4</v>
      </c>
      <c r="I1500" s="1757">
        <f t="shared" ref="I1500:I1585" si="157">ROUND(F1500*H1500,6)</f>
        <v>0.85116999999999998</v>
      </c>
      <c r="J1500" s="141">
        <f t="shared" si="155"/>
        <v>18</v>
      </c>
      <c r="K1500" s="908">
        <f t="shared" si="156"/>
        <v>1444.3799999999994</v>
      </c>
      <c r="L1500" s="909">
        <f>L1729</f>
        <v>3.2</v>
      </c>
      <c r="M1500" s="1797"/>
      <c r="N1500" s="1794"/>
      <c r="O1500" s="1249"/>
      <c r="P1500" s="157"/>
      <c r="Q1500" s="157"/>
      <c r="R1500" s="1627"/>
      <c r="S1500" s="157"/>
      <c r="T1500" s="157"/>
      <c r="U1500" s="1798"/>
      <c r="V1500" s="2309" t="s">
        <v>20</v>
      </c>
      <c r="W1500" s="910">
        <v>898.41230769230776</v>
      </c>
      <c r="X1500" s="917">
        <v>898.41230769230776</v>
      </c>
      <c r="Y1500" s="825">
        <v>898.41</v>
      </c>
      <c r="Z1500" s="825">
        <v>898.41</v>
      </c>
      <c r="AA1500" s="825">
        <v>898.41</v>
      </c>
      <c r="AB1500" s="2582">
        <v>898.41</v>
      </c>
      <c r="AC1500" s="910"/>
      <c r="AD1500" s="910"/>
      <c r="AE1500" s="910"/>
      <c r="AF1500" s="910"/>
      <c r="AG1500" s="910"/>
      <c r="AH1500" s="211"/>
      <c r="AK1500" s="912"/>
      <c r="BB1500" s="293">
        <f>(BD1500+BD1501)/(BE1500+BE1501)</f>
        <v>4.8646064342312112</v>
      </c>
      <c r="BC1500" s="797" t="str">
        <f t="shared" ref="BC1500:BC1585" si="158">CONCATENATE(G1500," ",J1500," Year EUL")</f>
        <v>Cooling Res 18 Year EUL</v>
      </c>
      <c r="BD1500" s="752">
        <f>(INDEX('Avoided Cost Benefits'!$C$4:$C$857,MATCH(BC1500,'Avoided Cost Benefits'!$A$4:$A$857,0)))*F1500</f>
        <v>1584.6224544479524</v>
      </c>
      <c r="BE1500" s="73">
        <f t="shared" si="150"/>
        <v>1363.2656913638502</v>
      </c>
      <c r="BG1500" s="776"/>
      <c r="BH1500" s="913"/>
      <c r="BI1500" s="776"/>
    </row>
    <row r="1501" spans="1:61" s="64" customFormat="1" x14ac:dyDescent="0.25">
      <c r="A1501" s="1393" t="str">
        <f t="shared" si="148"/>
        <v>353450_2019_12_Heating Res</v>
      </c>
      <c r="B1501" s="157"/>
      <c r="C1501" s="1352" t="s">
        <v>1395</v>
      </c>
      <c r="D1501" s="1756" t="s">
        <v>740</v>
      </c>
      <c r="E1501" s="914" t="s">
        <v>1396</v>
      </c>
      <c r="F1501" s="2582">
        <f>ROUND(((K1729*K1857*(1/K1985-1/K2113)*K2753)/1000)*$K$2834,2)</f>
        <v>10924.14</v>
      </c>
      <c r="G1501" s="263" t="s">
        <v>1275</v>
      </c>
      <c r="H1501" s="202">
        <f>VLOOKUP(G1501,'CP FACTORS'!$A$3:$B$38, 2, FALSE)</f>
        <v>0</v>
      </c>
      <c r="I1501" s="1757">
        <f t="shared" si="157"/>
        <v>0</v>
      </c>
      <c r="J1501" s="141">
        <f t="shared" si="155"/>
        <v>18</v>
      </c>
      <c r="K1501" s="908">
        <f t="shared" si="156"/>
        <v>0</v>
      </c>
      <c r="L1501" s="909"/>
      <c r="M1501" s="1797"/>
      <c r="N1501" s="1794"/>
      <c r="O1501" s="1249"/>
      <c r="P1501" s="157"/>
      <c r="Q1501" s="157"/>
      <c r="R1501" s="1627"/>
      <c r="S1501" s="157"/>
      <c r="T1501" s="157"/>
      <c r="U1501" s="1798"/>
      <c r="V1501" s="2309" t="s">
        <v>20</v>
      </c>
      <c r="W1501" s="910">
        <v>14670.188469329136</v>
      </c>
      <c r="X1501" s="911">
        <v>10924.142334552707</v>
      </c>
      <c r="Y1501" s="825">
        <v>10924.14</v>
      </c>
      <c r="Z1501" s="825">
        <v>10924.14</v>
      </c>
      <c r="AA1501" s="825">
        <v>10924.14</v>
      </c>
      <c r="AB1501" s="2582">
        <v>10924.14</v>
      </c>
      <c r="AC1501" s="910"/>
      <c r="AD1501" s="910"/>
      <c r="AE1501" s="910"/>
      <c r="AF1501" s="910"/>
      <c r="AG1501" s="910"/>
      <c r="AH1501" s="211"/>
      <c r="AK1501" s="912"/>
      <c r="BB1501" s="291"/>
      <c r="BC1501" s="914" t="str">
        <f t="shared" si="158"/>
        <v>Heating Res 18 Year EUL</v>
      </c>
      <c r="BD1501" s="752">
        <f>(INDEX('Avoided Cost Benefits'!$C$4:$C$857,MATCH(BC1501,'Avoided Cost Benefits'!$A$4:$A$857,0)))*F1501</f>
        <v>5047.1285993272932</v>
      </c>
      <c r="BE1501" s="73">
        <f t="shared" si="150"/>
        <v>0</v>
      </c>
      <c r="BG1501" s="776"/>
      <c r="BH1501" s="913"/>
      <c r="BI1501" s="776"/>
    </row>
    <row r="1502" spans="1:61" s="64" customFormat="1" x14ac:dyDescent="0.25">
      <c r="A1502" s="1393" t="str">
        <f t="shared" si="148"/>
        <v>353500_2019_12_Cooling Res</v>
      </c>
      <c r="B1502" s="157"/>
      <c r="C1502" s="1352" t="s">
        <v>1397</v>
      </c>
      <c r="D1502" s="1756" t="s">
        <v>742</v>
      </c>
      <c r="E1502" s="797" t="s">
        <v>1398</v>
      </c>
      <c r="F1502" s="2582">
        <f>ROUND(((K2242*K2370*(1/K2498-1/K2626)*K2754)/1000)*$K$2834,2)</f>
        <v>583.97</v>
      </c>
      <c r="G1502" s="263" t="s">
        <v>1273</v>
      </c>
      <c r="H1502" s="202">
        <f>VLOOKUP(G1502,'CP FACTORS'!$A$3:$B$38, 2, FALSE)</f>
        <v>9.4741810000000004E-4</v>
      </c>
      <c r="I1502" s="1757">
        <f t="shared" si="157"/>
        <v>0.55326399999999998</v>
      </c>
      <c r="J1502" s="141">
        <f t="shared" si="155"/>
        <v>18</v>
      </c>
      <c r="K1502" s="908">
        <f t="shared" si="156"/>
        <v>1444.3799999999994</v>
      </c>
      <c r="L1502" s="909">
        <f>L1730</f>
        <v>3.2</v>
      </c>
      <c r="M1502" s="1797"/>
      <c r="N1502" s="1794"/>
      <c r="O1502" s="1249"/>
      <c r="P1502" s="157"/>
      <c r="Q1502" s="157"/>
      <c r="R1502" s="1627"/>
      <c r="S1502" s="157"/>
      <c r="T1502" s="157"/>
      <c r="U1502" s="1798"/>
      <c r="V1502" s="2309" t="s">
        <v>20</v>
      </c>
      <c r="W1502" s="910">
        <v>583.96799999999996</v>
      </c>
      <c r="X1502" s="917">
        <v>583.96799999999996</v>
      </c>
      <c r="Y1502" s="825">
        <v>583.97</v>
      </c>
      <c r="Z1502" s="825">
        <v>583.97</v>
      </c>
      <c r="AA1502" s="825">
        <v>583.97</v>
      </c>
      <c r="AB1502" s="2582">
        <v>583.97</v>
      </c>
      <c r="AC1502" s="910"/>
      <c r="AD1502" s="910"/>
      <c r="AE1502" s="910"/>
      <c r="AF1502" s="910"/>
      <c r="AG1502" s="910"/>
      <c r="AH1502" s="211"/>
      <c r="AK1502" s="912"/>
      <c r="BB1502" s="293">
        <f>(BD1502+BD1503)/(BE1502+BE1503)</f>
        <v>3.1619983716836453</v>
      </c>
      <c r="BC1502" s="797" t="str">
        <f t="shared" si="158"/>
        <v>Cooling Res 18 Year EUL</v>
      </c>
      <c r="BD1502" s="752">
        <f>(INDEX('Avoided Cost Benefits'!$C$4:$C$857,MATCH(BC1502,'Avoided Cost Benefits'!$A$4:$A$857,0)))*F1502</f>
        <v>1030.0107687180362</v>
      </c>
      <c r="BE1502" s="73">
        <f t="shared" si="150"/>
        <v>1363.2656913638502</v>
      </c>
      <c r="BG1502" s="776"/>
      <c r="BH1502" s="913"/>
      <c r="BI1502" s="776"/>
    </row>
    <row r="1503" spans="1:61" s="64" customFormat="1" x14ac:dyDescent="0.25">
      <c r="A1503" s="1393" t="str">
        <f t="shared" si="148"/>
        <v>353500_2019_12_Heating Res</v>
      </c>
      <c r="B1503" s="157"/>
      <c r="C1503" s="1352" t="s">
        <v>1397</v>
      </c>
      <c r="D1503" s="1756" t="s">
        <v>742</v>
      </c>
      <c r="E1503" s="914" t="s">
        <v>1398</v>
      </c>
      <c r="F1503" s="2582">
        <f>ROUND(((K1730*K1858*(1/K1986-1/K2114)*K2754)/1000)*$K$2834,2)</f>
        <v>7100.69</v>
      </c>
      <c r="G1503" s="263" t="s">
        <v>1275</v>
      </c>
      <c r="H1503" s="202">
        <f>VLOOKUP(G1503,'CP FACTORS'!$A$3:$B$38, 2, FALSE)</f>
        <v>0</v>
      </c>
      <c r="I1503" s="1757">
        <f t="shared" si="157"/>
        <v>0</v>
      </c>
      <c r="J1503" s="141">
        <f t="shared" si="155"/>
        <v>18</v>
      </c>
      <c r="K1503" s="908">
        <f t="shared" si="156"/>
        <v>0</v>
      </c>
      <c r="L1503" s="909"/>
      <c r="M1503" s="1797"/>
      <c r="N1503" s="1794"/>
      <c r="O1503" s="1249"/>
      <c r="P1503" s="157"/>
      <c r="Q1503" s="157"/>
      <c r="R1503" s="1627"/>
      <c r="S1503" s="157"/>
      <c r="T1503" s="157"/>
      <c r="U1503" s="1798"/>
      <c r="V1503" s="2309" t="s">
        <v>20</v>
      </c>
      <c r="W1503" s="910">
        <v>9535.6225050639387</v>
      </c>
      <c r="X1503" s="911">
        <v>7100.6925174592607</v>
      </c>
      <c r="Y1503" s="825">
        <v>7100.69</v>
      </c>
      <c r="Z1503" s="825">
        <v>7100.69</v>
      </c>
      <c r="AA1503" s="825">
        <v>7100.69</v>
      </c>
      <c r="AB1503" s="2582">
        <v>7100.69</v>
      </c>
      <c r="AC1503" s="910"/>
      <c r="AD1503" s="910"/>
      <c r="AE1503" s="910"/>
      <c r="AF1503" s="910"/>
      <c r="AG1503" s="910"/>
      <c r="AH1503" s="211"/>
      <c r="AK1503" s="912"/>
      <c r="BB1503" s="291"/>
      <c r="BC1503" s="914" t="str">
        <f t="shared" si="158"/>
        <v>Heating Res 18 Year EUL</v>
      </c>
      <c r="BD1503" s="752">
        <f>(INDEX('Avoided Cost Benefits'!$C$4:$C$857,MATCH(BC1503,'Avoided Cost Benefits'!$A$4:$A$857,0)))*F1503</f>
        <v>3280.6331275466368</v>
      </c>
      <c r="BE1503" s="73">
        <f t="shared" si="150"/>
        <v>0</v>
      </c>
      <c r="BG1503" s="776"/>
      <c r="BH1503" s="913"/>
      <c r="BI1503" s="776"/>
    </row>
    <row r="1504" spans="1:61" s="64" customFormat="1" x14ac:dyDescent="0.25">
      <c r="A1504" s="1393" t="str">
        <f t="shared" si="148"/>
        <v>353501_2019_12_Cooling Res</v>
      </c>
      <c r="B1504" s="157"/>
      <c r="C1504" s="1352" t="s">
        <v>1399</v>
      </c>
      <c r="D1504" s="1756" t="s">
        <v>737</v>
      </c>
      <c r="E1504" s="742" t="str">
        <f>CONCATENATE(E1502,"_CompE")</f>
        <v>ASHP - SEER 20 - replace electric furnace / CAC MF_CompE</v>
      </c>
      <c r="F1504" s="2582">
        <f>ROUND((($K$2243*$K$2371*(1/$K$2499-1/$K$2627)*$K$2755)/1000)*$K$2834,2)</f>
        <v>424.7</v>
      </c>
      <c r="G1504" s="263" t="str">
        <f>G1502</f>
        <v>Cooling Res</v>
      </c>
      <c r="H1504" s="202">
        <f t="shared" ref="H1504:K1505" si="159">H1502</f>
        <v>9.4741810000000004E-4</v>
      </c>
      <c r="I1504" s="1801">
        <f t="shared" si="157"/>
        <v>0.402368</v>
      </c>
      <c r="J1504" s="141">
        <f t="shared" si="159"/>
        <v>18</v>
      </c>
      <c r="K1504" s="908">
        <f t="shared" si="159"/>
        <v>1444.3799999999994</v>
      </c>
      <c r="L1504" s="909">
        <f>L1502</f>
        <v>3.2</v>
      </c>
      <c r="M1504" s="1797"/>
      <c r="N1504" s="1794"/>
      <c r="O1504" s="1249"/>
      <c r="P1504" s="157"/>
      <c r="Q1504" s="157"/>
      <c r="R1504" s="1627"/>
      <c r="S1504" s="157"/>
      <c r="T1504" s="157"/>
      <c r="U1504" s="1798"/>
      <c r="V1504" s="2309" t="s">
        <v>20</v>
      </c>
      <c r="W1504" s="910"/>
      <c r="X1504" s="911"/>
      <c r="Y1504" s="830">
        <v>424.7</v>
      </c>
      <c r="Z1504" s="825">
        <v>424.7</v>
      </c>
      <c r="AA1504" s="825">
        <v>424.7</v>
      </c>
      <c r="AB1504" s="2582">
        <v>424.7</v>
      </c>
      <c r="AC1504" s="910"/>
      <c r="AD1504" s="910"/>
      <c r="AE1504" s="910"/>
      <c r="AF1504" s="910"/>
      <c r="AG1504" s="910"/>
      <c r="AH1504" s="211"/>
      <c r="AK1504" s="912"/>
      <c r="BB1504" s="293">
        <f>(BD1504+BD1505)/(BE1504+BE1505)</f>
        <v>1.3698627450752061</v>
      </c>
      <c r="BC1504" s="797" t="str">
        <f t="shared" si="158"/>
        <v>Cooling Res 18 Year EUL</v>
      </c>
      <c r="BD1504" s="752">
        <f>(INDEX('Avoided Cost Benefits'!$C$4:$C$857,MATCH(BC1504,'Avoided Cost Benefits'!$A$4:$A$857,0)))*F1504</f>
        <v>749.089120116701</v>
      </c>
      <c r="BE1504" s="73">
        <f t="shared" si="150"/>
        <v>1363.2656913638502</v>
      </c>
      <c r="BG1504" s="776"/>
      <c r="BH1504" s="916"/>
      <c r="BI1504" s="776"/>
    </row>
    <row r="1505" spans="1:61" s="64" customFormat="1" x14ac:dyDescent="0.25">
      <c r="A1505" s="1393" t="str">
        <f t="shared" si="148"/>
        <v>353501_2019_12_Heating Res</v>
      </c>
      <c r="B1505" s="157"/>
      <c r="C1505" s="1352" t="str">
        <f>C1504</f>
        <v>353501_2019_12_</v>
      </c>
      <c r="D1505" s="1756" t="s">
        <v>737</v>
      </c>
      <c r="E1505" s="750" t="str">
        <f>CONCATENATE(E1503,"_CompE")</f>
        <v>ASHP - SEER 20 - replace electric furnace / CAC MF_CompE</v>
      </c>
      <c r="F1505" s="2582">
        <f>ROUND((($K$1731*$K$1859*(1/$K$1987-1/$K$2115)*$K$2755)/1000)*$K$2834,2)</f>
        <v>2420.69</v>
      </c>
      <c r="G1505" s="263" t="str">
        <f>G1503</f>
        <v>Heating Res</v>
      </c>
      <c r="H1505" s="202">
        <f t="shared" si="159"/>
        <v>0</v>
      </c>
      <c r="I1505" s="1801">
        <f t="shared" si="157"/>
        <v>0</v>
      </c>
      <c r="J1505" s="141">
        <f t="shared" si="159"/>
        <v>18</v>
      </c>
      <c r="K1505" s="908">
        <f t="shared" si="159"/>
        <v>0</v>
      </c>
      <c r="L1505" s="909"/>
      <c r="M1505" s="1797"/>
      <c r="N1505" s="1794"/>
      <c r="O1505" s="1249"/>
      <c r="P1505" s="157"/>
      <c r="Q1505" s="157"/>
      <c r="R1505" s="1627"/>
      <c r="S1505" s="157"/>
      <c r="T1505" s="157"/>
      <c r="U1505" s="1798"/>
      <c r="V1505" s="2309" t="s">
        <v>20</v>
      </c>
      <c r="W1505" s="910"/>
      <c r="X1505" s="911"/>
      <c r="Y1505" s="830">
        <v>2420.69</v>
      </c>
      <c r="Z1505" s="825">
        <v>2420.69</v>
      </c>
      <c r="AA1505" s="825">
        <v>2420.69</v>
      </c>
      <c r="AB1505" s="2582">
        <v>2420.69</v>
      </c>
      <c r="AC1505" s="910"/>
      <c r="AD1505" s="910"/>
      <c r="AE1505" s="910"/>
      <c r="AF1505" s="910"/>
      <c r="AG1505" s="910"/>
      <c r="AH1505" s="211"/>
      <c r="AK1505" s="912"/>
      <c r="BB1505" s="291"/>
      <c r="BC1505" s="914" t="str">
        <f t="shared" si="158"/>
        <v>Heating Res 18 Year EUL</v>
      </c>
      <c r="BD1505" s="752">
        <f>(INDEX('Avoided Cost Benefits'!$C$4:$C$857,MATCH(BC1505,'Avoided Cost Benefits'!$A$4:$A$857,0)))*F1505</f>
        <v>1118.3977621218316</v>
      </c>
      <c r="BE1505" s="73">
        <f t="shared" si="150"/>
        <v>0</v>
      </c>
      <c r="BG1505" s="776"/>
      <c r="BH1505" s="916"/>
      <c r="BI1505" s="776"/>
    </row>
    <row r="1506" spans="1:61" s="64" customFormat="1" x14ac:dyDescent="0.25">
      <c r="A1506" s="1393" t="str">
        <f t="shared" si="148"/>
        <v>353550_2019_12_Cooling Res</v>
      </c>
      <c r="B1506" s="157"/>
      <c r="C1506" s="1352" t="s">
        <v>1400</v>
      </c>
      <c r="D1506" s="1756" t="s">
        <v>740</v>
      </c>
      <c r="E1506" s="742" t="s">
        <v>1401</v>
      </c>
      <c r="F1506" s="2582">
        <f>ROUND(((K2244*K2372*(1/K2500-1/K2628)*K2756)/1000)*$K$2834,2)</f>
        <v>2341.4</v>
      </c>
      <c r="G1506" s="263" t="s">
        <v>1273</v>
      </c>
      <c r="H1506" s="202">
        <f>VLOOKUP(G1506,'CP FACTORS'!$A$3:$B$38, 2, FALSE)</f>
        <v>9.4741810000000004E-4</v>
      </c>
      <c r="I1506" s="1757">
        <f t="shared" si="157"/>
        <v>2.2182849999999998</v>
      </c>
      <c r="J1506" s="141">
        <f t="shared" ref="J1506:J1513" si="160">K2903</f>
        <v>6</v>
      </c>
      <c r="K1506" s="908">
        <f t="shared" ref="K1506:K1513" si="161">K3073</f>
        <v>2430.6319864864099</v>
      </c>
      <c r="L1506" s="909">
        <f>L1732</f>
        <v>3.1</v>
      </c>
      <c r="M1506" s="1797"/>
      <c r="N1506" s="1794"/>
      <c r="O1506" s="1249"/>
      <c r="P1506" s="157"/>
      <c r="Q1506" s="157"/>
      <c r="R1506" s="1627"/>
      <c r="S1506" s="157"/>
      <c r="T1506" s="157"/>
      <c r="U1506" s="1798"/>
      <c r="V1506" s="2309" t="s">
        <v>20</v>
      </c>
      <c r="W1506" s="910">
        <v>3214.5697478991597</v>
      </c>
      <c r="X1506" s="911">
        <v>2341.3968787515005</v>
      </c>
      <c r="Y1506" s="825">
        <v>2341.4</v>
      </c>
      <c r="Z1506" s="825">
        <v>2341.4</v>
      </c>
      <c r="AA1506" s="825">
        <v>2341.4</v>
      </c>
      <c r="AB1506" s="2582">
        <v>2341.4</v>
      </c>
      <c r="AC1506" s="910"/>
      <c r="AD1506" s="910"/>
      <c r="AE1506" s="910"/>
      <c r="AF1506" s="910"/>
      <c r="AG1506" s="910"/>
      <c r="AH1506" s="211"/>
      <c r="AK1506" s="912"/>
      <c r="BB1506" s="293">
        <f>(BD1506+BD1507+BD1508+BD1509)/(BE1506+BE1507+BE1508+BE1509)</f>
        <v>3.176071342155943</v>
      </c>
      <c r="BC1506" s="742" t="str">
        <f t="shared" si="158"/>
        <v>Cooling Res 6 Year EUL</v>
      </c>
      <c r="BD1506" s="752">
        <f>(INDEX('Avoided Cost Benefits'!$C$4:$C$857,MATCH(BC1506,'Avoided Cost Benefits'!$A$4:$A$857,0)))*F1506</f>
        <v>1361.4870190960264</v>
      </c>
      <c r="BE1506" s="73">
        <f t="shared" si="150"/>
        <v>2294.1311812047284</v>
      </c>
      <c r="BG1506" s="776"/>
      <c r="BH1506" s="913"/>
      <c r="BI1506" s="776"/>
    </row>
    <row r="1507" spans="1:61" s="64" customFormat="1" x14ac:dyDescent="0.25">
      <c r="A1507" s="1393" t="str">
        <f t="shared" si="148"/>
        <v>353550_2019_12_Heating Res</v>
      </c>
      <c r="B1507" s="157"/>
      <c r="C1507" s="1352" t="s">
        <v>1400</v>
      </c>
      <c r="D1507" s="1756" t="s">
        <v>740</v>
      </c>
      <c r="E1507" s="821" t="s">
        <v>1401</v>
      </c>
      <c r="F1507" s="2582">
        <f>ROUND(((K1732*K1860*(1/K1988-1/K2116)*K2756)/1000)*$K$2834,2)</f>
        <v>10399.66</v>
      </c>
      <c r="G1507" s="263" t="s">
        <v>1275</v>
      </c>
      <c r="H1507" s="202">
        <f>VLOOKUP(G1507,'CP FACTORS'!$A$3:$B$38, 2, FALSE)</f>
        <v>0</v>
      </c>
      <c r="I1507" s="1757">
        <f t="shared" si="157"/>
        <v>0</v>
      </c>
      <c r="J1507" s="141">
        <f t="shared" si="160"/>
        <v>6</v>
      </c>
      <c r="K1507" s="908">
        <f t="shared" si="161"/>
        <v>0</v>
      </c>
      <c r="L1507" s="909"/>
      <c r="M1507" s="1797"/>
      <c r="N1507" s="1794"/>
      <c r="O1507" s="1249"/>
      <c r="P1507" s="157"/>
      <c r="Q1507" s="157"/>
      <c r="R1507" s="1627"/>
      <c r="S1507" s="157"/>
      <c r="T1507" s="157"/>
      <c r="U1507" s="1798"/>
      <c r="V1507" s="2309" t="s">
        <v>20</v>
      </c>
      <c r="W1507" s="910">
        <v>13965.852998065762</v>
      </c>
      <c r="X1507" s="911">
        <v>10399.659574468084</v>
      </c>
      <c r="Y1507" s="825">
        <v>10399.66</v>
      </c>
      <c r="Z1507" s="825">
        <v>10399.66</v>
      </c>
      <c r="AA1507" s="825">
        <v>10399.66</v>
      </c>
      <c r="AB1507" s="2582">
        <v>10399.66</v>
      </c>
      <c r="AC1507" s="910"/>
      <c r="AD1507" s="910"/>
      <c r="AE1507" s="910"/>
      <c r="AF1507" s="910"/>
      <c r="AG1507" s="910"/>
      <c r="AH1507" s="211"/>
      <c r="AK1507" s="912"/>
      <c r="BB1507" s="822"/>
      <c r="BC1507" s="821" t="str">
        <f t="shared" si="158"/>
        <v>Heating Res 6 Year EUL</v>
      </c>
      <c r="BD1507" s="752">
        <f>(INDEX('Avoided Cost Benefits'!$C$4:$C$857,MATCH(BC1507,'Avoided Cost Benefits'!$A$4:$A$857,0)))*F1507</f>
        <v>1729.8118904813734</v>
      </c>
      <c r="BE1507" s="73">
        <f t="shared" si="150"/>
        <v>0</v>
      </c>
      <c r="BG1507" s="776"/>
      <c r="BH1507" s="913"/>
      <c r="BI1507" s="776"/>
    </row>
    <row r="1508" spans="1:61" s="64" customFormat="1" x14ac:dyDescent="0.25">
      <c r="A1508" s="1393" t="str">
        <f t="shared" si="148"/>
        <v>353550_2019_12_Cooling Res ER2</v>
      </c>
      <c r="B1508" s="157"/>
      <c r="C1508" s="1352" t="s">
        <v>1400</v>
      </c>
      <c r="D1508" s="1756" t="s">
        <v>740</v>
      </c>
      <c r="E1508" s="821" t="s">
        <v>1402</v>
      </c>
      <c r="F1508" s="2582">
        <f>ROUND(((K2245*K2373*(1/K2501-1/K2629)*K2757)/1000)*$K$2834,2)</f>
        <v>947.31</v>
      </c>
      <c r="G1508" s="1787" t="s">
        <v>1314</v>
      </c>
      <c r="H1508" s="202">
        <f>VLOOKUP(G1508,'CP FACTORS'!$A$3:$B$38, 2, FALSE)</f>
        <v>9.4741810000000004E-4</v>
      </c>
      <c r="I1508" s="1757">
        <f t="shared" si="157"/>
        <v>0.89749900000000005</v>
      </c>
      <c r="J1508" s="141">
        <f t="shared" si="160"/>
        <v>12</v>
      </c>
      <c r="K1508" s="908">
        <f t="shared" si="161"/>
        <v>0</v>
      </c>
      <c r="L1508" s="909"/>
      <c r="M1508" s="1797"/>
      <c r="N1508" s="1794"/>
      <c r="O1508" s="1249"/>
      <c r="P1508" s="157"/>
      <c r="Q1508" s="157"/>
      <c r="R1508" s="1627"/>
      <c r="S1508" s="157"/>
      <c r="T1508" s="157"/>
      <c r="U1508" s="1798"/>
      <c r="V1508" s="2309" t="s">
        <v>20</v>
      </c>
      <c r="W1508" s="910">
        <v>947.30549450549472</v>
      </c>
      <c r="X1508" s="917">
        <v>947.30549450549472</v>
      </c>
      <c r="Y1508" s="825">
        <v>947.31</v>
      </c>
      <c r="Z1508" s="825">
        <v>947.31</v>
      </c>
      <c r="AA1508" s="825">
        <v>947.31</v>
      </c>
      <c r="AB1508" s="2582">
        <v>947.31</v>
      </c>
      <c r="AC1508" s="910"/>
      <c r="AD1508" s="910"/>
      <c r="AE1508" s="910"/>
      <c r="AF1508" s="910"/>
      <c r="AG1508" s="910"/>
      <c r="AH1508" s="211"/>
      <c r="AK1508" s="912"/>
      <c r="BB1508" s="822"/>
      <c r="BC1508" s="821" t="str">
        <f t="shared" si="158"/>
        <v>Cooling Res ER2 12 Year EUL</v>
      </c>
      <c r="BD1508" s="752">
        <f>(INDEX('Avoided Cost Benefits'!$C$4:$C$857,MATCH(BC1508,'Avoided Cost Benefits'!$A$4:$A$857,0)))*F1508</f>
        <v>1120.0268874281501</v>
      </c>
      <c r="BE1508" s="73">
        <f t="shared" si="150"/>
        <v>0</v>
      </c>
      <c r="BG1508" s="776"/>
      <c r="BH1508" s="913"/>
      <c r="BI1508" s="776"/>
    </row>
    <row r="1509" spans="1:61" s="64" customFormat="1" x14ac:dyDescent="0.25">
      <c r="A1509" s="1393" t="str">
        <f t="shared" si="148"/>
        <v>353550_2019_12_Heating Res ER2</v>
      </c>
      <c r="B1509" s="157"/>
      <c r="C1509" s="1352" t="s">
        <v>1400</v>
      </c>
      <c r="D1509" s="1756" t="s">
        <v>740</v>
      </c>
      <c r="E1509" s="750" t="s">
        <v>1402</v>
      </c>
      <c r="F1509" s="2582">
        <f>ROUND(((K1733*K1861*(1/K1989-1/K2117)*K2757)/1000)*$K$2834,2)</f>
        <v>10399.66</v>
      </c>
      <c r="G1509" s="1787" t="s">
        <v>1332</v>
      </c>
      <c r="H1509" s="202">
        <f>VLOOKUP(G1509,'CP FACTORS'!$A$3:$B$38, 2, FALSE)</f>
        <v>0</v>
      </c>
      <c r="I1509" s="1757">
        <f t="shared" si="157"/>
        <v>0</v>
      </c>
      <c r="J1509" s="141">
        <f t="shared" si="160"/>
        <v>12</v>
      </c>
      <c r="K1509" s="908">
        <f t="shared" si="161"/>
        <v>0</v>
      </c>
      <c r="L1509" s="909"/>
      <c r="M1509" s="1797"/>
      <c r="N1509" s="1794"/>
      <c r="O1509" s="1249"/>
      <c r="P1509" s="157"/>
      <c r="Q1509" s="157"/>
      <c r="R1509" s="1627"/>
      <c r="S1509" s="157"/>
      <c r="T1509" s="157"/>
      <c r="U1509" s="1798"/>
      <c r="V1509" s="2309" t="s">
        <v>20</v>
      </c>
      <c r="W1509" s="910">
        <v>13965.852998065762</v>
      </c>
      <c r="X1509" s="911">
        <v>10399.659574468084</v>
      </c>
      <c r="Y1509" s="825">
        <v>10399.66</v>
      </c>
      <c r="Z1509" s="825">
        <v>10399.66</v>
      </c>
      <c r="AA1509" s="825">
        <v>10399.66</v>
      </c>
      <c r="AB1509" s="2582">
        <v>10399.66</v>
      </c>
      <c r="AC1509" s="910"/>
      <c r="AD1509" s="910"/>
      <c r="AE1509" s="910"/>
      <c r="AF1509" s="910"/>
      <c r="AG1509" s="910"/>
      <c r="AH1509" s="211"/>
      <c r="AK1509" s="912"/>
      <c r="BB1509" s="822"/>
      <c r="BC1509" s="750" t="str">
        <f t="shared" si="158"/>
        <v>Heating Res ER2 12 Year EUL</v>
      </c>
      <c r="BD1509" s="752">
        <f>(INDEX('Avoided Cost Benefits'!$C$4:$C$857,MATCH(BC1509,'Avoided Cost Benefits'!$A$4:$A$857,0)))*F1509</f>
        <v>3074.9985027651505</v>
      </c>
      <c r="BE1509" s="73">
        <f t="shared" si="150"/>
        <v>0</v>
      </c>
      <c r="BG1509" s="776"/>
      <c r="BH1509" s="913"/>
      <c r="BI1509" s="776"/>
    </row>
    <row r="1510" spans="1:61" s="64" customFormat="1" x14ac:dyDescent="0.25">
      <c r="A1510" s="1393" t="str">
        <f t="shared" si="148"/>
        <v>353600_2019_12_Cooling Res</v>
      </c>
      <c r="B1510" s="157"/>
      <c r="C1510" s="1352" t="s">
        <v>1403</v>
      </c>
      <c r="D1510" s="1756" t="s">
        <v>742</v>
      </c>
      <c r="E1510" s="742" t="s">
        <v>1404</v>
      </c>
      <c r="F1510" s="2582">
        <f>ROUND(((K2246*K2374*(1/K2502-1/K2630)*K2758)/1000)*$K$2834,2)</f>
        <v>1521.91</v>
      </c>
      <c r="G1510" s="263" t="s">
        <v>1273</v>
      </c>
      <c r="H1510" s="202">
        <f>VLOOKUP(G1510,'CP FACTORS'!$A$3:$B$38, 2, FALSE)</f>
        <v>9.4741810000000004E-4</v>
      </c>
      <c r="I1510" s="1757">
        <f t="shared" si="157"/>
        <v>1.4418850000000001</v>
      </c>
      <c r="J1510" s="141">
        <f t="shared" si="160"/>
        <v>6</v>
      </c>
      <c r="K1510" s="908">
        <f t="shared" si="161"/>
        <v>2171.3844012161662</v>
      </c>
      <c r="L1510" s="909">
        <f>L1734</f>
        <v>3.1</v>
      </c>
      <c r="M1510" s="1797"/>
      <c r="N1510" s="1794"/>
      <c r="O1510" s="1249"/>
      <c r="P1510" s="157"/>
      <c r="Q1510" s="157"/>
      <c r="R1510" s="1627"/>
      <c r="S1510" s="157"/>
      <c r="T1510" s="157"/>
      <c r="U1510" s="1798"/>
      <c r="V1510" s="2309" t="s">
        <v>20</v>
      </c>
      <c r="W1510" s="910">
        <v>2089.4703361344541</v>
      </c>
      <c r="X1510" s="911">
        <v>1521.9079711884754</v>
      </c>
      <c r="Y1510" s="825">
        <v>1521.91</v>
      </c>
      <c r="Z1510" s="825">
        <v>1521.91</v>
      </c>
      <c r="AA1510" s="825">
        <v>1521.91</v>
      </c>
      <c r="AB1510" s="2582">
        <v>1521.91</v>
      </c>
      <c r="AC1510" s="910"/>
      <c r="AD1510" s="910"/>
      <c r="AE1510" s="910"/>
      <c r="AF1510" s="910"/>
      <c r="AG1510" s="910"/>
      <c r="AH1510" s="211"/>
      <c r="AK1510" s="912"/>
      <c r="BB1510" s="293">
        <f>(BD1510+BD1511+BD1512+BD1513)/(BE1510+BE1511+BE1512+BE1513)</f>
        <v>2.3109256909244333</v>
      </c>
      <c r="BC1510" s="742" t="str">
        <f t="shared" si="158"/>
        <v>Cooling Res 6 Year EUL</v>
      </c>
      <c r="BD1510" s="752">
        <f>(INDEX('Avoided Cost Benefits'!$C$4:$C$857,MATCH(BC1510,'Avoided Cost Benefits'!$A$4:$A$857,0)))*F1510</f>
        <v>884.96656241241715</v>
      </c>
      <c r="BE1510" s="73">
        <f t="shared" si="150"/>
        <v>2049.4425683965701</v>
      </c>
      <c r="BG1510" s="776"/>
      <c r="BH1510" s="913"/>
      <c r="BI1510" s="776"/>
    </row>
    <row r="1511" spans="1:61" s="64" customFormat="1" x14ac:dyDescent="0.25">
      <c r="A1511" s="1393" t="str">
        <f t="shared" si="148"/>
        <v>353600_2019_12_Heating Res</v>
      </c>
      <c r="B1511" s="157"/>
      <c r="C1511" s="1352" t="s">
        <v>1403</v>
      </c>
      <c r="D1511" s="1756" t="s">
        <v>742</v>
      </c>
      <c r="E1511" s="821" t="s">
        <v>1404</v>
      </c>
      <c r="F1511" s="2582">
        <f>ROUND(((K1734*K1862*(1/K1990-1/K2118)*K2758)/1000)*$K$2834,2)</f>
        <v>6759.78</v>
      </c>
      <c r="G1511" s="263" t="s">
        <v>1275</v>
      </c>
      <c r="H1511" s="202">
        <f>VLOOKUP(G1511,'CP FACTORS'!$A$3:$B$38, 2, FALSE)</f>
        <v>0</v>
      </c>
      <c r="I1511" s="1757">
        <f t="shared" si="157"/>
        <v>0</v>
      </c>
      <c r="J1511" s="141">
        <f t="shared" si="160"/>
        <v>6</v>
      </c>
      <c r="K1511" s="908">
        <f t="shared" si="161"/>
        <v>0</v>
      </c>
      <c r="L1511" s="909"/>
      <c r="M1511" s="1797"/>
      <c r="N1511" s="1794"/>
      <c r="O1511" s="1249"/>
      <c r="P1511" s="157"/>
      <c r="Q1511" s="157"/>
      <c r="R1511" s="1627"/>
      <c r="S1511" s="157"/>
      <c r="T1511" s="157"/>
      <c r="U1511" s="1798"/>
      <c r="V1511" s="2309" t="s">
        <v>20</v>
      </c>
      <c r="W1511" s="910">
        <v>9077.8044487427451</v>
      </c>
      <c r="X1511" s="911">
        <v>6759.7787234042544</v>
      </c>
      <c r="Y1511" s="825">
        <v>6759.78</v>
      </c>
      <c r="Z1511" s="825">
        <v>6759.78</v>
      </c>
      <c r="AA1511" s="825">
        <v>6759.78</v>
      </c>
      <c r="AB1511" s="2582">
        <v>6759.78</v>
      </c>
      <c r="AC1511" s="910"/>
      <c r="AD1511" s="910"/>
      <c r="AE1511" s="910"/>
      <c r="AF1511" s="910"/>
      <c r="AG1511" s="910"/>
      <c r="AH1511" s="211"/>
      <c r="AK1511" s="912"/>
      <c r="BB1511" s="822"/>
      <c r="BC1511" s="821" t="str">
        <f t="shared" si="158"/>
        <v>Heating Res 6 Year EUL</v>
      </c>
      <c r="BD1511" s="752">
        <f>(INDEX('Avoided Cost Benefits'!$C$4:$C$857,MATCH(BC1511,'Avoided Cost Benefits'!$A$4:$A$857,0)))*F1511</f>
        <v>1124.3778951463969</v>
      </c>
      <c r="BE1511" s="73">
        <f t="shared" si="150"/>
        <v>0</v>
      </c>
      <c r="BG1511" s="776"/>
      <c r="BH1511" s="913"/>
      <c r="BI1511" s="776"/>
    </row>
    <row r="1512" spans="1:61" s="64" customFormat="1" x14ac:dyDescent="0.25">
      <c r="A1512" s="1393" t="str">
        <f t="shared" si="148"/>
        <v>353600_2019_12_Cooling Res ER2</v>
      </c>
      <c r="B1512" s="157"/>
      <c r="C1512" s="1352" t="s">
        <v>1403</v>
      </c>
      <c r="D1512" s="1756" t="s">
        <v>742</v>
      </c>
      <c r="E1512" s="821" t="s">
        <v>1405</v>
      </c>
      <c r="F1512" s="2582">
        <f>ROUND(((K2247*K2375*(1/K2503-1/K2631)*K2759)/1000)*$K$2834,2)</f>
        <v>615.75</v>
      </c>
      <c r="G1512" s="1787" t="s">
        <v>1314</v>
      </c>
      <c r="H1512" s="202">
        <f>VLOOKUP(G1512,'CP FACTORS'!$A$3:$B$38, 2, FALSE)</f>
        <v>9.4741810000000004E-4</v>
      </c>
      <c r="I1512" s="1757">
        <f t="shared" si="157"/>
        <v>0.58337300000000003</v>
      </c>
      <c r="J1512" s="141">
        <f t="shared" si="160"/>
        <v>12</v>
      </c>
      <c r="K1512" s="908">
        <f t="shared" si="161"/>
        <v>0</v>
      </c>
      <c r="L1512" s="909"/>
      <c r="M1512" s="1797"/>
      <c r="N1512" s="1794"/>
      <c r="O1512" s="1249"/>
      <c r="P1512" s="157"/>
      <c r="Q1512" s="157"/>
      <c r="R1512" s="1627"/>
      <c r="S1512" s="157"/>
      <c r="T1512" s="157"/>
      <c r="U1512" s="1798"/>
      <c r="V1512" s="2309" t="s">
        <v>20</v>
      </c>
      <c r="W1512" s="910">
        <v>615.74857142857161</v>
      </c>
      <c r="X1512" s="917">
        <v>615.74857142857161</v>
      </c>
      <c r="Y1512" s="825">
        <v>615.75</v>
      </c>
      <c r="Z1512" s="825">
        <v>615.75</v>
      </c>
      <c r="AA1512" s="825">
        <v>615.75</v>
      </c>
      <c r="AB1512" s="2582">
        <v>615.75</v>
      </c>
      <c r="AC1512" s="910"/>
      <c r="AD1512" s="910"/>
      <c r="AE1512" s="910"/>
      <c r="AF1512" s="910"/>
      <c r="AG1512" s="910"/>
      <c r="AH1512" s="211"/>
      <c r="AK1512" s="912"/>
      <c r="BB1512" s="822"/>
      <c r="BC1512" s="821" t="str">
        <f t="shared" si="158"/>
        <v>Cooling Res ER2 12 Year EUL</v>
      </c>
      <c r="BD1512" s="752">
        <f>(INDEX('Avoided Cost Benefits'!$C$4:$C$857,MATCH(BC1512,'Avoided Cost Benefits'!$A$4:$A$857,0)))*F1512</f>
        <v>728.01570334302755</v>
      </c>
      <c r="BE1512" s="73">
        <f t="shared" si="150"/>
        <v>0</v>
      </c>
      <c r="BG1512" s="776"/>
      <c r="BH1512" s="913"/>
      <c r="BI1512" s="776"/>
    </row>
    <row r="1513" spans="1:61" s="64" customFormat="1" x14ac:dyDescent="0.25">
      <c r="A1513" s="1393" t="str">
        <f t="shared" si="148"/>
        <v>353600_2019_12_Heating Res ER2</v>
      </c>
      <c r="B1513" s="157"/>
      <c r="C1513" s="1352" t="s">
        <v>1403</v>
      </c>
      <c r="D1513" s="1756" t="s">
        <v>742</v>
      </c>
      <c r="E1513" s="750" t="s">
        <v>1405</v>
      </c>
      <c r="F1513" s="2582">
        <f>ROUND(((K1735*K1863*(1/K1991-1/K2119)*K2759)/1000)*$K$2834,2)</f>
        <v>6759.78</v>
      </c>
      <c r="G1513" s="1787" t="s">
        <v>1332</v>
      </c>
      <c r="H1513" s="202">
        <f>VLOOKUP(G1513,'CP FACTORS'!$A$3:$B$38, 2, FALSE)</f>
        <v>0</v>
      </c>
      <c r="I1513" s="1757">
        <f t="shared" si="157"/>
        <v>0</v>
      </c>
      <c r="J1513" s="141">
        <f t="shared" si="160"/>
        <v>12</v>
      </c>
      <c r="K1513" s="908">
        <f t="shared" si="161"/>
        <v>0</v>
      </c>
      <c r="L1513" s="909"/>
      <c r="M1513" s="1797"/>
      <c r="N1513" s="1794"/>
      <c r="O1513" s="1249"/>
      <c r="P1513" s="157"/>
      <c r="Q1513" s="157"/>
      <c r="R1513" s="1627"/>
      <c r="S1513" s="157"/>
      <c r="T1513" s="157"/>
      <c r="U1513" s="1798"/>
      <c r="V1513" s="2309" t="s">
        <v>20</v>
      </c>
      <c r="W1513" s="910">
        <v>9077.8044487427451</v>
      </c>
      <c r="X1513" s="911">
        <v>6759.7787234042544</v>
      </c>
      <c r="Y1513" s="825">
        <v>6759.78</v>
      </c>
      <c r="Z1513" s="825">
        <v>6759.78</v>
      </c>
      <c r="AA1513" s="825">
        <v>6759.78</v>
      </c>
      <c r="AB1513" s="2582">
        <v>6759.78</v>
      </c>
      <c r="AC1513" s="910"/>
      <c r="AD1513" s="910"/>
      <c r="AE1513" s="910"/>
      <c r="AF1513" s="910"/>
      <c r="AG1513" s="910"/>
      <c r="AH1513" s="211"/>
      <c r="AK1513" s="912"/>
      <c r="BB1513" s="822"/>
      <c r="BC1513" s="750" t="str">
        <f t="shared" si="158"/>
        <v>Heating Res ER2 12 Year EUL</v>
      </c>
      <c r="BD1513" s="752">
        <f>(INDEX('Avoided Cost Benefits'!$C$4:$C$857,MATCH(BC1513,'Avoided Cost Benefits'!$A$4:$A$857,0)))*F1513</f>
        <v>1998.7493224799473</v>
      </c>
      <c r="BE1513" s="73">
        <f t="shared" si="150"/>
        <v>0</v>
      </c>
      <c r="BG1513" s="776"/>
      <c r="BH1513" s="913"/>
      <c r="BI1513" s="776"/>
    </row>
    <row r="1514" spans="1:61" s="64" customFormat="1" x14ac:dyDescent="0.25">
      <c r="A1514" s="1393" t="str">
        <f t="shared" si="148"/>
        <v>353601_2019_12_Cooling Res</v>
      </c>
      <c r="B1514" s="157"/>
      <c r="C1514" s="1352" t="s">
        <v>1406</v>
      </c>
      <c r="D1514" s="1756" t="s">
        <v>737</v>
      </c>
      <c r="E1514" s="742" t="str">
        <f>CONCATENATE(E1510,"_CompE")</f>
        <v>ASHP - SEER 21 - replace electric furnace / CAC - early replacement MF ER1_CompE</v>
      </c>
      <c r="F1514" s="2582">
        <f>ROUND((($K$2248*$K$2376*(1/$K$2504-1/$K$2632)*$K$2760)/1000)*$K$2834,2)</f>
        <v>1106.8399999999999</v>
      </c>
      <c r="G1514" s="263" t="str">
        <f t="shared" ref="G1514:K1517" si="162">G1510</f>
        <v>Cooling Res</v>
      </c>
      <c r="H1514" s="202">
        <f t="shared" si="162"/>
        <v>9.4741810000000004E-4</v>
      </c>
      <c r="I1514" s="1801">
        <f t="shared" si="157"/>
        <v>1.04864</v>
      </c>
      <c r="J1514" s="141">
        <f>J1510</f>
        <v>6</v>
      </c>
      <c r="K1514" s="908">
        <f>K1510</f>
        <v>2171.3844012161662</v>
      </c>
      <c r="L1514" s="909">
        <f>L1510</f>
        <v>3.1</v>
      </c>
      <c r="M1514" s="1797"/>
      <c r="N1514" s="1794"/>
      <c r="O1514" s="1249"/>
      <c r="P1514" s="157"/>
      <c r="Q1514" s="157"/>
      <c r="R1514" s="1627"/>
      <c r="S1514" s="157"/>
      <c r="T1514" s="157"/>
      <c r="U1514" s="1798"/>
      <c r="V1514" s="2309" t="s">
        <v>20</v>
      </c>
      <c r="W1514" s="910"/>
      <c r="X1514" s="911"/>
      <c r="Y1514" s="830">
        <v>1106.8399999999999</v>
      </c>
      <c r="Z1514" s="825">
        <v>1106.8399999999999</v>
      </c>
      <c r="AA1514" s="825">
        <v>1106.8399999999999</v>
      </c>
      <c r="AB1514" s="2582">
        <v>1106.8399999999999</v>
      </c>
      <c r="AC1514" s="910"/>
      <c r="AD1514" s="910"/>
      <c r="AE1514" s="910"/>
      <c r="AF1514" s="910"/>
      <c r="AG1514" s="910"/>
      <c r="AH1514" s="211"/>
      <c r="AK1514" s="912"/>
      <c r="BB1514" s="293">
        <f>(BD1514+BD1515+BD1516+BD1517)/(BE1514+BE1515+BE1516+BE1517)</f>
        <v>1.09189705127851</v>
      </c>
      <c r="BC1514" s="742" t="str">
        <f t="shared" si="158"/>
        <v>Cooling Res 6 Year EUL</v>
      </c>
      <c r="BD1514" s="752">
        <f>(INDEX('Avoided Cost Benefits'!$C$4:$C$857,MATCH(BC1514,'Avoided Cost Benefits'!$A$4:$A$857,0)))*F1514</f>
        <v>643.60993090298348</v>
      </c>
      <c r="BE1514" s="73">
        <f t="shared" si="150"/>
        <v>2049.4425683965701</v>
      </c>
      <c r="BG1514" s="776"/>
      <c r="BH1514" s="916"/>
      <c r="BI1514" s="776"/>
    </row>
    <row r="1515" spans="1:61" s="64" customFormat="1" x14ac:dyDescent="0.25">
      <c r="A1515" s="1393" t="str">
        <f t="shared" si="148"/>
        <v>353601_2019_12_Heating Res</v>
      </c>
      <c r="B1515" s="157"/>
      <c r="C1515" s="1352" t="str">
        <f>C1514</f>
        <v>353601_2019_12_</v>
      </c>
      <c r="D1515" s="1756" t="s">
        <v>737</v>
      </c>
      <c r="E1515" s="821" t="str">
        <f>CONCATENATE(E1511,"_CompE")</f>
        <v>ASHP - SEER 21 - replace electric furnace / CAC - early replacement MF ER1_CompE</v>
      </c>
      <c r="F1515" s="2582">
        <f>ROUND((($K$1736*$K$1864*(1/$K$1992-1/$K$2120)*$K$2760)/1000)*$K$2834,2)</f>
        <v>2304.4699999999998</v>
      </c>
      <c r="G1515" s="263" t="str">
        <f t="shared" si="162"/>
        <v>Heating Res</v>
      </c>
      <c r="H1515" s="202">
        <f t="shared" si="162"/>
        <v>0</v>
      </c>
      <c r="I1515" s="1801">
        <f t="shared" si="157"/>
        <v>0</v>
      </c>
      <c r="J1515" s="141">
        <f t="shared" si="162"/>
        <v>6</v>
      </c>
      <c r="K1515" s="908">
        <f t="shared" si="162"/>
        <v>0</v>
      </c>
      <c r="L1515" s="909"/>
      <c r="M1515" s="1797"/>
      <c r="N1515" s="1794"/>
      <c r="O1515" s="1249"/>
      <c r="P1515" s="157"/>
      <c r="Q1515" s="157"/>
      <c r="R1515" s="1627"/>
      <c r="S1515" s="157"/>
      <c r="T1515" s="157"/>
      <c r="U1515" s="1798"/>
      <c r="V1515" s="2309" t="s">
        <v>20</v>
      </c>
      <c r="W1515" s="910"/>
      <c r="X1515" s="911"/>
      <c r="Y1515" s="830">
        <v>2304.4699999999998</v>
      </c>
      <c r="Z1515" s="825">
        <v>2304.4699999999998</v>
      </c>
      <c r="AA1515" s="825">
        <v>2304.4699999999998</v>
      </c>
      <c r="AB1515" s="2582">
        <v>2304.4699999999998</v>
      </c>
      <c r="AC1515" s="910"/>
      <c r="AD1515" s="910"/>
      <c r="AE1515" s="910"/>
      <c r="AF1515" s="910"/>
      <c r="AG1515" s="910"/>
      <c r="AH1515" s="211"/>
      <c r="AK1515" s="912"/>
      <c r="BB1515" s="822"/>
      <c r="BC1515" s="821" t="str">
        <f t="shared" si="158"/>
        <v>Heating Res 6 Year EUL</v>
      </c>
      <c r="BD1515" s="752">
        <f>(INDEX('Avoided Cost Benefits'!$C$4:$C$857,MATCH(BC1515,'Avoided Cost Benefits'!$A$4:$A$857,0)))*F1515</f>
        <v>383.31057046649704</v>
      </c>
      <c r="BE1515" s="73">
        <f t="shared" si="150"/>
        <v>0</v>
      </c>
      <c r="BG1515" s="776"/>
      <c r="BH1515" s="916"/>
      <c r="BI1515" s="776"/>
    </row>
    <row r="1516" spans="1:61" s="64" customFormat="1" x14ac:dyDescent="0.25">
      <c r="A1516" s="1393" t="str">
        <f t="shared" si="148"/>
        <v>353601_2019_12_Cooling Res ER2</v>
      </c>
      <c r="B1516" s="157"/>
      <c r="C1516" s="1352" t="str">
        <f>C1515</f>
        <v>353601_2019_12_</v>
      </c>
      <c r="D1516" s="1756" t="s">
        <v>737</v>
      </c>
      <c r="E1516" s="821" t="str">
        <f>CONCATENATE(E1512,"_CompE")</f>
        <v>ASHP - SEER 21 - replace electric furnace / CAC - early replacement MF ER2_CompE</v>
      </c>
      <c r="F1516" s="2582">
        <f>ROUND((($K$2249*$K$2377*(1/$K$2505-1/$K$2633)*$K$2761)/1000)*$K$2834,2)</f>
        <v>447.82</v>
      </c>
      <c r="G1516" s="263" t="str">
        <f t="shared" si="162"/>
        <v>Cooling Res ER2</v>
      </c>
      <c r="H1516" s="202">
        <f t="shared" si="162"/>
        <v>9.4741810000000004E-4</v>
      </c>
      <c r="I1516" s="1801">
        <f t="shared" si="157"/>
        <v>0.42427300000000001</v>
      </c>
      <c r="J1516" s="141">
        <f t="shared" si="162"/>
        <v>12</v>
      </c>
      <c r="K1516" s="908">
        <f t="shared" si="162"/>
        <v>0</v>
      </c>
      <c r="L1516" s="909"/>
      <c r="M1516" s="1797"/>
      <c r="N1516" s="1794"/>
      <c r="O1516" s="1249"/>
      <c r="P1516" s="157"/>
      <c r="Q1516" s="157"/>
      <c r="R1516" s="1627"/>
      <c r="S1516" s="157"/>
      <c r="T1516" s="157"/>
      <c r="U1516" s="1798"/>
      <c r="V1516" s="2309" t="s">
        <v>20</v>
      </c>
      <c r="W1516" s="910"/>
      <c r="X1516" s="911"/>
      <c r="Y1516" s="830">
        <v>447.82</v>
      </c>
      <c r="Z1516" s="825">
        <v>447.82</v>
      </c>
      <c r="AA1516" s="825">
        <v>447.82</v>
      </c>
      <c r="AB1516" s="2582">
        <v>447.82</v>
      </c>
      <c r="AC1516" s="910"/>
      <c r="AD1516" s="910"/>
      <c r="AE1516" s="910"/>
      <c r="AF1516" s="910"/>
      <c r="AG1516" s="910"/>
      <c r="AH1516" s="211"/>
      <c r="AK1516" s="912"/>
      <c r="BB1516" s="822"/>
      <c r="BC1516" s="821" t="str">
        <f t="shared" si="158"/>
        <v>Cooling Res ER2 12 Year EUL</v>
      </c>
      <c r="BD1516" s="752">
        <f>(INDEX('Avoided Cost Benefits'!$C$4:$C$857,MATCH(BC1516,'Avoided Cost Benefits'!$A$4:$A$857,0)))*F1516</f>
        <v>529.46811574677156</v>
      </c>
      <c r="BE1516" s="73">
        <f t="shared" si="150"/>
        <v>0</v>
      </c>
      <c r="BG1516" s="776"/>
      <c r="BH1516" s="916"/>
      <c r="BI1516" s="776"/>
    </row>
    <row r="1517" spans="1:61" s="64" customFormat="1" x14ac:dyDescent="0.25">
      <c r="A1517" s="1393" t="str">
        <f t="shared" si="148"/>
        <v>353601_2019_12_Heating Res ER2</v>
      </c>
      <c r="B1517" s="157"/>
      <c r="C1517" s="1352" t="str">
        <f>C1516</f>
        <v>353601_2019_12_</v>
      </c>
      <c r="D1517" s="1756" t="s">
        <v>737</v>
      </c>
      <c r="E1517" s="750" t="str">
        <f>CONCATENATE(E1513,"_CompE")</f>
        <v>ASHP - SEER 21 - replace electric furnace / CAC - early replacement MF ER2_CompE</v>
      </c>
      <c r="F1517" s="2582">
        <f>ROUND((($K$1737*$K$1865*(1/$K$1993-1/$K$2121)*$K$2761)/1000)*$K$2834,2)</f>
        <v>2304.4699999999998</v>
      </c>
      <c r="G1517" s="263" t="str">
        <f t="shared" si="162"/>
        <v>Heating Res ER2</v>
      </c>
      <c r="H1517" s="202">
        <f t="shared" si="162"/>
        <v>0</v>
      </c>
      <c r="I1517" s="1801">
        <f t="shared" si="157"/>
        <v>0</v>
      </c>
      <c r="J1517" s="141">
        <f t="shared" si="162"/>
        <v>12</v>
      </c>
      <c r="K1517" s="908">
        <f t="shared" si="162"/>
        <v>0</v>
      </c>
      <c r="L1517" s="909"/>
      <c r="M1517" s="1797"/>
      <c r="N1517" s="1794"/>
      <c r="O1517" s="1249"/>
      <c r="P1517" s="157"/>
      <c r="Q1517" s="157"/>
      <c r="R1517" s="1627"/>
      <c r="S1517" s="157"/>
      <c r="T1517" s="157"/>
      <c r="U1517" s="1798"/>
      <c r="V1517" s="2309" t="s">
        <v>20</v>
      </c>
      <c r="W1517" s="910"/>
      <c r="X1517" s="911"/>
      <c r="Y1517" s="830">
        <v>2304.4699999999998</v>
      </c>
      <c r="Z1517" s="825">
        <v>2304.4699999999998</v>
      </c>
      <c r="AA1517" s="825">
        <v>2304.4699999999998</v>
      </c>
      <c r="AB1517" s="2582">
        <v>2304.4699999999998</v>
      </c>
      <c r="AC1517" s="910"/>
      <c r="AD1517" s="910"/>
      <c r="AE1517" s="910"/>
      <c r="AF1517" s="910"/>
      <c r="AG1517" s="910"/>
      <c r="AH1517" s="211"/>
      <c r="AK1517" s="912"/>
      <c r="BB1517" s="822"/>
      <c r="BC1517" s="750" t="str">
        <f t="shared" si="158"/>
        <v>Heating Res ER2 12 Year EUL</v>
      </c>
      <c r="BD1517" s="752">
        <f>(INDEX('Avoided Cost Benefits'!$C$4:$C$857,MATCH(BC1517,'Avoided Cost Benefits'!$A$4:$A$857,0)))*F1517</f>
        <v>681.39168008061858</v>
      </c>
      <c r="BE1517" s="73">
        <f t="shared" si="150"/>
        <v>0</v>
      </c>
      <c r="BG1517" s="776"/>
      <c r="BH1517" s="916"/>
      <c r="BI1517" s="776"/>
    </row>
    <row r="1518" spans="1:61" s="64" customFormat="1" x14ac:dyDescent="0.25">
      <c r="A1518" s="1393" t="str">
        <f t="shared" si="148"/>
        <v>353650_2019_12_Cooling Res</v>
      </c>
      <c r="B1518" s="157"/>
      <c r="C1518" s="1352" t="s">
        <v>1407</v>
      </c>
      <c r="D1518" s="1756" t="s">
        <v>740</v>
      </c>
      <c r="E1518" s="797" t="s">
        <v>1408</v>
      </c>
      <c r="F1518" s="2582">
        <f>ROUND(((K2250*K2378*(1/K2506-1/K2634)*K2762)/1000)*$K$2834,2)</f>
        <v>977.86</v>
      </c>
      <c r="G1518" s="263" t="s">
        <v>1273</v>
      </c>
      <c r="H1518" s="202">
        <f>VLOOKUP(G1518,'CP FACTORS'!$A$3:$B$38, 2, FALSE)</f>
        <v>9.4741810000000004E-4</v>
      </c>
      <c r="I1518" s="1757">
        <f t="shared" si="157"/>
        <v>0.92644199999999999</v>
      </c>
      <c r="J1518" s="141">
        <f>K2911</f>
        <v>18</v>
      </c>
      <c r="K1518" s="908">
        <f>K3081</f>
        <v>1689.9245999999991</v>
      </c>
      <c r="L1518" s="909">
        <f>L1738</f>
        <v>3.2</v>
      </c>
      <c r="M1518" s="1797"/>
      <c r="N1518" s="1794"/>
      <c r="O1518" s="1249"/>
      <c r="P1518" s="157"/>
      <c r="Q1518" s="157"/>
      <c r="R1518" s="1627"/>
      <c r="S1518" s="157"/>
      <c r="T1518" s="157"/>
      <c r="U1518" s="1798"/>
      <c r="V1518" s="2309" t="s">
        <v>20</v>
      </c>
      <c r="W1518" s="910">
        <v>977.86373626373654</v>
      </c>
      <c r="X1518" s="917">
        <v>977.86373626373654</v>
      </c>
      <c r="Y1518" s="825">
        <v>977.86</v>
      </c>
      <c r="Z1518" s="825">
        <v>977.86</v>
      </c>
      <c r="AA1518" s="825">
        <v>977.86</v>
      </c>
      <c r="AB1518" s="2582">
        <v>977.86</v>
      </c>
      <c r="AC1518" s="910"/>
      <c r="AD1518" s="910"/>
      <c r="AE1518" s="910"/>
      <c r="AF1518" s="910"/>
      <c r="AG1518" s="910"/>
      <c r="AH1518" s="211"/>
      <c r="AK1518" s="912"/>
      <c r="BB1518" s="293">
        <f>(BD1518+BD1519)/(BE1518+BE1519)</f>
        <v>4.2456407613027976</v>
      </c>
      <c r="BC1518" s="797" t="str">
        <f t="shared" si="158"/>
        <v>Cooling Res 18 Year EUL</v>
      </c>
      <c r="BD1518" s="752">
        <f>(INDEX('Avoided Cost Benefits'!$C$4:$C$857,MATCH(BC1518,'Avoided Cost Benefits'!$A$4:$A$857,0)))*F1518</f>
        <v>1724.7569743285078</v>
      </c>
      <c r="BE1518" s="73">
        <f t="shared" si="150"/>
        <v>1595.0208588957046</v>
      </c>
      <c r="BG1518" s="776"/>
      <c r="BH1518" s="913"/>
      <c r="BI1518" s="776"/>
    </row>
    <row r="1519" spans="1:61" s="64" customFormat="1" x14ac:dyDescent="0.25">
      <c r="A1519" s="1393" t="str">
        <f t="shared" si="148"/>
        <v>353650_2019_12_Heating Res</v>
      </c>
      <c r="B1519" s="157"/>
      <c r="C1519" s="1352" t="s">
        <v>1407</v>
      </c>
      <c r="D1519" s="1756" t="s">
        <v>740</v>
      </c>
      <c r="E1519" s="914" t="s">
        <v>1408</v>
      </c>
      <c r="F1519" s="2582">
        <f>ROUND(((K1738*K1866*(1/K1994-1/K2122)*K2762)/1000)*$K$2834,2)</f>
        <v>10924.14</v>
      </c>
      <c r="G1519" s="263" t="s">
        <v>1275</v>
      </c>
      <c r="H1519" s="202">
        <f>VLOOKUP(G1519,'CP FACTORS'!$A$3:$B$38, 2, FALSE)</f>
        <v>0</v>
      </c>
      <c r="I1519" s="1757">
        <f t="shared" si="157"/>
        <v>0</v>
      </c>
      <c r="J1519" s="141">
        <f>K2912</f>
        <v>18</v>
      </c>
      <c r="K1519" s="908">
        <f>K3082</f>
        <v>0</v>
      </c>
      <c r="L1519" s="909"/>
      <c r="M1519" s="1797"/>
      <c r="N1519" s="1794"/>
      <c r="O1519" s="1249"/>
      <c r="P1519" s="157"/>
      <c r="Q1519" s="157"/>
      <c r="R1519" s="1627"/>
      <c r="S1519" s="157"/>
      <c r="T1519" s="157"/>
      <c r="U1519" s="1798"/>
      <c r="V1519" s="2309" t="s">
        <v>20</v>
      </c>
      <c r="W1519" s="910">
        <v>14670.188469329136</v>
      </c>
      <c r="X1519" s="911">
        <v>10924.142334552707</v>
      </c>
      <c r="Y1519" s="825">
        <v>10924.14</v>
      </c>
      <c r="Z1519" s="825">
        <v>10924.14</v>
      </c>
      <c r="AA1519" s="825">
        <v>10924.14</v>
      </c>
      <c r="AB1519" s="2582">
        <v>10924.14</v>
      </c>
      <c r="AC1519" s="910"/>
      <c r="AD1519" s="910"/>
      <c r="AE1519" s="910"/>
      <c r="AF1519" s="910"/>
      <c r="AG1519" s="910"/>
      <c r="AH1519" s="211"/>
      <c r="AK1519" s="912"/>
      <c r="BB1519" s="291"/>
      <c r="BC1519" s="914" t="str">
        <f t="shared" si="158"/>
        <v>Heating Res 18 Year EUL</v>
      </c>
      <c r="BD1519" s="752">
        <f>(INDEX('Avoided Cost Benefits'!$C$4:$C$857,MATCH(BC1519,'Avoided Cost Benefits'!$A$4:$A$857,0)))*F1519</f>
        <v>5047.1285993272932</v>
      </c>
      <c r="BE1519" s="73">
        <f t="shared" si="150"/>
        <v>0</v>
      </c>
      <c r="BG1519" s="776"/>
      <c r="BH1519" s="913"/>
      <c r="BI1519" s="776"/>
    </row>
    <row r="1520" spans="1:61" s="64" customFormat="1" x14ac:dyDescent="0.25">
      <c r="A1520" s="1393" t="str">
        <f t="shared" si="148"/>
        <v>353700_2019_12_Cooling Res</v>
      </c>
      <c r="B1520" s="157"/>
      <c r="C1520" s="1352" t="s">
        <v>1409</v>
      </c>
      <c r="D1520" s="1756" t="s">
        <v>740</v>
      </c>
      <c r="E1520" s="797" t="s">
        <v>3226</v>
      </c>
      <c r="F1520" s="2582">
        <f>ROUND(((K2251*K2379*(1/K2507-1/K2635)*K2763)/1000)*$K$2834,2)</f>
        <v>635.61</v>
      </c>
      <c r="G1520" s="263" t="s">
        <v>1273</v>
      </c>
      <c r="H1520" s="202">
        <f>VLOOKUP(G1520,'CP FACTORS'!$A$3:$B$38, 2, FALSE)</f>
        <v>9.4741810000000004E-4</v>
      </c>
      <c r="I1520" s="1757">
        <f t="shared" si="157"/>
        <v>0.60218799999999995</v>
      </c>
      <c r="J1520" s="141">
        <f>K2913</f>
        <v>18</v>
      </c>
      <c r="K1520" s="908">
        <f>K3083</f>
        <v>1689.9245999999991</v>
      </c>
      <c r="L1520" s="909">
        <f>L1739</f>
        <v>3.2</v>
      </c>
      <c r="M1520" s="1797"/>
      <c r="N1520" s="1794"/>
      <c r="O1520" s="1249"/>
      <c r="P1520" s="157"/>
      <c r="Q1520" s="157"/>
      <c r="R1520" s="1627"/>
      <c r="S1520" s="157"/>
      <c r="T1520" s="157"/>
      <c r="U1520" s="1798"/>
      <c r="V1520" s="2309" t="s">
        <v>20</v>
      </c>
      <c r="W1520" s="910">
        <v>635.61142857142875</v>
      </c>
      <c r="X1520" s="917">
        <v>635.61142857142875</v>
      </c>
      <c r="Y1520" s="825">
        <v>635.61</v>
      </c>
      <c r="Z1520" s="825">
        <v>635.61</v>
      </c>
      <c r="AA1520" s="825">
        <v>635.61</v>
      </c>
      <c r="AB1520" s="2582">
        <v>635.61</v>
      </c>
      <c r="AC1520" s="910"/>
      <c r="AD1520" s="910"/>
      <c r="AE1520" s="910"/>
      <c r="AF1520" s="910"/>
      <c r="AG1520" s="910"/>
      <c r="AH1520" s="211"/>
      <c r="AK1520" s="912"/>
      <c r="BB1520" s="293">
        <f>(BD1520+BD1521)/(BE1520+BE1521)</f>
        <v>2.7596673110064098</v>
      </c>
      <c r="BC1520" s="797" t="str">
        <f t="shared" si="158"/>
        <v>Cooling Res 18 Year EUL</v>
      </c>
      <c r="BD1520" s="752">
        <f>(INDEX('Avoided Cost Benefits'!$C$4:$C$857,MATCH(BC1520,'Avoided Cost Benefits'!$A$4:$A$857,0)))*F1520</f>
        <v>1121.0937971212063</v>
      </c>
      <c r="BE1520" s="73">
        <f t="shared" si="150"/>
        <v>1595.0208588957046</v>
      </c>
      <c r="BG1520" s="776"/>
      <c r="BH1520" s="913"/>
      <c r="BI1520" s="776"/>
    </row>
    <row r="1521" spans="1:61" s="64" customFormat="1" x14ac:dyDescent="0.25">
      <c r="A1521" s="1393" t="str">
        <f t="shared" si="148"/>
        <v>353700_2019_12_Heating Res</v>
      </c>
      <c r="B1521" s="157"/>
      <c r="C1521" s="1352" t="s">
        <v>1409</v>
      </c>
      <c r="D1521" s="1756" t="s">
        <v>740</v>
      </c>
      <c r="E1521" s="914" t="s">
        <v>3226</v>
      </c>
      <c r="F1521" s="2582">
        <f>ROUND(((K1739*K1867*(1/K1995-1/K2123)*K2763)/1000)*$K$2834,2)</f>
        <v>7100.69</v>
      </c>
      <c r="G1521" s="263" t="s">
        <v>1275</v>
      </c>
      <c r="H1521" s="202">
        <f>VLOOKUP(G1521,'CP FACTORS'!$A$3:$B$38, 2, FALSE)</f>
        <v>0</v>
      </c>
      <c r="I1521" s="1757">
        <f t="shared" si="157"/>
        <v>0</v>
      </c>
      <c r="J1521" s="141">
        <f>K2914</f>
        <v>18</v>
      </c>
      <c r="K1521" s="908">
        <f>K3084</f>
        <v>0</v>
      </c>
      <c r="L1521" s="909"/>
      <c r="M1521" s="1797"/>
      <c r="N1521" s="1794"/>
      <c r="O1521" s="1249"/>
      <c r="P1521" s="157"/>
      <c r="Q1521" s="157"/>
      <c r="R1521" s="1627"/>
      <c r="S1521" s="157"/>
      <c r="T1521" s="157"/>
      <c r="U1521" s="1798"/>
      <c r="V1521" s="2309" t="s">
        <v>20</v>
      </c>
      <c r="W1521" s="910">
        <v>9535.6225050639387</v>
      </c>
      <c r="X1521" s="911">
        <v>7100.6925174592607</v>
      </c>
      <c r="Y1521" s="825">
        <v>7100.69</v>
      </c>
      <c r="Z1521" s="825">
        <v>7100.69</v>
      </c>
      <c r="AA1521" s="825">
        <v>7100.69</v>
      </c>
      <c r="AB1521" s="2582">
        <v>7100.69</v>
      </c>
      <c r="AC1521" s="910"/>
      <c r="AD1521" s="910"/>
      <c r="AE1521" s="910"/>
      <c r="AF1521" s="910"/>
      <c r="AG1521" s="910"/>
      <c r="AH1521" s="211"/>
      <c r="AK1521" s="912"/>
      <c r="BB1521" s="291"/>
      <c r="BC1521" s="914" t="str">
        <f t="shared" si="158"/>
        <v>Heating Res 18 Year EUL</v>
      </c>
      <c r="BD1521" s="752">
        <f>(INDEX('Avoided Cost Benefits'!$C$4:$C$857,MATCH(BC1521,'Avoided Cost Benefits'!$A$4:$A$857,0)))*F1521</f>
        <v>3280.6331275466368</v>
      </c>
      <c r="BE1521" s="73">
        <f t="shared" si="150"/>
        <v>0</v>
      </c>
      <c r="BG1521" s="776"/>
      <c r="BH1521" s="913"/>
      <c r="BI1521" s="776"/>
    </row>
    <row r="1522" spans="1:61" s="64" customFormat="1" x14ac:dyDescent="0.25">
      <c r="A1522" s="1393" t="str">
        <f t="shared" si="148"/>
        <v>353701_2019_12_Cooling Res</v>
      </c>
      <c r="B1522" s="157"/>
      <c r="C1522" s="1352" t="s">
        <v>1410</v>
      </c>
      <c r="D1522" s="1756" t="s">
        <v>737</v>
      </c>
      <c r="E1522" s="742" t="str">
        <f>CONCATENATE(E1520,"_CompE")</f>
        <v>ASHP-  SEER 21+ replace at Fail Elec Resist Furnace MF_CompE</v>
      </c>
      <c r="F1522" s="2582">
        <f>ROUND(((K2252*K2380*(1/K2508-1/K2636)*K2764)/1000)*$K$2834,2)</f>
        <v>462.26</v>
      </c>
      <c r="G1522" s="263" t="s">
        <v>1273</v>
      </c>
      <c r="H1522" s="202">
        <f>VLOOKUP(G1522,'CP FACTORS'!$A$3:$B$38, 2, FALSE)</f>
        <v>9.4741810000000004E-4</v>
      </c>
      <c r="I1522" s="1757">
        <f t="shared" si="157"/>
        <v>0.43795299999999998</v>
      </c>
      <c r="J1522" s="141">
        <f>J1520</f>
        <v>18</v>
      </c>
      <c r="K1522" s="908">
        <f>K3083</f>
        <v>1689.9245999999991</v>
      </c>
      <c r="L1522" s="909">
        <f>L1520</f>
        <v>3.2</v>
      </c>
      <c r="M1522" s="1797"/>
      <c r="N1522" s="1794"/>
      <c r="O1522" s="1249"/>
      <c r="P1522" s="157"/>
      <c r="Q1522" s="157"/>
      <c r="R1522" s="1627"/>
      <c r="S1522" s="157"/>
      <c r="T1522" s="157"/>
      <c r="U1522" s="1798"/>
      <c r="V1522" s="2309" t="s">
        <v>20</v>
      </c>
      <c r="W1522" s="910"/>
      <c r="X1522" s="911"/>
      <c r="Y1522" s="830">
        <v>462.26</v>
      </c>
      <c r="Z1522" s="825">
        <v>462.26</v>
      </c>
      <c r="AA1522" s="825">
        <v>462.26</v>
      </c>
      <c r="AB1522" s="2582">
        <v>462.26</v>
      </c>
      <c r="AC1522" s="910"/>
      <c r="AD1522" s="910"/>
      <c r="AE1522" s="910"/>
      <c r="AF1522" s="910"/>
      <c r="AG1522" s="910"/>
      <c r="AH1522" s="211"/>
      <c r="AK1522" s="912"/>
      <c r="BB1522" s="293">
        <f>(BD1522+BD1523)/(BE1522+BE1523)</f>
        <v>1.2123574985084911</v>
      </c>
      <c r="BC1522" s="797" t="str">
        <f t="shared" si="158"/>
        <v>Cooling Res 18 Year EUL</v>
      </c>
      <c r="BD1522" s="752">
        <f>(INDEX('Avoided Cost Benefits'!$C$4:$C$857,MATCH(BC1522,'Avoided Cost Benefits'!$A$4:$A$857,0)))*F1522</f>
        <v>815.33773643782956</v>
      </c>
      <c r="BE1522" s="73">
        <f t="shared" si="150"/>
        <v>1595.0208588957046</v>
      </c>
      <c r="BG1522" s="776"/>
      <c r="BH1522" s="913"/>
      <c r="BI1522" s="776"/>
    </row>
    <row r="1523" spans="1:61" s="64" customFormat="1" x14ac:dyDescent="0.25">
      <c r="A1523" s="1393" t="str">
        <f t="shared" si="148"/>
        <v>353701_2019_12_Heating Res</v>
      </c>
      <c r="B1523" s="157"/>
      <c r="C1523" s="1352" t="s">
        <v>1410</v>
      </c>
      <c r="D1523" s="1756" t="s">
        <v>737</v>
      </c>
      <c r="E1523" s="750" t="str">
        <f>CONCATENATE(E1521,"_CompE")</f>
        <v>ASHP-  SEER 21+ replace at Fail Elec Resist Furnace MF_CompE</v>
      </c>
      <c r="F1523" s="2582">
        <f>ROUND(((K1740*K1868*(1/K1996-1/K2124)*K2764)/1000)*$K$2834,2)</f>
        <v>2420.69</v>
      </c>
      <c r="G1523" s="263" t="s">
        <v>1275</v>
      </c>
      <c r="H1523" s="202">
        <f>VLOOKUP(G1523,'CP FACTORS'!$A$3:$B$38, 2, FALSE)</f>
        <v>0</v>
      </c>
      <c r="I1523" s="1757">
        <f t="shared" si="157"/>
        <v>0</v>
      </c>
      <c r="J1523" s="141">
        <f>J1521</f>
        <v>18</v>
      </c>
      <c r="K1523" s="908">
        <f>K3084</f>
        <v>0</v>
      </c>
      <c r="L1523" s="909"/>
      <c r="M1523" s="1797"/>
      <c r="N1523" s="1794"/>
      <c r="O1523" s="1249"/>
      <c r="P1523" s="157"/>
      <c r="Q1523" s="157"/>
      <c r="R1523" s="1627"/>
      <c r="S1523" s="157"/>
      <c r="T1523" s="157"/>
      <c r="U1523" s="1798"/>
      <c r="V1523" s="2309" t="s">
        <v>20</v>
      </c>
      <c r="W1523" s="910"/>
      <c r="X1523" s="911"/>
      <c r="Y1523" s="830">
        <v>2420.69</v>
      </c>
      <c r="Z1523" s="825">
        <v>2420.69</v>
      </c>
      <c r="AA1523" s="825">
        <v>2420.69</v>
      </c>
      <c r="AB1523" s="2582">
        <v>2420.69</v>
      </c>
      <c r="AC1523" s="910"/>
      <c r="AD1523" s="910"/>
      <c r="AE1523" s="910"/>
      <c r="AF1523" s="910"/>
      <c r="AG1523" s="910"/>
      <c r="AH1523" s="211"/>
      <c r="AK1523" s="912"/>
      <c r="BB1523" s="291"/>
      <c r="BC1523" s="914" t="str">
        <f t="shared" si="158"/>
        <v>Heating Res 18 Year EUL</v>
      </c>
      <c r="BD1523" s="752">
        <f>(INDEX('Avoided Cost Benefits'!$C$4:$C$857,MATCH(BC1523,'Avoided Cost Benefits'!$A$4:$A$857,0)))*F1523</f>
        <v>1118.3977621218316</v>
      </c>
      <c r="BE1523" s="73">
        <f t="shared" si="150"/>
        <v>0</v>
      </c>
      <c r="BG1523" s="776"/>
      <c r="BH1523" s="913"/>
      <c r="BI1523" s="776"/>
    </row>
    <row r="1524" spans="1:61" s="64" customFormat="1" x14ac:dyDescent="0.25">
      <c r="A1524" s="1393" t="str">
        <f t="shared" si="148"/>
        <v>353750_2019_12_Cooling Res</v>
      </c>
      <c r="B1524" s="157"/>
      <c r="C1524" s="1352" t="s">
        <v>1411</v>
      </c>
      <c r="D1524" s="1756" t="s">
        <v>740</v>
      </c>
      <c r="E1524" s="797" t="s">
        <v>1412</v>
      </c>
      <c r="F1524" s="2582">
        <f>ROUND(((K2253*K2381*(1/K2509-1/K2637)*K2765)/1000)*$K$2834,2)</f>
        <v>2106.88</v>
      </c>
      <c r="G1524" s="263" t="s">
        <v>1273</v>
      </c>
      <c r="H1524" s="202">
        <f>VLOOKUP(G1524,'CP FACTORS'!$A$3:$B$38, 2, FALSE)</f>
        <v>9.4741810000000004E-4</v>
      </c>
      <c r="I1524" s="1757">
        <f t="shared" si="157"/>
        <v>1.9960960000000001</v>
      </c>
      <c r="J1524" s="141">
        <f t="shared" ref="J1524:J1549" si="163">K2915</f>
        <v>6</v>
      </c>
      <c r="K1524" s="908">
        <f t="shared" ref="K1524:K1549" si="164">K3085</f>
        <v>1512.4949598081143</v>
      </c>
      <c r="L1524" s="909">
        <f>L1741</f>
        <v>3.3</v>
      </c>
      <c r="M1524" s="1797"/>
      <c r="N1524" s="1794"/>
      <c r="O1524" s="1249"/>
      <c r="P1524" s="157"/>
      <c r="Q1524" s="157"/>
      <c r="R1524" s="1627"/>
      <c r="S1524" s="157"/>
      <c r="T1524" s="157"/>
      <c r="U1524" s="1798"/>
      <c r="V1524" s="2309" t="s">
        <v>20</v>
      </c>
      <c r="W1524" s="910">
        <v>2755.2411764705885</v>
      </c>
      <c r="X1524" s="911">
        <v>2106.8816326530614</v>
      </c>
      <c r="Y1524" s="825">
        <v>2106.88</v>
      </c>
      <c r="Z1524" s="825">
        <v>2106.88</v>
      </c>
      <c r="AA1524" s="825">
        <v>2106.88</v>
      </c>
      <c r="AB1524" s="2582">
        <v>2106.88</v>
      </c>
      <c r="AC1524" s="910"/>
      <c r="AD1524" s="910"/>
      <c r="AE1524" s="910"/>
      <c r="AF1524" s="910"/>
      <c r="AG1524" s="910"/>
      <c r="AH1524" s="211"/>
      <c r="AK1524" s="912"/>
      <c r="BB1524" s="293">
        <f>(BD1524+BD1525+BD1526+BD1527)/(BE1524+BE1525+BE1526+BE1527)</f>
        <v>1.7446555997670108</v>
      </c>
      <c r="BC1524" s="797" t="str">
        <f t="shared" si="158"/>
        <v>Cooling Res 6 Year EUL</v>
      </c>
      <c r="BD1524" s="752">
        <f>(INDEX('Avoided Cost Benefits'!$C$4:$C$857,MATCH(BC1524,'Avoided Cost Benefits'!$A$4:$A$857,0)))*F1524</f>
        <v>1225.1173532045084</v>
      </c>
      <c r="BE1524" s="73">
        <f t="shared" si="150"/>
        <v>1427.5554127495179</v>
      </c>
      <c r="BG1524" s="776"/>
      <c r="BH1524" s="913"/>
      <c r="BI1524" s="776"/>
    </row>
    <row r="1525" spans="1:61" s="64" customFormat="1" x14ac:dyDescent="0.25">
      <c r="A1525" s="1393" t="str">
        <f t="shared" si="148"/>
        <v>353750_2019_12_Heating Res</v>
      </c>
      <c r="B1525" s="157"/>
      <c r="C1525" s="1352" t="s">
        <v>1411</v>
      </c>
      <c r="D1525" s="1756" t="s">
        <v>740</v>
      </c>
      <c r="E1525" s="821" t="s">
        <v>1412</v>
      </c>
      <c r="F1525" s="2582">
        <f>ROUND(((K1741*K1869*(1/K1997-1/K2125)*K2765)/1000)*$K$2834,2)</f>
        <v>2767.32</v>
      </c>
      <c r="G1525" s="263" t="s">
        <v>1275</v>
      </c>
      <c r="H1525" s="202">
        <f>VLOOKUP(G1525,'CP FACTORS'!$A$3:$B$38, 2, FALSE)</f>
        <v>0</v>
      </c>
      <c r="I1525" s="1757">
        <f t="shared" si="157"/>
        <v>0</v>
      </c>
      <c r="J1525" s="141">
        <f t="shared" si="163"/>
        <v>6</v>
      </c>
      <c r="K1525" s="908">
        <f t="shared" si="164"/>
        <v>0</v>
      </c>
      <c r="L1525" s="909"/>
      <c r="M1525" s="1797"/>
      <c r="N1525" s="1794"/>
      <c r="O1525" s="1249"/>
      <c r="P1525" s="157"/>
      <c r="Q1525" s="157"/>
      <c r="R1525" s="1627"/>
      <c r="S1525" s="157"/>
      <c r="T1525" s="157"/>
      <c r="U1525" s="1798"/>
      <c r="V1525" s="2309" t="s">
        <v>20</v>
      </c>
      <c r="W1525" s="910">
        <v>6249.9803405572748</v>
      </c>
      <c r="X1525" s="911">
        <v>2767.3247800351946</v>
      </c>
      <c r="Y1525" s="825">
        <v>2767.32</v>
      </c>
      <c r="Z1525" s="825">
        <v>2767.32</v>
      </c>
      <c r="AA1525" s="825">
        <v>2767.32</v>
      </c>
      <c r="AB1525" s="2582">
        <v>2767.32</v>
      </c>
      <c r="AC1525" s="910"/>
      <c r="AD1525" s="910"/>
      <c r="AE1525" s="910"/>
      <c r="AF1525" s="910"/>
      <c r="AG1525" s="910"/>
      <c r="AH1525" s="211"/>
      <c r="AK1525" s="912"/>
      <c r="BB1525" s="822"/>
      <c r="BC1525" s="821" t="str">
        <f t="shared" si="158"/>
        <v>Heating Res 6 Year EUL</v>
      </c>
      <c r="BD1525" s="752">
        <f>(INDEX('Avoided Cost Benefits'!$C$4:$C$857,MATCH(BC1525,'Avoided Cost Benefits'!$A$4:$A$857,0)))*F1525</f>
        <v>460.29803289404794</v>
      </c>
      <c r="BE1525" s="73">
        <f t="shared" si="150"/>
        <v>0</v>
      </c>
      <c r="BG1525" s="776"/>
      <c r="BH1525" s="913"/>
      <c r="BI1525" s="776"/>
    </row>
    <row r="1526" spans="1:61" s="64" customFormat="1" x14ac:dyDescent="0.25">
      <c r="A1526" s="1393" t="str">
        <f t="shared" si="148"/>
        <v>353750_2019_12_Cooling Res ER2</v>
      </c>
      <c r="B1526" s="157"/>
      <c r="C1526" s="1352" t="s">
        <v>1411</v>
      </c>
      <c r="D1526" s="1756" t="s">
        <v>740</v>
      </c>
      <c r="E1526" s="821" t="s">
        <v>1413</v>
      </c>
      <c r="F1526" s="2582">
        <f>ROUND(((K2254*K2382*(1/K2510-1/K2638)*K2766)/1000)*$K$2834,2)</f>
        <v>433.77</v>
      </c>
      <c r="G1526" s="1787" t="s">
        <v>1314</v>
      </c>
      <c r="H1526" s="202">
        <f>VLOOKUP(G1526,'CP FACTORS'!$A$3:$B$38, 2, FALSE)</f>
        <v>9.4741810000000004E-4</v>
      </c>
      <c r="I1526" s="1757">
        <f t="shared" si="157"/>
        <v>0.41096199999999999</v>
      </c>
      <c r="J1526" s="141">
        <f t="shared" si="163"/>
        <v>12</v>
      </c>
      <c r="K1526" s="908">
        <f t="shared" si="164"/>
        <v>0</v>
      </c>
      <c r="L1526" s="909"/>
      <c r="M1526" s="1797"/>
      <c r="N1526" s="1794"/>
      <c r="O1526" s="1249"/>
      <c r="P1526" s="157"/>
      <c r="Q1526" s="157"/>
      <c r="R1526" s="1627"/>
      <c r="S1526" s="157"/>
      <c r="T1526" s="157"/>
      <c r="U1526" s="1798"/>
      <c r="V1526" s="2309" t="s">
        <v>20</v>
      </c>
      <c r="W1526" s="910">
        <v>433.76974789915954</v>
      </c>
      <c r="X1526" s="917">
        <v>433.76974789915954</v>
      </c>
      <c r="Y1526" s="825">
        <v>433.77</v>
      </c>
      <c r="Z1526" s="825">
        <v>433.77</v>
      </c>
      <c r="AA1526" s="825">
        <v>433.77</v>
      </c>
      <c r="AB1526" s="2582">
        <v>433.77</v>
      </c>
      <c r="AC1526" s="910"/>
      <c r="AD1526" s="910"/>
      <c r="AE1526" s="910"/>
      <c r="AF1526" s="910"/>
      <c r="AG1526" s="910"/>
      <c r="AH1526" s="211"/>
      <c r="AK1526" s="912"/>
      <c r="BB1526" s="822"/>
      <c r="BC1526" s="821" t="str">
        <f t="shared" si="158"/>
        <v>Cooling Res ER2 12 Year EUL</v>
      </c>
      <c r="BD1526" s="752">
        <f>(INDEX('Avoided Cost Benefits'!$C$4:$C$857,MATCH(BC1526,'Avoided Cost Benefits'!$A$4:$A$857,0)))*F1526</f>
        <v>512.85647038425498</v>
      </c>
      <c r="BE1526" s="73">
        <f t="shared" si="150"/>
        <v>0</v>
      </c>
      <c r="BG1526" s="776"/>
      <c r="BH1526" s="913"/>
      <c r="BI1526" s="776"/>
    </row>
    <row r="1527" spans="1:61" s="64" customFormat="1" x14ac:dyDescent="0.25">
      <c r="A1527" s="1393" t="str">
        <f t="shared" si="148"/>
        <v>353750_2019_12_Heating Res ER2</v>
      </c>
      <c r="B1527" s="157"/>
      <c r="C1527" s="1352" t="s">
        <v>1411</v>
      </c>
      <c r="D1527" s="1756" t="s">
        <v>740</v>
      </c>
      <c r="E1527" s="750" t="s">
        <v>1413</v>
      </c>
      <c r="F1527" s="2582">
        <f>ROUND(((K1742*K1870*(1/K1998-1/K2126)*K2766)/1000)*$K$2834,2)</f>
        <v>988.63</v>
      </c>
      <c r="G1527" s="1787" t="s">
        <v>1332</v>
      </c>
      <c r="H1527" s="202">
        <f>VLOOKUP(G1527,'CP FACTORS'!$A$3:$B$38, 2, FALSE)</f>
        <v>0</v>
      </c>
      <c r="I1527" s="1757">
        <f t="shared" si="157"/>
        <v>0</v>
      </c>
      <c r="J1527" s="141">
        <f t="shared" si="163"/>
        <v>12</v>
      </c>
      <c r="K1527" s="908">
        <f t="shared" si="164"/>
        <v>0</v>
      </c>
      <c r="L1527" s="909"/>
      <c r="M1527" s="1797"/>
      <c r="N1527" s="1794"/>
      <c r="O1527" s="1249"/>
      <c r="P1527" s="157"/>
      <c r="Q1527" s="157"/>
      <c r="R1527" s="1627"/>
      <c r="S1527" s="157"/>
      <c r="T1527" s="157"/>
      <c r="U1527" s="1798"/>
      <c r="V1527" s="2309" t="s">
        <v>20</v>
      </c>
      <c r="W1527" s="910">
        <v>1327.6421052631592</v>
      </c>
      <c r="X1527" s="911">
        <v>988.62747111681745</v>
      </c>
      <c r="Y1527" s="825">
        <v>988.63</v>
      </c>
      <c r="Z1527" s="825">
        <v>988.63</v>
      </c>
      <c r="AA1527" s="825">
        <v>988.63</v>
      </c>
      <c r="AB1527" s="2582">
        <v>988.63</v>
      </c>
      <c r="AC1527" s="910"/>
      <c r="AD1527" s="910"/>
      <c r="AE1527" s="910"/>
      <c r="AF1527" s="910"/>
      <c r="AG1527" s="910"/>
      <c r="AH1527" s="211"/>
      <c r="AK1527" s="912"/>
      <c r="BB1527" s="822"/>
      <c r="BC1527" s="750" t="str">
        <f t="shared" si="158"/>
        <v>Heating Res ER2 12 Year EUL</v>
      </c>
      <c r="BD1527" s="752">
        <f>(INDEX('Avoided Cost Benefits'!$C$4:$C$857,MATCH(BC1527,'Avoided Cost Benefits'!$A$4:$A$857,0)))*F1527</f>
        <v>292.32068834834126</v>
      </c>
      <c r="BE1527" s="73">
        <f t="shared" si="150"/>
        <v>0</v>
      </c>
      <c r="BG1527" s="776"/>
      <c r="BH1527" s="913"/>
      <c r="BI1527" s="776"/>
    </row>
    <row r="1528" spans="1:61" s="64" customFormat="1" x14ac:dyDescent="0.25">
      <c r="A1528" s="1393" t="str">
        <f t="shared" si="148"/>
        <v>353800_2019_12_Cooling Res</v>
      </c>
      <c r="B1528" s="157"/>
      <c r="C1528" s="1352" t="s">
        <v>1414</v>
      </c>
      <c r="D1528" s="1756" t="s">
        <v>740</v>
      </c>
      <c r="E1528" s="797" t="s">
        <v>1415</v>
      </c>
      <c r="F1528" s="2582">
        <f>ROUND(((K2255*K2383*(1/K2511-1/K2639)*K2767)/1000)*$K$2834,2)</f>
        <v>433.77</v>
      </c>
      <c r="G1528" s="263" t="s">
        <v>1273</v>
      </c>
      <c r="H1528" s="202">
        <f>VLOOKUP(G1528,'CP FACTORS'!$A$3:$B$38, 2, FALSE)</f>
        <v>9.4741810000000004E-4</v>
      </c>
      <c r="I1528" s="1757">
        <f t="shared" si="157"/>
        <v>0.41096199999999999</v>
      </c>
      <c r="J1528" s="141">
        <f t="shared" si="163"/>
        <v>18</v>
      </c>
      <c r="K1528" s="908">
        <f t="shared" si="164"/>
        <v>724</v>
      </c>
      <c r="L1528" s="909">
        <f>L1743</f>
        <v>3.3</v>
      </c>
      <c r="M1528" s="1797"/>
      <c r="N1528" s="1794"/>
      <c r="O1528" s="1249"/>
      <c r="P1528" s="157"/>
      <c r="Q1528" s="157"/>
      <c r="R1528" s="1627"/>
      <c r="S1528" s="157"/>
      <c r="T1528" s="157"/>
      <c r="U1528" s="1798"/>
      <c r="V1528" s="2309" t="s">
        <v>20</v>
      </c>
      <c r="W1528" s="910">
        <v>433.76974789915954</v>
      </c>
      <c r="X1528" s="917">
        <v>433.76974789915954</v>
      </c>
      <c r="Y1528" s="825">
        <v>433.77</v>
      </c>
      <c r="Z1528" s="825">
        <v>433.77</v>
      </c>
      <c r="AA1528" s="825">
        <v>433.77</v>
      </c>
      <c r="AB1528" s="2582">
        <v>433.77</v>
      </c>
      <c r="AC1528" s="910"/>
      <c r="AD1528" s="910"/>
      <c r="AE1528" s="910"/>
      <c r="AF1528" s="910"/>
      <c r="AG1528" s="910"/>
      <c r="AH1528" s="211"/>
      <c r="AK1528" s="912"/>
      <c r="BB1528" s="293">
        <f>(BD1528+BD1529)/(BE1528+BE1529)</f>
        <v>1.9171156267724738</v>
      </c>
      <c r="BC1528" s="797" t="str">
        <f t="shared" si="158"/>
        <v>Cooling Res 18 Year EUL</v>
      </c>
      <c r="BD1528" s="752">
        <f>(INDEX('Avoided Cost Benefits'!$C$4:$C$857,MATCH(BC1528,'Avoided Cost Benefits'!$A$4:$A$857,0)))*F1528</f>
        <v>765.08685574057313</v>
      </c>
      <c r="BE1528" s="73">
        <f t="shared" si="150"/>
        <v>683.34119867862194</v>
      </c>
      <c r="BG1528" s="776"/>
      <c r="BH1528" s="913"/>
      <c r="BI1528" s="776"/>
    </row>
    <row r="1529" spans="1:61" s="64" customFormat="1" x14ac:dyDescent="0.25">
      <c r="A1529" s="1393" t="str">
        <f t="shared" si="148"/>
        <v>353800_2019_12_Heating Res</v>
      </c>
      <c r="B1529" s="157"/>
      <c r="C1529" s="1352" t="s">
        <v>1414</v>
      </c>
      <c r="D1529" s="1756" t="s">
        <v>740</v>
      </c>
      <c r="E1529" s="914" t="s">
        <v>1415</v>
      </c>
      <c r="F1529" s="2582">
        <f>ROUND(((K1743*K1871*(1/K1999-1/K2127)*K2767)/1000)*$K$2834,2)</f>
        <v>1179.52</v>
      </c>
      <c r="G1529" s="263" t="s">
        <v>1275</v>
      </c>
      <c r="H1529" s="202">
        <f>VLOOKUP(G1529,'CP FACTORS'!$A$3:$B$38, 2, FALSE)</f>
        <v>0</v>
      </c>
      <c r="I1529" s="1757">
        <f t="shared" si="157"/>
        <v>0</v>
      </c>
      <c r="J1529" s="141">
        <f t="shared" si="163"/>
        <v>18</v>
      </c>
      <c r="K1529" s="908">
        <f t="shared" si="164"/>
        <v>0</v>
      </c>
      <c r="L1529" s="909"/>
      <c r="M1529" s="1797"/>
      <c r="N1529" s="1794"/>
      <c r="O1529" s="1249"/>
      <c r="P1529" s="157"/>
      <c r="Q1529" s="157"/>
      <c r="R1529" s="1627"/>
      <c r="S1529" s="157"/>
      <c r="T1529" s="157"/>
      <c r="U1529" s="1798"/>
      <c r="V1529" s="2309" t="s">
        <v>20</v>
      </c>
      <c r="W1529" s="910">
        <v>1584.0000000000018</v>
      </c>
      <c r="X1529" s="911">
        <v>1179.5241413638641</v>
      </c>
      <c r="Y1529" s="825">
        <v>1179.52</v>
      </c>
      <c r="Z1529" s="825">
        <v>1179.52</v>
      </c>
      <c r="AA1529" s="825">
        <v>1179.52</v>
      </c>
      <c r="AB1529" s="2582">
        <v>1179.52</v>
      </c>
      <c r="AC1529" s="910"/>
      <c r="AD1529" s="910"/>
      <c r="AE1529" s="910"/>
      <c r="AF1529" s="910"/>
      <c r="AG1529" s="910"/>
      <c r="AH1529" s="211"/>
      <c r="AK1529" s="912"/>
      <c r="BB1529" s="291"/>
      <c r="BC1529" s="914" t="str">
        <f t="shared" si="158"/>
        <v>Heating Res 18 Year EUL</v>
      </c>
      <c r="BD1529" s="752">
        <f>(INDEX('Avoided Cost Benefits'!$C$4:$C$857,MATCH(BC1529,'Avoided Cost Benefits'!$A$4:$A$857,0)))*F1529</f>
        <v>544.95723466364666</v>
      </c>
      <c r="BE1529" s="73">
        <f t="shared" si="150"/>
        <v>0</v>
      </c>
      <c r="BG1529" s="776"/>
      <c r="BH1529" s="913"/>
      <c r="BI1529" s="776"/>
    </row>
    <row r="1530" spans="1:61" s="64" customFormat="1" x14ac:dyDescent="0.25">
      <c r="A1530" s="1393" t="str">
        <f t="shared" si="148"/>
        <v>353850_2019_12_Cooling Res</v>
      </c>
      <c r="B1530" s="157"/>
      <c r="C1530" s="1352" t="s">
        <v>1416</v>
      </c>
      <c r="D1530" s="1756" t="s">
        <v>740</v>
      </c>
      <c r="E1530" s="742" t="s">
        <v>1417</v>
      </c>
      <c r="F1530" s="2582">
        <f>ROUND(((K2256*K2384*(1/K2512-1/K2640)*K2768)/1000)*$K$2834,2)</f>
        <v>2735.03</v>
      </c>
      <c r="G1530" s="263" t="s">
        <v>1273</v>
      </c>
      <c r="H1530" s="202">
        <f>VLOOKUP(G1530,'CP FACTORS'!$A$3:$B$38, 2, FALSE)</f>
        <v>9.4741810000000004E-4</v>
      </c>
      <c r="I1530" s="1757">
        <f t="shared" si="157"/>
        <v>2.5912169999999999</v>
      </c>
      <c r="J1530" s="141">
        <f t="shared" si="163"/>
        <v>6</v>
      </c>
      <c r="K1530" s="908">
        <f t="shared" si="164"/>
        <v>1811.1494264602443</v>
      </c>
      <c r="L1530" s="909">
        <f>L1744</f>
        <v>3.55</v>
      </c>
      <c r="M1530" s="1797"/>
      <c r="N1530" s="1794"/>
      <c r="O1530" s="1249"/>
      <c r="P1530" s="157"/>
      <c r="Q1530" s="157"/>
      <c r="R1530" s="1627"/>
      <c r="S1530" s="157"/>
      <c r="T1530" s="157"/>
      <c r="U1530" s="1798"/>
      <c r="V1530" s="2309" t="s">
        <v>20</v>
      </c>
      <c r="W1530" s="910">
        <v>2867.7000000000003</v>
      </c>
      <c r="X1530" s="911">
        <v>2219.3404561824727</v>
      </c>
      <c r="Y1530" s="825">
        <v>2219.34</v>
      </c>
      <c r="Z1530" s="825">
        <v>2219.34</v>
      </c>
      <c r="AA1530" s="825">
        <v>2219.34</v>
      </c>
      <c r="AB1530" s="488">
        <v>2735.03</v>
      </c>
      <c r="AC1530" s="910"/>
      <c r="AD1530" s="910"/>
      <c r="AE1530" s="910"/>
      <c r="AF1530" s="910"/>
      <c r="AG1530" s="910"/>
      <c r="AH1530" s="211"/>
      <c r="AK1530" s="912"/>
      <c r="BB1530" s="293">
        <f>(BD1530+BD1531+BD1532+BD1533)/(BE1530+BE1531+BE1532+BE1533)</f>
        <v>1.9189719183657661</v>
      </c>
      <c r="BC1530" s="742" t="str">
        <f t="shared" si="158"/>
        <v>Cooling Res 6 Year EUL</v>
      </c>
      <c r="BD1530" s="752">
        <f>(INDEX('Avoided Cost Benefits'!$C$4:$C$857,MATCH(BC1530,'Avoided Cost Benefits'!$A$4:$A$857,0)))*F1530</f>
        <v>1590.3766301521334</v>
      </c>
      <c r="BE1530" s="73">
        <f t="shared" si="150"/>
        <v>1709.4378730158037</v>
      </c>
      <c r="BG1530" s="776"/>
      <c r="BH1530" s="913"/>
      <c r="BI1530" s="776"/>
    </row>
    <row r="1531" spans="1:61" s="64" customFormat="1" x14ac:dyDescent="0.25">
      <c r="A1531" s="1393" t="str">
        <f t="shared" si="148"/>
        <v>353850_2019_12_Heating Res</v>
      </c>
      <c r="B1531" s="157"/>
      <c r="C1531" s="1352" t="s">
        <v>1416</v>
      </c>
      <c r="D1531" s="1756" t="s">
        <v>740</v>
      </c>
      <c r="E1531" s="821" t="s">
        <v>1417</v>
      </c>
      <c r="F1531" s="2582">
        <f>ROUND(((K1744*K1872*(1/K2000-1/K2128)*K2768)/1000)*$K$2834,2)</f>
        <v>3103.81</v>
      </c>
      <c r="G1531" s="263" t="s">
        <v>1275</v>
      </c>
      <c r="H1531" s="202">
        <f>VLOOKUP(G1531,'CP FACTORS'!$A$3:$B$38, 2, FALSE)</f>
        <v>0</v>
      </c>
      <c r="I1531" s="1757">
        <f t="shared" si="157"/>
        <v>0</v>
      </c>
      <c r="J1531" s="141">
        <f t="shared" si="163"/>
        <v>6</v>
      </c>
      <c r="K1531" s="908">
        <f t="shared" si="164"/>
        <v>0</v>
      </c>
      <c r="L1531" s="909"/>
      <c r="M1531" s="1797"/>
      <c r="N1531" s="1794"/>
      <c r="O1531" s="1249"/>
      <c r="P1531" s="157"/>
      <c r="Q1531" s="157"/>
      <c r="R1531" s="1627"/>
      <c r="S1531" s="157"/>
      <c r="T1531" s="157"/>
      <c r="U1531" s="1798"/>
      <c r="V1531" s="2309" t="s">
        <v>20</v>
      </c>
      <c r="W1531" s="910">
        <v>6249.9803405572748</v>
      </c>
      <c r="X1531" s="911">
        <v>2767.3247800351946</v>
      </c>
      <c r="Y1531" s="825">
        <v>2767.32</v>
      </c>
      <c r="Z1531" s="825">
        <v>2767.32</v>
      </c>
      <c r="AA1531" s="825">
        <v>2767.32</v>
      </c>
      <c r="AB1531" s="488">
        <v>3103.81</v>
      </c>
      <c r="AC1531" s="910"/>
      <c r="AD1531" s="910"/>
      <c r="AE1531" s="910"/>
      <c r="AF1531" s="910"/>
      <c r="AG1531" s="910"/>
      <c r="AH1531" s="211"/>
      <c r="AK1531" s="912"/>
      <c r="BB1531" s="822"/>
      <c r="BC1531" s="821" t="str">
        <f t="shared" si="158"/>
        <v>Heating Res 6 Year EUL</v>
      </c>
      <c r="BD1531" s="752">
        <f>(INDEX('Avoided Cost Benefits'!$C$4:$C$857,MATCH(BC1531,'Avoided Cost Benefits'!$A$4:$A$857,0)))*F1531</f>
        <v>516.26759372854417</v>
      </c>
      <c r="BE1531" s="73">
        <f t="shared" si="150"/>
        <v>0</v>
      </c>
      <c r="BG1531" s="776"/>
      <c r="BH1531" s="913"/>
      <c r="BI1531" s="776"/>
    </row>
    <row r="1532" spans="1:61" s="64" customFormat="1" x14ac:dyDescent="0.25">
      <c r="A1532" s="1393" t="str">
        <f t="shared" si="148"/>
        <v>353850_2019_12_Cooling Res ER2</v>
      </c>
      <c r="B1532" s="157"/>
      <c r="C1532" s="1352" t="s">
        <v>1416</v>
      </c>
      <c r="D1532" s="1756" t="s">
        <v>740</v>
      </c>
      <c r="E1532" s="821" t="s">
        <v>1418</v>
      </c>
      <c r="F1532" s="2582">
        <f>ROUND(((K2257*K2385*(1/K2513-1/K2641)*K2769)/1000)*$K$2834,2)</f>
        <v>695.03</v>
      </c>
      <c r="G1532" s="1787" t="s">
        <v>1314</v>
      </c>
      <c r="H1532" s="202">
        <f>VLOOKUP(G1532,'CP FACTORS'!$A$3:$B$38, 2, FALSE)</f>
        <v>9.4741810000000004E-4</v>
      </c>
      <c r="I1532" s="1757">
        <f t="shared" si="157"/>
        <v>0.65848399999999996</v>
      </c>
      <c r="J1532" s="141">
        <f t="shared" si="163"/>
        <v>12</v>
      </c>
      <c r="K1532" s="908">
        <f t="shared" si="164"/>
        <v>0</v>
      </c>
      <c r="L1532" s="909"/>
      <c r="M1532" s="1797"/>
      <c r="N1532" s="1794"/>
      <c r="O1532" s="1249"/>
      <c r="P1532" s="157"/>
      <c r="Q1532" s="157"/>
      <c r="R1532" s="1627"/>
      <c r="S1532" s="157"/>
      <c r="T1532" s="157"/>
      <c r="U1532" s="1798"/>
      <c r="V1532" s="2309" t="s">
        <v>20</v>
      </c>
      <c r="W1532" s="910">
        <v>546.2285714285714</v>
      </c>
      <c r="X1532" s="917">
        <v>546.2285714285714</v>
      </c>
      <c r="Y1532" s="825">
        <v>546.23</v>
      </c>
      <c r="Z1532" s="825">
        <v>546.23</v>
      </c>
      <c r="AA1532" s="825">
        <v>546.23</v>
      </c>
      <c r="AB1532" s="488">
        <v>695.03</v>
      </c>
      <c r="AC1532" s="910"/>
      <c r="AD1532" s="910"/>
      <c r="AE1532" s="910"/>
      <c r="AF1532" s="910"/>
      <c r="AG1532" s="910"/>
      <c r="AH1532" s="211"/>
      <c r="AK1532" s="912"/>
      <c r="BB1532" s="822"/>
      <c r="BC1532" s="821" t="str">
        <f t="shared" si="158"/>
        <v>Cooling Res ER2 12 Year EUL</v>
      </c>
      <c r="BD1532" s="752">
        <f>(INDEX('Avoided Cost Benefits'!$C$4:$C$857,MATCH(BC1532,'Avoided Cost Benefits'!$A$4:$A$857,0)))*F1532</f>
        <v>821.75031148112771</v>
      </c>
      <c r="BE1532" s="73">
        <f t="shared" si="150"/>
        <v>0</v>
      </c>
      <c r="BG1532" s="776"/>
      <c r="BH1532" s="913"/>
      <c r="BI1532" s="776"/>
    </row>
    <row r="1533" spans="1:61" s="64" customFormat="1" x14ac:dyDescent="0.25">
      <c r="A1533" s="1393" t="str">
        <f t="shared" si="148"/>
        <v>353850_2019_12_Heating Res ER2</v>
      </c>
      <c r="B1533" s="157"/>
      <c r="C1533" s="1352" t="s">
        <v>1416</v>
      </c>
      <c r="D1533" s="1756" t="s">
        <v>740</v>
      </c>
      <c r="E1533" s="1458" t="s">
        <v>1418</v>
      </c>
      <c r="F1533" s="2582">
        <f xml:space="preserve"> ROUND(((K1745*K1873*(1/K2001-1/K2129)*K2769)/1000)*$K$2834,2)</f>
        <v>1190.3599999999999</v>
      </c>
      <c r="G1533" s="1787" t="s">
        <v>1332</v>
      </c>
      <c r="H1533" s="202">
        <f>VLOOKUP(G1533,'CP FACTORS'!$A$3:$B$38, 2, FALSE)</f>
        <v>0</v>
      </c>
      <c r="I1533" s="1757">
        <f t="shared" si="157"/>
        <v>0</v>
      </c>
      <c r="J1533" s="141">
        <f t="shared" si="163"/>
        <v>12</v>
      </c>
      <c r="K1533" s="908">
        <f t="shared" si="164"/>
        <v>0</v>
      </c>
      <c r="L1533" s="909"/>
      <c r="M1533" s="1797"/>
      <c r="N1533" s="1794"/>
      <c r="O1533" s="1249"/>
      <c r="P1533" s="157"/>
      <c r="Q1533" s="157"/>
      <c r="R1533" s="1627"/>
      <c r="S1533" s="157"/>
      <c r="T1533" s="157"/>
      <c r="U1533" s="1798"/>
      <c r="V1533" s="2309" t="s">
        <v>20</v>
      </c>
      <c r="W1533" s="910">
        <v>1327.6421052631592</v>
      </c>
      <c r="X1533" s="911">
        <v>988.62747111681745</v>
      </c>
      <c r="Y1533" s="825">
        <v>988.63</v>
      </c>
      <c r="Z1533" s="825">
        <v>988.63</v>
      </c>
      <c r="AA1533" s="825">
        <v>988.63</v>
      </c>
      <c r="AB1533" s="488">
        <v>1190.3599999999999</v>
      </c>
      <c r="AC1533" s="910"/>
      <c r="AD1533" s="910"/>
      <c r="AE1533" s="910"/>
      <c r="AF1533" s="910"/>
      <c r="AG1533" s="910"/>
      <c r="AH1533" s="211"/>
      <c r="AK1533" s="912"/>
      <c r="BB1533" s="822"/>
      <c r="BC1533" s="750" t="str">
        <f t="shared" si="158"/>
        <v>Heating Res ER2 12 Year EUL</v>
      </c>
      <c r="BD1533" s="752">
        <f>(INDEX('Avoided Cost Benefits'!$C$4:$C$857,MATCH(BC1533,'Avoided Cost Benefits'!$A$4:$A$857,0)))*F1533</f>
        <v>351.96873914642634</v>
      </c>
      <c r="BE1533" s="73">
        <f t="shared" si="150"/>
        <v>0</v>
      </c>
      <c r="BG1533" s="776"/>
      <c r="BH1533" s="913"/>
      <c r="BI1533" s="776"/>
    </row>
    <row r="1534" spans="1:61" s="64" customFormat="1" x14ac:dyDescent="0.25">
      <c r="A1534" s="1393" t="str">
        <f t="shared" ref="A1534:A1597" si="165">C1534&amp;G1534</f>
        <v>353950_2019_12_Cooling Res</v>
      </c>
      <c r="B1534" s="157"/>
      <c r="C1534" s="1352" t="s">
        <v>1419</v>
      </c>
      <c r="D1534" s="1785" t="s">
        <v>740</v>
      </c>
      <c r="E1534" s="797" t="s">
        <v>1420</v>
      </c>
      <c r="F1534" s="2582">
        <f>ROUND(((K2258*K2386*(1/K2514-1/K2642)*K2770)/1000)*$K$2834,2)</f>
        <v>546.23</v>
      </c>
      <c r="G1534" s="263" t="s">
        <v>1273</v>
      </c>
      <c r="H1534" s="202">
        <f>VLOOKUP(G1534,'CP FACTORS'!$A$3:$B$38, 2, FALSE)</f>
        <v>9.4741810000000004E-4</v>
      </c>
      <c r="I1534" s="1801">
        <f t="shared" si="157"/>
        <v>0.51750799999999997</v>
      </c>
      <c r="J1534" s="187">
        <f t="shared" si="163"/>
        <v>18</v>
      </c>
      <c r="K1534" s="602">
        <f t="shared" si="164"/>
        <v>962.92000000000007</v>
      </c>
      <c r="L1534" s="919">
        <f>L1746</f>
        <v>3.3</v>
      </c>
      <c r="M1534" s="1797"/>
      <c r="N1534" s="1794"/>
      <c r="O1534" s="1249"/>
      <c r="P1534" s="157"/>
      <c r="Q1534" s="157"/>
      <c r="R1534" s="1627"/>
      <c r="S1534" s="157"/>
      <c r="T1534" s="157"/>
      <c r="U1534" s="1798"/>
      <c r="V1534" s="2309" t="s">
        <v>20</v>
      </c>
      <c r="W1534" s="910">
        <v>546.2285714285714</v>
      </c>
      <c r="X1534" s="917">
        <v>546.2285714285714</v>
      </c>
      <c r="Y1534" s="825">
        <v>546.23</v>
      </c>
      <c r="Z1534" s="825">
        <v>546.23</v>
      </c>
      <c r="AA1534" s="825">
        <v>546.23</v>
      </c>
      <c r="AB1534" s="2582">
        <v>546.23</v>
      </c>
      <c r="AC1534" s="910"/>
      <c r="AD1534" s="910"/>
      <c r="AE1534" s="910"/>
      <c r="AF1534" s="910"/>
      <c r="AG1534" s="910"/>
      <c r="AH1534" s="211"/>
      <c r="AK1534" s="912"/>
      <c r="BB1534" s="293">
        <f>(BD1534+BD1535)/(BE1534+BE1535)</f>
        <v>1.6596932401743794</v>
      </c>
      <c r="BC1534" s="797" t="str">
        <f t="shared" si="158"/>
        <v>Cooling Res 18 Year EUL</v>
      </c>
      <c r="BD1534" s="752">
        <f>(INDEX('Avoided Cost Benefits'!$C$4:$C$857,MATCH(BC1534,'Avoided Cost Benefits'!$A$4:$A$857,0)))*F1534</f>
        <v>963.44466701517683</v>
      </c>
      <c r="BE1534" s="73">
        <f t="shared" ref="BE1534:BE1619" si="166">K1534/(1.0595^(2020-2019))</f>
        <v>908.84379424256724</v>
      </c>
      <c r="BG1534" s="776"/>
      <c r="BH1534" s="913"/>
      <c r="BI1534" s="776"/>
    </row>
    <row r="1535" spans="1:61" s="64" customFormat="1" x14ac:dyDescent="0.25">
      <c r="A1535" s="1393" t="str">
        <f t="shared" si="165"/>
        <v>353950_2019_12_Heating Res</v>
      </c>
      <c r="B1535" s="157"/>
      <c r="C1535" s="1352" t="s">
        <v>1419</v>
      </c>
      <c r="D1535" s="1785" t="s">
        <v>740</v>
      </c>
      <c r="E1535" s="914" t="s">
        <v>1420</v>
      </c>
      <c r="F1535" s="2582">
        <f>ROUND(((K1746*K1874*(1/K2002-1/K2130)*K2770)/1000)*$K$2834,2)</f>
        <v>1179.52</v>
      </c>
      <c r="G1535" s="263" t="s">
        <v>1275</v>
      </c>
      <c r="H1535" s="202">
        <f>VLOOKUP(G1535,'CP FACTORS'!$A$3:$B$38, 2, FALSE)</f>
        <v>0</v>
      </c>
      <c r="I1535" s="1801">
        <f t="shared" si="157"/>
        <v>0</v>
      </c>
      <c r="J1535" s="187">
        <f t="shared" si="163"/>
        <v>18</v>
      </c>
      <c r="K1535" s="602">
        <f t="shared" si="164"/>
        <v>0</v>
      </c>
      <c r="L1535" s="919"/>
      <c r="M1535" s="1797"/>
      <c r="N1535" s="1794"/>
      <c r="O1535" s="1249"/>
      <c r="P1535" s="157"/>
      <c r="Q1535" s="157"/>
      <c r="R1535" s="1627"/>
      <c r="S1535" s="157"/>
      <c r="T1535" s="157"/>
      <c r="U1535" s="1798"/>
      <c r="V1535" s="2309" t="s">
        <v>20</v>
      </c>
      <c r="W1535" s="910">
        <v>1584.0000000000018</v>
      </c>
      <c r="X1535" s="911">
        <v>1179.5241413638641</v>
      </c>
      <c r="Y1535" s="825">
        <v>1179.52</v>
      </c>
      <c r="Z1535" s="825">
        <v>1179.52</v>
      </c>
      <c r="AA1535" s="825">
        <v>1179.52</v>
      </c>
      <c r="AB1535" s="2582">
        <v>1179.52</v>
      </c>
      <c r="AC1535" s="910"/>
      <c r="AD1535" s="910"/>
      <c r="AE1535" s="910"/>
      <c r="AF1535" s="910"/>
      <c r="AG1535" s="910"/>
      <c r="AH1535" s="211"/>
      <c r="AK1535" s="912"/>
      <c r="BB1535" s="291"/>
      <c r="BC1535" s="914" t="str">
        <f t="shared" si="158"/>
        <v>Heating Res 18 Year EUL</v>
      </c>
      <c r="BD1535" s="752">
        <f>(INDEX('Avoided Cost Benefits'!$C$4:$C$857,MATCH(BC1535,'Avoided Cost Benefits'!$A$4:$A$857,0)))*F1535</f>
        <v>544.95723466364666</v>
      </c>
      <c r="BE1535" s="73">
        <f t="shared" si="166"/>
        <v>0</v>
      </c>
      <c r="BG1535" s="776"/>
      <c r="BH1535" s="913"/>
      <c r="BI1535" s="776"/>
    </row>
    <row r="1536" spans="1:61" s="64" customFormat="1" x14ac:dyDescent="0.25">
      <c r="A1536" s="1393" t="str">
        <f t="shared" si="165"/>
        <v>354000_2019_12_Cooling Res</v>
      </c>
      <c r="B1536" s="157"/>
      <c r="C1536" s="1352" t="s">
        <v>1421</v>
      </c>
      <c r="D1536" s="1756" t="s">
        <v>740</v>
      </c>
      <c r="E1536" s="1796" t="s">
        <v>1422</v>
      </c>
      <c r="F1536" s="2582">
        <f>ROUND(((K2259*K2387*(1/K2515-1/K2643)*K2771)/1000)*$K$2834,2)</f>
        <v>2319.96</v>
      </c>
      <c r="G1536" s="263" t="s">
        <v>1273</v>
      </c>
      <c r="H1536" s="202">
        <f>VLOOKUP(G1536,'CP FACTORS'!$A$3:$B$38, 2, FALSE)</f>
        <v>9.4741810000000004E-4</v>
      </c>
      <c r="I1536" s="1757">
        <f t="shared" si="157"/>
        <v>2.197972</v>
      </c>
      <c r="J1536" s="141">
        <f t="shared" si="163"/>
        <v>6</v>
      </c>
      <c r="K1536" s="908">
        <f t="shared" si="164"/>
        <v>1992.1449598081149</v>
      </c>
      <c r="L1536" s="909">
        <f>L1747</f>
        <v>3.3</v>
      </c>
      <c r="M1536" s="1797"/>
      <c r="N1536" s="1794"/>
      <c r="O1536" s="1249"/>
      <c r="P1536" s="157"/>
      <c r="Q1536" s="157"/>
      <c r="R1536" s="1627"/>
      <c r="S1536" s="157"/>
      <c r="T1536" s="157"/>
      <c r="U1536" s="1798"/>
      <c r="V1536" s="2309" t="s">
        <v>20</v>
      </c>
      <c r="W1536" s="910">
        <v>2968.3210526315793</v>
      </c>
      <c r="X1536" s="911">
        <v>2319.9615088140517</v>
      </c>
      <c r="Y1536" s="825">
        <v>2319.96</v>
      </c>
      <c r="Z1536" s="825">
        <v>2319.96</v>
      </c>
      <c r="AA1536" s="825">
        <v>2319.96</v>
      </c>
      <c r="AB1536" s="2582">
        <v>2319.96</v>
      </c>
      <c r="AC1536" s="910"/>
      <c r="AD1536" s="910"/>
      <c r="AE1536" s="910"/>
      <c r="AF1536" s="910"/>
      <c r="AG1536" s="910"/>
      <c r="AH1536" s="211"/>
      <c r="AK1536" s="912"/>
      <c r="BB1536" s="293">
        <f>(BD1536+BD1537+BD1538+BD1539)/(BE1536+BE1537+BE1538+BE1539)</f>
        <v>1.5244758862894483</v>
      </c>
      <c r="BC1536" s="742" t="str">
        <f t="shared" si="158"/>
        <v>Cooling Res 6 Year EUL</v>
      </c>
      <c r="BD1536" s="752">
        <f>(INDEX('Avoided Cost Benefits'!$C$4:$C$857,MATCH(BC1536,'Avoided Cost Benefits'!$A$4:$A$857,0)))*F1536</f>
        <v>1349.0199986426996</v>
      </c>
      <c r="BE1536" s="73">
        <f t="shared" si="166"/>
        <v>1880.2689568741055</v>
      </c>
      <c r="BG1536" s="776"/>
      <c r="BH1536" s="913"/>
      <c r="BI1536" s="776"/>
    </row>
    <row r="1537" spans="1:61" s="64" customFormat="1" x14ac:dyDescent="0.25">
      <c r="A1537" s="1393" t="str">
        <f t="shared" si="165"/>
        <v>354000_2019_12_Heating Res</v>
      </c>
      <c r="B1537" s="157"/>
      <c r="C1537" s="1352" t="s">
        <v>1421</v>
      </c>
      <c r="D1537" s="1756" t="s">
        <v>740</v>
      </c>
      <c r="E1537" s="1457" t="s">
        <v>1422</v>
      </c>
      <c r="F1537" s="2582">
        <f>ROUND(((K1747*K1875*(1/K2003-1/K2131)*K2771)/1000)*$K$2834,2)</f>
        <v>2767.32</v>
      </c>
      <c r="G1537" s="263" t="s">
        <v>1275</v>
      </c>
      <c r="H1537" s="202">
        <f>VLOOKUP(G1537,'CP FACTORS'!$A$3:$B$38, 2, FALSE)</f>
        <v>0</v>
      </c>
      <c r="I1537" s="1757">
        <f t="shared" si="157"/>
        <v>0</v>
      </c>
      <c r="J1537" s="141">
        <f t="shared" si="163"/>
        <v>6</v>
      </c>
      <c r="K1537" s="908">
        <f t="shared" si="164"/>
        <v>0</v>
      </c>
      <c r="L1537" s="909"/>
      <c r="M1537" s="1797"/>
      <c r="N1537" s="1794"/>
      <c r="O1537" s="1249"/>
      <c r="P1537" s="157"/>
      <c r="Q1537" s="157"/>
      <c r="R1537" s="1627"/>
      <c r="S1537" s="157"/>
      <c r="T1537" s="157"/>
      <c r="U1537" s="1798"/>
      <c r="V1537" s="2309" t="s">
        <v>20</v>
      </c>
      <c r="W1537" s="910">
        <v>6249.9803405572748</v>
      </c>
      <c r="X1537" s="911">
        <v>2767.3247800351946</v>
      </c>
      <c r="Y1537" s="825">
        <v>2767.32</v>
      </c>
      <c r="Z1537" s="825">
        <v>2767.32</v>
      </c>
      <c r="AA1537" s="825">
        <v>2767.32</v>
      </c>
      <c r="AB1537" s="2582">
        <v>2767.32</v>
      </c>
      <c r="AC1537" s="910"/>
      <c r="AD1537" s="910"/>
      <c r="AE1537" s="910"/>
      <c r="AF1537" s="910"/>
      <c r="AG1537" s="910"/>
      <c r="AH1537" s="211"/>
      <c r="AK1537" s="912"/>
      <c r="BB1537" s="822"/>
      <c r="BC1537" s="821" t="str">
        <f t="shared" si="158"/>
        <v>Heating Res 6 Year EUL</v>
      </c>
      <c r="BD1537" s="752">
        <f>(INDEX('Avoided Cost Benefits'!$C$4:$C$857,MATCH(BC1537,'Avoided Cost Benefits'!$A$4:$A$857,0)))*F1537</f>
        <v>460.29803289404794</v>
      </c>
      <c r="BE1537" s="73">
        <f t="shared" si="166"/>
        <v>0</v>
      </c>
      <c r="BG1537" s="776"/>
      <c r="BH1537" s="913"/>
      <c r="BI1537" s="776"/>
    </row>
    <row r="1538" spans="1:61" s="64" customFormat="1" x14ac:dyDescent="0.25">
      <c r="A1538" s="1393" t="str">
        <f t="shared" si="165"/>
        <v>354000_2019_12_Cooling Res ER2</v>
      </c>
      <c r="B1538" s="157"/>
      <c r="C1538" s="1352" t="s">
        <v>1421</v>
      </c>
      <c r="D1538" s="1756" t="s">
        <v>740</v>
      </c>
      <c r="E1538" s="1457" t="s">
        <v>1423</v>
      </c>
      <c r="F1538" s="2582">
        <f>ROUND(((K2260*K2388*(1/K2516-1/K2644)*K2772)/1000)*$K$2834,2)</f>
        <v>646.85</v>
      </c>
      <c r="G1538" s="1787" t="s">
        <v>1314</v>
      </c>
      <c r="H1538" s="202">
        <f>VLOOKUP(G1538,'CP FACTORS'!$A$3:$B$38, 2, FALSE)</f>
        <v>9.4741810000000004E-4</v>
      </c>
      <c r="I1538" s="1757">
        <f t="shared" si="157"/>
        <v>0.61283699999999997</v>
      </c>
      <c r="J1538" s="141">
        <f t="shared" si="163"/>
        <v>12</v>
      </c>
      <c r="K1538" s="908">
        <f t="shared" si="164"/>
        <v>0</v>
      </c>
      <c r="L1538" s="909"/>
      <c r="M1538" s="1797"/>
      <c r="N1538" s="1794"/>
      <c r="O1538" s="1249"/>
      <c r="P1538" s="157"/>
      <c r="Q1538" s="157"/>
      <c r="R1538" s="1627"/>
      <c r="S1538" s="157"/>
      <c r="T1538" s="157"/>
      <c r="U1538" s="1798"/>
      <c r="V1538" s="2309" t="s">
        <v>20</v>
      </c>
      <c r="W1538" s="910">
        <v>646.8496240601504</v>
      </c>
      <c r="X1538" s="917">
        <v>646.8496240601504</v>
      </c>
      <c r="Y1538" s="825">
        <v>646.85</v>
      </c>
      <c r="Z1538" s="825">
        <v>646.85</v>
      </c>
      <c r="AA1538" s="825">
        <v>646.85</v>
      </c>
      <c r="AB1538" s="2582">
        <v>646.85</v>
      </c>
      <c r="AC1538" s="910"/>
      <c r="AD1538" s="910"/>
      <c r="AE1538" s="910"/>
      <c r="AF1538" s="910"/>
      <c r="AG1538" s="910"/>
      <c r="AH1538" s="211"/>
      <c r="AK1538" s="912"/>
      <c r="BB1538" s="822"/>
      <c r="BC1538" s="821" t="str">
        <f t="shared" si="158"/>
        <v>Cooling Res ER2 12 Year EUL</v>
      </c>
      <c r="BD1538" s="752">
        <f>(INDEX('Avoided Cost Benefits'!$C$4:$C$857,MATCH(BC1538,'Avoided Cost Benefits'!$A$4:$A$857,0)))*F1538</f>
        <v>764.78596460809968</v>
      </c>
      <c r="BE1538" s="73">
        <f t="shared" si="166"/>
        <v>0</v>
      </c>
      <c r="BG1538" s="776"/>
      <c r="BH1538" s="913"/>
      <c r="BI1538" s="776"/>
    </row>
    <row r="1539" spans="1:61" s="64" customFormat="1" x14ac:dyDescent="0.25">
      <c r="A1539" s="1393" t="str">
        <f t="shared" si="165"/>
        <v>354000_2019_12_Heating Res ER2</v>
      </c>
      <c r="B1539" s="157"/>
      <c r="C1539" s="1352" t="s">
        <v>1421</v>
      </c>
      <c r="D1539" s="1756" t="s">
        <v>740</v>
      </c>
      <c r="E1539" s="1458" t="s">
        <v>1423</v>
      </c>
      <c r="F1539" s="2582">
        <f>ROUND(((K1748*K1876*(1/K2004-1/K2132)*K2772)/1000)*$K$2834,2)</f>
        <v>988.63</v>
      </c>
      <c r="G1539" s="1787" t="s">
        <v>1332</v>
      </c>
      <c r="H1539" s="202">
        <f>VLOOKUP(G1539,'CP FACTORS'!$A$3:$B$38, 2, FALSE)</f>
        <v>0</v>
      </c>
      <c r="I1539" s="1757">
        <f t="shared" si="157"/>
        <v>0</v>
      </c>
      <c r="J1539" s="141">
        <f t="shared" si="163"/>
        <v>12</v>
      </c>
      <c r="K1539" s="908">
        <f t="shared" si="164"/>
        <v>0</v>
      </c>
      <c r="L1539" s="909"/>
      <c r="M1539" s="1797"/>
      <c r="N1539" s="1794"/>
      <c r="O1539" s="1249"/>
      <c r="P1539" s="157"/>
      <c r="Q1539" s="157"/>
      <c r="R1539" s="1627"/>
      <c r="S1539" s="157"/>
      <c r="T1539" s="157"/>
      <c r="U1539" s="1798"/>
      <c r="V1539" s="2309" t="s">
        <v>20</v>
      </c>
      <c r="W1539" s="910">
        <v>1327.6421052631592</v>
      </c>
      <c r="X1539" s="911">
        <v>988.62747111681745</v>
      </c>
      <c r="Y1539" s="825">
        <v>988.63</v>
      </c>
      <c r="Z1539" s="825">
        <v>988.63</v>
      </c>
      <c r="AA1539" s="825">
        <v>988.63</v>
      </c>
      <c r="AB1539" s="2582">
        <v>988.63</v>
      </c>
      <c r="AC1539" s="910"/>
      <c r="AD1539" s="910"/>
      <c r="AE1539" s="910"/>
      <c r="AF1539" s="910"/>
      <c r="AG1539" s="910"/>
      <c r="AH1539" s="211"/>
      <c r="AK1539" s="912"/>
      <c r="BB1539" s="822"/>
      <c r="BC1539" s="750" t="str">
        <f t="shared" si="158"/>
        <v>Heating Res ER2 12 Year EUL</v>
      </c>
      <c r="BD1539" s="752">
        <f>(INDEX('Avoided Cost Benefits'!$C$4:$C$857,MATCH(BC1539,'Avoided Cost Benefits'!$A$4:$A$857,0)))*F1539</f>
        <v>292.32068834834126</v>
      </c>
      <c r="BE1539" s="73">
        <f t="shared" si="166"/>
        <v>0</v>
      </c>
      <c r="BG1539" s="776"/>
      <c r="BH1539" s="913"/>
      <c r="BI1539" s="776"/>
    </row>
    <row r="1540" spans="1:61" s="64" customFormat="1" x14ac:dyDescent="0.25">
      <c r="A1540" s="1393" t="str">
        <f t="shared" si="165"/>
        <v>354050_2019_12_Cooling Res</v>
      </c>
      <c r="B1540" s="157"/>
      <c r="C1540" s="1352" t="s">
        <v>1424</v>
      </c>
      <c r="D1540" s="1756" t="s">
        <v>740</v>
      </c>
      <c r="E1540" s="1799" t="s">
        <v>1425</v>
      </c>
      <c r="F1540" s="2582">
        <f>ROUND(((K2261*K2389*(1/K2517-1/K2645)*K2773)/1000)*$K$2834,2)</f>
        <v>646.85</v>
      </c>
      <c r="G1540" s="263" t="s">
        <v>1273</v>
      </c>
      <c r="H1540" s="202">
        <f>VLOOKUP(G1540,'CP FACTORS'!$A$3:$B$38, 2, FALSE)</f>
        <v>9.4741810000000004E-4</v>
      </c>
      <c r="I1540" s="1757">
        <f t="shared" si="157"/>
        <v>0.61283699999999997</v>
      </c>
      <c r="J1540" s="141">
        <f t="shared" si="163"/>
        <v>18</v>
      </c>
      <c r="K1540" s="908">
        <f t="shared" si="164"/>
        <v>1203.6500000000003</v>
      </c>
      <c r="L1540" s="909">
        <f>L1749</f>
        <v>3.3</v>
      </c>
      <c r="M1540" s="1797"/>
      <c r="N1540" s="1794"/>
      <c r="O1540" s="1249"/>
      <c r="P1540" s="157"/>
      <c r="Q1540" s="157"/>
      <c r="R1540" s="1627"/>
      <c r="S1540" s="157"/>
      <c r="T1540" s="157"/>
      <c r="U1540" s="1798"/>
      <c r="V1540" s="2309" t="s">
        <v>20</v>
      </c>
      <c r="W1540" s="910">
        <v>646.8496240601504</v>
      </c>
      <c r="X1540" s="917">
        <v>646.8496240601504</v>
      </c>
      <c r="Y1540" s="825">
        <v>646.85</v>
      </c>
      <c r="Z1540" s="825">
        <v>646.85</v>
      </c>
      <c r="AA1540" s="825">
        <v>646.85</v>
      </c>
      <c r="AB1540" s="2582">
        <v>646.85</v>
      </c>
      <c r="AC1540" s="910"/>
      <c r="AD1540" s="910"/>
      <c r="AE1540" s="910"/>
      <c r="AF1540" s="910"/>
      <c r="AG1540" s="910"/>
      <c r="AH1540" s="211"/>
      <c r="AK1540" s="912"/>
      <c r="BB1540" s="293">
        <f>(BD1540+BD1541)/(BE1540+BE1541)</f>
        <v>1.4839744657958689</v>
      </c>
      <c r="BC1540" s="797" t="str">
        <f t="shared" si="158"/>
        <v>Cooling Res 18 Year EUL</v>
      </c>
      <c r="BD1540" s="752">
        <f>(INDEX('Avoided Cost Benefits'!$C$4:$C$857,MATCH(BC1540,'Avoided Cost Benefits'!$A$4:$A$857,0)))*F1540</f>
        <v>1140.918995402609</v>
      </c>
      <c r="BE1540" s="73">
        <f t="shared" si="166"/>
        <v>1136.0547428032091</v>
      </c>
      <c r="BG1540" s="776"/>
      <c r="BH1540" s="913"/>
      <c r="BI1540" s="776"/>
    </row>
    <row r="1541" spans="1:61" s="64" customFormat="1" x14ac:dyDescent="0.25">
      <c r="A1541" s="1393" t="str">
        <f t="shared" si="165"/>
        <v>354050_2019_12_Heating Res</v>
      </c>
      <c r="B1541" s="157"/>
      <c r="C1541" s="1352" t="s">
        <v>1424</v>
      </c>
      <c r="D1541" s="1756" t="s">
        <v>740</v>
      </c>
      <c r="E1541" s="1800" t="s">
        <v>1425</v>
      </c>
      <c r="F1541" s="2582">
        <f>ROUND(((K1749*K1877*(1/K2005-1/K2133)*K2773)/1000)*$K$2834,2)</f>
        <v>1179.52</v>
      </c>
      <c r="G1541" s="263" t="s">
        <v>1275</v>
      </c>
      <c r="H1541" s="202">
        <f>VLOOKUP(G1541,'CP FACTORS'!$A$3:$B$38, 2, FALSE)</f>
        <v>0</v>
      </c>
      <c r="I1541" s="1757">
        <f t="shared" si="157"/>
        <v>0</v>
      </c>
      <c r="J1541" s="141">
        <f t="shared" si="163"/>
        <v>18</v>
      </c>
      <c r="K1541" s="908">
        <f t="shared" si="164"/>
        <v>0</v>
      </c>
      <c r="L1541" s="909"/>
      <c r="M1541" s="1797"/>
      <c r="N1541" s="1794"/>
      <c r="O1541" s="1249"/>
      <c r="P1541" s="157"/>
      <c r="Q1541" s="157"/>
      <c r="R1541" s="1627"/>
      <c r="S1541" s="157"/>
      <c r="T1541" s="157"/>
      <c r="U1541" s="1798"/>
      <c r="V1541" s="2309" t="s">
        <v>20</v>
      </c>
      <c r="W1541" s="910">
        <v>1584.0000000000018</v>
      </c>
      <c r="X1541" s="911">
        <v>1179.5241413638641</v>
      </c>
      <c r="Y1541" s="825">
        <v>1179.52</v>
      </c>
      <c r="Z1541" s="825">
        <v>1179.52</v>
      </c>
      <c r="AA1541" s="825">
        <v>1179.52</v>
      </c>
      <c r="AB1541" s="2582">
        <v>1179.52</v>
      </c>
      <c r="AC1541" s="910"/>
      <c r="AD1541" s="910"/>
      <c r="AE1541" s="910"/>
      <c r="AF1541" s="910"/>
      <c r="AG1541" s="910"/>
      <c r="AH1541" s="211"/>
      <c r="AK1541" s="912"/>
      <c r="BB1541" s="291"/>
      <c r="BC1541" s="914" t="str">
        <f t="shared" si="158"/>
        <v>Heating Res 18 Year EUL</v>
      </c>
      <c r="BD1541" s="752">
        <f>(INDEX('Avoided Cost Benefits'!$C$4:$C$857,MATCH(BC1541,'Avoided Cost Benefits'!$A$4:$A$857,0)))*F1541</f>
        <v>544.95723466364666</v>
      </c>
      <c r="BE1541" s="73">
        <f t="shared" si="166"/>
        <v>0</v>
      </c>
      <c r="BG1541" s="776"/>
      <c r="BH1541" s="913"/>
      <c r="BI1541" s="776"/>
    </row>
    <row r="1542" spans="1:61" s="64" customFormat="1" x14ac:dyDescent="0.25">
      <c r="A1542" s="1393" t="str">
        <f t="shared" si="165"/>
        <v>354100_2019_12_Cooling Res</v>
      </c>
      <c r="B1542" s="157"/>
      <c r="C1542" s="1352" t="s">
        <v>1426</v>
      </c>
      <c r="D1542" s="1756" t="s">
        <v>740</v>
      </c>
      <c r="E1542" s="742" t="s">
        <v>1427</v>
      </c>
      <c r="F1542" s="2582">
        <f>ROUND(((K2262*K2390*(1/K2518-1/K2646)*K2774)/1000)*$K$2834,2)</f>
        <v>1979.19</v>
      </c>
      <c r="G1542" s="263" t="s">
        <v>1273</v>
      </c>
      <c r="H1542" s="202">
        <f>VLOOKUP(G1542,'CP FACTORS'!$A$3:$B$38, 2, FALSE)</f>
        <v>9.4741810000000004E-4</v>
      </c>
      <c r="I1542" s="1757">
        <f t="shared" si="157"/>
        <v>1.8751199999999999</v>
      </c>
      <c r="J1542" s="141">
        <f t="shared" si="163"/>
        <v>6</v>
      </c>
      <c r="K1542" s="908">
        <f t="shared" si="164"/>
        <v>1464.7073864864105</v>
      </c>
      <c r="L1542" s="909">
        <f>L1750</f>
        <v>3.1</v>
      </c>
      <c r="M1542" s="1797"/>
      <c r="N1542" s="1794"/>
      <c r="O1542" s="1249"/>
      <c r="P1542" s="157"/>
      <c r="Q1542" s="157"/>
      <c r="R1542" s="1627"/>
      <c r="S1542" s="157"/>
      <c r="T1542" s="157"/>
      <c r="U1542" s="1798"/>
      <c r="V1542" s="2309" t="s">
        <v>20</v>
      </c>
      <c r="W1542" s="910">
        <v>2852.3647058823531</v>
      </c>
      <c r="X1542" s="911">
        <v>1979.1918367346937</v>
      </c>
      <c r="Y1542" s="825">
        <v>1979.19</v>
      </c>
      <c r="Z1542" s="825">
        <v>1979.19</v>
      </c>
      <c r="AA1542" s="825">
        <v>1979.19</v>
      </c>
      <c r="AB1542" s="2582">
        <v>1979.19</v>
      </c>
      <c r="AC1542" s="910"/>
      <c r="AD1542" s="910"/>
      <c r="AE1542" s="910"/>
      <c r="AF1542" s="910"/>
      <c r="AG1542" s="910"/>
      <c r="AH1542" s="211"/>
      <c r="AK1542" s="912"/>
      <c r="BB1542" s="293">
        <f>(BD1542+BD1543+BD1544+BD1545)/(BE1542+BE1543+BE1544+BE1545)</f>
        <v>4.8084547055912488</v>
      </c>
      <c r="BC1542" s="742" t="str">
        <f t="shared" si="158"/>
        <v>Cooling Res 6 Year EUL</v>
      </c>
      <c r="BD1542" s="752">
        <f>(INDEX('Avoided Cost Benefits'!$C$4:$C$857,MATCH(BC1542,'Avoided Cost Benefits'!$A$4:$A$857,0)))*F1542</f>
        <v>1150.8676404393373</v>
      </c>
      <c r="BE1542" s="73">
        <f t="shared" si="166"/>
        <v>1382.4515209876454</v>
      </c>
      <c r="BG1542" s="776"/>
      <c r="BH1542" s="913"/>
      <c r="BI1542" s="776"/>
    </row>
    <row r="1543" spans="1:61" s="64" customFormat="1" x14ac:dyDescent="0.25">
      <c r="A1543" s="1393" t="str">
        <f t="shared" si="165"/>
        <v>354100_2019_12_Heating Res</v>
      </c>
      <c r="B1543" s="157"/>
      <c r="C1543" s="1352" t="s">
        <v>1426</v>
      </c>
      <c r="D1543" s="1756" t="s">
        <v>740</v>
      </c>
      <c r="E1543" s="821" t="s">
        <v>1427</v>
      </c>
      <c r="F1543" s="2582">
        <f>ROUND(((K1750*K1878*(1/K2006-1/K2134)*K2774)/1000)*$K$2834,2)</f>
        <v>10399.66</v>
      </c>
      <c r="G1543" s="263" t="s">
        <v>1275</v>
      </c>
      <c r="H1543" s="202">
        <f>VLOOKUP(G1543,'CP FACTORS'!$A$3:$B$38, 2, FALSE)</f>
        <v>0</v>
      </c>
      <c r="I1543" s="1757">
        <f t="shared" si="157"/>
        <v>0</v>
      </c>
      <c r="J1543" s="141">
        <f t="shared" si="163"/>
        <v>6</v>
      </c>
      <c r="K1543" s="908">
        <f t="shared" si="164"/>
        <v>0</v>
      </c>
      <c r="L1543" s="909"/>
      <c r="M1543" s="1797"/>
      <c r="N1543" s="1794"/>
      <c r="O1543" s="1249"/>
      <c r="P1543" s="157"/>
      <c r="Q1543" s="157"/>
      <c r="R1543" s="1627"/>
      <c r="S1543" s="157"/>
      <c r="T1543" s="157"/>
      <c r="U1543" s="1798"/>
      <c r="V1543" s="2309" t="s">
        <v>20</v>
      </c>
      <c r="W1543" s="910">
        <v>13965.852998065762</v>
      </c>
      <c r="X1543" s="911">
        <v>10399.659574468084</v>
      </c>
      <c r="Y1543" s="825">
        <v>10399.66</v>
      </c>
      <c r="Z1543" s="825">
        <v>10399.66</v>
      </c>
      <c r="AA1543" s="825">
        <v>10399.66</v>
      </c>
      <c r="AB1543" s="2582">
        <v>10399.66</v>
      </c>
      <c r="AC1543" s="910"/>
      <c r="AD1543" s="910"/>
      <c r="AE1543" s="910"/>
      <c r="AF1543" s="910"/>
      <c r="AG1543" s="910"/>
      <c r="AH1543" s="211"/>
      <c r="AK1543" s="912"/>
      <c r="BB1543" s="822"/>
      <c r="BC1543" s="821" t="str">
        <f t="shared" si="158"/>
        <v>Heating Res 6 Year EUL</v>
      </c>
      <c r="BD1543" s="752">
        <f>(INDEX('Avoided Cost Benefits'!$C$4:$C$857,MATCH(BC1543,'Avoided Cost Benefits'!$A$4:$A$857,0)))*F1543</f>
        <v>1729.8118904813734</v>
      </c>
      <c r="BE1543" s="73">
        <f t="shared" si="166"/>
        <v>0</v>
      </c>
      <c r="BG1543" s="776"/>
      <c r="BH1543" s="913"/>
      <c r="BI1543" s="776"/>
    </row>
    <row r="1544" spans="1:61" s="64" customFormat="1" x14ac:dyDescent="0.25">
      <c r="A1544" s="1393" t="str">
        <f t="shared" si="165"/>
        <v>354100_2019_12_Cooling Res ER2</v>
      </c>
      <c r="B1544" s="157"/>
      <c r="C1544" s="1352" t="s">
        <v>1426</v>
      </c>
      <c r="D1544" s="1756" t="s">
        <v>740</v>
      </c>
      <c r="E1544" s="821" t="s">
        <v>1428</v>
      </c>
      <c r="F1544" s="2582">
        <f>ROUND(((K2263*K2391*(1/K2519-1/K2647)*K2775)/1000)*$K$2834,2)</f>
        <v>585.1</v>
      </c>
      <c r="G1544" s="1787" t="s">
        <v>1314</v>
      </c>
      <c r="H1544" s="202">
        <f>VLOOKUP(G1544,'CP FACTORS'!$A$3:$B$38, 2, FALSE)</f>
        <v>9.4741810000000004E-4</v>
      </c>
      <c r="I1544" s="1757">
        <f t="shared" si="157"/>
        <v>0.55433399999999999</v>
      </c>
      <c r="J1544" s="141">
        <f t="shared" si="163"/>
        <v>12</v>
      </c>
      <c r="K1544" s="908">
        <f t="shared" si="164"/>
        <v>0</v>
      </c>
      <c r="L1544" s="909"/>
      <c r="M1544" s="1797"/>
      <c r="N1544" s="1794"/>
      <c r="O1544" s="1249"/>
      <c r="P1544" s="157"/>
      <c r="Q1544" s="157"/>
      <c r="R1544" s="1627"/>
      <c r="S1544" s="157"/>
      <c r="T1544" s="157"/>
      <c r="U1544" s="1798"/>
      <c r="V1544" s="2309" t="s">
        <v>20</v>
      </c>
      <c r="W1544" s="910">
        <v>585.10045248868789</v>
      </c>
      <c r="X1544" s="917">
        <v>585.10045248868789</v>
      </c>
      <c r="Y1544" s="825">
        <v>585.1</v>
      </c>
      <c r="Z1544" s="825">
        <v>585.1</v>
      </c>
      <c r="AA1544" s="825">
        <v>585.1</v>
      </c>
      <c r="AB1544" s="2582">
        <v>585.1</v>
      </c>
      <c r="AC1544" s="910"/>
      <c r="AD1544" s="910"/>
      <c r="AE1544" s="910"/>
      <c r="AF1544" s="910"/>
      <c r="AG1544" s="910"/>
      <c r="AH1544" s="211"/>
      <c r="AK1544" s="912"/>
      <c r="BB1544" s="822"/>
      <c r="BC1544" s="821" t="str">
        <f t="shared" si="158"/>
        <v>Cooling Res ER2 12 Year EUL</v>
      </c>
      <c r="BD1544" s="752">
        <f>(INDEX('Avoided Cost Benefits'!$C$4:$C$857,MATCH(BC1544,'Avoided Cost Benefits'!$A$4:$A$857,0)))*F1544</f>
        <v>691.77748765896126</v>
      </c>
      <c r="BE1544" s="73">
        <f t="shared" si="166"/>
        <v>0</v>
      </c>
      <c r="BG1544" s="776"/>
      <c r="BH1544" s="913"/>
      <c r="BI1544" s="776"/>
    </row>
    <row r="1545" spans="1:61" s="64" customFormat="1" x14ac:dyDescent="0.25">
      <c r="A1545" s="1393" t="str">
        <f t="shared" si="165"/>
        <v>354100_2019_12_Heating Res ER2</v>
      </c>
      <c r="B1545" s="157"/>
      <c r="C1545" s="1352" t="s">
        <v>1426</v>
      </c>
      <c r="D1545" s="1756" t="s">
        <v>740</v>
      </c>
      <c r="E1545" s="750" t="s">
        <v>1428</v>
      </c>
      <c r="F1545" s="2582">
        <f>ROUND(((K1751*K1879*(1/K2007-1/K2135)*K2775)/1000)*$K$2834,2)</f>
        <v>10399.66</v>
      </c>
      <c r="G1545" s="1787" t="s">
        <v>1332</v>
      </c>
      <c r="H1545" s="202">
        <f>VLOOKUP(G1545,'CP FACTORS'!$A$3:$B$38, 2, FALSE)</f>
        <v>0</v>
      </c>
      <c r="I1545" s="1757">
        <f t="shared" si="157"/>
        <v>0</v>
      </c>
      <c r="J1545" s="141">
        <f t="shared" si="163"/>
        <v>12</v>
      </c>
      <c r="K1545" s="908">
        <f t="shared" si="164"/>
        <v>0</v>
      </c>
      <c r="L1545" s="909"/>
      <c r="M1545" s="1797"/>
      <c r="N1545" s="1794"/>
      <c r="O1545" s="1249"/>
      <c r="P1545" s="157"/>
      <c r="Q1545" s="157"/>
      <c r="R1545" s="1627"/>
      <c r="S1545" s="157"/>
      <c r="T1545" s="157"/>
      <c r="U1545" s="1798"/>
      <c r="V1545" s="2309" t="s">
        <v>20</v>
      </c>
      <c r="W1545" s="910">
        <v>13965.852998065762</v>
      </c>
      <c r="X1545" s="911">
        <v>10399.659574468084</v>
      </c>
      <c r="Y1545" s="825">
        <v>10399.66</v>
      </c>
      <c r="Z1545" s="825">
        <v>10399.66</v>
      </c>
      <c r="AA1545" s="825">
        <v>10399.66</v>
      </c>
      <c r="AB1545" s="2582">
        <v>10399.66</v>
      </c>
      <c r="AC1545" s="910"/>
      <c r="AD1545" s="910"/>
      <c r="AE1545" s="910"/>
      <c r="AF1545" s="910"/>
      <c r="AG1545" s="910"/>
      <c r="AH1545" s="211"/>
      <c r="AK1545" s="912"/>
      <c r="BB1545" s="822"/>
      <c r="BC1545" s="750" t="str">
        <f t="shared" si="158"/>
        <v>Heating Res ER2 12 Year EUL</v>
      </c>
      <c r="BD1545" s="752">
        <f>(INDEX('Avoided Cost Benefits'!$C$4:$C$857,MATCH(BC1545,'Avoided Cost Benefits'!$A$4:$A$857,0)))*F1545</f>
        <v>3074.9985027651505</v>
      </c>
      <c r="BE1545" s="73">
        <f t="shared" si="166"/>
        <v>0</v>
      </c>
      <c r="BG1545" s="776"/>
      <c r="BH1545" s="913"/>
      <c r="BI1545" s="776"/>
    </row>
    <row r="1546" spans="1:61" s="64" customFormat="1" x14ac:dyDescent="0.25">
      <c r="A1546" s="1393" t="str">
        <f t="shared" si="165"/>
        <v>354150_2019_12_Cooling Res</v>
      </c>
      <c r="B1546" s="157"/>
      <c r="C1546" s="1352" t="s">
        <v>1429</v>
      </c>
      <c r="D1546" s="1756" t="s">
        <v>742</v>
      </c>
      <c r="E1546" s="742" t="s">
        <v>1430</v>
      </c>
      <c r="F1546" s="2582">
        <f>ROUND((($K$2264*$K$2392*(1/$K$2520-1/$K$2648)*$K$2776)/1000)*$K$2834,2)</f>
        <v>1286.47</v>
      </c>
      <c r="G1546" s="263" t="s">
        <v>1273</v>
      </c>
      <c r="H1546" s="202">
        <f>VLOOKUP(G1546,'CP FACTORS'!$A$3:$B$38, 2, FALSE)</f>
        <v>9.4741810000000004E-4</v>
      </c>
      <c r="I1546" s="1757">
        <f t="shared" si="157"/>
        <v>1.218825</v>
      </c>
      <c r="J1546" s="141">
        <f t="shared" si="163"/>
        <v>6</v>
      </c>
      <c r="K1546" s="908">
        <f t="shared" si="164"/>
        <v>1205.4598012161669</v>
      </c>
      <c r="L1546" s="909">
        <f>L1752</f>
        <v>3.1</v>
      </c>
      <c r="M1546" s="1797"/>
      <c r="N1546" s="1794"/>
      <c r="O1546" s="1249"/>
      <c r="P1546" s="157"/>
      <c r="Q1546" s="157"/>
      <c r="R1546" s="1627"/>
      <c r="S1546" s="157"/>
      <c r="T1546" s="157"/>
      <c r="U1546" s="1798"/>
      <c r="V1546" s="2309" t="s">
        <v>20</v>
      </c>
      <c r="W1546" s="910">
        <v>1854.0370588235296</v>
      </c>
      <c r="X1546" s="911">
        <v>1286.4746938775511</v>
      </c>
      <c r="Y1546" s="825">
        <v>1286.47</v>
      </c>
      <c r="Z1546" s="825">
        <v>1286.47</v>
      </c>
      <c r="AA1546" s="825">
        <v>1286.47</v>
      </c>
      <c r="AB1546" s="2582">
        <v>1286.47</v>
      </c>
      <c r="AC1546" s="910"/>
      <c r="AD1546" s="910"/>
      <c r="AE1546" s="910"/>
      <c r="AF1546" s="910"/>
      <c r="AG1546" s="910"/>
      <c r="AH1546" s="211"/>
      <c r="AK1546" s="912"/>
      <c r="BB1546" s="293">
        <f>(BD1546+BD1547+BD1548+BD1549)/(BE1546+BE1547+BE1548+BE1549)</f>
        <v>3.79767207759211</v>
      </c>
      <c r="BC1546" s="742" t="str">
        <f t="shared" si="158"/>
        <v>Cooling Res 6 Year EUL</v>
      </c>
      <c r="BD1546" s="752">
        <f>(INDEX('Avoided Cost Benefits'!$C$4:$C$857,MATCH(BC1546,'Avoided Cost Benefits'!$A$4:$A$857,0)))*F1546</f>
        <v>748.061931090999</v>
      </c>
      <c r="BE1546" s="73">
        <f t="shared" si="166"/>
        <v>1137.7629081794873</v>
      </c>
      <c r="BG1546" s="776"/>
      <c r="BH1546" s="913"/>
      <c r="BI1546" s="776"/>
    </row>
    <row r="1547" spans="1:61" s="64" customFormat="1" x14ac:dyDescent="0.25">
      <c r="A1547" s="1393" t="str">
        <f t="shared" si="165"/>
        <v>354150_2019_12_Heating Res</v>
      </c>
      <c r="B1547" s="157"/>
      <c r="C1547" s="1352" t="s">
        <v>1429</v>
      </c>
      <c r="D1547" s="1756" t="s">
        <v>742</v>
      </c>
      <c r="E1547" s="821" t="s">
        <v>1430</v>
      </c>
      <c r="F1547" s="2582">
        <f>ROUND((($K$1752*$K$1880*(1/$K$2008-1/$K$2136)*$K$2776)/1000)*$K$2834,2)</f>
        <v>6759.78</v>
      </c>
      <c r="G1547" s="263" t="s">
        <v>1275</v>
      </c>
      <c r="H1547" s="202">
        <f>VLOOKUP(G1547,'CP FACTORS'!$A$3:$B$38, 2, FALSE)</f>
        <v>0</v>
      </c>
      <c r="I1547" s="1757">
        <f t="shared" si="157"/>
        <v>0</v>
      </c>
      <c r="J1547" s="141">
        <f t="shared" si="163"/>
        <v>6</v>
      </c>
      <c r="K1547" s="908">
        <f t="shared" si="164"/>
        <v>0</v>
      </c>
      <c r="L1547" s="909"/>
      <c r="M1547" s="1797"/>
      <c r="N1547" s="1794"/>
      <c r="O1547" s="1249"/>
      <c r="P1547" s="157"/>
      <c r="Q1547" s="157"/>
      <c r="R1547" s="1627"/>
      <c r="S1547" s="157"/>
      <c r="T1547" s="157"/>
      <c r="U1547" s="1798"/>
      <c r="V1547" s="2309" t="s">
        <v>20</v>
      </c>
      <c r="W1547" s="910">
        <v>9077.8044487427451</v>
      </c>
      <c r="X1547" s="911">
        <v>6759.7787234042544</v>
      </c>
      <c r="Y1547" s="825">
        <v>6759.78</v>
      </c>
      <c r="Z1547" s="825">
        <v>6759.78</v>
      </c>
      <c r="AA1547" s="825">
        <v>6759.78</v>
      </c>
      <c r="AB1547" s="2582">
        <v>6759.78</v>
      </c>
      <c r="AC1547" s="910"/>
      <c r="AD1547" s="910"/>
      <c r="AE1547" s="910"/>
      <c r="AF1547" s="910"/>
      <c r="AG1547" s="910"/>
      <c r="AH1547" s="211"/>
      <c r="AK1547" s="912"/>
      <c r="BB1547" s="822"/>
      <c r="BC1547" s="821" t="str">
        <f t="shared" si="158"/>
        <v>Heating Res 6 Year EUL</v>
      </c>
      <c r="BD1547" s="752">
        <f>(INDEX('Avoided Cost Benefits'!$C$4:$C$857,MATCH(BC1547,'Avoided Cost Benefits'!$A$4:$A$857,0)))*F1547</f>
        <v>1124.3778951463969</v>
      </c>
      <c r="BE1547" s="73">
        <f t="shared" si="166"/>
        <v>0</v>
      </c>
      <c r="BG1547" s="776"/>
      <c r="BH1547" s="913"/>
      <c r="BI1547" s="776"/>
    </row>
    <row r="1548" spans="1:61" s="64" customFormat="1" x14ac:dyDescent="0.25">
      <c r="A1548" s="1393" t="str">
        <f t="shared" si="165"/>
        <v>354150_2019_12_Cooling Res ER2</v>
      </c>
      <c r="B1548" s="157"/>
      <c r="C1548" s="1352" t="s">
        <v>1429</v>
      </c>
      <c r="D1548" s="1756" t="s">
        <v>742</v>
      </c>
      <c r="E1548" s="821" t="s">
        <v>1431</v>
      </c>
      <c r="F1548" s="2582">
        <f>ROUND((($K$2265*$K$2393*(1/$K$2521-1/$K$2649)*$K$2777)/1000)*$K$2834,2)</f>
        <v>380.32</v>
      </c>
      <c r="G1548" s="1787" t="s">
        <v>1314</v>
      </c>
      <c r="H1548" s="202">
        <f>VLOOKUP(G1548,'CP FACTORS'!$A$3:$B$38, 2, FALSE)</f>
        <v>9.4741810000000004E-4</v>
      </c>
      <c r="I1548" s="1757">
        <f t="shared" si="157"/>
        <v>0.36032199999999998</v>
      </c>
      <c r="J1548" s="141">
        <f t="shared" si="163"/>
        <v>12</v>
      </c>
      <c r="K1548" s="908">
        <f t="shared" si="164"/>
        <v>0</v>
      </c>
      <c r="L1548" s="909"/>
      <c r="M1548" s="1797"/>
      <c r="N1548" s="1794"/>
      <c r="O1548" s="1249"/>
      <c r="P1548" s="157"/>
      <c r="Q1548" s="157"/>
      <c r="R1548" s="1627"/>
      <c r="S1548" s="157"/>
      <c r="T1548" s="157"/>
      <c r="U1548" s="1798"/>
      <c r="V1548" s="2309" t="s">
        <v>20</v>
      </c>
      <c r="W1548" s="910">
        <v>380.31529411764717</v>
      </c>
      <c r="X1548" s="917">
        <v>380.31529411764717</v>
      </c>
      <c r="Y1548" s="825">
        <v>380.32</v>
      </c>
      <c r="Z1548" s="825">
        <v>380.32</v>
      </c>
      <c r="AA1548" s="825">
        <v>380.32</v>
      </c>
      <c r="AB1548" s="2582">
        <v>380.32</v>
      </c>
      <c r="AC1548" s="910"/>
      <c r="AD1548" s="910"/>
      <c r="AE1548" s="910"/>
      <c r="AF1548" s="910"/>
      <c r="AG1548" s="910"/>
      <c r="AH1548" s="211"/>
      <c r="AK1548" s="912"/>
      <c r="BB1548" s="822"/>
      <c r="BC1548" s="821" t="str">
        <f t="shared" si="158"/>
        <v>Cooling Res ER2 12 Year EUL</v>
      </c>
      <c r="BD1548" s="752">
        <f>(INDEX('Avoided Cost Benefits'!$C$4:$C$857,MATCH(BC1548,'Avoided Cost Benefits'!$A$4:$A$857,0)))*F1548</f>
        <v>449.66127859589153</v>
      </c>
      <c r="BE1548" s="73">
        <f t="shared" si="166"/>
        <v>0</v>
      </c>
      <c r="BG1548" s="776"/>
      <c r="BH1548" s="913"/>
      <c r="BI1548" s="776"/>
    </row>
    <row r="1549" spans="1:61" s="64" customFormat="1" x14ac:dyDescent="0.25">
      <c r="A1549" s="1393" t="str">
        <f t="shared" si="165"/>
        <v>354150_2019_12_Heating Res ER2</v>
      </c>
      <c r="B1549" s="157"/>
      <c r="C1549" s="1352" t="s">
        <v>1429</v>
      </c>
      <c r="D1549" s="1756" t="s">
        <v>742</v>
      </c>
      <c r="E1549" s="750" t="s">
        <v>1431</v>
      </c>
      <c r="F1549" s="2582">
        <f>ROUND((($K$1753*$K$1881*(1/$K$2009-1/$K$2137)*$K$2777)/1000)*$K$2834,2)</f>
        <v>6759.78</v>
      </c>
      <c r="G1549" s="1787" t="s">
        <v>1332</v>
      </c>
      <c r="H1549" s="202">
        <f>VLOOKUP(G1549,'CP FACTORS'!$A$3:$B$38, 2, FALSE)</f>
        <v>0</v>
      </c>
      <c r="I1549" s="1757">
        <f t="shared" si="157"/>
        <v>0</v>
      </c>
      <c r="J1549" s="141">
        <f t="shared" si="163"/>
        <v>12</v>
      </c>
      <c r="K1549" s="908">
        <f t="shared" si="164"/>
        <v>0</v>
      </c>
      <c r="L1549" s="909"/>
      <c r="M1549" s="1797"/>
      <c r="N1549" s="1794"/>
      <c r="O1549" s="1249"/>
      <c r="P1549" s="157"/>
      <c r="Q1549" s="157"/>
      <c r="R1549" s="1627"/>
      <c r="S1549" s="157"/>
      <c r="T1549" s="157"/>
      <c r="U1549" s="1798"/>
      <c r="V1549" s="2309" t="s">
        <v>20</v>
      </c>
      <c r="W1549" s="910">
        <v>9077.8044487427451</v>
      </c>
      <c r="X1549" s="911">
        <v>6759.7787234042544</v>
      </c>
      <c r="Y1549" s="825">
        <v>6759.78</v>
      </c>
      <c r="Z1549" s="825">
        <v>6759.78</v>
      </c>
      <c r="AA1549" s="825">
        <v>6759.78</v>
      </c>
      <c r="AB1549" s="2582">
        <v>6759.78</v>
      </c>
      <c r="AC1549" s="910"/>
      <c r="AD1549" s="910"/>
      <c r="AE1549" s="910"/>
      <c r="AF1549" s="910"/>
      <c r="AG1549" s="910"/>
      <c r="AH1549" s="211"/>
      <c r="AK1549" s="912"/>
      <c r="BB1549" s="822"/>
      <c r="BC1549" s="750" t="str">
        <f t="shared" si="158"/>
        <v>Heating Res ER2 12 Year EUL</v>
      </c>
      <c r="BD1549" s="752">
        <f>(INDEX('Avoided Cost Benefits'!$C$4:$C$857,MATCH(BC1549,'Avoided Cost Benefits'!$A$4:$A$857,0)))*F1549</f>
        <v>1998.7493224799473</v>
      </c>
      <c r="BE1549" s="73">
        <f t="shared" si="166"/>
        <v>0</v>
      </c>
      <c r="BG1549" s="776"/>
      <c r="BH1549" s="913"/>
      <c r="BI1549" s="776"/>
    </row>
    <row r="1550" spans="1:61" s="64" customFormat="1" x14ac:dyDescent="0.25">
      <c r="A1550" s="1393" t="str">
        <f t="shared" si="165"/>
        <v>354151_2019_12_Cooling Res</v>
      </c>
      <c r="B1550" s="157"/>
      <c r="C1550" s="1352" t="s">
        <v>1432</v>
      </c>
      <c r="D1550" s="1756" t="s">
        <v>737</v>
      </c>
      <c r="E1550" s="742" t="str">
        <f>CONCATENATE(E1546,"_CompE")</f>
        <v>ASHP - SEER 17 - replace electric furnace / CAC - early replacement MF ER1_CompE</v>
      </c>
      <c r="F1550" s="2582">
        <f>ROUND((($K$2266*$K$2394*(1/$K$2522-1/$K$2650)*$K$2778)/1000)*$K$2834,2)</f>
        <v>935.62</v>
      </c>
      <c r="G1550" s="263" t="str">
        <f t="shared" ref="G1550:K1553" si="167">G1546</f>
        <v>Cooling Res</v>
      </c>
      <c r="H1550" s="202">
        <f t="shared" si="167"/>
        <v>9.4741810000000004E-4</v>
      </c>
      <c r="I1550" s="1801">
        <f t="shared" si="157"/>
        <v>0.88642299999999996</v>
      </c>
      <c r="J1550" s="141">
        <f>J1546</f>
        <v>6</v>
      </c>
      <c r="K1550" s="908">
        <f>K1546</f>
        <v>1205.4598012161669</v>
      </c>
      <c r="L1550" s="909">
        <f>L1546</f>
        <v>3.1</v>
      </c>
      <c r="M1550" s="1797"/>
      <c r="N1550" s="1794"/>
      <c r="O1550" s="1249"/>
      <c r="P1550" s="157"/>
      <c r="Q1550" s="157"/>
      <c r="R1550" s="1627"/>
      <c r="S1550" s="157"/>
      <c r="T1550" s="157"/>
      <c r="U1550" s="1798"/>
      <c r="V1550" s="2309" t="s">
        <v>20</v>
      </c>
      <c r="W1550" s="910"/>
      <c r="X1550" s="911"/>
      <c r="Y1550" s="830">
        <v>935.62</v>
      </c>
      <c r="Z1550" s="825">
        <v>935.62</v>
      </c>
      <c r="AA1550" s="825">
        <v>935.62</v>
      </c>
      <c r="AB1550" s="2582">
        <v>935.62</v>
      </c>
      <c r="AC1550" s="910"/>
      <c r="AD1550" s="910"/>
      <c r="AE1550" s="910"/>
      <c r="AF1550" s="910"/>
      <c r="AG1550" s="910"/>
      <c r="AH1550" s="211"/>
      <c r="AK1550" s="912"/>
      <c r="BB1550" s="293">
        <f>(BD1550+BD1551+BD1552+BD1553)/(BE1550+BE1551+BE1552+BE1553)</f>
        <v>1.7013819924277789</v>
      </c>
      <c r="BC1550" s="742" t="str">
        <f t="shared" si="158"/>
        <v>Cooling Res 6 Year EUL</v>
      </c>
      <c r="BD1550" s="752">
        <f>(INDEX('Avoided Cost Benefits'!$C$4:$C$857,MATCH(BC1550,'Avoided Cost Benefits'!$A$4:$A$857,0)))*F1550</f>
        <v>544.04821252525164</v>
      </c>
      <c r="BE1550" s="73">
        <f t="shared" si="166"/>
        <v>1137.7629081794873</v>
      </c>
      <c r="BG1550" s="776"/>
      <c r="BH1550" s="916"/>
      <c r="BI1550" s="776"/>
    </row>
    <row r="1551" spans="1:61" s="64" customFormat="1" x14ac:dyDescent="0.25">
      <c r="A1551" s="1393" t="str">
        <f t="shared" si="165"/>
        <v>354151_2019_12_Heating Res</v>
      </c>
      <c r="B1551" s="157"/>
      <c r="C1551" s="1352" t="str">
        <f>C1550</f>
        <v>354151_2019_12_</v>
      </c>
      <c r="D1551" s="1756" t="s">
        <v>737</v>
      </c>
      <c r="E1551" s="821" t="str">
        <f>CONCATENATE(E1547,"_CompE")</f>
        <v>ASHP - SEER 17 - replace electric furnace / CAC - early replacement MF ER1_CompE</v>
      </c>
      <c r="F1551" s="2582">
        <f>ROUND((($K$1754*$K$1882*(1/$K$2010-1/$K$2138)*$K$2778)/1000)*$K$2834,2)</f>
        <v>2304.4699999999998</v>
      </c>
      <c r="G1551" s="263" t="str">
        <f t="shared" si="167"/>
        <v>Heating Res</v>
      </c>
      <c r="H1551" s="202">
        <f t="shared" si="167"/>
        <v>0</v>
      </c>
      <c r="I1551" s="1801">
        <f t="shared" si="157"/>
        <v>0</v>
      </c>
      <c r="J1551" s="141">
        <f t="shared" si="167"/>
        <v>6</v>
      </c>
      <c r="K1551" s="908">
        <f t="shared" si="167"/>
        <v>0</v>
      </c>
      <c r="L1551" s="909"/>
      <c r="M1551" s="1797"/>
      <c r="N1551" s="1794"/>
      <c r="O1551" s="1249"/>
      <c r="P1551" s="157"/>
      <c r="Q1551" s="157"/>
      <c r="R1551" s="1627"/>
      <c r="S1551" s="157"/>
      <c r="T1551" s="157"/>
      <c r="U1551" s="1798"/>
      <c r="V1551" s="2309" t="s">
        <v>20</v>
      </c>
      <c r="W1551" s="910"/>
      <c r="X1551" s="911"/>
      <c r="Y1551" s="830">
        <v>2304.4699999999998</v>
      </c>
      <c r="Z1551" s="825">
        <v>2304.4699999999998</v>
      </c>
      <c r="AA1551" s="825">
        <v>2304.4699999999998</v>
      </c>
      <c r="AB1551" s="2582">
        <v>2304.4699999999998</v>
      </c>
      <c r="AC1551" s="910"/>
      <c r="AD1551" s="910"/>
      <c r="AE1551" s="910"/>
      <c r="AF1551" s="910"/>
      <c r="AG1551" s="910"/>
      <c r="AH1551" s="211"/>
      <c r="AK1551" s="912"/>
      <c r="BB1551" s="822"/>
      <c r="BC1551" s="821" t="str">
        <f t="shared" si="158"/>
        <v>Heating Res 6 Year EUL</v>
      </c>
      <c r="BD1551" s="752">
        <f>(INDEX('Avoided Cost Benefits'!$C$4:$C$857,MATCH(BC1551,'Avoided Cost Benefits'!$A$4:$A$857,0)))*F1551</f>
        <v>383.31057046649704</v>
      </c>
      <c r="BE1551" s="73">
        <f t="shared" si="166"/>
        <v>0</v>
      </c>
      <c r="BG1551" s="776"/>
      <c r="BH1551" s="916"/>
      <c r="BI1551" s="776"/>
    </row>
    <row r="1552" spans="1:61" s="64" customFormat="1" x14ac:dyDescent="0.25">
      <c r="A1552" s="1393" t="str">
        <f t="shared" si="165"/>
        <v>354151_2019_12_Cooling Res ER2</v>
      </c>
      <c r="B1552" s="157"/>
      <c r="C1552" s="1352" t="str">
        <f>C1551</f>
        <v>354151_2019_12_</v>
      </c>
      <c r="D1552" s="1756" t="s">
        <v>737</v>
      </c>
      <c r="E1552" s="821" t="str">
        <f>CONCATENATE(E1548,"_CompE")</f>
        <v>ASHP - SEER 17 - replace electric furnace / CAC - early replacement MF ER2_CompE</v>
      </c>
      <c r="F1552" s="2582">
        <f>ROUND((($K$2267*$K$2395*(1/$K$2523-1/$K$2651)*$K$2779)/1000)*$K$2834,2)</f>
        <v>276.58999999999997</v>
      </c>
      <c r="G1552" s="263" t="str">
        <f t="shared" si="167"/>
        <v>Cooling Res ER2</v>
      </c>
      <c r="H1552" s="202">
        <f t="shared" si="167"/>
        <v>9.4741810000000004E-4</v>
      </c>
      <c r="I1552" s="1801">
        <f t="shared" si="157"/>
        <v>0.262046</v>
      </c>
      <c r="J1552" s="141">
        <f t="shared" si="167"/>
        <v>12</v>
      </c>
      <c r="K1552" s="908">
        <f t="shared" si="167"/>
        <v>0</v>
      </c>
      <c r="L1552" s="909"/>
      <c r="M1552" s="1797"/>
      <c r="N1552" s="1794"/>
      <c r="O1552" s="1249"/>
      <c r="P1552" s="157"/>
      <c r="Q1552" s="157"/>
      <c r="R1552" s="1627"/>
      <c r="S1552" s="157"/>
      <c r="T1552" s="157"/>
      <c r="U1552" s="1798"/>
      <c r="V1552" s="2309" t="s">
        <v>20</v>
      </c>
      <c r="W1552" s="910"/>
      <c r="X1552" s="911"/>
      <c r="Y1552" s="830">
        <v>276.58999999999997</v>
      </c>
      <c r="Z1552" s="825">
        <v>276.58999999999997</v>
      </c>
      <c r="AA1552" s="825">
        <v>276.58999999999997</v>
      </c>
      <c r="AB1552" s="2582">
        <v>276.58999999999997</v>
      </c>
      <c r="AC1552" s="910"/>
      <c r="AD1552" s="910"/>
      <c r="AE1552" s="910"/>
      <c r="AF1552" s="910"/>
      <c r="AG1552" s="910"/>
      <c r="AH1552" s="211"/>
      <c r="AK1552" s="912"/>
      <c r="BB1552" s="822"/>
      <c r="BC1552" s="821" t="str">
        <f t="shared" si="158"/>
        <v>Cooling Res ER2 12 Year EUL</v>
      </c>
      <c r="BD1552" s="752">
        <f>(INDEX('Avoided Cost Benefits'!$C$4:$C$857,MATCH(BC1552,'Avoided Cost Benefits'!$A$4:$A$857,0)))*F1552</f>
        <v>327.01886055647253</v>
      </c>
      <c r="BE1552" s="73">
        <f t="shared" si="166"/>
        <v>0</v>
      </c>
      <c r="BG1552" s="776"/>
      <c r="BH1552" s="916"/>
      <c r="BI1552" s="776"/>
    </row>
    <row r="1553" spans="1:61" s="64" customFormat="1" x14ac:dyDescent="0.25">
      <c r="A1553" s="1393" t="str">
        <f t="shared" si="165"/>
        <v>354151_2019_12_Heating Res ER2</v>
      </c>
      <c r="B1553" s="157"/>
      <c r="C1553" s="1352" t="str">
        <f>C1552</f>
        <v>354151_2019_12_</v>
      </c>
      <c r="D1553" s="1756" t="s">
        <v>737</v>
      </c>
      <c r="E1553" s="750" t="str">
        <f>CONCATENATE(E1549,"_CompE")</f>
        <v>ASHP - SEER 17 - replace electric furnace / CAC - early replacement MF ER2_CompE</v>
      </c>
      <c r="F1553" s="2582">
        <f>ROUND((($K$1755*$K$1883*(1/$K$2011-1/$K$2139)*$K$2779)/1000)*$K$2834,2)</f>
        <v>2304.4699999999998</v>
      </c>
      <c r="G1553" s="263" t="str">
        <f t="shared" si="167"/>
        <v>Heating Res ER2</v>
      </c>
      <c r="H1553" s="202">
        <f t="shared" si="167"/>
        <v>0</v>
      </c>
      <c r="I1553" s="1801">
        <f t="shared" si="157"/>
        <v>0</v>
      </c>
      <c r="J1553" s="141">
        <f t="shared" si="167"/>
        <v>12</v>
      </c>
      <c r="K1553" s="908">
        <f t="shared" si="167"/>
        <v>0</v>
      </c>
      <c r="L1553" s="909"/>
      <c r="M1553" s="1797"/>
      <c r="N1553" s="1794"/>
      <c r="O1553" s="1249"/>
      <c r="P1553" s="157"/>
      <c r="Q1553" s="157"/>
      <c r="R1553" s="1627"/>
      <c r="S1553" s="157"/>
      <c r="T1553" s="157"/>
      <c r="U1553" s="1798"/>
      <c r="V1553" s="2309" t="s">
        <v>20</v>
      </c>
      <c r="W1553" s="910"/>
      <c r="X1553" s="911"/>
      <c r="Y1553" s="830">
        <v>2304.4699999999998</v>
      </c>
      <c r="Z1553" s="825">
        <v>2304.4699999999998</v>
      </c>
      <c r="AA1553" s="825">
        <v>2304.4699999999998</v>
      </c>
      <c r="AB1553" s="2582">
        <v>2304.4699999999998</v>
      </c>
      <c r="AC1553" s="910"/>
      <c r="AD1553" s="910"/>
      <c r="AE1553" s="910"/>
      <c r="AF1553" s="910"/>
      <c r="AG1553" s="910"/>
      <c r="AH1553" s="211"/>
      <c r="AK1553" s="912"/>
      <c r="BB1553" s="822"/>
      <c r="BC1553" s="750" t="str">
        <f t="shared" si="158"/>
        <v>Heating Res ER2 12 Year EUL</v>
      </c>
      <c r="BD1553" s="752">
        <f>(INDEX('Avoided Cost Benefits'!$C$4:$C$857,MATCH(BC1553,'Avoided Cost Benefits'!$A$4:$A$857,0)))*F1553</f>
        <v>681.39168008061858</v>
      </c>
      <c r="BE1553" s="73">
        <f t="shared" si="166"/>
        <v>0</v>
      </c>
      <c r="BG1553" s="776"/>
      <c r="BH1553" s="916"/>
      <c r="BI1553" s="776"/>
    </row>
    <row r="1554" spans="1:61" s="64" customFormat="1" x14ac:dyDescent="0.25">
      <c r="A1554" s="1393" t="str">
        <f t="shared" si="165"/>
        <v>354200_2019_12_Cooling Res</v>
      </c>
      <c r="B1554" s="157"/>
      <c r="C1554" s="1352" t="s">
        <v>1433</v>
      </c>
      <c r="D1554" s="1756" t="s">
        <v>742</v>
      </c>
      <c r="E1554" s="742" t="s">
        <v>1434</v>
      </c>
      <c r="F1554" s="2582">
        <f>ROUND(((K2268*K2396*(1/K2524-1/K2652)*K2780)/1000)*$K$2834,2)</f>
        <v>1369.47</v>
      </c>
      <c r="G1554" s="263" t="s">
        <v>1273</v>
      </c>
      <c r="H1554" s="202">
        <f>VLOOKUP(G1554,'CP FACTORS'!$A$3:$B$38, 2, FALSE)</f>
        <v>9.4741810000000004E-4</v>
      </c>
      <c r="I1554" s="1757">
        <f t="shared" si="157"/>
        <v>1.297461</v>
      </c>
      <c r="J1554" s="141">
        <f>K2941</f>
        <v>6</v>
      </c>
      <c r="K1554" s="908">
        <f>K3111</f>
        <v>1236.5217238752739</v>
      </c>
      <c r="L1554" s="909">
        <f>L1756</f>
        <v>3.3</v>
      </c>
      <c r="M1554" s="1797"/>
      <c r="N1554" s="1794"/>
      <c r="O1554" s="1249"/>
      <c r="P1554" s="157"/>
      <c r="Q1554" s="157"/>
      <c r="R1554" s="1627"/>
      <c r="S1554" s="157"/>
      <c r="T1554" s="157"/>
      <c r="U1554" s="1798"/>
      <c r="V1554" s="2309" t="s">
        <v>20</v>
      </c>
      <c r="W1554" s="910">
        <v>1790.9067647058826</v>
      </c>
      <c r="X1554" s="911">
        <v>1369.47306122449</v>
      </c>
      <c r="Y1554" s="825">
        <v>1369.47</v>
      </c>
      <c r="Z1554" s="825">
        <v>1369.47</v>
      </c>
      <c r="AA1554" s="825">
        <v>1369.47</v>
      </c>
      <c r="AB1554" s="2582">
        <v>1369.47</v>
      </c>
      <c r="AC1554" s="910"/>
      <c r="AD1554" s="910"/>
      <c r="AE1554" s="910"/>
      <c r="AF1554" s="910"/>
      <c r="AG1554" s="910"/>
      <c r="AH1554" s="211"/>
      <c r="AK1554" s="912"/>
      <c r="BB1554" s="293">
        <f>(BD1554+BD1555+BD1556+BD1557)/(BE1554+BE1555+BE1556+BE1557)</f>
        <v>1.3871227963822939</v>
      </c>
      <c r="BC1554" s="742" t="str">
        <f t="shared" si="158"/>
        <v>Cooling Res 6 Year EUL</v>
      </c>
      <c r="BD1554" s="752">
        <f>(INDEX('Avoided Cost Benefits'!$C$4:$C$857,MATCH(BC1554,'Avoided Cost Benefits'!$A$4:$A$857,0)))*F1554</f>
        <v>796.32511661460455</v>
      </c>
      <c r="BE1554" s="73">
        <f t="shared" si="166"/>
        <v>1167.0804378247039</v>
      </c>
      <c r="BG1554" s="776"/>
      <c r="BH1554" s="913"/>
      <c r="BI1554" s="776"/>
    </row>
    <row r="1555" spans="1:61" s="64" customFormat="1" x14ac:dyDescent="0.25">
      <c r="A1555" s="1393" t="str">
        <f t="shared" si="165"/>
        <v>354200_2019_12_Heating Res</v>
      </c>
      <c r="B1555" s="157"/>
      <c r="C1555" s="1352" t="s">
        <v>1433</v>
      </c>
      <c r="D1555" s="1756" t="s">
        <v>742</v>
      </c>
      <c r="E1555" s="821" t="s">
        <v>1434</v>
      </c>
      <c r="F1555" s="2582">
        <f>ROUND(((K1756*K1884*(1/K2012-1/K2140)*K2780)/1000)*$K$2834,2)</f>
        <v>1798.76</v>
      </c>
      <c r="G1555" s="263" t="s">
        <v>1275</v>
      </c>
      <c r="H1555" s="202">
        <f>VLOOKUP(G1555,'CP FACTORS'!$A$3:$B$38, 2, FALSE)</f>
        <v>0</v>
      </c>
      <c r="I1555" s="1757">
        <f t="shared" si="157"/>
        <v>0</v>
      </c>
      <c r="J1555" s="141">
        <f>K2942</f>
        <v>6</v>
      </c>
      <c r="K1555" s="908">
        <f>K3112</f>
        <v>0</v>
      </c>
      <c r="L1555" s="909"/>
      <c r="M1555" s="1797"/>
      <c r="N1555" s="1794"/>
      <c r="O1555" s="1249"/>
      <c r="P1555" s="157"/>
      <c r="Q1555" s="157"/>
      <c r="R1555" s="1627"/>
      <c r="S1555" s="157"/>
      <c r="T1555" s="157"/>
      <c r="U1555" s="1798"/>
      <c r="V1555" s="2309" t="s">
        <v>20</v>
      </c>
      <c r="W1555" s="910">
        <v>4062.4872213622284</v>
      </c>
      <c r="X1555" s="911">
        <v>1798.7611070228763</v>
      </c>
      <c r="Y1555" s="825">
        <v>1798.76</v>
      </c>
      <c r="Z1555" s="825">
        <v>1798.76</v>
      </c>
      <c r="AA1555" s="825">
        <v>1798.76</v>
      </c>
      <c r="AB1555" s="2582">
        <v>1798.76</v>
      </c>
      <c r="AC1555" s="910"/>
      <c r="AD1555" s="910"/>
      <c r="AE1555" s="910"/>
      <c r="AF1555" s="910"/>
      <c r="AG1555" s="910"/>
      <c r="AH1555" s="211"/>
      <c r="AK1555" s="912"/>
      <c r="BB1555" s="822"/>
      <c r="BC1555" s="821" t="str">
        <f t="shared" si="158"/>
        <v>Heating Res 6 Year EUL</v>
      </c>
      <c r="BD1555" s="752">
        <f>(INDEX('Avoided Cost Benefits'!$C$4:$C$857,MATCH(BC1555,'Avoided Cost Benefits'!$A$4:$A$857,0)))*F1555</f>
        <v>299.19405404813961</v>
      </c>
      <c r="BE1555" s="73">
        <f t="shared" si="166"/>
        <v>0</v>
      </c>
      <c r="BG1555" s="776"/>
      <c r="BH1555" s="913"/>
      <c r="BI1555" s="776"/>
    </row>
    <row r="1556" spans="1:61" s="64" customFormat="1" x14ac:dyDescent="0.25">
      <c r="A1556" s="1393" t="str">
        <f t="shared" si="165"/>
        <v>354200_2019_12_Cooling Res ER2</v>
      </c>
      <c r="B1556" s="157"/>
      <c r="C1556" s="1352" t="s">
        <v>1433</v>
      </c>
      <c r="D1556" s="1756" t="s">
        <v>742</v>
      </c>
      <c r="E1556" s="821" t="s">
        <v>1435</v>
      </c>
      <c r="F1556" s="2582">
        <f>ROUND(((K2269*K2397*(1/K2525-1/K2653)*K2781)/1000)*$K$2834,2)</f>
        <v>281.95</v>
      </c>
      <c r="G1556" s="1787" t="s">
        <v>1314</v>
      </c>
      <c r="H1556" s="202">
        <f>VLOOKUP(G1556,'CP FACTORS'!$A$3:$B$38, 2, FALSE)</f>
        <v>9.4741810000000004E-4</v>
      </c>
      <c r="I1556" s="1757">
        <f t="shared" si="157"/>
        <v>0.267125</v>
      </c>
      <c r="J1556" s="141">
        <f>K2943</f>
        <v>12</v>
      </c>
      <c r="K1556" s="908">
        <f>K3113</f>
        <v>0</v>
      </c>
      <c r="L1556" s="909"/>
      <c r="M1556" s="1797"/>
      <c r="N1556" s="1794"/>
      <c r="O1556" s="1249"/>
      <c r="P1556" s="157"/>
      <c r="Q1556" s="157"/>
      <c r="R1556" s="1627"/>
      <c r="S1556" s="157"/>
      <c r="T1556" s="157"/>
      <c r="U1556" s="1798"/>
      <c r="V1556" s="2309" t="s">
        <v>20</v>
      </c>
      <c r="W1556" s="910">
        <v>281.95033613445372</v>
      </c>
      <c r="X1556" s="917">
        <v>281.95033613445372</v>
      </c>
      <c r="Y1556" s="825">
        <v>281.95</v>
      </c>
      <c r="Z1556" s="825">
        <v>281.95</v>
      </c>
      <c r="AA1556" s="825">
        <v>281.95</v>
      </c>
      <c r="AB1556" s="2582">
        <v>281.95</v>
      </c>
      <c r="AC1556" s="910"/>
      <c r="AD1556" s="910"/>
      <c r="AE1556" s="910"/>
      <c r="AF1556" s="910"/>
      <c r="AG1556" s="910"/>
      <c r="AH1556" s="211"/>
      <c r="AK1556" s="912"/>
      <c r="BB1556" s="822"/>
      <c r="BC1556" s="821" t="str">
        <f t="shared" si="158"/>
        <v>Cooling Res ER2 12 Year EUL</v>
      </c>
      <c r="BD1556" s="752">
        <f>(INDEX('Avoided Cost Benefits'!$C$4:$C$857,MATCH(BC1556,'Avoided Cost Benefits'!$A$4:$A$857,0)))*F1556</f>
        <v>333.35611458800912</v>
      </c>
      <c r="BE1556" s="73">
        <f t="shared" si="166"/>
        <v>0</v>
      </c>
      <c r="BG1556" s="776"/>
      <c r="BH1556" s="913"/>
      <c r="BI1556" s="776"/>
    </row>
    <row r="1557" spans="1:61" s="64" customFormat="1" x14ac:dyDescent="0.25">
      <c r="A1557" s="1393" t="str">
        <f t="shared" si="165"/>
        <v>354200_2019_12_Heating Res ER2</v>
      </c>
      <c r="B1557" s="157"/>
      <c r="C1557" s="1352" t="s">
        <v>1433</v>
      </c>
      <c r="D1557" s="1756" t="s">
        <v>742</v>
      </c>
      <c r="E1557" s="750" t="s">
        <v>1435</v>
      </c>
      <c r="F1557" s="2582">
        <f xml:space="preserve"> ROUND(((K1757*K1885*(1/K2013-1/K2141)*K2781)/1000)*$K$2834,2)</f>
        <v>642.61</v>
      </c>
      <c r="G1557" s="1787" t="s">
        <v>1332</v>
      </c>
      <c r="H1557" s="202">
        <f>VLOOKUP(G1557,'CP FACTORS'!$A$3:$B$38, 2, FALSE)</f>
        <v>0</v>
      </c>
      <c r="I1557" s="1757">
        <f t="shared" si="157"/>
        <v>0</v>
      </c>
      <c r="J1557" s="141">
        <f>K2944</f>
        <v>12</v>
      </c>
      <c r="K1557" s="908">
        <f>K3114</f>
        <v>0</v>
      </c>
      <c r="L1557" s="909"/>
      <c r="M1557" s="1797"/>
      <c r="N1557" s="1794"/>
      <c r="O1557" s="1249"/>
      <c r="P1557" s="157"/>
      <c r="Q1557" s="157"/>
      <c r="R1557" s="1627"/>
      <c r="S1557" s="157"/>
      <c r="T1557" s="157"/>
      <c r="U1557" s="1798"/>
      <c r="V1557" s="2309" t="s">
        <v>20</v>
      </c>
      <c r="W1557" s="910">
        <v>862.96736842105349</v>
      </c>
      <c r="X1557" s="911">
        <v>642.6078562259313</v>
      </c>
      <c r="Y1557" s="825">
        <v>642.61</v>
      </c>
      <c r="Z1557" s="825">
        <v>642.61</v>
      </c>
      <c r="AA1557" s="825">
        <v>642.61</v>
      </c>
      <c r="AB1557" s="2582">
        <v>642.61</v>
      </c>
      <c r="AC1557" s="910"/>
      <c r="AD1557" s="910"/>
      <c r="AE1557" s="910"/>
      <c r="AF1557" s="910"/>
      <c r="AG1557" s="910"/>
      <c r="AH1557" s="211"/>
      <c r="AK1557" s="912"/>
      <c r="BB1557" s="822"/>
      <c r="BC1557" s="750" t="str">
        <f t="shared" si="158"/>
        <v>Heating Res ER2 12 Year EUL</v>
      </c>
      <c r="BD1557" s="752">
        <f>(INDEX('Avoided Cost Benefits'!$C$4:$C$857,MATCH(BC1557,'Avoided Cost Benefits'!$A$4:$A$857,0)))*F1557</f>
        <v>190.00859526772157</v>
      </c>
      <c r="BE1557" s="73">
        <f t="shared" si="166"/>
        <v>0</v>
      </c>
      <c r="BG1557" s="776"/>
      <c r="BH1557" s="913"/>
      <c r="BI1557" s="776"/>
    </row>
    <row r="1558" spans="1:61" s="64" customFormat="1" x14ac:dyDescent="0.25">
      <c r="A1558" s="1393" t="str">
        <f t="shared" si="165"/>
        <v>354201_2019_12_Cooling Res</v>
      </c>
      <c r="B1558" s="157"/>
      <c r="C1558" s="1352" t="s">
        <v>1436</v>
      </c>
      <c r="D1558" s="1756" t="s">
        <v>737</v>
      </c>
      <c r="E1558" s="742" t="str">
        <f>CONCATENATE(E1554,"_CompE")</f>
        <v>ASHP SEER 17 replace ASHP - early replacement MF ER1_CompE</v>
      </c>
      <c r="F1558" s="2582">
        <f>ROUND((($K$2270*$K$2398*(1/$K$2526-1/$K$2654)*$K$2782)/1000)*$K$2834,2)</f>
        <v>995.98</v>
      </c>
      <c r="G1558" s="263" t="str">
        <f t="shared" ref="G1558:K1561" si="168">G1554</f>
        <v>Cooling Res</v>
      </c>
      <c r="H1558" s="202">
        <f t="shared" si="168"/>
        <v>9.4741810000000004E-4</v>
      </c>
      <c r="I1558" s="1801">
        <f t="shared" si="157"/>
        <v>0.94360900000000003</v>
      </c>
      <c r="J1558" s="141">
        <f>J1554</f>
        <v>6</v>
      </c>
      <c r="K1558" s="908">
        <f>K1554</f>
        <v>1236.5217238752739</v>
      </c>
      <c r="L1558" s="909">
        <f>L1554</f>
        <v>3.3</v>
      </c>
      <c r="M1558" s="1797"/>
      <c r="N1558" s="1794"/>
      <c r="O1558" s="1249"/>
      <c r="P1558" s="157"/>
      <c r="Q1558" s="157"/>
      <c r="R1558" s="1627"/>
      <c r="S1558" s="157"/>
      <c r="T1558" s="157"/>
      <c r="U1558" s="1798"/>
      <c r="V1558" s="2309" t="s">
        <v>20</v>
      </c>
      <c r="W1558" s="910"/>
      <c r="X1558" s="911"/>
      <c r="Y1558" s="830">
        <v>995.98</v>
      </c>
      <c r="Z1558" s="825">
        <v>995.98</v>
      </c>
      <c r="AA1558" s="825">
        <v>995.98</v>
      </c>
      <c r="AB1558" s="2582">
        <v>995.98</v>
      </c>
      <c r="AC1558" s="910"/>
      <c r="AD1558" s="910"/>
      <c r="AE1558" s="910"/>
      <c r="AF1558" s="910"/>
      <c r="AG1558" s="910"/>
      <c r="AH1558" s="211"/>
      <c r="AK1558" s="912"/>
      <c r="BB1558" s="293">
        <f>(BD1558+BD1559+BD1560+BD1561)/(BE1558+BE1559+BE1560+BE1561)</f>
        <v>0.84686072713994065</v>
      </c>
      <c r="BC1558" s="742" t="str">
        <f t="shared" si="158"/>
        <v>Cooling Res 6 Year EUL</v>
      </c>
      <c r="BD1558" s="752">
        <f>(INDEX('Avoided Cost Benefits'!$C$4:$C$857,MATCH(BC1558,'Avoided Cost Benefits'!$A$4:$A$857,0)))*F1558</f>
        <v>579.14659660000871</v>
      </c>
      <c r="BE1558" s="73">
        <f t="shared" si="166"/>
        <v>1167.0804378247039</v>
      </c>
      <c r="BG1558" s="776"/>
      <c r="BH1558" s="916"/>
      <c r="BI1558" s="776"/>
    </row>
    <row r="1559" spans="1:61" s="64" customFormat="1" x14ac:dyDescent="0.25">
      <c r="A1559" s="1393" t="str">
        <f t="shared" si="165"/>
        <v>354201_2019_12_Heating Res</v>
      </c>
      <c r="B1559" s="157"/>
      <c r="C1559" s="1352" t="str">
        <f>C1558</f>
        <v>354201_2019_12_</v>
      </c>
      <c r="D1559" s="1756" t="s">
        <v>737</v>
      </c>
      <c r="E1559" s="821" t="str">
        <f>CONCATENATE(E1555,"_CompE")</f>
        <v>ASHP SEER 17 replace ASHP - early replacement MF ER1_CompE</v>
      </c>
      <c r="F1559" s="2582">
        <f>ROUND((($K$1758*$K$1886*(1/$K$2014-1/$K$2142)*$K$2782)/1000)*$K$2834,2)</f>
        <v>613.21</v>
      </c>
      <c r="G1559" s="263" t="str">
        <f t="shared" si="168"/>
        <v>Heating Res</v>
      </c>
      <c r="H1559" s="202">
        <f t="shared" si="168"/>
        <v>0</v>
      </c>
      <c r="I1559" s="1801">
        <f t="shared" si="157"/>
        <v>0</v>
      </c>
      <c r="J1559" s="141">
        <f t="shared" si="168"/>
        <v>6</v>
      </c>
      <c r="K1559" s="908">
        <f t="shared" si="168"/>
        <v>0</v>
      </c>
      <c r="L1559" s="909"/>
      <c r="M1559" s="1797"/>
      <c r="N1559" s="1794"/>
      <c r="O1559" s="1249"/>
      <c r="P1559" s="157"/>
      <c r="Q1559" s="157"/>
      <c r="R1559" s="1627"/>
      <c r="S1559" s="157"/>
      <c r="T1559" s="157"/>
      <c r="U1559" s="1798"/>
      <c r="V1559" s="2309" t="s">
        <v>20</v>
      </c>
      <c r="W1559" s="910"/>
      <c r="X1559" s="911"/>
      <c r="Y1559" s="830">
        <v>613.21</v>
      </c>
      <c r="Z1559" s="825">
        <v>613.21</v>
      </c>
      <c r="AA1559" s="825">
        <v>613.21</v>
      </c>
      <c r="AB1559" s="2582">
        <v>613.21</v>
      </c>
      <c r="AC1559" s="910"/>
      <c r="AD1559" s="910"/>
      <c r="AE1559" s="910"/>
      <c r="AF1559" s="910"/>
      <c r="AG1559" s="910"/>
      <c r="AH1559" s="211"/>
      <c r="AK1559" s="912"/>
      <c r="BB1559" s="822"/>
      <c r="BC1559" s="821" t="str">
        <f t="shared" si="158"/>
        <v>Heating Res 6 Year EUL</v>
      </c>
      <c r="BD1559" s="752">
        <f>(INDEX('Avoided Cost Benefits'!$C$4:$C$857,MATCH(BC1559,'Avoided Cost Benefits'!$A$4:$A$857,0)))*F1559</f>
        <v>101.99736812185043</v>
      </c>
      <c r="BE1559" s="73">
        <f t="shared" si="166"/>
        <v>0</v>
      </c>
      <c r="BG1559" s="776"/>
      <c r="BH1559" s="916"/>
      <c r="BI1559" s="776"/>
    </row>
    <row r="1560" spans="1:61" s="64" customFormat="1" x14ac:dyDescent="0.25">
      <c r="A1560" s="1393" t="str">
        <f t="shared" si="165"/>
        <v>354201_2019_12_Cooling Res ER2</v>
      </c>
      <c r="B1560" s="157"/>
      <c r="C1560" s="1352" t="str">
        <f>C1559</f>
        <v>354201_2019_12_</v>
      </c>
      <c r="D1560" s="1756" t="s">
        <v>737</v>
      </c>
      <c r="E1560" s="821" t="str">
        <f>CONCATENATE(E1556,"_CompE")</f>
        <v>ASHP SEER 17 replace ASHP - early replacement MF ER2_CompE</v>
      </c>
      <c r="F1560" s="2582">
        <f>ROUND((($K$2271*$K$2399*(1/$K$2527-1/$K$2655)*$K$2783)/1000)*$K$2834,2)</f>
        <v>205.05</v>
      </c>
      <c r="G1560" s="263" t="str">
        <f t="shared" si="168"/>
        <v>Cooling Res ER2</v>
      </c>
      <c r="H1560" s="202">
        <f t="shared" si="168"/>
        <v>9.4741810000000004E-4</v>
      </c>
      <c r="I1560" s="1801">
        <f t="shared" si="157"/>
        <v>0.194268</v>
      </c>
      <c r="J1560" s="141">
        <f t="shared" si="168"/>
        <v>12</v>
      </c>
      <c r="K1560" s="908">
        <f t="shared" si="168"/>
        <v>0</v>
      </c>
      <c r="L1560" s="909"/>
      <c r="M1560" s="1797"/>
      <c r="N1560" s="1794"/>
      <c r="O1560" s="1249"/>
      <c r="P1560" s="157"/>
      <c r="Q1560" s="157"/>
      <c r="R1560" s="1627"/>
      <c r="S1560" s="157"/>
      <c r="T1560" s="157"/>
      <c r="U1560" s="1798"/>
      <c r="V1560" s="2309" t="s">
        <v>20</v>
      </c>
      <c r="W1560" s="910"/>
      <c r="X1560" s="911"/>
      <c r="Y1560" s="830">
        <v>205.05</v>
      </c>
      <c r="Z1560" s="825">
        <v>205.05</v>
      </c>
      <c r="AA1560" s="825">
        <v>205.05</v>
      </c>
      <c r="AB1560" s="2582">
        <v>205.05</v>
      </c>
      <c r="AC1560" s="910"/>
      <c r="AD1560" s="910"/>
      <c r="AE1560" s="910"/>
      <c r="AF1560" s="910"/>
      <c r="AG1560" s="910"/>
      <c r="AH1560" s="211"/>
      <c r="AK1560" s="912"/>
      <c r="BB1560" s="822"/>
      <c r="BC1560" s="821" t="str">
        <f t="shared" si="158"/>
        <v>Cooling Res ER2 12 Year EUL</v>
      </c>
      <c r="BD1560" s="752">
        <f>(INDEX('Avoided Cost Benefits'!$C$4:$C$857,MATCH(BC1560,'Avoided Cost Benefits'!$A$4:$A$857,0)))*F1560</f>
        <v>242.43543641167324</v>
      </c>
      <c r="BE1560" s="73">
        <f t="shared" si="166"/>
        <v>0</v>
      </c>
      <c r="BG1560" s="776"/>
      <c r="BH1560" s="916"/>
      <c r="BI1560" s="776"/>
    </row>
    <row r="1561" spans="1:61" s="64" customFormat="1" x14ac:dyDescent="0.25">
      <c r="A1561" s="1393" t="str">
        <f t="shared" si="165"/>
        <v>354201_2019_12_Heating Res ER2</v>
      </c>
      <c r="B1561" s="157"/>
      <c r="C1561" s="1352" t="str">
        <f>C1560</f>
        <v>354201_2019_12_</v>
      </c>
      <c r="D1561" s="1756" t="s">
        <v>737</v>
      </c>
      <c r="E1561" s="750" t="str">
        <f>CONCATENATE(E1557,"_CompE")</f>
        <v>ASHP SEER 17 replace ASHP - early replacement MF ER2_CompE</v>
      </c>
      <c r="F1561" s="2582">
        <f>ROUND((($K$1759*$K$1887*(1/$K$2015-1/$K$2143)*$K$2783)/1000)*$K$2834,2)</f>
        <v>219.07</v>
      </c>
      <c r="G1561" s="263" t="str">
        <f t="shared" si="168"/>
        <v>Heating Res ER2</v>
      </c>
      <c r="H1561" s="202">
        <f t="shared" si="168"/>
        <v>0</v>
      </c>
      <c r="I1561" s="1801">
        <f t="shared" si="157"/>
        <v>0</v>
      </c>
      <c r="J1561" s="141">
        <f t="shared" si="168"/>
        <v>12</v>
      </c>
      <c r="K1561" s="908">
        <f t="shared" si="168"/>
        <v>0</v>
      </c>
      <c r="L1561" s="909"/>
      <c r="M1561" s="1797"/>
      <c r="N1561" s="1794"/>
      <c r="O1561" s="1249"/>
      <c r="P1561" s="157"/>
      <c r="Q1561" s="157"/>
      <c r="R1561" s="1627"/>
      <c r="S1561" s="157"/>
      <c r="T1561" s="157"/>
      <c r="U1561" s="1798"/>
      <c r="V1561" s="2309" t="s">
        <v>20</v>
      </c>
      <c r="W1561" s="910"/>
      <c r="X1561" s="911"/>
      <c r="Y1561" s="830">
        <v>219.07</v>
      </c>
      <c r="Z1561" s="825">
        <v>219.07</v>
      </c>
      <c r="AA1561" s="825">
        <v>219.07</v>
      </c>
      <c r="AB1561" s="2582">
        <v>219.07</v>
      </c>
      <c r="AC1561" s="910"/>
      <c r="AD1561" s="910"/>
      <c r="AE1561" s="910"/>
      <c r="AF1561" s="910"/>
      <c r="AG1561" s="910"/>
      <c r="AH1561" s="211"/>
      <c r="AK1561" s="912"/>
      <c r="BB1561" s="822"/>
      <c r="BC1561" s="750" t="str">
        <f t="shared" si="158"/>
        <v>Heating Res ER2 12 Year EUL</v>
      </c>
      <c r="BD1561" s="752">
        <f>(INDEX('Avoided Cost Benefits'!$C$4:$C$857,MATCH(BC1561,'Avoided Cost Benefits'!$A$4:$A$857,0)))*F1561</f>
        <v>64.775187073496781</v>
      </c>
      <c r="BE1561" s="73">
        <f t="shared" si="166"/>
        <v>0</v>
      </c>
      <c r="BG1561" s="776"/>
      <c r="BH1561" s="916"/>
      <c r="BI1561" s="776"/>
    </row>
    <row r="1562" spans="1:61" s="64" customFormat="1" x14ac:dyDescent="0.25">
      <c r="A1562" s="1393" t="str">
        <f t="shared" si="165"/>
        <v>354250_2019_12_Cooling Res</v>
      </c>
      <c r="B1562" s="157"/>
      <c r="C1562" s="1352" t="s">
        <v>1437</v>
      </c>
      <c r="D1562" s="1756" t="s">
        <v>740</v>
      </c>
      <c r="E1562" s="742" t="s">
        <v>1438</v>
      </c>
      <c r="F1562" s="2582">
        <f>ROUND(((K2272*K2400*(1/K2528-1/K2656)*K2784)/1000)*$K$2834,2)</f>
        <v>2709.13</v>
      </c>
      <c r="G1562" s="263" t="s">
        <v>1273</v>
      </c>
      <c r="H1562" s="202">
        <f>VLOOKUP(G1562,'CP FACTORS'!$A$3:$B$38, 2, FALSE)</f>
        <v>9.4741810000000004E-4</v>
      </c>
      <c r="I1562" s="1757">
        <f t="shared" si="157"/>
        <v>2.5666790000000002</v>
      </c>
      <c r="J1562" s="141">
        <f t="shared" ref="J1562:J1569" si="169">K2945</f>
        <v>6</v>
      </c>
      <c r="K1562" s="908">
        <f t="shared" ref="K1562:K1569" si="170">K3115</f>
        <v>1778.604441180808</v>
      </c>
      <c r="L1562" s="909">
        <f>L1760</f>
        <v>3.4137931034482758</v>
      </c>
      <c r="M1562" s="1797"/>
      <c r="N1562" s="1794"/>
      <c r="O1562" s="1249"/>
      <c r="P1562" s="157"/>
      <c r="Q1562" s="157"/>
      <c r="R1562" s="1627"/>
      <c r="S1562" s="157"/>
      <c r="T1562" s="157"/>
      <c r="U1562" s="1798"/>
      <c r="V1562" s="2309" t="s">
        <v>20</v>
      </c>
      <c r="W1562" s="910">
        <v>2958.0078431372549</v>
      </c>
      <c r="X1562" s="911">
        <v>2084.8349739895957</v>
      </c>
      <c r="Y1562" s="825">
        <v>2084.83</v>
      </c>
      <c r="Z1562" s="825">
        <v>2084.83</v>
      </c>
      <c r="AA1562" s="825">
        <v>2084.83</v>
      </c>
      <c r="AB1562" s="488">
        <v>2709.13</v>
      </c>
      <c r="AC1562" s="910"/>
      <c r="AD1562" s="910"/>
      <c r="AE1562" s="910"/>
      <c r="AF1562" s="910"/>
      <c r="AG1562" s="910"/>
      <c r="AH1562" s="211"/>
      <c r="AK1562" s="912"/>
      <c r="BB1562" s="293">
        <f>(BD1562+BD1563+BD1564+BD1565)/(BE1562+BE1563+BE1564+BE1565)</f>
        <v>4.7583516155183521</v>
      </c>
      <c r="BC1562" s="742" t="str">
        <f t="shared" si="158"/>
        <v>Cooling Res 6 Year EUL</v>
      </c>
      <c r="BD1562" s="752">
        <f>(INDEX('Avoided Cost Benefits'!$C$4:$C$857,MATCH(BC1562,'Avoided Cost Benefits'!$A$4:$A$857,0)))*F1562</f>
        <v>1575.3161903321165</v>
      </c>
      <c r="BE1562" s="73">
        <f t="shared" si="166"/>
        <v>1678.720567419356</v>
      </c>
      <c r="BG1562" s="776"/>
      <c r="BH1562" s="913"/>
      <c r="BI1562" s="776"/>
    </row>
    <row r="1563" spans="1:61" s="64" customFormat="1" x14ac:dyDescent="0.25">
      <c r="A1563" s="1393" t="str">
        <f t="shared" si="165"/>
        <v>354250_2019_12_Heating Res</v>
      </c>
      <c r="B1563" s="157"/>
      <c r="C1563" s="1352" t="s">
        <v>1437</v>
      </c>
      <c r="D1563" s="1756" t="s">
        <v>740</v>
      </c>
      <c r="E1563" s="821" t="s">
        <v>1438</v>
      </c>
      <c r="F1563" s="2582">
        <f>ROUND(((K1760*K1888*(1/K2016-1/K2144)*K2784)/1000)*$K$2834,2)</f>
        <v>11774.43</v>
      </c>
      <c r="G1563" s="263" t="s">
        <v>1275</v>
      </c>
      <c r="H1563" s="202">
        <f>VLOOKUP(G1563,'CP FACTORS'!$A$3:$B$38, 2, FALSE)</f>
        <v>0</v>
      </c>
      <c r="I1563" s="1757">
        <f t="shared" si="157"/>
        <v>0</v>
      </c>
      <c r="J1563" s="141">
        <f t="shared" si="169"/>
        <v>6</v>
      </c>
      <c r="K1563" s="908">
        <f t="shared" si="170"/>
        <v>0</v>
      </c>
      <c r="L1563" s="909"/>
      <c r="M1563" s="1797"/>
      <c r="N1563" s="1794"/>
      <c r="O1563" s="1249"/>
      <c r="P1563" s="157"/>
      <c r="Q1563" s="157"/>
      <c r="R1563" s="1627"/>
      <c r="S1563" s="157"/>
      <c r="T1563" s="157"/>
      <c r="U1563" s="1798"/>
      <c r="V1563" s="2309" t="s">
        <v>20</v>
      </c>
      <c r="W1563" s="910">
        <v>13965.852998065762</v>
      </c>
      <c r="X1563" s="911">
        <v>10399.659574468084</v>
      </c>
      <c r="Y1563" s="825">
        <v>10399.66</v>
      </c>
      <c r="Z1563" s="825">
        <v>10399.66</v>
      </c>
      <c r="AA1563" s="825">
        <v>10399.66</v>
      </c>
      <c r="AB1563" s="488">
        <v>11774.43</v>
      </c>
      <c r="AC1563" s="910"/>
      <c r="AD1563" s="910"/>
      <c r="AE1563" s="910"/>
      <c r="AF1563" s="910"/>
      <c r="AG1563" s="910"/>
      <c r="AH1563" s="211"/>
      <c r="AK1563" s="912"/>
      <c r="BB1563" s="822"/>
      <c r="BC1563" s="821" t="str">
        <f t="shared" si="158"/>
        <v>Heating Res 6 Year EUL</v>
      </c>
      <c r="BD1563" s="752">
        <f>(INDEX('Avoided Cost Benefits'!$C$4:$C$857,MATCH(BC1563,'Avoided Cost Benefits'!$A$4:$A$857,0)))*F1563</f>
        <v>1958.4822020758947</v>
      </c>
      <c r="BE1563" s="73">
        <f t="shared" si="166"/>
        <v>0</v>
      </c>
      <c r="BG1563" s="776"/>
      <c r="BH1563" s="913"/>
      <c r="BI1563" s="776"/>
    </row>
    <row r="1564" spans="1:61" s="64" customFormat="1" x14ac:dyDescent="0.25">
      <c r="A1564" s="1393" t="str">
        <f t="shared" si="165"/>
        <v>354250_2019_12_Cooling Res ER2</v>
      </c>
      <c r="B1564" s="157"/>
      <c r="C1564" s="1352" t="s">
        <v>1437</v>
      </c>
      <c r="D1564" s="1756" t="s">
        <v>740</v>
      </c>
      <c r="E1564" s="821" t="s">
        <v>1439</v>
      </c>
      <c r="F1564" s="2582">
        <f>ROUND(((K2273*K2401*(1/K2529-1/K2657)*K2785)/1000)*$K$2834,2)</f>
        <v>822.66</v>
      </c>
      <c r="G1564" s="1787" t="s">
        <v>1314</v>
      </c>
      <c r="H1564" s="202">
        <f>VLOOKUP(G1564,'CP FACTORS'!$A$3:$B$38, 2, FALSE)</f>
        <v>9.4741810000000004E-4</v>
      </c>
      <c r="I1564" s="1757">
        <f t="shared" si="157"/>
        <v>0.77940299999999996</v>
      </c>
      <c r="J1564" s="141">
        <f t="shared" si="169"/>
        <v>12</v>
      </c>
      <c r="K1564" s="908">
        <f t="shared" si="170"/>
        <v>0</v>
      </c>
      <c r="L1564" s="909"/>
      <c r="M1564" s="1797"/>
      <c r="N1564" s="1794"/>
      <c r="O1564" s="1249"/>
      <c r="P1564" s="157"/>
      <c r="Q1564" s="157"/>
      <c r="R1564" s="1627"/>
      <c r="S1564" s="157"/>
      <c r="T1564" s="157"/>
      <c r="U1564" s="1798"/>
      <c r="V1564" s="2309" t="s">
        <v>20</v>
      </c>
      <c r="W1564" s="910">
        <v>690.74358974358995</v>
      </c>
      <c r="X1564" s="917">
        <v>690.74358974358995</v>
      </c>
      <c r="Y1564" s="825">
        <v>690.74</v>
      </c>
      <c r="Z1564" s="825">
        <v>690.74</v>
      </c>
      <c r="AA1564" s="825">
        <v>690.74</v>
      </c>
      <c r="AB1564" s="488">
        <v>822.66</v>
      </c>
      <c r="AC1564" s="910"/>
      <c r="AD1564" s="910"/>
      <c r="AE1564" s="910"/>
      <c r="AF1564" s="910"/>
      <c r="AG1564" s="910"/>
      <c r="AH1564" s="211"/>
      <c r="AK1564" s="912"/>
      <c r="BB1564" s="822"/>
      <c r="BC1564" s="821" t="str">
        <f t="shared" si="158"/>
        <v>Cooling Res ER2 12 Year EUL</v>
      </c>
      <c r="BD1564" s="752">
        <f>(INDEX('Avoided Cost Benefits'!$C$4:$C$857,MATCH(BC1564,'Avoided Cost Benefits'!$A$4:$A$857,0)))*F1564</f>
        <v>972.65026148952495</v>
      </c>
      <c r="BE1564" s="73">
        <f t="shared" si="166"/>
        <v>0</v>
      </c>
      <c r="BG1564" s="776"/>
      <c r="BH1564" s="913"/>
      <c r="BI1564" s="776"/>
    </row>
    <row r="1565" spans="1:61" s="64" customFormat="1" x14ac:dyDescent="0.25">
      <c r="A1565" s="1393" t="str">
        <f t="shared" si="165"/>
        <v>354250_2019_12_Heating Res ER2</v>
      </c>
      <c r="B1565" s="157"/>
      <c r="C1565" s="1352" t="s">
        <v>1437</v>
      </c>
      <c r="D1565" s="1756" t="s">
        <v>740</v>
      </c>
      <c r="E1565" s="750" t="s">
        <v>1439</v>
      </c>
      <c r="F1565" s="2582">
        <f>ROUND(((K1761*K1889*(1/K2017-1/K2145)*K2785)/1000)*$K$2834,2)</f>
        <v>11774.43</v>
      </c>
      <c r="G1565" s="1787" t="s">
        <v>1332</v>
      </c>
      <c r="H1565" s="202">
        <f>VLOOKUP(G1565,'CP FACTORS'!$A$3:$B$38, 2, FALSE)</f>
        <v>0</v>
      </c>
      <c r="I1565" s="1757">
        <f t="shared" si="157"/>
        <v>0</v>
      </c>
      <c r="J1565" s="141">
        <f t="shared" si="169"/>
        <v>12</v>
      </c>
      <c r="K1565" s="908">
        <f t="shared" si="170"/>
        <v>0</v>
      </c>
      <c r="L1565" s="909"/>
      <c r="M1565" s="1797"/>
      <c r="N1565" s="1794"/>
      <c r="O1565" s="1249"/>
      <c r="P1565" s="157"/>
      <c r="Q1565" s="157"/>
      <c r="R1565" s="1627"/>
      <c r="S1565" s="157"/>
      <c r="T1565" s="157"/>
      <c r="U1565" s="1798"/>
      <c r="V1565" s="2309" t="s">
        <v>20</v>
      </c>
      <c r="W1565" s="910">
        <v>13965.852998065762</v>
      </c>
      <c r="X1565" s="911">
        <v>10399.659574468084</v>
      </c>
      <c r="Y1565" s="825">
        <v>10399.66</v>
      </c>
      <c r="Z1565" s="825">
        <v>10399.66</v>
      </c>
      <c r="AA1565" s="825">
        <v>10399.66</v>
      </c>
      <c r="AB1565" s="488">
        <v>11774.43</v>
      </c>
      <c r="AC1565" s="910"/>
      <c r="AD1565" s="910"/>
      <c r="AE1565" s="910"/>
      <c r="AF1565" s="910"/>
      <c r="AG1565" s="910"/>
      <c r="AH1565" s="211"/>
      <c r="AK1565" s="912"/>
      <c r="BB1565" s="822"/>
      <c r="BC1565" s="750" t="str">
        <f t="shared" si="158"/>
        <v>Heating Res ER2 12 Year EUL</v>
      </c>
      <c r="BD1565" s="752">
        <f>(INDEX('Avoided Cost Benefits'!$C$4:$C$857,MATCH(BC1565,'Avoided Cost Benefits'!$A$4:$A$857,0)))*F1565</f>
        <v>3481.4940700862408</v>
      </c>
      <c r="BE1565" s="73">
        <f t="shared" si="166"/>
        <v>0</v>
      </c>
      <c r="BG1565" s="776"/>
      <c r="BH1565" s="913"/>
      <c r="BI1565" s="776"/>
    </row>
    <row r="1566" spans="1:61" s="64" customFormat="1" x14ac:dyDescent="0.25">
      <c r="A1566" s="1393" t="str">
        <f t="shared" si="165"/>
        <v>354300_2019_12_Cooling Res</v>
      </c>
      <c r="B1566" s="157"/>
      <c r="C1566" s="1352" t="s">
        <v>1440</v>
      </c>
      <c r="D1566" s="1756" t="s">
        <v>742</v>
      </c>
      <c r="E1566" s="742" t="s">
        <v>1441</v>
      </c>
      <c r="F1566" s="2582">
        <f>ROUND(((K2274*K2402*(1/K2530-1/K2658)*K2786)/1000)*$K$2834,2)</f>
        <v>2638.66</v>
      </c>
      <c r="G1566" s="263" t="s">
        <v>1273</v>
      </c>
      <c r="H1566" s="202">
        <f>VLOOKUP(G1566,'CP FACTORS'!$A$3:$B$38, 2, FALSE)</f>
        <v>9.4741810000000004E-4</v>
      </c>
      <c r="I1566" s="1757">
        <f t="shared" si="157"/>
        <v>2.499914</v>
      </c>
      <c r="J1566" s="141">
        <f t="shared" si="169"/>
        <v>6</v>
      </c>
      <c r="K1566" s="908">
        <f t="shared" si="170"/>
        <v>1584.1584531821509</v>
      </c>
      <c r="L1566" s="909">
        <f>L1762</f>
        <v>4</v>
      </c>
      <c r="M1566" s="1797"/>
      <c r="N1566" s="1794"/>
      <c r="O1566" s="1249"/>
      <c r="P1566" s="157"/>
      <c r="Q1566" s="157"/>
      <c r="R1566" s="1627"/>
      <c r="S1566" s="157"/>
      <c r="T1566" s="157"/>
      <c r="U1566" s="1798"/>
      <c r="V1566" s="2309" t="s">
        <v>20</v>
      </c>
      <c r="W1566" s="910">
        <v>1922.7050980392157</v>
      </c>
      <c r="X1566" s="911">
        <v>1355.1427330932372</v>
      </c>
      <c r="Y1566" s="825">
        <v>1355.14</v>
      </c>
      <c r="Z1566" s="825">
        <v>1355.14</v>
      </c>
      <c r="AA1566" s="825">
        <v>1355.14</v>
      </c>
      <c r="AB1566" s="488">
        <v>2638.66</v>
      </c>
      <c r="AC1566" s="910"/>
      <c r="AD1566" s="910"/>
      <c r="AE1566" s="910"/>
      <c r="AF1566" s="910"/>
      <c r="AG1566" s="910"/>
      <c r="AH1566" s="211"/>
      <c r="AK1566" s="912"/>
      <c r="BB1566" s="293">
        <f>(BD1566+BD1567+BD1568+BD1569)/(BE1566+BE1567+BE1568+BE1569)</f>
        <v>4.2715391633262163</v>
      </c>
      <c r="BC1566" s="742" t="str">
        <f t="shared" si="158"/>
        <v>Cooling Res 6 Year EUL</v>
      </c>
      <c r="BD1566" s="752">
        <f>(INDEX('Avoided Cost Benefits'!$C$4:$C$857,MATCH(BC1566,'Avoided Cost Benefits'!$A$4:$A$857,0)))*F1566</f>
        <v>1534.3390013700864</v>
      </c>
      <c r="BE1566" s="73">
        <f t="shared" si="166"/>
        <v>1495.1943871469095</v>
      </c>
      <c r="BG1566" s="776"/>
      <c r="BH1566" s="913"/>
      <c r="BI1566" s="776"/>
    </row>
    <row r="1567" spans="1:61" s="64" customFormat="1" x14ac:dyDescent="0.25">
      <c r="A1567" s="1393" t="str">
        <f t="shared" si="165"/>
        <v>354300_2019_12_Heating Res</v>
      </c>
      <c r="B1567" s="157"/>
      <c r="C1567" s="1352" t="s">
        <v>1440</v>
      </c>
      <c r="D1567" s="1756" t="s">
        <v>742</v>
      </c>
      <c r="E1567" s="821" t="s">
        <v>1441</v>
      </c>
      <c r="F1567" s="2582">
        <f>ROUND(((K1762*K1890*(1/K2018-1/K2146)*K2786)/1000)*$K$2834,2)</f>
        <v>9020.2199999999993</v>
      </c>
      <c r="G1567" s="263" t="s">
        <v>1275</v>
      </c>
      <c r="H1567" s="202">
        <f>VLOOKUP(G1567,'CP FACTORS'!$A$3:$B$38, 2, FALSE)</f>
        <v>0</v>
      </c>
      <c r="I1567" s="1757">
        <f t="shared" si="157"/>
        <v>0</v>
      </c>
      <c r="J1567" s="141">
        <f t="shared" si="169"/>
        <v>6</v>
      </c>
      <c r="K1567" s="908">
        <f t="shared" si="170"/>
        <v>0</v>
      </c>
      <c r="L1567" s="909"/>
      <c r="M1567" s="1797"/>
      <c r="N1567" s="1794"/>
      <c r="O1567" s="1249"/>
      <c r="P1567" s="157"/>
      <c r="Q1567" s="157"/>
      <c r="R1567" s="1627"/>
      <c r="S1567" s="157"/>
      <c r="T1567" s="157"/>
      <c r="U1567" s="1798"/>
      <c r="V1567" s="2309" t="s">
        <v>20</v>
      </c>
      <c r="W1567" s="910">
        <v>9077.8044487427451</v>
      </c>
      <c r="X1567" s="911">
        <v>6759.7787234042544</v>
      </c>
      <c r="Y1567" s="825">
        <v>6759.78</v>
      </c>
      <c r="Z1567" s="825">
        <v>6759.78</v>
      </c>
      <c r="AA1567" s="825">
        <v>6759.78</v>
      </c>
      <c r="AB1567" s="488">
        <v>9020.2199999999993</v>
      </c>
      <c r="AC1567" s="910"/>
      <c r="AD1567" s="910"/>
      <c r="AE1567" s="910"/>
      <c r="AF1567" s="910"/>
      <c r="AG1567" s="910"/>
      <c r="AH1567" s="211"/>
      <c r="AK1567" s="912"/>
      <c r="BB1567" s="822"/>
      <c r="BC1567" s="821" t="str">
        <f t="shared" si="158"/>
        <v>Heating Res 6 Year EUL</v>
      </c>
      <c r="BD1567" s="752">
        <f>(INDEX('Avoided Cost Benefits'!$C$4:$C$857,MATCH(BC1567,'Avoided Cost Benefits'!$A$4:$A$857,0)))*F1567</f>
        <v>1500.3648014221517</v>
      </c>
      <c r="BE1567" s="73">
        <f t="shared" si="166"/>
        <v>0</v>
      </c>
      <c r="BG1567" s="776"/>
      <c r="BH1567" s="913"/>
      <c r="BI1567" s="776"/>
    </row>
    <row r="1568" spans="1:61" s="64" customFormat="1" x14ac:dyDescent="0.25">
      <c r="A1568" s="1393" t="str">
        <f t="shared" si="165"/>
        <v>354300_2019_12_Cooling Res ER2</v>
      </c>
      <c r="B1568" s="157"/>
      <c r="C1568" s="1352" t="s">
        <v>1440</v>
      </c>
      <c r="D1568" s="1756" t="s">
        <v>742</v>
      </c>
      <c r="E1568" s="821" t="s">
        <v>1442</v>
      </c>
      <c r="F1568" s="2582">
        <f>ROUND(((K2275*K2403*(1/K2531-1/K2659)*K2787)/1000)*$K$2834,2)</f>
        <v>579.33000000000004</v>
      </c>
      <c r="G1568" s="1787" t="s">
        <v>1314</v>
      </c>
      <c r="H1568" s="202">
        <f>VLOOKUP(G1568,'CP FACTORS'!$A$3:$B$38, 2, FALSE)</f>
        <v>9.4741810000000004E-4</v>
      </c>
      <c r="I1568" s="1757">
        <f t="shared" si="157"/>
        <v>0.54886800000000002</v>
      </c>
      <c r="J1568" s="141">
        <f t="shared" si="169"/>
        <v>12</v>
      </c>
      <c r="K1568" s="908">
        <f t="shared" si="170"/>
        <v>0</v>
      </c>
      <c r="L1568" s="909"/>
      <c r="M1568" s="1797"/>
      <c r="N1568" s="1794"/>
      <c r="O1568" s="1249"/>
      <c r="P1568" s="157"/>
      <c r="Q1568" s="157"/>
      <c r="R1568" s="1627"/>
      <c r="S1568" s="157"/>
      <c r="T1568" s="157"/>
      <c r="U1568" s="1798"/>
      <c r="V1568" s="2309" t="s">
        <v>20</v>
      </c>
      <c r="W1568" s="910">
        <v>448.98333333333346</v>
      </c>
      <c r="X1568" s="917">
        <v>448.98333333333346</v>
      </c>
      <c r="Y1568" s="825">
        <v>448.98</v>
      </c>
      <c r="Z1568" s="825">
        <v>448.98</v>
      </c>
      <c r="AA1568" s="825">
        <v>448.98</v>
      </c>
      <c r="AB1568" s="488">
        <v>579.33000000000004</v>
      </c>
      <c r="AC1568" s="910"/>
      <c r="AD1568" s="910"/>
      <c r="AE1568" s="910"/>
      <c r="AF1568" s="910"/>
      <c r="AG1568" s="910"/>
      <c r="AH1568" s="211"/>
      <c r="AK1568" s="912"/>
      <c r="BB1568" s="822"/>
      <c r="BC1568" s="821" t="str">
        <f t="shared" si="158"/>
        <v>Cooling Res ER2 12 Year EUL</v>
      </c>
      <c r="BD1568" s="752">
        <f>(INDEX('Avoided Cost Benefits'!$C$4:$C$857,MATCH(BC1568,'Avoided Cost Benefits'!$A$4:$A$857,0)))*F1568</f>
        <v>684.95548098695281</v>
      </c>
      <c r="BE1568" s="73">
        <f t="shared" si="166"/>
        <v>0</v>
      </c>
      <c r="BG1568" s="776"/>
      <c r="BH1568" s="913"/>
      <c r="BI1568" s="776"/>
    </row>
    <row r="1569" spans="1:61" s="64" customFormat="1" x14ac:dyDescent="0.25">
      <c r="A1569" s="1393" t="str">
        <f t="shared" si="165"/>
        <v>354300_2019_12_Heating Res ER2</v>
      </c>
      <c r="B1569" s="157"/>
      <c r="C1569" s="1352" t="s">
        <v>1440</v>
      </c>
      <c r="D1569" s="1756" t="s">
        <v>742</v>
      </c>
      <c r="E1569" s="750" t="s">
        <v>1442</v>
      </c>
      <c r="F1569" s="2582">
        <f>ROUND(((K1763*K1891*(1/K2019-1/K2147)*K2787)/1000)*$K$2834,2)</f>
        <v>9020.2199999999993</v>
      </c>
      <c r="G1569" s="1787" t="s">
        <v>1332</v>
      </c>
      <c r="H1569" s="202">
        <f>VLOOKUP(G1569,'CP FACTORS'!$A$3:$B$38, 2, FALSE)</f>
        <v>0</v>
      </c>
      <c r="I1569" s="1757">
        <f t="shared" si="157"/>
        <v>0</v>
      </c>
      <c r="J1569" s="141">
        <f t="shared" si="169"/>
        <v>12</v>
      </c>
      <c r="K1569" s="908">
        <f t="shared" si="170"/>
        <v>0</v>
      </c>
      <c r="L1569" s="909"/>
      <c r="M1569" s="1797"/>
      <c r="N1569" s="1794"/>
      <c r="O1569" s="1249"/>
      <c r="P1569" s="157"/>
      <c r="Q1569" s="157"/>
      <c r="R1569" s="1627"/>
      <c r="S1569" s="157"/>
      <c r="T1569" s="157"/>
      <c r="U1569" s="1798"/>
      <c r="V1569" s="2309" t="s">
        <v>20</v>
      </c>
      <c r="W1569" s="910">
        <v>9077.8044487427451</v>
      </c>
      <c r="X1569" s="911">
        <v>6759.7787234042544</v>
      </c>
      <c r="Y1569" s="825">
        <v>6759.78</v>
      </c>
      <c r="Z1569" s="825">
        <v>6759.78</v>
      </c>
      <c r="AA1569" s="825">
        <v>6759.78</v>
      </c>
      <c r="AB1569" s="488">
        <v>9020.2199999999993</v>
      </c>
      <c r="AC1569" s="910"/>
      <c r="AD1569" s="910"/>
      <c r="AE1569" s="910"/>
      <c r="AF1569" s="910"/>
      <c r="AG1569" s="910"/>
      <c r="AH1569" s="211"/>
      <c r="AK1569" s="912"/>
      <c r="BB1569" s="822"/>
      <c r="BC1569" s="750" t="str">
        <f t="shared" si="158"/>
        <v>Heating Res ER2 12 Year EUL</v>
      </c>
      <c r="BD1569" s="752">
        <f>(INDEX('Avoided Cost Benefits'!$C$4:$C$857,MATCH(BC1569,'Avoided Cost Benefits'!$A$4:$A$857,0)))*F1569</f>
        <v>2667.1220977043736</v>
      </c>
      <c r="BE1569" s="73">
        <f t="shared" si="166"/>
        <v>0</v>
      </c>
      <c r="BG1569" s="776"/>
      <c r="BH1569" s="913"/>
      <c r="BI1569" s="776"/>
    </row>
    <row r="1570" spans="1:61" s="64" customFormat="1" x14ac:dyDescent="0.25">
      <c r="A1570" s="1393" t="str">
        <f t="shared" si="165"/>
        <v>354301_2019_12_Cooling Res</v>
      </c>
      <c r="B1570" s="157"/>
      <c r="C1570" s="1352" t="s">
        <v>1443</v>
      </c>
      <c r="D1570" s="1756" t="s">
        <v>737</v>
      </c>
      <c r="E1570" s="742" t="str">
        <f>CONCATENATE(E1566,"_CompE")</f>
        <v>ASHP - SEER 18 - replace electric furnace / CAC - early replacement MF ER1_CompE</v>
      </c>
      <c r="F1570" s="2582">
        <f>ROUND((($K$2276*$K$2404*(1/$K$2532-1/$K$2660)*$K$2788)/1000)*$K$2834,2)</f>
        <v>1271.69</v>
      </c>
      <c r="G1570" s="263" t="str">
        <f t="shared" ref="G1570:K1573" si="171">G1566</f>
        <v>Cooling Res</v>
      </c>
      <c r="H1570" s="202">
        <f t="shared" si="171"/>
        <v>9.4741810000000004E-4</v>
      </c>
      <c r="I1570" s="1801">
        <f t="shared" si="157"/>
        <v>1.2048220000000001</v>
      </c>
      <c r="J1570" s="141">
        <f>J1566</f>
        <v>6</v>
      </c>
      <c r="K1570" s="908">
        <f>K1566</f>
        <v>1584.1584531821509</v>
      </c>
      <c r="L1570" s="909">
        <f>L1566</f>
        <v>4</v>
      </c>
      <c r="M1570" s="1797"/>
      <c r="N1570" s="1794"/>
      <c r="O1570" s="1249"/>
      <c r="P1570" s="157"/>
      <c r="Q1570" s="157"/>
      <c r="R1570" s="1627"/>
      <c r="S1570" s="157"/>
      <c r="T1570" s="157"/>
      <c r="U1570" s="1798"/>
      <c r="V1570" s="2309" t="s">
        <v>20</v>
      </c>
      <c r="W1570" s="910"/>
      <c r="X1570" s="911"/>
      <c r="Y1570" s="830">
        <v>985.56</v>
      </c>
      <c r="Z1570" s="825">
        <v>985.56</v>
      </c>
      <c r="AA1570" s="825">
        <v>985.56</v>
      </c>
      <c r="AB1570" s="488">
        <v>1271.69</v>
      </c>
      <c r="AC1570" s="910"/>
      <c r="AD1570" s="910"/>
      <c r="AE1570" s="910"/>
      <c r="AF1570" s="910"/>
      <c r="AG1570" s="910"/>
      <c r="AH1570" s="211"/>
      <c r="AK1570" s="912"/>
      <c r="BB1570" s="293">
        <f>(BD1570+BD1571+BD1572+BD1573)/(BE1570+BE1571+BE1572+BE1573)</f>
        <v>1.777930992873062</v>
      </c>
      <c r="BC1570" s="742" t="str">
        <f t="shared" si="158"/>
        <v>Cooling Res 6 Year EUL</v>
      </c>
      <c r="BD1570" s="752">
        <f>(INDEX('Avoided Cost Benefits'!$C$4:$C$857,MATCH(BC1570,'Avoided Cost Benefits'!$A$4:$A$857,0)))*F1570</f>
        <v>739.46759516281952</v>
      </c>
      <c r="BE1570" s="73">
        <f t="shared" si="166"/>
        <v>1495.1943871469095</v>
      </c>
      <c r="BG1570" s="776"/>
      <c r="BH1570" s="916"/>
      <c r="BI1570" s="776"/>
    </row>
    <row r="1571" spans="1:61" s="64" customFormat="1" x14ac:dyDescent="0.25">
      <c r="A1571" s="1393" t="str">
        <f t="shared" si="165"/>
        <v>354301_2019_12_Heating Res</v>
      </c>
      <c r="B1571" s="157"/>
      <c r="C1571" s="1352" t="str">
        <f>C1570</f>
        <v>354301_2019_12_</v>
      </c>
      <c r="D1571" s="1756" t="s">
        <v>737</v>
      </c>
      <c r="E1571" s="821" t="str">
        <f>CONCATENATE(E1567,"_CompE")</f>
        <v>ASHP - SEER 18 - replace electric furnace / CAC - early replacement MF ER1_CompE</v>
      </c>
      <c r="F1571" s="2582">
        <f>ROUND((($K$1764*$K$1892*(1/$K$2020-1/$K$2148)*$K$2788)/1000)*$K$2834,2)</f>
        <v>3075.08</v>
      </c>
      <c r="G1571" s="263" t="str">
        <f t="shared" si="171"/>
        <v>Heating Res</v>
      </c>
      <c r="H1571" s="202">
        <f t="shared" si="171"/>
        <v>0</v>
      </c>
      <c r="I1571" s="1801">
        <f t="shared" si="157"/>
        <v>0</v>
      </c>
      <c r="J1571" s="141">
        <f t="shared" si="171"/>
        <v>6</v>
      </c>
      <c r="K1571" s="908">
        <f t="shared" si="171"/>
        <v>0</v>
      </c>
      <c r="L1571" s="909"/>
      <c r="M1571" s="1797"/>
      <c r="N1571" s="1794"/>
      <c r="O1571" s="1249"/>
      <c r="P1571" s="157"/>
      <c r="Q1571" s="157"/>
      <c r="R1571" s="1627"/>
      <c r="S1571" s="157"/>
      <c r="T1571" s="157"/>
      <c r="U1571" s="1798"/>
      <c r="V1571" s="2309" t="s">
        <v>20</v>
      </c>
      <c r="W1571" s="910"/>
      <c r="X1571" s="911"/>
      <c r="Y1571" s="830">
        <v>2304.4699999999998</v>
      </c>
      <c r="Z1571" s="825">
        <v>2304.4699999999998</v>
      </c>
      <c r="AA1571" s="825">
        <v>2304.4699999999998</v>
      </c>
      <c r="AB1571" s="488">
        <v>3075.08</v>
      </c>
      <c r="AC1571" s="910"/>
      <c r="AD1571" s="910"/>
      <c r="AE1571" s="910"/>
      <c r="AF1571" s="910"/>
      <c r="AG1571" s="910"/>
      <c r="AH1571" s="211"/>
      <c r="AK1571" s="912"/>
      <c r="BB1571" s="822"/>
      <c r="BC1571" s="821" t="str">
        <f t="shared" si="158"/>
        <v>Heating Res 6 Year EUL</v>
      </c>
      <c r="BD1571" s="752">
        <f>(INDEX('Avoided Cost Benefits'!$C$4:$C$857,MATCH(BC1571,'Avoided Cost Benefits'!$A$4:$A$857,0)))*F1571</f>
        <v>511.48883215234554</v>
      </c>
      <c r="BE1571" s="73">
        <f t="shared" si="166"/>
        <v>0</v>
      </c>
      <c r="BG1571" s="776"/>
      <c r="BH1571" s="916"/>
      <c r="BI1571" s="776"/>
    </row>
    <row r="1572" spans="1:61" s="64" customFormat="1" x14ac:dyDescent="0.25">
      <c r="A1572" s="1393" t="str">
        <f t="shared" si="165"/>
        <v>354301_2019_12_Cooling Res ER2</v>
      </c>
      <c r="B1572" s="157"/>
      <c r="C1572" s="1352" t="str">
        <f>C1571</f>
        <v>354301_2019_12_</v>
      </c>
      <c r="D1572" s="1756" t="s">
        <v>737</v>
      </c>
      <c r="E1572" s="821" t="str">
        <f>CONCATENATE(E1568,"_CompE")</f>
        <v>ASHP - SEER 18 - replace electric furnace / CAC - early replacement MF ER2_CompE</v>
      </c>
      <c r="F1572" s="2582">
        <f>ROUND((($K$2277*$K$2405*(1/$K$2533-1/$K$2661)*$K$2789)/1000)*$K$2834,2)</f>
        <v>421.33</v>
      </c>
      <c r="G1572" s="263" t="str">
        <f t="shared" si="171"/>
        <v>Cooling Res ER2</v>
      </c>
      <c r="H1572" s="202">
        <f t="shared" si="171"/>
        <v>9.4741810000000004E-4</v>
      </c>
      <c r="I1572" s="1801">
        <f t="shared" si="157"/>
        <v>0.39917599999999998</v>
      </c>
      <c r="J1572" s="141">
        <f t="shared" si="171"/>
        <v>12</v>
      </c>
      <c r="K1572" s="908">
        <f t="shared" si="171"/>
        <v>0</v>
      </c>
      <c r="L1572" s="909"/>
      <c r="M1572" s="1797"/>
      <c r="N1572" s="1794"/>
      <c r="O1572" s="1249"/>
      <c r="P1572" s="157"/>
      <c r="Q1572" s="157"/>
      <c r="R1572" s="1627"/>
      <c r="S1572" s="157"/>
      <c r="T1572" s="157"/>
      <c r="U1572" s="1798"/>
      <c r="V1572" s="2309" t="s">
        <v>20</v>
      </c>
      <c r="W1572" s="910"/>
      <c r="X1572" s="911"/>
      <c r="Y1572" s="830">
        <v>326.52999999999997</v>
      </c>
      <c r="Z1572" s="825">
        <v>326.52999999999997</v>
      </c>
      <c r="AA1572" s="825">
        <v>326.52999999999997</v>
      </c>
      <c r="AB1572" s="488">
        <v>421.33</v>
      </c>
      <c r="AC1572" s="910"/>
      <c r="AD1572" s="910"/>
      <c r="AE1572" s="910"/>
      <c r="AF1572" s="910"/>
      <c r="AG1572" s="910"/>
      <c r="AH1572" s="211"/>
      <c r="AK1572" s="912"/>
      <c r="BB1572" s="822"/>
      <c r="BC1572" s="821" t="str">
        <f t="shared" si="158"/>
        <v>Cooling Res ER2 12 Year EUL</v>
      </c>
      <c r="BD1572" s="752">
        <f>(INDEX('Avoided Cost Benefits'!$C$4:$C$857,MATCH(BC1572,'Avoided Cost Benefits'!$A$4:$A$857,0)))*F1572</f>
        <v>498.14836587822617</v>
      </c>
      <c r="BE1572" s="73">
        <f t="shared" si="166"/>
        <v>0</v>
      </c>
      <c r="BG1572" s="776"/>
      <c r="BH1572" s="916"/>
      <c r="BI1572" s="776"/>
    </row>
    <row r="1573" spans="1:61" s="64" customFormat="1" x14ac:dyDescent="0.25">
      <c r="A1573" s="1393" t="str">
        <f t="shared" si="165"/>
        <v>354301_2019_12_Heating Res ER2</v>
      </c>
      <c r="B1573" s="157"/>
      <c r="C1573" s="1352" t="str">
        <f>C1572</f>
        <v>354301_2019_12_</v>
      </c>
      <c r="D1573" s="1756" t="s">
        <v>737</v>
      </c>
      <c r="E1573" s="750" t="str">
        <f>CONCATENATE(E1569,"_CompE")</f>
        <v>ASHP - SEER 18 - replace electric furnace / CAC - early replacement MF ER2_CompE</v>
      </c>
      <c r="F1573" s="2582">
        <f>ROUND((($K$1765*$K$1893*(1/$K$2021-1/$K$2149)*$K$2789)/1000)*$K$2834,2)</f>
        <v>3075.08</v>
      </c>
      <c r="G1573" s="263" t="str">
        <f t="shared" si="171"/>
        <v>Heating Res ER2</v>
      </c>
      <c r="H1573" s="202">
        <f t="shared" si="171"/>
        <v>0</v>
      </c>
      <c r="I1573" s="1801">
        <f t="shared" si="157"/>
        <v>0</v>
      </c>
      <c r="J1573" s="141">
        <f t="shared" si="171"/>
        <v>12</v>
      </c>
      <c r="K1573" s="908">
        <f t="shared" si="171"/>
        <v>0</v>
      </c>
      <c r="L1573" s="909"/>
      <c r="M1573" s="1797"/>
      <c r="N1573" s="1794"/>
      <c r="O1573" s="1249"/>
      <c r="P1573" s="157"/>
      <c r="Q1573" s="157"/>
      <c r="R1573" s="1627"/>
      <c r="S1573" s="157"/>
      <c r="T1573" s="157"/>
      <c r="U1573" s="1798"/>
      <c r="V1573" s="2309" t="s">
        <v>20</v>
      </c>
      <c r="W1573" s="910"/>
      <c r="X1573" s="911"/>
      <c r="Y1573" s="830">
        <v>2304.4699999999998</v>
      </c>
      <c r="Z1573" s="825">
        <v>2304.4699999999998</v>
      </c>
      <c r="AA1573" s="825">
        <v>2304.4699999999998</v>
      </c>
      <c r="AB1573" s="488">
        <v>3075.08</v>
      </c>
      <c r="AC1573" s="910"/>
      <c r="AD1573" s="910"/>
      <c r="AE1573" s="910"/>
      <c r="AF1573" s="910"/>
      <c r="AG1573" s="910"/>
      <c r="AH1573" s="211"/>
      <c r="AK1573" s="912"/>
      <c r="BB1573" s="822"/>
      <c r="BC1573" s="750" t="str">
        <f t="shared" si="158"/>
        <v>Heating Res ER2 12 Year EUL</v>
      </c>
      <c r="BD1573" s="752">
        <f>(INDEX('Avoided Cost Benefits'!$C$4:$C$857,MATCH(BC1573,'Avoided Cost Benefits'!$A$4:$A$857,0)))*F1573</f>
        <v>909.24764808494308</v>
      </c>
      <c r="BE1573" s="73">
        <f t="shared" si="166"/>
        <v>0</v>
      </c>
      <c r="BG1573" s="776"/>
      <c r="BH1573" s="916"/>
      <c r="BI1573" s="776"/>
    </row>
    <row r="1574" spans="1:61" s="64" customFormat="1" x14ac:dyDescent="0.25">
      <c r="A1574" s="1393" t="str">
        <f t="shared" si="165"/>
        <v>354350_2019_12_Cooling Res</v>
      </c>
      <c r="B1574" s="157"/>
      <c r="C1574" s="1352" t="s">
        <v>1444</v>
      </c>
      <c r="D1574" s="1756" t="s">
        <v>742</v>
      </c>
      <c r="E1574" s="742" t="s">
        <v>1445</v>
      </c>
      <c r="F1574" s="2582">
        <f>ROUND(((K2278*K2406*(1/K2534-1/K2662)*K2790)/1000)*$K$2834,2)</f>
        <v>1442.57</v>
      </c>
      <c r="G1574" s="263" t="s">
        <v>1273</v>
      </c>
      <c r="H1574" s="202">
        <f>VLOOKUP(G1574,'CP FACTORS'!$A$3:$B$38, 2, FALSE)</f>
        <v>9.4741810000000004E-4</v>
      </c>
      <c r="I1574" s="1757">
        <f t="shared" si="157"/>
        <v>1.366717</v>
      </c>
      <c r="J1574" s="141">
        <f>K2953</f>
        <v>6</v>
      </c>
      <c r="K1574" s="908">
        <f>K3123</f>
        <v>1475.441723875274</v>
      </c>
      <c r="L1574" s="909">
        <f>L1766</f>
        <v>3.3</v>
      </c>
      <c r="M1574" s="1797"/>
      <c r="N1574" s="1794"/>
      <c r="O1574" s="1249"/>
      <c r="P1574" s="157"/>
      <c r="Q1574" s="157"/>
      <c r="R1574" s="1627"/>
      <c r="S1574" s="157"/>
      <c r="T1574" s="157"/>
      <c r="U1574" s="1798"/>
      <c r="V1574" s="2309" t="s">
        <v>20</v>
      </c>
      <c r="W1574" s="910">
        <v>1864.0050000000006</v>
      </c>
      <c r="X1574" s="911">
        <v>1442.5712965186076</v>
      </c>
      <c r="Y1574" s="825">
        <v>1442.57</v>
      </c>
      <c r="Z1574" s="825">
        <v>1442.57</v>
      </c>
      <c r="AA1574" s="825">
        <v>1442.57</v>
      </c>
      <c r="AB1574" s="2582">
        <v>1442.57</v>
      </c>
      <c r="AC1574" s="910"/>
      <c r="AD1574" s="910"/>
      <c r="AE1574" s="910"/>
      <c r="AF1574" s="910"/>
      <c r="AG1574" s="910"/>
      <c r="AH1574" s="211"/>
      <c r="AK1574" s="912"/>
      <c r="BB1574" s="293">
        <f>(BD1574+BD1575+BD1576+BD1577)/(BE1574+BE1575+BE1576+BE1577)</f>
        <v>1.2550908489826855</v>
      </c>
      <c r="BC1574" s="742" t="str">
        <f t="shared" si="158"/>
        <v>Cooling Res 6 Year EUL</v>
      </c>
      <c r="BD1574" s="752">
        <f>(INDEX('Avoided Cost Benefits'!$C$4:$C$857,MATCH(BC1574,'Avoided Cost Benefits'!$A$4:$A$857,0)))*F1574</f>
        <v>838.83160892515355</v>
      </c>
      <c r="BE1574" s="73">
        <f t="shared" si="166"/>
        <v>1392.5830333886493</v>
      </c>
      <c r="BG1574" s="776"/>
      <c r="BH1574" s="913"/>
      <c r="BI1574" s="776"/>
    </row>
    <row r="1575" spans="1:61" s="64" customFormat="1" x14ac:dyDescent="0.25">
      <c r="A1575" s="1393" t="str">
        <f t="shared" si="165"/>
        <v>354350_2019_12_Heating Res</v>
      </c>
      <c r="B1575" s="157"/>
      <c r="C1575" s="1352" t="s">
        <v>1444</v>
      </c>
      <c r="D1575" s="1756" t="s">
        <v>742</v>
      </c>
      <c r="E1575" s="821" t="s">
        <v>1445</v>
      </c>
      <c r="F1575" s="2582">
        <f>ROUND(((K1766*K1894*(1/K2022-1/K2150)*K2790)/1000)*$K$2834,2)</f>
        <v>1798.76</v>
      </c>
      <c r="G1575" s="263" t="s">
        <v>1275</v>
      </c>
      <c r="H1575" s="202">
        <f>VLOOKUP(G1575,'CP FACTORS'!$A$3:$B$38, 2, FALSE)</f>
        <v>0</v>
      </c>
      <c r="I1575" s="1757">
        <f t="shared" si="157"/>
        <v>0</v>
      </c>
      <c r="J1575" s="141">
        <f>K2954</f>
        <v>6</v>
      </c>
      <c r="K1575" s="908">
        <f>K3124</f>
        <v>0</v>
      </c>
      <c r="L1575" s="909"/>
      <c r="M1575" s="1797"/>
      <c r="N1575" s="1794"/>
      <c r="O1575" s="1249"/>
      <c r="P1575" s="157"/>
      <c r="Q1575" s="157"/>
      <c r="R1575" s="1627"/>
      <c r="S1575" s="157"/>
      <c r="T1575" s="157"/>
      <c r="U1575" s="1798"/>
      <c r="V1575" s="2309" t="s">
        <v>20</v>
      </c>
      <c r="W1575" s="910">
        <v>4062.4872213622284</v>
      </c>
      <c r="X1575" s="911">
        <v>1798.7611070228763</v>
      </c>
      <c r="Y1575" s="825">
        <v>1798.76</v>
      </c>
      <c r="Z1575" s="825">
        <v>1798.76</v>
      </c>
      <c r="AA1575" s="825">
        <v>1798.76</v>
      </c>
      <c r="AB1575" s="2582">
        <v>1798.76</v>
      </c>
      <c r="AC1575" s="910"/>
      <c r="AD1575" s="910"/>
      <c r="AE1575" s="910"/>
      <c r="AF1575" s="910"/>
      <c r="AG1575" s="910"/>
      <c r="AH1575" s="211"/>
      <c r="AK1575" s="912"/>
      <c r="BB1575" s="822"/>
      <c r="BC1575" s="821" t="str">
        <f t="shared" si="158"/>
        <v>Heating Res 6 Year EUL</v>
      </c>
      <c r="BD1575" s="752">
        <f>(INDEX('Avoided Cost Benefits'!$C$4:$C$857,MATCH(BC1575,'Avoided Cost Benefits'!$A$4:$A$857,0)))*F1575</f>
        <v>299.19405404813961</v>
      </c>
      <c r="BE1575" s="73">
        <f t="shared" si="166"/>
        <v>0</v>
      </c>
      <c r="BG1575" s="776"/>
      <c r="BH1575" s="913"/>
      <c r="BI1575" s="776"/>
    </row>
    <row r="1576" spans="1:61" s="64" customFormat="1" x14ac:dyDescent="0.25">
      <c r="A1576" s="1393" t="str">
        <f t="shared" si="165"/>
        <v>354350_2019_12_Cooling Res ER2</v>
      </c>
      <c r="B1576" s="157"/>
      <c r="C1576" s="1352" t="s">
        <v>1444</v>
      </c>
      <c r="D1576" s="1756" t="s">
        <v>742</v>
      </c>
      <c r="E1576" s="821" t="s">
        <v>1446</v>
      </c>
      <c r="F1576" s="2582">
        <f>ROUND(((K2279*K2407*(1/K2535-1/K2663)*K2791)/1000)*$K$2834,2)</f>
        <v>355.05</v>
      </c>
      <c r="G1576" s="1787" t="s">
        <v>1314</v>
      </c>
      <c r="H1576" s="202">
        <f>VLOOKUP(G1576,'CP FACTORS'!$A$3:$B$38, 2, FALSE)</f>
        <v>9.4741810000000004E-4</v>
      </c>
      <c r="I1576" s="1757">
        <f t="shared" si="157"/>
        <v>0.33638099999999999</v>
      </c>
      <c r="J1576" s="141">
        <f>K2955</f>
        <v>12</v>
      </c>
      <c r="K1576" s="908">
        <f>K3125</f>
        <v>0</v>
      </c>
      <c r="L1576" s="909"/>
      <c r="M1576" s="1797"/>
      <c r="N1576" s="1794"/>
      <c r="O1576" s="1249"/>
      <c r="P1576" s="157"/>
      <c r="Q1576" s="157"/>
      <c r="R1576" s="1627"/>
      <c r="S1576" s="157"/>
      <c r="T1576" s="157"/>
      <c r="U1576" s="1798"/>
      <c r="V1576" s="2309" t="s">
        <v>20</v>
      </c>
      <c r="W1576" s="910">
        <v>355.04857142857139</v>
      </c>
      <c r="X1576" s="917">
        <v>355.04857142857139</v>
      </c>
      <c r="Y1576" s="825">
        <v>355.05</v>
      </c>
      <c r="Z1576" s="825">
        <v>355.05</v>
      </c>
      <c r="AA1576" s="825">
        <v>355.05</v>
      </c>
      <c r="AB1576" s="2582">
        <v>355.05</v>
      </c>
      <c r="AC1576" s="910"/>
      <c r="AD1576" s="910"/>
      <c r="AE1576" s="910"/>
      <c r="AF1576" s="910"/>
      <c r="AG1576" s="910"/>
      <c r="AH1576" s="211"/>
      <c r="AK1576" s="912"/>
      <c r="BB1576" s="822"/>
      <c r="BC1576" s="821" t="str">
        <f t="shared" si="158"/>
        <v>Cooling Res ER2 12 Year EUL</v>
      </c>
      <c r="BD1576" s="752">
        <f>(INDEX('Avoided Cost Benefits'!$C$4:$C$857,MATCH(BC1576,'Avoided Cost Benefits'!$A$4:$A$857,0)))*F1576</f>
        <v>419.78396341362878</v>
      </c>
      <c r="BE1576" s="73">
        <f t="shared" si="166"/>
        <v>0</v>
      </c>
      <c r="BG1576" s="776"/>
      <c r="BH1576" s="913"/>
      <c r="BI1576" s="776"/>
    </row>
    <row r="1577" spans="1:61" s="64" customFormat="1" x14ac:dyDescent="0.25">
      <c r="A1577" s="1393" t="str">
        <f t="shared" si="165"/>
        <v>354350_2019_12_Heating Res ER2</v>
      </c>
      <c r="B1577" s="157"/>
      <c r="C1577" s="1352" t="s">
        <v>1444</v>
      </c>
      <c r="D1577" s="1756" t="s">
        <v>742</v>
      </c>
      <c r="E1577" s="750" t="s">
        <v>1446</v>
      </c>
      <c r="F1577" s="2582">
        <f>ROUND(((K1767*K1895*(1/K2023-1/K2151)*K2791)/1000)*$K$2834,2)</f>
        <v>642.61</v>
      </c>
      <c r="G1577" s="1787" t="s">
        <v>1332</v>
      </c>
      <c r="H1577" s="202">
        <f>VLOOKUP(G1577,'CP FACTORS'!$A$3:$B$38, 2, FALSE)</f>
        <v>0</v>
      </c>
      <c r="I1577" s="1757">
        <f t="shared" si="157"/>
        <v>0</v>
      </c>
      <c r="J1577" s="141">
        <f>K2956</f>
        <v>12</v>
      </c>
      <c r="K1577" s="908">
        <f>K3126</f>
        <v>0</v>
      </c>
      <c r="L1577" s="909"/>
      <c r="M1577" s="1797"/>
      <c r="N1577" s="1794"/>
      <c r="O1577" s="1249"/>
      <c r="P1577" s="157"/>
      <c r="Q1577" s="157"/>
      <c r="R1577" s="1627"/>
      <c r="S1577" s="157"/>
      <c r="T1577" s="157"/>
      <c r="U1577" s="1798"/>
      <c r="V1577" s="2309" t="s">
        <v>20</v>
      </c>
      <c r="W1577" s="910">
        <v>862.96736842105349</v>
      </c>
      <c r="X1577" s="911">
        <v>642.6078562259313</v>
      </c>
      <c r="Y1577" s="825">
        <v>642.61</v>
      </c>
      <c r="Z1577" s="825">
        <v>642.61</v>
      </c>
      <c r="AA1577" s="825">
        <v>642.61</v>
      </c>
      <c r="AB1577" s="2582">
        <v>642.61</v>
      </c>
      <c r="AC1577" s="910"/>
      <c r="AD1577" s="910"/>
      <c r="AE1577" s="910"/>
      <c r="AF1577" s="910"/>
      <c r="AG1577" s="910"/>
      <c r="AH1577" s="211"/>
      <c r="AK1577" s="912"/>
      <c r="BB1577" s="822"/>
      <c r="BC1577" s="750" t="str">
        <f t="shared" si="158"/>
        <v>Heating Res ER2 12 Year EUL</v>
      </c>
      <c r="BD1577" s="752">
        <f>(INDEX('Avoided Cost Benefits'!$C$4:$C$857,MATCH(BC1577,'Avoided Cost Benefits'!$A$4:$A$857,0)))*F1577</f>
        <v>190.00859526772157</v>
      </c>
      <c r="BE1577" s="73">
        <f t="shared" si="166"/>
        <v>0</v>
      </c>
      <c r="BG1577" s="776"/>
      <c r="BH1577" s="913"/>
      <c r="BI1577" s="776"/>
    </row>
    <row r="1578" spans="1:61" s="64" customFormat="1" x14ac:dyDescent="0.25">
      <c r="A1578" s="1393" t="str">
        <f t="shared" si="165"/>
        <v>354351_2019_12_Cooling Res</v>
      </c>
      <c r="B1578" s="157"/>
      <c r="C1578" s="1352" t="s">
        <v>1447</v>
      </c>
      <c r="D1578" s="1756" t="s">
        <v>737</v>
      </c>
      <c r="E1578" s="742" t="str">
        <f>CONCATENATE(E1574,"_CompE")</f>
        <v>ASHP SEER 18 replace ASHP - early replacement MF ER1_CompE</v>
      </c>
      <c r="F1578" s="2582">
        <f>ROUND((($K$2280*$K$2408*(1/$K$2536-1/$K$2664)*$K$2792)/1000)*$K$2834,2)</f>
        <v>1049.1400000000001</v>
      </c>
      <c r="G1578" s="263" t="str">
        <f t="shared" ref="G1578:K1581" si="172">G1574</f>
        <v>Cooling Res</v>
      </c>
      <c r="H1578" s="202">
        <f t="shared" si="172"/>
        <v>9.4741810000000004E-4</v>
      </c>
      <c r="I1578" s="1801">
        <f t="shared" si="157"/>
        <v>0.99397400000000002</v>
      </c>
      <c r="J1578" s="141">
        <f>J1574</f>
        <v>6</v>
      </c>
      <c r="K1578" s="908">
        <f>K1574</f>
        <v>1475.441723875274</v>
      </c>
      <c r="L1578" s="909">
        <f>L1574</f>
        <v>3.3</v>
      </c>
      <c r="M1578" s="1797"/>
      <c r="N1578" s="1794"/>
      <c r="O1578" s="1249"/>
      <c r="P1578" s="157"/>
      <c r="Q1578" s="157"/>
      <c r="R1578" s="1627"/>
      <c r="S1578" s="157"/>
      <c r="T1578" s="157"/>
      <c r="U1578" s="1798"/>
      <c r="V1578" s="2309" t="s">
        <v>20</v>
      </c>
      <c r="W1578" s="910"/>
      <c r="X1578" s="911"/>
      <c r="Y1578" s="830">
        <v>1049.1400000000001</v>
      </c>
      <c r="Z1578" s="825">
        <v>1049.1400000000001</v>
      </c>
      <c r="AA1578" s="825">
        <v>1049.1400000000001</v>
      </c>
      <c r="AB1578" s="2582">
        <v>1049.1400000000001</v>
      </c>
      <c r="AC1578" s="910"/>
      <c r="AD1578" s="910"/>
      <c r="AE1578" s="910"/>
      <c r="AF1578" s="910"/>
      <c r="AG1578" s="910"/>
      <c r="AH1578" s="211"/>
      <c r="AK1578" s="912"/>
      <c r="BB1578" s="293">
        <f>(BD1578+BD1579+BD1580+BD1581)/(BE1578+BE1579+BE1580+BE1581)</f>
        <v>0.77706707719975077</v>
      </c>
      <c r="BC1578" s="742" t="str">
        <f t="shared" si="158"/>
        <v>Cooling Res 6 Year EUL</v>
      </c>
      <c r="BD1578" s="752">
        <f>(INDEX('Avoided Cost Benefits'!$C$4:$C$857,MATCH(BC1578,'Avoided Cost Benefits'!$A$4:$A$857,0)))*F1578</f>
        <v>610.05829470163371</v>
      </c>
      <c r="BE1578" s="73">
        <f t="shared" si="166"/>
        <v>1392.5830333886493</v>
      </c>
      <c r="BG1578" s="776"/>
      <c r="BH1578" s="916"/>
      <c r="BI1578" s="776"/>
    </row>
    <row r="1579" spans="1:61" s="64" customFormat="1" x14ac:dyDescent="0.25">
      <c r="A1579" s="1393" t="str">
        <f t="shared" si="165"/>
        <v>354351_2019_12_Heating Res</v>
      </c>
      <c r="B1579" s="157"/>
      <c r="C1579" s="1352" t="str">
        <f>C1578</f>
        <v>354351_2019_12_</v>
      </c>
      <c r="D1579" s="1756" t="s">
        <v>737</v>
      </c>
      <c r="E1579" s="821" t="str">
        <f>CONCATENATE(E1575,"_CompE")</f>
        <v>ASHP SEER 18 replace ASHP - early replacement MF ER1_CompE</v>
      </c>
      <c r="F1579" s="2582">
        <f>ROUND((($K$1768*$K$1896*(1/$K$2024-1/$K$2152)*$K$2792)/1000)*$K$2834,2)</f>
        <v>613.21</v>
      </c>
      <c r="G1579" s="263" t="str">
        <f t="shared" si="172"/>
        <v>Heating Res</v>
      </c>
      <c r="H1579" s="202">
        <f t="shared" si="172"/>
        <v>0</v>
      </c>
      <c r="I1579" s="1801">
        <f t="shared" si="157"/>
        <v>0</v>
      </c>
      <c r="J1579" s="141">
        <f t="shared" si="172"/>
        <v>6</v>
      </c>
      <c r="K1579" s="908">
        <f t="shared" si="172"/>
        <v>0</v>
      </c>
      <c r="L1579" s="909"/>
      <c r="M1579" s="1797"/>
      <c r="N1579" s="1794"/>
      <c r="O1579" s="1249"/>
      <c r="P1579" s="157"/>
      <c r="Q1579" s="157"/>
      <c r="R1579" s="1627"/>
      <c r="S1579" s="157"/>
      <c r="T1579" s="157"/>
      <c r="U1579" s="1798"/>
      <c r="V1579" s="2309" t="s">
        <v>20</v>
      </c>
      <c r="W1579" s="910"/>
      <c r="X1579" s="911"/>
      <c r="Y1579" s="830">
        <v>613.21</v>
      </c>
      <c r="Z1579" s="825">
        <v>613.21</v>
      </c>
      <c r="AA1579" s="825">
        <v>613.21</v>
      </c>
      <c r="AB1579" s="2582">
        <v>613.21</v>
      </c>
      <c r="AC1579" s="910"/>
      <c r="AD1579" s="910"/>
      <c r="AE1579" s="910"/>
      <c r="AF1579" s="910"/>
      <c r="AG1579" s="910"/>
      <c r="AH1579" s="211"/>
      <c r="AK1579" s="912"/>
      <c r="BB1579" s="822"/>
      <c r="BC1579" s="821" t="str">
        <f t="shared" si="158"/>
        <v>Heating Res 6 Year EUL</v>
      </c>
      <c r="BD1579" s="752">
        <f>(INDEX('Avoided Cost Benefits'!$C$4:$C$857,MATCH(BC1579,'Avoided Cost Benefits'!$A$4:$A$857,0)))*F1579</f>
        <v>101.99736812185043</v>
      </c>
      <c r="BE1579" s="73">
        <f t="shared" si="166"/>
        <v>0</v>
      </c>
      <c r="BG1579" s="776"/>
      <c r="BH1579" s="916"/>
      <c r="BI1579" s="776"/>
    </row>
    <row r="1580" spans="1:61" s="64" customFormat="1" x14ac:dyDescent="0.25">
      <c r="A1580" s="1393" t="str">
        <f t="shared" si="165"/>
        <v>354351_2019_12_Cooling Res ER2</v>
      </c>
      <c r="B1580" s="157"/>
      <c r="C1580" s="1352" t="str">
        <f>C1579</f>
        <v>354351_2019_12_</v>
      </c>
      <c r="D1580" s="1756" t="s">
        <v>737</v>
      </c>
      <c r="E1580" s="821" t="str">
        <f>CONCATENATE(E1576,"_CompE")</f>
        <v>ASHP SEER 18 replace ASHP - early replacement MF ER2_CompE</v>
      </c>
      <c r="F1580" s="2582">
        <f>ROUND((($K$2281*$K$2409*(1/$K$2537-1/$K$2665)*$K$2793)/1000)*$K$2834,2)</f>
        <v>258.22000000000003</v>
      </c>
      <c r="G1580" s="263" t="str">
        <f t="shared" si="172"/>
        <v>Cooling Res ER2</v>
      </c>
      <c r="H1580" s="202">
        <f t="shared" si="172"/>
        <v>9.4741810000000004E-4</v>
      </c>
      <c r="I1580" s="1801">
        <f t="shared" si="157"/>
        <v>0.244642</v>
      </c>
      <c r="J1580" s="141">
        <f t="shared" si="172"/>
        <v>12</v>
      </c>
      <c r="K1580" s="908">
        <f t="shared" si="172"/>
        <v>0</v>
      </c>
      <c r="L1580" s="909"/>
      <c r="M1580" s="1797"/>
      <c r="N1580" s="1794"/>
      <c r="O1580" s="1249"/>
      <c r="P1580" s="157"/>
      <c r="Q1580" s="157"/>
      <c r="R1580" s="1627"/>
      <c r="S1580" s="157"/>
      <c r="T1580" s="157"/>
      <c r="U1580" s="1798"/>
      <c r="V1580" s="2309" t="s">
        <v>20</v>
      </c>
      <c r="W1580" s="910"/>
      <c r="X1580" s="911"/>
      <c r="Y1580" s="830">
        <v>258.22000000000003</v>
      </c>
      <c r="Z1580" s="825">
        <v>258.22000000000003</v>
      </c>
      <c r="AA1580" s="825">
        <v>258.22000000000003</v>
      </c>
      <c r="AB1580" s="2582">
        <v>258.22000000000003</v>
      </c>
      <c r="AC1580" s="910"/>
      <c r="AD1580" s="910"/>
      <c r="AE1580" s="910"/>
      <c r="AF1580" s="910"/>
      <c r="AG1580" s="910"/>
      <c r="AH1580" s="211"/>
      <c r="AK1580" s="912"/>
      <c r="BB1580" s="822"/>
      <c r="BC1580" s="821" t="str">
        <f t="shared" si="158"/>
        <v>Cooling Res ER2 12 Year EUL</v>
      </c>
      <c r="BD1580" s="752">
        <f>(INDEX('Avoided Cost Benefits'!$C$4:$C$857,MATCH(BC1580,'Avoided Cost Benefits'!$A$4:$A$857,0)))*F1580</f>
        <v>305.29957761629976</v>
      </c>
      <c r="BE1580" s="73">
        <f t="shared" si="166"/>
        <v>0</v>
      </c>
      <c r="BG1580" s="776"/>
      <c r="BH1580" s="916"/>
      <c r="BI1580" s="776"/>
    </row>
    <row r="1581" spans="1:61" s="64" customFormat="1" x14ac:dyDescent="0.25">
      <c r="A1581" s="1393" t="str">
        <f t="shared" si="165"/>
        <v>354351_2019_12_Heating Res ER2</v>
      </c>
      <c r="B1581" s="157"/>
      <c r="C1581" s="1352" t="str">
        <f>C1580</f>
        <v>354351_2019_12_</v>
      </c>
      <c r="D1581" s="1756" t="s">
        <v>737</v>
      </c>
      <c r="E1581" s="750" t="str">
        <f>CONCATENATE(E1577,"_CompE")</f>
        <v>ASHP SEER 18 replace ASHP - early replacement MF ER2_CompE</v>
      </c>
      <c r="F1581" s="2582">
        <f>ROUND((($K$1769*$K$1897*(1/$K$2025-1/$K$2153)*$K$2793)/1000)*$K$2834,2)</f>
        <v>219.07</v>
      </c>
      <c r="G1581" s="263" t="str">
        <f t="shared" si="172"/>
        <v>Heating Res ER2</v>
      </c>
      <c r="H1581" s="202">
        <f t="shared" si="172"/>
        <v>0</v>
      </c>
      <c r="I1581" s="1801">
        <f t="shared" si="157"/>
        <v>0</v>
      </c>
      <c r="J1581" s="141">
        <f t="shared" si="172"/>
        <v>12</v>
      </c>
      <c r="K1581" s="908">
        <f t="shared" si="172"/>
        <v>0</v>
      </c>
      <c r="L1581" s="909"/>
      <c r="M1581" s="1797"/>
      <c r="N1581" s="1794"/>
      <c r="O1581" s="1249"/>
      <c r="P1581" s="157"/>
      <c r="Q1581" s="157"/>
      <c r="R1581" s="1627"/>
      <c r="S1581" s="157"/>
      <c r="T1581" s="157"/>
      <c r="U1581" s="1798"/>
      <c r="V1581" s="2309" t="s">
        <v>20</v>
      </c>
      <c r="W1581" s="910"/>
      <c r="X1581" s="911"/>
      <c r="Y1581" s="830">
        <v>219.07</v>
      </c>
      <c r="Z1581" s="825">
        <v>219.07</v>
      </c>
      <c r="AA1581" s="825">
        <v>219.07</v>
      </c>
      <c r="AB1581" s="2582">
        <v>219.07</v>
      </c>
      <c r="AC1581" s="910"/>
      <c r="AD1581" s="910"/>
      <c r="AE1581" s="910"/>
      <c r="AF1581" s="910"/>
      <c r="AG1581" s="910"/>
      <c r="AH1581" s="211"/>
      <c r="AK1581" s="912"/>
      <c r="BB1581" s="822"/>
      <c r="BC1581" s="750" t="str">
        <f t="shared" si="158"/>
        <v>Heating Res ER2 12 Year EUL</v>
      </c>
      <c r="BD1581" s="752">
        <f>(INDEX('Avoided Cost Benefits'!$C$4:$C$857,MATCH(BC1581,'Avoided Cost Benefits'!$A$4:$A$857,0)))*F1581</f>
        <v>64.775187073496781</v>
      </c>
      <c r="BE1581" s="73">
        <f t="shared" si="166"/>
        <v>0</v>
      </c>
      <c r="BG1581" s="776"/>
      <c r="BH1581" s="916"/>
      <c r="BI1581" s="776"/>
    </row>
    <row r="1582" spans="1:61" s="64" customFormat="1" x14ac:dyDescent="0.25">
      <c r="A1582" s="1393" t="str">
        <f t="shared" si="165"/>
        <v>354400_2019_12_Cooling Res</v>
      </c>
      <c r="B1582" s="157"/>
      <c r="C1582" s="1352" t="s">
        <v>1448</v>
      </c>
      <c r="D1582" s="1756" t="s">
        <v>740</v>
      </c>
      <c r="E1582" s="742" t="s">
        <v>1449</v>
      </c>
      <c r="F1582" s="2582">
        <f>ROUND(((K2282*K2410*(1/K2538-1/K2666)*K2794)/1000)*$K$2834,2)</f>
        <v>2179.36</v>
      </c>
      <c r="G1582" s="263" t="s">
        <v>1273</v>
      </c>
      <c r="H1582" s="202">
        <f>VLOOKUP(G1582,'CP FACTORS'!$A$3:$B$38, 2, FALSE)</f>
        <v>9.4741810000000004E-4</v>
      </c>
      <c r="I1582" s="1757">
        <f t="shared" si="157"/>
        <v>2.064765</v>
      </c>
      <c r="J1582" s="141">
        <f t="shared" ref="J1582:J1589" si="173">K2957</f>
        <v>6</v>
      </c>
      <c r="K1582" s="908">
        <f t="shared" ref="K1582:K1589" si="174">K3127</f>
        <v>1944.3573864864111</v>
      </c>
      <c r="L1582" s="909">
        <f>L1770</f>
        <v>3.1</v>
      </c>
      <c r="M1582" s="1797"/>
      <c r="N1582" s="1794"/>
      <c r="O1582" s="1249"/>
      <c r="P1582" s="157"/>
      <c r="Q1582" s="157"/>
      <c r="R1582" s="1627"/>
      <c r="S1582" s="157"/>
      <c r="T1582" s="157"/>
      <c r="U1582" s="1798"/>
      <c r="V1582" s="2309" t="s">
        <v>20</v>
      </c>
      <c r="W1582" s="910">
        <v>3052.5306501547993</v>
      </c>
      <c r="X1582" s="911">
        <v>2179.3577810071401</v>
      </c>
      <c r="Y1582" s="825">
        <v>2179.36</v>
      </c>
      <c r="Z1582" s="825">
        <v>2179.36</v>
      </c>
      <c r="AA1582" s="825">
        <v>2179.36</v>
      </c>
      <c r="AB1582" s="2582">
        <v>2179.36</v>
      </c>
      <c r="AC1582" s="910"/>
      <c r="AD1582" s="910"/>
      <c r="AE1582" s="910"/>
      <c r="AF1582" s="910"/>
      <c r="AG1582" s="910"/>
      <c r="AH1582" s="211"/>
      <c r="AK1582" s="912"/>
      <c r="BB1582" s="293">
        <f>(BD1582+BD1583+BD1584+BD1585)/(BE1582+BE1583+BE1584+BE1585)</f>
        <v>3.8146524457068041</v>
      </c>
      <c r="BC1582" s="742" t="str">
        <f t="shared" si="158"/>
        <v>Cooling Res 6 Year EUL</v>
      </c>
      <c r="BD1582" s="752">
        <f>(INDEX('Avoided Cost Benefits'!$C$4:$C$857,MATCH(BC1582,'Avoided Cost Benefits'!$A$4:$A$857,0)))*F1582</f>
        <v>1267.2633253340377</v>
      </c>
      <c r="BE1582" s="73">
        <f t="shared" si="166"/>
        <v>1835.1650651122329</v>
      </c>
      <c r="BG1582" s="776"/>
      <c r="BH1582" s="913"/>
      <c r="BI1582" s="776"/>
    </row>
    <row r="1583" spans="1:61" s="64" customFormat="1" x14ac:dyDescent="0.25">
      <c r="A1583" s="1393" t="str">
        <f t="shared" si="165"/>
        <v>354400_2019_12_Heating Res</v>
      </c>
      <c r="B1583" s="157"/>
      <c r="C1583" s="1352" t="s">
        <v>1448</v>
      </c>
      <c r="D1583" s="1756" t="s">
        <v>740</v>
      </c>
      <c r="E1583" s="821" t="s">
        <v>1449</v>
      </c>
      <c r="F1583" s="2582">
        <f>ROUND(((K1770*K1898*(1/K2026-1/K2154)*K2794)/1000)*$K$2834,2)</f>
        <v>10399.66</v>
      </c>
      <c r="G1583" s="263" t="s">
        <v>1275</v>
      </c>
      <c r="H1583" s="202">
        <f>VLOOKUP(G1583,'CP FACTORS'!$A$3:$B$38, 2, FALSE)</f>
        <v>0</v>
      </c>
      <c r="I1583" s="1757">
        <f t="shared" si="157"/>
        <v>0</v>
      </c>
      <c r="J1583" s="141">
        <f t="shared" si="173"/>
        <v>6</v>
      </c>
      <c r="K1583" s="908">
        <f t="shared" si="174"/>
        <v>0</v>
      </c>
      <c r="L1583" s="909"/>
      <c r="M1583" s="1797"/>
      <c r="N1583" s="1794"/>
      <c r="O1583" s="1249"/>
      <c r="P1583" s="157"/>
      <c r="Q1583" s="157"/>
      <c r="R1583" s="1627"/>
      <c r="S1583" s="157"/>
      <c r="T1583" s="157"/>
      <c r="U1583" s="1798"/>
      <c r="V1583" s="2309" t="s">
        <v>20</v>
      </c>
      <c r="W1583" s="910">
        <v>13965.852998065762</v>
      </c>
      <c r="X1583" s="911">
        <v>10399.659574468084</v>
      </c>
      <c r="Y1583" s="825">
        <v>10399.66</v>
      </c>
      <c r="Z1583" s="825">
        <v>10399.66</v>
      </c>
      <c r="AA1583" s="825">
        <v>10399.66</v>
      </c>
      <c r="AB1583" s="2582">
        <v>10399.66</v>
      </c>
      <c r="AC1583" s="910"/>
      <c r="AD1583" s="910"/>
      <c r="AE1583" s="910"/>
      <c r="AF1583" s="910"/>
      <c r="AG1583" s="910"/>
      <c r="AH1583" s="211"/>
      <c r="AK1583" s="912"/>
      <c r="BB1583" s="822"/>
      <c r="BC1583" s="821" t="str">
        <f t="shared" si="158"/>
        <v>Heating Res 6 Year EUL</v>
      </c>
      <c r="BD1583" s="752">
        <f>(INDEX('Avoided Cost Benefits'!$C$4:$C$857,MATCH(BC1583,'Avoided Cost Benefits'!$A$4:$A$857,0)))*F1583</f>
        <v>1729.8118904813734</v>
      </c>
      <c r="BE1583" s="73">
        <f t="shared" si="166"/>
        <v>0</v>
      </c>
      <c r="BG1583" s="776"/>
      <c r="BH1583" s="913"/>
      <c r="BI1583" s="776"/>
    </row>
    <row r="1584" spans="1:61" s="64" customFormat="1" x14ac:dyDescent="0.25">
      <c r="A1584" s="1393" t="str">
        <f t="shared" si="165"/>
        <v>354400_2019_12_Cooling Res ER2</v>
      </c>
      <c r="B1584" s="157"/>
      <c r="C1584" s="1352" t="s">
        <v>1448</v>
      </c>
      <c r="D1584" s="1756" t="s">
        <v>740</v>
      </c>
      <c r="E1584" s="821" t="s">
        <v>1450</v>
      </c>
      <c r="F1584" s="2582">
        <f>ROUND(((K2283*K2411*(1/K2539-1/K2667)*K2795)/1000)*$K$2834,2)</f>
        <v>785.27</v>
      </c>
      <c r="G1584" s="1787" t="s">
        <v>1314</v>
      </c>
      <c r="H1584" s="202">
        <f>VLOOKUP(G1584,'CP FACTORS'!$A$3:$B$38, 2, FALSE)</f>
        <v>9.4741810000000004E-4</v>
      </c>
      <c r="I1584" s="1757">
        <f t="shared" si="157"/>
        <v>0.74397899999999995</v>
      </c>
      <c r="J1584" s="141">
        <f t="shared" si="173"/>
        <v>12</v>
      </c>
      <c r="K1584" s="908">
        <f t="shared" si="174"/>
        <v>0</v>
      </c>
      <c r="L1584" s="909"/>
      <c r="M1584" s="1797"/>
      <c r="N1584" s="1794"/>
      <c r="O1584" s="1249"/>
      <c r="P1584" s="157"/>
      <c r="Q1584" s="157"/>
      <c r="R1584" s="1627"/>
      <c r="S1584" s="157"/>
      <c r="T1584" s="157"/>
      <c r="U1584" s="1798"/>
      <c r="V1584" s="2309" t="s">
        <v>20</v>
      </c>
      <c r="W1584" s="910">
        <v>785.26639676113382</v>
      </c>
      <c r="X1584" s="917">
        <v>785.26639676113382</v>
      </c>
      <c r="Y1584" s="825">
        <v>785.27</v>
      </c>
      <c r="Z1584" s="825">
        <v>785.27</v>
      </c>
      <c r="AA1584" s="825">
        <v>785.27</v>
      </c>
      <c r="AB1584" s="2582">
        <v>785.27</v>
      </c>
      <c r="AC1584" s="910"/>
      <c r="AD1584" s="910"/>
      <c r="AE1584" s="910"/>
      <c r="AF1584" s="910"/>
      <c r="AG1584" s="910"/>
      <c r="AH1584" s="211"/>
      <c r="AK1584" s="912"/>
      <c r="BB1584" s="822"/>
      <c r="BC1584" s="821" t="str">
        <f t="shared" si="158"/>
        <v>Cooling Res ER2 12 Year EUL</v>
      </c>
      <c r="BD1584" s="752">
        <f>(INDEX('Avoided Cost Benefits'!$C$4:$C$857,MATCH(BC1584,'Avoided Cost Benefits'!$A$4:$A$857,0)))*F1584</f>
        <v>928.44318532550415</v>
      </c>
      <c r="BE1584" s="73">
        <f t="shared" si="166"/>
        <v>0</v>
      </c>
      <c r="BG1584" s="776"/>
      <c r="BH1584" s="913"/>
      <c r="BI1584" s="776"/>
    </row>
    <row r="1585" spans="1:61" s="64" customFormat="1" x14ac:dyDescent="0.25">
      <c r="A1585" s="1393" t="str">
        <f t="shared" si="165"/>
        <v>354400_2019_12_Heating Res ER2</v>
      </c>
      <c r="B1585" s="157"/>
      <c r="C1585" s="1352" t="s">
        <v>1448</v>
      </c>
      <c r="D1585" s="1756" t="s">
        <v>740</v>
      </c>
      <c r="E1585" s="781" t="s">
        <v>1450</v>
      </c>
      <c r="F1585" s="2582">
        <f>ROUND(((K1771*K1899*(1/K2027-1/K2155)*K2795)/1000)*$K$2834,2)</f>
        <v>10399.66</v>
      </c>
      <c r="G1585" s="1787" t="s">
        <v>1332</v>
      </c>
      <c r="H1585" s="202">
        <f>VLOOKUP(G1585,'CP FACTORS'!$A$3:$B$38, 2, FALSE)</f>
        <v>0</v>
      </c>
      <c r="I1585" s="1757">
        <f t="shared" si="157"/>
        <v>0</v>
      </c>
      <c r="J1585" s="141">
        <f t="shared" si="173"/>
        <v>12</v>
      </c>
      <c r="K1585" s="908">
        <f t="shared" si="174"/>
        <v>0</v>
      </c>
      <c r="L1585" s="909"/>
      <c r="M1585" s="1797"/>
      <c r="N1585" s="1794"/>
      <c r="O1585" s="1249"/>
      <c r="P1585" s="157"/>
      <c r="Q1585" s="157"/>
      <c r="R1585" s="1627"/>
      <c r="S1585" s="157"/>
      <c r="T1585" s="157"/>
      <c r="U1585" s="1798"/>
      <c r="V1585" s="2309" t="s">
        <v>20</v>
      </c>
      <c r="W1585" s="910">
        <v>13965.852998065762</v>
      </c>
      <c r="X1585" s="911">
        <v>10399.659574468084</v>
      </c>
      <c r="Y1585" s="825">
        <v>10399.66</v>
      </c>
      <c r="Z1585" s="825">
        <v>10399.66</v>
      </c>
      <c r="AA1585" s="825">
        <v>10399.66</v>
      </c>
      <c r="AB1585" s="2582">
        <v>10399.66</v>
      </c>
      <c r="AC1585" s="910"/>
      <c r="AD1585" s="910"/>
      <c r="AE1585" s="910"/>
      <c r="AF1585" s="910"/>
      <c r="AG1585" s="910"/>
      <c r="AH1585" s="211"/>
      <c r="AK1585" s="912"/>
      <c r="BB1585" s="822"/>
      <c r="BC1585" s="781" t="str">
        <f t="shared" si="158"/>
        <v>Heating Res ER2 12 Year EUL</v>
      </c>
      <c r="BD1585" s="752">
        <f>(INDEX('Avoided Cost Benefits'!$C$4:$C$857,MATCH(BC1585,'Avoided Cost Benefits'!$A$4:$A$857,0)))*F1585</f>
        <v>3074.9985027651505</v>
      </c>
      <c r="BE1585" s="73">
        <f t="shared" si="166"/>
        <v>0</v>
      </c>
      <c r="BG1585" s="776"/>
      <c r="BH1585" s="913"/>
      <c r="BI1585" s="776"/>
    </row>
    <row r="1586" spans="1:61" s="64" customFormat="1" x14ac:dyDescent="0.25">
      <c r="A1586" s="1393" t="str">
        <f t="shared" si="165"/>
        <v>354450_2019_12_Cooling Res</v>
      </c>
      <c r="B1586" s="157"/>
      <c r="C1586" s="1352" t="s">
        <v>1451</v>
      </c>
      <c r="D1586" s="1756" t="s">
        <v>742</v>
      </c>
      <c r="E1586" s="742" t="s">
        <v>1452</v>
      </c>
      <c r="F1586" s="2582">
        <f>ROUND(((K2284*K2412*(1/K2540-1/K2668)*K2796)/1000)*$K$2834,2)</f>
        <v>1416.58</v>
      </c>
      <c r="G1586" s="263" t="s">
        <v>1273</v>
      </c>
      <c r="H1586" s="202">
        <f>VLOOKUP(G1586,'CP FACTORS'!$A$3:$B$38, 2, FALSE)</f>
        <v>9.4741810000000004E-4</v>
      </c>
      <c r="I1586" s="1757">
        <f t="shared" ref="I1586:I1659" si="175">ROUND(F1586*H1586,6)</f>
        <v>1.3420939999999999</v>
      </c>
      <c r="J1586" s="141">
        <f t="shared" si="173"/>
        <v>6</v>
      </c>
      <c r="K1586" s="908">
        <f t="shared" si="174"/>
        <v>1685.1098012161674</v>
      </c>
      <c r="L1586" s="909">
        <f>L1772</f>
        <v>3.1</v>
      </c>
      <c r="M1586" s="1797"/>
      <c r="N1586" s="1794"/>
      <c r="O1586" s="1249"/>
      <c r="P1586" s="157"/>
      <c r="Q1586" s="157"/>
      <c r="R1586" s="1627"/>
      <c r="S1586" s="157"/>
      <c r="T1586" s="157"/>
      <c r="U1586" s="1798"/>
      <c r="V1586" s="2309" t="s">
        <v>20</v>
      </c>
      <c r="W1586" s="910">
        <v>1984.1449226006196</v>
      </c>
      <c r="X1586" s="911">
        <v>1416.5825576546411</v>
      </c>
      <c r="Y1586" s="825">
        <v>1416.58</v>
      </c>
      <c r="Z1586" s="825">
        <v>1416.58</v>
      </c>
      <c r="AA1586" s="825">
        <v>1416.58</v>
      </c>
      <c r="AB1586" s="2582">
        <v>1416.58</v>
      </c>
      <c r="AC1586" s="910"/>
      <c r="AD1586" s="910"/>
      <c r="AE1586" s="910"/>
      <c r="AF1586" s="910"/>
      <c r="AG1586" s="910"/>
      <c r="AH1586" s="211"/>
      <c r="AK1586" s="912"/>
      <c r="BB1586" s="293">
        <f>(BD1586+BD1587+BD1588+BD1589)/(BE1586+BE1587+BE1588+BE1589)</f>
        <v>2.8609839612822618</v>
      </c>
      <c r="BC1586" s="742" t="str">
        <f t="shared" ref="BC1586:BC1659" si="176">CONCATENATE(G1586," ",J1586," Year EUL")</f>
        <v>Cooling Res 6 Year EUL</v>
      </c>
      <c r="BD1586" s="752">
        <f>(INDEX('Avoided Cost Benefits'!$C$4:$C$857,MATCH(BC1586,'Avoided Cost Benefits'!$A$4:$A$857,0)))*F1586</f>
        <v>823.71883553047269</v>
      </c>
      <c r="BE1586" s="73">
        <f t="shared" si="166"/>
        <v>1590.4764523040749</v>
      </c>
      <c r="BG1586" s="776"/>
      <c r="BH1586" s="913"/>
      <c r="BI1586" s="776"/>
    </row>
    <row r="1587" spans="1:61" s="64" customFormat="1" x14ac:dyDescent="0.25">
      <c r="A1587" s="1393" t="str">
        <f t="shared" si="165"/>
        <v>354450_2019_12_Heating Res</v>
      </c>
      <c r="B1587" s="157"/>
      <c r="C1587" s="1352" t="s">
        <v>1451</v>
      </c>
      <c r="D1587" s="1756" t="s">
        <v>742</v>
      </c>
      <c r="E1587" s="821" t="s">
        <v>1452</v>
      </c>
      <c r="F1587" s="2582">
        <f>ROUND(((K1772*K1900*(1/K2028-1/K2156)*K2796)/1000)*$K$2834,2)</f>
        <v>6759.78</v>
      </c>
      <c r="G1587" s="263" t="s">
        <v>1275</v>
      </c>
      <c r="H1587" s="202">
        <f>VLOOKUP(G1587,'CP FACTORS'!$A$3:$B$38, 2, FALSE)</f>
        <v>0</v>
      </c>
      <c r="I1587" s="1757">
        <f t="shared" si="175"/>
        <v>0</v>
      </c>
      <c r="J1587" s="141">
        <f t="shared" si="173"/>
        <v>6</v>
      </c>
      <c r="K1587" s="908">
        <f t="shared" si="174"/>
        <v>0</v>
      </c>
      <c r="L1587" s="909"/>
      <c r="M1587" s="1797"/>
      <c r="N1587" s="1794"/>
      <c r="O1587" s="1249"/>
      <c r="P1587" s="157"/>
      <c r="Q1587" s="157"/>
      <c r="R1587" s="1627"/>
      <c r="S1587" s="157"/>
      <c r="T1587" s="157"/>
      <c r="U1587" s="1798"/>
      <c r="V1587" s="2309" t="s">
        <v>20</v>
      </c>
      <c r="W1587" s="910">
        <v>9077.8044487427451</v>
      </c>
      <c r="X1587" s="911">
        <v>6759.7787234042544</v>
      </c>
      <c r="Y1587" s="825">
        <v>6759.78</v>
      </c>
      <c r="Z1587" s="825">
        <v>6759.78</v>
      </c>
      <c r="AA1587" s="825">
        <v>6759.78</v>
      </c>
      <c r="AB1587" s="2582">
        <v>6759.78</v>
      </c>
      <c r="AC1587" s="910"/>
      <c r="AD1587" s="910"/>
      <c r="AE1587" s="910"/>
      <c r="AF1587" s="910"/>
      <c r="AG1587" s="910"/>
      <c r="AH1587" s="211"/>
      <c r="AK1587" s="912"/>
      <c r="BB1587" s="822"/>
      <c r="BC1587" s="821" t="str">
        <f t="shared" si="176"/>
        <v>Heating Res 6 Year EUL</v>
      </c>
      <c r="BD1587" s="752">
        <f>(INDEX('Avoided Cost Benefits'!$C$4:$C$857,MATCH(BC1587,'Avoided Cost Benefits'!$A$4:$A$857,0)))*F1587</f>
        <v>1124.3778951463969</v>
      </c>
      <c r="BE1587" s="73">
        <f t="shared" si="166"/>
        <v>0</v>
      </c>
      <c r="BG1587" s="776"/>
      <c r="BH1587" s="913"/>
      <c r="BI1587" s="776"/>
    </row>
    <row r="1588" spans="1:61" s="64" customFormat="1" x14ac:dyDescent="0.25">
      <c r="A1588" s="1393" t="str">
        <f t="shared" si="165"/>
        <v>354450_2019_12_Cooling Res ER2</v>
      </c>
      <c r="B1588" s="157"/>
      <c r="C1588" s="1352" t="s">
        <v>1451</v>
      </c>
      <c r="D1588" s="1756" t="s">
        <v>742</v>
      </c>
      <c r="E1588" s="821" t="s">
        <v>1453</v>
      </c>
      <c r="F1588" s="2582">
        <f>ROUND(((K2285*K2413*(1/K2541-1/K2669)*K2797)/1000)*$K$2834,2)</f>
        <v>510.42</v>
      </c>
      <c r="G1588" s="1787" t="s">
        <v>1314</v>
      </c>
      <c r="H1588" s="202">
        <f>VLOOKUP(G1588,'CP FACTORS'!$A$3:$B$38, 2, FALSE)</f>
        <v>9.4741810000000004E-4</v>
      </c>
      <c r="I1588" s="1757">
        <f t="shared" si="175"/>
        <v>0.48358099999999998</v>
      </c>
      <c r="J1588" s="141">
        <f t="shared" si="173"/>
        <v>12</v>
      </c>
      <c r="K1588" s="908">
        <f t="shared" si="174"/>
        <v>0</v>
      </c>
      <c r="L1588" s="909"/>
      <c r="M1588" s="1797"/>
      <c r="N1588" s="1794"/>
      <c r="O1588" s="1249"/>
      <c r="P1588" s="157"/>
      <c r="Q1588" s="157"/>
      <c r="R1588" s="1627"/>
      <c r="S1588" s="157"/>
      <c r="T1588" s="157"/>
      <c r="U1588" s="1798"/>
      <c r="V1588" s="2309" t="s">
        <v>20</v>
      </c>
      <c r="W1588" s="910">
        <v>510.42315789473696</v>
      </c>
      <c r="X1588" s="917">
        <v>510.42315789473696</v>
      </c>
      <c r="Y1588" s="825">
        <v>510.42</v>
      </c>
      <c r="Z1588" s="825">
        <v>510.42</v>
      </c>
      <c r="AA1588" s="825">
        <v>510.42</v>
      </c>
      <c r="AB1588" s="2582">
        <v>510.42</v>
      </c>
      <c r="AC1588" s="910"/>
      <c r="AD1588" s="910"/>
      <c r="AE1588" s="910"/>
      <c r="AF1588" s="910"/>
      <c r="AG1588" s="910"/>
      <c r="AH1588" s="211"/>
      <c r="AK1588" s="912"/>
      <c r="BB1588" s="822"/>
      <c r="BC1588" s="821" t="str">
        <f t="shared" si="176"/>
        <v>Cooling Res ER2 12 Year EUL</v>
      </c>
      <c r="BD1588" s="752">
        <f>(INDEX('Avoided Cost Benefits'!$C$4:$C$857,MATCH(BC1588,'Avoided Cost Benefits'!$A$4:$A$857,0)))*F1588</f>
        <v>603.48156768225431</v>
      </c>
      <c r="BE1588" s="73">
        <f t="shared" si="166"/>
        <v>0</v>
      </c>
      <c r="BG1588" s="776"/>
      <c r="BH1588" s="913"/>
      <c r="BI1588" s="776"/>
    </row>
    <row r="1589" spans="1:61" s="64" customFormat="1" x14ac:dyDescent="0.25">
      <c r="A1589" s="1393" t="str">
        <f t="shared" si="165"/>
        <v>354450_2019_12_Heating Res ER2</v>
      </c>
      <c r="B1589" s="157"/>
      <c r="C1589" s="1352" t="s">
        <v>1451</v>
      </c>
      <c r="D1589" s="1756" t="s">
        <v>742</v>
      </c>
      <c r="E1589" s="750" t="s">
        <v>1453</v>
      </c>
      <c r="F1589" s="2582">
        <f>ROUND(((K1773*K1901*(1/K2029-1/K2157)*K2797)/1000)*$K$2834,2)</f>
        <v>6759.78</v>
      </c>
      <c r="G1589" s="1787" t="s">
        <v>1332</v>
      </c>
      <c r="H1589" s="202">
        <f>VLOOKUP(G1589,'CP FACTORS'!$A$3:$B$38, 2, FALSE)</f>
        <v>0</v>
      </c>
      <c r="I1589" s="1757">
        <f t="shared" si="175"/>
        <v>0</v>
      </c>
      <c r="J1589" s="141">
        <f t="shared" si="173"/>
        <v>12</v>
      </c>
      <c r="K1589" s="908">
        <f t="shared" si="174"/>
        <v>0</v>
      </c>
      <c r="L1589" s="909"/>
      <c r="M1589" s="1797"/>
      <c r="N1589" s="1794"/>
      <c r="O1589" s="1249"/>
      <c r="P1589" s="157"/>
      <c r="Q1589" s="157"/>
      <c r="R1589" s="1627"/>
      <c r="S1589" s="157"/>
      <c r="T1589" s="157"/>
      <c r="U1589" s="1798"/>
      <c r="V1589" s="2309" t="s">
        <v>20</v>
      </c>
      <c r="W1589" s="910">
        <v>9077.8044487427451</v>
      </c>
      <c r="X1589" s="911">
        <v>6759.7787234042544</v>
      </c>
      <c r="Y1589" s="825">
        <v>6759.78</v>
      </c>
      <c r="Z1589" s="825">
        <v>6759.78</v>
      </c>
      <c r="AA1589" s="825">
        <v>6759.78</v>
      </c>
      <c r="AB1589" s="2582">
        <v>6759.78</v>
      </c>
      <c r="AC1589" s="910"/>
      <c r="AD1589" s="910"/>
      <c r="AE1589" s="910"/>
      <c r="AF1589" s="910"/>
      <c r="AG1589" s="910"/>
      <c r="AH1589" s="211"/>
      <c r="AK1589" s="912"/>
      <c r="BB1589" s="822"/>
      <c r="BC1589" s="750" t="str">
        <f t="shared" si="176"/>
        <v>Heating Res ER2 12 Year EUL</v>
      </c>
      <c r="BD1589" s="752">
        <f>(INDEX('Avoided Cost Benefits'!$C$4:$C$857,MATCH(BC1589,'Avoided Cost Benefits'!$A$4:$A$857,0)))*F1589</f>
        <v>1998.7493224799473</v>
      </c>
      <c r="BE1589" s="73">
        <f t="shared" si="166"/>
        <v>0</v>
      </c>
      <c r="BG1589" s="776"/>
      <c r="BH1589" s="913"/>
      <c r="BI1589" s="776"/>
    </row>
    <row r="1590" spans="1:61" s="64" customFormat="1" x14ac:dyDescent="0.25">
      <c r="A1590" s="1393" t="str">
        <f t="shared" si="165"/>
        <v>354451_2019_12_Cooling Res</v>
      </c>
      <c r="B1590" s="157"/>
      <c r="C1590" s="1352" t="s">
        <v>1454</v>
      </c>
      <c r="D1590" s="1756" t="s">
        <v>737</v>
      </c>
      <c r="E1590" s="742" t="str">
        <f>CONCATENATE(E1586,"_CompE")</f>
        <v>ASHP - SEER 19 - replace electric furnace / CAC - early replacement MF ER1_CompE</v>
      </c>
      <c r="F1590" s="2582">
        <f>ROUND((($K$2286*$K$2414*(1/$K$2542-1/$K$2670)*$K$2798)/1000)*$K$2834,2)</f>
        <v>1030.24</v>
      </c>
      <c r="G1590" s="263" t="str">
        <f t="shared" ref="G1590:K1593" si="177">G1586</f>
        <v>Cooling Res</v>
      </c>
      <c r="H1590" s="202">
        <f t="shared" si="177"/>
        <v>9.4741810000000004E-4</v>
      </c>
      <c r="I1590" s="1801">
        <f t="shared" si="175"/>
        <v>0.97606800000000005</v>
      </c>
      <c r="J1590" s="141">
        <f>J1586</f>
        <v>6</v>
      </c>
      <c r="K1590" s="908">
        <f>K1586</f>
        <v>1685.1098012161674</v>
      </c>
      <c r="L1590" s="909">
        <f>L1586</f>
        <v>3.1</v>
      </c>
      <c r="M1590" s="1797"/>
      <c r="N1590" s="1794"/>
      <c r="O1590" s="1249"/>
      <c r="P1590" s="157"/>
      <c r="Q1590" s="157"/>
      <c r="R1590" s="1627"/>
      <c r="S1590" s="157"/>
      <c r="T1590" s="157"/>
      <c r="U1590" s="1798"/>
      <c r="V1590" s="2309" t="s">
        <v>20</v>
      </c>
      <c r="W1590" s="910"/>
      <c r="X1590" s="911"/>
      <c r="Y1590" s="830">
        <v>1030.24</v>
      </c>
      <c r="Z1590" s="825">
        <v>1030.24</v>
      </c>
      <c r="AA1590" s="825">
        <v>1030.24</v>
      </c>
      <c r="AB1590" s="2582">
        <v>1030.24</v>
      </c>
      <c r="AC1590" s="910"/>
      <c r="AD1590" s="910"/>
      <c r="AE1590" s="910"/>
      <c r="AF1590" s="910"/>
      <c r="AG1590" s="910"/>
      <c r="AH1590" s="211"/>
      <c r="AK1590" s="912"/>
      <c r="BB1590" s="293">
        <f>(BD1590+BD1591+BD1592+BD1593)/(BE1590+BE1591+BE1592+BE1593)</f>
        <v>1.3220394594007598</v>
      </c>
      <c r="BC1590" s="742" t="str">
        <f t="shared" si="176"/>
        <v>Cooling Res 6 Year EUL</v>
      </c>
      <c r="BD1590" s="752">
        <f>(INDEX('Avoided Cost Benefits'!$C$4:$C$857,MATCH(BC1590,'Avoided Cost Benefits'!$A$4:$A$857,0)))*F1590</f>
        <v>599.06824402216205</v>
      </c>
      <c r="BE1590" s="73">
        <f t="shared" si="166"/>
        <v>1590.4764523040749</v>
      </c>
      <c r="BG1590" s="776"/>
      <c r="BH1590" s="916"/>
      <c r="BI1590" s="776"/>
    </row>
    <row r="1591" spans="1:61" s="64" customFormat="1" x14ac:dyDescent="0.25">
      <c r="A1591" s="1393" t="str">
        <f t="shared" si="165"/>
        <v>354451_2019_12_Heating Res</v>
      </c>
      <c r="B1591" s="157"/>
      <c r="C1591" s="1352" t="str">
        <f>C1590</f>
        <v>354451_2019_12_</v>
      </c>
      <c r="D1591" s="1756" t="s">
        <v>737</v>
      </c>
      <c r="E1591" s="821" t="str">
        <f>CONCATENATE(E1587,"_CompE")</f>
        <v>ASHP - SEER 19 - replace electric furnace / CAC - early replacement MF ER1_CompE</v>
      </c>
      <c r="F1591" s="2582">
        <f>ROUND((($K$1774*$K$1902*(1/$K$2030-1/$K$2158)*$K$2798)/1000)*$K$2834,2)</f>
        <v>2304.4699999999998</v>
      </c>
      <c r="G1591" s="263" t="str">
        <f t="shared" si="177"/>
        <v>Heating Res</v>
      </c>
      <c r="H1591" s="202">
        <f t="shared" si="177"/>
        <v>0</v>
      </c>
      <c r="I1591" s="1801">
        <f t="shared" si="175"/>
        <v>0</v>
      </c>
      <c r="J1591" s="141">
        <f t="shared" si="177"/>
        <v>6</v>
      </c>
      <c r="K1591" s="908">
        <f t="shared" si="177"/>
        <v>0</v>
      </c>
      <c r="L1591" s="909"/>
      <c r="M1591" s="1797"/>
      <c r="N1591" s="1794"/>
      <c r="O1591" s="1249"/>
      <c r="P1591" s="157"/>
      <c r="Q1591" s="157"/>
      <c r="R1591" s="1627"/>
      <c r="S1591" s="157"/>
      <c r="T1591" s="157"/>
      <c r="U1591" s="1798"/>
      <c r="V1591" s="2309" t="s">
        <v>20</v>
      </c>
      <c r="W1591" s="910"/>
      <c r="X1591" s="911"/>
      <c r="Y1591" s="830">
        <v>2304.4699999999998</v>
      </c>
      <c r="Z1591" s="825">
        <v>2304.4699999999998</v>
      </c>
      <c r="AA1591" s="825">
        <v>2304.4699999999998</v>
      </c>
      <c r="AB1591" s="2582">
        <v>2304.4699999999998</v>
      </c>
      <c r="AC1591" s="910"/>
      <c r="AD1591" s="910"/>
      <c r="AE1591" s="910"/>
      <c r="AF1591" s="910"/>
      <c r="AG1591" s="910"/>
      <c r="AH1591" s="211"/>
      <c r="AK1591" s="912"/>
      <c r="BB1591" s="822"/>
      <c r="BC1591" s="821" t="str">
        <f t="shared" si="176"/>
        <v>Heating Res 6 Year EUL</v>
      </c>
      <c r="BD1591" s="752">
        <f>(INDEX('Avoided Cost Benefits'!$C$4:$C$857,MATCH(BC1591,'Avoided Cost Benefits'!$A$4:$A$857,0)))*F1591</f>
        <v>383.31057046649704</v>
      </c>
      <c r="BE1591" s="73">
        <f t="shared" si="166"/>
        <v>0</v>
      </c>
      <c r="BG1591" s="776"/>
      <c r="BH1591" s="916"/>
      <c r="BI1591" s="776"/>
    </row>
    <row r="1592" spans="1:61" s="64" customFormat="1" x14ac:dyDescent="0.25">
      <c r="A1592" s="1393" t="str">
        <f t="shared" si="165"/>
        <v>354451_2019_12_Cooling Res ER2</v>
      </c>
      <c r="B1592" s="157"/>
      <c r="C1592" s="1352" t="str">
        <f>C1591</f>
        <v>354451_2019_12_</v>
      </c>
      <c r="D1592" s="1756" t="s">
        <v>737</v>
      </c>
      <c r="E1592" s="821" t="str">
        <f>CONCATENATE(E1588,"_CompE")</f>
        <v>ASHP - SEER 19 - replace electric furnace / CAC - early replacement MF ER2_CompE</v>
      </c>
      <c r="F1592" s="2582">
        <f>ROUND((($K$2287*$K$2415*(1/$K$2543-1/$K$2671)*$K$2799)/1000)*$K$2834,2)</f>
        <v>371.22</v>
      </c>
      <c r="G1592" s="263" t="str">
        <f t="shared" si="177"/>
        <v>Cooling Res ER2</v>
      </c>
      <c r="H1592" s="202">
        <f t="shared" si="177"/>
        <v>9.4741810000000004E-4</v>
      </c>
      <c r="I1592" s="1801">
        <f t="shared" si="175"/>
        <v>0.35170099999999999</v>
      </c>
      <c r="J1592" s="141">
        <f t="shared" si="177"/>
        <v>12</v>
      </c>
      <c r="K1592" s="908">
        <f t="shared" si="177"/>
        <v>0</v>
      </c>
      <c r="L1592" s="909"/>
      <c r="M1592" s="1797"/>
      <c r="N1592" s="1794"/>
      <c r="O1592" s="1249"/>
      <c r="P1592" s="157"/>
      <c r="Q1592" s="157"/>
      <c r="R1592" s="1627"/>
      <c r="S1592" s="157"/>
      <c r="T1592" s="157"/>
      <c r="U1592" s="1798"/>
      <c r="V1592" s="2309" t="s">
        <v>20</v>
      </c>
      <c r="W1592" s="910"/>
      <c r="X1592" s="911"/>
      <c r="Y1592" s="830">
        <v>371.22</v>
      </c>
      <c r="Z1592" s="825">
        <v>371.22</v>
      </c>
      <c r="AA1592" s="825">
        <v>371.22</v>
      </c>
      <c r="AB1592" s="2582">
        <v>371.22</v>
      </c>
      <c r="AC1592" s="910"/>
      <c r="AD1592" s="910"/>
      <c r="AE1592" s="910"/>
      <c r="AF1592" s="910"/>
      <c r="AG1592" s="910"/>
      <c r="AH1592" s="211"/>
      <c r="AK1592" s="912"/>
      <c r="BB1592" s="822"/>
      <c r="BC1592" s="821" t="str">
        <f t="shared" si="176"/>
        <v>Cooling Res ER2 12 Year EUL</v>
      </c>
      <c r="BD1592" s="752">
        <f>(INDEX('Avoided Cost Benefits'!$C$4:$C$857,MATCH(BC1592,'Avoided Cost Benefits'!$A$4:$A$857,0)))*F1592</f>
        <v>438.90213462443961</v>
      </c>
      <c r="BE1592" s="73">
        <f t="shared" si="166"/>
        <v>0</v>
      </c>
      <c r="BG1592" s="776"/>
      <c r="BH1592" s="916"/>
      <c r="BI1592" s="776"/>
    </row>
    <row r="1593" spans="1:61" s="64" customFormat="1" x14ac:dyDescent="0.25">
      <c r="A1593" s="1393" t="str">
        <f t="shared" si="165"/>
        <v>354451_2019_12_Heating Res ER2</v>
      </c>
      <c r="B1593" s="157"/>
      <c r="C1593" s="1352" t="str">
        <f>C1592</f>
        <v>354451_2019_12_</v>
      </c>
      <c r="D1593" s="1756" t="s">
        <v>737</v>
      </c>
      <c r="E1593" s="750" t="str">
        <f>CONCATENATE(E1589,"_CompE")</f>
        <v>ASHP - SEER 19 - replace electric furnace / CAC - early replacement MF ER2_CompE</v>
      </c>
      <c r="F1593" s="2582">
        <f>ROUND((($K$1775*$K$1903*(1/$K$2031-1/$K$2159)*$K$2799)/1000)*$K$2834,2)</f>
        <v>2304.4699999999998</v>
      </c>
      <c r="G1593" s="263" t="str">
        <f t="shared" si="177"/>
        <v>Heating Res ER2</v>
      </c>
      <c r="H1593" s="202">
        <f t="shared" si="177"/>
        <v>0</v>
      </c>
      <c r="I1593" s="1801">
        <f t="shared" si="175"/>
        <v>0</v>
      </c>
      <c r="J1593" s="141">
        <f t="shared" si="177"/>
        <v>12</v>
      </c>
      <c r="K1593" s="908">
        <f t="shared" si="177"/>
        <v>0</v>
      </c>
      <c r="L1593" s="909"/>
      <c r="M1593" s="1797"/>
      <c r="N1593" s="1794"/>
      <c r="O1593" s="1249"/>
      <c r="P1593" s="157"/>
      <c r="Q1593" s="157"/>
      <c r="R1593" s="1627"/>
      <c r="S1593" s="157"/>
      <c r="T1593" s="157"/>
      <c r="U1593" s="1798"/>
      <c r="V1593" s="2309" t="s">
        <v>20</v>
      </c>
      <c r="W1593" s="910"/>
      <c r="X1593" s="911"/>
      <c r="Y1593" s="830">
        <v>2304.4699999999998</v>
      </c>
      <c r="Z1593" s="825">
        <v>2304.4699999999998</v>
      </c>
      <c r="AA1593" s="825">
        <v>2304.4699999999998</v>
      </c>
      <c r="AB1593" s="2582">
        <v>2304.4699999999998</v>
      </c>
      <c r="AC1593" s="910"/>
      <c r="AD1593" s="910"/>
      <c r="AE1593" s="910"/>
      <c r="AF1593" s="910"/>
      <c r="AG1593" s="910"/>
      <c r="AH1593" s="211"/>
      <c r="AK1593" s="912"/>
      <c r="BB1593" s="822"/>
      <c r="BC1593" s="750" t="str">
        <f t="shared" si="176"/>
        <v>Heating Res ER2 12 Year EUL</v>
      </c>
      <c r="BD1593" s="752">
        <f>(INDEX('Avoided Cost Benefits'!$C$4:$C$857,MATCH(BC1593,'Avoided Cost Benefits'!$A$4:$A$857,0)))*F1593</f>
        <v>681.39168008061858</v>
      </c>
      <c r="BE1593" s="73">
        <f t="shared" si="166"/>
        <v>0</v>
      </c>
      <c r="BG1593" s="776"/>
      <c r="BH1593" s="916"/>
      <c r="BI1593" s="776"/>
    </row>
    <row r="1594" spans="1:61" s="64" customFormat="1" x14ac:dyDescent="0.25">
      <c r="A1594" s="1393" t="str">
        <f t="shared" si="165"/>
        <v>354500_2019_12_Cooling Res</v>
      </c>
      <c r="B1594" s="157"/>
      <c r="C1594" s="1352" t="s">
        <v>1455</v>
      </c>
      <c r="D1594" s="1756" t="s">
        <v>742</v>
      </c>
      <c r="E1594" s="742" t="s">
        <v>1456</v>
      </c>
      <c r="F1594" s="2582">
        <f>ROUND(((K2288*K2416*(1/K2544-1/K2672)*K2800)/1000)*$K$2834,2)</f>
        <v>1507.97</v>
      </c>
      <c r="G1594" s="263" t="s">
        <v>1273</v>
      </c>
      <c r="H1594" s="202">
        <f>VLOOKUP(G1594,'CP FACTORS'!$A$3:$B$38, 2, FALSE)</f>
        <v>9.4741810000000004E-4</v>
      </c>
      <c r="I1594" s="1757">
        <f t="shared" si="175"/>
        <v>1.4286779999999999</v>
      </c>
      <c r="J1594" s="141">
        <f>K2965</f>
        <v>6</v>
      </c>
      <c r="K1594" s="908">
        <f>K3135</f>
        <v>1716.1717238752744</v>
      </c>
      <c r="L1594" s="909">
        <f>L1776</f>
        <v>3.3</v>
      </c>
      <c r="M1594" s="1797"/>
      <c r="N1594" s="1794"/>
      <c r="O1594" s="1249"/>
      <c r="P1594" s="157"/>
      <c r="Q1594" s="157"/>
      <c r="R1594" s="1627"/>
      <c r="S1594" s="157"/>
      <c r="T1594" s="157"/>
      <c r="U1594" s="1798"/>
      <c r="V1594" s="2309" t="s">
        <v>20</v>
      </c>
      <c r="W1594" s="910">
        <v>1929.4086842105264</v>
      </c>
      <c r="X1594" s="911">
        <v>1507.9749807291337</v>
      </c>
      <c r="Y1594" s="825">
        <v>1507.97</v>
      </c>
      <c r="Z1594" s="825">
        <v>1507.97</v>
      </c>
      <c r="AA1594" s="825">
        <v>1507.97</v>
      </c>
      <c r="AB1594" s="2582">
        <v>1507.97</v>
      </c>
      <c r="AC1594" s="910"/>
      <c r="AD1594" s="910"/>
      <c r="AE1594" s="910"/>
      <c r="AF1594" s="910"/>
      <c r="AG1594" s="910"/>
      <c r="AH1594" s="211"/>
      <c r="AK1594" s="912"/>
      <c r="BB1594" s="293">
        <f>(BD1594+BD1595+BD1596+BD1597)/(BE1594+BE1595+BE1596+BE1597)</f>
        <v>1.1502519854045077</v>
      </c>
      <c r="BC1594" s="742" t="str">
        <f t="shared" si="176"/>
        <v>Cooling Res 6 Year EUL</v>
      </c>
      <c r="BD1594" s="752">
        <f>(INDEX('Avoided Cost Benefits'!$C$4:$C$857,MATCH(BC1594,'Avoided Cost Benefits'!$A$4:$A$857,0)))*F1594</f>
        <v>876.86067318110304</v>
      </c>
      <c r="BE1594" s="73">
        <f t="shared" si="166"/>
        <v>1619.7939819492915</v>
      </c>
      <c r="BG1594" s="776"/>
      <c r="BH1594" s="913"/>
      <c r="BI1594" s="776"/>
    </row>
    <row r="1595" spans="1:61" s="64" customFormat="1" x14ac:dyDescent="0.25">
      <c r="A1595" s="1393" t="str">
        <f t="shared" si="165"/>
        <v>354500_2019_12_Heating Res</v>
      </c>
      <c r="B1595" s="157"/>
      <c r="C1595" s="1352" t="s">
        <v>1455</v>
      </c>
      <c r="D1595" s="1756" t="s">
        <v>742</v>
      </c>
      <c r="E1595" s="821" t="s">
        <v>1456</v>
      </c>
      <c r="F1595" s="2582">
        <f>ROUND(((K1776*K1904*(1/K2032-1/K2160)*K2800)/1000)*$K$2834,2)</f>
        <v>1798.76</v>
      </c>
      <c r="G1595" s="263" t="s">
        <v>1275</v>
      </c>
      <c r="H1595" s="202">
        <f>VLOOKUP(G1595,'CP FACTORS'!$A$3:$B$38, 2, FALSE)</f>
        <v>0</v>
      </c>
      <c r="I1595" s="1757">
        <f t="shared" si="175"/>
        <v>0</v>
      </c>
      <c r="J1595" s="141">
        <f>K2966</f>
        <v>6</v>
      </c>
      <c r="K1595" s="908">
        <f>K3136</f>
        <v>0</v>
      </c>
      <c r="L1595" s="909"/>
      <c r="M1595" s="1797"/>
      <c r="N1595" s="1794"/>
      <c r="O1595" s="1249"/>
      <c r="P1595" s="157"/>
      <c r="Q1595" s="157"/>
      <c r="R1595" s="1627"/>
      <c r="S1595" s="157"/>
      <c r="T1595" s="157"/>
      <c r="U1595" s="1798"/>
      <c r="V1595" s="2309" t="s">
        <v>20</v>
      </c>
      <c r="W1595" s="910">
        <v>4062.4872213622284</v>
      </c>
      <c r="X1595" s="911">
        <v>1798.7611070228763</v>
      </c>
      <c r="Y1595" s="825">
        <v>1798.76</v>
      </c>
      <c r="Z1595" s="825">
        <v>1798.76</v>
      </c>
      <c r="AA1595" s="825">
        <v>1798.76</v>
      </c>
      <c r="AB1595" s="2582">
        <v>1798.76</v>
      </c>
      <c r="AC1595" s="910"/>
      <c r="AD1595" s="910"/>
      <c r="AE1595" s="910"/>
      <c r="AF1595" s="910"/>
      <c r="AG1595" s="910"/>
      <c r="AH1595" s="211"/>
      <c r="AK1595" s="912"/>
      <c r="BB1595" s="822"/>
      <c r="BC1595" s="821" t="str">
        <f t="shared" si="176"/>
        <v>Heating Res 6 Year EUL</v>
      </c>
      <c r="BD1595" s="752">
        <f>(INDEX('Avoided Cost Benefits'!$C$4:$C$857,MATCH(BC1595,'Avoided Cost Benefits'!$A$4:$A$857,0)))*F1595</f>
        <v>299.19405404813961</v>
      </c>
      <c r="BE1595" s="73">
        <f t="shared" si="166"/>
        <v>0</v>
      </c>
      <c r="BG1595" s="776"/>
      <c r="BH1595" s="913"/>
      <c r="BI1595" s="776"/>
    </row>
    <row r="1596" spans="1:61" s="64" customFormat="1" x14ac:dyDescent="0.25">
      <c r="A1596" s="1393" t="str">
        <f t="shared" si="165"/>
        <v>354500_2019_12_Cooling Res ER2</v>
      </c>
      <c r="B1596" s="157"/>
      <c r="C1596" s="1352" t="s">
        <v>1455</v>
      </c>
      <c r="D1596" s="1756" t="s">
        <v>742</v>
      </c>
      <c r="E1596" s="821" t="s">
        <v>1457</v>
      </c>
      <c r="F1596" s="2582">
        <f>ROUND(((K2289*K2417*(1/K2545-1/K2673)*K2801)/1000)*$K$2834,2)</f>
        <v>420.45</v>
      </c>
      <c r="G1596" s="1787" t="s">
        <v>1314</v>
      </c>
      <c r="H1596" s="202">
        <f>VLOOKUP(G1596,'CP FACTORS'!$A$3:$B$38, 2, FALSE)</f>
        <v>9.4741810000000004E-4</v>
      </c>
      <c r="I1596" s="1757">
        <f t="shared" si="175"/>
        <v>0.39834199999999997</v>
      </c>
      <c r="J1596" s="141">
        <f>K2967</f>
        <v>12</v>
      </c>
      <c r="K1596" s="908">
        <f>K3137</f>
        <v>0</v>
      </c>
      <c r="L1596" s="909"/>
      <c r="M1596" s="1797"/>
      <c r="N1596" s="1794"/>
      <c r="O1596" s="1249"/>
      <c r="P1596" s="157"/>
      <c r="Q1596" s="157"/>
      <c r="R1596" s="1627"/>
      <c r="S1596" s="157"/>
      <c r="T1596" s="157"/>
      <c r="U1596" s="1798"/>
      <c r="V1596" s="2309" t="s">
        <v>20</v>
      </c>
      <c r="W1596" s="910">
        <v>420.45225563909776</v>
      </c>
      <c r="X1596" s="917">
        <v>420.45225563909776</v>
      </c>
      <c r="Y1596" s="825">
        <v>420.45</v>
      </c>
      <c r="Z1596" s="825">
        <v>420.45</v>
      </c>
      <c r="AA1596" s="825">
        <v>420.45</v>
      </c>
      <c r="AB1596" s="2582">
        <v>420.45</v>
      </c>
      <c r="AC1596" s="910"/>
      <c r="AD1596" s="910"/>
      <c r="AE1596" s="910"/>
      <c r="AF1596" s="910"/>
      <c r="AG1596" s="910"/>
      <c r="AH1596" s="211"/>
      <c r="AK1596" s="912"/>
      <c r="BB1596" s="822"/>
      <c r="BC1596" s="821" t="str">
        <f t="shared" si="176"/>
        <v>Cooling Res ER2 12 Year EUL</v>
      </c>
      <c r="BD1596" s="752">
        <f>(INDEX('Avoided Cost Benefits'!$C$4:$C$857,MATCH(BC1596,'Avoided Cost Benefits'!$A$4:$A$857,0)))*F1596</f>
        <v>497.10792118648141</v>
      </c>
      <c r="BE1596" s="73">
        <f t="shared" si="166"/>
        <v>0</v>
      </c>
      <c r="BG1596" s="776"/>
      <c r="BH1596" s="913"/>
      <c r="BI1596" s="776"/>
    </row>
    <row r="1597" spans="1:61" s="64" customFormat="1" x14ac:dyDescent="0.25">
      <c r="A1597" s="1393" t="str">
        <f t="shared" si="165"/>
        <v>354500_2019_12_Heating Res ER2</v>
      </c>
      <c r="B1597" s="157"/>
      <c r="C1597" s="1352" t="s">
        <v>1455</v>
      </c>
      <c r="D1597" s="1756" t="s">
        <v>742</v>
      </c>
      <c r="E1597" s="750" t="s">
        <v>1457</v>
      </c>
      <c r="F1597" s="2582">
        <f>ROUND(((K1777*K1905*(1/K2033-1/K2161)*K2801)/1000)*$K$2834,2)</f>
        <v>642.61</v>
      </c>
      <c r="G1597" s="1787" t="s">
        <v>1332</v>
      </c>
      <c r="H1597" s="202">
        <f>VLOOKUP(G1597,'CP FACTORS'!$A$3:$B$38, 2, FALSE)</f>
        <v>0</v>
      </c>
      <c r="I1597" s="1757">
        <f t="shared" si="175"/>
        <v>0</v>
      </c>
      <c r="J1597" s="141">
        <f>K2968</f>
        <v>12</v>
      </c>
      <c r="K1597" s="908">
        <f>K3138</f>
        <v>0</v>
      </c>
      <c r="L1597" s="909"/>
      <c r="M1597" s="1797"/>
      <c r="N1597" s="1794"/>
      <c r="O1597" s="1249"/>
      <c r="P1597" s="157"/>
      <c r="Q1597" s="157"/>
      <c r="R1597" s="1627"/>
      <c r="S1597" s="157"/>
      <c r="T1597" s="157"/>
      <c r="U1597" s="1798"/>
      <c r="V1597" s="2309" t="s">
        <v>20</v>
      </c>
      <c r="W1597" s="910">
        <v>862.96736842105349</v>
      </c>
      <c r="X1597" s="911">
        <v>642.6078562259313</v>
      </c>
      <c r="Y1597" s="825">
        <v>642.61</v>
      </c>
      <c r="Z1597" s="825">
        <v>642.61</v>
      </c>
      <c r="AA1597" s="825">
        <v>642.61</v>
      </c>
      <c r="AB1597" s="2582">
        <v>642.61</v>
      </c>
      <c r="AC1597" s="910"/>
      <c r="AD1597" s="910"/>
      <c r="AE1597" s="910"/>
      <c r="AF1597" s="910"/>
      <c r="AG1597" s="910"/>
      <c r="AH1597" s="211"/>
      <c r="AK1597" s="912"/>
      <c r="BB1597" s="822"/>
      <c r="BC1597" s="750" t="str">
        <f t="shared" si="176"/>
        <v>Heating Res ER2 12 Year EUL</v>
      </c>
      <c r="BD1597" s="752">
        <f>(INDEX('Avoided Cost Benefits'!$C$4:$C$857,MATCH(BC1597,'Avoided Cost Benefits'!$A$4:$A$857,0)))*F1597</f>
        <v>190.00859526772157</v>
      </c>
      <c r="BE1597" s="73">
        <f t="shared" si="166"/>
        <v>0</v>
      </c>
      <c r="BG1597" s="776"/>
      <c r="BH1597" s="913"/>
      <c r="BI1597" s="776"/>
    </row>
    <row r="1598" spans="1:61" s="64" customFormat="1" x14ac:dyDescent="0.25">
      <c r="A1598" s="1393" t="str">
        <f t="shared" ref="A1598:A1661" si="178">C1598&amp;G1598</f>
        <v>354501_2019_12_Cooling Res</v>
      </c>
      <c r="B1598" s="157"/>
      <c r="C1598" s="1352" t="s">
        <v>1458</v>
      </c>
      <c r="D1598" s="1756" t="s">
        <v>737</v>
      </c>
      <c r="E1598" s="742" t="str">
        <f>CONCATENATE(E1594,"_CompE")</f>
        <v>ASHP SEER 19 replace ASHP - early replacement MF ER1_CompE</v>
      </c>
      <c r="F1598" s="2582">
        <f>ROUND((($K$2290*$K$2418*(1/$K$2546-1/$K$2674)*$K$2802)/1000)*$K$2834,2)</f>
        <v>1096.71</v>
      </c>
      <c r="G1598" s="263" t="str">
        <f t="shared" ref="G1598:K1601" si="179">G1594</f>
        <v>Cooling Res</v>
      </c>
      <c r="H1598" s="202">
        <f t="shared" si="179"/>
        <v>9.4741810000000004E-4</v>
      </c>
      <c r="I1598" s="1801">
        <f t="shared" si="175"/>
        <v>1.0390429999999999</v>
      </c>
      <c r="J1598" s="141">
        <f>J1594</f>
        <v>6</v>
      </c>
      <c r="K1598" s="908">
        <f>K1594</f>
        <v>1716.1717238752744</v>
      </c>
      <c r="L1598" s="909">
        <f>L1594</f>
        <v>3.3</v>
      </c>
      <c r="M1598" s="1797"/>
      <c r="N1598" s="1794"/>
      <c r="O1598" s="1249"/>
      <c r="P1598" s="157"/>
      <c r="Q1598" s="157"/>
      <c r="R1598" s="1627"/>
      <c r="S1598" s="157"/>
      <c r="T1598" s="157"/>
      <c r="U1598" s="1798"/>
      <c r="V1598" s="2309" t="s">
        <v>20</v>
      </c>
      <c r="W1598" s="910"/>
      <c r="X1598" s="911"/>
      <c r="Y1598" s="830">
        <v>1096.71</v>
      </c>
      <c r="Z1598" s="825">
        <v>1096.71</v>
      </c>
      <c r="AA1598" s="825">
        <v>1096.71</v>
      </c>
      <c r="AB1598" s="2582">
        <v>1096.71</v>
      </c>
      <c r="AC1598" s="910"/>
      <c r="AD1598" s="910"/>
      <c r="AE1598" s="910"/>
      <c r="AF1598" s="910"/>
      <c r="AG1598" s="910"/>
      <c r="AH1598" s="211"/>
      <c r="AK1598" s="912"/>
      <c r="BB1598" s="293">
        <f>(BD1598+BD1599+BD1600+BD1601)/(BE1598+BE1599+BE1600+BE1601)</f>
        <v>0.71985878971820694</v>
      </c>
      <c r="BC1598" s="742" t="str">
        <f t="shared" si="176"/>
        <v>Cooling Res 6 Year EUL</v>
      </c>
      <c r="BD1598" s="752">
        <f>(INDEX('Avoided Cost Benefits'!$C$4:$C$857,MATCH(BC1598,'Avoided Cost Benefits'!$A$4:$A$857,0)))*F1598</f>
        <v>637.71949633245197</v>
      </c>
      <c r="BE1598" s="73">
        <f t="shared" si="166"/>
        <v>1619.7939819492915</v>
      </c>
      <c r="BG1598" s="776"/>
      <c r="BH1598" s="916"/>
      <c r="BI1598" s="776"/>
    </row>
    <row r="1599" spans="1:61" s="64" customFormat="1" x14ac:dyDescent="0.25">
      <c r="A1599" s="1393" t="str">
        <f t="shared" si="178"/>
        <v>354501_2019_12_Heating Res</v>
      </c>
      <c r="B1599" s="157"/>
      <c r="C1599" s="1352" t="str">
        <f>C1598</f>
        <v>354501_2019_12_</v>
      </c>
      <c r="D1599" s="1756" t="s">
        <v>737</v>
      </c>
      <c r="E1599" s="821" t="str">
        <f>CONCATENATE(E1595,"_CompE")</f>
        <v>ASHP SEER 19 replace ASHP - early replacement MF ER1_CompE</v>
      </c>
      <c r="F1599" s="2582">
        <f>ROUND((($K$1778*$K$1906*(1/$K$2034-1/$K$2162)*$K$2802)/1000)*$K$2834,2)</f>
        <v>613.21</v>
      </c>
      <c r="G1599" s="263" t="str">
        <f t="shared" si="179"/>
        <v>Heating Res</v>
      </c>
      <c r="H1599" s="202">
        <f t="shared" si="179"/>
        <v>0</v>
      </c>
      <c r="I1599" s="1801">
        <f t="shared" si="175"/>
        <v>0</v>
      </c>
      <c r="J1599" s="141">
        <f t="shared" si="179"/>
        <v>6</v>
      </c>
      <c r="K1599" s="908">
        <f t="shared" si="179"/>
        <v>0</v>
      </c>
      <c r="L1599" s="909"/>
      <c r="M1599" s="1797"/>
      <c r="N1599" s="1794"/>
      <c r="O1599" s="1249"/>
      <c r="P1599" s="157"/>
      <c r="Q1599" s="157"/>
      <c r="R1599" s="1627"/>
      <c r="S1599" s="157"/>
      <c r="T1599" s="157"/>
      <c r="U1599" s="1798"/>
      <c r="V1599" s="2309" t="s">
        <v>20</v>
      </c>
      <c r="W1599" s="910"/>
      <c r="X1599" s="911"/>
      <c r="Y1599" s="830">
        <v>613.21</v>
      </c>
      <c r="Z1599" s="825">
        <v>613.21</v>
      </c>
      <c r="AA1599" s="825">
        <v>613.21</v>
      </c>
      <c r="AB1599" s="2582">
        <v>613.21</v>
      </c>
      <c r="AC1599" s="910"/>
      <c r="AD1599" s="910"/>
      <c r="AE1599" s="910"/>
      <c r="AF1599" s="910"/>
      <c r="AG1599" s="910"/>
      <c r="AH1599" s="211"/>
      <c r="AK1599" s="912"/>
      <c r="BB1599" s="822"/>
      <c r="BC1599" s="821" t="str">
        <f t="shared" si="176"/>
        <v>Heating Res 6 Year EUL</v>
      </c>
      <c r="BD1599" s="752">
        <f>(INDEX('Avoided Cost Benefits'!$C$4:$C$857,MATCH(BC1599,'Avoided Cost Benefits'!$A$4:$A$857,0)))*F1599</f>
        <v>101.99736812185043</v>
      </c>
      <c r="BE1599" s="73">
        <f t="shared" si="166"/>
        <v>0</v>
      </c>
      <c r="BG1599" s="776"/>
      <c r="BH1599" s="916"/>
      <c r="BI1599" s="776"/>
    </row>
    <row r="1600" spans="1:61" s="64" customFormat="1" x14ac:dyDescent="0.25">
      <c r="A1600" s="1393" t="str">
        <f t="shared" si="178"/>
        <v>354501_2019_12_Cooling Res ER2</v>
      </c>
      <c r="B1600" s="157"/>
      <c r="C1600" s="1352" t="str">
        <f>C1599</f>
        <v>354501_2019_12_</v>
      </c>
      <c r="D1600" s="1756" t="s">
        <v>737</v>
      </c>
      <c r="E1600" s="821" t="str">
        <f>CONCATENATE(E1596,"_CompE")</f>
        <v>ASHP SEER 19 replace ASHP - early replacement MF ER2_CompE</v>
      </c>
      <c r="F1600" s="2582">
        <f>ROUND((($K$2291*$K$2419*(1/$K$2547-1/$K$2675)*$K$2803)/1000)*$K$2834,2)</f>
        <v>305.77999999999997</v>
      </c>
      <c r="G1600" s="263" t="str">
        <f t="shared" si="179"/>
        <v>Cooling Res ER2</v>
      </c>
      <c r="H1600" s="202">
        <f t="shared" si="179"/>
        <v>9.4741810000000004E-4</v>
      </c>
      <c r="I1600" s="1801">
        <f t="shared" si="175"/>
        <v>0.28970200000000002</v>
      </c>
      <c r="J1600" s="141">
        <f t="shared" si="179"/>
        <v>12</v>
      </c>
      <c r="K1600" s="908">
        <f t="shared" si="179"/>
        <v>0</v>
      </c>
      <c r="L1600" s="909"/>
      <c r="M1600" s="1797"/>
      <c r="N1600" s="1794"/>
      <c r="O1600" s="1249"/>
      <c r="P1600" s="157"/>
      <c r="Q1600" s="157"/>
      <c r="R1600" s="1627"/>
      <c r="S1600" s="157"/>
      <c r="T1600" s="157"/>
      <c r="U1600" s="1798"/>
      <c r="V1600" s="2309" t="s">
        <v>20</v>
      </c>
      <c r="W1600" s="910"/>
      <c r="X1600" s="911"/>
      <c r="Y1600" s="830">
        <v>305.77999999999997</v>
      </c>
      <c r="Z1600" s="825">
        <v>305.77999999999997</v>
      </c>
      <c r="AA1600" s="825">
        <v>305.77999999999997</v>
      </c>
      <c r="AB1600" s="2582">
        <v>305.77999999999997</v>
      </c>
      <c r="AC1600" s="910"/>
      <c r="AD1600" s="910"/>
      <c r="AE1600" s="910"/>
      <c r="AF1600" s="910"/>
      <c r="AG1600" s="910"/>
      <c r="AH1600" s="211"/>
      <c r="AK1600" s="912"/>
      <c r="BB1600" s="822"/>
      <c r="BC1600" s="821" t="str">
        <f t="shared" si="176"/>
        <v>Cooling Res ER2 12 Year EUL</v>
      </c>
      <c r="BD1600" s="752">
        <f>(INDEX('Avoided Cost Benefits'!$C$4:$C$857,MATCH(BC1600,'Avoided Cost Benefits'!$A$4:$A$857,0)))*F1600</f>
        <v>361.53088391105308</v>
      </c>
      <c r="BE1600" s="73">
        <f t="shared" si="166"/>
        <v>0</v>
      </c>
      <c r="BG1600" s="776"/>
      <c r="BH1600" s="916"/>
      <c r="BI1600" s="776"/>
    </row>
    <row r="1601" spans="1:61" s="64" customFormat="1" x14ac:dyDescent="0.25">
      <c r="A1601" s="1393" t="str">
        <f t="shared" si="178"/>
        <v>354501_2019_12_Heating Res ER2</v>
      </c>
      <c r="B1601" s="157"/>
      <c r="C1601" s="1352" t="str">
        <f>C1600</f>
        <v>354501_2019_12_</v>
      </c>
      <c r="D1601" s="1756" t="s">
        <v>737</v>
      </c>
      <c r="E1601" s="750" t="str">
        <f>CONCATENATE(E1597,"_CompE")</f>
        <v>ASHP SEER 19 replace ASHP - early replacement MF ER2_CompE</v>
      </c>
      <c r="F1601" s="2582">
        <f>ROUND((($K$1779*$K$1907*(1/$K$2035-1/$K$2163)*$K$2803)/1000)*$K$2834,2)</f>
        <v>219.07</v>
      </c>
      <c r="G1601" s="263" t="str">
        <f t="shared" si="179"/>
        <v>Heating Res ER2</v>
      </c>
      <c r="H1601" s="202">
        <f t="shared" si="179"/>
        <v>0</v>
      </c>
      <c r="I1601" s="1801">
        <f t="shared" si="175"/>
        <v>0</v>
      </c>
      <c r="J1601" s="141">
        <f t="shared" si="179"/>
        <v>12</v>
      </c>
      <c r="K1601" s="908">
        <f t="shared" si="179"/>
        <v>0</v>
      </c>
      <c r="L1601" s="909"/>
      <c r="M1601" s="1797"/>
      <c r="N1601" s="1794"/>
      <c r="O1601" s="1249"/>
      <c r="P1601" s="157"/>
      <c r="Q1601" s="157"/>
      <c r="R1601" s="1627"/>
      <c r="S1601" s="157"/>
      <c r="T1601" s="157"/>
      <c r="U1601" s="1798"/>
      <c r="V1601" s="2309" t="s">
        <v>20</v>
      </c>
      <c r="W1601" s="910"/>
      <c r="X1601" s="911"/>
      <c r="Y1601" s="830">
        <v>219.07</v>
      </c>
      <c r="Z1601" s="825">
        <v>219.07</v>
      </c>
      <c r="AA1601" s="825">
        <v>219.07</v>
      </c>
      <c r="AB1601" s="2582">
        <v>219.07</v>
      </c>
      <c r="AC1601" s="910"/>
      <c r="AD1601" s="910"/>
      <c r="AE1601" s="910"/>
      <c r="AF1601" s="910"/>
      <c r="AG1601" s="910"/>
      <c r="AH1601" s="211"/>
      <c r="AK1601" s="912"/>
      <c r="BB1601" s="822"/>
      <c r="BC1601" s="750" t="str">
        <f t="shared" si="176"/>
        <v>Heating Res ER2 12 Year EUL</v>
      </c>
      <c r="BD1601" s="752">
        <f>(INDEX('Avoided Cost Benefits'!$C$4:$C$857,MATCH(BC1601,'Avoided Cost Benefits'!$A$4:$A$857,0)))*F1601</f>
        <v>64.775187073496781</v>
      </c>
      <c r="BE1601" s="73">
        <f t="shared" si="166"/>
        <v>0</v>
      </c>
      <c r="BG1601" s="776"/>
      <c r="BH1601" s="916"/>
      <c r="BI1601" s="776"/>
    </row>
    <row r="1602" spans="1:61" s="64" customFormat="1" x14ac:dyDescent="0.25">
      <c r="A1602" s="1393" t="str">
        <f t="shared" si="178"/>
        <v>354550_2019_12_Cooling Res</v>
      </c>
      <c r="B1602" s="157"/>
      <c r="C1602" s="1352" t="s">
        <v>1459</v>
      </c>
      <c r="D1602" s="1756" t="s">
        <v>740</v>
      </c>
      <c r="E1602" s="742" t="s">
        <v>1460</v>
      </c>
      <c r="F1602" s="2582">
        <f>ROUND(((K2292*K2420*(1/K2548-1/K2676)*K2804)/1000)*$K$2834,2)</f>
        <v>2410.52</v>
      </c>
      <c r="G1602" s="263" t="s">
        <v>1273</v>
      </c>
      <c r="H1602" s="202">
        <f>VLOOKUP(G1602,'CP FACTORS'!$A$3:$B$38, 2, FALSE)</f>
        <v>9.4741810000000004E-4</v>
      </c>
      <c r="I1602" s="1757">
        <f t="shared" si="175"/>
        <v>2.2837700000000001</v>
      </c>
      <c r="J1602" s="141">
        <f t="shared" ref="J1602:J1611" si="180">K2969</f>
        <v>6</v>
      </c>
      <c r="K1602" s="908">
        <f t="shared" ref="K1602:K1611" si="181">K3139</f>
        <v>2232.8749598081135</v>
      </c>
      <c r="L1602" s="909">
        <f>L1780</f>
        <v>3.3</v>
      </c>
      <c r="M1602" s="1797"/>
      <c r="N1602" s="1794"/>
      <c r="O1602" s="1249"/>
      <c r="P1602" s="157"/>
      <c r="Q1602" s="157"/>
      <c r="R1602" s="1627"/>
      <c r="S1602" s="157"/>
      <c r="T1602" s="157"/>
      <c r="U1602" s="1798"/>
      <c r="V1602" s="2309" t="s">
        <v>20</v>
      </c>
      <c r="W1602" s="910">
        <v>3058.88</v>
      </c>
      <c r="X1602" s="911">
        <v>2410.520456182473</v>
      </c>
      <c r="Y1602" s="825">
        <v>2410.52</v>
      </c>
      <c r="Z1602" s="825">
        <v>2410.52</v>
      </c>
      <c r="AA1602" s="825">
        <v>2410.52</v>
      </c>
      <c r="AB1602" s="2582">
        <v>2410.52</v>
      </c>
      <c r="AC1602" s="910"/>
      <c r="AD1602" s="910"/>
      <c r="AE1602" s="910"/>
      <c r="AF1602" s="910"/>
      <c r="AG1602" s="910"/>
      <c r="AH1602" s="211"/>
      <c r="AK1602" s="912"/>
      <c r="BB1602" s="293">
        <f>(BD1602+BD1603+BD1604+BD1605)/(BE1602+BE1603+BE1604+BE1605)</f>
        <v>1.4359117255891336</v>
      </c>
      <c r="BC1602" s="742" t="str">
        <f t="shared" si="176"/>
        <v>Cooling Res 6 Year EUL</v>
      </c>
      <c r="BD1602" s="752">
        <f>(INDEX('Avoided Cost Benefits'!$C$4:$C$857,MATCH(BC1602,'Avoided Cost Benefits'!$A$4:$A$857,0)))*F1602</f>
        <v>1401.6792044380941</v>
      </c>
      <c r="BE1602" s="73">
        <f t="shared" si="166"/>
        <v>2107.4799054347459</v>
      </c>
      <c r="BG1602" s="776"/>
      <c r="BH1602" s="913"/>
      <c r="BI1602" s="776"/>
    </row>
    <row r="1603" spans="1:61" s="64" customFormat="1" x14ac:dyDescent="0.25">
      <c r="A1603" s="1393" t="str">
        <f t="shared" si="178"/>
        <v>354550_2019_12_Heating Res</v>
      </c>
      <c r="B1603" s="157"/>
      <c r="C1603" s="1352" t="s">
        <v>1459</v>
      </c>
      <c r="D1603" s="1756" t="s">
        <v>740</v>
      </c>
      <c r="E1603" s="821" t="s">
        <v>1460</v>
      </c>
      <c r="F1603" s="2582">
        <f>ROUND(((K1780*K1908*(1/K2036-1/K2164)*K2804)/1000)*$K$2834,2)</f>
        <v>2767.32</v>
      </c>
      <c r="G1603" s="263" t="s">
        <v>1275</v>
      </c>
      <c r="H1603" s="202">
        <f>VLOOKUP(G1603,'CP FACTORS'!$A$3:$B$38, 2, FALSE)</f>
        <v>0</v>
      </c>
      <c r="I1603" s="1757">
        <f t="shared" si="175"/>
        <v>0</v>
      </c>
      <c r="J1603" s="141">
        <f t="shared" si="180"/>
        <v>6</v>
      </c>
      <c r="K1603" s="908">
        <f t="shared" si="181"/>
        <v>0</v>
      </c>
      <c r="L1603" s="909"/>
      <c r="M1603" s="1797"/>
      <c r="N1603" s="1794"/>
      <c r="O1603" s="1249"/>
      <c r="P1603" s="157"/>
      <c r="Q1603" s="157"/>
      <c r="R1603" s="1627"/>
      <c r="S1603" s="157"/>
      <c r="T1603" s="157"/>
      <c r="U1603" s="1798"/>
      <c r="V1603" s="2309" t="s">
        <v>20</v>
      </c>
      <c r="W1603" s="910">
        <v>6249.9803405572748</v>
      </c>
      <c r="X1603" s="911">
        <v>2767.3247800351946</v>
      </c>
      <c r="Y1603" s="825">
        <v>2767.32</v>
      </c>
      <c r="Z1603" s="825">
        <v>2767.32</v>
      </c>
      <c r="AA1603" s="825">
        <v>2767.32</v>
      </c>
      <c r="AB1603" s="2582">
        <v>2767.32</v>
      </c>
      <c r="AC1603" s="910"/>
      <c r="AD1603" s="910"/>
      <c r="AE1603" s="910"/>
      <c r="AF1603" s="910"/>
      <c r="AG1603" s="910"/>
      <c r="AH1603" s="211"/>
      <c r="AK1603" s="912"/>
      <c r="BB1603" s="822"/>
      <c r="BC1603" s="821" t="str">
        <f t="shared" si="176"/>
        <v>Heating Res 6 Year EUL</v>
      </c>
      <c r="BD1603" s="752">
        <f>(INDEX('Avoided Cost Benefits'!$C$4:$C$857,MATCH(BC1603,'Avoided Cost Benefits'!$A$4:$A$857,0)))*F1603</f>
        <v>460.29803289404794</v>
      </c>
      <c r="BE1603" s="73">
        <f t="shared" si="166"/>
        <v>0</v>
      </c>
      <c r="BG1603" s="776"/>
      <c r="BH1603" s="913"/>
      <c r="BI1603" s="776"/>
    </row>
    <row r="1604" spans="1:61" s="64" customFormat="1" x14ac:dyDescent="0.25">
      <c r="A1604" s="1393" t="str">
        <f t="shared" si="178"/>
        <v>354550_2019_12_Cooling Res ER2</v>
      </c>
      <c r="B1604" s="157"/>
      <c r="C1604" s="1352" t="s">
        <v>1459</v>
      </c>
      <c r="D1604" s="1756" t="s">
        <v>740</v>
      </c>
      <c r="E1604" s="821" t="s">
        <v>1461</v>
      </c>
      <c r="F1604" s="2582">
        <f>ROUND(((K2293*K2421*(1/K2549-1/K2677)*K2805)/1000)*$K$2834,2)</f>
        <v>737.41</v>
      </c>
      <c r="G1604" s="1787" t="s">
        <v>1314</v>
      </c>
      <c r="H1604" s="202">
        <f>VLOOKUP(G1604,'CP FACTORS'!$A$3:$B$38, 2, FALSE)</f>
        <v>9.4741810000000004E-4</v>
      </c>
      <c r="I1604" s="1757">
        <f t="shared" si="175"/>
        <v>0.69863600000000003</v>
      </c>
      <c r="J1604" s="141">
        <f t="shared" si="180"/>
        <v>12</v>
      </c>
      <c r="K1604" s="908">
        <f t="shared" si="181"/>
        <v>0</v>
      </c>
      <c r="L1604" s="909"/>
      <c r="M1604" s="1797"/>
      <c r="N1604" s="1794"/>
      <c r="O1604" s="1249"/>
      <c r="P1604" s="157"/>
      <c r="Q1604" s="157"/>
      <c r="R1604" s="1627"/>
      <c r="S1604" s="157"/>
      <c r="T1604" s="157"/>
      <c r="U1604" s="1798"/>
      <c r="V1604" s="2309" t="s">
        <v>20</v>
      </c>
      <c r="W1604" s="910">
        <v>737.40857142857124</v>
      </c>
      <c r="X1604" s="917">
        <v>737.40857142857124</v>
      </c>
      <c r="Y1604" s="825">
        <v>737.41</v>
      </c>
      <c r="Z1604" s="825">
        <v>737.41</v>
      </c>
      <c r="AA1604" s="825">
        <v>737.41</v>
      </c>
      <c r="AB1604" s="2582">
        <v>737.41</v>
      </c>
      <c r="AC1604" s="910"/>
      <c r="AD1604" s="910"/>
      <c r="AE1604" s="910"/>
      <c r="AF1604" s="910"/>
      <c r="AG1604" s="910"/>
      <c r="AH1604" s="211"/>
      <c r="AK1604" s="912"/>
      <c r="BB1604" s="822"/>
      <c r="BC1604" s="821" t="str">
        <f t="shared" si="176"/>
        <v>Cooling Res ER2 12 Year EUL</v>
      </c>
      <c r="BD1604" s="752">
        <f>(INDEX('Avoided Cost Benefits'!$C$4:$C$857,MATCH(BC1604,'Avoided Cost Benefits'!$A$4:$A$857,0)))*F1604</f>
        <v>871.85718197674692</v>
      </c>
      <c r="BE1604" s="73">
        <f t="shared" si="166"/>
        <v>0</v>
      </c>
      <c r="BG1604" s="776"/>
      <c r="BH1604" s="913"/>
      <c r="BI1604" s="776"/>
    </row>
    <row r="1605" spans="1:61" s="64" customFormat="1" x14ac:dyDescent="0.25">
      <c r="A1605" s="1393" t="str">
        <f t="shared" si="178"/>
        <v>354550_2019_12_Heating Res ER2</v>
      </c>
      <c r="B1605" s="157"/>
      <c r="C1605" s="1352" t="s">
        <v>1459</v>
      </c>
      <c r="D1605" s="1756" t="s">
        <v>740</v>
      </c>
      <c r="E1605" s="750" t="s">
        <v>1461</v>
      </c>
      <c r="F1605" s="2582">
        <f>ROUND(((K1781*K1909*(1/K2037-1/K2165)*K2805)/1000)*$K$2834,2)</f>
        <v>988.63</v>
      </c>
      <c r="G1605" s="1787" t="s">
        <v>1332</v>
      </c>
      <c r="H1605" s="202">
        <f>VLOOKUP(G1605,'CP FACTORS'!$A$3:$B$38, 2, FALSE)</f>
        <v>0</v>
      </c>
      <c r="I1605" s="1757">
        <f t="shared" si="175"/>
        <v>0</v>
      </c>
      <c r="J1605" s="141">
        <f t="shared" si="180"/>
        <v>12</v>
      </c>
      <c r="K1605" s="908">
        <f t="shared" si="181"/>
        <v>0</v>
      </c>
      <c r="L1605" s="909"/>
      <c r="M1605" s="1797"/>
      <c r="N1605" s="1794"/>
      <c r="O1605" s="1249"/>
      <c r="P1605" s="157"/>
      <c r="Q1605" s="157"/>
      <c r="R1605" s="1627"/>
      <c r="S1605" s="157"/>
      <c r="T1605" s="157"/>
      <c r="U1605" s="1798"/>
      <c r="V1605" s="2309" t="s">
        <v>20</v>
      </c>
      <c r="W1605" s="910">
        <v>1327.6421052631592</v>
      </c>
      <c r="X1605" s="911">
        <v>988.62747111681745</v>
      </c>
      <c r="Y1605" s="825">
        <v>988.63</v>
      </c>
      <c r="Z1605" s="825">
        <v>988.63</v>
      </c>
      <c r="AA1605" s="825">
        <v>988.63</v>
      </c>
      <c r="AB1605" s="2582">
        <v>988.63</v>
      </c>
      <c r="AC1605" s="910"/>
      <c r="AD1605" s="910"/>
      <c r="AE1605" s="910"/>
      <c r="AF1605" s="910"/>
      <c r="AG1605" s="910"/>
      <c r="AH1605" s="211"/>
      <c r="AK1605" s="912"/>
      <c r="BB1605" s="822"/>
      <c r="BC1605" s="750" t="str">
        <f t="shared" si="176"/>
        <v>Heating Res ER2 12 Year EUL</v>
      </c>
      <c r="BD1605" s="752">
        <f>(INDEX('Avoided Cost Benefits'!$C$4:$C$857,MATCH(BC1605,'Avoided Cost Benefits'!$A$4:$A$857,0)))*F1605</f>
        <v>292.32068834834126</v>
      </c>
      <c r="BE1605" s="73">
        <f t="shared" si="166"/>
        <v>0</v>
      </c>
      <c r="BG1605" s="776"/>
      <c r="BH1605" s="913"/>
      <c r="BI1605" s="776"/>
    </row>
    <row r="1606" spans="1:61" s="64" customFormat="1" x14ac:dyDescent="0.25">
      <c r="A1606" s="1393" t="str">
        <f t="shared" si="178"/>
        <v>354600_2019_12_Cooling Res</v>
      </c>
      <c r="B1606" s="157"/>
      <c r="C1606" s="1352" t="s">
        <v>1462</v>
      </c>
      <c r="D1606" s="1756" t="s">
        <v>740</v>
      </c>
      <c r="E1606" s="797" t="s">
        <v>1463</v>
      </c>
      <c r="F1606" s="2582">
        <f>ROUND(((K2294*K2422*(1/K2550-1/K2678)*K2806)/1000)*$K$2834,2)</f>
        <v>737.41</v>
      </c>
      <c r="G1606" s="263" t="s">
        <v>1273</v>
      </c>
      <c r="H1606" s="202">
        <f>VLOOKUP(G1606,'CP FACTORS'!$A$3:$B$38, 2, FALSE)</f>
        <v>9.4741810000000004E-4</v>
      </c>
      <c r="I1606" s="1757">
        <f t="shared" si="175"/>
        <v>0.69863600000000003</v>
      </c>
      <c r="J1606" s="141">
        <f t="shared" si="180"/>
        <v>18</v>
      </c>
      <c r="K1606" s="908">
        <f t="shared" si="181"/>
        <v>1444.3799999999994</v>
      </c>
      <c r="L1606" s="909">
        <f>L1782</f>
        <v>3.3</v>
      </c>
      <c r="M1606" s="1797"/>
      <c r="N1606" s="1794"/>
      <c r="O1606" s="1249"/>
      <c r="P1606" s="157"/>
      <c r="Q1606" s="157"/>
      <c r="R1606" s="1627"/>
      <c r="S1606" s="157"/>
      <c r="T1606" s="157"/>
      <c r="U1606" s="1798"/>
      <c r="V1606" s="2309" t="s">
        <v>20</v>
      </c>
      <c r="W1606" s="910">
        <v>737.40857142857124</v>
      </c>
      <c r="X1606" s="917">
        <v>737.40857142857124</v>
      </c>
      <c r="Y1606" s="825">
        <v>737.41</v>
      </c>
      <c r="Z1606" s="825">
        <v>737.41</v>
      </c>
      <c r="AA1606" s="825">
        <v>737.41</v>
      </c>
      <c r="AB1606" s="2582">
        <v>737.41</v>
      </c>
      <c r="AC1606" s="910"/>
      <c r="AD1606" s="910"/>
      <c r="AE1606" s="910"/>
      <c r="AF1606" s="910"/>
      <c r="AG1606" s="910"/>
      <c r="AH1606" s="211"/>
      <c r="AK1606" s="912"/>
      <c r="BB1606" s="293">
        <f>(BD1606+BD1607)/(BE1606+BE1607)</f>
        <v>1.3538128810268077</v>
      </c>
      <c r="BC1606" s="797" t="str">
        <f t="shared" si="176"/>
        <v>Cooling Res 18 Year EUL</v>
      </c>
      <c r="BD1606" s="752">
        <f>(INDEX('Avoided Cost Benefits'!$C$4:$C$857,MATCH(BC1606,'Avoided Cost Benefits'!$A$4:$A$857,0)))*F1606</f>
        <v>1300.6494185666504</v>
      </c>
      <c r="BE1606" s="73">
        <f t="shared" si="166"/>
        <v>1363.2656913638502</v>
      </c>
      <c r="BG1606" s="776"/>
      <c r="BH1606" s="913"/>
      <c r="BI1606" s="776"/>
    </row>
    <row r="1607" spans="1:61" s="64" customFormat="1" x14ac:dyDescent="0.25">
      <c r="A1607" s="1393" t="str">
        <f t="shared" si="178"/>
        <v>354600_2019_12_Heating Res</v>
      </c>
      <c r="B1607" s="157"/>
      <c r="C1607" s="1352" t="s">
        <v>1462</v>
      </c>
      <c r="D1607" s="1756" t="s">
        <v>740</v>
      </c>
      <c r="E1607" s="914" t="s">
        <v>1463</v>
      </c>
      <c r="F1607" s="2582">
        <f>ROUND(((K1782*K1910*(1/K2038-1/K2166)*K2806)/1000)*$K$2834,2)</f>
        <v>1179.52</v>
      </c>
      <c r="G1607" s="263" t="s">
        <v>1275</v>
      </c>
      <c r="H1607" s="202">
        <f>VLOOKUP(G1607,'CP FACTORS'!$A$3:$B$38, 2, FALSE)</f>
        <v>0</v>
      </c>
      <c r="I1607" s="1757">
        <f t="shared" si="175"/>
        <v>0</v>
      </c>
      <c r="J1607" s="141">
        <f t="shared" si="180"/>
        <v>18</v>
      </c>
      <c r="K1607" s="908">
        <f t="shared" si="181"/>
        <v>0</v>
      </c>
      <c r="L1607" s="909"/>
      <c r="M1607" s="1797"/>
      <c r="N1607" s="1794"/>
      <c r="O1607" s="1249"/>
      <c r="P1607" s="157"/>
      <c r="Q1607" s="157"/>
      <c r="R1607" s="1627"/>
      <c r="S1607" s="157"/>
      <c r="T1607" s="157"/>
      <c r="U1607" s="1798"/>
      <c r="V1607" s="2309" t="s">
        <v>20</v>
      </c>
      <c r="W1607" s="910">
        <v>1584.0000000000018</v>
      </c>
      <c r="X1607" s="911">
        <v>1179.5241413638641</v>
      </c>
      <c r="Y1607" s="825">
        <v>1179.52</v>
      </c>
      <c r="Z1607" s="825">
        <v>1179.52</v>
      </c>
      <c r="AA1607" s="825">
        <v>1179.52</v>
      </c>
      <c r="AB1607" s="2582">
        <v>1179.52</v>
      </c>
      <c r="AC1607" s="910"/>
      <c r="AD1607" s="910"/>
      <c r="AE1607" s="910"/>
      <c r="AF1607" s="910"/>
      <c r="AG1607" s="910"/>
      <c r="AH1607" s="211"/>
      <c r="AK1607" s="912"/>
      <c r="BB1607" s="291"/>
      <c r="BC1607" s="914" t="str">
        <f t="shared" si="176"/>
        <v>Heating Res 18 Year EUL</v>
      </c>
      <c r="BD1607" s="752">
        <f>(INDEX('Avoided Cost Benefits'!$C$4:$C$857,MATCH(BC1607,'Avoided Cost Benefits'!$A$4:$A$857,0)))*F1607</f>
        <v>544.95723466364666</v>
      </c>
      <c r="BE1607" s="73">
        <f t="shared" si="166"/>
        <v>0</v>
      </c>
      <c r="BG1607" s="776"/>
      <c r="BH1607" s="913"/>
      <c r="BI1607" s="776"/>
    </row>
    <row r="1608" spans="1:61" s="64" customFormat="1" x14ac:dyDescent="0.25">
      <c r="A1608" s="1393" t="str">
        <f t="shared" si="178"/>
        <v>354650_2019_12_Cooling Res</v>
      </c>
      <c r="B1608" s="157"/>
      <c r="C1608" s="1352" t="s">
        <v>1464</v>
      </c>
      <c r="D1608" s="1756" t="s">
        <v>742</v>
      </c>
      <c r="E1608" s="742" t="s">
        <v>1465</v>
      </c>
      <c r="F1608" s="2582">
        <f>ROUND(((K2295*K2423*(1/K2551-1/K2679)*K2807)/1000)*$K$2834,2)</f>
        <v>1471.88</v>
      </c>
      <c r="G1608" s="263" t="s">
        <v>1273</v>
      </c>
      <c r="H1608" s="202">
        <f>VLOOKUP(G1608,'CP FACTORS'!$A$3:$B$38, 2, FALSE)</f>
        <v>9.4741810000000004E-4</v>
      </c>
      <c r="I1608" s="1757">
        <f t="shared" si="175"/>
        <v>1.3944859999999999</v>
      </c>
      <c r="J1608" s="141">
        <f t="shared" si="180"/>
        <v>6</v>
      </c>
      <c r="K1608" s="908">
        <f t="shared" si="181"/>
        <v>1925.8398012161661</v>
      </c>
      <c r="L1608" s="909">
        <f>L1783</f>
        <v>3.1</v>
      </c>
      <c r="M1608" s="1797"/>
      <c r="N1608" s="1794"/>
      <c r="O1608" s="1249"/>
      <c r="P1608" s="157"/>
      <c r="Q1608" s="157"/>
      <c r="R1608" s="1627"/>
      <c r="S1608" s="157"/>
      <c r="T1608" s="157"/>
      <c r="U1608" s="1798"/>
      <c r="V1608" s="2309" t="s">
        <v>20</v>
      </c>
      <c r="W1608" s="910">
        <v>2039.4407647058827</v>
      </c>
      <c r="X1608" s="911">
        <v>1471.8783997599039</v>
      </c>
      <c r="Y1608" s="825">
        <v>1471.88</v>
      </c>
      <c r="Z1608" s="825">
        <v>1471.88</v>
      </c>
      <c r="AA1608" s="825">
        <v>1471.88</v>
      </c>
      <c r="AB1608" s="2582">
        <v>1471.88</v>
      </c>
      <c r="AC1608" s="910"/>
      <c r="AD1608" s="910"/>
      <c r="AE1608" s="910"/>
      <c r="AF1608" s="910"/>
      <c r="AG1608" s="910"/>
      <c r="AH1608" s="211"/>
      <c r="AK1608" s="912"/>
      <c r="BB1608" s="293">
        <f>(BD1608+BD1609+BD1610+BD1611)/(BE1608+BE1609+BE1610+BE1611)</f>
        <v>2.5570217316389692</v>
      </c>
      <c r="BC1608" s="742" t="str">
        <f t="shared" si="176"/>
        <v>Cooling Res 6 Year EUL</v>
      </c>
      <c r="BD1608" s="752">
        <f>(INDEX('Avoided Cost Benefits'!$C$4:$C$857,MATCH(BC1608,'Avoided Cost Benefits'!$A$4:$A$857,0)))*F1608</f>
        <v>855.87490974077878</v>
      </c>
      <c r="BE1608" s="73">
        <f t="shared" si="166"/>
        <v>1817.6874008647153</v>
      </c>
      <c r="BG1608" s="776"/>
      <c r="BH1608" s="913"/>
      <c r="BI1608" s="776"/>
    </row>
    <row r="1609" spans="1:61" s="64" customFormat="1" x14ac:dyDescent="0.25">
      <c r="A1609" s="1393" t="str">
        <f t="shared" si="178"/>
        <v>354650_2019_12_Heating Res</v>
      </c>
      <c r="B1609" s="157"/>
      <c r="C1609" s="1352" t="s">
        <v>1464</v>
      </c>
      <c r="D1609" s="1756" t="s">
        <v>742</v>
      </c>
      <c r="E1609" s="821" t="s">
        <v>1465</v>
      </c>
      <c r="F1609" s="2582">
        <f>ROUND(((K1783*K1911*(1/K2039-1/K2167)*K2807)/1000)*$K$2834,2)</f>
        <v>6759.78</v>
      </c>
      <c r="G1609" s="263" t="s">
        <v>1275</v>
      </c>
      <c r="H1609" s="202">
        <f>VLOOKUP(G1609,'CP FACTORS'!$A$3:$B$38, 2, FALSE)</f>
        <v>0</v>
      </c>
      <c r="I1609" s="1757">
        <f t="shared" si="175"/>
        <v>0</v>
      </c>
      <c r="J1609" s="141">
        <f t="shared" si="180"/>
        <v>6</v>
      </c>
      <c r="K1609" s="908">
        <f t="shared" si="181"/>
        <v>0</v>
      </c>
      <c r="L1609" s="909"/>
      <c r="M1609" s="1797"/>
      <c r="N1609" s="1794"/>
      <c r="O1609" s="1249"/>
      <c r="P1609" s="157"/>
      <c r="Q1609" s="157"/>
      <c r="R1609" s="1627"/>
      <c r="S1609" s="157"/>
      <c r="T1609" s="157"/>
      <c r="U1609" s="1798"/>
      <c r="V1609" s="2309" t="s">
        <v>20</v>
      </c>
      <c r="W1609" s="910">
        <v>9077.8044487427451</v>
      </c>
      <c r="X1609" s="911">
        <v>6759.7787234042544</v>
      </c>
      <c r="Y1609" s="825">
        <v>6759.78</v>
      </c>
      <c r="Z1609" s="825">
        <v>6759.78</v>
      </c>
      <c r="AA1609" s="825">
        <v>6759.78</v>
      </c>
      <c r="AB1609" s="2582">
        <v>6759.78</v>
      </c>
      <c r="AC1609" s="910"/>
      <c r="AD1609" s="910"/>
      <c r="AE1609" s="910"/>
      <c r="AF1609" s="910"/>
      <c r="AG1609" s="910"/>
      <c r="AH1609" s="211"/>
      <c r="AK1609" s="912"/>
      <c r="BB1609" s="822"/>
      <c r="BC1609" s="821" t="str">
        <f t="shared" si="176"/>
        <v>Heating Res 6 Year EUL</v>
      </c>
      <c r="BD1609" s="752">
        <f>(INDEX('Avoided Cost Benefits'!$C$4:$C$857,MATCH(BC1609,'Avoided Cost Benefits'!$A$4:$A$857,0)))*F1609</f>
        <v>1124.3778951463969</v>
      </c>
      <c r="BE1609" s="73">
        <f t="shared" si="166"/>
        <v>0</v>
      </c>
      <c r="BG1609" s="776"/>
      <c r="BH1609" s="913"/>
      <c r="BI1609" s="776"/>
    </row>
    <row r="1610" spans="1:61" s="64" customFormat="1" x14ac:dyDescent="0.25">
      <c r="A1610" s="1393" t="str">
        <f t="shared" si="178"/>
        <v>354650_2019_12_Cooling Res ER2</v>
      </c>
      <c r="B1610" s="157"/>
      <c r="C1610" s="1352" t="s">
        <v>1464</v>
      </c>
      <c r="D1610" s="1756" t="s">
        <v>742</v>
      </c>
      <c r="E1610" s="821" t="s">
        <v>1466</v>
      </c>
      <c r="F1610" s="2582">
        <f>ROUND(((K2296*K2424*(1/K2552-1/K2680)*K2808)/1000)*$K$2834,2)</f>
        <v>565.72</v>
      </c>
      <c r="G1610" s="1787" t="s">
        <v>1314</v>
      </c>
      <c r="H1610" s="202">
        <f>VLOOKUP(G1610,'CP FACTORS'!$A$3:$B$38, 2, FALSE)</f>
        <v>9.4741810000000004E-4</v>
      </c>
      <c r="I1610" s="1757">
        <f t="shared" si="175"/>
        <v>0.53597300000000003</v>
      </c>
      <c r="J1610" s="141">
        <f t="shared" si="180"/>
        <v>12</v>
      </c>
      <c r="K1610" s="908">
        <f t="shared" si="181"/>
        <v>0</v>
      </c>
      <c r="L1610" s="909"/>
      <c r="M1610" s="1797"/>
      <c r="N1610" s="1794"/>
      <c r="O1610" s="1249"/>
      <c r="P1610" s="157"/>
      <c r="Q1610" s="157"/>
      <c r="R1610" s="1627"/>
      <c r="S1610" s="157"/>
      <c r="T1610" s="157"/>
      <c r="U1610" s="1798"/>
      <c r="V1610" s="2309" t="s">
        <v>20</v>
      </c>
      <c r="W1610" s="910">
        <v>565.71900000000005</v>
      </c>
      <c r="X1610" s="917">
        <v>565.71900000000005</v>
      </c>
      <c r="Y1610" s="825">
        <v>565.72</v>
      </c>
      <c r="Z1610" s="825">
        <v>565.72</v>
      </c>
      <c r="AA1610" s="825">
        <v>565.72</v>
      </c>
      <c r="AB1610" s="2582">
        <v>565.72</v>
      </c>
      <c r="AC1610" s="910"/>
      <c r="AD1610" s="910"/>
      <c r="AE1610" s="910"/>
      <c r="AF1610" s="910"/>
      <c r="AG1610" s="910"/>
      <c r="AH1610" s="211"/>
      <c r="AK1610" s="912"/>
      <c r="BB1610" s="822"/>
      <c r="BC1610" s="821" t="str">
        <f t="shared" si="176"/>
        <v>Cooling Res ER2 12 Year EUL</v>
      </c>
      <c r="BD1610" s="752">
        <f>(INDEX('Avoided Cost Benefits'!$C$4:$C$857,MATCH(BC1610,'Avoided Cost Benefits'!$A$4:$A$857,0)))*F1610</f>
        <v>668.86405797030864</v>
      </c>
      <c r="BE1610" s="73">
        <f t="shared" si="166"/>
        <v>0</v>
      </c>
      <c r="BG1610" s="776"/>
      <c r="BH1610" s="913"/>
      <c r="BI1610" s="776"/>
    </row>
    <row r="1611" spans="1:61" s="64" customFormat="1" x14ac:dyDescent="0.25">
      <c r="A1611" s="1393" t="str">
        <f t="shared" si="178"/>
        <v>354650_2019_12_Heating Res ER2</v>
      </c>
      <c r="B1611" s="157"/>
      <c r="C1611" s="1352" t="s">
        <v>1464</v>
      </c>
      <c r="D1611" s="1756" t="s">
        <v>742</v>
      </c>
      <c r="E1611" s="750" t="s">
        <v>1466</v>
      </c>
      <c r="F1611" s="2582">
        <f>ROUND(((K1784*K1912*(1/K2040-1/K2168)*K2808)/1000)*$K$2834,2)</f>
        <v>6759.78</v>
      </c>
      <c r="G1611" s="1787" t="s">
        <v>1332</v>
      </c>
      <c r="H1611" s="202">
        <f>VLOOKUP(G1611,'CP FACTORS'!$A$3:$B$38, 2, FALSE)</f>
        <v>0</v>
      </c>
      <c r="I1611" s="1757">
        <f t="shared" si="175"/>
        <v>0</v>
      </c>
      <c r="J1611" s="141">
        <f t="shared" si="180"/>
        <v>12</v>
      </c>
      <c r="K1611" s="908">
        <f t="shared" si="181"/>
        <v>0</v>
      </c>
      <c r="L1611" s="909"/>
      <c r="M1611" s="1797"/>
      <c r="N1611" s="1794"/>
      <c r="O1611" s="1249"/>
      <c r="P1611" s="157"/>
      <c r="Q1611" s="157"/>
      <c r="R1611" s="1627"/>
      <c r="S1611" s="157"/>
      <c r="T1611" s="157"/>
      <c r="U1611" s="1798"/>
      <c r="V1611" s="2309" t="s">
        <v>20</v>
      </c>
      <c r="W1611" s="910">
        <v>9077.8044487427451</v>
      </c>
      <c r="X1611" s="911">
        <v>6759.7787234042544</v>
      </c>
      <c r="Y1611" s="825">
        <v>6759.78</v>
      </c>
      <c r="Z1611" s="825">
        <v>6759.78</v>
      </c>
      <c r="AA1611" s="825">
        <v>6759.78</v>
      </c>
      <c r="AB1611" s="2582">
        <v>6759.78</v>
      </c>
      <c r="AC1611" s="910"/>
      <c r="AD1611" s="910"/>
      <c r="AE1611" s="910"/>
      <c r="AF1611" s="910"/>
      <c r="AG1611" s="910"/>
      <c r="AH1611" s="211"/>
      <c r="AK1611" s="912"/>
      <c r="BB1611" s="822"/>
      <c r="BC1611" s="750" t="str">
        <f t="shared" si="176"/>
        <v>Heating Res ER2 12 Year EUL</v>
      </c>
      <c r="BD1611" s="752">
        <f>(INDEX('Avoided Cost Benefits'!$C$4:$C$857,MATCH(BC1611,'Avoided Cost Benefits'!$A$4:$A$857,0)))*F1611</f>
        <v>1998.7493224799473</v>
      </c>
      <c r="BE1611" s="73">
        <f t="shared" si="166"/>
        <v>0</v>
      </c>
      <c r="BG1611" s="776"/>
      <c r="BH1611" s="913"/>
      <c r="BI1611" s="776"/>
    </row>
    <row r="1612" spans="1:61" s="64" customFormat="1" x14ac:dyDescent="0.25">
      <c r="A1612" s="1393" t="str">
        <f t="shared" si="178"/>
        <v>354651_2019_12_Cooling Res</v>
      </c>
      <c r="B1612" s="157"/>
      <c r="C1612" s="1352" t="s">
        <v>1467</v>
      </c>
      <c r="D1612" s="1756" t="s">
        <v>737</v>
      </c>
      <c r="E1612" s="742" t="str">
        <f>CONCATENATE(E1608,"_CompE")</f>
        <v>ASHP - SEER 20 - replace electric furnace / CAC - early replacement MF ER1_CompE</v>
      </c>
      <c r="F1612" s="2582">
        <f>ROUND((($K$2297*$K$2425*(1/$K$2553-1/$K$2681)*$K$2809)/1000)*$K$2834,2)</f>
        <v>1070.46</v>
      </c>
      <c r="G1612" s="263" t="str">
        <f t="shared" ref="G1612:K1615" si="182">G1608</f>
        <v>Cooling Res</v>
      </c>
      <c r="H1612" s="202">
        <f t="shared" si="182"/>
        <v>9.4741810000000004E-4</v>
      </c>
      <c r="I1612" s="1801">
        <f t="shared" si="175"/>
        <v>1.014173</v>
      </c>
      <c r="J1612" s="141">
        <f>J1608</f>
        <v>6</v>
      </c>
      <c r="K1612" s="908">
        <f>K1608</f>
        <v>1925.8398012161661</v>
      </c>
      <c r="L1612" s="909">
        <f>L1608</f>
        <v>3.1</v>
      </c>
      <c r="M1612" s="1797"/>
      <c r="N1612" s="1794"/>
      <c r="O1612" s="1249"/>
      <c r="P1612" s="157"/>
      <c r="Q1612" s="157"/>
      <c r="R1612" s="1627"/>
      <c r="S1612" s="157"/>
      <c r="T1612" s="157"/>
      <c r="U1612" s="1798"/>
      <c r="V1612" s="2309" t="s">
        <v>20</v>
      </c>
      <c r="W1612" s="910"/>
      <c r="X1612" s="911"/>
      <c r="Y1612" s="830">
        <v>1070.46</v>
      </c>
      <c r="Z1612" s="825">
        <v>1070.46</v>
      </c>
      <c r="AA1612" s="825">
        <v>1070.46</v>
      </c>
      <c r="AB1612" s="2582">
        <v>1070.46</v>
      </c>
      <c r="AC1612" s="910"/>
      <c r="AD1612" s="910"/>
      <c r="AE1612" s="910"/>
      <c r="AF1612" s="910"/>
      <c r="AG1612" s="910"/>
      <c r="AH1612" s="211"/>
      <c r="AK1612" s="912"/>
      <c r="BB1612" s="293">
        <f>(BD1612+BD1613+BD1614+BD1615)/(BE1612+BE1613+BE1614+BE1615)</f>
        <v>1.1958058077888361</v>
      </c>
      <c r="BC1612" s="742" t="str">
        <f t="shared" si="176"/>
        <v>Cooling Res 6 Year EUL</v>
      </c>
      <c r="BD1612" s="752">
        <f>(INDEX('Avoided Cost Benefits'!$C$4:$C$857,MATCH(BC1612,'Avoided Cost Benefits'!$A$4:$A$857,0)))*F1612</f>
        <v>622.45553705540806</v>
      </c>
      <c r="BE1612" s="73">
        <f t="shared" si="166"/>
        <v>1817.6874008647153</v>
      </c>
      <c r="BG1612" s="776"/>
      <c r="BH1612" s="916"/>
      <c r="BI1612" s="776"/>
    </row>
    <row r="1613" spans="1:61" s="64" customFormat="1" x14ac:dyDescent="0.25">
      <c r="A1613" s="1393" t="str">
        <f t="shared" si="178"/>
        <v>354651_2019_12_Heating Res</v>
      </c>
      <c r="B1613" s="157"/>
      <c r="C1613" s="1352" t="str">
        <f>C1612</f>
        <v>354651_2019_12_</v>
      </c>
      <c r="D1613" s="1756" t="s">
        <v>737</v>
      </c>
      <c r="E1613" s="821" t="str">
        <f>CONCATENATE(E1609,"_CompE")</f>
        <v>ASHP - SEER 20 - replace electric furnace / CAC - early replacement MF ER1_CompE</v>
      </c>
      <c r="F1613" s="2582">
        <f>ROUND((($K$1785*$K$1913*(1/$K$2041-1/$K$2169)*$K$2809)/1000)*$K$2834,2)</f>
        <v>2304.4699999999998</v>
      </c>
      <c r="G1613" s="263" t="str">
        <f t="shared" si="182"/>
        <v>Heating Res</v>
      </c>
      <c r="H1613" s="202">
        <f t="shared" si="182"/>
        <v>0</v>
      </c>
      <c r="I1613" s="1801">
        <f t="shared" si="175"/>
        <v>0</v>
      </c>
      <c r="J1613" s="141">
        <f t="shared" si="182"/>
        <v>6</v>
      </c>
      <c r="K1613" s="908">
        <f t="shared" si="182"/>
        <v>0</v>
      </c>
      <c r="L1613" s="909"/>
      <c r="M1613" s="1797"/>
      <c r="N1613" s="1794"/>
      <c r="O1613" s="1249"/>
      <c r="P1613" s="157"/>
      <c r="Q1613" s="157"/>
      <c r="R1613" s="1627"/>
      <c r="S1613" s="157"/>
      <c r="T1613" s="157"/>
      <c r="U1613" s="1798"/>
      <c r="V1613" s="2309" t="s">
        <v>20</v>
      </c>
      <c r="W1613" s="910"/>
      <c r="X1613" s="911"/>
      <c r="Y1613" s="830">
        <v>2304.4699999999998</v>
      </c>
      <c r="Z1613" s="825">
        <v>2304.4699999999998</v>
      </c>
      <c r="AA1613" s="825">
        <v>2304.4699999999998</v>
      </c>
      <c r="AB1613" s="2582">
        <v>2304.4699999999998</v>
      </c>
      <c r="AC1613" s="910"/>
      <c r="AD1613" s="910"/>
      <c r="AE1613" s="910"/>
      <c r="AF1613" s="910"/>
      <c r="AG1613" s="910"/>
      <c r="AH1613" s="211"/>
      <c r="AK1613" s="912"/>
      <c r="BB1613" s="822"/>
      <c r="BC1613" s="821" t="str">
        <f t="shared" si="176"/>
        <v>Heating Res 6 Year EUL</v>
      </c>
      <c r="BD1613" s="752">
        <f>(INDEX('Avoided Cost Benefits'!$C$4:$C$857,MATCH(BC1613,'Avoided Cost Benefits'!$A$4:$A$857,0)))*F1613</f>
        <v>383.31057046649704</v>
      </c>
      <c r="BE1613" s="73">
        <f t="shared" si="166"/>
        <v>0</v>
      </c>
      <c r="BG1613" s="776"/>
      <c r="BH1613" s="916"/>
      <c r="BI1613" s="776"/>
    </row>
    <row r="1614" spans="1:61" s="64" customFormat="1" x14ac:dyDescent="0.25">
      <c r="A1614" s="1393" t="str">
        <f t="shared" si="178"/>
        <v>354651_2019_12_Cooling Res ER2</v>
      </c>
      <c r="B1614" s="157"/>
      <c r="C1614" s="1352" t="str">
        <f>C1613</f>
        <v>354651_2019_12_</v>
      </c>
      <c r="D1614" s="1756" t="s">
        <v>737</v>
      </c>
      <c r="E1614" s="821" t="str">
        <f>CONCATENATE(E1610,"_CompE")</f>
        <v>ASHP - SEER 20 - replace electric furnace / CAC - early replacement MF ER2_CompE</v>
      </c>
      <c r="F1614" s="2582">
        <f>ROUND((($K$2298*$K$2426*(1/$K$2554-1/$K$2682)*$K$2810)/1000)*$K$2834,2)</f>
        <v>411.43</v>
      </c>
      <c r="G1614" s="263" t="str">
        <f t="shared" si="182"/>
        <v>Cooling Res ER2</v>
      </c>
      <c r="H1614" s="202">
        <f t="shared" si="182"/>
        <v>9.4741810000000004E-4</v>
      </c>
      <c r="I1614" s="1801">
        <f t="shared" si="175"/>
        <v>0.38979599999999998</v>
      </c>
      <c r="J1614" s="141">
        <f t="shared" si="182"/>
        <v>12</v>
      </c>
      <c r="K1614" s="908">
        <f t="shared" si="182"/>
        <v>0</v>
      </c>
      <c r="L1614" s="909"/>
      <c r="M1614" s="1797"/>
      <c r="N1614" s="1794"/>
      <c r="O1614" s="1249"/>
      <c r="P1614" s="157"/>
      <c r="Q1614" s="157"/>
      <c r="R1614" s="1627"/>
      <c r="S1614" s="157"/>
      <c r="T1614" s="157"/>
      <c r="U1614" s="1798"/>
      <c r="V1614" s="2309" t="s">
        <v>20</v>
      </c>
      <c r="W1614" s="910"/>
      <c r="X1614" s="911"/>
      <c r="Y1614" s="830">
        <v>411.43</v>
      </c>
      <c r="Z1614" s="825">
        <v>411.43</v>
      </c>
      <c r="AA1614" s="825">
        <v>411.43</v>
      </c>
      <c r="AB1614" s="2582">
        <v>411.43</v>
      </c>
      <c r="AC1614" s="910"/>
      <c r="AD1614" s="910"/>
      <c r="AE1614" s="910"/>
      <c r="AF1614" s="910"/>
      <c r="AG1614" s="910"/>
      <c r="AH1614" s="211"/>
      <c r="AK1614" s="912"/>
      <c r="BB1614" s="822"/>
      <c r="BC1614" s="821" t="str">
        <f t="shared" si="176"/>
        <v>Cooling Res ER2 12 Year EUL</v>
      </c>
      <c r="BD1614" s="752">
        <f>(INDEX('Avoided Cost Benefits'!$C$4:$C$857,MATCH(BC1614,'Avoided Cost Benefits'!$A$4:$A$857,0)))*F1614</f>
        <v>486.44336309609713</v>
      </c>
      <c r="BE1614" s="73">
        <f t="shared" si="166"/>
        <v>0</v>
      </c>
      <c r="BG1614" s="776"/>
      <c r="BH1614" s="916"/>
      <c r="BI1614" s="776"/>
    </row>
    <row r="1615" spans="1:61" s="64" customFormat="1" x14ac:dyDescent="0.25">
      <c r="A1615" s="1393" t="str">
        <f t="shared" si="178"/>
        <v>354651_2019_12_Heating Res ER2</v>
      </c>
      <c r="B1615" s="157"/>
      <c r="C1615" s="1352" t="str">
        <f>C1614</f>
        <v>354651_2019_12_</v>
      </c>
      <c r="D1615" s="1756" t="s">
        <v>737</v>
      </c>
      <c r="E1615" s="750" t="str">
        <f>CONCATENATE(E1611,"_CompE")</f>
        <v>ASHP - SEER 20 - replace electric furnace / CAC - early replacement MF ER2_CompE</v>
      </c>
      <c r="F1615" s="2582">
        <f>ROUND((($K$1786*$K$1914*(1/$K$2042-1/$K$2170)*$K$2810)/1000)*$K$2834,2)</f>
        <v>2304.4699999999998</v>
      </c>
      <c r="G1615" s="263" t="str">
        <f t="shared" si="182"/>
        <v>Heating Res ER2</v>
      </c>
      <c r="H1615" s="202">
        <f t="shared" si="182"/>
        <v>0</v>
      </c>
      <c r="I1615" s="1801">
        <f t="shared" si="175"/>
        <v>0</v>
      </c>
      <c r="J1615" s="141">
        <f t="shared" si="182"/>
        <v>12</v>
      </c>
      <c r="K1615" s="908">
        <f t="shared" si="182"/>
        <v>0</v>
      </c>
      <c r="L1615" s="909"/>
      <c r="M1615" s="1797"/>
      <c r="N1615" s="1794"/>
      <c r="O1615" s="1249"/>
      <c r="P1615" s="157"/>
      <c r="Q1615" s="157"/>
      <c r="R1615" s="1627"/>
      <c r="S1615" s="157"/>
      <c r="T1615" s="157"/>
      <c r="U1615" s="1798"/>
      <c r="V1615" s="2309" t="s">
        <v>20</v>
      </c>
      <c r="W1615" s="910"/>
      <c r="X1615" s="911"/>
      <c r="Y1615" s="830">
        <v>2304.4699999999998</v>
      </c>
      <c r="Z1615" s="825">
        <v>2304.4699999999998</v>
      </c>
      <c r="AA1615" s="825">
        <v>2304.4699999999998</v>
      </c>
      <c r="AB1615" s="2582">
        <v>2304.4699999999998</v>
      </c>
      <c r="AC1615" s="910"/>
      <c r="AD1615" s="910"/>
      <c r="AE1615" s="910"/>
      <c r="AF1615" s="910"/>
      <c r="AG1615" s="910"/>
      <c r="AH1615" s="211"/>
      <c r="AK1615" s="912"/>
      <c r="BB1615" s="822"/>
      <c r="BC1615" s="750" t="str">
        <f t="shared" si="176"/>
        <v>Heating Res ER2 12 Year EUL</v>
      </c>
      <c r="BD1615" s="752">
        <f>(INDEX('Avoided Cost Benefits'!$C$4:$C$857,MATCH(BC1615,'Avoided Cost Benefits'!$A$4:$A$857,0)))*F1615</f>
        <v>681.39168008061858</v>
      </c>
      <c r="BE1615" s="73">
        <f t="shared" si="166"/>
        <v>0</v>
      </c>
      <c r="BG1615" s="776"/>
      <c r="BH1615" s="916"/>
      <c r="BI1615" s="776"/>
    </row>
    <row r="1616" spans="1:61" s="64" customFormat="1" x14ac:dyDescent="0.25">
      <c r="A1616" s="1393" t="str">
        <f t="shared" si="178"/>
        <v>354700_2019_12_Cooling Res</v>
      </c>
      <c r="B1616" s="157"/>
      <c r="C1616" s="1352" t="s">
        <v>1468</v>
      </c>
      <c r="D1616" s="1756" t="s">
        <v>742</v>
      </c>
      <c r="E1616" s="742" t="s">
        <v>1469</v>
      </c>
      <c r="F1616" s="2582">
        <f>ROUND(((K2299*K2427*(1/K2555-1/K2683)*K2811)/1000)*$K$2834,2)</f>
        <v>1566.84</v>
      </c>
      <c r="G1616" s="263" t="s">
        <v>1273</v>
      </c>
      <c r="H1616" s="202">
        <f>VLOOKUP(G1616,'CP FACTORS'!$A$3:$B$38, 2, FALSE)</f>
        <v>9.4741810000000004E-4</v>
      </c>
      <c r="I1616" s="1757">
        <f t="shared" si="175"/>
        <v>1.484453</v>
      </c>
      <c r="J1616" s="141">
        <f>K2979</f>
        <v>6</v>
      </c>
      <c r="K1616" s="908">
        <f>K3149</f>
        <v>1956.9017238752731</v>
      </c>
      <c r="L1616" s="909">
        <f>L1787</f>
        <v>3.3</v>
      </c>
      <c r="M1616" s="1797"/>
      <c r="N1616" s="1794"/>
      <c r="O1616" s="1249"/>
      <c r="P1616" s="157"/>
      <c r="Q1616" s="157"/>
      <c r="R1616" s="1627"/>
      <c r="S1616" s="157"/>
      <c r="T1616" s="157"/>
      <c r="U1616" s="1798"/>
      <c r="V1616" s="2309" t="s">
        <v>20</v>
      </c>
      <c r="W1616" s="910">
        <v>1988.2719999999999</v>
      </c>
      <c r="X1616" s="911">
        <v>1566.8382965186074</v>
      </c>
      <c r="Y1616" s="825">
        <v>1566.84</v>
      </c>
      <c r="Z1616" s="825">
        <v>1566.84</v>
      </c>
      <c r="AA1616" s="825">
        <v>1566.84</v>
      </c>
      <c r="AB1616" s="2582">
        <v>1566.84</v>
      </c>
      <c r="AC1616" s="910"/>
      <c r="AD1616" s="910"/>
      <c r="AE1616" s="910"/>
      <c r="AF1616" s="910"/>
      <c r="AG1616" s="910"/>
      <c r="AH1616" s="211"/>
      <c r="AK1616" s="912"/>
      <c r="BB1616" s="293">
        <f>(BD1616+BD1617+BD1618+BD1619)/(BE1616+BE1617+BE1618+BE1619)</f>
        <v>1.0649709532952181</v>
      </c>
      <c r="BC1616" s="742" t="str">
        <f t="shared" si="176"/>
        <v>Cooling Res 6 Year EUL</v>
      </c>
      <c r="BD1616" s="752">
        <f>(INDEX('Avoided Cost Benefits'!$C$4:$C$857,MATCH(BC1616,'Avoided Cost Benefits'!$A$4:$A$857,0)))*F1616</f>
        <v>911.09264585308688</v>
      </c>
      <c r="BE1616" s="73">
        <f t="shared" si="166"/>
        <v>1847.0049305099319</v>
      </c>
      <c r="BG1616" s="776"/>
      <c r="BH1616" s="913"/>
      <c r="BI1616" s="776"/>
    </row>
    <row r="1617" spans="1:61" s="64" customFormat="1" x14ac:dyDescent="0.25">
      <c r="A1617" s="1393" t="str">
        <f t="shared" si="178"/>
        <v>354700_2019_12_Heating Res</v>
      </c>
      <c r="B1617" s="157"/>
      <c r="C1617" s="1352" t="s">
        <v>1468</v>
      </c>
      <c r="D1617" s="1756" t="s">
        <v>742</v>
      </c>
      <c r="E1617" s="821" t="s">
        <v>1469</v>
      </c>
      <c r="F1617" s="2582">
        <f>ROUND(((K1787*K1915*(1/K2043-1/K2171)*K2811)/1000)*$K$2834,2)</f>
        <v>1798.76</v>
      </c>
      <c r="G1617" s="263" t="s">
        <v>1275</v>
      </c>
      <c r="H1617" s="202">
        <f>VLOOKUP(G1617,'CP FACTORS'!$A$3:$B$38, 2, FALSE)</f>
        <v>0</v>
      </c>
      <c r="I1617" s="1757">
        <f t="shared" si="175"/>
        <v>0</v>
      </c>
      <c r="J1617" s="141">
        <f>K2980</f>
        <v>6</v>
      </c>
      <c r="K1617" s="908">
        <f>K3150</f>
        <v>0</v>
      </c>
      <c r="L1617" s="909"/>
      <c r="M1617" s="1797"/>
      <c r="N1617" s="1794"/>
      <c r="O1617" s="1249"/>
      <c r="P1617" s="157"/>
      <c r="Q1617" s="157"/>
      <c r="R1617" s="1627"/>
      <c r="S1617" s="157"/>
      <c r="T1617" s="157"/>
      <c r="U1617" s="1798"/>
      <c r="V1617" s="2309" t="s">
        <v>20</v>
      </c>
      <c r="W1617" s="910">
        <v>4062.4872213622284</v>
      </c>
      <c r="X1617" s="911">
        <v>1798.7611070228763</v>
      </c>
      <c r="Y1617" s="825">
        <v>1798.76</v>
      </c>
      <c r="Z1617" s="825">
        <v>1798.76</v>
      </c>
      <c r="AA1617" s="825">
        <v>1798.76</v>
      </c>
      <c r="AB1617" s="2582">
        <v>1798.76</v>
      </c>
      <c r="AC1617" s="910"/>
      <c r="AD1617" s="910"/>
      <c r="AE1617" s="910"/>
      <c r="AF1617" s="910"/>
      <c r="AG1617" s="910"/>
      <c r="AH1617" s="211"/>
      <c r="AK1617" s="912"/>
      <c r="BB1617" s="822"/>
      <c r="BC1617" s="821" t="str">
        <f t="shared" si="176"/>
        <v>Heating Res 6 Year EUL</v>
      </c>
      <c r="BD1617" s="752">
        <f>(INDEX('Avoided Cost Benefits'!$C$4:$C$857,MATCH(BC1617,'Avoided Cost Benefits'!$A$4:$A$857,0)))*F1617</f>
        <v>299.19405404813961</v>
      </c>
      <c r="BE1617" s="73">
        <f t="shared" si="166"/>
        <v>0</v>
      </c>
      <c r="BG1617" s="776"/>
      <c r="BH1617" s="913"/>
      <c r="BI1617" s="776"/>
    </row>
    <row r="1618" spans="1:61" s="64" customFormat="1" x14ac:dyDescent="0.25">
      <c r="A1618" s="1393" t="str">
        <f t="shared" si="178"/>
        <v>354700_2019_12_Cooling Res ER2</v>
      </c>
      <c r="B1618" s="157"/>
      <c r="C1618" s="1352" t="s">
        <v>1468</v>
      </c>
      <c r="D1618" s="1756" t="s">
        <v>742</v>
      </c>
      <c r="E1618" s="821" t="s">
        <v>1470</v>
      </c>
      <c r="F1618" s="2582">
        <f>ROUND(((K2300*K2428*(1/K2556-1/K2684)*K2812)/1000)*$K$2834,2)</f>
        <v>479.32</v>
      </c>
      <c r="G1618" s="1787" t="s">
        <v>1314</v>
      </c>
      <c r="H1618" s="202">
        <f>VLOOKUP(G1618,'CP FACTORS'!$A$3:$B$38, 2, FALSE)</f>
        <v>9.4741810000000004E-4</v>
      </c>
      <c r="I1618" s="1757">
        <f t="shared" si="175"/>
        <v>0.45411600000000002</v>
      </c>
      <c r="J1618" s="141">
        <f>K2981</f>
        <v>12</v>
      </c>
      <c r="K1618" s="908">
        <f>K3151</f>
        <v>0</v>
      </c>
      <c r="L1618" s="909"/>
      <c r="M1618" s="1797"/>
      <c r="N1618" s="1794"/>
      <c r="O1618" s="1249"/>
      <c r="P1618" s="157"/>
      <c r="Q1618" s="157"/>
      <c r="R1618" s="1627"/>
      <c r="S1618" s="157"/>
      <c r="T1618" s="157"/>
      <c r="U1618" s="1798"/>
      <c r="V1618" s="2309" t="s">
        <v>20</v>
      </c>
      <c r="W1618" s="910">
        <v>479.31557142857133</v>
      </c>
      <c r="X1618" s="917">
        <v>479.31557142857133</v>
      </c>
      <c r="Y1618" s="825">
        <v>479.32</v>
      </c>
      <c r="Z1618" s="825">
        <v>479.32</v>
      </c>
      <c r="AA1618" s="825">
        <v>479.32</v>
      </c>
      <c r="AB1618" s="2582">
        <v>479.32</v>
      </c>
      <c r="AC1618" s="910"/>
      <c r="AD1618" s="910"/>
      <c r="AE1618" s="910"/>
      <c r="AF1618" s="910"/>
      <c r="AG1618" s="910"/>
      <c r="AH1618" s="211"/>
      <c r="AK1618" s="912"/>
      <c r="BB1618" s="822"/>
      <c r="BC1618" s="821" t="str">
        <f t="shared" si="176"/>
        <v>Cooling Res ER2 12 Year EUL</v>
      </c>
      <c r="BD1618" s="752">
        <f>(INDEX('Avoided Cost Benefits'!$C$4:$C$857,MATCH(BC1618,'Avoided Cost Benefits'!$A$4:$A$857,0)))*F1618</f>
        <v>566.71130641718219</v>
      </c>
      <c r="BE1618" s="73">
        <f t="shared" si="166"/>
        <v>0</v>
      </c>
      <c r="BG1618" s="776"/>
      <c r="BH1618" s="913"/>
      <c r="BI1618" s="776"/>
    </row>
    <row r="1619" spans="1:61" s="64" customFormat="1" x14ac:dyDescent="0.25">
      <c r="A1619" s="1393" t="str">
        <f t="shared" si="178"/>
        <v>354700_2019_12_Heating Res ER2</v>
      </c>
      <c r="B1619" s="157"/>
      <c r="C1619" s="1352" t="s">
        <v>1468</v>
      </c>
      <c r="D1619" s="1756" t="s">
        <v>742</v>
      </c>
      <c r="E1619" s="750" t="s">
        <v>1470</v>
      </c>
      <c r="F1619" s="2582">
        <f>ROUND(((K1788*K1916*(1/K2044-1/K2172)*K2812)/1000)*$K$2834,2)</f>
        <v>642.61</v>
      </c>
      <c r="G1619" s="1787" t="s">
        <v>1332</v>
      </c>
      <c r="H1619" s="202">
        <f>VLOOKUP(G1619,'CP FACTORS'!$A$3:$B$38, 2, FALSE)</f>
        <v>0</v>
      </c>
      <c r="I1619" s="1757">
        <f t="shared" si="175"/>
        <v>0</v>
      </c>
      <c r="J1619" s="141">
        <f>K2982</f>
        <v>12</v>
      </c>
      <c r="K1619" s="908">
        <f>K3152</f>
        <v>0</v>
      </c>
      <c r="L1619" s="909"/>
      <c r="M1619" s="1797"/>
      <c r="N1619" s="1794"/>
      <c r="O1619" s="1249"/>
      <c r="P1619" s="157"/>
      <c r="Q1619" s="157"/>
      <c r="R1619" s="1627"/>
      <c r="S1619" s="157"/>
      <c r="T1619" s="157"/>
      <c r="U1619" s="1798"/>
      <c r="V1619" s="2309" t="s">
        <v>20</v>
      </c>
      <c r="W1619" s="910">
        <v>862.96736842105349</v>
      </c>
      <c r="X1619" s="911">
        <v>642.6078562259313</v>
      </c>
      <c r="Y1619" s="825">
        <v>642.61</v>
      </c>
      <c r="Z1619" s="825">
        <v>642.61</v>
      </c>
      <c r="AA1619" s="825">
        <v>642.61</v>
      </c>
      <c r="AB1619" s="2582">
        <v>642.61</v>
      </c>
      <c r="AC1619" s="910"/>
      <c r="AD1619" s="910"/>
      <c r="AE1619" s="910"/>
      <c r="AF1619" s="910"/>
      <c r="AG1619" s="910"/>
      <c r="AH1619" s="211"/>
      <c r="AK1619" s="912"/>
      <c r="BB1619" s="822"/>
      <c r="BC1619" s="750" t="str">
        <f t="shared" si="176"/>
        <v>Heating Res ER2 12 Year EUL</v>
      </c>
      <c r="BD1619" s="752">
        <f>(INDEX('Avoided Cost Benefits'!$C$4:$C$857,MATCH(BC1619,'Avoided Cost Benefits'!$A$4:$A$857,0)))*F1619</f>
        <v>190.00859526772157</v>
      </c>
      <c r="BE1619" s="73">
        <f t="shared" si="166"/>
        <v>0</v>
      </c>
      <c r="BG1619" s="776"/>
      <c r="BH1619" s="913"/>
      <c r="BI1619" s="776"/>
    </row>
    <row r="1620" spans="1:61" s="64" customFormat="1" x14ac:dyDescent="0.25">
      <c r="A1620" s="1393" t="str">
        <f t="shared" si="178"/>
        <v>354701_2019_12_Cooling Res</v>
      </c>
      <c r="B1620" s="157"/>
      <c r="C1620" s="1352" t="s">
        <v>1471</v>
      </c>
      <c r="D1620" s="1756" t="s">
        <v>737</v>
      </c>
      <c r="E1620" s="742" t="str">
        <f>CONCATENATE(E1616,"_CompE")</f>
        <v>ASHP SEER 20 replace ASHP - early replacement MF ER1_CompE</v>
      </c>
      <c r="F1620" s="2582">
        <f>ROUND((($K$2301*$K$2429*(1/$K$2557-1/$K$2685)*$K$2813)/1000)*$K$2834,2)</f>
        <v>1139.52</v>
      </c>
      <c r="G1620" s="263" t="str">
        <f t="shared" ref="G1620:K1623" si="183">G1616</f>
        <v>Cooling Res</v>
      </c>
      <c r="H1620" s="202">
        <f t="shared" si="183"/>
        <v>9.4741810000000004E-4</v>
      </c>
      <c r="I1620" s="1801">
        <f t="shared" si="175"/>
        <v>1.079602</v>
      </c>
      <c r="J1620" s="141">
        <f>J1616</f>
        <v>6</v>
      </c>
      <c r="K1620" s="908">
        <f>K1616</f>
        <v>1956.9017238752731</v>
      </c>
      <c r="L1620" s="909">
        <f>L1616</f>
        <v>3.3</v>
      </c>
      <c r="M1620" s="1797"/>
      <c r="N1620" s="1794"/>
      <c r="O1620" s="1249"/>
      <c r="P1620" s="157"/>
      <c r="Q1620" s="157"/>
      <c r="R1620" s="1627"/>
      <c r="S1620" s="157"/>
      <c r="T1620" s="157"/>
      <c r="U1620" s="1798"/>
      <c r="V1620" s="2309" t="s">
        <v>20</v>
      </c>
      <c r="W1620" s="910"/>
      <c r="X1620" s="911"/>
      <c r="Y1620" s="830">
        <v>1139.52</v>
      </c>
      <c r="Z1620" s="825">
        <v>1139.52</v>
      </c>
      <c r="AA1620" s="825">
        <v>1139.52</v>
      </c>
      <c r="AB1620" s="2582">
        <v>1139.52</v>
      </c>
      <c r="AC1620" s="910"/>
      <c r="AD1620" s="910"/>
      <c r="AE1620" s="910"/>
      <c r="AF1620" s="910"/>
      <c r="AG1620" s="910"/>
      <c r="AH1620" s="211"/>
      <c r="AK1620" s="912"/>
      <c r="BB1620" s="293">
        <f>(BD1620+BD1621+BD1622+BD1623)/(BE1620+BE1621+BE1622+BE1623)</f>
        <v>0.67218637132586789</v>
      </c>
      <c r="BC1620" s="742" t="str">
        <f t="shared" si="176"/>
        <v>Cooling Res 6 Year EUL</v>
      </c>
      <c r="BD1620" s="752">
        <f>(INDEX('Avoided Cost Benefits'!$C$4:$C$857,MATCH(BC1620,'Avoided Cost Benefits'!$A$4:$A$857,0)))*F1620</f>
        <v>662.61283334769962</v>
      </c>
      <c r="BE1620" s="73">
        <f t="shared" ref="BE1620:BE1661" si="184">K1620/(1.0595^(2020-2019))</f>
        <v>1847.0049305099319</v>
      </c>
      <c r="BG1620" s="776"/>
      <c r="BH1620" s="916"/>
      <c r="BI1620" s="776"/>
    </row>
    <row r="1621" spans="1:61" s="64" customFormat="1" x14ac:dyDescent="0.25">
      <c r="A1621" s="1393" t="str">
        <f t="shared" si="178"/>
        <v>354701_2019_12_Heating Res</v>
      </c>
      <c r="B1621" s="157"/>
      <c r="C1621" s="1352" t="str">
        <f>C1620</f>
        <v>354701_2019_12_</v>
      </c>
      <c r="D1621" s="1756" t="s">
        <v>737</v>
      </c>
      <c r="E1621" s="821" t="str">
        <f>CONCATENATE(E1617,"_CompE")</f>
        <v>ASHP SEER 20 replace ASHP - early replacement MF ER1_CompE</v>
      </c>
      <c r="F1621" s="2582">
        <f>ROUND((($K$1789*$K$1917*(1/$K$2045-1/$K$2173)*$K$2813)/1000)*$K$2834,2)</f>
        <v>613.21</v>
      </c>
      <c r="G1621" s="263" t="str">
        <f t="shared" si="183"/>
        <v>Heating Res</v>
      </c>
      <c r="H1621" s="202">
        <f t="shared" si="183"/>
        <v>0</v>
      </c>
      <c r="I1621" s="1801">
        <f t="shared" si="175"/>
        <v>0</v>
      </c>
      <c r="J1621" s="141">
        <f t="shared" si="183"/>
        <v>6</v>
      </c>
      <c r="K1621" s="908">
        <f t="shared" si="183"/>
        <v>0</v>
      </c>
      <c r="L1621" s="909"/>
      <c r="M1621" s="1797"/>
      <c r="N1621" s="1794"/>
      <c r="O1621" s="1249"/>
      <c r="P1621" s="157"/>
      <c r="Q1621" s="157"/>
      <c r="R1621" s="1627"/>
      <c r="S1621" s="157"/>
      <c r="T1621" s="157"/>
      <c r="U1621" s="1798"/>
      <c r="V1621" s="2309" t="s">
        <v>20</v>
      </c>
      <c r="W1621" s="910"/>
      <c r="X1621" s="911"/>
      <c r="Y1621" s="830">
        <v>613.21</v>
      </c>
      <c r="Z1621" s="825">
        <v>613.21</v>
      </c>
      <c r="AA1621" s="825">
        <v>613.21</v>
      </c>
      <c r="AB1621" s="2582">
        <v>613.21</v>
      </c>
      <c r="AC1621" s="910"/>
      <c r="AD1621" s="910"/>
      <c r="AE1621" s="910"/>
      <c r="AF1621" s="910"/>
      <c r="AG1621" s="910"/>
      <c r="AH1621" s="211"/>
      <c r="AK1621" s="912"/>
      <c r="BB1621" s="822"/>
      <c r="BC1621" s="821" t="str">
        <f t="shared" si="176"/>
        <v>Heating Res 6 Year EUL</v>
      </c>
      <c r="BD1621" s="752">
        <f>(INDEX('Avoided Cost Benefits'!$C$4:$C$857,MATCH(BC1621,'Avoided Cost Benefits'!$A$4:$A$857,0)))*F1621</f>
        <v>101.99736812185043</v>
      </c>
      <c r="BE1621" s="73">
        <f t="shared" si="184"/>
        <v>0</v>
      </c>
      <c r="BG1621" s="776"/>
      <c r="BH1621" s="916"/>
      <c r="BI1621" s="776"/>
    </row>
    <row r="1622" spans="1:61" s="64" customFormat="1" x14ac:dyDescent="0.25">
      <c r="A1622" s="1393" t="str">
        <f t="shared" si="178"/>
        <v>354701_2019_12_Cooling Res ER2</v>
      </c>
      <c r="B1622" s="157"/>
      <c r="C1622" s="1352" t="str">
        <f>C1621</f>
        <v>354701_2019_12_</v>
      </c>
      <c r="D1622" s="1756" t="s">
        <v>737</v>
      </c>
      <c r="E1622" s="821" t="str">
        <f>CONCATENATE(E1618,"_CompE")</f>
        <v>ASHP SEER 20 replace ASHP - early replacement MF ER2_CompE</v>
      </c>
      <c r="F1622" s="2582">
        <f>ROUND((($K$2302*$K$2430*(1/$K$2558-1/$K$2686)*$K$2814)/1000)*$K$2834,2)</f>
        <v>348.59</v>
      </c>
      <c r="G1622" s="263" t="str">
        <f t="shared" si="183"/>
        <v>Cooling Res ER2</v>
      </c>
      <c r="H1622" s="202">
        <f t="shared" si="183"/>
        <v>9.4741810000000004E-4</v>
      </c>
      <c r="I1622" s="1801">
        <f t="shared" si="175"/>
        <v>0.33026</v>
      </c>
      <c r="J1622" s="141">
        <f t="shared" si="183"/>
        <v>12</v>
      </c>
      <c r="K1622" s="908">
        <f t="shared" si="183"/>
        <v>0</v>
      </c>
      <c r="L1622" s="909"/>
      <c r="M1622" s="1797"/>
      <c r="N1622" s="1794"/>
      <c r="O1622" s="1249"/>
      <c r="P1622" s="157"/>
      <c r="Q1622" s="157"/>
      <c r="R1622" s="1627"/>
      <c r="S1622" s="157"/>
      <c r="T1622" s="157"/>
      <c r="U1622" s="1798"/>
      <c r="V1622" s="2309" t="s">
        <v>20</v>
      </c>
      <c r="W1622" s="910"/>
      <c r="X1622" s="911"/>
      <c r="Y1622" s="830">
        <v>348.59</v>
      </c>
      <c r="Z1622" s="825">
        <v>348.59</v>
      </c>
      <c r="AA1622" s="825">
        <v>348.59</v>
      </c>
      <c r="AB1622" s="2582">
        <v>348.59</v>
      </c>
      <c r="AC1622" s="910"/>
      <c r="AD1622" s="910"/>
      <c r="AE1622" s="910"/>
      <c r="AF1622" s="910"/>
      <c r="AG1622" s="910"/>
      <c r="AH1622" s="211"/>
      <c r="AK1622" s="912"/>
      <c r="BB1622" s="822"/>
      <c r="BC1622" s="821" t="str">
        <f t="shared" si="176"/>
        <v>Cooling Res ER2 12 Year EUL</v>
      </c>
      <c r="BD1622" s="752">
        <f>(INDEX('Avoided Cost Benefits'!$C$4:$C$857,MATCH(BC1622,'Avoided Cost Benefits'!$A$4:$A$857,0)))*F1622</f>
        <v>412.14615351741122</v>
      </c>
      <c r="BE1622" s="73">
        <f t="shared" si="184"/>
        <v>0</v>
      </c>
      <c r="BG1622" s="776"/>
      <c r="BH1622" s="916"/>
      <c r="BI1622" s="776"/>
    </row>
    <row r="1623" spans="1:61" s="64" customFormat="1" x14ac:dyDescent="0.25">
      <c r="A1623" s="1393" t="str">
        <f t="shared" si="178"/>
        <v>354701_2019_12_Heating Res ER2</v>
      </c>
      <c r="B1623" s="157"/>
      <c r="C1623" s="1352" t="str">
        <f>C1622</f>
        <v>354701_2019_12_</v>
      </c>
      <c r="D1623" s="1756" t="s">
        <v>737</v>
      </c>
      <c r="E1623" s="750" t="str">
        <f>CONCATENATE(E1619,"_CompE")</f>
        <v>ASHP SEER 20 replace ASHP - early replacement MF ER2_CompE</v>
      </c>
      <c r="F1623" s="2582">
        <f>ROUND((($K$1790*$K$1918*(1/$K$2046-1/$K$2174)*$K$2814)/1000)*$K$2834,2)</f>
        <v>219.07</v>
      </c>
      <c r="G1623" s="263" t="str">
        <f t="shared" si="183"/>
        <v>Heating Res ER2</v>
      </c>
      <c r="H1623" s="202">
        <f t="shared" si="183"/>
        <v>0</v>
      </c>
      <c r="I1623" s="1801">
        <f t="shared" si="175"/>
        <v>0</v>
      </c>
      <c r="J1623" s="141">
        <f t="shared" si="183"/>
        <v>12</v>
      </c>
      <c r="K1623" s="908">
        <f t="shared" si="183"/>
        <v>0</v>
      </c>
      <c r="L1623" s="909"/>
      <c r="M1623" s="1797"/>
      <c r="N1623" s="1794"/>
      <c r="O1623" s="1249"/>
      <c r="P1623" s="157"/>
      <c r="Q1623" s="157"/>
      <c r="R1623" s="1627"/>
      <c r="S1623" s="157"/>
      <c r="T1623" s="157"/>
      <c r="U1623" s="1798"/>
      <c r="V1623" s="2309" t="s">
        <v>20</v>
      </c>
      <c r="W1623" s="910"/>
      <c r="X1623" s="911"/>
      <c r="Y1623" s="830">
        <v>219.07</v>
      </c>
      <c r="Z1623" s="825">
        <v>219.07</v>
      </c>
      <c r="AA1623" s="825">
        <v>219.07</v>
      </c>
      <c r="AB1623" s="2582">
        <v>219.07</v>
      </c>
      <c r="AC1623" s="910"/>
      <c r="AD1623" s="910"/>
      <c r="AE1623" s="910"/>
      <c r="AF1623" s="910"/>
      <c r="AG1623" s="910"/>
      <c r="AH1623" s="211"/>
      <c r="AK1623" s="912"/>
      <c r="BB1623" s="822"/>
      <c r="BC1623" s="750" t="str">
        <f t="shared" si="176"/>
        <v>Heating Res ER2 12 Year EUL</v>
      </c>
      <c r="BD1623" s="752">
        <f>(INDEX('Avoided Cost Benefits'!$C$4:$C$857,MATCH(BC1623,'Avoided Cost Benefits'!$A$4:$A$857,0)))*F1623</f>
        <v>64.775187073496781</v>
      </c>
      <c r="BE1623" s="73">
        <f t="shared" si="184"/>
        <v>0</v>
      </c>
      <c r="BG1623" s="776"/>
      <c r="BH1623" s="916"/>
      <c r="BI1623" s="776"/>
    </row>
    <row r="1624" spans="1:61" s="64" customFormat="1" x14ac:dyDescent="0.25">
      <c r="A1624" s="1393" t="str">
        <f t="shared" si="178"/>
        <v>354750_2019_12_Cooling Res</v>
      </c>
      <c r="B1624" s="157"/>
      <c r="C1624" s="1352" t="s">
        <v>1472</v>
      </c>
      <c r="D1624" s="1756" t="s">
        <v>740</v>
      </c>
      <c r="E1624" s="742" t="s">
        <v>1473</v>
      </c>
      <c r="F1624" s="2582">
        <f>ROUND(((K2303*K2431*(1/K2559-1/K2687)*K2815)/1000)*$K$2834,2)</f>
        <v>2492.4499999999998</v>
      </c>
      <c r="G1624" s="263" t="s">
        <v>1273</v>
      </c>
      <c r="H1624" s="202">
        <f>VLOOKUP(G1624,'CP FACTORS'!$A$3:$B$38, 2, FALSE)</f>
        <v>9.4741810000000004E-4</v>
      </c>
      <c r="I1624" s="1757">
        <f t="shared" si="175"/>
        <v>2.3613919999999999</v>
      </c>
      <c r="J1624" s="141">
        <f t="shared" ref="J1624:J1631" si="185">K2983</f>
        <v>6</v>
      </c>
      <c r="K1624" s="908">
        <f t="shared" ref="K1624:K1631" si="186">K3153</f>
        <v>2478.4195598081137</v>
      </c>
      <c r="L1624" s="909">
        <f>L1791</f>
        <v>3.3</v>
      </c>
      <c r="M1624" s="1797"/>
      <c r="N1624" s="1794"/>
      <c r="O1624" s="1249"/>
      <c r="P1624" s="157"/>
      <c r="Q1624" s="157"/>
      <c r="R1624" s="1627"/>
      <c r="S1624" s="157"/>
      <c r="T1624" s="157"/>
      <c r="U1624" s="1798"/>
      <c r="V1624" s="2309" t="s">
        <v>20</v>
      </c>
      <c r="W1624" s="910">
        <v>3140.8142857142857</v>
      </c>
      <c r="X1624" s="911">
        <v>2492.4547418967586</v>
      </c>
      <c r="Y1624" s="825">
        <v>2492.4499999999998</v>
      </c>
      <c r="Z1624" s="825">
        <v>2492.4499999999998</v>
      </c>
      <c r="AA1624" s="825">
        <v>2492.4499999999998</v>
      </c>
      <c r="AB1624" s="2582">
        <v>2492.4499999999998</v>
      </c>
      <c r="AC1624" s="910"/>
      <c r="AD1624" s="910"/>
      <c r="AE1624" s="910"/>
      <c r="AF1624" s="910"/>
      <c r="AG1624" s="910"/>
      <c r="AH1624" s="211"/>
      <c r="AK1624" s="912"/>
      <c r="BB1624" s="293">
        <f>(BD1624+BD1625+BD1626+BD1627)/(BE1624+BE1625+BE1626+BE1627)</f>
        <v>1.3554276383834953</v>
      </c>
      <c r="BC1624" s="742" t="str">
        <f t="shared" si="176"/>
        <v>Cooling Res 6 Year EUL</v>
      </c>
      <c r="BD1624" s="752">
        <f>(INDEX('Avoided Cost Benefits'!$C$4:$C$857,MATCH(BC1624,'Avoided Cost Benefits'!$A$4:$A$857,0)))*F1624</f>
        <v>1449.320201907359</v>
      </c>
      <c r="BE1624" s="73">
        <f t="shared" si="184"/>
        <v>2339.2350729666009</v>
      </c>
      <c r="BG1624" s="776"/>
      <c r="BH1624" s="913"/>
      <c r="BI1624" s="776"/>
    </row>
    <row r="1625" spans="1:61" s="64" customFormat="1" x14ac:dyDescent="0.25">
      <c r="A1625" s="1393" t="str">
        <f t="shared" si="178"/>
        <v>354750_2019_12_Heating Res</v>
      </c>
      <c r="B1625" s="157"/>
      <c r="C1625" s="1352" t="s">
        <v>1472</v>
      </c>
      <c r="D1625" s="1756" t="s">
        <v>740</v>
      </c>
      <c r="E1625" s="821" t="s">
        <v>1473</v>
      </c>
      <c r="F1625" s="2582">
        <f>ROUND(((K1791*K1919*(1/K2047-1/K2175)*K2815)/1000)*$K$2834,2)</f>
        <v>2767.32</v>
      </c>
      <c r="G1625" s="263" t="s">
        <v>1275</v>
      </c>
      <c r="H1625" s="202">
        <f>VLOOKUP(G1625,'CP FACTORS'!$A$3:$B$38, 2, FALSE)</f>
        <v>0</v>
      </c>
      <c r="I1625" s="1757">
        <f t="shared" si="175"/>
        <v>0</v>
      </c>
      <c r="J1625" s="141">
        <f t="shared" si="185"/>
        <v>6</v>
      </c>
      <c r="K1625" s="908">
        <f t="shared" si="186"/>
        <v>0</v>
      </c>
      <c r="L1625" s="909"/>
      <c r="M1625" s="1797"/>
      <c r="N1625" s="1794"/>
      <c r="O1625" s="1249"/>
      <c r="P1625" s="157"/>
      <c r="Q1625" s="157"/>
      <c r="R1625" s="1627"/>
      <c r="S1625" s="157"/>
      <c r="T1625" s="157"/>
      <c r="U1625" s="1798"/>
      <c r="V1625" s="2309" t="s">
        <v>20</v>
      </c>
      <c r="W1625" s="910">
        <v>6249.9803405572748</v>
      </c>
      <c r="X1625" s="911">
        <v>2767.3247800351946</v>
      </c>
      <c r="Y1625" s="825">
        <v>2767.32</v>
      </c>
      <c r="Z1625" s="825">
        <v>2767.32</v>
      </c>
      <c r="AA1625" s="825">
        <v>2767.32</v>
      </c>
      <c r="AB1625" s="2582">
        <v>2767.32</v>
      </c>
      <c r="AC1625" s="910"/>
      <c r="AD1625" s="910"/>
      <c r="AE1625" s="910"/>
      <c r="AF1625" s="910"/>
      <c r="AG1625" s="910"/>
      <c r="AH1625" s="211"/>
      <c r="AK1625" s="912"/>
      <c r="BB1625" s="822"/>
      <c r="BC1625" s="821" t="str">
        <f t="shared" si="176"/>
        <v>Heating Res 6 Year EUL</v>
      </c>
      <c r="BD1625" s="752">
        <f>(INDEX('Avoided Cost Benefits'!$C$4:$C$857,MATCH(BC1625,'Avoided Cost Benefits'!$A$4:$A$857,0)))*F1625</f>
        <v>460.29803289404794</v>
      </c>
      <c r="BE1625" s="73">
        <f t="shared" si="184"/>
        <v>0</v>
      </c>
      <c r="BG1625" s="776"/>
      <c r="BH1625" s="913"/>
      <c r="BI1625" s="776"/>
    </row>
    <row r="1626" spans="1:61" s="64" customFormat="1" x14ac:dyDescent="0.25">
      <c r="A1626" s="1393" t="str">
        <f t="shared" si="178"/>
        <v>354750_2019_12_Cooling Res ER2</v>
      </c>
      <c r="B1626" s="157"/>
      <c r="C1626" s="1352" t="s">
        <v>1472</v>
      </c>
      <c r="D1626" s="1756" t="s">
        <v>740</v>
      </c>
      <c r="E1626" s="821" t="s">
        <v>1474</v>
      </c>
      <c r="F1626" s="2582">
        <f>ROUND(((K2304*K2432*(1/K2560-1/K2688)*K2816)/1000)*$K$2834,2)</f>
        <v>819.34</v>
      </c>
      <c r="G1626" s="1787" t="s">
        <v>1314</v>
      </c>
      <c r="H1626" s="202">
        <f>VLOOKUP(G1626,'CP FACTORS'!$A$3:$B$38, 2, FALSE)</f>
        <v>9.4741810000000004E-4</v>
      </c>
      <c r="I1626" s="1757">
        <f t="shared" si="175"/>
        <v>0.776258</v>
      </c>
      <c r="J1626" s="141">
        <f t="shared" si="185"/>
        <v>12</v>
      </c>
      <c r="K1626" s="908">
        <f t="shared" si="186"/>
        <v>0</v>
      </c>
      <c r="L1626" s="909"/>
      <c r="M1626" s="1797"/>
      <c r="N1626" s="1794"/>
      <c r="O1626" s="1249"/>
      <c r="P1626" s="157"/>
      <c r="Q1626" s="157"/>
      <c r="R1626" s="1627"/>
      <c r="S1626" s="157"/>
      <c r="T1626" s="157"/>
      <c r="U1626" s="1798"/>
      <c r="V1626" s="2309" t="s">
        <v>20</v>
      </c>
      <c r="W1626" s="910">
        <v>819.34285714285704</v>
      </c>
      <c r="X1626" s="917">
        <v>819.34285714285704</v>
      </c>
      <c r="Y1626" s="825">
        <v>819.34</v>
      </c>
      <c r="Z1626" s="825">
        <v>819.34</v>
      </c>
      <c r="AA1626" s="825">
        <v>819.34</v>
      </c>
      <c r="AB1626" s="2582">
        <v>819.34</v>
      </c>
      <c r="AC1626" s="910"/>
      <c r="AD1626" s="910"/>
      <c r="AE1626" s="910"/>
      <c r="AF1626" s="910"/>
      <c r="AG1626" s="910"/>
      <c r="AH1626" s="211"/>
      <c r="AK1626" s="912"/>
      <c r="BB1626" s="822"/>
      <c r="BC1626" s="821" t="str">
        <f t="shared" si="176"/>
        <v>Cooling Res ER2 12 Year EUL</v>
      </c>
      <c r="BD1626" s="752">
        <f>(INDEX('Avoided Cost Benefits'!$C$4:$C$857,MATCH(BC1626,'Avoided Cost Benefits'!$A$4:$A$857,0)))*F1626</f>
        <v>968.72494742521508</v>
      </c>
      <c r="BE1626" s="73">
        <f t="shared" si="184"/>
        <v>0</v>
      </c>
      <c r="BG1626" s="776"/>
      <c r="BH1626" s="913"/>
      <c r="BI1626" s="776"/>
    </row>
    <row r="1627" spans="1:61" s="64" customFormat="1" x14ac:dyDescent="0.25">
      <c r="A1627" s="1393" t="str">
        <f t="shared" si="178"/>
        <v>354750_2019_12_Heating Res ER2</v>
      </c>
      <c r="B1627" s="157"/>
      <c r="C1627" s="1352" t="s">
        <v>1472</v>
      </c>
      <c r="D1627" s="1756" t="s">
        <v>740</v>
      </c>
      <c r="E1627" s="750" t="s">
        <v>1474</v>
      </c>
      <c r="F1627" s="2582">
        <f>ROUND(((K1792*K1920*(1/K2048-1/K2176)*K2816)/1000)*$K$2834,2)</f>
        <v>988.63</v>
      </c>
      <c r="G1627" s="1787" t="s">
        <v>1332</v>
      </c>
      <c r="H1627" s="202">
        <f>VLOOKUP(G1627,'CP FACTORS'!$A$3:$B$38, 2, FALSE)</f>
        <v>0</v>
      </c>
      <c r="I1627" s="1757">
        <f t="shared" si="175"/>
        <v>0</v>
      </c>
      <c r="J1627" s="141">
        <f t="shared" si="185"/>
        <v>12</v>
      </c>
      <c r="K1627" s="908">
        <f t="shared" si="186"/>
        <v>0</v>
      </c>
      <c r="L1627" s="909"/>
      <c r="M1627" s="1797"/>
      <c r="N1627" s="1794"/>
      <c r="O1627" s="1249"/>
      <c r="P1627" s="157"/>
      <c r="Q1627" s="157"/>
      <c r="R1627" s="1627"/>
      <c r="S1627" s="157"/>
      <c r="T1627" s="157"/>
      <c r="U1627" s="1798"/>
      <c r="V1627" s="2309" t="s">
        <v>20</v>
      </c>
      <c r="W1627" s="910">
        <v>1327.6421052631592</v>
      </c>
      <c r="X1627" s="911">
        <v>988.62747111681745</v>
      </c>
      <c r="Y1627" s="825">
        <v>988.63</v>
      </c>
      <c r="Z1627" s="825">
        <v>988.63</v>
      </c>
      <c r="AA1627" s="825">
        <v>988.63</v>
      </c>
      <c r="AB1627" s="2582">
        <v>988.63</v>
      </c>
      <c r="AC1627" s="910"/>
      <c r="AD1627" s="910"/>
      <c r="AE1627" s="910"/>
      <c r="AF1627" s="910"/>
      <c r="AG1627" s="910"/>
      <c r="AH1627" s="211"/>
      <c r="AK1627" s="912"/>
      <c r="BB1627" s="822"/>
      <c r="BC1627" s="750" t="str">
        <f t="shared" si="176"/>
        <v>Heating Res ER2 12 Year EUL</v>
      </c>
      <c r="BD1627" s="752">
        <f>(INDEX('Avoided Cost Benefits'!$C$4:$C$857,MATCH(BC1627,'Avoided Cost Benefits'!$A$4:$A$857,0)))*F1627</f>
        <v>292.32068834834126</v>
      </c>
      <c r="BE1627" s="73">
        <f t="shared" si="184"/>
        <v>0</v>
      </c>
      <c r="BG1627" s="776"/>
      <c r="BH1627" s="913"/>
      <c r="BI1627" s="776"/>
    </row>
    <row r="1628" spans="1:61" s="64" customFormat="1" x14ac:dyDescent="0.25">
      <c r="A1628" s="1393" t="str">
        <f t="shared" si="178"/>
        <v>354800_2019_12_Cooling Res</v>
      </c>
      <c r="B1628" s="157"/>
      <c r="C1628" s="1352" t="s">
        <v>1475</v>
      </c>
      <c r="D1628" s="1756" t="s">
        <v>740</v>
      </c>
      <c r="E1628" s="797" t="s">
        <v>1476</v>
      </c>
      <c r="F1628" s="2582">
        <f>ROUND(((K2305*K2433*(1/K2561-1/K2689)*K2817)/1000)*$K$2834,2)</f>
        <v>819.34</v>
      </c>
      <c r="G1628" s="263" t="s">
        <v>1273</v>
      </c>
      <c r="H1628" s="202">
        <f>VLOOKUP(G1628,'CP FACTORS'!$A$3:$B$38, 2, FALSE)</f>
        <v>9.4741810000000004E-4</v>
      </c>
      <c r="I1628" s="1757">
        <f t="shared" si="175"/>
        <v>0.776258</v>
      </c>
      <c r="J1628" s="141">
        <f t="shared" si="185"/>
        <v>18</v>
      </c>
      <c r="K1628" s="908">
        <f t="shared" si="186"/>
        <v>1689.9245999999991</v>
      </c>
      <c r="L1628" s="909">
        <f>L1793</f>
        <v>3.3</v>
      </c>
      <c r="M1628" s="1797"/>
      <c r="N1628" s="1794"/>
      <c r="O1628" s="1249"/>
      <c r="P1628" s="157"/>
      <c r="Q1628" s="157"/>
      <c r="R1628" s="1627"/>
      <c r="S1628" s="157"/>
      <c r="T1628" s="157"/>
      <c r="U1628" s="1798"/>
      <c r="V1628" s="2309" t="s">
        <v>20</v>
      </c>
      <c r="W1628" s="910">
        <v>819.34285714285704</v>
      </c>
      <c r="X1628" s="917">
        <v>819.34285714285704</v>
      </c>
      <c r="Y1628" s="825">
        <v>819.34</v>
      </c>
      <c r="Z1628" s="825">
        <v>819.34</v>
      </c>
      <c r="AA1628" s="825">
        <v>819.34</v>
      </c>
      <c r="AB1628" s="2582">
        <v>819.34</v>
      </c>
      <c r="AC1628" s="910"/>
      <c r="AD1628" s="910"/>
      <c r="AE1628" s="910"/>
      <c r="AF1628" s="910"/>
      <c r="AG1628" s="910"/>
      <c r="AH1628" s="211"/>
      <c r="AK1628" s="912"/>
      <c r="BB1628" s="293">
        <f>(BD1628+BD1629)/(BE1628+BE1629)</f>
        <v>1.2477049469596688</v>
      </c>
      <c r="BC1628" s="797" t="str">
        <f t="shared" si="176"/>
        <v>Cooling Res 18 Year EUL</v>
      </c>
      <c r="BD1628" s="752">
        <f>(INDEX('Avoided Cost Benefits'!$C$4:$C$857,MATCH(BC1628,'Avoided Cost Benefits'!$A$4:$A$857,0)))*F1628</f>
        <v>1445.1581814843839</v>
      </c>
      <c r="BE1628" s="73">
        <f t="shared" si="184"/>
        <v>1595.0208588957046</v>
      </c>
      <c r="BG1628" s="776"/>
      <c r="BH1628" s="913"/>
      <c r="BI1628" s="776"/>
    </row>
    <row r="1629" spans="1:61" s="64" customFormat="1" x14ac:dyDescent="0.25">
      <c r="A1629" s="1393" t="str">
        <f t="shared" si="178"/>
        <v>354800_2019_12_Heating Res</v>
      </c>
      <c r="B1629" s="157"/>
      <c r="C1629" s="1352" t="s">
        <v>1475</v>
      </c>
      <c r="D1629" s="1756" t="s">
        <v>740</v>
      </c>
      <c r="E1629" s="914" t="s">
        <v>1476</v>
      </c>
      <c r="F1629" s="2582">
        <f>ROUND(((K1793*K1921*(1/K2049-1/K2177)*K2817)/1000)*$K$2834,2)</f>
        <v>1179.52</v>
      </c>
      <c r="G1629" s="263" t="s">
        <v>1275</v>
      </c>
      <c r="H1629" s="202">
        <f>VLOOKUP(G1629,'CP FACTORS'!$A$3:$B$38, 2, FALSE)</f>
        <v>0</v>
      </c>
      <c r="I1629" s="1757">
        <f t="shared" si="175"/>
        <v>0</v>
      </c>
      <c r="J1629" s="141">
        <f t="shared" si="185"/>
        <v>18</v>
      </c>
      <c r="K1629" s="908">
        <f t="shared" si="186"/>
        <v>0</v>
      </c>
      <c r="L1629" s="909"/>
      <c r="M1629" s="1797"/>
      <c r="N1629" s="1794"/>
      <c r="O1629" s="1249"/>
      <c r="P1629" s="157"/>
      <c r="Q1629" s="157"/>
      <c r="R1629" s="1627"/>
      <c r="S1629" s="157"/>
      <c r="T1629" s="157"/>
      <c r="U1629" s="1798"/>
      <c r="V1629" s="2309" t="s">
        <v>20</v>
      </c>
      <c r="W1629" s="910">
        <v>1584.0000000000018</v>
      </c>
      <c r="X1629" s="911">
        <v>1179.5241413638641</v>
      </c>
      <c r="Y1629" s="825">
        <v>1179.52</v>
      </c>
      <c r="Z1629" s="825">
        <v>1179.52</v>
      </c>
      <c r="AA1629" s="825">
        <v>1179.52</v>
      </c>
      <c r="AB1629" s="2582">
        <v>1179.52</v>
      </c>
      <c r="AC1629" s="910"/>
      <c r="AD1629" s="910"/>
      <c r="AE1629" s="910"/>
      <c r="AF1629" s="910"/>
      <c r="AG1629" s="910"/>
      <c r="AH1629" s="211"/>
      <c r="AK1629" s="912"/>
      <c r="BB1629" s="291"/>
      <c r="BC1629" s="914" t="str">
        <f t="shared" si="176"/>
        <v>Heating Res 18 Year EUL</v>
      </c>
      <c r="BD1629" s="752">
        <f>(INDEX('Avoided Cost Benefits'!$C$4:$C$857,MATCH(BC1629,'Avoided Cost Benefits'!$A$4:$A$857,0)))*F1629</f>
        <v>544.95723466364666</v>
      </c>
      <c r="BE1629" s="73">
        <f t="shared" si="184"/>
        <v>0</v>
      </c>
      <c r="BG1629" s="776"/>
      <c r="BH1629" s="913"/>
      <c r="BI1629" s="776"/>
    </row>
    <row r="1630" spans="1:61" s="64" customFormat="1" x14ac:dyDescent="0.25">
      <c r="A1630" s="1393" t="str">
        <f t="shared" si="178"/>
        <v>354850_2019_12_Cooling Res</v>
      </c>
      <c r="B1630" s="157"/>
      <c r="C1630" s="1352" t="s">
        <v>1477</v>
      </c>
      <c r="D1630" s="1756" t="s">
        <v>742</v>
      </c>
      <c r="E1630" s="797" t="s">
        <v>1478</v>
      </c>
      <c r="F1630" s="2582">
        <f>ROUND((($K$2306*$K$2434*(1/$K$2562-1/$K$2690)*$K$2818)/1000)*$K$2834,2)</f>
        <v>556.16</v>
      </c>
      <c r="G1630" s="263" t="s">
        <v>1273</v>
      </c>
      <c r="H1630" s="202">
        <f>VLOOKUP(G1630,'CP FACTORS'!$A$3:$B$38, 2, FALSE)</f>
        <v>9.4741810000000004E-4</v>
      </c>
      <c r="I1630" s="1757">
        <f t="shared" si="175"/>
        <v>0.52691600000000005</v>
      </c>
      <c r="J1630" s="141">
        <f t="shared" si="185"/>
        <v>18</v>
      </c>
      <c r="K1630" s="908">
        <f t="shared" si="186"/>
        <v>1689.9245999999991</v>
      </c>
      <c r="L1630" s="909">
        <f>L1794</f>
        <v>2.8</v>
      </c>
      <c r="M1630" s="1797"/>
      <c r="N1630" s="1794"/>
      <c r="O1630" s="1249"/>
      <c r="P1630" s="157"/>
      <c r="Q1630" s="157"/>
      <c r="R1630" s="1627"/>
      <c r="S1630" s="157"/>
      <c r="T1630" s="157"/>
      <c r="U1630" s="1798"/>
      <c r="V1630" s="2309" t="s">
        <v>20</v>
      </c>
      <c r="W1630" s="910">
        <v>556.1600000000002</v>
      </c>
      <c r="X1630" s="917">
        <v>556.1600000000002</v>
      </c>
      <c r="Y1630" s="825">
        <v>556.16</v>
      </c>
      <c r="Z1630" s="825">
        <v>556.16</v>
      </c>
      <c r="AA1630" s="825">
        <v>556.16</v>
      </c>
      <c r="AB1630" s="2582">
        <v>556.16</v>
      </c>
      <c r="AC1630" s="910"/>
      <c r="AD1630" s="910"/>
      <c r="AE1630" s="910"/>
      <c r="AF1630" s="910"/>
      <c r="AG1630" s="910"/>
      <c r="AH1630" s="211"/>
      <c r="AK1630" s="912"/>
      <c r="BB1630" s="293">
        <f>(BD1630+BD1631)/(BE1630+BE1631)</f>
        <v>2.4147120897912031</v>
      </c>
      <c r="BC1630" s="797" t="str">
        <f t="shared" si="176"/>
        <v>Cooling Res 18 Year EUL</v>
      </c>
      <c r="BD1630" s="752">
        <f>(INDEX('Avoided Cost Benefits'!$C$4:$C$857,MATCH(BC1630,'Avoided Cost Benefits'!$A$4:$A$857,0)))*F1630</f>
        <v>980.95927724065086</v>
      </c>
      <c r="BE1630" s="73">
        <f t="shared" si="184"/>
        <v>1595.0208588957046</v>
      </c>
      <c r="BG1630" s="776"/>
      <c r="BH1630" s="913"/>
      <c r="BI1630" s="776"/>
    </row>
    <row r="1631" spans="1:61" s="64" customFormat="1" x14ac:dyDescent="0.25">
      <c r="A1631" s="1393" t="str">
        <f t="shared" si="178"/>
        <v>354850_2019_12_Heating Res</v>
      </c>
      <c r="B1631" s="157"/>
      <c r="C1631" s="1352" t="s">
        <v>1477</v>
      </c>
      <c r="D1631" s="1756" t="s">
        <v>742</v>
      </c>
      <c r="E1631" s="914" t="s">
        <v>1478</v>
      </c>
      <c r="F1631" s="2582">
        <f>ROUND((($K$1794*$K$1922*(1/$K$2050-1/$K$2178)*$K$2818)/1000)*$K$2834,2)</f>
        <v>6213.11</v>
      </c>
      <c r="G1631" s="263" t="s">
        <v>1275</v>
      </c>
      <c r="H1631" s="202">
        <f>VLOOKUP(G1631,'CP FACTORS'!$A$3:$B$38, 2, FALSE)</f>
        <v>0</v>
      </c>
      <c r="I1631" s="1757">
        <f t="shared" si="175"/>
        <v>0</v>
      </c>
      <c r="J1631" s="141">
        <f t="shared" si="185"/>
        <v>18</v>
      </c>
      <c r="K1631" s="908">
        <f t="shared" si="186"/>
        <v>0</v>
      </c>
      <c r="L1631" s="909"/>
      <c r="M1631" s="1797"/>
      <c r="N1631" s="1794"/>
      <c r="O1631" s="1249"/>
      <c r="P1631" s="157"/>
      <c r="Q1631" s="157"/>
      <c r="R1631" s="1627"/>
      <c r="S1631" s="157"/>
      <c r="T1631" s="157"/>
      <c r="U1631" s="1798"/>
      <c r="V1631" s="2309" t="s">
        <v>20</v>
      </c>
      <c r="W1631" s="910">
        <v>8343.6696919309452</v>
      </c>
      <c r="X1631" s="911">
        <v>6213.105952776853</v>
      </c>
      <c r="Y1631" s="825">
        <v>6213.11</v>
      </c>
      <c r="Z1631" s="825">
        <v>6213.11</v>
      </c>
      <c r="AA1631" s="825">
        <v>6213.11</v>
      </c>
      <c r="AB1631" s="2582">
        <v>6213.11</v>
      </c>
      <c r="AC1631" s="910"/>
      <c r="AD1631" s="910"/>
      <c r="AE1631" s="910"/>
      <c r="AF1631" s="910"/>
      <c r="AG1631" s="910"/>
      <c r="AH1631" s="211"/>
      <c r="AK1631" s="912"/>
      <c r="BB1631" s="291"/>
      <c r="BC1631" s="914" t="str">
        <f t="shared" si="176"/>
        <v>Heating Res 18 Year EUL</v>
      </c>
      <c r="BD1631" s="752">
        <f>(INDEX('Avoided Cost Benefits'!$C$4:$C$857,MATCH(BC1631,'Avoided Cost Benefits'!$A$4:$A$857,0)))*F1631</f>
        <v>2870.5568742039554</v>
      </c>
      <c r="BE1631" s="73">
        <f t="shared" si="184"/>
        <v>0</v>
      </c>
      <c r="BG1631" s="776"/>
      <c r="BH1631" s="913"/>
      <c r="BI1631" s="776"/>
    </row>
    <row r="1632" spans="1:61" s="64" customFormat="1" x14ac:dyDescent="0.25">
      <c r="A1632" s="1393" t="str">
        <f t="shared" si="178"/>
        <v>354851_2019_12_Cooling Res</v>
      </c>
      <c r="B1632" s="157"/>
      <c r="C1632" s="1352" t="s">
        <v>1479</v>
      </c>
      <c r="D1632" s="1756" t="s">
        <v>737</v>
      </c>
      <c r="E1632" s="742" t="str">
        <f>CONCATENATE(E1630,"_CompE")</f>
        <v>ASHP - SEER 21 - replace electric furnace / CAC MF_CompE</v>
      </c>
      <c r="F1632" s="2582">
        <f>ROUND((($K$2307*$K$2435*(1/$K$2563-1/$K$2691)*$K$2819)/1000)*$K$2834,2)</f>
        <v>404.48</v>
      </c>
      <c r="G1632" s="263" t="str">
        <f>G1630</f>
        <v>Cooling Res</v>
      </c>
      <c r="H1632" s="202">
        <f t="shared" ref="H1632:K1633" si="187">H1630</f>
        <v>9.4741810000000004E-4</v>
      </c>
      <c r="I1632" s="1801">
        <f t="shared" si="175"/>
        <v>0.383212</v>
      </c>
      <c r="J1632" s="141">
        <f t="shared" si="187"/>
        <v>18</v>
      </c>
      <c r="K1632" s="908">
        <f t="shared" si="187"/>
        <v>1689.9245999999991</v>
      </c>
      <c r="L1632" s="909">
        <f>L1630</f>
        <v>2.8</v>
      </c>
      <c r="M1632" s="1797"/>
      <c r="N1632" s="1794"/>
      <c r="O1632" s="1249"/>
      <c r="P1632" s="157"/>
      <c r="Q1632" s="157"/>
      <c r="R1632" s="1627"/>
      <c r="S1632" s="157"/>
      <c r="T1632" s="157"/>
      <c r="U1632" s="1798"/>
      <c r="V1632" s="2309" t="s">
        <v>20</v>
      </c>
      <c r="W1632" s="910"/>
      <c r="X1632" s="911"/>
      <c r="Y1632" s="830">
        <v>404.48</v>
      </c>
      <c r="Z1632" s="825">
        <v>404.48</v>
      </c>
      <c r="AA1632" s="825">
        <v>404.48</v>
      </c>
      <c r="AB1632" s="2582">
        <v>404.48</v>
      </c>
      <c r="AC1632" s="910"/>
      <c r="AD1632" s="910"/>
      <c r="AE1632" s="910"/>
      <c r="AF1632" s="910"/>
      <c r="AG1632" s="910"/>
      <c r="AH1632" s="211"/>
      <c r="AK1632" s="912"/>
      <c r="BB1632" s="293">
        <f>(BD1632+BD1633)/(BE1632+BE1633)</f>
        <v>1.0608144895170573</v>
      </c>
      <c r="BC1632" s="797" t="str">
        <f t="shared" si="176"/>
        <v>Cooling Res 18 Year EUL</v>
      </c>
      <c r="BD1632" s="752">
        <f>(INDEX('Avoided Cost Benefits'!$C$4:$C$857,MATCH(BC1632,'Avoided Cost Benefits'!$A$4:$A$857,0)))*F1632</f>
        <v>713.42492890229164</v>
      </c>
      <c r="BE1632" s="73">
        <f t="shared" si="184"/>
        <v>1595.0208588957046</v>
      </c>
      <c r="BG1632" s="776"/>
      <c r="BH1632" s="916"/>
      <c r="BI1632" s="776"/>
    </row>
    <row r="1633" spans="1:61" s="64" customFormat="1" x14ac:dyDescent="0.25">
      <c r="A1633" s="1393" t="str">
        <f t="shared" si="178"/>
        <v>354851_2019_12_Heating Res</v>
      </c>
      <c r="B1633" s="157"/>
      <c r="C1633" s="1352" t="str">
        <f>C1632</f>
        <v>354851_2019_12_</v>
      </c>
      <c r="D1633" s="1756" t="s">
        <v>737</v>
      </c>
      <c r="E1633" s="750" t="str">
        <f>CONCATENATE(E1631,"_CompE")</f>
        <v>ASHP - SEER 21 - replace electric furnace / CAC MF_CompE</v>
      </c>
      <c r="F1633" s="2582">
        <f>ROUND((($K$1795*$K$1923*(1/$K$2051-1/$K$2179)*$K$2819)/1000)*$K$2834,2)</f>
        <v>2118.1</v>
      </c>
      <c r="G1633" s="263" t="str">
        <f>G1631</f>
        <v>Heating Res</v>
      </c>
      <c r="H1633" s="202">
        <f t="shared" si="187"/>
        <v>0</v>
      </c>
      <c r="I1633" s="1801">
        <f t="shared" si="175"/>
        <v>0</v>
      </c>
      <c r="J1633" s="141">
        <f t="shared" si="187"/>
        <v>18</v>
      </c>
      <c r="K1633" s="908">
        <f t="shared" si="187"/>
        <v>0</v>
      </c>
      <c r="L1633" s="909"/>
      <c r="M1633" s="1797"/>
      <c r="N1633" s="1794"/>
      <c r="O1633" s="1249"/>
      <c r="P1633" s="157"/>
      <c r="Q1633" s="157"/>
      <c r="R1633" s="1627"/>
      <c r="S1633" s="157"/>
      <c r="T1633" s="157"/>
      <c r="U1633" s="1798"/>
      <c r="V1633" s="2309" t="s">
        <v>20</v>
      </c>
      <c r="W1633" s="910"/>
      <c r="X1633" s="911"/>
      <c r="Y1633" s="830">
        <v>2118.1</v>
      </c>
      <c r="Z1633" s="825">
        <v>2118.1</v>
      </c>
      <c r="AA1633" s="825">
        <v>2118.1</v>
      </c>
      <c r="AB1633" s="2582">
        <v>2118.1</v>
      </c>
      <c r="AC1633" s="910"/>
      <c r="AD1633" s="910"/>
      <c r="AE1633" s="910"/>
      <c r="AF1633" s="910"/>
      <c r="AG1633" s="910"/>
      <c r="AH1633" s="211"/>
      <c r="AK1633" s="912"/>
      <c r="BB1633" s="291"/>
      <c r="BC1633" s="914" t="str">
        <f t="shared" si="176"/>
        <v>Heating Res 18 Year EUL</v>
      </c>
      <c r="BD1633" s="752">
        <f>(INDEX('Avoided Cost Benefits'!$C$4:$C$857,MATCH(BC1633,'Avoided Cost Benefits'!$A$4:$A$857,0)))*F1633</f>
        <v>978.59630929621369</v>
      </c>
      <c r="BE1633" s="73">
        <f t="shared" si="184"/>
        <v>0</v>
      </c>
      <c r="BG1633" s="776"/>
      <c r="BH1633" s="916"/>
      <c r="BI1633" s="776"/>
    </row>
    <row r="1634" spans="1:61" s="64" customFormat="1" x14ac:dyDescent="0.25">
      <c r="A1634" s="1393" t="str">
        <f t="shared" si="178"/>
        <v>354900_2019_12_Cooling Res</v>
      </c>
      <c r="B1634" s="157"/>
      <c r="C1634" s="1352" t="s">
        <v>1480</v>
      </c>
      <c r="D1634" s="1756" t="s">
        <v>742</v>
      </c>
      <c r="E1634" s="742" t="s">
        <v>1481</v>
      </c>
      <c r="F1634" s="2582">
        <f>ROUND(((K2308*K2436*(1/K2564-1/K2692)*K2820)/1000)*$K$2834,2)</f>
        <v>1620.1</v>
      </c>
      <c r="G1634" s="263" t="s">
        <v>1273</v>
      </c>
      <c r="H1634" s="202">
        <f>VLOOKUP(G1634,'CP FACTORS'!$A$3:$B$38, 2, FALSE)</f>
        <v>9.4741810000000004E-4</v>
      </c>
      <c r="I1634" s="1757">
        <f t="shared" si="175"/>
        <v>1.5349120000000001</v>
      </c>
      <c r="J1634" s="141">
        <f>K2991</f>
        <v>6</v>
      </c>
      <c r="K1634" s="908">
        <f>K3161</f>
        <v>2202.4463238752733</v>
      </c>
      <c r="L1634" s="909">
        <f>L1796</f>
        <v>3.3</v>
      </c>
      <c r="M1634" s="1797"/>
      <c r="N1634" s="1794"/>
      <c r="O1634" s="1249"/>
      <c r="P1634" s="157"/>
      <c r="Q1634" s="157"/>
      <c r="R1634" s="1627"/>
      <c r="S1634" s="157"/>
      <c r="T1634" s="157"/>
      <c r="U1634" s="1798"/>
      <c r="V1634" s="2309" t="s">
        <v>20</v>
      </c>
      <c r="W1634" s="910">
        <v>2041.5292857142858</v>
      </c>
      <c r="X1634" s="911">
        <v>1620.0955822328933</v>
      </c>
      <c r="Y1634" s="825">
        <v>1620.1</v>
      </c>
      <c r="Z1634" s="825">
        <v>1620.1</v>
      </c>
      <c r="AA1634" s="825">
        <v>1620.1</v>
      </c>
      <c r="AB1634" s="2582">
        <v>1620.1</v>
      </c>
      <c r="AC1634" s="910"/>
      <c r="AD1634" s="910"/>
      <c r="AE1634" s="910"/>
      <c r="AF1634" s="910"/>
      <c r="AG1634" s="910"/>
      <c r="AH1634" s="211"/>
      <c r="AK1634" s="912"/>
      <c r="BB1634" s="293">
        <f>(BD1634+BD1635+BD1636+BD1637)/(BE1634+BE1635+BE1636+BE1637)</f>
        <v>0.99142521406446316</v>
      </c>
      <c r="BC1634" s="742" t="str">
        <f t="shared" si="176"/>
        <v>Cooling Res 6 Year EUL</v>
      </c>
      <c r="BD1634" s="752">
        <f>(INDEX('Avoided Cost Benefits'!$C$4:$C$857,MATCH(BC1634,'Avoided Cost Benefits'!$A$4:$A$857,0)))*F1634</f>
        <v>942.06249237100542</v>
      </c>
      <c r="BE1634" s="73">
        <f t="shared" si="184"/>
        <v>2078.7600980417869</v>
      </c>
      <c r="BG1634" s="776"/>
      <c r="BH1634" s="913"/>
      <c r="BI1634" s="776"/>
    </row>
    <row r="1635" spans="1:61" s="64" customFormat="1" x14ac:dyDescent="0.25">
      <c r="A1635" s="1393" t="str">
        <f t="shared" si="178"/>
        <v>354900_2019_12_Heating Res</v>
      </c>
      <c r="B1635" s="157"/>
      <c r="C1635" s="1352" t="s">
        <v>1480</v>
      </c>
      <c r="D1635" s="1756" t="s">
        <v>742</v>
      </c>
      <c r="E1635" s="821" t="s">
        <v>1481</v>
      </c>
      <c r="F1635" s="2582">
        <f>ROUND(((K1796*K1924*(1/K2052-1/K2180)*K2820)/1000)*$K$2834,2)</f>
        <v>1798.76</v>
      </c>
      <c r="G1635" s="263" t="s">
        <v>1275</v>
      </c>
      <c r="H1635" s="202">
        <f>VLOOKUP(G1635,'CP FACTORS'!$A$3:$B$38, 2, FALSE)</f>
        <v>0</v>
      </c>
      <c r="I1635" s="1757">
        <f t="shared" si="175"/>
        <v>0</v>
      </c>
      <c r="J1635" s="141">
        <f>K2992</f>
        <v>6</v>
      </c>
      <c r="K1635" s="908">
        <f>K3162</f>
        <v>0</v>
      </c>
      <c r="L1635" s="909"/>
      <c r="M1635" s="1797"/>
      <c r="N1635" s="1794"/>
      <c r="O1635" s="1249"/>
      <c r="P1635" s="157"/>
      <c r="Q1635" s="157"/>
      <c r="R1635" s="1627"/>
      <c r="S1635" s="157"/>
      <c r="T1635" s="157"/>
      <c r="U1635" s="1798"/>
      <c r="V1635" s="2309" t="s">
        <v>20</v>
      </c>
      <c r="W1635" s="910">
        <v>4062.4872213622284</v>
      </c>
      <c r="X1635" s="911">
        <v>1798.7611070228763</v>
      </c>
      <c r="Y1635" s="825">
        <v>1798.76</v>
      </c>
      <c r="Z1635" s="825">
        <v>1798.76</v>
      </c>
      <c r="AA1635" s="825">
        <v>1798.76</v>
      </c>
      <c r="AB1635" s="2582">
        <v>1798.76</v>
      </c>
      <c r="AC1635" s="910"/>
      <c r="AD1635" s="910"/>
      <c r="AE1635" s="910"/>
      <c r="AF1635" s="910"/>
      <c r="AG1635" s="910"/>
      <c r="AH1635" s="211"/>
      <c r="AK1635" s="912"/>
      <c r="BB1635" s="822"/>
      <c r="BC1635" s="821" t="str">
        <f t="shared" si="176"/>
        <v>Heating Res 6 Year EUL</v>
      </c>
      <c r="BD1635" s="752">
        <f>(INDEX('Avoided Cost Benefits'!$C$4:$C$857,MATCH(BC1635,'Avoided Cost Benefits'!$A$4:$A$857,0)))*F1635</f>
        <v>299.19405404813961</v>
      </c>
      <c r="BE1635" s="73">
        <f t="shared" si="184"/>
        <v>0</v>
      </c>
      <c r="BG1635" s="776"/>
      <c r="BH1635" s="913"/>
      <c r="BI1635" s="776"/>
    </row>
    <row r="1636" spans="1:61" s="64" customFormat="1" x14ac:dyDescent="0.25">
      <c r="A1636" s="1393" t="str">
        <f t="shared" si="178"/>
        <v>354900_2019_12_Cooling Res ER2</v>
      </c>
      <c r="B1636" s="157"/>
      <c r="C1636" s="1352" t="s">
        <v>1480</v>
      </c>
      <c r="D1636" s="1756" t="s">
        <v>742</v>
      </c>
      <c r="E1636" s="821" t="s">
        <v>1482</v>
      </c>
      <c r="F1636" s="2582">
        <f>ROUND(((K2309*K2437*(1/K2565-1/K2693)*K2821)/1000)*$K$2834,2)</f>
        <v>532.57000000000005</v>
      </c>
      <c r="G1636" s="1787" t="s">
        <v>1314</v>
      </c>
      <c r="H1636" s="202">
        <f>VLOOKUP(G1636,'CP FACTORS'!$A$3:$B$38, 2, FALSE)</f>
        <v>9.4741810000000004E-4</v>
      </c>
      <c r="I1636" s="1757">
        <f t="shared" si="175"/>
        <v>0.50456599999999996</v>
      </c>
      <c r="J1636" s="141">
        <f>K2993</f>
        <v>12</v>
      </c>
      <c r="K1636" s="908">
        <f>K3163</f>
        <v>0</v>
      </c>
      <c r="L1636" s="909"/>
      <c r="M1636" s="1797"/>
      <c r="N1636" s="1794"/>
      <c r="O1636" s="1249"/>
      <c r="P1636" s="157"/>
      <c r="Q1636" s="157"/>
      <c r="R1636" s="1627"/>
      <c r="S1636" s="157"/>
      <c r="T1636" s="157"/>
      <c r="U1636" s="1798"/>
      <c r="V1636" s="2309" t="s">
        <v>20</v>
      </c>
      <c r="W1636" s="910">
        <v>532.57285714285706</v>
      </c>
      <c r="X1636" s="917">
        <v>532.57285714285706</v>
      </c>
      <c r="Y1636" s="825">
        <v>532.57000000000005</v>
      </c>
      <c r="Z1636" s="825">
        <v>532.57000000000005</v>
      </c>
      <c r="AA1636" s="825">
        <v>532.57000000000005</v>
      </c>
      <c r="AB1636" s="2582">
        <v>532.57000000000005</v>
      </c>
      <c r="AC1636" s="910"/>
      <c r="AD1636" s="910"/>
      <c r="AE1636" s="910"/>
      <c r="AF1636" s="910"/>
      <c r="AG1636" s="910"/>
      <c r="AH1636" s="211"/>
      <c r="AK1636" s="912"/>
      <c r="BB1636" s="822"/>
      <c r="BC1636" s="821" t="str">
        <f t="shared" si="176"/>
        <v>Cooling Res ER2 12 Year EUL</v>
      </c>
      <c r="BD1636" s="752">
        <f>(INDEX('Avoided Cost Benefits'!$C$4:$C$857,MATCH(BC1636,'Avoided Cost Benefits'!$A$4:$A$857,0)))*F1636</f>
        <v>629.67003350287655</v>
      </c>
      <c r="BE1636" s="73">
        <f t="shared" si="184"/>
        <v>0</v>
      </c>
      <c r="BG1636" s="776"/>
      <c r="BH1636" s="913"/>
      <c r="BI1636" s="776"/>
    </row>
    <row r="1637" spans="1:61" s="64" customFormat="1" x14ac:dyDescent="0.25">
      <c r="A1637" s="1393" t="str">
        <f t="shared" si="178"/>
        <v>354900_2019_12_Heating Res ER2</v>
      </c>
      <c r="B1637" s="157"/>
      <c r="C1637" s="1352" t="s">
        <v>1480</v>
      </c>
      <c r="D1637" s="1756" t="s">
        <v>742</v>
      </c>
      <c r="E1637" s="750" t="s">
        <v>1482</v>
      </c>
      <c r="F1637" s="2582">
        <f>ROUND(((K1797*K1925*(1/K2053-1/K2181)*K2821)/1000)*$K$2834,2)</f>
        <v>642.61</v>
      </c>
      <c r="G1637" s="1787" t="s">
        <v>1332</v>
      </c>
      <c r="H1637" s="202">
        <f>VLOOKUP(G1637,'CP FACTORS'!$A$3:$B$38, 2, FALSE)</f>
        <v>0</v>
      </c>
      <c r="I1637" s="1757">
        <f t="shared" si="175"/>
        <v>0</v>
      </c>
      <c r="J1637" s="141">
        <f>K2994</f>
        <v>12</v>
      </c>
      <c r="K1637" s="908">
        <f>K3164</f>
        <v>0</v>
      </c>
      <c r="L1637" s="909"/>
      <c r="M1637" s="1797"/>
      <c r="N1637" s="1794"/>
      <c r="O1637" s="1249"/>
      <c r="P1637" s="157"/>
      <c r="Q1637" s="157"/>
      <c r="R1637" s="1627"/>
      <c r="S1637" s="157"/>
      <c r="T1637" s="157"/>
      <c r="U1637" s="1798"/>
      <c r="V1637" s="2309" t="s">
        <v>20</v>
      </c>
      <c r="W1637" s="910">
        <v>862.96736842105349</v>
      </c>
      <c r="X1637" s="911">
        <v>642.6078562259313</v>
      </c>
      <c r="Y1637" s="825">
        <v>642.61</v>
      </c>
      <c r="Z1637" s="825">
        <v>642.61</v>
      </c>
      <c r="AA1637" s="825">
        <v>642.61</v>
      </c>
      <c r="AB1637" s="2582">
        <v>642.61</v>
      </c>
      <c r="AC1637" s="910"/>
      <c r="AD1637" s="910"/>
      <c r="AE1637" s="910"/>
      <c r="AF1637" s="910"/>
      <c r="AG1637" s="910"/>
      <c r="AH1637" s="211"/>
      <c r="AK1637" s="912"/>
      <c r="BB1637" s="822"/>
      <c r="BC1637" s="750" t="str">
        <f t="shared" si="176"/>
        <v>Heating Res ER2 12 Year EUL</v>
      </c>
      <c r="BD1637" s="752">
        <f>(INDEX('Avoided Cost Benefits'!$C$4:$C$857,MATCH(BC1637,'Avoided Cost Benefits'!$A$4:$A$857,0)))*F1637</f>
        <v>190.00859526772157</v>
      </c>
      <c r="BE1637" s="73">
        <f t="shared" si="184"/>
        <v>0</v>
      </c>
      <c r="BG1637" s="776"/>
      <c r="BH1637" s="913"/>
      <c r="BI1637" s="776"/>
    </row>
    <row r="1638" spans="1:61" s="64" customFormat="1" x14ac:dyDescent="0.25">
      <c r="A1638" s="1393" t="str">
        <f t="shared" si="178"/>
        <v>354901_2019_12_Cooling Res</v>
      </c>
      <c r="B1638" s="157"/>
      <c r="C1638" s="1352" t="s">
        <v>1483</v>
      </c>
      <c r="D1638" s="1756" t="s">
        <v>737</v>
      </c>
      <c r="E1638" s="742" t="str">
        <f>CONCATENATE(E1634,"_CompE")</f>
        <v>ASHP SEER 21 replace ASHP - early replacement MF ER1_CompE</v>
      </c>
      <c r="F1638" s="2582">
        <f>ROUND((($K$2310*$K$2438*(1/$K$2566-1/$K$2694)*$K$2822)/1000)*$K$2834,2)</f>
        <v>1178.25</v>
      </c>
      <c r="G1638" s="263" t="str">
        <f t="shared" ref="G1638:K1641" si="188">G1634</f>
        <v>Cooling Res</v>
      </c>
      <c r="H1638" s="202">
        <f t="shared" si="188"/>
        <v>9.4741810000000004E-4</v>
      </c>
      <c r="I1638" s="1801">
        <f t="shared" si="175"/>
        <v>1.116295</v>
      </c>
      <c r="J1638" s="141">
        <f>J1634</f>
        <v>6</v>
      </c>
      <c r="K1638" s="908">
        <f>K1634</f>
        <v>2202.4463238752733</v>
      </c>
      <c r="L1638" s="909">
        <f>L1634</f>
        <v>3.3</v>
      </c>
      <c r="M1638" s="1797"/>
      <c r="N1638" s="1794"/>
      <c r="O1638" s="1249"/>
      <c r="P1638" s="157"/>
      <c r="Q1638" s="157"/>
      <c r="R1638" s="1627"/>
      <c r="S1638" s="157"/>
      <c r="T1638" s="157"/>
      <c r="U1638" s="1798"/>
      <c r="V1638" s="2309" t="s">
        <v>20</v>
      </c>
      <c r="W1638" s="910"/>
      <c r="X1638" s="911"/>
      <c r="Y1638" s="830">
        <v>1178.25</v>
      </c>
      <c r="Z1638" s="825">
        <v>1178.25</v>
      </c>
      <c r="AA1638" s="825">
        <v>1178.25</v>
      </c>
      <c r="AB1638" s="2582">
        <v>1178.25</v>
      </c>
      <c r="AC1638" s="910"/>
      <c r="AD1638" s="910"/>
      <c r="AE1638" s="910"/>
      <c r="AF1638" s="910"/>
      <c r="AG1638" s="910"/>
      <c r="AH1638" s="211"/>
      <c r="AK1638" s="912"/>
      <c r="BB1638" s="293">
        <f>(BD1638+BD1639+BD1640+BD1641)/(BE1638+BE1639+BE1640+BE1641)</f>
        <v>0.63011390195139227</v>
      </c>
      <c r="BC1638" s="742" t="str">
        <f t="shared" si="176"/>
        <v>Cooling Res 6 Year EUL</v>
      </c>
      <c r="BD1638" s="752">
        <f>(INDEX('Avoided Cost Benefits'!$C$4:$C$857,MATCH(BC1638,'Avoided Cost Benefits'!$A$4:$A$857,0)))*F1638</f>
        <v>685.13371497817241</v>
      </c>
      <c r="BE1638" s="73">
        <f t="shared" si="184"/>
        <v>2078.7600980417869</v>
      </c>
      <c r="BG1638" s="776"/>
      <c r="BH1638" s="916"/>
      <c r="BI1638" s="776"/>
    </row>
    <row r="1639" spans="1:61" s="64" customFormat="1" x14ac:dyDescent="0.25">
      <c r="A1639" s="1393" t="str">
        <f t="shared" si="178"/>
        <v>354901_2019_12_Heating Res</v>
      </c>
      <c r="B1639" s="157"/>
      <c r="C1639" s="1352" t="str">
        <f>C1638</f>
        <v>354901_2019_12_</v>
      </c>
      <c r="D1639" s="1756" t="s">
        <v>737</v>
      </c>
      <c r="E1639" s="821" t="str">
        <f>CONCATENATE(E1635,"_CompE")</f>
        <v>ASHP SEER 21 replace ASHP - early replacement MF ER1_CompE</v>
      </c>
      <c r="F1639" s="2582">
        <f>ROUND((($K$1798*$K$1926*(1/$K$2054-1/$K$2182)*$K$2822)/1000)*$K$2834,2)</f>
        <v>613.21</v>
      </c>
      <c r="G1639" s="263" t="str">
        <f t="shared" si="188"/>
        <v>Heating Res</v>
      </c>
      <c r="H1639" s="202">
        <f t="shared" si="188"/>
        <v>0</v>
      </c>
      <c r="I1639" s="1801">
        <f t="shared" si="175"/>
        <v>0</v>
      </c>
      <c r="J1639" s="141">
        <f t="shared" si="188"/>
        <v>6</v>
      </c>
      <c r="K1639" s="908">
        <f t="shared" si="188"/>
        <v>0</v>
      </c>
      <c r="L1639" s="909"/>
      <c r="M1639" s="1797"/>
      <c r="N1639" s="1794"/>
      <c r="O1639" s="1249"/>
      <c r="P1639" s="157"/>
      <c r="Q1639" s="157"/>
      <c r="R1639" s="1627"/>
      <c r="S1639" s="157"/>
      <c r="T1639" s="157"/>
      <c r="U1639" s="1798"/>
      <c r="V1639" s="2309" t="s">
        <v>20</v>
      </c>
      <c r="W1639" s="910"/>
      <c r="X1639" s="911"/>
      <c r="Y1639" s="830">
        <v>613.21</v>
      </c>
      <c r="Z1639" s="825">
        <v>613.21</v>
      </c>
      <c r="AA1639" s="825">
        <v>613.21</v>
      </c>
      <c r="AB1639" s="2582">
        <v>613.21</v>
      </c>
      <c r="AC1639" s="910"/>
      <c r="AD1639" s="910"/>
      <c r="AE1639" s="910"/>
      <c r="AF1639" s="910"/>
      <c r="AG1639" s="910"/>
      <c r="AH1639" s="211"/>
      <c r="AK1639" s="912"/>
      <c r="BB1639" s="822"/>
      <c r="BC1639" s="821" t="str">
        <f t="shared" si="176"/>
        <v>Heating Res 6 Year EUL</v>
      </c>
      <c r="BD1639" s="752">
        <f>(INDEX('Avoided Cost Benefits'!$C$4:$C$857,MATCH(BC1639,'Avoided Cost Benefits'!$A$4:$A$857,0)))*F1639</f>
        <v>101.99736812185043</v>
      </c>
      <c r="BE1639" s="73">
        <f t="shared" si="184"/>
        <v>0</v>
      </c>
      <c r="BG1639" s="776"/>
      <c r="BH1639" s="916"/>
      <c r="BI1639" s="776"/>
    </row>
    <row r="1640" spans="1:61" s="64" customFormat="1" x14ac:dyDescent="0.25">
      <c r="A1640" s="1393" t="str">
        <f t="shared" si="178"/>
        <v>354901_2019_12_Cooling Res ER2</v>
      </c>
      <c r="B1640" s="157"/>
      <c r="C1640" s="1352" t="str">
        <f>C1639</f>
        <v>354901_2019_12_</v>
      </c>
      <c r="D1640" s="1756" t="s">
        <v>737</v>
      </c>
      <c r="E1640" s="821" t="str">
        <f>CONCATENATE(E1636,"_CompE")</f>
        <v>ASHP SEER 21 replace ASHP - early replacement MF ER2_CompE</v>
      </c>
      <c r="F1640" s="2582">
        <f>ROUND((($K$2311*$K$2439*(1/$K$2567-1/$K$2695)*$K$2823)/1000)*$K$2834,2)</f>
        <v>387.33</v>
      </c>
      <c r="G1640" s="263" t="str">
        <f t="shared" si="188"/>
        <v>Cooling Res ER2</v>
      </c>
      <c r="H1640" s="202">
        <f t="shared" si="188"/>
        <v>9.4741810000000004E-4</v>
      </c>
      <c r="I1640" s="1801">
        <f t="shared" si="175"/>
        <v>0.36696299999999998</v>
      </c>
      <c r="J1640" s="141">
        <f t="shared" si="188"/>
        <v>12</v>
      </c>
      <c r="K1640" s="908">
        <f t="shared" si="188"/>
        <v>0</v>
      </c>
      <c r="L1640" s="909"/>
      <c r="M1640" s="1797"/>
      <c r="N1640" s="1794"/>
      <c r="O1640" s="1249"/>
      <c r="P1640" s="157"/>
      <c r="Q1640" s="157"/>
      <c r="R1640" s="1627"/>
      <c r="S1640" s="157"/>
      <c r="T1640" s="157"/>
      <c r="U1640" s="1798"/>
      <c r="V1640" s="2309" t="s">
        <v>20</v>
      </c>
      <c r="W1640" s="910"/>
      <c r="X1640" s="911"/>
      <c r="Y1640" s="830">
        <v>387.33</v>
      </c>
      <c r="Z1640" s="825">
        <v>387.33</v>
      </c>
      <c r="AA1640" s="825">
        <v>387.33</v>
      </c>
      <c r="AB1640" s="2582">
        <v>387.33</v>
      </c>
      <c r="AC1640" s="910"/>
      <c r="AD1640" s="910"/>
      <c r="AE1640" s="910"/>
      <c r="AF1640" s="910"/>
      <c r="AG1640" s="910"/>
      <c r="AH1640" s="211"/>
      <c r="AK1640" s="912"/>
      <c r="BB1640" s="822"/>
      <c r="BC1640" s="821" t="str">
        <f t="shared" si="176"/>
        <v>Cooling Res ER2 12 Year EUL</v>
      </c>
      <c r="BD1640" s="752">
        <f>(INDEX('Avoided Cost Benefits'!$C$4:$C$857,MATCH(BC1640,'Avoided Cost Benefits'!$A$4:$A$857,0)))*F1640</f>
        <v>457.94936642444958</v>
      </c>
      <c r="BE1640" s="73">
        <f t="shared" si="184"/>
        <v>0</v>
      </c>
      <c r="BG1640" s="776"/>
      <c r="BH1640" s="916"/>
      <c r="BI1640" s="776"/>
    </row>
    <row r="1641" spans="1:61" s="64" customFormat="1" x14ac:dyDescent="0.25">
      <c r="A1641" s="1393" t="str">
        <f t="shared" si="178"/>
        <v>354901_2019_12_Heating Res ER2</v>
      </c>
      <c r="B1641" s="157"/>
      <c r="C1641" s="1352" t="str">
        <f>C1640</f>
        <v>354901_2019_12_</v>
      </c>
      <c r="D1641" s="1756" t="s">
        <v>737</v>
      </c>
      <c r="E1641" s="750" t="str">
        <f>CONCATENATE(E1637,"_CompE")</f>
        <v>ASHP SEER 21 replace ASHP - early replacement MF ER2_CompE</v>
      </c>
      <c r="F1641" s="2582">
        <f>ROUND((($K$1799*$K$1927*(1/$K$2055-1/$K$2183)*$K$2823)/1000)*$K$2834,2)</f>
        <v>219.07</v>
      </c>
      <c r="G1641" s="263" t="str">
        <f t="shared" si="188"/>
        <v>Heating Res ER2</v>
      </c>
      <c r="H1641" s="202">
        <f t="shared" si="188"/>
        <v>0</v>
      </c>
      <c r="I1641" s="1801">
        <f t="shared" si="175"/>
        <v>0</v>
      </c>
      <c r="J1641" s="141">
        <f t="shared" si="188"/>
        <v>12</v>
      </c>
      <c r="K1641" s="908">
        <f t="shared" si="188"/>
        <v>0</v>
      </c>
      <c r="L1641" s="909"/>
      <c r="M1641" s="1797"/>
      <c r="N1641" s="1794"/>
      <c r="O1641" s="1249"/>
      <c r="P1641" s="157"/>
      <c r="Q1641" s="157"/>
      <c r="R1641" s="1627"/>
      <c r="S1641" s="157"/>
      <c r="T1641" s="157"/>
      <c r="U1641" s="1798"/>
      <c r="V1641" s="2309" t="s">
        <v>20</v>
      </c>
      <c r="W1641" s="910"/>
      <c r="X1641" s="911"/>
      <c r="Y1641" s="830">
        <v>219.07</v>
      </c>
      <c r="Z1641" s="825">
        <v>219.07</v>
      </c>
      <c r="AA1641" s="825">
        <v>219.07</v>
      </c>
      <c r="AB1641" s="2582">
        <v>219.07</v>
      </c>
      <c r="AC1641" s="910"/>
      <c r="AD1641" s="910"/>
      <c r="AE1641" s="910"/>
      <c r="AF1641" s="910"/>
      <c r="AG1641" s="910"/>
      <c r="AH1641" s="211"/>
      <c r="AK1641" s="912"/>
      <c r="BB1641" s="822"/>
      <c r="BC1641" s="750" t="str">
        <f t="shared" si="176"/>
        <v>Heating Res ER2 12 Year EUL</v>
      </c>
      <c r="BD1641" s="752">
        <f>(INDEX('Avoided Cost Benefits'!$C$4:$C$857,MATCH(BC1641,'Avoided Cost Benefits'!$A$4:$A$857,0)))*F1641</f>
        <v>64.775187073496781</v>
      </c>
      <c r="BE1641" s="73">
        <f t="shared" si="184"/>
        <v>0</v>
      </c>
      <c r="BG1641" s="776"/>
      <c r="BH1641" s="916"/>
      <c r="BI1641" s="776"/>
    </row>
    <row r="1642" spans="1:61" s="64" customFormat="1" x14ac:dyDescent="0.25">
      <c r="A1642" s="1393" t="str">
        <f t="shared" si="178"/>
        <v>354950_2019_12_Cooling Res</v>
      </c>
      <c r="B1642" s="157"/>
      <c r="C1642" s="1352" t="s">
        <v>1484</v>
      </c>
      <c r="D1642" s="1756" t="s">
        <v>742</v>
      </c>
      <c r="E1642" s="797" t="s">
        <v>1485</v>
      </c>
      <c r="F1642" s="2582">
        <f>ROUND(((K2312*K2440*(1/K2568-1/K2696)*K2824)/1000)*$K$2834,2)</f>
        <v>281.95</v>
      </c>
      <c r="G1642" s="263" t="s">
        <v>1273</v>
      </c>
      <c r="H1642" s="202">
        <f>VLOOKUP(G1642,'CP FACTORS'!$A$3:$B$38, 2, FALSE)</f>
        <v>9.4741810000000004E-4</v>
      </c>
      <c r="I1642" s="1757">
        <f t="shared" si="175"/>
        <v>0.267125</v>
      </c>
      <c r="J1642" s="141">
        <f>K2995</f>
        <v>18</v>
      </c>
      <c r="K1642" s="908">
        <f>K3165</f>
        <v>724</v>
      </c>
      <c r="L1642" s="909">
        <f>L1800</f>
        <v>3.3</v>
      </c>
      <c r="M1642" s="1797"/>
      <c r="N1642" s="1794"/>
      <c r="O1642" s="1249"/>
      <c r="P1642" s="157"/>
      <c r="Q1642" s="157"/>
      <c r="R1642" s="1627"/>
      <c r="S1642" s="157"/>
      <c r="T1642" s="157"/>
      <c r="U1642" s="1798"/>
      <c r="V1642" s="2309" t="s">
        <v>20</v>
      </c>
      <c r="W1642" s="910">
        <v>281.95033613445372</v>
      </c>
      <c r="X1642" s="917">
        <v>281.95033613445372</v>
      </c>
      <c r="Y1642" s="825">
        <v>281.95</v>
      </c>
      <c r="Z1642" s="825">
        <v>281.95</v>
      </c>
      <c r="AA1642" s="825">
        <v>281.95</v>
      </c>
      <c r="AB1642" s="2582">
        <v>281.95</v>
      </c>
      <c r="AC1642" s="910"/>
      <c r="AD1642" s="910"/>
      <c r="AE1642" s="910"/>
      <c r="AF1642" s="910"/>
      <c r="AG1642" s="910"/>
      <c r="AH1642" s="211"/>
      <c r="AK1642" s="912"/>
      <c r="BB1642" s="293">
        <f>(BD1642+BD1643)/(BE1642+BE1643)</f>
        <v>1.2461252190526704</v>
      </c>
      <c r="BC1642" s="797" t="str">
        <f t="shared" si="176"/>
        <v>Cooling Res 18 Year EUL</v>
      </c>
      <c r="BD1642" s="752">
        <f>(INDEX('Avoided Cost Benefits'!$C$4:$C$857,MATCH(BC1642,'Avoided Cost Benefits'!$A$4:$A$857,0)))*F1642</f>
        <v>497.30557432753437</v>
      </c>
      <c r="BE1642" s="73">
        <f t="shared" si="184"/>
        <v>683.34119867862194</v>
      </c>
      <c r="BG1642" s="776"/>
      <c r="BH1642" s="913"/>
      <c r="BI1642" s="776"/>
    </row>
    <row r="1643" spans="1:61" s="64" customFormat="1" x14ac:dyDescent="0.25">
      <c r="A1643" s="1393" t="str">
        <f t="shared" si="178"/>
        <v>354950_2019_12_Heating Res</v>
      </c>
      <c r="B1643" s="157"/>
      <c r="C1643" s="1352" t="s">
        <v>1484</v>
      </c>
      <c r="D1643" s="1756" t="s">
        <v>742</v>
      </c>
      <c r="E1643" s="914" t="s">
        <v>1485</v>
      </c>
      <c r="F1643" s="2582">
        <f>ROUND(((K1800*K1928*(1/K2056-1/K2184)*K2824)/1000)*$K$2834,2)</f>
        <v>766.69</v>
      </c>
      <c r="G1643" s="263" t="s">
        <v>1275</v>
      </c>
      <c r="H1643" s="202">
        <f>VLOOKUP(G1643,'CP FACTORS'!$A$3:$B$38, 2, FALSE)</f>
        <v>0</v>
      </c>
      <c r="I1643" s="1757">
        <f t="shared" si="175"/>
        <v>0</v>
      </c>
      <c r="J1643" s="141">
        <f>K2996</f>
        <v>18</v>
      </c>
      <c r="K1643" s="908">
        <f>K3166</f>
        <v>0</v>
      </c>
      <c r="L1643" s="909"/>
      <c r="M1643" s="1797"/>
      <c r="N1643" s="1794"/>
      <c r="O1643" s="1249"/>
      <c r="P1643" s="157"/>
      <c r="Q1643" s="157"/>
      <c r="R1643" s="1627"/>
      <c r="S1643" s="157"/>
      <c r="T1643" s="157"/>
      <c r="U1643" s="1798"/>
      <c r="V1643" s="2309" t="s">
        <v>20</v>
      </c>
      <c r="W1643" s="910">
        <v>1029.6000000000013</v>
      </c>
      <c r="X1643" s="911">
        <v>766.69069188651167</v>
      </c>
      <c r="Y1643" s="825">
        <v>766.69</v>
      </c>
      <c r="Z1643" s="825">
        <v>766.69</v>
      </c>
      <c r="AA1643" s="825">
        <v>766.69</v>
      </c>
      <c r="AB1643" s="2582">
        <v>766.69</v>
      </c>
      <c r="AC1643" s="910"/>
      <c r="AD1643" s="910"/>
      <c r="AE1643" s="910"/>
      <c r="AF1643" s="910"/>
      <c r="AG1643" s="910"/>
      <c r="AH1643" s="211"/>
      <c r="AK1643" s="912"/>
      <c r="BB1643" s="291"/>
      <c r="BC1643" s="914" t="str">
        <f t="shared" si="176"/>
        <v>Heating Res 18 Year EUL</v>
      </c>
      <c r="BD1643" s="752">
        <f>(INDEX('Avoided Cost Benefits'!$C$4:$C$857,MATCH(BC1643,'Avoided Cost Benefits'!$A$4:$A$857,0)))*F1643</f>
        <v>354.22312656357781</v>
      </c>
      <c r="BE1643" s="73">
        <f t="shared" si="184"/>
        <v>0</v>
      </c>
      <c r="BG1643" s="776"/>
      <c r="BH1643" s="913"/>
      <c r="BI1643" s="776"/>
    </row>
    <row r="1644" spans="1:61" s="64" customFormat="1" x14ac:dyDescent="0.25">
      <c r="A1644" s="1393" t="str">
        <f t="shared" si="178"/>
        <v>354951_2019_12_Cooling Res</v>
      </c>
      <c r="B1644" s="157"/>
      <c r="C1644" s="1352" t="s">
        <v>1486</v>
      </c>
      <c r="D1644" s="1756" t="s">
        <v>737</v>
      </c>
      <c r="E1644" s="742" t="str">
        <f>CONCATENATE(E1642,"_CompE")</f>
        <v>ASHP - SEER 17 - replace on fail MF_CompE</v>
      </c>
      <c r="F1644" s="2582">
        <f>ROUND((($K$2313*$K$2441*(1/$K$2569-1/$K$2697)*$K$2825)/1000)*$K$2834,2)</f>
        <v>205.05</v>
      </c>
      <c r="G1644" s="263" t="str">
        <f>G1642</f>
        <v>Cooling Res</v>
      </c>
      <c r="H1644" s="202">
        <f t="shared" ref="H1644:K1645" si="189">H1642</f>
        <v>9.4741810000000004E-4</v>
      </c>
      <c r="I1644" s="1801">
        <f t="shared" si="175"/>
        <v>0.194268</v>
      </c>
      <c r="J1644" s="141">
        <f t="shared" si="189"/>
        <v>18</v>
      </c>
      <c r="K1644" s="908">
        <f t="shared" si="189"/>
        <v>724</v>
      </c>
      <c r="L1644" s="909">
        <f>L1642</f>
        <v>3.3</v>
      </c>
      <c r="M1644" s="1797"/>
      <c r="N1644" s="1794"/>
      <c r="O1644" s="1249"/>
      <c r="P1644" s="157"/>
      <c r="Q1644" s="157"/>
      <c r="R1644" s="1627"/>
      <c r="S1644" s="157"/>
      <c r="T1644" s="157"/>
      <c r="U1644" s="1798"/>
      <c r="V1644" s="2309" t="s">
        <v>20</v>
      </c>
      <c r="W1644" s="910"/>
      <c r="X1644" s="911"/>
      <c r="Y1644" s="830">
        <v>205.05</v>
      </c>
      <c r="Z1644" s="825">
        <v>205.05</v>
      </c>
      <c r="AA1644" s="825">
        <v>205.05</v>
      </c>
      <c r="AB1644" s="2582">
        <v>205.05</v>
      </c>
      <c r="AC1644" s="910"/>
      <c r="AD1644" s="910"/>
      <c r="AE1644" s="910"/>
      <c r="AF1644" s="910"/>
      <c r="AG1644" s="910"/>
      <c r="AH1644" s="211"/>
      <c r="AK1644" s="912"/>
      <c r="BB1644" s="293">
        <f>(BD1644+BD1645)/(BE1644+BE1645)</f>
        <v>0.70598101502515853</v>
      </c>
      <c r="BC1644" s="797" t="str">
        <f t="shared" si="176"/>
        <v>Cooling Res 18 Year EUL</v>
      </c>
      <c r="BD1644" s="752">
        <f>(INDEX('Avoided Cost Benefits'!$C$4:$C$857,MATCH(BC1644,'Avoided Cost Benefits'!$A$4:$A$857,0)))*F1644</f>
        <v>361.66876402149649</v>
      </c>
      <c r="BE1644" s="73">
        <f t="shared" si="184"/>
        <v>683.34119867862194</v>
      </c>
      <c r="BG1644" s="776"/>
      <c r="BH1644" s="916"/>
      <c r="BI1644" s="776"/>
    </row>
    <row r="1645" spans="1:61" s="64" customFormat="1" x14ac:dyDescent="0.25">
      <c r="A1645" s="1393" t="str">
        <f t="shared" si="178"/>
        <v>354951_2019_12_Heating Res</v>
      </c>
      <c r="B1645" s="157"/>
      <c r="C1645" s="1352" t="str">
        <f>C1644</f>
        <v>354951_2019_12_</v>
      </c>
      <c r="D1645" s="1756" t="s">
        <v>737</v>
      </c>
      <c r="E1645" s="750" t="str">
        <f>CONCATENATE(E1643,"_CompE")</f>
        <v>ASHP - SEER 17 - replace on fail MF_CompE</v>
      </c>
      <c r="F1645" s="2582">
        <f>ROUND((($K$1801*$K$1929*(1/$K$2057-1/$K$2185)*$K$2825)/1000)*$K$2834,2)</f>
        <v>261.37</v>
      </c>
      <c r="G1645" s="263" t="str">
        <f>G1643</f>
        <v>Heating Res</v>
      </c>
      <c r="H1645" s="202">
        <f t="shared" si="189"/>
        <v>0</v>
      </c>
      <c r="I1645" s="1801">
        <f t="shared" si="175"/>
        <v>0</v>
      </c>
      <c r="J1645" s="141">
        <f t="shared" si="189"/>
        <v>18</v>
      </c>
      <c r="K1645" s="908">
        <f t="shared" si="189"/>
        <v>0</v>
      </c>
      <c r="L1645" s="909"/>
      <c r="M1645" s="1797"/>
      <c r="N1645" s="1794"/>
      <c r="O1645" s="1249"/>
      <c r="P1645" s="157"/>
      <c r="Q1645" s="157"/>
      <c r="R1645" s="1627"/>
      <c r="S1645" s="157"/>
      <c r="T1645" s="157"/>
      <c r="U1645" s="1798"/>
      <c r="V1645" s="2309" t="s">
        <v>20</v>
      </c>
      <c r="W1645" s="910"/>
      <c r="X1645" s="911"/>
      <c r="Y1645" s="830">
        <v>261.37</v>
      </c>
      <c r="Z1645" s="825">
        <v>261.37</v>
      </c>
      <c r="AA1645" s="825">
        <v>261.37</v>
      </c>
      <c r="AB1645" s="2582">
        <v>261.37</v>
      </c>
      <c r="AC1645" s="910"/>
      <c r="AD1645" s="910"/>
      <c r="AE1645" s="910"/>
      <c r="AF1645" s="910"/>
      <c r="AG1645" s="910"/>
      <c r="AH1645" s="211"/>
      <c r="AK1645" s="912"/>
      <c r="BB1645" s="291"/>
      <c r="BC1645" s="914" t="str">
        <f t="shared" si="176"/>
        <v>Heating Res 18 Year EUL</v>
      </c>
      <c r="BD1645" s="752">
        <f>(INDEX('Avoided Cost Benefits'!$C$4:$C$857,MATCH(BC1645,'Avoided Cost Benefits'!$A$4:$A$857,0)))*F1645</f>
        <v>120.7571490301456</v>
      </c>
      <c r="BE1645" s="73">
        <f t="shared" si="184"/>
        <v>0</v>
      </c>
      <c r="BG1645" s="776"/>
      <c r="BH1645" s="916"/>
      <c r="BI1645" s="776"/>
    </row>
    <row r="1646" spans="1:61" s="64" customFormat="1" x14ac:dyDescent="0.25">
      <c r="A1646" s="1393" t="str">
        <f t="shared" si="178"/>
        <v>355000_2019_12_Cooling Res</v>
      </c>
      <c r="B1646" s="157"/>
      <c r="C1646" s="1352" t="s">
        <v>1487</v>
      </c>
      <c r="D1646" s="1756" t="s">
        <v>742</v>
      </c>
      <c r="E1646" s="797" t="s">
        <v>1488</v>
      </c>
      <c r="F1646" s="2582">
        <f>ROUND(((K2314*K2442*(1/K2570-1/K2698)*K2826)/1000)*$K$2834,2)</f>
        <v>355.05</v>
      </c>
      <c r="G1646" s="263" t="s">
        <v>1273</v>
      </c>
      <c r="H1646" s="202">
        <f>VLOOKUP(G1646,'CP FACTORS'!$A$3:$B$38, 2, FALSE)</f>
        <v>9.4741810000000004E-4</v>
      </c>
      <c r="I1646" s="1757">
        <f t="shared" si="175"/>
        <v>0.33638099999999999</v>
      </c>
      <c r="J1646" s="141">
        <f>K2997</f>
        <v>18</v>
      </c>
      <c r="K1646" s="908">
        <f>K3167</f>
        <v>962.92000000000007</v>
      </c>
      <c r="L1646" s="909">
        <f>L1802</f>
        <v>3.3</v>
      </c>
      <c r="M1646" s="1797"/>
      <c r="N1646" s="1794"/>
      <c r="O1646" s="1249"/>
      <c r="P1646" s="157"/>
      <c r="Q1646" s="157"/>
      <c r="R1646" s="1627"/>
      <c r="S1646" s="157"/>
      <c r="T1646" s="157"/>
      <c r="U1646" s="1798"/>
      <c r="V1646" s="2309" t="s">
        <v>20</v>
      </c>
      <c r="W1646" s="910">
        <v>355.04857142857139</v>
      </c>
      <c r="X1646" s="917">
        <v>355.04857142857139</v>
      </c>
      <c r="Y1646" s="825">
        <v>355.05</v>
      </c>
      <c r="Z1646" s="825">
        <v>355.05</v>
      </c>
      <c r="AA1646" s="825">
        <v>355.05</v>
      </c>
      <c r="AB1646" s="2582">
        <v>355.05</v>
      </c>
      <c r="AC1646" s="910"/>
      <c r="AD1646" s="910"/>
      <c r="AE1646" s="910"/>
      <c r="AF1646" s="910"/>
      <c r="AG1646" s="910"/>
      <c r="AH1646" s="211"/>
      <c r="AK1646" s="912"/>
      <c r="BB1646" s="293">
        <f>(BD1646+BD1647)/(BE1646+BE1647)</f>
        <v>1.0788025931831349</v>
      </c>
      <c r="BC1646" s="797" t="str">
        <f t="shared" si="176"/>
        <v>Cooling Res 18 Year EUL</v>
      </c>
      <c r="BD1646" s="752">
        <f>(INDEX('Avoided Cost Benefits'!$C$4:$C$857,MATCH(BC1646,'Avoided Cost Benefits'!$A$4:$A$857,0)))*F1646</f>
        <v>626.23991546370314</v>
      </c>
      <c r="BE1646" s="73">
        <f t="shared" si="184"/>
        <v>908.84379424256724</v>
      </c>
      <c r="BG1646" s="776"/>
      <c r="BH1646" s="913"/>
      <c r="BI1646" s="776"/>
    </row>
    <row r="1647" spans="1:61" s="64" customFormat="1" x14ac:dyDescent="0.25">
      <c r="A1647" s="1393" t="str">
        <f t="shared" si="178"/>
        <v>355000_2019_12_Heating Res</v>
      </c>
      <c r="B1647" s="157"/>
      <c r="C1647" s="1352" t="s">
        <v>1487</v>
      </c>
      <c r="D1647" s="1756" t="s">
        <v>742</v>
      </c>
      <c r="E1647" s="914" t="s">
        <v>1488</v>
      </c>
      <c r="F1647" s="2582">
        <f>ROUND(((K1802*K1930*(1/K2058-1/K2186)*K2826)/1000)*$K$2834,2)</f>
        <v>766.69</v>
      </c>
      <c r="G1647" s="263" t="s">
        <v>1275</v>
      </c>
      <c r="H1647" s="202">
        <f>VLOOKUP(G1647,'CP FACTORS'!$A$3:$B$38, 2, FALSE)</f>
        <v>0</v>
      </c>
      <c r="I1647" s="1757">
        <f t="shared" si="175"/>
        <v>0</v>
      </c>
      <c r="J1647" s="141">
        <f>K2998</f>
        <v>18</v>
      </c>
      <c r="K1647" s="908">
        <f>K3168</f>
        <v>0</v>
      </c>
      <c r="L1647" s="909"/>
      <c r="M1647" s="1797"/>
      <c r="N1647" s="1794"/>
      <c r="O1647" s="1249"/>
      <c r="P1647" s="157"/>
      <c r="Q1647" s="157"/>
      <c r="R1647" s="1627"/>
      <c r="S1647" s="157"/>
      <c r="T1647" s="157"/>
      <c r="U1647" s="1798"/>
      <c r="V1647" s="2309" t="s">
        <v>20</v>
      </c>
      <c r="W1647" s="910">
        <v>1029.6000000000013</v>
      </c>
      <c r="X1647" s="911">
        <v>766.69069188651167</v>
      </c>
      <c r="Y1647" s="825">
        <v>766.69</v>
      </c>
      <c r="Z1647" s="825">
        <v>766.69</v>
      </c>
      <c r="AA1647" s="825">
        <v>766.69</v>
      </c>
      <c r="AB1647" s="2582">
        <v>766.69</v>
      </c>
      <c r="AC1647" s="910"/>
      <c r="AD1647" s="910"/>
      <c r="AE1647" s="910"/>
      <c r="AF1647" s="910"/>
      <c r="AG1647" s="910"/>
      <c r="AH1647" s="211"/>
      <c r="AK1647" s="912"/>
      <c r="BB1647" s="291"/>
      <c r="BC1647" s="914" t="str">
        <f t="shared" si="176"/>
        <v>Heating Res 18 Year EUL</v>
      </c>
      <c r="BD1647" s="752">
        <f>(INDEX('Avoided Cost Benefits'!$C$4:$C$857,MATCH(BC1647,'Avoided Cost Benefits'!$A$4:$A$857,0)))*F1647</f>
        <v>354.22312656357781</v>
      </c>
      <c r="BE1647" s="73">
        <f t="shared" si="184"/>
        <v>0</v>
      </c>
      <c r="BG1647" s="776"/>
      <c r="BH1647" s="913"/>
      <c r="BI1647" s="776"/>
    </row>
    <row r="1648" spans="1:61" s="64" customFormat="1" x14ac:dyDescent="0.25">
      <c r="A1648" s="1393" t="str">
        <f t="shared" si="178"/>
        <v>355001_2019_12_Cooling Res</v>
      </c>
      <c r="B1648" s="157"/>
      <c r="C1648" s="1352" t="s">
        <v>1489</v>
      </c>
      <c r="D1648" s="1756" t="s">
        <v>737</v>
      </c>
      <c r="E1648" s="742" t="str">
        <f>CONCATENATE(E1646,"_CompE")</f>
        <v>ASHP - SEER 18 - replace on fail MF_CompE</v>
      </c>
      <c r="F1648" s="2582">
        <f>ROUND((($K$2315*$K$2443*(1/$K$2571-1/$K$2699)*$K$2827)/1000)*$K$2834,2)</f>
        <v>397.26</v>
      </c>
      <c r="G1648" s="263" t="str">
        <f>G1646</f>
        <v>Cooling Res</v>
      </c>
      <c r="H1648" s="202">
        <f t="shared" ref="H1648:K1649" si="190">H1646</f>
        <v>9.4741810000000004E-4</v>
      </c>
      <c r="I1648" s="1801">
        <f t="shared" si="175"/>
        <v>0.37637100000000001</v>
      </c>
      <c r="J1648" s="141">
        <f t="shared" si="190"/>
        <v>18</v>
      </c>
      <c r="K1648" s="908">
        <f t="shared" si="190"/>
        <v>962.92000000000007</v>
      </c>
      <c r="L1648" s="909">
        <f>L1646</f>
        <v>3.3</v>
      </c>
      <c r="M1648" s="1797"/>
      <c r="N1648" s="1794"/>
      <c r="O1648" s="1249"/>
      <c r="P1648" s="157"/>
      <c r="Q1648" s="157"/>
      <c r="R1648" s="1627"/>
      <c r="S1648" s="157"/>
      <c r="T1648" s="157"/>
      <c r="U1648" s="1798"/>
      <c r="V1648" s="2309" t="s">
        <v>20</v>
      </c>
      <c r="W1648" s="910"/>
      <c r="X1648" s="911"/>
      <c r="Y1648" s="830">
        <v>397.26</v>
      </c>
      <c r="Z1648" s="825">
        <v>397.26</v>
      </c>
      <c r="AA1648" s="825">
        <v>397.26</v>
      </c>
      <c r="AB1648" s="2582">
        <v>397.26</v>
      </c>
      <c r="AC1648" s="910"/>
      <c r="AD1648" s="910"/>
      <c r="AE1648" s="910"/>
      <c r="AF1648" s="910"/>
      <c r="AG1648" s="910"/>
      <c r="AH1648" s="211"/>
      <c r="AK1648" s="912"/>
      <c r="BB1648" s="293">
        <f>(BD1648+BD1649)/(BE1648+BE1649)</f>
        <v>0.97538382125003487</v>
      </c>
      <c r="BC1648" s="797" t="str">
        <f t="shared" si="176"/>
        <v>Cooling Res 18 Year EUL</v>
      </c>
      <c r="BD1648" s="752">
        <f>(INDEX('Avoided Cost Benefits'!$C$4:$C$857,MATCH(BC1648,'Avoided Cost Benefits'!$A$4:$A$857,0)))*F1648</f>
        <v>700.69023747953997</v>
      </c>
      <c r="BE1648" s="73">
        <f t="shared" si="184"/>
        <v>908.84379424256724</v>
      </c>
      <c r="BG1648" s="776"/>
      <c r="BH1648" s="916"/>
      <c r="BI1648" s="776"/>
    </row>
    <row r="1649" spans="1:61" s="64" customFormat="1" x14ac:dyDescent="0.25">
      <c r="A1649" s="1393" t="str">
        <f t="shared" si="178"/>
        <v>355001_2019_12_Heating Res</v>
      </c>
      <c r="B1649" s="157"/>
      <c r="C1649" s="1352" t="str">
        <f>C1648</f>
        <v>355001_2019_12_</v>
      </c>
      <c r="D1649" s="1756" t="s">
        <v>737</v>
      </c>
      <c r="E1649" s="750" t="str">
        <f>CONCATENATE(E1647,"_CompE")</f>
        <v>ASHP - SEER 18 - replace on fail MF_CompE</v>
      </c>
      <c r="F1649" s="2582">
        <f>ROUND((($K$1803*$K$1931*(1/$K$2059-1/$K$2187)*$K$2827)/1000)*$K$2834,2)</f>
        <v>402.11</v>
      </c>
      <c r="G1649" s="263" t="str">
        <f>G1647</f>
        <v>Heating Res</v>
      </c>
      <c r="H1649" s="202">
        <f t="shared" si="190"/>
        <v>0</v>
      </c>
      <c r="I1649" s="1801">
        <f t="shared" si="175"/>
        <v>0</v>
      </c>
      <c r="J1649" s="141">
        <f t="shared" si="190"/>
        <v>18</v>
      </c>
      <c r="K1649" s="908">
        <f t="shared" si="190"/>
        <v>0</v>
      </c>
      <c r="L1649" s="909"/>
      <c r="M1649" s="1797"/>
      <c r="N1649" s="1794"/>
      <c r="O1649" s="1249"/>
      <c r="P1649" s="157"/>
      <c r="Q1649" s="157"/>
      <c r="R1649" s="1627"/>
      <c r="S1649" s="157"/>
      <c r="T1649" s="157"/>
      <c r="U1649" s="1798"/>
      <c r="V1649" s="2309" t="s">
        <v>20</v>
      </c>
      <c r="W1649" s="910"/>
      <c r="X1649" s="911"/>
      <c r="Y1649" s="830">
        <v>402.11</v>
      </c>
      <c r="Z1649" s="825">
        <v>402.11</v>
      </c>
      <c r="AA1649" s="825">
        <v>402.11</v>
      </c>
      <c r="AB1649" s="2582">
        <v>402.11</v>
      </c>
      <c r="AC1649" s="910"/>
      <c r="AD1649" s="910"/>
      <c r="AE1649" s="910"/>
      <c r="AF1649" s="910"/>
      <c r="AG1649" s="910"/>
      <c r="AH1649" s="211"/>
      <c r="AK1649" s="912"/>
      <c r="BB1649" s="291"/>
      <c r="BC1649" s="914" t="str">
        <f t="shared" si="176"/>
        <v>Heating Res 18 Year EUL</v>
      </c>
      <c r="BD1649" s="752">
        <f>(INDEX('Avoided Cost Benefits'!$C$4:$C$857,MATCH(BC1649,'Avoided Cost Benefits'!$A$4:$A$857,0)))*F1649</f>
        <v>185.78129546815566</v>
      </c>
      <c r="BE1649" s="73">
        <f t="shared" si="184"/>
        <v>0</v>
      </c>
      <c r="BG1649" s="776"/>
      <c r="BH1649" s="916"/>
      <c r="BI1649" s="776"/>
    </row>
    <row r="1650" spans="1:61" s="64" customFormat="1" x14ac:dyDescent="0.25">
      <c r="A1650" s="1393" t="str">
        <f t="shared" si="178"/>
        <v>355050_2019_12_Cooling Res</v>
      </c>
      <c r="B1650" s="157"/>
      <c r="C1650" s="1352" t="s">
        <v>1490</v>
      </c>
      <c r="D1650" s="1756" t="s">
        <v>742</v>
      </c>
      <c r="E1650" s="797" t="s">
        <v>1491</v>
      </c>
      <c r="F1650" s="2582">
        <f>ROUND(((K2316*K2444*(1/K2572-1/K2700)*K2828)/1000)*$K$2834,2)</f>
        <v>420.45</v>
      </c>
      <c r="G1650" s="263" t="s">
        <v>1273</v>
      </c>
      <c r="H1650" s="202">
        <f>VLOOKUP(G1650,'CP FACTORS'!$A$3:$B$38, 2, FALSE)</f>
        <v>9.4741810000000004E-4</v>
      </c>
      <c r="I1650" s="1757">
        <f t="shared" si="175"/>
        <v>0.39834199999999997</v>
      </c>
      <c r="J1650" s="141">
        <f>K2999</f>
        <v>18</v>
      </c>
      <c r="K1650" s="908">
        <f>K3169</f>
        <v>1203.6500000000003</v>
      </c>
      <c r="L1650" s="909">
        <f>L1804</f>
        <v>3.3</v>
      </c>
      <c r="M1650" s="1797"/>
      <c r="N1650" s="1794"/>
      <c r="O1650" s="1249"/>
      <c r="P1650" s="157"/>
      <c r="Q1650" s="157"/>
      <c r="R1650" s="1627"/>
      <c r="S1650" s="157"/>
      <c r="T1650" s="157"/>
      <c r="U1650" s="1798"/>
      <c r="V1650" s="2309" t="s">
        <v>20</v>
      </c>
      <c r="W1650" s="910">
        <v>420.45225563909776</v>
      </c>
      <c r="X1650" s="917">
        <v>420.45225563909776</v>
      </c>
      <c r="Y1650" s="825">
        <v>420.45</v>
      </c>
      <c r="Z1650" s="825">
        <v>420.45</v>
      </c>
      <c r="AA1650" s="825">
        <v>420.45</v>
      </c>
      <c r="AB1650" s="2582">
        <v>420.45</v>
      </c>
      <c r="AC1650" s="910"/>
      <c r="AD1650" s="910"/>
      <c r="AE1650" s="910"/>
      <c r="AF1650" s="910"/>
      <c r="AG1650" s="910"/>
      <c r="AH1650" s="211"/>
      <c r="AK1650" s="912"/>
      <c r="BB1650" s="293">
        <f>(BD1650+BD1651)/(BE1650+BE1651)</f>
        <v>0.96458033470478943</v>
      </c>
      <c r="BC1650" s="797" t="str">
        <f t="shared" si="176"/>
        <v>Cooling Res 18 Year EUL</v>
      </c>
      <c r="BD1650" s="752">
        <f>(INDEX('Avoided Cost Benefits'!$C$4:$C$857,MATCH(BC1650,'Avoided Cost Benefits'!$A$4:$A$857,0)))*F1650</f>
        <v>741.59293749250514</v>
      </c>
      <c r="BE1650" s="73">
        <f t="shared" si="184"/>
        <v>1136.0547428032091</v>
      </c>
      <c r="BG1650" s="776"/>
      <c r="BH1650" s="913"/>
      <c r="BI1650" s="776"/>
    </row>
    <row r="1651" spans="1:61" s="64" customFormat="1" x14ac:dyDescent="0.25">
      <c r="A1651" s="1393" t="str">
        <f t="shared" si="178"/>
        <v>355050_2019_12_Heating Res</v>
      </c>
      <c r="B1651" s="157"/>
      <c r="C1651" s="1352" t="s">
        <v>1490</v>
      </c>
      <c r="D1651" s="1756" t="s">
        <v>742</v>
      </c>
      <c r="E1651" s="914" t="s">
        <v>1491</v>
      </c>
      <c r="F1651" s="2582">
        <f>ROUND(((K1804*K1932*(1/K2060-1/K2188)*K2828)/1000)*$K$2834,2)</f>
        <v>766.69</v>
      </c>
      <c r="G1651" s="263" t="s">
        <v>1275</v>
      </c>
      <c r="H1651" s="202">
        <f>VLOOKUP(G1651,'CP FACTORS'!$A$3:$B$38, 2, FALSE)</f>
        <v>0</v>
      </c>
      <c r="I1651" s="1757">
        <f t="shared" si="175"/>
        <v>0</v>
      </c>
      <c r="J1651" s="141">
        <f>K3000</f>
        <v>18</v>
      </c>
      <c r="K1651" s="908">
        <f>K3170</f>
        <v>0</v>
      </c>
      <c r="L1651" s="909"/>
      <c r="M1651" s="1797"/>
      <c r="N1651" s="1794"/>
      <c r="O1651" s="1249"/>
      <c r="P1651" s="157"/>
      <c r="Q1651" s="157"/>
      <c r="R1651" s="1627"/>
      <c r="S1651" s="157"/>
      <c r="T1651" s="157"/>
      <c r="U1651" s="1798"/>
      <c r="V1651" s="2309" t="s">
        <v>20</v>
      </c>
      <c r="W1651" s="910">
        <v>1029.6000000000013</v>
      </c>
      <c r="X1651" s="911">
        <v>766.69069188651167</v>
      </c>
      <c r="Y1651" s="825">
        <v>766.69</v>
      </c>
      <c r="Z1651" s="825">
        <v>766.69</v>
      </c>
      <c r="AA1651" s="825">
        <v>766.69</v>
      </c>
      <c r="AB1651" s="2582">
        <v>766.69</v>
      </c>
      <c r="AC1651" s="910"/>
      <c r="AD1651" s="910"/>
      <c r="AE1651" s="910"/>
      <c r="AF1651" s="910"/>
      <c r="AG1651" s="910"/>
      <c r="AH1651" s="211"/>
      <c r="AK1651" s="912"/>
      <c r="BB1651" s="291"/>
      <c r="BC1651" s="914" t="str">
        <f t="shared" si="176"/>
        <v>Heating Res 18 Year EUL</v>
      </c>
      <c r="BD1651" s="752">
        <f>(INDEX('Avoided Cost Benefits'!$C$4:$C$857,MATCH(BC1651,'Avoided Cost Benefits'!$A$4:$A$857,0)))*F1651</f>
        <v>354.22312656357781</v>
      </c>
      <c r="BE1651" s="73">
        <f t="shared" si="184"/>
        <v>0</v>
      </c>
      <c r="BG1651" s="776"/>
      <c r="BH1651" s="913"/>
      <c r="BI1651" s="776"/>
    </row>
    <row r="1652" spans="1:61" s="64" customFormat="1" x14ac:dyDescent="0.25">
      <c r="A1652" s="1393" t="str">
        <f t="shared" si="178"/>
        <v>355051_2019_12_Cooling Res</v>
      </c>
      <c r="B1652" s="157"/>
      <c r="C1652" s="1352" t="s">
        <v>1492</v>
      </c>
      <c r="D1652" s="1756" t="s">
        <v>737</v>
      </c>
      <c r="E1652" s="742" t="str">
        <f>CONCATENATE(E1650,"_CompE")</f>
        <v>ASHP - SEER 19 - replace on fail MF_CompE</v>
      </c>
      <c r="F1652" s="2582">
        <f>ROUND((($K$2317*$K$2445*(1/$K$2573-1/$K$2701)*$K$2829)/1000)*$K$2834,2)</f>
        <v>305.77999999999997</v>
      </c>
      <c r="G1652" s="263" t="str">
        <f>G1650</f>
        <v>Cooling Res</v>
      </c>
      <c r="H1652" s="202">
        <f t="shared" ref="H1652:K1653" si="191">H1650</f>
        <v>9.4741810000000004E-4</v>
      </c>
      <c r="I1652" s="1801">
        <f t="shared" si="175"/>
        <v>0.28970200000000002</v>
      </c>
      <c r="J1652" s="141">
        <f t="shared" si="191"/>
        <v>18</v>
      </c>
      <c r="K1652" s="908">
        <f t="shared" si="191"/>
        <v>1203.6500000000003</v>
      </c>
      <c r="L1652" s="909">
        <f>L1650</f>
        <v>3.3</v>
      </c>
      <c r="M1652" s="1797"/>
      <c r="N1652" s="1794"/>
      <c r="O1652" s="1249"/>
      <c r="P1652" s="157"/>
      <c r="Q1652" s="157"/>
      <c r="R1652" s="1627"/>
      <c r="S1652" s="157"/>
      <c r="T1652" s="157"/>
      <c r="U1652" s="1798"/>
      <c r="V1652" s="2309" t="s">
        <v>20</v>
      </c>
      <c r="W1652" s="910"/>
      <c r="X1652" s="911"/>
      <c r="Y1652" s="830">
        <v>305.77999999999997</v>
      </c>
      <c r="Z1652" s="825">
        <v>305.77999999999997</v>
      </c>
      <c r="AA1652" s="825">
        <v>305.77999999999997</v>
      </c>
      <c r="AB1652" s="2582">
        <v>305.77999999999997</v>
      </c>
      <c r="AC1652" s="910"/>
      <c r="AD1652" s="910"/>
      <c r="AE1652" s="910"/>
      <c r="AF1652" s="910"/>
      <c r="AG1652" s="910"/>
      <c r="AH1652" s="211"/>
      <c r="AK1652" s="912"/>
      <c r="BB1652" s="293">
        <f>(BD1652+BD1653)/(BE1652+BE1653)</f>
        <v>0.58104089126434699</v>
      </c>
      <c r="BC1652" s="797" t="str">
        <f t="shared" si="176"/>
        <v>Cooling Res 18 Year EUL</v>
      </c>
      <c r="BD1652" s="752">
        <f>(INDEX('Avoided Cost Benefits'!$C$4:$C$857,MATCH(BC1652,'Avoided Cost Benefits'!$A$4:$A$857,0)))*F1652</f>
        <v>539.33711125331956</v>
      </c>
      <c r="BE1652" s="73">
        <f t="shared" si="184"/>
        <v>1136.0547428032091</v>
      </c>
      <c r="BG1652" s="776"/>
      <c r="BH1652" s="916"/>
      <c r="BI1652" s="776"/>
    </row>
    <row r="1653" spans="1:61" s="64" customFormat="1" x14ac:dyDescent="0.25">
      <c r="A1653" s="1393" t="str">
        <f t="shared" si="178"/>
        <v>355051_2019_12_Heating Res</v>
      </c>
      <c r="B1653" s="157"/>
      <c r="C1653" s="1352" t="str">
        <f>C1652</f>
        <v>355051_2019_12_</v>
      </c>
      <c r="D1653" s="1756" t="s">
        <v>737</v>
      </c>
      <c r="E1653" s="750" t="str">
        <f>CONCATENATE(E1651,"_CompE")</f>
        <v>ASHP - SEER 19 - replace on fail MF_CompE</v>
      </c>
      <c r="F1653" s="2582">
        <f>ROUND((($K$1805*$K$1933*(1/$K$2061-1/$K$2189)*$K$2829)/1000)*$K$2834,2)</f>
        <v>261.37</v>
      </c>
      <c r="G1653" s="263" t="str">
        <f>G1651</f>
        <v>Heating Res</v>
      </c>
      <c r="H1653" s="202">
        <f t="shared" si="191"/>
        <v>0</v>
      </c>
      <c r="I1653" s="1801">
        <f t="shared" si="175"/>
        <v>0</v>
      </c>
      <c r="J1653" s="141">
        <f t="shared" si="191"/>
        <v>18</v>
      </c>
      <c r="K1653" s="908">
        <f t="shared" si="191"/>
        <v>0</v>
      </c>
      <c r="L1653" s="909"/>
      <c r="M1653" s="1797"/>
      <c r="N1653" s="1794"/>
      <c r="O1653" s="1249"/>
      <c r="P1653" s="157"/>
      <c r="Q1653" s="157"/>
      <c r="R1653" s="1627"/>
      <c r="S1653" s="157"/>
      <c r="T1653" s="157"/>
      <c r="U1653" s="1798"/>
      <c r="V1653" s="2309" t="s">
        <v>20</v>
      </c>
      <c r="W1653" s="910"/>
      <c r="X1653" s="911"/>
      <c r="Y1653" s="830">
        <v>261.37</v>
      </c>
      <c r="Z1653" s="825">
        <v>261.37</v>
      </c>
      <c r="AA1653" s="825">
        <v>261.37</v>
      </c>
      <c r="AB1653" s="2582">
        <v>261.37</v>
      </c>
      <c r="AC1653" s="910"/>
      <c r="AD1653" s="910"/>
      <c r="AE1653" s="910"/>
      <c r="AF1653" s="910"/>
      <c r="AG1653" s="910"/>
      <c r="AH1653" s="211"/>
      <c r="AK1653" s="912"/>
      <c r="BB1653" s="291"/>
      <c r="BC1653" s="914" t="str">
        <f t="shared" si="176"/>
        <v>Heating Res 18 Year EUL</v>
      </c>
      <c r="BD1653" s="752">
        <f>(INDEX('Avoided Cost Benefits'!$C$4:$C$857,MATCH(BC1653,'Avoided Cost Benefits'!$A$4:$A$857,0)))*F1653</f>
        <v>120.7571490301456</v>
      </c>
      <c r="BE1653" s="73">
        <f t="shared" si="184"/>
        <v>0</v>
      </c>
      <c r="BG1653" s="776"/>
      <c r="BH1653" s="916"/>
      <c r="BI1653" s="776"/>
    </row>
    <row r="1654" spans="1:61" s="64" customFormat="1" x14ac:dyDescent="0.25">
      <c r="A1654" s="1393" t="str">
        <f t="shared" si="178"/>
        <v>355100_2019_12_Cooling Res</v>
      </c>
      <c r="B1654" s="157"/>
      <c r="C1654" s="1352" t="s">
        <v>1493</v>
      </c>
      <c r="D1654" s="1756" t="s">
        <v>742</v>
      </c>
      <c r="E1654" s="797" t="s">
        <v>1494</v>
      </c>
      <c r="F1654" s="2582">
        <f>ROUND(((K2318*K2446*(1/K2574-1/K2702)*K2830)/1000)*$K$2834,2)</f>
        <v>479.32</v>
      </c>
      <c r="G1654" s="263" t="s">
        <v>1273</v>
      </c>
      <c r="H1654" s="202">
        <f>VLOOKUP(G1654,'CP FACTORS'!$A$3:$B$38, 2, FALSE)</f>
        <v>9.4741810000000004E-4</v>
      </c>
      <c r="I1654" s="1757">
        <f t="shared" si="175"/>
        <v>0.45411600000000002</v>
      </c>
      <c r="J1654" s="141">
        <f>K3001</f>
        <v>18</v>
      </c>
      <c r="K1654" s="908">
        <f>K3171</f>
        <v>1444.3799999999994</v>
      </c>
      <c r="L1654" s="909">
        <f>L1806</f>
        <v>3.3</v>
      </c>
      <c r="M1654" s="1797"/>
      <c r="N1654" s="1794"/>
      <c r="O1654" s="1249"/>
      <c r="P1654" s="157"/>
      <c r="Q1654" s="157"/>
      <c r="R1654" s="1627"/>
      <c r="S1654" s="157"/>
      <c r="T1654" s="157"/>
      <c r="U1654" s="1798"/>
      <c r="V1654" s="2309" t="s">
        <v>20</v>
      </c>
      <c r="W1654" s="910">
        <v>479.31557142857133</v>
      </c>
      <c r="X1654" s="917">
        <v>479.31557142857133</v>
      </c>
      <c r="Y1654" s="825">
        <v>479.32</v>
      </c>
      <c r="Z1654" s="825">
        <v>479.32</v>
      </c>
      <c r="AA1654" s="825">
        <v>479.32</v>
      </c>
      <c r="AB1654" s="2582">
        <v>479.32</v>
      </c>
      <c r="AC1654" s="910"/>
      <c r="AD1654" s="910"/>
      <c r="AE1654" s="910"/>
      <c r="AF1654" s="910"/>
      <c r="AG1654" s="910"/>
      <c r="AH1654" s="211"/>
      <c r="AK1654" s="912"/>
      <c r="BB1654" s="293">
        <f>(BD1654+BD1655)/(BE1654+BE1655)</f>
        <v>0.87998357881258038</v>
      </c>
      <c r="BC1654" s="797" t="str">
        <f t="shared" si="176"/>
        <v>Cooling Res 18 Year EUL</v>
      </c>
      <c r="BD1654" s="752">
        <f>(INDEX('Avoided Cost Benefits'!$C$4:$C$857,MATCH(BC1654,'Avoided Cost Benefits'!$A$4:$A$857,0)))*F1654</f>
        <v>845.42829539518982</v>
      </c>
      <c r="BE1654" s="73">
        <f t="shared" si="184"/>
        <v>1363.2656913638502</v>
      </c>
      <c r="BG1654" s="776"/>
      <c r="BH1654" s="913"/>
      <c r="BI1654" s="776"/>
    </row>
    <row r="1655" spans="1:61" s="64" customFormat="1" x14ac:dyDescent="0.25">
      <c r="A1655" s="1393" t="str">
        <f t="shared" si="178"/>
        <v>355100_2019_12_Heating Res</v>
      </c>
      <c r="B1655" s="157"/>
      <c r="C1655" s="1352" t="s">
        <v>1493</v>
      </c>
      <c r="D1655" s="1756" t="s">
        <v>742</v>
      </c>
      <c r="E1655" s="914" t="s">
        <v>1494</v>
      </c>
      <c r="F1655" s="2582">
        <f>ROUND(((K1806*K1934*(1/K2062-1/K2190)*K2830)/1000)*$K$2834,2)</f>
        <v>766.69</v>
      </c>
      <c r="G1655" s="263" t="s">
        <v>1275</v>
      </c>
      <c r="H1655" s="202">
        <f>VLOOKUP(G1655,'CP FACTORS'!$A$3:$B$38, 2, FALSE)</f>
        <v>0</v>
      </c>
      <c r="I1655" s="1757">
        <f t="shared" si="175"/>
        <v>0</v>
      </c>
      <c r="J1655" s="141">
        <f>K3002</f>
        <v>18</v>
      </c>
      <c r="K1655" s="908">
        <f>K3172</f>
        <v>0</v>
      </c>
      <c r="L1655" s="909"/>
      <c r="M1655" s="1797"/>
      <c r="N1655" s="1794"/>
      <c r="O1655" s="1249"/>
      <c r="P1655" s="157"/>
      <c r="Q1655" s="157"/>
      <c r="R1655" s="1627"/>
      <c r="S1655" s="157"/>
      <c r="T1655" s="157"/>
      <c r="U1655" s="1798"/>
      <c r="V1655" s="2309" t="s">
        <v>20</v>
      </c>
      <c r="W1655" s="910">
        <v>1029.6000000000013</v>
      </c>
      <c r="X1655" s="911">
        <v>766.69069188651167</v>
      </c>
      <c r="Y1655" s="825">
        <v>766.69</v>
      </c>
      <c r="Z1655" s="825">
        <v>766.69</v>
      </c>
      <c r="AA1655" s="825">
        <v>766.69</v>
      </c>
      <c r="AB1655" s="2582">
        <v>766.69</v>
      </c>
      <c r="AC1655" s="910"/>
      <c r="AD1655" s="910"/>
      <c r="AE1655" s="910"/>
      <c r="AF1655" s="910"/>
      <c r="AG1655" s="910"/>
      <c r="AH1655" s="211"/>
      <c r="AK1655" s="912"/>
      <c r="BB1655" s="291"/>
      <c r="BC1655" s="914" t="str">
        <f t="shared" si="176"/>
        <v>Heating Res 18 Year EUL</v>
      </c>
      <c r="BD1655" s="752">
        <f>(INDEX('Avoided Cost Benefits'!$C$4:$C$857,MATCH(BC1655,'Avoided Cost Benefits'!$A$4:$A$857,0)))*F1655</f>
        <v>354.22312656357781</v>
      </c>
      <c r="BE1655" s="73">
        <f t="shared" si="184"/>
        <v>0</v>
      </c>
      <c r="BG1655" s="776"/>
      <c r="BH1655" s="913"/>
      <c r="BI1655" s="776"/>
    </row>
    <row r="1656" spans="1:61" s="64" customFormat="1" x14ac:dyDescent="0.25">
      <c r="A1656" s="1393" t="str">
        <f t="shared" si="178"/>
        <v>355101_2019_12_Cooling Res</v>
      </c>
      <c r="B1656" s="157"/>
      <c r="C1656" s="1352" t="s">
        <v>1495</v>
      </c>
      <c r="D1656" s="1756" t="s">
        <v>737</v>
      </c>
      <c r="E1656" s="742" t="str">
        <f>CONCATENATE(E1654,"_CompE")</f>
        <v>ASHP - SEER 20 - replace on fail MF_CompE</v>
      </c>
      <c r="F1656" s="2582">
        <f>ROUND((($K$2319*$K$2447*(1/$K$2575-1/$K$2703)*$K$2831)/1000)*$K$2834,2)</f>
        <v>348.59</v>
      </c>
      <c r="G1656" s="263" t="str">
        <f>G1654</f>
        <v>Cooling Res</v>
      </c>
      <c r="H1656" s="202">
        <f t="shared" ref="H1656:K1657" si="192">H1654</f>
        <v>9.4741810000000004E-4</v>
      </c>
      <c r="I1656" s="1801">
        <f t="shared" si="175"/>
        <v>0.33026</v>
      </c>
      <c r="J1656" s="141">
        <f t="shared" si="192"/>
        <v>18</v>
      </c>
      <c r="K1656" s="908">
        <f t="shared" si="192"/>
        <v>1444.3799999999994</v>
      </c>
      <c r="L1656" s="909">
        <f>L1654</f>
        <v>3.3</v>
      </c>
      <c r="M1656" s="1797"/>
      <c r="N1656" s="1794"/>
      <c r="O1656" s="1249"/>
      <c r="P1656" s="157"/>
      <c r="Q1656" s="157"/>
      <c r="R1656" s="1627"/>
      <c r="S1656" s="157"/>
      <c r="T1656" s="157"/>
      <c r="U1656" s="1798"/>
      <c r="V1656" s="2309" t="s">
        <v>20</v>
      </c>
      <c r="W1656" s="910"/>
      <c r="X1656" s="911"/>
      <c r="Y1656" s="830">
        <v>348.59</v>
      </c>
      <c r="Z1656" s="825">
        <v>348.59</v>
      </c>
      <c r="AA1656" s="825">
        <v>348.59</v>
      </c>
      <c r="AB1656" s="2582">
        <v>348.59</v>
      </c>
      <c r="AC1656" s="910"/>
      <c r="AD1656" s="910"/>
      <c r="AE1656" s="910"/>
      <c r="AF1656" s="910"/>
      <c r="AG1656" s="910"/>
      <c r="AH1656" s="211"/>
      <c r="AK1656" s="912"/>
      <c r="BB1656" s="293">
        <f>(BD1656+BD1657)/(BE1656+BE1657)</f>
        <v>0.5395887768356824</v>
      </c>
      <c r="BC1656" s="797" t="str">
        <f t="shared" si="176"/>
        <v>Cooling Res 18 Year EUL</v>
      </c>
      <c r="BD1656" s="752">
        <f>(INDEX('Avoided Cost Benefits'!$C$4:$C$857,MATCH(BC1656,'Avoided Cost Benefits'!$A$4:$A$857,0)))*F1656</f>
        <v>614.8457178749253</v>
      </c>
      <c r="BE1656" s="73">
        <f t="shared" si="184"/>
        <v>1363.2656913638502</v>
      </c>
      <c r="BG1656" s="776"/>
      <c r="BH1656" s="916"/>
      <c r="BI1656" s="776"/>
    </row>
    <row r="1657" spans="1:61" s="64" customFormat="1" x14ac:dyDescent="0.25">
      <c r="A1657" s="1393" t="str">
        <f t="shared" si="178"/>
        <v>355101_2019_12_Heating Res</v>
      </c>
      <c r="B1657" s="157"/>
      <c r="C1657" s="1352" t="str">
        <f>C1656</f>
        <v>355101_2019_12_</v>
      </c>
      <c r="D1657" s="1756" t="s">
        <v>737</v>
      </c>
      <c r="E1657" s="750" t="str">
        <f>CONCATENATE(E1655,"_CompE")</f>
        <v>ASHP - SEER 20 - replace on fail MF_CompE</v>
      </c>
      <c r="F1657" s="2582">
        <f>ROUND((($K$1807*$K$1935*(1/$K$2063-1/$K$2191)*$K$2831)/1000)*$K$2834,2)</f>
        <v>261.37</v>
      </c>
      <c r="G1657" s="263" t="str">
        <f>G1655</f>
        <v>Heating Res</v>
      </c>
      <c r="H1657" s="202">
        <f t="shared" si="192"/>
        <v>0</v>
      </c>
      <c r="I1657" s="1801">
        <f t="shared" si="175"/>
        <v>0</v>
      </c>
      <c r="J1657" s="141">
        <f t="shared" si="192"/>
        <v>18</v>
      </c>
      <c r="K1657" s="908">
        <f t="shared" si="192"/>
        <v>0</v>
      </c>
      <c r="L1657" s="909"/>
      <c r="M1657" s="1797"/>
      <c r="N1657" s="1794"/>
      <c r="O1657" s="1249"/>
      <c r="P1657" s="157"/>
      <c r="Q1657" s="157"/>
      <c r="R1657" s="1627"/>
      <c r="S1657" s="157"/>
      <c r="T1657" s="157"/>
      <c r="U1657" s="1798"/>
      <c r="V1657" s="2309" t="s">
        <v>20</v>
      </c>
      <c r="W1657" s="910"/>
      <c r="X1657" s="911"/>
      <c r="Y1657" s="830">
        <v>261.37</v>
      </c>
      <c r="Z1657" s="825">
        <v>261.37</v>
      </c>
      <c r="AA1657" s="825">
        <v>261.37</v>
      </c>
      <c r="AB1657" s="2582">
        <v>261.37</v>
      </c>
      <c r="AC1657" s="910"/>
      <c r="AD1657" s="910"/>
      <c r="AE1657" s="910"/>
      <c r="AF1657" s="910"/>
      <c r="AG1657" s="910"/>
      <c r="AH1657" s="211"/>
      <c r="AK1657" s="912"/>
      <c r="BB1657" s="291"/>
      <c r="BC1657" s="914" t="str">
        <f t="shared" si="176"/>
        <v>Heating Res 18 Year EUL</v>
      </c>
      <c r="BD1657" s="752">
        <f>(INDEX('Avoided Cost Benefits'!$C$4:$C$857,MATCH(BC1657,'Avoided Cost Benefits'!$A$4:$A$857,0)))*F1657</f>
        <v>120.7571490301456</v>
      </c>
      <c r="BE1657" s="73">
        <f t="shared" si="184"/>
        <v>0</v>
      </c>
      <c r="BG1657" s="776"/>
      <c r="BH1657" s="916"/>
      <c r="BI1657" s="776"/>
    </row>
    <row r="1658" spans="1:61" s="64" customFormat="1" x14ac:dyDescent="0.25">
      <c r="A1658" s="1393" t="str">
        <f t="shared" si="178"/>
        <v>355150_2019_12_Cooling Res</v>
      </c>
      <c r="B1658" s="157"/>
      <c r="C1658" s="1352" t="s">
        <v>1496</v>
      </c>
      <c r="D1658" s="1756" t="s">
        <v>742</v>
      </c>
      <c r="E1658" s="797" t="s">
        <v>1497</v>
      </c>
      <c r="F1658" s="2582">
        <f>ROUND(((K2320*K2448*(1/K2576-1/K2704)*K2832)/1000)*$K$2834,2)</f>
        <v>532.57000000000005</v>
      </c>
      <c r="G1658" s="263" t="s">
        <v>1273</v>
      </c>
      <c r="H1658" s="202">
        <f>VLOOKUP(G1658,'CP FACTORS'!$A$3:$B$38, 2, FALSE)</f>
        <v>9.4741810000000004E-4</v>
      </c>
      <c r="I1658" s="1757">
        <f t="shared" si="175"/>
        <v>0.50456599999999996</v>
      </c>
      <c r="J1658" s="141">
        <f>K3003</f>
        <v>18</v>
      </c>
      <c r="K1658" s="908">
        <f>K3173</f>
        <v>1689.9245999999991</v>
      </c>
      <c r="L1658" s="909">
        <f>L1808</f>
        <v>3.3</v>
      </c>
      <c r="M1658" s="1797"/>
      <c r="N1658" s="1794"/>
      <c r="O1658" s="1249"/>
      <c r="P1658" s="157"/>
      <c r="Q1658" s="157"/>
      <c r="R1658" s="1627"/>
      <c r="S1658" s="157"/>
      <c r="T1658" s="157"/>
      <c r="U1658" s="1798"/>
      <c r="V1658" s="2309" t="s">
        <v>20</v>
      </c>
      <c r="W1658" s="910">
        <v>532.57285714285706</v>
      </c>
      <c r="X1658" s="917">
        <v>532.57285714285706</v>
      </c>
      <c r="Y1658" s="825">
        <v>532.57000000000005</v>
      </c>
      <c r="Z1658" s="825">
        <v>532.57000000000005</v>
      </c>
      <c r="AA1658" s="825">
        <v>532.57000000000005</v>
      </c>
      <c r="AB1658" s="2582">
        <v>532.57000000000005</v>
      </c>
      <c r="AC1658" s="910"/>
      <c r="AD1658" s="910"/>
      <c r="AE1658" s="910"/>
      <c r="AF1658" s="910"/>
      <c r="AG1658" s="910"/>
      <c r="AH1658" s="211"/>
      <c r="AK1658" s="912"/>
      <c r="BB1658" s="293">
        <f>(BD1658+BD1659)/(BE1658+BE1659)</f>
        <v>0.81100768902567399</v>
      </c>
      <c r="BC1658" s="797" t="str">
        <f t="shared" si="176"/>
        <v>Cooling Res 18 Year EUL</v>
      </c>
      <c r="BD1658" s="752">
        <f>(INDEX('Avoided Cost Benefits'!$C$4:$C$857,MATCH(BC1658,'Avoided Cost Benefits'!$A$4:$A$857,0)))*F1658</f>
        <v>939.35105415717328</v>
      </c>
      <c r="BE1658" s="73">
        <f t="shared" si="184"/>
        <v>1595.0208588957046</v>
      </c>
      <c r="BG1658" s="776"/>
      <c r="BH1658" s="913"/>
      <c r="BI1658" s="776"/>
    </row>
    <row r="1659" spans="1:61" s="64" customFormat="1" x14ac:dyDescent="0.25">
      <c r="A1659" s="1393" t="str">
        <f t="shared" si="178"/>
        <v>355150_2019_12_Heating Res</v>
      </c>
      <c r="B1659" s="157"/>
      <c r="C1659" s="1352" t="s">
        <v>1496</v>
      </c>
      <c r="D1659" s="1756" t="s">
        <v>742</v>
      </c>
      <c r="E1659" s="914" t="s">
        <v>1497</v>
      </c>
      <c r="F1659" s="2582">
        <f>ROUND(((K1808*K1936*(1/K2064-1/K2192)*K2832)/1000)*$K$2834,2)</f>
        <v>766.69</v>
      </c>
      <c r="G1659" s="263" t="s">
        <v>1275</v>
      </c>
      <c r="H1659" s="202">
        <f>VLOOKUP(G1659,'CP FACTORS'!$A$3:$B$38, 2, FALSE)</f>
        <v>0</v>
      </c>
      <c r="I1659" s="1757">
        <f t="shared" si="175"/>
        <v>0</v>
      </c>
      <c r="J1659" s="141">
        <f>K3004</f>
        <v>18</v>
      </c>
      <c r="K1659" s="908">
        <f>K3174</f>
        <v>0</v>
      </c>
      <c r="L1659" s="909"/>
      <c r="M1659" s="1797"/>
      <c r="N1659" s="1794"/>
      <c r="O1659" s="1249"/>
      <c r="P1659" s="157"/>
      <c r="Q1659" s="157"/>
      <c r="R1659" s="1627"/>
      <c r="S1659" s="157"/>
      <c r="T1659" s="157"/>
      <c r="U1659" s="1798"/>
      <c r="V1659" s="2309" t="s">
        <v>20</v>
      </c>
      <c r="W1659" s="910">
        <v>1029.6000000000013</v>
      </c>
      <c r="X1659" s="911">
        <v>766.69069188651167</v>
      </c>
      <c r="Y1659" s="825">
        <v>766.69</v>
      </c>
      <c r="Z1659" s="825">
        <v>766.69</v>
      </c>
      <c r="AA1659" s="825">
        <v>766.69</v>
      </c>
      <c r="AB1659" s="2582">
        <v>766.69</v>
      </c>
      <c r="AC1659" s="910"/>
      <c r="AD1659" s="910"/>
      <c r="AE1659" s="910"/>
      <c r="AF1659" s="910"/>
      <c r="AG1659" s="910"/>
      <c r="AH1659" s="211"/>
      <c r="AK1659" s="912"/>
      <c r="BB1659" s="291"/>
      <c r="BC1659" s="914" t="str">
        <f t="shared" si="176"/>
        <v>Heating Res 18 Year EUL</v>
      </c>
      <c r="BD1659" s="752">
        <f>(INDEX('Avoided Cost Benefits'!$C$4:$C$857,MATCH(BC1659,'Avoided Cost Benefits'!$A$4:$A$857,0)))*F1659</f>
        <v>354.22312656357781</v>
      </c>
      <c r="BE1659" s="73">
        <f t="shared" si="184"/>
        <v>0</v>
      </c>
      <c r="BG1659" s="776"/>
      <c r="BH1659" s="913"/>
      <c r="BI1659" s="776"/>
    </row>
    <row r="1660" spans="1:61" s="64" customFormat="1" x14ac:dyDescent="0.25">
      <c r="A1660" s="1393" t="str">
        <f t="shared" si="178"/>
        <v>355151_2019_12_Cooling Res</v>
      </c>
      <c r="B1660" s="157"/>
      <c r="C1660" s="1352" t="s">
        <v>1498</v>
      </c>
      <c r="D1660" s="1756" t="s">
        <v>737</v>
      </c>
      <c r="E1660" s="742" t="str">
        <f>CONCATENATE(E1658,"_CompE")</f>
        <v>ASHP - SEER 21 - replace on fail MF_CompE</v>
      </c>
      <c r="F1660" s="2582">
        <f>ROUND((($K$2321*$K$2449*(1/$K$2577-1/$K$2705)*$K$2833)/1000)*$K$2834,2)</f>
        <v>387.33</v>
      </c>
      <c r="G1660" s="263" t="str">
        <f>G1658</f>
        <v>Cooling Res</v>
      </c>
      <c r="H1660" s="202">
        <f t="shared" ref="H1660:K1661" si="193">H1658</f>
        <v>9.4741810000000004E-4</v>
      </c>
      <c r="I1660" s="1801">
        <f>ROUND(F1660*H1660,6)</f>
        <v>0.36696299999999998</v>
      </c>
      <c r="J1660" s="141">
        <f t="shared" si="193"/>
        <v>18</v>
      </c>
      <c r="K1660" s="908">
        <f t="shared" si="193"/>
        <v>1689.9245999999991</v>
      </c>
      <c r="L1660" s="909">
        <f>L1658</f>
        <v>3.3</v>
      </c>
      <c r="M1660" s="1797"/>
      <c r="N1660" s="1794"/>
      <c r="O1660" s="1249"/>
      <c r="P1660" s="157"/>
      <c r="Q1660" s="157"/>
      <c r="R1660" s="1627"/>
      <c r="S1660" s="157"/>
      <c r="T1660" s="157"/>
      <c r="U1660" s="1798"/>
      <c r="V1660" s="2309" t="s">
        <v>20</v>
      </c>
      <c r="W1660" s="910"/>
      <c r="X1660" s="917"/>
      <c r="Y1660" s="830">
        <v>387.33</v>
      </c>
      <c r="Z1660" s="825">
        <v>387.33</v>
      </c>
      <c r="AA1660" s="825">
        <v>387.33</v>
      </c>
      <c r="AB1660" s="2582">
        <v>387.33</v>
      </c>
      <c r="AC1660" s="910"/>
      <c r="AD1660" s="910"/>
      <c r="AE1660" s="910"/>
      <c r="AF1660" s="910"/>
      <c r="AG1660" s="910"/>
      <c r="AH1660" s="211"/>
      <c r="AK1660" s="912"/>
      <c r="BB1660" s="293">
        <f>(BD1660+BD1661)/(BE1660+BE1661)</f>
        <v>0.5040264970834335</v>
      </c>
      <c r="BC1660" s="797" t="str">
        <f>CONCATENATE(G1660," ",J1660," Year EUL")</f>
        <v>Cooling Res 18 Year EUL</v>
      </c>
      <c r="BD1660" s="752">
        <f>(INDEX('Avoided Cost Benefits'!$C$4:$C$857,MATCH(BC1660,'Avoided Cost Benefits'!$A$4:$A$857,0)))*F1660</f>
        <v>683.17562725406594</v>
      </c>
      <c r="BE1660" s="73">
        <f t="shared" si="184"/>
        <v>1595.0208588957046</v>
      </c>
      <c r="BG1660" s="776"/>
      <c r="BH1660" s="916"/>
      <c r="BI1660" s="776"/>
    </row>
    <row r="1661" spans="1:61" s="64" customFormat="1" x14ac:dyDescent="0.25">
      <c r="A1661" s="1393" t="str">
        <f t="shared" si="178"/>
        <v>355151_2019_12_Heating Res</v>
      </c>
      <c r="B1661" s="157"/>
      <c r="C1661" s="1352" t="str">
        <f>C1660</f>
        <v>355151_2019_12_</v>
      </c>
      <c r="D1661" s="1756" t="s">
        <v>737</v>
      </c>
      <c r="E1661" s="750" t="str">
        <f>CONCATENATE(E1659,"_CompE")</f>
        <v>ASHP - SEER 21 - replace on fail MF_CompE</v>
      </c>
      <c r="F1661" s="2582">
        <f>ROUND((($K$1809*$K$1937*(1/$K$2065-1/$K$2193)*$K$2833)/1000)*$K$2834,2)</f>
        <v>261.37</v>
      </c>
      <c r="G1661" s="263" t="str">
        <f>G1659</f>
        <v>Heating Res</v>
      </c>
      <c r="H1661" s="202">
        <f t="shared" si="193"/>
        <v>0</v>
      </c>
      <c r="I1661" s="1801">
        <f>ROUND(F1661*H1661,6)</f>
        <v>0</v>
      </c>
      <c r="J1661" s="141">
        <f t="shared" si="193"/>
        <v>18</v>
      </c>
      <c r="K1661" s="908">
        <f t="shared" si="193"/>
        <v>0</v>
      </c>
      <c r="L1661" s="909"/>
      <c r="M1661" s="1797"/>
      <c r="N1661" s="1794"/>
      <c r="O1661" s="1249"/>
      <c r="P1661" s="157"/>
      <c r="Q1661" s="157"/>
      <c r="R1661" s="1627"/>
      <c r="S1661" s="157"/>
      <c r="T1661" s="157"/>
      <c r="U1661" s="1798"/>
      <c r="V1661" s="2309" t="s">
        <v>20</v>
      </c>
      <c r="W1661" s="910"/>
      <c r="X1661" s="911"/>
      <c r="Y1661" s="830">
        <v>261.37</v>
      </c>
      <c r="Z1661" s="825">
        <v>261.37</v>
      </c>
      <c r="AA1661" s="825">
        <v>261.37</v>
      </c>
      <c r="AB1661" s="2582">
        <v>261.37</v>
      </c>
      <c r="AC1661" s="910"/>
      <c r="AD1661" s="910"/>
      <c r="AE1661" s="910"/>
      <c r="AF1661" s="910"/>
      <c r="AG1661" s="910"/>
      <c r="AH1661" s="211"/>
      <c r="AK1661" s="912"/>
      <c r="BB1661" s="295"/>
      <c r="BC1661" s="914" t="str">
        <f>CONCATENATE(G1661," ",J1661," Year EUL")</f>
        <v>Heating Res 18 Year EUL</v>
      </c>
      <c r="BD1661" s="756">
        <f>(INDEX('Avoided Cost Benefits'!$C$4:$C$857,MATCH(BC1661,'Avoided Cost Benefits'!$A$4:$A$857,0)))*F1661</f>
        <v>120.7571490301456</v>
      </c>
      <c r="BE1661" s="75">
        <f t="shared" si="184"/>
        <v>0</v>
      </c>
      <c r="BG1661" s="776"/>
      <c r="BH1661" s="916"/>
      <c r="BI1661" s="776"/>
    </row>
    <row r="1662" spans="1:61" s="64" customFormat="1" outlineLevel="1" x14ac:dyDescent="0.25">
      <c r="A1662" s="1393"/>
      <c r="B1662" s="157"/>
      <c r="C1662" s="385"/>
      <c r="D1662" s="386"/>
      <c r="E1662" s="386" t="s">
        <v>1268</v>
      </c>
      <c r="F1662" s="1692"/>
      <c r="G1662" s="1781"/>
      <c r="H1662" s="385"/>
      <c r="I1662" s="385"/>
      <c r="J1662" s="385"/>
      <c r="K1662" s="385"/>
      <c r="L1662" s="385"/>
      <c r="M1662" s="385"/>
      <c r="N1662" s="1802"/>
      <c r="O1662" s="157"/>
      <c r="P1662" s="157"/>
      <c r="Q1662" s="386"/>
      <c r="R1662" s="157"/>
      <c r="S1662" s="157"/>
      <c r="T1662" s="157"/>
      <c r="U1662" s="157"/>
      <c r="V1662" s="157"/>
      <c r="BB1662" s="647"/>
      <c r="BC1662" s="920"/>
      <c r="BD1662" s="757"/>
      <c r="BE1662" s="659"/>
    </row>
    <row r="1663" spans="1:61" s="64" customFormat="1" outlineLevel="1" x14ac:dyDescent="0.25">
      <c r="A1663" s="1393"/>
      <c r="B1663" s="157"/>
      <c r="C1663" s="385"/>
      <c r="D1663" s="386"/>
      <c r="E1663" s="386"/>
      <c r="F1663" s="1692"/>
      <c r="G1663" s="1781"/>
      <c r="H1663" s="385"/>
      <c r="I1663" s="385"/>
      <c r="J1663" s="385"/>
      <c r="K1663" s="385"/>
      <c r="L1663" s="385"/>
      <c r="M1663" s="385"/>
      <c r="N1663" s="157"/>
      <c r="O1663" s="157"/>
      <c r="P1663" s="157"/>
      <c r="Q1663" s="386"/>
      <c r="R1663" s="157"/>
      <c r="S1663" s="157"/>
      <c r="T1663" s="157"/>
      <c r="U1663" s="157"/>
      <c r="V1663" s="157"/>
      <c r="BB1663" s="647"/>
      <c r="BC1663" s="648"/>
      <c r="BD1663" s="757"/>
      <c r="BE1663" s="659"/>
    </row>
    <row r="1664" spans="1:61" s="64" customFormat="1" outlineLevel="1" x14ac:dyDescent="0.25">
      <c r="A1664" s="1393"/>
      <c r="B1664" s="157"/>
      <c r="C1664" s="385"/>
      <c r="D1664" s="222" t="s">
        <v>571</v>
      </c>
      <c r="E1664" s="758"/>
      <c r="F1664" s="157"/>
      <c r="G1664" s="386"/>
      <c r="H1664" s="157"/>
      <c r="I1664" s="413"/>
      <c r="J1664" s="157"/>
      <c r="K1664" s="157"/>
      <c r="L1664" s="157"/>
      <c r="M1664" s="157"/>
      <c r="N1664" s="157"/>
      <c r="O1664" s="157"/>
      <c r="P1664" s="157"/>
      <c r="Q1664" s="157"/>
      <c r="R1664" s="157"/>
      <c r="S1664" s="157"/>
      <c r="T1664" s="157"/>
      <c r="U1664" s="157"/>
      <c r="V1664" s="157"/>
      <c r="BB1664" s="647"/>
      <c r="BC1664" s="648"/>
      <c r="BD1664" s="757"/>
      <c r="BE1664" s="659"/>
    </row>
    <row r="1665" spans="1:57" s="64" customFormat="1" outlineLevel="1" x14ac:dyDescent="0.25">
      <c r="A1665" s="1393"/>
      <c r="B1665" s="157"/>
      <c r="C1665" s="385"/>
      <c r="D1665" s="386"/>
      <c r="E1665" s="386"/>
      <c r="F1665" s="157"/>
      <c r="G1665" s="600"/>
      <c r="H1665" s="385"/>
      <c r="I1665" s="413"/>
      <c r="J1665" s="157"/>
      <c r="K1665" s="157"/>
      <c r="L1665" s="157"/>
      <c r="M1665" s="157"/>
      <c r="N1665" s="157"/>
      <c r="O1665" s="157"/>
      <c r="P1665" s="157"/>
      <c r="Q1665" s="157"/>
      <c r="R1665" s="157"/>
      <c r="S1665" s="157"/>
      <c r="T1665" s="157"/>
      <c r="U1665" s="157"/>
      <c r="V1665" s="157"/>
      <c r="BB1665" s="647"/>
      <c r="BC1665" s="648"/>
      <c r="BD1665" s="757"/>
      <c r="BE1665" s="659"/>
    </row>
    <row r="1666" spans="1:57" s="64" customFormat="1" outlineLevel="1" x14ac:dyDescent="0.25">
      <c r="A1666" s="1393"/>
      <c r="B1666" s="157"/>
      <c r="C1666" s="385"/>
      <c r="D1666" s="386"/>
      <c r="E1666" s="758"/>
      <c r="F1666" s="768"/>
      <c r="G1666" s="600"/>
      <c r="H1666" s="385"/>
      <c r="I1666" s="413"/>
      <c r="J1666" s="157"/>
      <c r="K1666" s="157"/>
      <c r="L1666" s="157"/>
      <c r="M1666" s="157"/>
      <c r="N1666" s="157"/>
      <c r="O1666" s="157"/>
      <c r="P1666" s="157"/>
      <c r="Q1666" s="157"/>
      <c r="R1666" s="157"/>
      <c r="S1666" s="157"/>
      <c r="T1666" s="157"/>
      <c r="U1666" s="157"/>
      <c r="V1666" s="157"/>
      <c r="BB1666" s="647"/>
      <c r="BC1666" s="648"/>
      <c r="BD1666" s="757"/>
      <c r="BE1666" s="659"/>
    </row>
    <row r="1667" spans="1:57" s="64" customFormat="1" outlineLevel="1" x14ac:dyDescent="0.25">
      <c r="A1667" s="1393"/>
      <c r="B1667" s="157"/>
      <c r="C1667" s="385"/>
      <c r="D1667" s="386"/>
      <c r="E1667" s="758"/>
      <c r="F1667" s="768"/>
      <c r="G1667" s="600"/>
      <c r="H1667" s="385"/>
      <c r="I1667" s="413"/>
      <c r="J1667" s="157"/>
      <c r="K1667" s="157"/>
      <c r="L1667" s="157"/>
      <c r="M1667" s="157"/>
      <c r="N1667" s="157"/>
      <c r="O1667" s="157"/>
      <c r="P1667" s="157"/>
      <c r="Q1667" s="587"/>
      <c r="R1667" s="587"/>
      <c r="S1667" s="587"/>
      <c r="T1667" s="587"/>
      <c r="U1667" s="157"/>
      <c r="V1667" s="157"/>
      <c r="BB1667" s="647"/>
      <c r="BC1667" s="648"/>
      <c r="BD1667" s="757"/>
      <c r="BE1667" s="659"/>
    </row>
    <row r="1668" spans="1:57" s="64" customFormat="1" outlineLevel="1" x14ac:dyDescent="0.25">
      <c r="A1668" s="1393"/>
      <c r="B1668" s="157"/>
      <c r="C1668" s="385"/>
      <c r="D1668" s="386"/>
      <c r="E1668" s="758"/>
      <c r="F1668" s="768"/>
      <c r="G1668" s="600"/>
      <c r="H1668" s="385"/>
      <c r="I1668" s="413"/>
      <c r="J1668" s="157"/>
      <c r="K1668" s="157"/>
      <c r="L1668" s="157"/>
      <c r="M1668" s="157"/>
      <c r="N1668" s="157"/>
      <c r="O1668" s="157"/>
      <c r="P1668" s="157"/>
      <c r="Q1668" s="587"/>
      <c r="R1668" s="587"/>
      <c r="S1668" s="587"/>
      <c r="T1668" s="587"/>
      <c r="U1668" s="157"/>
      <c r="V1668" s="157"/>
      <c r="BB1668" s="647"/>
      <c r="BC1668" s="648"/>
      <c r="BD1668" s="757"/>
      <c r="BE1668" s="659"/>
    </row>
    <row r="1669" spans="1:57" s="64" customFormat="1" outlineLevel="1" x14ac:dyDescent="0.25">
      <c r="A1669" s="1393"/>
      <c r="B1669" s="157"/>
      <c r="C1669" s="385"/>
      <c r="D1669" s="386"/>
      <c r="E1669" s="758"/>
      <c r="F1669" s="768"/>
      <c r="G1669" s="600"/>
      <c r="H1669" s="385"/>
      <c r="I1669" s="413"/>
      <c r="J1669" s="157"/>
      <c r="K1669" s="157"/>
      <c r="L1669" s="157"/>
      <c r="M1669" s="157"/>
      <c r="N1669" s="157"/>
      <c r="O1669" s="157"/>
      <c r="P1669" s="157"/>
      <c r="Q1669" s="587"/>
      <c r="R1669" s="587"/>
      <c r="S1669" s="587"/>
      <c r="T1669" s="587"/>
      <c r="U1669" s="157"/>
      <c r="V1669" s="157"/>
      <c r="BB1669" s="647"/>
      <c r="BC1669" s="648"/>
      <c r="BD1669" s="757"/>
      <c r="BE1669" s="659"/>
    </row>
    <row r="1670" spans="1:57" s="64" customFormat="1" outlineLevel="1" x14ac:dyDescent="0.25">
      <c r="A1670" s="1393"/>
      <c r="B1670" s="157"/>
      <c r="C1670" s="385"/>
      <c r="D1670" s="386" t="s">
        <v>1165</v>
      </c>
      <c r="E1670" s="758"/>
      <c r="F1670" s="768"/>
      <c r="G1670" s="600"/>
      <c r="H1670" s="385"/>
      <c r="I1670" s="413"/>
      <c r="J1670" s="157"/>
      <c r="K1670" s="157"/>
      <c r="L1670" s="157"/>
      <c r="M1670" s="157"/>
      <c r="N1670" s="157"/>
      <c r="O1670" s="157"/>
      <c r="P1670" s="157"/>
      <c r="Q1670" s="587"/>
      <c r="R1670" s="921"/>
      <c r="S1670" s="2154"/>
      <c r="T1670" s="587"/>
      <c r="U1670" s="157"/>
      <c r="V1670" s="157"/>
      <c r="BB1670" s="647"/>
      <c r="BC1670" s="648"/>
      <c r="BD1670" s="757"/>
      <c r="BE1670" s="659"/>
    </row>
    <row r="1671" spans="1:57" s="64" customFormat="1" outlineLevel="1" x14ac:dyDescent="0.25">
      <c r="A1671" s="1393"/>
      <c r="B1671" s="157"/>
      <c r="C1671" s="385"/>
      <c r="D1671" s="386"/>
      <c r="E1671" s="758"/>
      <c r="F1671" s="768"/>
      <c r="G1671" s="600"/>
      <c r="H1671" s="385"/>
      <c r="I1671" s="413"/>
      <c r="J1671" s="157"/>
      <c r="K1671" s="157"/>
      <c r="L1671" s="157"/>
      <c r="M1671" s="157"/>
      <c r="N1671" s="157"/>
      <c r="O1671" s="157"/>
      <c r="P1671" s="157"/>
      <c r="Q1671" s="587"/>
      <c r="R1671" s="921"/>
      <c r="S1671" s="1803"/>
      <c r="T1671" s="587"/>
      <c r="U1671" s="157"/>
      <c r="V1671" s="157"/>
      <c r="BB1671" s="647"/>
      <c r="BC1671" s="648"/>
      <c r="BD1671" s="757"/>
      <c r="BE1671" s="659"/>
    </row>
    <row r="1672" spans="1:57" s="64" customFormat="1" outlineLevel="1" x14ac:dyDescent="0.25">
      <c r="A1672" s="1393"/>
      <c r="B1672" s="157"/>
      <c r="C1672" s="385"/>
      <c r="D1672" s="386"/>
      <c r="E1672" s="758"/>
      <c r="F1672" s="768"/>
      <c r="G1672" s="600"/>
      <c r="H1672" s="385"/>
      <c r="I1672" s="413"/>
      <c r="J1672" s="157"/>
      <c r="K1672" s="157"/>
      <c r="L1672" s="157"/>
      <c r="M1672" s="157"/>
      <c r="N1672" s="157"/>
      <c r="O1672" s="157"/>
      <c r="P1672" s="157"/>
      <c r="Q1672" s="587"/>
      <c r="R1672" s="921"/>
      <c r="S1672" s="1803"/>
      <c r="T1672" s="587"/>
      <c r="U1672" s="157"/>
      <c r="V1672" s="157"/>
      <c r="BB1672" s="647"/>
      <c r="BC1672" s="648"/>
      <c r="BD1672" s="757"/>
      <c r="BE1672" s="659"/>
    </row>
    <row r="1673" spans="1:57" s="64" customFormat="1" outlineLevel="1" x14ac:dyDescent="0.25">
      <c r="A1673" s="1393"/>
      <c r="B1673" s="157"/>
      <c r="C1673" s="385"/>
      <c r="D1673" s="386"/>
      <c r="E1673" s="758"/>
      <c r="F1673" s="768"/>
      <c r="G1673" s="600"/>
      <c r="H1673" s="385"/>
      <c r="I1673" s="413"/>
      <c r="J1673" s="157"/>
      <c r="K1673" s="157"/>
      <c r="L1673" s="157"/>
      <c r="M1673" s="157"/>
      <c r="N1673" s="157"/>
      <c r="O1673" s="157"/>
      <c r="P1673" s="157"/>
      <c r="Q1673" s="587"/>
      <c r="R1673" s="921"/>
      <c r="S1673" s="1803"/>
      <c r="T1673" s="587"/>
      <c r="U1673" s="157"/>
      <c r="V1673" s="157"/>
      <c r="BB1673" s="647"/>
      <c r="BC1673" s="648"/>
      <c r="BD1673" s="757"/>
      <c r="BE1673" s="659"/>
    </row>
    <row r="1674" spans="1:57" s="64" customFormat="1" outlineLevel="1" x14ac:dyDescent="0.25">
      <c r="A1674" s="1393"/>
      <c r="B1674" s="157"/>
      <c r="C1674" s="385"/>
      <c r="D1674" s="386"/>
      <c r="E1674" s="758"/>
      <c r="F1674" s="768"/>
      <c r="G1674" s="600"/>
      <c r="H1674" s="385"/>
      <c r="I1674" s="413"/>
      <c r="J1674" s="157"/>
      <c r="K1674" s="157"/>
      <c r="L1674" s="157"/>
      <c r="M1674" s="157"/>
      <c r="N1674" s="157"/>
      <c r="O1674" s="157"/>
      <c r="P1674" s="157"/>
      <c r="Q1674" s="587"/>
      <c r="R1674" s="921"/>
      <c r="S1674" s="1803"/>
      <c r="T1674" s="587"/>
      <c r="U1674" s="157"/>
      <c r="V1674" s="157"/>
      <c r="BB1674" s="647"/>
      <c r="BC1674" s="648"/>
      <c r="BD1674" s="757"/>
      <c r="BE1674" s="659"/>
    </row>
    <row r="1675" spans="1:57" s="64" customFormat="1" outlineLevel="1" x14ac:dyDescent="0.25">
      <c r="A1675" s="1393"/>
      <c r="B1675" s="157"/>
      <c r="C1675" s="385"/>
      <c r="D1675" s="386"/>
      <c r="E1675" s="386"/>
      <c r="F1675" s="768"/>
      <c r="G1675" s="600"/>
      <c r="H1675" s="385"/>
      <c r="I1675" s="413"/>
      <c r="J1675" s="157"/>
      <c r="K1675" s="157"/>
      <c r="L1675" s="157"/>
      <c r="M1675" s="157"/>
      <c r="N1675" s="157"/>
      <c r="O1675" s="157"/>
      <c r="P1675" s="157"/>
      <c r="Q1675" s="587"/>
      <c r="R1675" s="921"/>
      <c r="S1675" s="1803"/>
      <c r="T1675" s="587"/>
      <c r="U1675" s="157"/>
      <c r="V1675" s="3270"/>
      <c r="BB1675" s="647"/>
      <c r="BC1675" s="648"/>
      <c r="BD1675" s="757"/>
      <c r="BE1675" s="659"/>
    </row>
    <row r="1676" spans="1:57" s="64" customFormat="1" outlineLevel="1" x14ac:dyDescent="0.25">
      <c r="A1676" s="1393"/>
      <c r="B1676" s="157"/>
      <c r="C1676" s="385"/>
      <c r="D1676" s="386" t="s">
        <v>1248</v>
      </c>
      <c r="E1676" s="386"/>
      <c r="F1676" s="768"/>
      <c r="G1676" s="600"/>
      <c r="H1676" s="385"/>
      <c r="I1676" s="413"/>
      <c r="J1676" s="157"/>
      <c r="K1676" s="157"/>
      <c r="L1676" s="157"/>
      <c r="M1676" s="157"/>
      <c r="N1676" s="157"/>
      <c r="O1676" s="157"/>
      <c r="P1676" s="157"/>
      <c r="Q1676" s="587"/>
      <c r="R1676" s="921"/>
      <c r="S1676" s="1803"/>
      <c r="T1676" s="587"/>
      <c r="U1676" s="157"/>
      <c r="V1676" s="157"/>
      <c r="BB1676" s="647"/>
      <c r="BC1676" s="648"/>
      <c r="BD1676" s="757"/>
      <c r="BE1676" s="659"/>
    </row>
    <row r="1677" spans="1:57" s="64" customFormat="1" outlineLevel="1" x14ac:dyDescent="0.25">
      <c r="A1677" s="1393"/>
      <c r="B1677" s="157"/>
      <c r="C1677" s="385"/>
      <c r="D1677" s="386"/>
      <c r="E1677" s="386"/>
      <c r="F1677" s="768"/>
      <c r="G1677" s="600"/>
      <c r="H1677" s="385"/>
      <c r="I1677" s="413"/>
      <c r="J1677" s="157"/>
      <c r="K1677" s="157"/>
      <c r="L1677" s="157"/>
      <c r="M1677" s="157"/>
      <c r="N1677" s="157"/>
      <c r="O1677" s="157"/>
      <c r="P1677" s="157"/>
      <c r="Q1677" s="587"/>
      <c r="R1677" s="921"/>
      <c r="S1677" s="587"/>
      <c r="T1677" s="587"/>
      <c r="U1677" s="157"/>
      <c r="V1677" s="157"/>
      <c r="W1677" s="922"/>
      <c r="BB1677" s="647"/>
      <c r="BC1677" s="648"/>
      <c r="BD1677" s="757"/>
      <c r="BE1677" s="659"/>
    </row>
    <row r="1678" spans="1:57" s="64" customFormat="1" outlineLevel="1" x14ac:dyDescent="0.25">
      <c r="A1678" s="1393"/>
      <c r="B1678" s="157"/>
      <c r="C1678" s="385"/>
      <c r="D1678" s="386"/>
      <c r="E1678" s="386"/>
      <c r="F1678" s="768"/>
      <c r="G1678" s="600"/>
      <c r="H1678" s="385"/>
      <c r="I1678" s="157"/>
      <c r="J1678" s="157"/>
      <c r="K1678" s="157"/>
      <c r="L1678" s="157"/>
      <c r="M1678" s="157"/>
      <c r="N1678" s="157"/>
      <c r="O1678" s="157"/>
      <c r="P1678" s="157"/>
      <c r="Q1678" s="587"/>
      <c r="R1678" s="587"/>
      <c r="S1678" s="587"/>
      <c r="T1678" s="587"/>
      <c r="U1678" s="157"/>
      <c r="V1678" s="157"/>
      <c r="BB1678" s="647"/>
      <c r="BC1678" s="648"/>
      <c r="BD1678" s="757"/>
      <c r="BE1678" s="659"/>
    </row>
    <row r="1679" spans="1:57" s="64" customFormat="1" outlineLevel="1" x14ac:dyDescent="0.25">
      <c r="A1679" s="1393"/>
      <c r="B1679" s="157"/>
      <c r="C1679" s="385"/>
      <c r="D1679" s="386"/>
      <c r="E1679" s="386"/>
      <c r="F1679" s="157"/>
      <c r="G1679" s="386"/>
      <c r="H1679" s="385"/>
      <c r="I1679" s="157"/>
      <c r="J1679" s="157"/>
      <c r="K1679" s="157"/>
      <c r="L1679" s="157"/>
      <c r="M1679" s="157"/>
      <c r="N1679" s="157"/>
      <c r="O1679" s="157"/>
      <c r="P1679" s="157"/>
      <c r="Q1679" s="157"/>
      <c r="R1679" s="157"/>
      <c r="S1679" s="157"/>
      <c r="T1679" s="157"/>
      <c r="U1679" s="157"/>
      <c r="V1679" s="157"/>
      <c r="BB1679" s="647"/>
      <c r="BC1679" s="648"/>
      <c r="BD1679" s="757"/>
      <c r="BE1679" s="659"/>
    </row>
    <row r="1680" spans="1:57" s="64" customFormat="1" outlineLevel="1" x14ac:dyDescent="0.25">
      <c r="A1680" s="1393"/>
      <c r="B1680" s="157"/>
      <c r="C1680" s="385"/>
      <c r="D1680" s="386"/>
      <c r="E1680" s="386"/>
      <c r="F1680" s="157"/>
      <c r="G1680" s="386"/>
      <c r="H1680" s="385"/>
      <c r="I1680" s="385"/>
      <c r="J1680" s="385"/>
      <c r="K1680" s="385"/>
      <c r="L1680" s="385"/>
      <c r="M1680" s="385"/>
      <c r="N1680" s="157"/>
      <c r="O1680" s="157"/>
      <c r="P1680" s="157"/>
      <c r="Q1680" s="386"/>
      <c r="R1680" s="157"/>
      <c r="S1680" s="157"/>
      <c r="T1680" s="157"/>
      <c r="U1680" s="157"/>
      <c r="V1680" s="157"/>
      <c r="BB1680" s="647"/>
      <c r="BC1680" s="648"/>
      <c r="BD1680" s="757"/>
      <c r="BE1680" s="659"/>
    </row>
    <row r="1681" spans="1:57" s="64" customFormat="1" ht="30" customHeight="1" outlineLevel="1" thickBot="1" x14ac:dyDescent="0.3">
      <c r="A1681" s="1393"/>
      <c r="B1681" s="157"/>
      <c r="C1681" s="385"/>
      <c r="D1681" s="440" t="s">
        <v>572</v>
      </c>
      <c r="E1681" s="440" t="s">
        <v>573</v>
      </c>
      <c r="F1681" s="3594" t="s">
        <v>623</v>
      </c>
      <c r="G1681" s="3594"/>
      <c r="H1681" s="3594"/>
      <c r="I1681" s="3594"/>
      <c r="J1681" s="1420" t="s">
        <v>17</v>
      </c>
      <c r="K1681" s="1420" t="s">
        <v>574</v>
      </c>
      <c r="L1681" s="1420" t="s">
        <v>1168</v>
      </c>
      <c r="M1681" s="440" t="s">
        <v>804</v>
      </c>
      <c r="N1681" s="157"/>
      <c r="O1681" s="157"/>
      <c r="P1681" s="157" t="s">
        <v>1499</v>
      </c>
      <c r="Q1681" s="938"/>
      <c r="R1681" s="937"/>
      <c r="S1681" s="924"/>
      <c r="T1681" s="1407"/>
      <c r="U1681" s="157"/>
      <c r="V1681" s="623" t="s">
        <v>27</v>
      </c>
      <c r="W1681" s="56">
        <v>43252</v>
      </c>
      <c r="X1681" s="56">
        <f>$X$6</f>
        <v>43465</v>
      </c>
      <c r="Y1681" s="56">
        <f>$Y$6</f>
        <v>43800</v>
      </c>
      <c r="Z1681" s="56">
        <f>$Z$6</f>
        <v>43862</v>
      </c>
      <c r="AA1681" s="56">
        <f>$AA$6</f>
        <v>44013</v>
      </c>
      <c r="AB1681" s="56">
        <f>$AB$6</f>
        <v>44166</v>
      </c>
      <c r="AC1681" s="56" t="str">
        <f>$AC$6</f>
        <v>-</v>
      </c>
      <c r="AD1681" s="56" t="str">
        <f>$AD$6</f>
        <v>-</v>
      </c>
      <c r="AE1681" s="56" t="str">
        <f>$AE$6</f>
        <v>-</v>
      </c>
      <c r="AF1681" s="56" t="str">
        <f>$AF$6</f>
        <v>-</v>
      </c>
      <c r="AG1681" s="56" t="str">
        <f>$AG$6</f>
        <v>-</v>
      </c>
      <c r="BB1681" s="647"/>
      <c r="BC1681" s="648"/>
      <c r="BD1681" s="757"/>
      <c r="BE1681" s="659"/>
    </row>
    <row r="1682" spans="1:57" s="64" customFormat="1" ht="15" customHeight="1" outlineLevel="1" x14ac:dyDescent="0.25">
      <c r="A1682" s="2464"/>
      <c r="B1682" s="157"/>
      <c r="C1682" s="385"/>
      <c r="D1682" s="3588" t="s">
        <v>1284</v>
      </c>
      <c r="E1682" s="3720" t="s">
        <v>1285</v>
      </c>
      <c r="F1682" s="3771" t="str">
        <f>$E$1406</f>
        <v>ASHP - SEER 15 ER Elec Resist Furnace: HVAC ER1</v>
      </c>
      <c r="G1682" s="3771"/>
      <c r="H1682" s="3771"/>
      <c r="I1682" s="3771"/>
      <c r="J1682" s="3070" t="str">
        <f>$C$1406</f>
        <v>352300_2019_12_</v>
      </c>
      <c r="K1682" s="3247">
        <v>34457.142857142855</v>
      </c>
      <c r="L1682" s="2723">
        <f>K1682/12000</f>
        <v>2.8714285714285714</v>
      </c>
      <c r="M1682" s="2715" t="s">
        <v>1191</v>
      </c>
      <c r="N1682" s="157"/>
      <c r="O1682" s="157"/>
      <c r="P1682" s="3483" t="s">
        <v>3229</v>
      </c>
      <c r="Q1682" s="3772"/>
      <c r="R1682" s="3484"/>
      <c r="S1682" s="157"/>
      <c r="T1682" s="157"/>
      <c r="U1682" s="157"/>
      <c r="V1682" s="3588" t="s">
        <v>1284</v>
      </c>
      <c r="W1682" s="760">
        <v>33600</v>
      </c>
      <c r="X1682" s="759">
        <f>3.06*12000</f>
        <v>36720</v>
      </c>
      <c r="Y1682" s="759">
        <v>34800</v>
      </c>
      <c r="Z1682" s="2428">
        <v>34800</v>
      </c>
      <c r="AA1682" s="2428">
        <v>34800</v>
      </c>
      <c r="AB1682" s="2696">
        <v>34457.142857142855</v>
      </c>
      <c r="AC1682" s="760"/>
      <c r="AD1682" s="760"/>
      <c r="AE1682" s="760"/>
      <c r="AF1682" s="760"/>
      <c r="AG1682" s="760"/>
      <c r="BB1682" s="647"/>
      <c r="BC1682" s="648"/>
      <c r="BD1682" s="757"/>
      <c r="BE1682" s="659"/>
    </row>
    <row r="1683" spans="1:57" s="64" customFormat="1" ht="15" customHeight="1" outlineLevel="1" x14ac:dyDescent="0.25">
      <c r="A1683" s="2464"/>
      <c r="B1683" s="157" t="s">
        <v>1500</v>
      </c>
      <c r="C1683" s="385"/>
      <c r="D1683" s="3589"/>
      <c r="E1683" s="3721"/>
      <c r="F1683" s="3773" t="str">
        <f>$E$1408</f>
        <v>ASHP - SEER 15 ER Elec Resist Furnace: HVAC ER2</v>
      </c>
      <c r="G1683" s="3774"/>
      <c r="H1683" s="3774"/>
      <c r="I1683" s="3775"/>
      <c r="J1683" s="3071" t="str">
        <f>$C$1408</f>
        <v>352300_2019_12_</v>
      </c>
      <c r="K1683" s="3182">
        <f>K1682</f>
        <v>34457.142857142855</v>
      </c>
      <c r="L1683" s="2724">
        <f t="shared" ref="L1683:L1772" si="194">K1683/12000</f>
        <v>2.8714285714285714</v>
      </c>
      <c r="M1683" s="2718" t="s">
        <v>3650</v>
      </c>
      <c r="N1683" s="157"/>
      <c r="O1683" s="157"/>
      <c r="P1683" s="1440"/>
      <c r="Q1683" s="923" t="s">
        <v>3230</v>
      </c>
      <c r="R1683" s="1409" t="s">
        <v>3223</v>
      </c>
      <c r="S1683" s="924"/>
      <c r="T1683" s="925"/>
      <c r="U1683" s="648"/>
      <c r="V1683" s="3589"/>
      <c r="W1683" s="766">
        <v>33600</v>
      </c>
      <c r="X1683" s="765">
        <f t="shared" ref="X1683:X1693" si="195">3.06*12000</f>
        <v>36720</v>
      </c>
      <c r="Y1683" s="765">
        <v>34800</v>
      </c>
      <c r="Z1683" s="2426">
        <v>34800</v>
      </c>
      <c r="AA1683" s="2426">
        <v>34800</v>
      </c>
      <c r="AB1683" s="2655">
        <v>34457.142857142855</v>
      </c>
      <c r="AC1683" s="766"/>
      <c r="AD1683" s="766"/>
      <c r="AE1683" s="766"/>
      <c r="AF1683" s="766"/>
      <c r="AG1683" s="766"/>
      <c r="BB1683" s="647"/>
      <c r="BC1683" s="648"/>
      <c r="BD1683" s="757"/>
      <c r="BE1683" s="659"/>
    </row>
    <row r="1684" spans="1:57" s="64" customFormat="1" ht="15" customHeight="1" outlineLevel="1" x14ac:dyDescent="0.25">
      <c r="A1684" s="2463"/>
      <c r="B1684" s="157"/>
      <c r="C1684" s="385"/>
      <c r="D1684" s="3589"/>
      <c r="E1684" s="3721"/>
      <c r="F1684" s="3773" t="str">
        <f>$E$1410</f>
        <v>ASHP - SEER 15 ER with ASHP: HVAC ER1</v>
      </c>
      <c r="G1684" s="3774"/>
      <c r="H1684" s="3774"/>
      <c r="I1684" s="3775"/>
      <c r="J1684" s="3071" t="str">
        <f>$C$1410</f>
        <v>352350_2019_12_</v>
      </c>
      <c r="K1684" s="3182">
        <v>37222.222222222219</v>
      </c>
      <c r="L1684" s="2724">
        <f t="shared" si="194"/>
        <v>3.1018518518518516</v>
      </c>
      <c r="M1684" s="2718" t="s">
        <v>3650</v>
      </c>
      <c r="N1684" s="157"/>
      <c r="O1684" s="157"/>
      <c r="P1684" s="926" t="s">
        <v>1173</v>
      </c>
      <c r="Q1684" s="1804">
        <f t="shared" ref="Q1684:Q1690" si="196">(($R$1696*3)+R1684)-(($Q$1696*3)/((1+$R$1698)^($R$1699-1)))</f>
        <v>1019.813599825558</v>
      </c>
      <c r="R1684" s="927">
        <v>303</v>
      </c>
      <c r="S1684" s="157" t="s">
        <v>1172</v>
      </c>
      <c r="T1684" s="648"/>
      <c r="U1684" s="648"/>
      <c r="V1684" s="3589"/>
      <c r="W1684" s="766">
        <v>37200</v>
      </c>
      <c r="X1684" s="765">
        <f t="shared" si="195"/>
        <v>36720</v>
      </c>
      <c r="Y1684" s="765">
        <v>35160</v>
      </c>
      <c r="Z1684" s="2426">
        <v>35160</v>
      </c>
      <c r="AA1684" s="2426">
        <v>35160</v>
      </c>
      <c r="AB1684" s="2655">
        <v>37222.222222222219</v>
      </c>
      <c r="AC1684" s="766"/>
      <c r="AD1684" s="766"/>
      <c r="AE1684" s="766"/>
      <c r="AF1684" s="766"/>
      <c r="AG1684" s="766"/>
      <c r="BB1684" s="647"/>
      <c r="BC1684" s="648"/>
      <c r="BD1684" s="757"/>
      <c r="BE1684" s="659"/>
    </row>
    <row r="1685" spans="1:57" s="64" customFormat="1" ht="15" customHeight="1" outlineLevel="1" x14ac:dyDescent="0.25">
      <c r="A1685" s="2463"/>
      <c r="B1685" s="157"/>
      <c r="C1685" s="385"/>
      <c r="D1685" s="3589"/>
      <c r="E1685" s="3721"/>
      <c r="F1685" s="3773" t="str">
        <f>$E$1412</f>
        <v>ASHP - SEER 15 ER with ASHP: HVAC ER2</v>
      </c>
      <c r="G1685" s="3774"/>
      <c r="H1685" s="3774"/>
      <c r="I1685" s="3775"/>
      <c r="J1685" s="3071" t="str">
        <f>$C$1412</f>
        <v>352350_2019_12_</v>
      </c>
      <c r="K1685" s="3182">
        <f>K1684</f>
        <v>37222.222222222219</v>
      </c>
      <c r="L1685" s="2724">
        <f t="shared" si="194"/>
        <v>3.1018518518518516</v>
      </c>
      <c r="M1685" s="2718" t="s">
        <v>3650</v>
      </c>
      <c r="N1685" s="157"/>
      <c r="O1685" s="157"/>
      <c r="P1685" s="926" t="s">
        <v>1174</v>
      </c>
      <c r="Q1685" s="1804">
        <f t="shared" si="196"/>
        <v>1154.813599825558</v>
      </c>
      <c r="R1685" s="927">
        <v>438</v>
      </c>
      <c r="S1685" s="157" t="s">
        <v>1172</v>
      </c>
      <c r="T1685" s="648"/>
      <c r="U1685" s="648"/>
      <c r="V1685" s="3589"/>
      <c r="W1685" s="766">
        <v>37200</v>
      </c>
      <c r="X1685" s="765">
        <f t="shared" si="195"/>
        <v>36720</v>
      </c>
      <c r="Y1685" s="765">
        <v>35160</v>
      </c>
      <c r="Z1685" s="2426">
        <v>35160</v>
      </c>
      <c r="AA1685" s="2426">
        <v>35160</v>
      </c>
      <c r="AB1685" s="2655">
        <v>37222.222222222219</v>
      </c>
      <c r="AC1685" s="766"/>
      <c r="AD1685" s="766"/>
      <c r="AE1685" s="766"/>
      <c r="AF1685" s="766"/>
      <c r="AG1685" s="766"/>
      <c r="BB1685" s="647"/>
      <c r="BC1685" s="648"/>
      <c r="BD1685" s="757"/>
      <c r="BE1685" s="659"/>
    </row>
    <row r="1686" spans="1:57" s="64" customFormat="1" ht="15" customHeight="1" outlineLevel="1" x14ac:dyDescent="0.25">
      <c r="A1686" s="2463"/>
      <c r="B1686" s="157"/>
      <c r="C1686" s="385"/>
      <c r="D1686" s="3589"/>
      <c r="E1686" s="3721"/>
      <c r="F1686" s="3773" t="str">
        <f>$E$1414</f>
        <v>ASHP-  SEER 15 Replace at Fail Elec Resist Furnace: HVAC</v>
      </c>
      <c r="G1686" s="3774"/>
      <c r="H1686" s="3774"/>
      <c r="I1686" s="3775"/>
      <c r="J1686" s="3071" t="str">
        <f>$C$1414</f>
        <v>352400_2019_12_</v>
      </c>
      <c r="K1686" s="3182">
        <v>35872.340425531918</v>
      </c>
      <c r="L1686" s="2724">
        <f t="shared" si="194"/>
        <v>2.9893617021276597</v>
      </c>
      <c r="M1686" s="2718" t="s">
        <v>3650</v>
      </c>
      <c r="N1686" s="157"/>
      <c r="O1686" s="157"/>
      <c r="P1686" s="926" t="s">
        <v>1175</v>
      </c>
      <c r="Q1686" s="1804">
        <f t="shared" si="196"/>
        <v>1440.813599825558</v>
      </c>
      <c r="R1686" s="927">
        <v>724</v>
      </c>
      <c r="S1686" s="157" t="s">
        <v>1172</v>
      </c>
      <c r="T1686" s="648"/>
      <c r="U1686" s="648"/>
      <c r="V1686" s="3589"/>
      <c r="W1686" s="766">
        <v>31200</v>
      </c>
      <c r="X1686" s="765">
        <f t="shared" si="195"/>
        <v>36720</v>
      </c>
      <c r="Y1686" s="765">
        <v>34320</v>
      </c>
      <c r="Z1686" s="2426">
        <v>34320</v>
      </c>
      <c r="AA1686" s="2426">
        <v>34320</v>
      </c>
      <c r="AB1686" s="2655">
        <v>35872.340425531918</v>
      </c>
      <c r="AC1686" s="766"/>
      <c r="AD1686" s="766"/>
      <c r="AE1686" s="766"/>
      <c r="AF1686" s="766"/>
      <c r="AG1686" s="766"/>
      <c r="BB1686" s="647"/>
      <c r="BC1686" s="648"/>
      <c r="BD1686" s="757"/>
      <c r="BE1686" s="659"/>
    </row>
    <row r="1687" spans="1:57" s="64" customFormat="1" ht="15" customHeight="1" outlineLevel="1" x14ac:dyDescent="0.25">
      <c r="A1687" s="2463"/>
      <c r="B1687" s="157"/>
      <c r="C1687" s="385"/>
      <c r="D1687" s="3589"/>
      <c r="E1687" s="3721"/>
      <c r="F1687" s="3773" t="str">
        <f>$E$1416</f>
        <v>ASHP - SEER 15 Replace at Fail with ASHP: HVAC</v>
      </c>
      <c r="G1687" s="3774"/>
      <c r="H1687" s="3774"/>
      <c r="I1687" s="3775"/>
      <c r="J1687" s="3071" t="str">
        <f>$C$1416</f>
        <v>352450_2019_12_</v>
      </c>
      <c r="K1687" s="2703">
        <f>2.89*12000</f>
        <v>34680</v>
      </c>
      <c r="L1687" s="2724">
        <f t="shared" si="194"/>
        <v>2.89</v>
      </c>
      <c r="M1687" s="2721" t="s">
        <v>1191</v>
      </c>
      <c r="N1687" s="157"/>
      <c r="O1687" s="157"/>
      <c r="P1687" s="926" t="s">
        <v>1176</v>
      </c>
      <c r="Q1687" s="1804">
        <f t="shared" si="196"/>
        <v>1679.733599825558</v>
      </c>
      <c r="R1687" s="927">
        <f>R1686*S1687</f>
        <v>962.92000000000007</v>
      </c>
      <c r="S1687" s="1748">
        <v>1.33</v>
      </c>
      <c r="T1687" s="1749"/>
      <c r="U1687" s="648"/>
      <c r="V1687" s="3589"/>
      <c r="W1687" s="766">
        <v>37200</v>
      </c>
      <c r="X1687" s="765">
        <f t="shared" si="195"/>
        <v>36720</v>
      </c>
      <c r="Y1687" s="765">
        <v>34680</v>
      </c>
      <c r="Z1687" s="2426">
        <v>34680</v>
      </c>
      <c r="AA1687" s="2426">
        <v>34680</v>
      </c>
      <c r="AB1687" s="2703">
        <v>34680</v>
      </c>
      <c r="AC1687" s="766"/>
      <c r="AD1687" s="766"/>
      <c r="AE1687" s="766"/>
      <c r="AF1687" s="766"/>
      <c r="AG1687" s="766"/>
      <c r="BB1687" s="647"/>
      <c r="BC1687" s="648"/>
      <c r="BD1687" s="757"/>
      <c r="BE1687" s="659"/>
    </row>
    <row r="1688" spans="1:57" s="64" customFormat="1" ht="15" customHeight="1" outlineLevel="1" x14ac:dyDescent="0.25">
      <c r="A1688" s="2463"/>
      <c r="B1688" s="157"/>
      <c r="C1688" s="385"/>
      <c r="D1688" s="3589"/>
      <c r="E1688" s="3721"/>
      <c r="F1688" s="3773" t="str">
        <f>$E$1418</f>
        <v>ASHP - SEER 16 - replace electric furnace / CAC - early replacement SF ER1</v>
      </c>
      <c r="G1688" s="3774"/>
      <c r="H1688" s="3774"/>
      <c r="I1688" s="3775"/>
      <c r="J1688" s="3071" t="str">
        <f>$C$1418</f>
        <v>352500_2019_12_</v>
      </c>
      <c r="K1688" s="3182">
        <v>35375.776397515532</v>
      </c>
      <c r="L1688" s="2724">
        <f t="shared" si="194"/>
        <v>2.9479813664596275</v>
      </c>
      <c r="M1688" s="2718" t="s">
        <v>3650</v>
      </c>
      <c r="N1688" s="157"/>
      <c r="O1688" s="157"/>
      <c r="P1688" s="926" t="s">
        <v>1177</v>
      </c>
      <c r="Q1688" s="1804">
        <f t="shared" si="196"/>
        <v>1920.4635998255585</v>
      </c>
      <c r="R1688" s="927">
        <f>R1687*S1688</f>
        <v>1203.6500000000003</v>
      </c>
      <c r="S1688" s="1805">
        <v>1.2500000000000002</v>
      </c>
      <c r="T1688" s="1749"/>
      <c r="U1688" s="648"/>
      <c r="V1688" s="3589"/>
      <c r="W1688" s="766">
        <v>37200</v>
      </c>
      <c r="X1688" s="765">
        <f t="shared" si="195"/>
        <v>36720</v>
      </c>
      <c r="Y1688" s="765">
        <v>38160</v>
      </c>
      <c r="Z1688" s="2426">
        <v>38160</v>
      </c>
      <c r="AA1688" s="2426">
        <v>38160</v>
      </c>
      <c r="AB1688" s="2655">
        <v>35375.776397515532</v>
      </c>
      <c r="AC1688" s="766"/>
      <c r="AD1688" s="766"/>
      <c r="AE1688" s="766"/>
      <c r="AF1688" s="766"/>
      <c r="AG1688" s="766"/>
      <c r="BB1688" s="647"/>
      <c r="BC1688" s="648"/>
      <c r="BD1688" s="757"/>
      <c r="BE1688" s="659"/>
    </row>
    <row r="1689" spans="1:57" s="64" customFormat="1" ht="15" customHeight="1" outlineLevel="1" x14ac:dyDescent="0.25">
      <c r="A1689" s="2463"/>
      <c r="B1689" s="157"/>
      <c r="C1689" s="385"/>
      <c r="D1689" s="3589"/>
      <c r="E1689" s="3721"/>
      <c r="F1689" s="3773" t="str">
        <f>$E$1420</f>
        <v>ASHP - SEER 16 - replace electric furnace / CAC - early replacement SF ER2</v>
      </c>
      <c r="G1689" s="3774"/>
      <c r="H1689" s="3774"/>
      <c r="I1689" s="3775"/>
      <c r="J1689" s="3071" t="str">
        <f>$C$1420</f>
        <v>352500_2019_12_</v>
      </c>
      <c r="K1689" s="3182">
        <f>K1688</f>
        <v>35375.776397515532</v>
      </c>
      <c r="L1689" s="2724">
        <f t="shared" si="194"/>
        <v>2.9479813664596275</v>
      </c>
      <c r="M1689" s="2718" t="s">
        <v>3650</v>
      </c>
      <c r="N1689" s="157"/>
      <c r="O1689" s="157"/>
      <c r="P1689" s="926" t="s">
        <v>1178</v>
      </c>
      <c r="Q1689" s="1804">
        <f t="shared" si="196"/>
        <v>2161.1935998255572</v>
      </c>
      <c r="R1689" s="927">
        <f>R1688*S1689</f>
        <v>1444.3799999999994</v>
      </c>
      <c r="S1689" s="1805">
        <v>1.1999999999999993</v>
      </c>
      <c r="T1689" s="1749" t="s">
        <v>3232</v>
      </c>
      <c r="U1689" s="648"/>
      <c r="V1689" s="3589"/>
      <c r="W1689" s="766">
        <v>37200</v>
      </c>
      <c r="X1689" s="765">
        <f t="shared" si="195"/>
        <v>36720</v>
      </c>
      <c r="Y1689" s="765">
        <v>38160</v>
      </c>
      <c r="Z1689" s="2426">
        <v>38160</v>
      </c>
      <c r="AA1689" s="2426">
        <v>38160</v>
      </c>
      <c r="AB1689" s="2655">
        <v>35375.776397515532</v>
      </c>
      <c r="AC1689" s="766"/>
      <c r="AD1689" s="766"/>
      <c r="AE1689" s="766"/>
      <c r="AF1689" s="766"/>
      <c r="AG1689" s="766"/>
      <c r="BB1689" s="647"/>
      <c r="BC1689" s="648"/>
      <c r="BD1689" s="757"/>
      <c r="BE1689" s="659"/>
    </row>
    <row r="1690" spans="1:57" s="64" customFormat="1" ht="15" customHeight="1" outlineLevel="1" x14ac:dyDescent="0.25">
      <c r="A1690" s="2463"/>
      <c r="B1690" s="157"/>
      <c r="C1690" s="385"/>
      <c r="D1690" s="3589"/>
      <c r="E1690" s="3721"/>
      <c r="F1690" s="3773" t="str">
        <f>$E$1422</f>
        <v>ASHP SEER 16 replace ASHP - early replacement SF ER1</v>
      </c>
      <c r="G1690" s="3774"/>
      <c r="H1690" s="3774"/>
      <c r="I1690" s="3775"/>
      <c r="J1690" s="3071" t="str">
        <f>$C$1422</f>
        <v>352550_2019_12_</v>
      </c>
      <c r="K1690" s="3182">
        <v>37317.757009345798</v>
      </c>
      <c r="L1690" s="2724">
        <f t="shared" si="194"/>
        <v>3.1098130841121496</v>
      </c>
      <c r="M1690" s="2718" t="s">
        <v>3650</v>
      </c>
      <c r="N1690" s="157"/>
      <c r="O1690" s="157"/>
      <c r="P1690" s="926" t="s">
        <v>1179</v>
      </c>
      <c r="Q1690" s="1804">
        <f t="shared" si="196"/>
        <v>2406.7381998255573</v>
      </c>
      <c r="R1690" s="927">
        <f>R1689*S1690</f>
        <v>1689.9245999999991</v>
      </c>
      <c r="S1690" s="1805">
        <v>1.17</v>
      </c>
      <c r="T1690" s="1749"/>
      <c r="U1690" s="648"/>
      <c r="V1690" s="3589"/>
      <c r="W1690" s="766">
        <v>39600</v>
      </c>
      <c r="X1690" s="765">
        <f t="shared" si="195"/>
        <v>36720</v>
      </c>
      <c r="Y1690" s="765">
        <v>37800</v>
      </c>
      <c r="Z1690" s="2426">
        <v>37800</v>
      </c>
      <c r="AA1690" s="2426">
        <v>37800</v>
      </c>
      <c r="AB1690" s="2655">
        <v>37317.757009345798</v>
      </c>
      <c r="AC1690" s="766"/>
      <c r="AD1690" s="766"/>
      <c r="AE1690" s="766"/>
      <c r="AF1690" s="766"/>
      <c r="AG1690" s="766"/>
      <c r="BB1690" s="647"/>
      <c r="BC1690" s="648"/>
      <c r="BD1690" s="757"/>
      <c r="BE1690" s="659"/>
    </row>
    <row r="1691" spans="1:57" s="64" customFormat="1" ht="15" customHeight="1" outlineLevel="1" x14ac:dyDescent="0.25">
      <c r="A1691" s="2463"/>
      <c r="B1691" s="157"/>
      <c r="C1691" s="385"/>
      <c r="D1691" s="3589"/>
      <c r="E1691" s="3721"/>
      <c r="F1691" s="3773" t="str">
        <f>$E$1424</f>
        <v>ASHP SEER 16 replace ASHP - early replacement SF ER2</v>
      </c>
      <c r="G1691" s="3774"/>
      <c r="H1691" s="3774"/>
      <c r="I1691" s="3775"/>
      <c r="J1691" s="3071" t="str">
        <f>$C$1424</f>
        <v>352550_2019_12_</v>
      </c>
      <c r="K1691" s="3262">
        <f>K1690</f>
        <v>37317.757009345798</v>
      </c>
      <c r="L1691" s="2724">
        <f t="shared" si="194"/>
        <v>3.1098130841121496</v>
      </c>
      <c r="M1691" s="2718" t="s">
        <v>3650</v>
      </c>
      <c r="N1691" s="157"/>
      <c r="O1691" s="157"/>
      <c r="P1691" s="926" t="s">
        <v>1180</v>
      </c>
      <c r="Q1691" s="1806">
        <f>AVERAGE(Q1684:Q1690)</f>
        <v>1683.367114111272</v>
      </c>
      <c r="R1691" s="927">
        <f>AVERAGE(R1684:R1690)</f>
        <v>966.55351428571419</v>
      </c>
      <c r="S1691" s="928"/>
      <c r="T1691" s="1407"/>
      <c r="U1691" s="648"/>
      <c r="V1691" s="3589"/>
      <c r="W1691" s="766">
        <v>39600</v>
      </c>
      <c r="X1691" s="786">
        <f t="shared" si="195"/>
        <v>36720</v>
      </c>
      <c r="Y1691" s="786">
        <v>37800</v>
      </c>
      <c r="Z1691" s="781">
        <v>37800</v>
      </c>
      <c r="AA1691" s="781">
        <v>37800</v>
      </c>
      <c r="AB1691" s="2716">
        <v>37317.757009345798</v>
      </c>
      <c r="AC1691" s="766"/>
      <c r="AD1691" s="766"/>
      <c r="AE1691" s="766"/>
      <c r="AF1691" s="766"/>
      <c r="AG1691" s="766"/>
      <c r="BB1691" s="647"/>
      <c r="BC1691" s="648"/>
      <c r="BD1691" s="757"/>
      <c r="BE1691" s="659"/>
    </row>
    <row r="1692" spans="1:57" s="64" customFormat="1" ht="15" customHeight="1" outlineLevel="1" x14ac:dyDescent="0.25">
      <c r="A1692" s="2463"/>
      <c r="B1692" s="157"/>
      <c r="C1692" s="385"/>
      <c r="D1692" s="3589"/>
      <c r="E1692" s="3721"/>
      <c r="F1692" s="3773" t="str">
        <f>$E$1426</f>
        <v>ASHP - SEER 16 - replace electric furnace / CAC SF</v>
      </c>
      <c r="G1692" s="3774"/>
      <c r="H1692" s="3774"/>
      <c r="I1692" s="3775"/>
      <c r="J1692" s="3071" t="str">
        <f>$C$1426</f>
        <v>352600_2019_12_</v>
      </c>
      <c r="K1692" s="3262">
        <v>35428.571428571428</v>
      </c>
      <c r="L1692" s="2724">
        <f t="shared" si="194"/>
        <v>2.9523809523809521</v>
      </c>
      <c r="M1692" s="2718" t="s">
        <v>3650</v>
      </c>
      <c r="N1692" s="157"/>
      <c r="O1692" s="157"/>
      <c r="P1692" s="1817" t="s">
        <v>1181</v>
      </c>
      <c r="Q1692" s="157"/>
      <c r="R1692" s="385"/>
      <c r="S1692" s="924"/>
      <c r="T1692" s="1407"/>
      <c r="U1692" s="157"/>
      <c r="V1692" s="3589"/>
      <c r="W1692" s="766">
        <v>38400</v>
      </c>
      <c r="X1692" s="786">
        <f t="shared" si="195"/>
        <v>36720</v>
      </c>
      <c r="Y1692" s="786">
        <v>37320</v>
      </c>
      <c r="Z1692" s="781">
        <v>37320</v>
      </c>
      <c r="AA1692" s="781">
        <v>37320</v>
      </c>
      <c r="AB1692" s="2716">
        <v>35428.571428571428</v>
      </c>
      <c r="AC1692" s="766"/>
      <c r="AD1692" s="766"/>
      <c r="AE1692" s="766"/>
      <c r="AF1692" s="766"/>
      <c r="AG1692" s="766"/>
      <c r="BB1692" s="647"/>
      <c r="BC1692" s="648"/>
      <c r="BD1692" s="757"/>
      <c r="BE1692" s="659"/>
    </row>
    <row r="1693" spans="1:57" s="64" customFormat="1" ht="15" customHeight="1" outlineLevel="1" x14ac:dyDescent="0.25">
      <c r="A1693" s="2463"/>
      <c r="B1693" s="157" t="s">
        <v>1500</v>
      </c>
      <c r="C1693" s="385"/>
      <c r="D1693" s="3589"/>
      <c r="E1693" s="3721"/>
      <c r="F1693" s="3773" t="str">
        <f>$E$1428</f>
        <v>ASHP SEER 16 replace ASHP - replace on fail SF</v>
      </c>
      <c r="G1693" s="3774"/>
      <c r="H1693" s="3774"/>
      <c r="I1693" s="3775"/>
      <c r="J1693" s="3071" t="str">
        <f>$C$1428</f>
        <v>352650_2019_12_</v>
      </c>
      <c r="K1693" s="2717">
        <f>3.25*12000</f>
        <v>39000</v>
      </c>
      <c r="L1693" s="2724">
        <f t="shared" si="194"/>
        <v>3.25</v>
      </c>
      <c r="M1693" s="2721" t="s">
        <v>1191</v>
      </c>
      <c r="N1693" s="157"/>
      <c r="O1693" s="157"/>
      <c r="T1693" s="1407"/>
      <c r="U1693" s="157"/>
      <c r="V1693" s="3589"/>
      <c r="W1693" s="766">
        <v>39600</v>
      </c>
      <c r="X1693" s="786">
        <f t="shared" si="195"/>
        <v>36720</v>
      </c>
      <c r="Y1693" s="786">
        <v>39000</v>
      </c>
      <c r="Z1693" s="781">
        <v>39000</v>
      </c>
      <c r="AA1693" s="781">
        <v>39000</v>
      </c>
      <c r="AB1693" s="2717">
        <v>39000</v>
      </c>
      <c r="AC1693" s="766"/>
      <c r="AD1693" s="766"/>
      <c r="AE1693" s="766"/>
      <c r="AF1693" s="766"/>
      <c r="AG1693" s="766"/>
      <c r="BB1693" s="647"/>
      <c r="BC1693" s="648"/>
      <c r="BD1693" s="757"/>
      <c r="BE1693" s="659"/>
    </row>
    <row r="1694" spans="1:57" s="64" customFormat="1" ht="15" customHeight="1" outlineLevel="1" x14ac:dyDescent="0.25">
      <c r="A1694" s="2463"/>
      <c r="B1694" s="157" t="s">
        <v>1500</v>
      </c>
      <c r="C1694" s="385"/>
      <c r="D1694" s="3589"/>
      <c r="E1694" s="3721"/>
      <c r="F1694" s="3773" t="str">
        <f>$E$1430</f>
        <v>ASHP SEER 15 MF ER replace ASHP: HVAC ER1</v>
      </c>
      <c r="G1694" s="3774"/>
      <c r="H1694" s="3774"/>
      <c r="I1694" s="3775"/>
      <c r="J1694" s="3071" t="str">
        <f>$C$1430</f>
        <v>352700_2019_12_</v>
      </c>
      <c r="K1694" s="2703">
        <v>34500</v>
      </c>
      <c r="L1694" s="2724">
        <f t="shared" si="194"/>
        <v>2.875</v>
      </c>
      <c r="M1694" s="2718" t="s">
        <v>3650</v>
      </c>
      <c r="N1694" s="157"/>
      <c r="O1694" s="157"/>
      <c r="P1694" s="3483" t="s">
        <v>3231</v>
      </c>
      <c r="Q1694" s="3772"/>
      <c r="R1694" s="3484"/>
      <c r="S1694" s="924"/>
      <c r="T1694" s="1407"/>
      <c r="U1694" s="157"/>
      <c r="V1694" s="3589"/>
      <c r="W1694" s="766">
        <v>37200</v>
      </c>
      <c r="X1694" s="766">
        <v>37200</v>
      </c>
      <c r="Y1694" s="766">
        <v>37200</v>
      </c>
      <c r="Z1694" s="2426">
        <v>37200</v>
      </c>
      <c r="AA1694" s="2426">
        <v>37200</v>
      </c>
      <c r="AB1694" s="2660">
        <v>34500</v>
      </c>
      <c r="AC1694" s="766"/>
      <c r="AD1694" s="766"/>
      <c r="AE1694" s="766"/>
      <c r="AF1694" s="766"/>
      <c r="AG1694" s="766"/>
      <c r="BB1694" s="647"/>
      <c r="BC1694" s="648"/>
      <c r="BD1694" s="757"/>
      <c r="BE1694" s="659"/>
    </row>
    <row r="1695" spans="1:57" s="64" customFormat="1" ht="15" customHeight="1" outlineLevel="1" x14ac:dyDescent="0.25">
      <c r="A1695" s="2463"/>
      <c r="B1695" s="157"/>
      <c r="C1695" s="385"/>
      <c r="D1695" s="3589"/>
      <c r="E1695" s="3721"/>
      <c r="F1695" s="3773" t="str">
        <f>$E$1432</f>
        <v>ASHP SEER 15 MF ER replace ASHP: HVAC ER2</v>
      </c>
      <c r="G1695" s="3774"/>
      <c r="H1695" s="3774"/>
      <c r="I1695" s="3775"/>
      <c r="J1695" s="3071" t="str">
        <f>$C$1432</f>
        <v>352700_2019_12_</v>
      </c>
      <c r="K1695" s="2703">
        <f>K1694</f>
        <v>34500</v>
      </c>
      <c r="L1695" s="2724">
        <f t="shared" si="194"/>
        <v>2.875</v>
      </c>
      <c r="M1695" s="2718" t="s">
        <v>3650</v>
      </c>
      <c r="N1695" s="157"/>
      <c r="O1695" s="157"/>
      <c r="P1695" s="1440"/>
      <c r="Q1695" s="1440" t="s">
        <v>1183</v>
      </c>
      <c r="R1695" s="1440" t="s">
        <v>1184</v>
      </c>
      <c r="S1695" s="924"/>
      <c r="T1695" s="932"/>
      <c r="U1695" s="157"/>
      <c r="V1695" s="3589"/>
      <c r="W1695" s="766">
        <v>37200</v>
      </c>
      <c r="X1695" s="766">
        <v>37200</v>
      </c>
      <c r="Y1695" s="766">
        <v>37200</v>
      </c>
      <c r="Z1695" s="2426">
        <v>37200</v>
      </c>
      <c r="AA1695" s="2426">
        <v>37200</v>
      </c>
      <c r="AB1695" s="2660">
        <v>34500</v>
      </c>
      <c r="AC1695" s="766"/>
      <c r="AD1695" s="766"/>
      <c r="AE1695" s="766"/>
      <c r="AF1695" s="766"/>
      <c r="AG1695" s="766"/>
      <c r="BB1695" s="647"/>
      <c r="BC1695" s="648"/>
      <c r="BD1695" s="757"/>
      <c r="BE1695" s="659"/>
    </row>
    <row r="1696" spans="1:57" s="64" customFormat="1" ht="15" customHeight="1" outlineLevel="1" x14ac:dyDescent="0.25">
      <c r="A1696" s="2463"/>
      <c r="B1696" s="157"/>
      <c r="C1696" s="385"/>
      <c r="D1696" s="3589"/>
      <c r="E1696" s="3721"/>
      <c r="F1696" s="3773" t="str">
        <f>$E$1434</f>
        <v>ASHP SEER 15 MF ER replace ASHP: HVAC ER1_CompE</v>
      </c>
      <c r="G1696" s="3774"/>
      <c r="H1696" s="3774"/>
      <c r="I1696" s="3775"/>
      <c r="J1696" s="3071" t="str">
        <f>$C$1434</f>
        <v>352701_2019_12_</v>
      </c>
      <c r="K1696" s="2703">
        <f>K1694</f>
        <v>34500</v>
      </c>
      <c r="L1696" s="2724">
        <f t="shared" si="194"/>
        <v>2.875</v>
      </c>
      <c r="M1696" s="2718" t="s">
        <v>3652</v>
      </c>
      <c r="N1696" s="157"/>
      <c r="O1696" s="157"/>
      <c r="P1696" s="926" t="s">
        <v>1185</v>
      </c>
      <c r="Q1696" s="930">
        <f>(R1696)*(1+R1697)^(R1699-1)</f>
        <v>1524.7355892191999</v>
      </c>
      <c r="R1696" s="931">
        <v>1381</v>
      </c>
      <c r="S1696" s="157" t="s">
        <v>1172</v>
      </c>
      <c r="T1696" s="1407"/>
      <c r="U1696" s="157"/>
      <c r="V1696" s="3589"/>
      <c r="W1696" s="766"/>
      <c r="X1696" s="766"/>
      <c r="Y1696" s="765">
        <v>37200</v>
      </c>
      <c r="Z1696" s="2426">
        <v>37200</v>
      </c>
      <c r="AA1696" s="2426">
        <v>37200</v>
      </c>
      <c r="AB1696" s="2660">
        <v>34500</v>
      </c>
      <c r="AC1696" s="766"/>
      <c r="AD1696" s="766"/>
      <c r="AE1696" s="766"/>
      <c r="AF1696" s="766"/>
      <c r="AG1696" s="766"/>
      <c r="BB1696" s="647"/>
      <c r="BC1696" s="648"/>
      <c r="BD1696" s="757"/>
      <c r="BE1696" s="659"/>
    </row>
    <row r="1697" spans="1:57" s="64" customFormat="1" ht="15" customHeight="1" outlineLevel="1" x14ac:dyDescent="0.25">
      <c r="A1697" s="2463"/>
      <c r="B1697" s="157"/>
      <c r="C1697" s="385"/>
      <c r="D1697" s="3589"/>
      <c r="E1697" s="3721"/>
      <c r="F1697" s="3773" t="str">
        <f>$E$1436</f>
        <v>ASHP SEER 15 MF ER replace ASHP: HVAC ER2_CompE</v>
      </c>
      <c r="G1697" s="3774"/>
      <c r="H1697" s="3774"/>
      <c r="I1697" s="3775"/>
      <c r="J1697" s="3071" t="str">
        <f>$C$1436</f>
        <v>352701_2019_12_</v>
      </c>
      <c r="K1697" s="2703">
        <f>K1695</f>
        <v>34500</v>
      </c>
      <c r="L1697" s="2724">
        <f t="shared" si="194"/>
        <v>2.875</v>
      </c>
      <c r="M1697" s="2718" t="s">
        <v>3652</v>
      </c>
      <c r="N1697" s="157"/>
      <c r="O1697" s="157"/>
      <c r="P1697" s="926" t="s">
        <v>1116</v>
      </c>
      <c r="Q1697" s="930"/>
      <c r="R1697" s="933">
        <f>$Q$103</f>
        <v>0.02</v>
      </c>
      <c r="S1697" s="934" t="s">
        <v>1501</v>
      </c>
      <c r="T1697" s="1407"/>
      <c r="U1697" s="157"/>
      <c r="V1697" s="3589"/>
      <c r="W1697" s="766"/>
      <c r="X1697" s="766"/>
      <c r="Y1697" s="765">
        <v>37200</v>
      </c>
      <c r="Z1697" s="2426">
        <v>37200</v>
      </c>
      <c r="AA1697" s="2426">
        <v>37200</v>
      </c>
      <c r="AB1697" s="2660">
        <v>34500</v>
      </c>
      <c r="AC1697" s="766"/>
      <c r="AD1697" s="766"/>
      <c r="AE1697" s="766"/>
      <c r="AF1697" s="766"/>
      <c r="AG1697" s="766"/>
      <c r="BB1697" s="647"/>
      <c r="BC1697" s="648"/>
      <c r="BD1697" s="757"/>
      <c r="BE1697" s="659"/>
    </row>
    <row r="1698" spans="1:57" s="64" customFormat="1" ht="15" customHeight="1" outlineLevel="1" x14ac:dyDescent="0.25">
      <c r="A1698" s="2463"/>
      <c r="B1698" s="157"/>
      <c r="C1698" s="385"/>
      <c r="D1698" s="3589"/>
      <c r="E1698" s="3721"/>
      <c r="F1698" s="3773" t="str">
        <f>$E$1438</f>
        <v>ASHP SEER 15 MF ER replace Elec Resist Furnace: HVAC ER1</v>
      </c>
      <c r="G1698" s="3774"/>
      <c r="H1698" s="3774"/>
      <c r="I1698" s="3775"/>
      <c r="J1698" s="3071" t="str">
        <f>$C$1438</f>
        <v>352750_2019_12_</v>
      </c>
      <c r="K1698" s="2703">
        <v>33000</v>
      </c>
      <c r="L1698" s="2724">
        <f t="shared" si="194"/>
        <v>2.75</v>
      </c>
      <c r="M1698" s="2718" t="s">
        <v>3650</v>
      </c>
      <c r="N1698" s="157"/>
      <c r="O1698" s="157"/>
      <c r="P1698" s="935" t="s">
        <v>1117</v>
      </c>
      <c r="Q1698" s="935"/>
      <c r="R1698" s="933">
        <f>$Q$104</f>
        <v>5.9499999999999997E-2</v>
      </c>
      <c r="S1698" s="924" t="s">
        <v>1501</v>
      </c>
      <c r="T1698" s="1407"/>
      <c r="U1698" s="157"/>
      <c r="V1698" s="3589"/>
      <c r="W1698" s="766">
        <v>33600</v>
      </c>
      <c r="X1698" s="766">
        <v>33600</v>
      </c>
      <c r="Y1698" s="766">
        <v>33600</v>
      </c>
      <c r="Z1698" s="2426">
        <v>33600</v>
      </c>
      <c r="AA1698" s="2426">
        <v>33600</v>
      </c>
      <c r="AB1698" s="2660">
        <v>33000</v>
      </c>
      <c r="AC1698" s="766"/>
      <c r="AD1698" s="766"/>
      <c r="AE1698" s="766"/>
      <c r="AF1698" s="766"/>
      <c r="AG1698" s="766"/>
      <c r="BB1698" s="647"/>
      <c r="BC1698" s="648"/>
      <c r="BD1698" s="757"/>
      <c r="BE1698" s="659"/>
    </row>
    <row r="1699" spans="1:57" s="64" customFormat="1" ht="15" customHeight="1" outlineLevel="1" x14ac:dyDescent="0.25">
      <c r="A1699" s="2463"/>
      <c r="B1699" s="157"/>
      <c r="C1699" s="385"/>
      <c r="D1699" s="3589"/>
      <c r="E1699" s="3721"/>
      <c r="F1699" s="3773" t="str">
        <f>$E$1440</f>
        <v>ASHP SEER 15 MF ER replace Elec Resist Furnace: HVAC ER2</v>
      </c>
      <c r="G1699" s="3774"/>
      <c r="H1699" s="3774"/>
      <c r="I1699" s="3775"/>
      <c r="J1699" s="3071" t="str">
        <f>$C$1440</f>
        <v>352750_2019_12_</v>
      </c>
      <c r="K1699" s="2703">
        <f>K1698</f>
        <v>33000</v>
      </c>
      <c r="L1699" s="2724">
        <f t="shared" si="194"/>
        <v>2.75</v>
      </c>
      <c r="M1699" s="2718" t="s">
        <v>3650</v>
      </c>
      <c r="N1699" s="157"/>
      <c r="O1699" s="277"/>
      <c r="P1699" s="86" t="s">
        <v>1118</v>
      </c>
      <c r="Q1699" s="86"/>
      <c r="R1699" s="936">
        <v>6</v>
      </c>
      <c r="S1699" s="924" t="s">
        <v>1502</v>
      </c>
      <c r="T1699" s="157"/>
      <c r="U1699" s="157"/>
      <c r="V1699" s="3589"/>
      <c r="W1699" s="766">
        <v>33600</v>
      </c>
      <c r="X1699" s="766">
        <v>33600</v>
      </c>
      <c r="Y1699" s="766">
        <v>33600</v>
      </c>
      <c r="Z1699" s="2426">
        <v>33600</v>
      </c>
      <c r="AA1699" s="2426">
        <v>33600</v>
      </c>
      <c r="AB1699" s="2660">
        <v>33000</v>
      </c>
      <c r="AC1699" s="766"/>
      <c r="AD1699" s="766"/>
      <c r="AE1699" s="766"/>
      <c r="AF1699" s="766"/>
      <c r="AG1699" s="766"/>
      <c r="BB1699" s="647"/>
      <c r="BC1699" s="648"/>
      <c r="BD1699" s="757"/>
      <c r="BE1699" s="659"/>
    </row>
    <row r="1700" spans="1:57" s="64" customFormat="1" ht="15" customHeight="1" outlineLevel="1" x14ac:dyDescent="0.25">
      <c r="A1700" s="2463"/>
      <c r="B1700" s="157"/>
      <c r="C1700" s="385"/>
      <c r="D1700" s="3589"/>
      <c r="E1700" s="3721"/>
      <c r="F1700" s="3773" t="str">
        <f>$E$1442</f>
        <v>ASHP SEER 15 MF ER replace Elec Resist Furnace: HVAC ER1_CompE</v>
      </c>
      <c r="G1700" s="3774"/>
      <c r="H1700" s="3774"/>
      <c r="I1700" s="3775"/>
      <c r="J1700" s="3071" t="str">
        <f>$C$1442</f>
        <v>352751_2019_12_</v>
      </c>
      <c r="K1700" s="2703">
        <f>K1698</f>
        <v>33000</v>
      </c>
      <c r="L1700" s="2724">
        <f t="shared" si="194"/>
        <v>2.75</v>
      </c>
      <c r="M1700" s="2718" t="s">
        <v>3652</v>
      </c>
      <c r="N1700" s="157"/>
      <c r="O1700" s="277"/>
      <c r="P1700" s="157"/>
      <c r="Q1700" s="157"/>
      <c r="R1700" s="157"/>
      <c r="S1700" s="157"/>
      <c r="T1700" s="157"/>
      <c r="U1700" s="157"/>
      <c r="V1700" s="3589"/>
      <c r="W1700" s="766"/>
      <c r="X1700" s="766"/>
      <c r="Y1700" s="765">
        <v>33600</v>
      </c>
      <c r="Z1700" s="2426">
        <v>33600</v>
      </c>
      <c r="AA1700" s="2426">
        <v>33600</v>
      </c>
      <c r="AB1700" s="2660">
        <v>33000</v>
      </c>
      <c r="AC1700" s="766"/>
      <c r="AD1700" s="766"/>
      <c r="AE1700" s="766"/>
      <c r="AF1700" s="766"/>
      <c r="AG1700" s="766"/>
      <c r="BB1700" s="647"/>
      <c r="BC1700" s="648"/>
      <c r="BD1700" s="757"/>
      <c r="BE1700" s="659"/>
    </row>
    <row r="1701" spans="1:57" s="64" customFormat="1" ht="15" customHeight="1" outlineLevel="1" x14ac:dyDescent="0.25">
      <c r="A1701" s="2463"/>
      <c r="B1701" s="157"/>
      <c r="C1701" s="385"/>
      <c r="D1701" s="3589"/>
      <c r="E1701" s="3721"/>
      <c r="F1701" s="3773" t="str">
        <f>$E$1444</f>
        <v>ASHP SEER 15 MF ER replace Elec Resist Furnace: HVAC ER2_CompE</v>
      </c>
      <c r="G1701" s="3774"/>
      <c r="H1701" s="3774"/>
      <c r="I1701" s="3775"/>
      <c r="J1701" s="3071" t="str">
        <f>$C$1444</f>
        <v>352751_2019_12_</v>
      </c>
      <c r="K1701" s="2703">
        <f>K1699</f>
        <v>33000</v>
      </c>
      <c r="L1701" s="2724">
        <f t="shared" si="194"/>
        <v>2.75</v>
      </c>
      <c r="M1701" s="2718" t="s">
        <v>3652</v>
      </c>
      <c r="N1701" s="157"/>
      <c r="O1701" s="277"/>
      <c r="P1701" s="157"/>
      <c r="Q1701" s="157"/>
      <c r="R1701" s="157"/>
      <c r="S1701" s="157"/>
      <c r="T1701" s="157"/>
      <c r="U1701" s="157"/>
      <c r="V1701" s="3589"/>
      <c r="W1701" s="766"/>
      <c r="X1701" s="766"/>
      <c r="Y1701" s="765">
        <v>33600</v>
      </c>
      <c r="Z1701" s="2426">
        <v>33600</v>
      </c>
      <c r="AA1701" s="2426">
        <v>33600</v>
      </c>
      <c r="AB1701" s="2660">
        <v>33000</v>
      </c>
      <c r="AC1701" s="766"/>
      <c r="AD1701" s="766"/>
      <c r="AE1701" s="766"/>
      <c r="AF1701" s="766"/>
      <c r="AG1701" s="766"/>
      <c r="BB1701" s="647"/>
      <c r="BC1701" s="648"/>
      <c r="BD1701" s="757"/>
      <c r="BE1701" s="659"/>
    </row>
    <row r="1702" spans="1:57" s="64" customFormat="1" ht="15" customHeight="1" outlineLevel="1" x14ac:dyDescent="0.25">
      <c r="A1702" s="2463"/>
      <c r="B1702" s="157"/>
      <c r="C1702" s="385"/>
      <c r="D1702" s="3589"/>
      <c r="E1702" s="3721"/>
      <c r="F1702" s="3773" t="str">
        <f>$E$1446</f>
        <v>ASHP SEER 15 MF replace at Fail Elec Resist Furnace: HVAC</v>
      </c>
      <c r="G1702" s="3774"/>
      <c r="H1702" s="3774"/>
      <c r="I1702" s="3775"/>
      <c r="J1702" s="3071" t="str">
        <f>$C$1446</f>
        <v>352800_2019_12_</v>
      </c>
      <c r="K1702" s="2703">
        <v>31200</v>
      </c>
      <c r="L1702" s="2724">
        <f t="shared" si="194"/>
        <v>2.6</v>
      </c>
      <c r="M1702" s="2718" t="s">
        <v>1286</v>
      </c>
      <c r="N1702" s="157"/>
      <c r="O1702" s="277"/>
      <c r="P1702" s="157"/>
      <c r="Q1702" s="157"/>
      <c r="R1702" s="157"/>
      <c r="S1702" s="157"/>
      <c r="T1702" s="157"/>
      <c r="U1702" s="157"/>
      <c r="V1702" s="3589"/>
      <c r="W1702" s="766">
        <v>31200</v>
      </c>
      <c r="X1702" s="766">
        <v>31200</v>
      </c>
      <c r="Y1702" s="766">
        <v>31200</v>
      </c>
      <c r="Z1702" s="2426">
        <v>31200</v>
      </c>
      <c r="AA1702" s="2426">
        <v>31200</v>
      </c>
      <c r="AB1702" s="2703">
        <v>31200</v>
      </c>
      <c r="AC1702" s="766"/>
      <c r="AD1702" s="766"/>
      <c r="AE1702" s="766"/>
      <c r="AF1702" s="766"/>
      <c r="AG1702" s="766"/>
      <c r="BB1702" s="647"/>
      <c r="BC1702" s="648"/>
      <c r="BD1702" s="757"/>
      <c r="BE1702" s="659"/>
    </row>
    <row r="1703" spans="1:57" s="64" customFormat="1" ht="15" customHeight="1" outlineLevel="1" x14ac:dyDescent="0.25">
      <c r="A1703" s="2463"/>
      <c r="B1703" s="157"/>
      <c r="C1703" s="385"/>
      <c r="D1703" s="3589"/>
      <c r="E1703" s="3721"/>
      <c r="F1703" s="3773" t="str">
        <f>$E$1448</f>
        <v>ASHP SEER 15 MF replace at Fail Elec Resist Furnace: HVAC_CompE</v>
      </c>
      <c r="G1703" s="3774"/>
      <c r="H1703" s="3774"/>
      <c r="I1703" s="3775"/>
      <c r="J1703" s="3071" t="str">
        <f>$C$1448</f>
        <v>352801_2019_12_</v>
      </c>
      <c r="K1703" s="2703">
        <f>K1702</f>
        <v>31200</v>
      </c>
      <c r="L1703" s="2724">
        <f t="shared" si="194"/>
        <v>2.6</v>
      </c>
      <c r="M1703" s="2718"/>
      <c r="N1703" s="157"/>
      <c r="O1703" s="277"/>
      <c r="P1703" s="157"/>
      <c r="Q1703" s="157"/>
      <c r="R1703" s="157"/>
      <c r="S1703" s="157"/>
      <c r="T1703" s="157"/>
      <c r="U1703" s="157"/>
      <c r="V1703" s="3589"/>
      <c r="W1703" s="766"/>
      <c r="X1703" s="766"/>
      <c r="Y1703" s="765">
        <v>31200</v>
      </c>
      <c r="Z1703" s="2426">
        <v>31200</v>
      </c>
      <c r="AA1703" s="2426">
        <v>31200</v>
      </c>
      <c r="AB1703" s="2703">
        <v>31200</v>
      </c>
      <c r="AC1703" s="766"/>
      <c r="AD1703" s="766"/>
      <c r="AE1703" s="766"/>
      <c r="AF1703" s="766"/>
      <c r="AG1703" s="766"/>
      <c r="BB1703" s="647"/>
      <c r="BC1703" s="648"/>
      <c r="BD1703" s="757"/>
      <c r="BE1703" s="659"/>
    </row>
    <row r="1704" spans="1:57" s="64" customFormat="1" ht="15" customHeight="1" outlineLevel="1" x14ac:dyDescent="0.25">
      <c r="A1704" s="2463"/>
      <c r="B1704" s="157"/>
      <c r="C1704" s="385"/>
      <c r="D1704" s="3589"/>
      <c r="E1704" s="3721"/>
      <c r="F1704" s="3773" t="str">
        <f>$E$1450</f>
        <v>ASHP SEER 16 MF ER replace ASHP: HVAC ER1</v>
      </c>
      <c r="G1704" s="3774"/>
      <c r="H1704" s="3774"/>
      <c r="I1704" s="3775"/>
      <c r="J1704" s="3071" t="str">
        <f>$C$1450</f>
        <v>352850_2019_12_</v>
      </c>
      <c r="K1704" s="2703">
        <v>39600</v>
      </c>
      <c r="L1704" s="2724">
        <f t="shared" si="194"/>
        <v>3.3</v>
      </c>
      <c r="M1704" s="2718" t="s">
        <v>1286</v>
      </c>
      <c r="N1704" s="157"/>
      <c r="O1704" s="277"/>
      <c r="P1704" s="937"/>
      <c r="Q1704" s="938"/>
      <c r="R1704" s="937"/>
      <c r="S1704" s="924"/>
      <c r="T1704" s="1407"/>
      <c r="U1704" s="157"/>
      <c r="V1704" s="3589"/>
      <c r="W1704" s="766">
        <v>39600</v>
      </c>
      <c r="X1704" s="766">
        <v>39600</v>
      </c>
      <c r="Y1704" s="766">
        <v>39600</v>
      </c>
      <c r="Z1704" s="2426">
        <v>39600</v>
      </c>
      <c r="AA1704" s="2426">
        <v>39600</v>
      </c>
      <c r="AB1704" s="2703">
        <v>39600</v>
      </c>
      <c r="AC1704" s="766"/>
      <c r="AD1704" s="766"/>
      <c r="AE1704" s="766"/>
      <c r="AF1704" s="766"/>
      <c r="AG1704" s="766"/>
      <c r="BB1704" s="647"/>
      <c r="BC1704" s="648"/>
      <c r="BD1704" s="757"/>
      <c r="BE1704" s="659"/>
    </row>
    <row r="1705" spans="1:57" s="64" customFormat="1" ht="15" customHeight="1" outlineLevel="1" x14ac:dyDescent="0.25">
      <c r="A1705" s="2463"/>
      <c r="B1705" s="157"/>
      <c r="C1705" s="385"/>
      <c r="D1705" s="3589"/>
      <c r="E1705" s="3721"/>
      <c r="F1705" s="3773" t="str">
        <f>$E$1452</f>
        <v>ASHP SEER 16 MF ER replace ASHP: HVAC ER2</v>
      </c>
      <c r="G1705" s="3774"/>
      <c r="H1705" s="3774"/>
      <c r="I1705" s="3775"/>
      <c r="J1705" s="3071" t="str">
        <f>$C$1452</f>
        <v>352850_2019_12_</v>
      </c>
      <c r="K1705" s="2703">
        <v>39600</v>
      </c>
      <c r="L1705" s="2724">
        <f t="shared" si="194"/>
        <v>3.3</v>
      </c>
      <c r="M1705" s="2718" t="s">
        <v>1286</v>
      </c>
      <c r="N1705" s="157"/>
      <c r="O1705" s="277"/>
      <c r="P1705" s="937"/>
      <c r="Q1705" s="938"/>
      <c r="R1705" s="937"/>
      <c r="S1705" s="924"/>
      <c r="T1705" s="1407"/>
      <c r="U1705" s="157"/>
      <c r="V1705" s="3589"/>
      <c r="W1705" s="766">
        <v>39600</v>
      </c>
      <c r="X1705" s="766">
        <v>39600</v>
      </c>
      <c r="Y1705" s="766">
        <v>39600</v>
      </c>
      <c r="Z1705" s="2426">
        <v>39600</v>
      </c>
      <c r="AA1705" s="2426">
        <v>39600</v>
      </c>
      <c r="AB1705" s="2703">
        <v>39600</v>
      </c>
      <c r="AC1705" s="766"/>
      <c r="AD1705" s="766"/>
      <c r="AE1705" s="766"/>
      <c r="AF1705" s="766"/>
      <c r="AG1705" s="766"/>
      <c r="BB1705" s="647"/>
      <c r="BC1705" s="648"/>
      <c r="BD1705" s="757"/>
      <c r="BE1705" s="659"/>
    </row>
    <row r="1706" spans="1:57" s="64" customFormat="1" ht="15" customHeight="1" outlineLevel="1" x14ac:dyDescent="0.25">
      <c r="A1706" s="2463"/>
      <c r="B1706" s="157"/>
      <c r="C1706" s="385"/>
      <c r="D1706" s="3589"/>
      <c r="E1706" s="3721"/>
      <c r="F1706" s="3773" t="str">
        <f>$E$1454</f>
        <v>ASHP SEER 16 MF ER replace ASHP: HVAC ER1_CompE</v>
      </c>
      <c r="G1706" s="3774"/>
      <c r="H1706" s="3774"/>
      <c r="I1706" s="3775"/>
      <c r="J1706" s="3071" t="str">
        <f>$C$1454</f>
        <v>352851_2019_12_</v>
      </c>
      <c r="K1706" s="2703">
        <f>K1704</f>
        <v>39600</v>
      </c>
      <c r="L1706" s="2724">
        <f t="shared" si="194"/>
        <v>3.3</v>
      </c>
      <c r="M1706" s="2718"/>
      <c r="N1706" s="157"/>
      <c r="O1706" s="277"/>
      <c r="P1706" s="937"/>
      <c r="Q1706" s="938"/>
      <c r="R1706" s="937"/>
      <c r="S1706" s="924"/>
      <c r="T1706" s="1407"/>
      <c r="U1706" s="157"/>
      <c r="V1706" s="3589"/>
      <c r="W1706" s="766"/>
      <c r="X1706" s="766"/>
      <c r="Y1706" s="765">
        <v>39600</v>
      </c>
      <c r="Z1706" s="2426">
        <v>39600</v>
      </c>
      <c r="AA1706" s="2426">
        <v>39600</v>
      </c>
      <c r="AB1706" s="2703">
        <v>39600</v>
      </c>
      <c r="AC1706" s="766"/>
      <c r="AD1706" s="766"/>
      <c r="AE1706" s="766"/>
      <c r="AF1706" s="766"/>
      <c r="AG1706" s="766"/>
      <c r="BB1706" s="647"/>
      <c r="BC1706" s="648"/>
      <c r="BD1706" s="757"/>
      <c r="BE1706" s="659"/>
    </row>
    <row r="1707" spans="1:57" s="64" customFormat="1" ht="15" customHeight="1" outlineLevel="1" x14ac:dyDescent="0.25">
      <c r="A1707" s="2463"/>
      <c r="B1707" s="157"/>
      <c r="C1707" s="385"/>
      <c r="D1707" s="3589"/>
      <c r="E1707" s="3721"/>
      <c r="F1707" s="3773" t="str">
        <f>$E$1456</f>
        <v>ASHP SEER 16 MF ER replace ASHP: HVAC ER2_CompE</v>
      </c>
      <c r="G1707" s="3774"/>
      <c r="H1707" s="3774"/>
      <c r="I1707" s="3775"/>
      <c r="J1707" s="3071" t="str">
        <f>$C$1456</f>
        <v>352851_2019_12_</v>
      </c>
      <c r="K1707" s="2703">
        <f>K1705</f>
        <v>39600</v>
      </c>
      <c r="L1707" s="2724">
        <f t="shared" si="194"/>
        <v>3.3</v>
      </c>
      <c r="M1707" s="2718"/>
      <c r="N1707" s="157"/>
      <c r="O1707" s="277"/>
      <c r="P1707" s="937"/>
      <c r="Q1707" s="938"/>
      <c r="R1707" s="937"/>
      <c r="S1707" s="924"/>
      <c r="T1707" s="1407"/>
      <c r="U1707" s="157"/>
      <c r="V1707" s="3589"/>
      <c r="W1707" s="766"/>
      <c r="X1707" s="766"/>
      <c r="Y1707" s="765">
        <v>39600</v>
      </c>
      <c r="Z1707" s="2426">
        <v>39600</v>
      </c>
      <c r="AA1707" s="2426">
        <v>39600</v>
      </c>
      <c r="AB1707" s="2703">
        <v>39600</v>
      </c>
      <c r="AC1707" s="766"/>
      <c r="AD1707" s="766"/>
      <c r="AE1707" s="766"/>
      <c r="AF1707" s="766"/>
      <c r="AG1707" s="766"/>
      <c r="BB1707" s="647"/>
      <c r="BC1707" s="648"/>
      <c r="BD1707" s="757"/>
      <c r="BE1707" s="659"/>
    </row>
    <row r="1708" spans="1:57" s="64" customFormat="1" ht="15" customHeight="1" outlineLevel="1" x14ac:dyDescent="0.25">
      <c r="A1708" s="2463"/>
      <c r="B1708" s="157"/>
      <c r="C1708" s="385"/>
      <c r="D1708" s="3589"/>
      <c r="E1708" s="3721"/>
      <c r="F1708" s="3773" t="str">
        <f>$E$1458</f>
        <v>ASHP - SEER 16 - replace on fail MF</v>
      </c>
      <c r="G1708" s="3774"/>
      <c r="H1708" s="3774"/>
      <c r="I1708" s="3775"/>
      <c r="J1708" s="3071" t="str">
        <f>$C$1458</f>
        <v>352900_2019_12_</v>
      </c>
      <c r="K1708" s="2703">
        <v>39600</v>
      </c>
      <c r="L1708" s="2724">
        <f t="shared" si="194"/>
        <v>3.3</v>
      </c>
      <c r="M1708" s="2718" t="s">
        <v>1286</v>
      </c>
      <c r="N1708" s="157"/>
      <c r="O1708" s="277"/>
      <c r="P1708" s="937"/>
      <c r="Q1708" s="938"/>
      <c r="R1708" s="937"/>
      <c r="S1708" s="924"/>
      <c r="T1708" s="1407"/>
      <c r="U1708" s="157"/>
      <c r="V1708" s="3589"/>
      <c r="W1708" s="766">
        <v>39600</v>
      </c>
      <c r="X1708" s="766">
        <v>39600</v>
      </c>
      <c r="Y1708" s="766">
        <v>39600</v>
      </c>
      <c r="Z1708" s="2426">
        <v>39600</v>
      </c>
      <c r="AA1708" s="2426">
        <v>39600</v>
      </c>
      <c r="AB1708" s="2703">
        <v>39600</v>
      </c>
      <c r="AC1708" s="766"/>
      <c r="AD1708" s="766"/>
      <c r="AE1708" s="766"/>
      <c r="AF1708" s="766"/>
      <c r="AG1708" s="766"/>
      <c r="BB1708" s="647"/>
      <c r="BC1708" s="648"/>
      <c r="BD1708" s="757"/>
      <c r="BE1708" s="659"/>
    </row>
    <row r="1709" spans="1:57" s="64" customFormat="1" ht="15" customHeight="1" outlineLevel="1" x14ac:dyDescent="0.25">
      <c r="A1709" s="2463"/>
      <c r="B1709" s="157"/>
      <c r="C1709" s="385"/>
      <c r="D1709" s="3589"/>
      <c r="E1709" s="3721"/>
      <c r="F1709" s="3773" t="str">
        <f>$E$1460</f>
        <v>ASHP - SEER 16 - replace on fail MF_CompE</v>
      </c>
      <c r="G1709" s="3774"/>
      <c r="H1709" s="3774"/>
      <c r="I1709" s="3775"/>
      <c r="J1709" s="3071" t="str">
        <f>$C$1460</f>
        <v>352901_2019_12_</v>
      </c>
      <c r="K1709" s="2703">
        <f>K1708</f>
        <v>39600</v>
      </c>
      <c r="L1709" s="2724">
        <f t="shared" si="194"/>
        <v>3.3</v>
      </c>
      <c r="M1709" s="2718"/>
      <c r="N1709" s="157"/>
      <c r="O1709" s="277"/>
      <c r="P1709" s="937"/>
      <c r="Q1709" s="938"/>
      <c r="R1709" s="937"/>
      <c r="S1709" s="924"/>
      <c r="T1709" s="1407"/>
      <c r="U1709" s="157"/>
      <c r="V1709" s="3589"/>
      <c r="W1709" s="766"/>
      <c r="X1709" s="766"/>
      <c r="Y1709" s="765">
        <v>39600</v>
      </c>
      <c r="Z1709" s="2426">
        <v>39600</v>
      </c>
      <c r="AA1709" s="2426">
        <v>39600</v>
      </c>
      <c r="AB1709" s="2703">
        <v>39600</v>
      </c>
      <c r="AC1709" s="766"/>
      <c r="AD1709" s="766"/>
      <c r="AE1709" s="766"/>
      <c r="AF1709" s="766"/>
      <c r="AG1709" s="766"/>
      <c r="BB1709" s="647"/>
      <c r="BC1709" s="648"/>
      <c r="BD1709" s="757"/>
      <c r="BE1709" s="659"/>
    </row>
    <row r="1710" spans="1:57" s="64" customFormat="1" ht="15" customHeight="1" outlineLevel="1" x14ac:dyDescent="0.25">
      <c r="A1710" s="2463"/>
      <c r="B1710" s="157"/>
      <c r="C1710" s="385"/>
      <c r="D1710" s="3589"/>
      <c r="E1710" s="3721"/>
      <c r="F1710" s="3773" t="str">
        <f>$E$1462</f>
        <v>ASHP - SEER 16 - replace electric furnace / CAC MF</v>
      </c>
      <c r="G1710" s="3774"/>
      <c r="H1710" s="3774"/>
      <c r="I1710" s="3775"/>
      <c r="J1710" s="3071" t="str">
        <f>$C$1462</f>
        <v>352950_2019_12_</v>
      </c>
      <c r="K1710" s="2703">
        <v>24000</v>
      </c>
      <c r="L1710" s="2724">
        <f t="shared" si="194"/>
        <v>2</v>
      </c>
      <c r="M1710" s="2718" t="s">
        <v>3650</v>
      </c>
      <c r="N1710" s="157"/>
      <c r="O1710" s="277"/>
      <c r="P1710" s="937"/>
      <c r="Q1710" s="938"/>
      <c r="R1710" s="937"/>
      <c r="S1710" s="924"/>
      <c r="T1710" s="1407"/>
      <c r="U1710" s="157"/>
      <c r="V1710" s="3589"/>
      <c r="W1710" s="766">
        <v>38400</v>
      </c>
      <c r="X1710" s="766">
        <v>38400</v>
      </c>
      <c r="Y1710" s="766">
        <v>38400</v>
      </c>
      <c r="Z1710" s="2426">
        <v>38400</v>
      </c>
      <c r="AA1710" s="2426">
        <v>38400</v>
      </c>
      <c r="AB1710" s="2660">
        <v>24000</v>
      </c>
      <c r="AC1710" s="766"/>
      <c r="AD1710" s="766"/>
      <c r="AE1710" s="766"/>
      <c r="AF1710" s="766"/>
      <c r="AG1710" s="766"/>
      <c r="BB1710" s="647"/>
      <c r="BC1710" s="648"/>
      <c r="BD1710" s="757"/>
      <c r="BE1710" s="659"/>
    </row>
    <row r="1711" spans="1:57" s="64" customFormat="1" ht="15" customHeight="1" outlineLevel="1" x14ac:dyDescent="0.25">
      <c r="A1711" s="2463"/>
      <c r="B1711" s="157"/>
      <c r="C1711" s="385"/>
      <c r="D1711" s="3589"/>
      <c r="E1711" s="3721"/>
      <c r="F1711" s="3773" t="str">
        <f>$E$1464</f>
        <v>ASHP - SEER 16 - replace electric furnace / CAC MF_CompE</v>
      </c>
      <c r="G1711" s="3774"/>
      <c r="H1711" s="3774"/>
      <c r="I1711" s="3775"/>
      <c r="J1711" s="3071" t="str">
        <f>$C$1464</f>
        <v>352951_2019_12_</v>
      </c>
      <c r="K1711" s="2703">
        <f>K1710</f>
        <v>24000</v>
      </c>
      <c r="L1711" s="2724">
        <f t="shared" si="194"/>
        <v>2</v>
      </c>
      <c r="M1711" s="2718" t="s">
        <v>3650</v>
      </c>
      <c r="N1711" s="157"/>
      <c r="O1711" s="277"/>
      <c r="P1711" s="937"/>
      <c r="Q1711" s="938"/>
      <c r="R1711" s="937"/>
      <c r="S1711" s="924"/>
      <c r="T1711" s="1407"/>
      <c r="U1711" s="157"/>
      <c r="V1711" s="3589"/>
      <c r="W1711" s="766"/>
      <c r="X1711" s="766"/>
      <c r="Y1711" s="765">
        <v>38400</v>
      </c>
      <c r="Z1711" s="2426">
        <v>38400</v>
      </c>
      <c r="AA1711" s="2426">
        <v>38400</v>
      </c>
      <c r="AB1711" s="2660">
        <v>24000</v>
      </c>
      <c r="AC1711" s="766"/>
      <c r="AD1711" s="766"/>
      <c r="AE1711" s="766"/>
      <c r="AF1711" s="766"/>
      <c r="AG1711" s="766"/>
      <c r="BB1711" s="647"/>
      <c r="BC1711" s="648"/>
      <c r="BD1711" s="757"/>
      <c r="BE1711" s="659"/>
    </row>
    <row r="1712" spans="1:57" s="64" customFormat="1" ht="15" customHeight="1" outlineLevel="1" x14ac:dyDescent="0.25">
      <c r="A1712" s="2463"/>
      <c r="B1712" s="157"/>
      <c r="C1712" s="385"/>
      <c r="D1712" s="3589"/>
      <c r="E1712" s="3721"/>
      <c r="F1712" s="3773" t="str">
        <f>$E$1466</f>
        <v>ASHP - SEER 16 - replace electric furnace / CAC - early replacement MF ER1</v>
      </c>
      <c r="G1712" s="3774"/>
      <c r="H1712" s="3774"/>
      <c r="I1712" s="3775"/>
      <c r="J1712" s="3071" t="str">
        <f>$C$1466</f>
        <v>353000_2019_12_</v>
      </c>
      <c r="K1712" s="2703">
        <v>39600</v>
      </c>
      <c r="L1712" s="2724">
        <f t="shared" si="194"/>
        <v>3.3</v>
      </c>
      <c r="M1712" s="2718" t="s">
        <v>3650</v>
      </c>
      <c r="N1712" s="157"/>
      <c r="O1712" s="277"/>
      <c r="P1712" s="937"/>
      <c r="Q1712" s="938"/>
      <c r="R1712" s="937"/>
      <c r="S1712" s="924"/>
      <c r="T1712" s="1407"/>
      <c r="U1712" s="157"/>
      <c r="V1712" s="3589"/>
      <c r="W1712" s="766">
        <v>37200</v>
      </c>
      <c r="X1712" s="766">
        <v>37200</v>
      </c>
      <c r="Y1712" s="766">
        <v>37200</v>
      </c>
      <c r="Z1712" s="2426">
        <v>37200</v>
      </c>
      <c r="AA1712" s="2426">
        <v>37200</v>
      </c>
      <c r="AB1712" s="2660">
        <v>39600</v>
      </c>
      <c r="AC1712" s="766"/>
      <c r="AD1712" s="766"/>
      <c r="AE1712" s="766"/>
      <c r="AF1712" s="766"/>
      <c r="AG1712" s="766"/>
      <c r="BB1712" s="647"/>
      <c r="BC1712" s="648"/>
      <c r="BD1712" s="757"/>
      <c r="BE1712" s="659"/>
    </row>
    <row r="1713" spans="1:57" s="64" customFormat="1" ht="15" customHeight="1" outlineLevel="1" x14ac:dyDescent="0.25">
      <c r="A1713" s="2463"/>
      <c r="B1713" s="157"/>
      <c r="C1713" s="385"/>
      <c r="D1713" s="3589"/>
      <c r="E1713" s="3721"/>
      <c r="F1713" s="3773" t="str">
        <f>$E$1468</f>
        <v>ASHP - SEER 16 - replace electric furnace / CAC - early replacement MF ER2</v>
      </c>
      <c r="G1713" s="3774"/>
      <c r="H1713" s="3774"/>
      <c r="I1713" s="3775"/>
      <c r="J1713" s="3071" t="str">
        <f>$C$1468</f>
        <v>353000_2019_12_</v>
      </c>
      <c r="K1713" s="2703">
        <f>K1712</f>
        <v>39600</v>
      </c>
      <c r="L1713" s="2724">
        <f t="shared" si="194"/>
        <v>3.3</v>
      </c>
      <c r="M1713" s="2718" t="s">
        <v>3650</v>
      </c>
      <c r="N1713" s="157"/>
      <c r="O1713" s="277"/>
      <c r="P1713" s="937"/>
      <c r="Q1713" s="938"/>
      <c r="R1713" s="937"/>
      <c r="S1713" s="924"/>
      <c r="T1713" s="1407"/>
      <c r="U1713" s="157"/>
      <c r="V1713" s="3589"/>
      <c r="W1713" s="766">
        <v>37200</v>
      </c>
      <c r="X1713" s="766">
        <v>37200</v>
      </c>
      <c r="Y1713" s="766">
        <v>37200</v>
      </c>
      <c r="Z1713" s="2426">
        <v>37200</v>
      </c>
      <c r="AA1713" s="2426">
        <v>37200</v>
      </c>
      <c r="AB1713" s="2660">
        <v>39600</v>
      </c>
      <c r="AC1713" s="766"/>
      <c r="AD1713" s="766"/>
      <c r="AE1713" s="766"/>
      <c r="AF1713" s="766"/>
      <c r="AG1713" s="766"/>
      <c r="BB1713" s="647"/>
      <c r="BC1713" s="648"/>
      <c r="BD1713" s="757"/>
      <c r="BE1713" s="659"/>
    </row>
    <row r="1714" spans="1:57" s="64" customFormat="1" ht="15" customHeight="1" outlineLevel="1" x14ac:dyDescent="0.25">
      <c r="A1714" s="2463"/>
      <c r="B1714" s="157"/>
      <c r="C1714" s="385"/>
      <c r="D1714" s="3589"/>
      <c r="E1714" s="3721"/>
      <c r="F1714" s="3773" t="str">
        <f>$E$1470</f>
        <v>ASHP - SEER 16 - replace electric furnace / CAC - early replacement MF ER1_CompE</v>
      </c>
      <c r="G1714" s="3774"/>
      <c r="H1714" s="3774"/>
      <c r="I1714" s="3775"/>
      <c r="J1714" s="3071" t="str">
        <f>$C$1470</f>
        <v>353001_2019_12_</v>
      </c>
      <c r="K1714" s="2703">
        <f>K1712</f>
        <v>39600</v>
      </c>
      <c r="L1714" s="2724">
        <f t="shared" si="194"/>
        <v>3.3</v>
      </c>
      <c r="M1714" s="2718" t="s">
        <v>3652</v>
      </c>
      <c r="N1714" s="157"/>
      <c r="O1714" s="277"/>
      <c r="P1714" s="937"/>
      <c r="Q1714" s="938"/>
      <c r="R1714" s="937"/>
      <c r="S1714" s="924"/>
      <c r="T1714" s="1407"/>
      <c r="U1714" s="157"/>
      <c r="V1714" s="3589"/>
      <c r="W1714" s="766"/>
      <c r="X1714" s="766"/>
      <c r="Y1714" s="765">
        <v>37200</v>
      </c>
      <c r="Z1714" s="2426">
        <v>37200</v>
      </c>
      <c r="AA1714" s="2426">
        <v>37200</v>
      </c>
      <c r="AB1714" s="2660">
        <v>39600</v>
      </c>
      <c r="AC1714" s="766"/>
      <c r="AD1714" s="766"/>
      <c r="AE1714" s="766"/>
      <c r="AF1714" s="766"/>
      <c r="AG1714" s="766"/>
      <c r="BB1714" s="647"/>
      <c r="BC1714" s="648"/>
      <c r="BD1714" s="757"/>
      <c r="BE1714" s="659"/>
    </row>
    <row r="1715" spans="1:57" s="64" customFormat="1" ht="15" customHeight="1" outlineLevel="1" x14ac:dyDescent="0.25">
      <c r="A1715" s="2463"/>
      <c r="B1715" s="157"/>
      <c r="C1715" s="385"/>
      <c r="D1715" s="3589"/>
      <c r="E1715" s="3721"/>
      <c r="F1715" s="3773" t="str">
        <f>$E$1472</f>
        <v>ASHP - SEER 16 - replace electric furnace / CAC - early replacement MF ER2_CompE</v>
      </c>
      <c r="G1715" s="3774"/>
      <c r="H1715" s="3774"/>
      <c r="I1715" s="3775"/>
      <c r="J1715" s="3071" t="str">
        <f>$C$1472</f>
        <v>353001_2019_12_</v>
      </c>
      <c r="K1715" s="2703">
        <f>K1713</f>
        <v>39600</v>
      </c>
      <c r="L1715" s="2724">
        <f t="shared" si="194"/>
        <v>3.3</v>
      </c>
      <c r="M1715" s="2718" t="s">
        <v>3652</v>
      </c>
      <c r="N1715" s="157"/>
      <c r="O1715" s="277"/>
      <c r="P1715" s="937"/>
      <c r="Q1715" s="938"/>
      <c r="R1715" s="937"/>
      <c r="S1715" s="924"/>
      <c r="T1715" s="1407"/>
      <c r="U1715" s="157"/>
      <c r="V1715" s="3589"/>
      <c r="W1715" s="766"/>
      <c r="X1715" s="766"/>
      <c r="Y1715" s="765">
        <v>37200</v>
      </c>
      <c r="Z1715" s="2426">
        <v>37200</v>
      </c>
      <c r="AA1715" s="2426">
        <v>37200</v>
      </c>
      <c r="AB1715" s="2660">
        <v>39600</v>
      </c>
      <c r="AC1715" s="766"/>
      <c r="AD1715" s="766"/>
      <c r="AE1715" s="766"/>
      <c r="AF1715" s="766"/>
      <c r="AG1715" s="766"/>
      <c r="BB1715" s="647"/>
      <c r="BC1715" s="648"/>
      <c r="BD1715" s="757"/>
      <c r="BE1715" s="659"/>
    </row>
    <row r="1716" spans="1:57" s="64" customFormat="1" ht="15" customHeight="1" outlineLevel="1" x14ac:dyDescent="0.25">
      <c r="A1716" s="2463"/>
      <c r="B1716" s="157"/>
      <c r="C1716" s="385"/>
      <c r="D1716" s="3589"/>
      <c r="E1716" s="3721"/>
      <c r="F1716" s="3776" t="str">
        <f>$E$1474</f>
        <v xml:space="preserve">ASHP SEER 15 - replace on Fail MF </v>
      </c>
      <c r="G1716" s="3777"/>
      <c r="H1716" s="3777"/>
      <c r="I1716" s="3778"/>
      <c r="J1716" s="3072" t="str">
        <f>$C$1474</f>
        <v>353050_2019_12_</v>
      </c>
      <c r="K1716" s="2703">
        <v>37200</v>
      </c>
      <c r="L1716" s="2724">
        <f t="shared" si="194"/>
        <v>3.1</v>
      </c>
      <c r="M1716" s="2718" t="s">
        <v>1286</v>
      </c>
      <c r="N1716" s="157"/>
      <c r="O1716" s="277"/>
      <c r="P1716" s="937"/>
      <c r="Q1716" s="938"/>
      <c r="R1716" s="937"/>
      <c r="S1716" s="924"/>
      <c r="T1716" s="1407"/>
      <c r="U1716" s="157"/>
      <c r="V1716" s="3589"/>
      <c r="W1716" s="766">
        <v>37200</v>
      </c>
      <c r="X1716" s="766">
        <v>37200</v>
      </c>
      <c r="Y1716" s="766">
        <v>37200</v>
      </c>
      <c r="Z1716" s="2426">
        <v>37200</v>
      </c>
      <c r="AA1716" s="2426">
        <v>37200</v>
      </c>
      <c r="AB1716" s="2703">
        <v>37200</v>
      </c>
      <c r="AC1716" s="766"/>
      <c r="AD1716" s="766"/>
      <c r="AE1716" s="766"/>
      <c r="AF1716" s="766"/>
      <c r="AG1716" s="766"/>
      <c r="BB1716" s="647"/>
      <c r="BC1716" s="648"/>
      <c r="BD1716" s="757"/>
      <c r="BE1716" s="659"/>
    </row>
    <row r="1717" spans="1:57" s="64" customFormat="1" ht="15" customHeight="1" outlineLevel="1" x14ac:dyDescent="0.25">
      <c r="A1717" s="2463"/>
      <c r="B1717" s="157"/>
      <c r="C1717" s="385"/>
      <c r="D1717" s="3589"/>
      <c r="E1717" s="3721"/>
      <c r="F1717" s="3776" t="str">
        <f>$E$1476</f>
        <v>ASHP SEER 15 - replace on Fail MF _CompE</v>
      </c>
      <c r="G1717" s="3777"/>
      <c r="H1717" s="3777"/>
      <c r="I1717" s="3778"/>
      <c r="J1717" s="3072" t="str">
        <f>$C$1476</f>
        <v>353051_2019_12_</v>
      </c>
      <c r="K1717" s="2703">
        <f>K1716</f>
        <v>37200</v>
      </c>
      <c r="L1717" s="2724">
        <f t="shared" si="194"/>
        <v>3.1</v>
      </c>
      <c r="M1717" s="2718"/>
      <c r="N1717" s="157"/>
      <c r="O1717" s="277"/>
      <c r="P1717" s="937"/>
      <c r="Q1717" s="938"/>
      <c r="R1717" s="937"/>
      <c r="S1717" s="924"/>
      <c r="T1717" s="1407"/>
      <c r="U1717" s="157"/>
      <c r="V1717" s="3589"/>
      <c r="W1717" s="766"/>
      <c r="X1717" s="766"/>
      <c r="Y1717" s="765">
        <v>37200</v>
      </c>
      <c r="Z1717" s="2426">
        <v>37200</v>
      </c>
      <c r="AA1717" s="2426">
        <v>37200</v>
      </c>
      <c r="AB1717" s="2703">
        <v>37200</v>
      </c>
      <c r="AC1717" s="766"/>
      <c r="AD1717" s="766"/>
      <c r="AE1717" s="766"/>
      <c r="AF1717" s="766"/>
      <c r="AG1717" s="766"/>
      <c r="BB1717" s="647"/>
      <c r="BC1717" s="648"/>
      <c r="BD1717" s="757"/>
      <c r="BE1717" s="659"/>
    </row>
    <row r="1718" spans="1:57" s="64" customFormat="1" ht="15" customHeight="1" outlineLevel="1" x14ac:dyDescent="0.25">
      <c r="A1718" s="2463"/>
      <c r="B1718" s="157"/>
      <c r="C1718" s="385"/>
      <c r="D1718" s="3589"/>
      <c r="E1718" s="3721"/>
      <c r="F1718" s="3773" t="str">
        <f>$E$1478</f>
        <v>ASHP - SEER 17 - replace electric furnace / CAC SF</v>
      </c>
      <c r="G1718" s="3774"/>
      <c r="H1718" s="3774"/>
      <c r="I1718" s="3775"/>
      <c r="J1718" s="3071" t="str">
        <f>$C$1478</f>
        <v>353100_2019_12_</v>
      </c>
      <c r="K1718" s="2703">
        <v>33600</v>
      </c>
      <c r="L1718" s="2724">
        <f t="shared" si="194"/>
        <v>2.8</v>
      </c>
      <c r="M1718" s="2718" t="s">
        <v>1503</v>
      </c>
      <c r="N1718" s="157"/>
      <c r="O1718" s="277"/>
      <c r="P1718" s="937"/>
      <c r="Q1718" s="938"/>
      <c r="R1718" s="937"/>
      <c r="S1718" s="924"/>
      <c r="T1718" s="1407"/>
      <c r="U1718" s="157"/>
      <c r="V1718" s="3589"/>
      <c r="W1718" s="766">
        <v>33600</v>
      </c>
      <c r="X1718" s="766">
        <v>33600</v>
      </c>
      <c r="Y1718" s="766">
        <v>33600</v>
      </c>
      <c r="Z1718" s="2426">
        <v>33600</v>
      </c>
      <c r="AA1718" s="2426">
        <v>33600</v>
      </c>
      <c r="AB1718" s="2703">
        <v>33600</v>
      </c>
      <c r="AC1718" s="766"/>
      <c r="AD1718" s="766"/>
      <c r="AE1718" s="766"/>
      <c r="AF1718" s="766"/>
      <c r="AG1718" s="766"/>
      <c r="BB1718" s="647"/>
      <c r="BC1718" s="648"/>
      <c r="BD1718" s="757"/>
      <c r="BE1718" s="659"/>
    </row>
    <row r="1719" spans="1:57" s="64" customFormat="1" ht="15" customHeight="1" outlineLevel="1" x14ac:dyDescent="0.25">
      <c r="A1719" s="2463"/>
      <c r="B1719" s="157"/>
      <c r="C1719" s="385"/>
      <c r="D1719" s="3589"/>
      <c r="E1719" s="3721"/>
      <c r="F1719" s="3773" t="str">
        <f>$E$1480</f>
        <v>ASHP - SEER 17 - replace electric furnace / CAC MF</v>
      </c>
      <c r="G1719" s="3774"/>
      <c r="H1719" s="3774"/>
      <c r="I1719" s="3775"/>
      <c r="J1719" s="3071" t="str">
        <f>$C$1480</f>
        <v>353150_2019_12_</v>
      </c>
      <c r="K1719" s="2703">
        <v>33600</v>
      </c>
      <c r="L1719" s="2724">
        <f t="shared" si="194"/>
        <v>2.8</v>
      </c>
      <c r="M1719" s="2718" t="s">
        <v>1503</v>
      </c>
      <c r="N1719" s="157"/>
      <c r="O1719" s="277"/>
      <c r="P1719" s="937"/>
      <c r="Q1719" s="938"/>
      <c r="R1719" s="937"/>
      <c r="S1719" s="924"/>
      <c r="T1719" s="1407"/>
      <c r="U1719" s="157"/>
      <c r="V1719" s="3589"/>
      <c r="W1719" s="766">
        <v>33600</v>
      </c>
      <c r="X1719" s="766">
        <v>33600</v>
      </c>
      <c r="Y1719" s="766">
        <v>33600</v>
      </c>
      <c r="Z1719" s="2426">
        <v>33600</v>
      </c>
      <c r="AA1719" s="2426">
        <v>33600</v>
      </c>
      <c r="AB1719" s="2703">
        <v>33600</v>
      </c>
      <c r="AC1719" s="766"/>
      <c r="AD1719" s="766"/>
      <c r="AE1719" s="766"/>
      <c r="AF1719" s="766"/>
      <c r="AG1719" s="766"/>
      <c r="BB1719" s="647"/>
      <c r="BC1719" s="648"/>
      <c r="BD1719" s="757"/>
      <c r="BE1719" s="659"/>
    </row>
    <row r="1720" spans="1:57" s="64" customFormat="1" ht="15" customHeight="1" outlineLevel="1" x14ac:dyDescent="0.25">
      <c r="A1720" s="2463"/>
      <c r="B1720" s="157"/>
      <c r="C1720" s="385"/>
      <c r="D1720" s="3589"/>
      <c r="E1720" s="3721"/>
      <c r="F1720" s="3773" t="str">
        <f>$E$1482</f>
        <v>ASHP - SEER 17 - replace electric furnace / CAC MF_CompE</v>
      </c>
      <c r="G1720" s="3774"/>
      <c r="H1720" s="3774"/>
      <c r="I1720" s="3775"/>
      <c r="J1720" s="3071" t="str">
        <f>$C$1482</f>
        <v>353151_2019_12_</v>
      </c>
      <c r="K1720" s="2703">
        <f>K1719</f>
        <v>33600</v>
      </c>
      <c r="L1720" s="2724">
        <f t="shared" si="194"/>
        <v>2.8</v>
      </c>
      <c r="M1720" s="2718"/>
      <c r="N1720" s="157"/>
      <c r="O1720" s="277"/>
      <c r="P1720" s="937"/>
      <c r="Q1720" s="938"/>
      <c r="R1720" s="937"/>
      <c r="S1720" s="924"/>
      <c r="T1720" s="1407"/>
      <c r="U1720" s="157"/>
      <c r="V1720" s="3589"/>
      <c r="W1720" s="766"/>
      <c r="X1720" s="766"/>
      <c r="Y1720" s="765">
        <v>33600</v>
      </c>
      <c r="Z1720" s="2426">
        <v>33600</v>
      </c>
      <c r="AA1720" s="2426">
        <v>33600</v>
      </c>
      <c r="AB1720" s="2703">
        <v>33600</v>
      </c>
      <c r="AC1720" s="766"/>
      <c r="AD1720" s="766"/>
      <c r="AE1720" s="766"/>
      <c r="AF1720" s="766"/>
      <c r="AG1720" s="766"/>
      <c r="BB1720" s="647"/>
      <c r="BC1720" s="648"/>
      <c r="BD1720" s="757"/>
      <c r="BE1720" s="659"/>
    </row>
    <row r="1721" spans="1:57" s="64" customFormat="1" ht="15" customHeight="1" outlineLevel="1" x14ac:dyDescent="0.25">
      <c r="A1721" s="2463"/>
      <c r="B1721" s="157"/>
      <c r="C1721" s="385"/>
      <c r="D1721" s="3589"/>
      <c r="E1721" s="3721"/>
      <c r="F1721" s="3773" t="str">
        <f>$E$1484</f>
        <v>ASHP - SEER 18 - replace electric furnace / CAC SF</v>
      </c>
      <c r="G1721" s="3774"/>
      <c r="H1721" s="3774"/>
      <c r="I1721" s="3775"/>
      <c r="J1721" s="3071" t="str">
        <f>$C$1484</f>
        <v>353200_2019_12_</v>
      </c>
      <c r="K1721" s="2703">
        <v>36000</v>
      </c>
      <c r="L1721" s="2724">
        <f t="shared" si="194"/>
        <v>3</v>
      </c>
      <c r="M1721" s="2718" t="s">
        <v>3650</v>
      </c>
      <c r="N1721" s="157"/>
      <c r="O1721" s="277"/>
      <c r="P1721" s="937"/>
      <c r="Q1721" s="938"/>
      <c r="R1721" s="937"/>
      <c r="S1721" s="924"/>
      <c r="T1721" s="1407"/>
      <c r="U1721" s="157"/>
      <c r="V1721" s="3589"/>
      <c r="W1721" s="766">
        <v>33600</v>
      </c>
      <c r="X1721" s="766">
        <v>33600</v>
      </c>
      <c r="Y1721" s="766">
        <v>33600</v>
      </c>
      <c r="Z1721" s="2426">
        <v>33600</v>
      </c>
      <c r="AA1721" s="2426">
        <v>33600</v>
      </c>
      <c r="AB1721" s="2660">
        <v>36000</v>
      </c>
      <c r="AC1721" s="766"/>
      <c r="AD1721" s="766"/>
      <c r="AE1721" s="766"/>
      <c r="AF1721" s="766"/>
      <c r="AG1721" s="766"/>
      <c r="BB1721" s="647"/>
      <c r="BC1721" s="648"/>
      <c r="BD1721" s="757"/>
      <c r="BE1721" s="659"/>
    </row>
    <row r="1722" spans="1:57" s="64" customFormat="1" ht="15" customHeight="1" outlineLevel="1" x14ac:dyDescent="0.25">
      <c r="A1722" s="2463"/>
      <c r="B1722" s="157"/>
      <c r="C1722" s="385"/>
      <c r="D1722" s="3589"/>
      <c r="E1722" s="3721"/>
      <c r="F1722" s="3773" t="str">
        <f>$E$1486</f>
        <v>ASHP - SEER 18 - replace electric furnace / CAC MF</v>
      </c>
      <c r="G1722" s="3774"/>
      <c r="H1722" s="3774"/>
      <c r="I1722" s="3775"/>
      <c r="J1722" s="3071" t="str">
        <f>$C$1486</f>
        <v>353250_2019_12_</v>
      </c>
      <c r="K1722" s="2703">
        <v>48000</v>
      </c>
      <c r="L1722" s="2724">
        <f t="shared" si="194"/>
        <v>4</v>
      </c>
      <c r="M1722" s="2718" t="s">
        <v>3650</v>
      </c>
      <c r="N1722" s="157"/>
      <c r="O1722" s="277"/>
      <c r="P1722" s="937"/>
      <c r="Q1722" s="938"/>
      <c r="R1722" s="937"/>
      <c r="S1722" s="924"/>
      <c r="T1722" s="1407"/>
      <c r="U1722" s="157"/>
      <c r="V1722" s="3589"/>
      <c r="W1722" s="766">
        <v>33600</v>
      </c>
      <c r="X1722" s="766">
        <v>33600</v>
      </c>
      <c r="Y1722" s="766">
        <v>33600</v>
      </c>
      <c r="Z1722" s="2426">
        <v>33600</v>
      </c>
      <c r="AA1722" s="2426">
        <v>33600</v>
      </c>
      <c r="AB1722" s="2660">
        <v>48000</v>
      </c>
      <c r="AC1722" s="766"/>
      <c r="AD1722" s="766"/>
      <c r="AE1722" s="766"/>
      <c r="AF1722" s="766"/>
      <c r="AG1722" s="766"/>
      <c r="BB1722" s="647"/>
      <c r="BC1722" s="648"/>
      <c r="BD1722" s="757"/>
      <c r="BE1722" s="659"/>
    </row>
    <row r="1723" spans="1:57" s="64" customFormat="1" ht="15" customHeight="1" outlineLevel="1" x14ac:dyDescent="0.25">
      <c r="A1723" s="2463"/>
      <c r="B1723" s="157"/>
      <c r="C1723" s="385"/>
      <c r="D1723" s="3589"/>
      <c r="E1723" s="3721"/>
      <c r="F1723" s="3773" t="str">
        <f>$E$1488</f>
        <v>ASHP - SEER 18 - replace electric furnace / CAC MF_CompE</v>
      </c>
      <c r="G1723" s="3774"/>
      <c r="H1723" s="3774"/>
      <c r="I1723" s="3775"/>
      <c r="J1723" s="3071" t="str">
        <f>$C$1488</f>
        <v>353251_2019_12_</v>
      </c>
      <c r="K1723" s="2703">
        <f>K1722</f>
        <v>48000</v>
      </c>
      <c r="L1723" s="2724">
        <f t="shared" si="194"/>
        <v>4</v>
      </c>
      <c r="M1723" s="2718" t="s">
        <v>3650</v>
      </c>
      <c r="N1723" s="157"/>
      <c r="O1723" s="277"/>
      <c r="P1723" s="937"/>
      <c r="Q1723" s="938"/>
      <c r="R1723" s="937"/>
      <c r="S1723" s="924"/>
      <c r="T1723" s="1407"/>
      <c r="U1723" s="157"/>
      <c r="V1723" s="3589"/>
      <c r="W1723" s="766"/>
      <c r="X1723" s="766"/>
      <c r="Y1723" s="765">
        <v>33600</v>
      </c>
      <c r="Z1723" s="2426">
        <v>33600</v>
      </c>
      <c r="AA1723" s="2426">
        <v>33600</v>
      </c>
      <c r="AB1723" s="2660">
        <v>48000</v>
      </c>
      <c r="AC1723" s="766"/>
      <c r="AD1723" s="766"/>
      <c r="AE1723" s="766"/>
      <c r="AF1723" s="766"/>
      <c r="AG1723" s="766"/>
      <c r="BB1723" s="647"/>
      <c r="BC1723" s="648"/>
      <c r="BD1723" s="757"/>
      <c r="BE1723" s="659"/>
    </row>
    <row r="1724" spans="1:57" s="64" customFormat="1" ht="15" customHeight="1" outlineLevel="1" x14ac:dyDescent="0.25">
      <c r="A1724" s="2463"/>
      <c r="B1724" s="157"/>
      <c r="C1724" s="385"/>
      <c r="D1724" s="3589"/>
      <c r="E1724" s="3721"/>
      <c r="F1724" s="3773" t="str">
        <f>$E$1490</f>
        <v>ASHP - SEER 19 - replace electric furnace / CAC SF</v>
      </c>
      <c r="G1724" s="3774"/>
      <c r="H1724" s="3774"/>
      <c r="I1724" s="3775"/>
      <c r="J1724" s="3071" t="str">
        <f>$C$1490</f>
        <v>353300_2019_12_</v>
      </c>
      <c r="K1724" s="2703">
        <v>33600</v>
      </c>
      <c r="L1724" s="2724">
        <f t="shared" si="194"/>
        <v>2.8</v>
      </c>
      <c r="M1724" s="2718" t="s">
        <v>1503</v>
      </c>
      <c r="N1724" s="157"/>
      <c r="O1724" s="277"/>
      <c r="P1724" s="937"/>
      <c r="Q1724" s="938"/>
      <c r="R1724" s="937"/>
      <c r="S1724" s="924"/>
      <c r="T1724" s="1407"/>
      <c r="U1724" s="157"/>
      <c r="V1724" s="3589"/>
      <c r="W1724" s="766">
        <v>33600</v>
      </c>
      <c r="X1724" s="766">
        <v>33600</v>
      </c>
      <c r="Y1724" s="766">
        <v>33600</v>
      </c>
      <c r="Z1724" s="2426">
        <v>33600</v>
      </c>
      <c r="AA1724" s="2426">
        <v>33600</v>
      </c>
      <c r="AB1724" s="2703">
        <v>33600</v>
      </c>
      <c r="AC1724" s="766"/>
      <c r="AD1724" s="766"/>
      <c r="AE1724" s="766"/>
      <c r="AF1724" s="766"/>
      <c r="AG1724" s="766"/>
      <c r="BB1724" s="647"/>
      <c r="BC1724" s="648"/>
      <c r="BD1724" s="757"/>
      <c r="BE1724" s="659"/>
    </row>
    <row r="1725" spans="1:57" s="64" customFormat="1" ht="15" customHeight="1" outlineLevel="1" x14ac:dyDescent="0.25">
      <c r="A1725" s="2463"/>
      <c r="B1725" s="157"/>
      <c r="C1725" s="385"/>
      <c r="D1725" s="3589"/>
      <c r="E1725" s="3721"/>
      <c r="F1725" s="3773" t="str">
        <f>$E$1492</f>
        <v>ASHP - SEER 19 - replace electric furnace / CAC MF</v>
      </c>
      <c r="G1725" s="3774"/>
      <c r="H1725" s="3774"/>
      <c r="I1725" s="3775"/>
      <c r="J1725" s="3071" t="str">
        <f>$C$1492</f>
        <v>353350_2019_12_</v>
      </c>
      <c r="K1725" s="2703">
        <v>33600</v>
      </c>
      <c r="L1725" s="2724">
        <f t="shared" si="194"/>
        <v>2.8</v>
      </c>
      <c r="M1725" s="2718" t="s">
        <v>1503</v>
      </c>
      <c r="N1725" s="157"/>
      <c r="O1725" s="277"/>
      <c r="P1725" s="937"/>
      <c r="Q1725" s="938"/>
      <c r="R1725" s="937"/>
      <c r="S1725" s="924"/>
      <c r="T1725" s="1407"/>
      <c r="U1725" s="157"/>
      <c r="V1725" s="3589"/>
      <c r="W1725" s="766">
        <v>33600</v>
      </c>
      <c r="X1725" s="766">
        <v>33600</v>
      </c>
      <c r="Y1725" s="766">
        <v>33600</v>
      </c>
      <c r="Z1725" s="2426">
        <v>33600</v>
      </c>
      <c r="AA1725" s="2426">
        <v>33600</v>
      </c>
      <c r="AB1725" s="2703">
        <v>33600</v>
      </c>
      <c r="AC1725" s="766"/>
      <c r="AD1725" s="766"/>
      <c r="AE1725" s="766"/>
      <c r="AF1725" s="766"/>
      <c r="AG1725" s="766"/>
      <c r="BB1725" s="647"/>
      <c r="BC1725" s="648"/>
      <c r="BD1725" s="757"/>
      <c r="BE1725" s="659"/>
    </row>
    <row r="1726" spans="1:57" s="64" customFormat="1" ht="15" customHeight="1" outlineLevel="1" x14ac:dyDescent="0.25">
      <c r="A1726" s="2463"/>
      <c r="B1726" s="157"/>
      <c r="C1726" s="385"/>
      <c r="D1726" s="3589"/>
      <c r="E1726" s="3721"/>
      <c r="F1726" s="3773" t="str">
        <f>$E$1494</f>
        <v>ASHP - SEER 19 - replace electric furnace / CAC MF_CompE</v>
      </c>
      <c r="G1726" s="3774"/>
      <c r="H1726" s="3774"/>
      <c r="I1726" s="3775"/>
      <c r="J1726" s="3071" t="str">
        <f>$C$1494</f>
        <v>353351_2019_12_</v>
      </c>
      <c r="K1726" s="2703">
        <f>K1725</f>
        <v>33600</v>
      </c>
      <c r="L1726" s="2724">
        <f t="shared" si="194"/>
        <v>2.8</v>
      </c>
      <c r="M1726" s="2718"/>
      <c r="N1726" s="157"/>
      <c r="O1726" s="277"/>
      <c r="P1726" s="937"/>
      <c r="Q1726" s="938"/>
      <c r="R1726" s="937"/>
      <c r="S1726" s="924"/>
      <c r="T1726" s="1407"/>
      <c r="U1726" s="157"/>
      <c r="V1726" s="3589"/>
      <c r="W1726" s="766"/>
      <c r="X1726" s="766"/>
      <c r="Y1726" s="765">
        <v>33600</v>
      </c>
      <c r="Z1726" s="2426">
        <v>33600</v>
      </c>
      <c r="AA1726" s="2426">
        <v>33600</v>
      </c>
      <c r="AB1726" s="2703">
        <v>33600</v>
      </c>
      <c r="AC1726" s="766"/>
      <c r="AD1726" s="766"/>
      <c r="AE1726" s="766"/>
      <c r="AF1726" s="766"/>
      <c r="AG1726" s="766"/>
      <c r="BB1726" s="647"/>
      <c r="BC1726" s="648"/>
      <c r="BD1726" s="757"/>
      <c r="BE1726" s="659"/>
    </row>
    <row r="1727" spans="1:57" s="64" customFormat="1" ht="15" customHeight="1" outlineLevel="1" x14ac:dyDescent="0.25">
      <c r="A1727" s="2463"/>
      <c r="B1727" s="157"/>
      <c r="C1727" s="385"/>
      <c r="D1727" s="3589"/>
      <c r="E1727" s="3721"/>
      <c r="F1727" s="3773" t="str">
        <f>$E$1496</f>
        <v>ASHP - SEER 20 - replace electric furnace / CAC - early replacement SF ER1</v>
      </c>
      <c r="G1727" s="3774"/>
      <c r="H1727" s="3774"/>
      <c r="I1727" s="3775"/>
      <c r="J1727" s="3071" t="str">
        <f>$C$1496</f>
        <v>353400_2019_12_</v>
      </c>
      <c r="K1727" s="2703">
        <v>37200</v>
      </c>
      <c r="L1727" s="2724">
        <f t="shared" si="194"/>
        <v>3.1</v>
      </c>
      <c r="M1727" s="2718" t="s">
        <v>1503</v>
      </c>
      <c r="N1727" s="157"/>
      <c r="O1727" s="277"/>
      <c r="P1727" s="937"/>
      <c r="Q1727" s="938"/>
      <c r="R1727" s="937"/>
      <c r="S1727" s="924"/>
      <c r="T1727" s="1407"/>
      <c r="U1727" s="157"/>
      <c r="V1727" s="3589"/>
      <c r="W1727" s="766">
        <v>37200</v>
      </c>
      <c r="X1727" s="766">
        <v>37200</v>
      </c>
      <c r="Y1727" s="766">
        <v>37200</v>
      </c>
      <c r="Z1727" s="2426">
        <v>37200</v>
      </c>
      <c r="AA1727" s="2426">
        <v>37200</v>
      </c>
      <c r="AB1727" s="2703">
        <v>37200</v>
      </c>
      <c r="AC1727" s="766"/>
      <c r="AD1727" s="766"/>
      <c r="AE1727" s="766"/>
      <c r="AF1727" s="766"/>
      <c r="AG1727" s="766"/>
      <c r="BB1727" s="647"/>
      <c r="BC1727" s="648"/>
      <c r="BD1727" s="757"/>
      <c r="BE1727" s="659"/>
    </row>
    <row r="1728" spans="1:57" s="64" customFormat="1" ht="15" customHeight="1" outlineLevel="1" x14ac:dyDescent="0.25">
      <c r="A1728" s="2463"/>
      <c r="B1728" s="157"/>
      <c r="C1728" s="385"/>
      <c r="D1728" s="3589"/>
      <c r="E1728" s="3721"/>
      <c r="F1728" s="3773" t="str">
        <f>$E$1498</f>
        <v>ASHP - SEER 20 - replace electric furnace / CAC - early replacement SF ER2</v>
      </c>
      <c r="G1728" s="3774"/>
      <c r="H1728" s="3774"/>
      <c r="I1728" s="3775"/>
      <c r="J1728" s="3071" t="str">
        <f>$C$1498</f>
        <v>353400_2019_12_</v>
      </c>
      <c r="K1728" s="2703">
        <v>37200</v>
      </c>
      <c r="L1728" s="2724">
        <f t="shared" si="194"/>
        <v>3.1</v>
      </c>
      <c r="M1728" s="2718" t="s">
        <v>1503</v>
      </c>
      <c r="N1728" s="157"/>
      <c r="O1728" s="277"/>
      <c r="P1728" s="937"/>
      <c r="Q1728" s="938"/>
      <c r="R1728" s="937"/>
      <c r="S1728" s="924"/>
      <c r="T1728" s="1407"/>
      <c r="U1728" s="157"/>
      <c r="V1728" s="3589"/>
      <c r="W1728" s="766">
        <v>37200</v>
      </c>
      <c r="X1728" s="766">
        <v>37200</v>
      </c>
      <c r="Y1728" s="766">
        <v>37200</v>
      </c>
      <c r="Z1728" s="2426">
        <v>37200</v>
      </c>
      <c r="AA1728" s="2426">
        <v>37200</v>
      </c>
      <c r="AB1728" s="2703">
        <v>37200</v>
      </c>
      <c r="AC1728" s="766"/>
      <c r="AD1728" s="766"/>
      <c r="AE1728" s="766"/>
      <c r="AF1728" s="766"/>
      <c r="AG1728" s="766"/>
      <c r="BB1728" s="647"/>
      <c r="BC1728" s="648"/>
      <c r="BD1728" s="757"/>
      <c r="BE1728" s="659"/>
    </row>
    <row r="1729" spans="1:57" s="64" customFormat="1" ht="15" customHeight="1" outlineLevel="1" x14ac:dyDescent="0.25">
      <c r="A1729" s="2463"/>
      <c r="B1729" s="157"/>
      <c r="C1729" s="385"/>
      <c r="D1729" s="3589"/>
      <c r="E1729" s="3721"/>
      <c r="F1729" s="3773" t="str">
        <f>$E$1500</f>
        <v>ASHP - SEER 20 - replace electric furnace / CAC SF</v>
      </c>
      <c r="G1729" s="3774"/>
      <c r="H1729" s="3774"/>
      <c r="I1729" s="3775"/>
      <c r="J1729" s="3071" t="str">
        <f>$C$1500</f>
        <v>353450_2019_12_</v>
      </c>
      <c r="K1729" s="2703">
        <v>38400</v>
      </c>
      <c r="L1729" s="2724">
        <f t="shared" si="194"/>
        <v>3.2</v>
      </c>
      <c r="M1729" s="2718" t="s">
        <v>1503</v>
      </c>
      <c r="N1729" s="157"/>
      <c r="O1729" s="277"/>
      <c r="P1729" s="937"/>
      <c r="Q1729" s="938"/>
      <c r="R1729" s="937"/>
      <c r="S1729" s="924"/>
      <c r="T1729" s="1407"/>
      <c r="U1729" s="157"/>
      <c r="V1729" s="3589"/>
      <c r="W1729" s="766">
        <v>38400</v>
      </c>
      <c r="X1729" s="766">
        <v>38400</v>
      </c>
      <c r="Y1729" s="766">
        <v>38400</v>
      </c>
      <c r="Z1729" s="2426">
        <v>38400</v>
      </c>
      <c r="AA1729" s="2426">
        <v>38400</v>
      </c>
      <c r="AB1729" s="2703">
        <v>38400</v>
      </c>
      <c r="AC1729" s="766"/>
      <c r="AD1729" s="766"/>
      <c r="AE1729" s="766"/>
      <c r="AF1729" s="766"/>
      <c r="AG1729" s="766"/>
      <c r="BB1729" s="647"/>
      <c r="BC1729" s="648"/>
      <c r="BD1729" s="757"/>
      <c r="BE1729" s="659"/>
    </row>
    <row r="1730" spans="1:57" s="64" customFormat="1" ht="15" customHeight="1" outlineLevel="1" x14ac:dyDescent="0.25">
      <c r="A1730" s="2463"/>
      <c r="B1730" s="157"/>
      <c r="C1730" s="385"/>
      <c r="D1730" s="3589"/>
      <c r="E1730" s="3721"/>
      <c r="F1730" s="3773" t="str">
        <f>$E$1502</f>
        <v>ASHP - SEER 20 - replace electric furnace / CAC MF</v>
      </c>
      <c r="G1730" s="3774"/>
      <c r="H1730" s="3774"/>
      <c r="I1730" s="3775"/>
      <c r="J1730" s="3071" t="str">
        <f>$C$1502</f>
        <v>353500_2019_12_</v>
      </c>
      <c r="K1730" s="2703">
        <v>38400</v>
      </c>
      <c r="L1730" s="2724">
        <f t="shared" si="194"/>
        <v>3.2</v>
      </c>
      <c r="M1730" s="2718" t="s">
        <v>1503</v>
      </c>
      <c r="N1730" s="157"/>
      <c r="O1730" s="277"/>
      <c r="P1730" s="937"/>
      <c r="Q1730" s="938"/>
      <c r="R1730" s="937"/>
      <c r="S1730" s="924"/>
      <c r="T1730" s="1407"/>
      <c r="U1730" s="157"/>
      <c r="V1730" s="3589"/>
      <c r="W1730" s="766">
        <v>38400</v>
      </c>
      <c r="X1730" s="766">
        <v>38400</v>
      </c>
      <c r="Y1730" s="766">
        <v>38400</v>
      </c>
      <c r="Z1730" s="2426">
        <v>38400</v>
      </c>
      <c r="AA1730" s="2426">
        <v>38400</v>
      </c>
      <c r="AB1730" s="2703">
        <v>38400</v>
      </c>
      <c r="AC1730" s="766"/>
      <c r="AD1730" s="766"/>
      <c r="AE1730" s="766"/>
      <c r="AF1730" s="766"/>
      <c r="AG1730" s="766"/>
      <c r="BB1730" s="647"/>
      <c r="BC1730" s="648"/>
      <c r="BD1730" s="757"/>
      <c r="BE1730" s="659"/>
    </row>
    <row r="1731" spans="1:57" s="64" customFormat="1" ht="15" customHeight="1" outlineLevel="1" x14ac:dyDescent="0.25">
      <c r="A1731" s="2463"/>
      <c r="B1731" s="157"/>
      <c r="C1731" s="385"/>
      <c r="D1731" s="3589"/>
      <c r="E1731" s="3721"/>
      <c r="F1731" s="3773" t="str">
        <f>$E$1504</f>
        <v>ASHP - SEER 20 - replace electric furnace / CAC MF_CompE</v>
      </c>
      <c r="G1731" s="3774"/>
      <c r="H1731" s="3774"/>
      <c r="I1731" s="3775"/>
      <c r="J1731" s="3071" t="str">
        <f>$C$1504</f>
        <v>353501_2019_12_</v>
      </c>
      <c r="K1731" s="2703">
        <f>K1730</f>
        <v>38400</v>
      </c>
      <c r="L1731" s="2724">
        <f t="shared" si="194"/>
        <v>3.2</v>
      </c>
      <c r="M1731" s="2718"/>
      <c r="N1731" s="157"/>
      <c r="O1731" s="277"/>
      <c r="P1731" s="937"/>
      <c r="Q1731" s="938"/>
      <c r="R1731" s="937"/>
      <c r="S1731" s="924"/>
      <c r="T1731" s="1407"/>
      <c r="U1731" s="157"/>
      <c r="V1731" s="3589"/>
      <c r="W1731" s="766"/>
      <c r="X1731" s="766"/>
      <c r="Y1731" s="765">
        <v>38400</v>
      </c>
      <c r="Z1731" s="2426">
        <v>38400</v>
      </c>
      <c r="AA1731" s="2426">
        <v>38400</v>
      </c>
      <c r="AB1731" s="2703">
        <v>38400</v>
      </c>
      <c r="AC1731" s="766"/>
      <c r="AD1731" s="766"/>
      <c r="AE1731" s="766"/>
      <c r="AF1731" s="766"/>
      <c r="AG1731" s="766"/>
      <c r="BB1731" s="647"/>
      <c r="BC1731" s="648"/>
      <c r="BD1731" s="757"/>
      <c r="BE1731" s="659"/>
    </row>
    <row r="1732" spans="1:57" s="64" customFormat="1" ht="15" customHeight="1" outlineLevel="1" x14ac:dyDescent="0.25">
      <c r="A1732" s="2463"/>
      <c r="B1732" s="157"/>
      <c r="C1732" s="385"/>
      <c r="D1732" s="3589"/>
      <c r="E1732" s="3721"/>
      <c r="F1732" s="3773" t="str">
        <f>$E$1506</f>
        <v>ASHP - SEER 21 - replace electric furnace / CAC - early replacement SF ER1</v>
      </c>
      <c r="G1732" s="3774"/>
      <c r="H1732" s="3774"/>
      <c r="I1732" s="3775"/>
      <c r="J1732" s="3071" t="str">
        <f>$C$1506</f>
        <v>353550_2019_12_</v>
      </c>
      <c r="K1732" s="2703">
        <v>37200</v>
      </c>
      <c r="L1732" s="2724">
        <f t="shared" si="194"/>
        <v>3.1</v>
      </c>
      <c r="M1732" s="2718" t="s">
        <v>1503</v>
      </c>
      <c r="N1732" s="157"/>
      <c r="O1732" s="277"/>
      <c r="P1732" s="157"/>
      <c r="Q1732" s="157"/>
      <c r="R1732" s="157"/>
      <c r="S1732" s="157"/>
      <c r="T1732" s="157"/>
      <c r="U1732" s="157"/>
      <c r="V1732" s="3589"/>
      <c r="W1732" s="766">
        <v>37200</v>
      </c>
      <c r="X1732" s="766">
        <v>37200</v>
      </c>
      <c r="Y1732" s="766">
        <v>37200</v>
      </c>
      <c r="Z1732" s="2426">
        <v>37200</v>
      </c>
      <c r="AA1732" s="2426">
        <v>37200</v>
      </c>
      <c r="AB1732" s="2703">
        <v>37200</v>
      </c>
      <c r="AC1732" s="766"/>
      <c r="AD1732" s="766"/>
      <c r="AE1732" s="766"/>
      <c r="AF1732" s="766"/>
      <c r="AG1732" s="766"/>
      <c r="BB1732" s="647"/>
      <c r="BC1732" s="648"/>
      <c r="BD1732" s="757"/>
      <c r="BE1732" s="659"/>
    </row>
    <row r="1733" spans="1:57" s="64" customFormat="1" ht="15" customHeight="1" outlineLevel="1" x14ac:dyDescent="0.25">
      <c r="A1733" s="2463"/>
      <c r="B1733" s="157"/>
      <c r="C1733" s="385"/>
      <c r="D1733" s="3589"/>
      <c r="E1733" s="3721"/>
      <c r="F1733" s="3773" t="str">
        <f>$E$1508</f>
        <v>ASHP - SEER 21 - replace electric furnace / CAC - early replacement SF ER2</v>
      </c>
      <c r="G1733" s="3774"/>
      <c r="H1733" s="3774"/>
      <c r="I1733" s="3775"/>
      <c r="J1733" s="3071" t="str">
        <f>$C$1508</f>
        <v>353550_2019_12_</v>
      </c>
      <c r="K1733" s="2703">
        <v>37200</v>
      </c>
      <c r="L1733" s="2724">
        <f t="shared" si="194"/>
        <v>3.1</v>
      </c>
      <c r="M1733" s="2718" t="s">
        <v>1503</v>
      </c>
      <c r="N1733" s="157"/>
      <c r="O1733" s="277"/>
      <c r="P1733" s="157"/>
      <c r="Q1733" s="157"/>
      <c r="R1733" s="157"/>
      <c r="S1733" s="157"/>
      <c r="T1733" s="157"/>
      <c r="U1733" s="157"/>
      <c r="V1733" s="3589"/>
      <c r="W1733" s="766">
        <v>37200</v>
      </c>
      <c r="X1733" s="766">
        <v>37200</v>
      </c>
      <c r="Y1733" s="766">
        <v>37200</v>
      </c>
      <c r="Z1733" s="2426">
        <v>37200</v>
      </c>
      <c r="AA1733" s="2426">
        <v>37200</v>
      </c>
      <c r="AB1733" s="2703">
        <v>37200</v>
      </c>
      <c r="AC1733" s="766"/>
      <c r="AD1733" s="766"/>
      <c r="AE1733" s="766"/>
      <c r="AF1733" s="766"/>
      <c r="AG1733" s="766"/>
      <c r="BB1733" s="647"/>
      <c r="BC1733" s="648"/>
      <c r="BD1733" s="757"/>
      <c r="BE1733" s="659"/>
    </row>
    <row r="1734" spans="1:57" s="64" customFormat="1" ht="15" customHeight="1" outlineLevel="1" x14ac:dyDescent="0.25">
      <c r="A1734" s="2463"/>
      <c r="B1734" s="157"/>
      <c r="C1734" s="385"/>
      <c r="D1734" s="3589"/>
      <c r="E1734" s="3721"/>
      <c r="F1734" s="3773" t="str">
        <f>$E$1510</f>
        <v>ASHP - SEER 21 - replace electric furnace / CAC - early replacement MF ER1</v>
      </c>
      <c r="G1734" s="3774"/>
      <c r="H1734" s="3774"/>
      <c r="I1734" s="3775"/>
      <c r="J1734" s="3071" t="str">
        <f>$C$1510</f>
        <v>353600_2019_12_</v>
      </c>
      <c r="K1734" s="2703">
        <v>37200</v>
      </c>
      <c r="L1734" s="2724">
        <f t="shared" si="194"/>
        <v>3.1</v>
      </c>
      <c r="M1734" s="2718" t="s">
        <v>1503</v>
      </c>
      <c r="N1734" s="157"/>
      <c r="O1734" s="277"/>
      <c r="P1734" s="157"/>
      <c r="Q1734" s="157"/>
      <c r="R1734" s="157"/>
      <c r="S1734" s="157"/>
      <c r="T1734" s="157"/>
      <c r="U1734" s="157"/>
      <c r="V1734" s="3589"/>
      <c r="W1734" s="766">
        <v>37200</v>
      </c>
      <c r="X1734" s="766">
        <v>37200</v>
      </c>
      <c r="Y1734" s="766">
        <v>37200</v>
      </c>
      <c r="Z1734" s="2426">
        <v>37200</v>
      </c>
      <c r="AA1734" s="2426">
        <v>37200</v>
      </c>
      <c r="AB1734" s="2703">
        <v>37200</v>
      </c>
      <c r="AC1734" s="766"/>
      <c r="AD1734" s="766"/>
      <c r="AE1734" s="766"/>
      <c r="AF1734" s="766"/>
      <c r="AG1734" s="766"/>
      <c r="BB1734" s="647"/>
      <c r="BC1734" s="648"/>
      <c r="BD1734" s="757"/>
      <c r="BE1734" s="659"/>
    </row>
    <row r="1735" spans="1:57" s="64" customFormat="1" ht="15" customHeight="1" outlineLevel="1" x14ac:dyDescent="0.25">
      <c r="A1735" s="2463"/>
      <c r="B1735" s="157"/>
      <c r="C1735" s="385"/>
      <c r="D1735" s="3589"/>
      <c r="E1735" s="3721"/>
      <c r="F1735" s="3773" t="str">
        <f>$E$1512</f>
        <v>ASHP - SEER 21 - replace electric furnace / CAC - early replacement MF ER2</v>
      </c>
      <c r="G1735" s="3774"/>
      <c r="H1735" s="3774"/>
      <c r="I1735" s="3775"/>
      <c r="J1735" s="3071" t="str">
        <f>$C$1512</f>
        <v>353600_2019_12_</v>
      </c>
      <c r="K1735" s="2703">
        <v>37200</v>
      </c>
      <c r="L1735" s="2724">
        <f t="shared" si="194"/>
        <v>3.1</v>
      </c>
      <c r="M1735" s="2718" t="s">
        <v>1503</v>
      </c>
      <c r="N1735" s="157"/>
      <c r="O1735" s="277"/>
      <c r="P1735" s="157"/>
      <c r="Q1735" s="157"/>
      <c r="R1735" s="157"/>
      <c r="S1735" s="157"/>
      <c r="T1735" s="157"/>
      <c r="U1735" s="157"/>
      <c r="V1735" s="3589"/>
      <c r="W1735" s="766">
        <v>37200</v>
      </c>
      <c r="X1735" s="766">
        <v>37200</v>
      </c>
      <c r="Y1735" s="766">
        <v>37200</v>
      </c>
      <c r="Z1735" s="2426">
        <v>37200</v>
      </c>
      <c r="AA1735" s="2426">
        <v>37200</v>
      </c>
      <c r="AB1735" s="2703">
        <v>37200</v>
      </c>
      <c r="AC1735" s="766"/>
      <c r="AD1735" s="766"/>
      <c r="AE1735" s="766"/>
      <c r="AF1735" s="766"/>
      <c r="AG1735" s="766"/>
      <c r="BB1735" s="647"/>
      <c r="BC1735" s="648"/>
      <c r="BD1735" s="757"/>
      <c r="BE1735" s="659"/>
    </row>
    <row r="1736" spans="1:57" s="64" customFormat="1" ht="15" customHeight="1" outlineLevel="1" x14ac:dyDescent="0.25">
      <c r="A1736" s="2463"/>
      <c r="B1736" s="157"/>
      <c r="C1736" s="385"/>
      <c r="D1736" s="3589"/>
      <c r="E1736" s="3721"/>
      <c r="F1736" s="3773" t="str">
        <f>$E$1514</f>
        <v>ASHP - SEER 21 - replace electric furnace / CAC - early replacement MF ER1_CompE</v>
      </c>
      <c r="G1736" s="3774"/>
      <c r="H1736" s="3774"/>
      <c r="I1736" s="3775"/>
      <c r="J1736" s="3071" t="str">
        <f>$C$1514</f>
        <v>353601_2019_12_</v>
      </c>
      <c r="K1736" s="2703">
        <f>K1734</f>
        <v>37200</v>
      </c>
      <c r="L1736" s="2724">
        <f t="shared" si="194"/>
        <v>3.1</v>
      </c>
      <c r="M1736" s="2718"/>
      <c r="N1736" s="157"/>
      <c r="O1736" s="277"/>
      <c r="P1736" s="157"/>
      <c r="Q1736" s="157"/>
      <c r="R1736" s="157"/>
      <c r="S1736" s="157"/>
      <c r="T1736" s="157"/>
      <c r="U1736" s="157"/>
      <c r="V1736" s="3589"/>
      <c r="W1736" s="766"/>
      <c r="X1736" s="766"/>
      <c r="Y1736" s="765">
        <v>37200</v>
      </c>
      <c r="Z1736" s="2426">
        <v>37200</v>
      </c>
      <c r="AA1736" s="2426">
        <v>37200</v>
      </c>
      <c r="AB1736" s="2703">
        <v>37200</v>
      </c>
      <c r="AC1736" s="766"/>
      <c r="AD1736" s="766"/>
      <c r="AE1736" s="766"/>
      <c r="AF1736" s="766"/>
      <c r="AG1736" s="766"/>
      <c r="BB1736" s="647"/>
      <c r="BC1736" s="648"/>
      <c r="BD1736" s="757"/>
      <c r="BE1736" s="659"/>
    </row>
    <row r="1737" spans="1:57" s="64" customFormat="1" ht="15" customHeight="1" outlineLevel="1" x14ac:dyDescent="0.25">
      <c r="A1737" s="2463"/>
      <c r="B1737" s="157"/>
      <c r="C1737" s="385"/>
      <c r="D1737" s="3589"/>
      <c r="E1737" s="3721"/>
      <c r="F1737" s="3773" t="str">
        <f>$E$1516</f>
        <v>ASHP - SEER 21 - replace electric furnace / CAC - early replacement MF ER2_CompE</v>
      </c>
      <c r="G1737" s="3774"/>
      <c r="H1737" s="3774"/>
      <c r="I1737" s="3775"/>
      <c r="J1737" s="3071" t="str">
        <f>$C$1516</f>
        <v>353601_2019_12_</v>
      </c>
      <c r="K1737" s="2703">
        <f>K1735</f>
        <v>37200</v>
      </c>
      <c r="L1737" s="2724">
        <f t="shared" si="194"/>
        <v>3.1</v>
      </c>
      <c r="M1737" s="2718"/>
      <c r="N1737" s="157"/>
      <c r="O1737" s="277"/>
      <c r="P1737" s="157"/>
      <c r="Q1737" s="157"/>
      <c r="R1737" s="157"/>
      <c r="S1737" s="157"/>
      <c r="T1737" s="157"/>
      <c r="U1737" s="157"/>
      <c r="V1737" s="3589"/>
      <c r="W1737" s="766"/>
      <c r="X1737" s="766"/>
      <c r="Y1737" s="765">
        <v>37200</v>
      </c>
      <c r="Z1737" s="2426">
        <v>37200</v>
      </c>
      <c r="AA1737" s="2426">
        <v>37200</v>
      </c>
      <c r="AB1737" s="2703">
        <v>37200</v>
      </c>
      <c r="AC1737" s="766"/>
      <c r="AD1737" s="766"/>
      <c r="AE1737" s="766"/>
      <c r="AF1737" s="766"/>
      <c r="AG1737" s="766"/>
      <c r="BB1737" s="647"/>
      <c r="BC1737" s="648"/>
      <c r="BD1737" s="757"/>
      <c r="BE1737" s="659"/>
    </row>
    <row r="1738" spans="1:57" s="64" customFormat="1" ht="15" customHeight="1" outlineLevel="1" x14ac:dyDescent="0.25">
      <c r="A1738" s="2463"/>
      <c r="B1738" s="157"/>
      <c r="C1738" s="385"/>
      <c r="D1738" s="3589"/>
      <c r="E1738" s="3721"/>
      <c r="F1738" s="3773" t="str">
        <f>$E$1518</f>
        <v>ASHP - SEER 21 - replace electric furnace / CAC SF</v>
      </c>
      <c r="G1738" s="3774"/>
      <c r="H1738" s="3774"/>
      <c r="I1738" s="3775"/>
      <c r="J1738" s="3071" t="str">
        <f>$C$1518</f>
        <v>353650_2019_12_</v>
      </c>
      <c r="K1738" s="2703">
        <v>38400</v>
      </c>
      <c r="L1738" s="2724">
        <f t="shared" si="194"/>
        <v>3.2</v>
      </c>
      <c r="M1738" s="2718" t="s">
        <v>1503</v>
      </c>
      <c r="N1738" s="157"/>
      <c r="O1738" s="277"/>
      <c r="P1738" s="157"/>
      <c r="Q1738" s="157"/>
      <c r="R1738" s="157"/>
      <c r="S1738" s="157"/>
      <c r="T1738" s="157"/>
      <c r="U1738" s="157"/>
      <c r="V1738" s="3589"/>
      <c r="W1738" s="766">
        <v>38400</v>
      </c>
      <c r="X1738" s="766">
        <v>38400</v>
      </c>
      <c r="Y1738" s="766">
        <v>38400</v>
      </c>
      <c r="Z1738" s="2426">
        <v>38400</v>
      </c>
      <c r="AA1738" s="2426">
        <v>38400</v>
      </c>
      <c r="AB1738" s="2703">
        <v>38400</v>
      </c>
      <c r="AC1738" s="766"/>
      <c r="AD1738" s="766"/>
      <c r="AE1738" s="766"/>
      <c r="AF1738" s="766"/>
      <c r="AG1738" s="766"/>
      <c r="BB1738" s="647"/>
      <c r="BC1738" s="648"/>
      <c r="BD1738" s="757"/>
      <c r="BE1738" s="659"/>
    </row>
    <row r="1739" spans="1:57" s="64" customFormat="1" ht="15" customHeight="1" outlineLevel="1" x14ac:dyDescent="0.25">
      <c r="A1739" s="1393"/>
      <c r="B1739" s="157"/>
      <c r="C1739" s="385"/>
      <c r="D1739" s="3589"/>
      <c r="E1739" s="3721"/>
      <c r="F1739" s="3773" t="str">
        <f>$E$1520</f>
        <v>ASHP-  SEER 21+ replace at Fail Elec Resist Furnace MF</v>
      </c>
      <c r="G1739" s="3774"/>
      <c r="H1739" s="3774"/>
      <c r="I1739" s="3775"/>
      <c r="J1739" s="3071" t="str">
        <f>$C$1520</f>
        <v>353700_2019_12_</v>
      </c>
      <c r="K1739" s="2703">
        <v>38400</v>
      </c>
      <c r="L1739" s="2724">
        <f t="shared" si="194"/>
        <v>3.2</v>
      </c>
      <c r="M1739" s="2718" t="s">
        <v>1503</v>
      </c>
      <c r="N1739" s="157"/>
      <c r="O1739" s="277"/>
      <c r="P1739" s="157"/>
      <c r="Q1739" s="157"/>
      <c r="R1739" s="157"/>
      <c r="S1739" s="157"/>
      <c r="T1739" s="157"/>
      <c r="U1739" s="157"/>
      <c r="V1739" s="3589"/>
      <c r="W1739" s="766">
        <v>38400</v>
      </c>
      <c r="X1739" s="766">
        <v>38400</v>
      </c>
      <c r="Y1739" s="766">
        <v>38400</v>
      </c>
      <c r="Z1739" s="2426">
        <v>38400</v>
      </c>
      <c r="AA1739" s="2426">
        <v>38400</v>
      </c>
      <c r="AB1739" s="2703">
        <v>38400</v>
      </c>
      <c r="AC1739" s="766"/>
      <c r="AD1739" s="766"/>
      <c r="AE1739" s="766"/>
      <c r="AF1739" s="766"/>
      <c r="AG1739" s="766"/>
      <c r="BB1739" s="647"/>
      <c r="BC1739" s="648"/>
      <c r="BD1739" s="757"/>
      <c r="BE1739" s="659"/>
    </row>
    <row r="1740" spans="1:57" s="64" customFormat="1" ht="15" customHeight="1" outlineLevel="1" x14ac:dyDescent="0.25">
      <c r="A1740" s="1393"/>
      <c r="B1740" s="157"/>
      <c r="C1740" s="385"/>
      <c r="D1740" s="3589"/>
      <c r="E1740" s="3721"/>
      <c r="F1740" s="3773" t="str">
        <f>$E$1522</f>
        <v>ASHP-  SEER 21+ replace at Fail Elec Resist Furnace MF_CompE</v>
      </c>
      <c r="G1740" s="3774"/>
      <c r="H1740" s="3774"/>
      <c r="I1740" s="3775"/>
      <c r="J1740" s="3071" t="str">
        <f>$C$1522</f>
        <v>353701_2019_12_</v>
      </c>
      <c r="K1740" s="2703">
        <v>38400</v>
      </c>
      <c r="L1740" s="2724">
        <f t="shared" si="194"/>
        <v>3.2</v>
      </c>
      <c r="M1740" s="2718"/>
      <c r="N1740" s="157"/>
      <c r="O1740" s="277"/>
      <c r="P1740" s="157"/>
      <c r="Q1740" s="157"/>
      <c r="R1740" s="157"/>
      <c r="S1740" s="157"/>
      <c r="T1740" s="157"/>
      <c r="U1740" s="157"/>
      <c r="V1740" s="3589"/>
      <c r="W1740" s="766"/>
      <c r="X1740" s="766"/>
      <c r="Y1740" s="765">
        <v>38400</v>
      </c>
      <c r="Z1740" s="2426">
        <v>38400</v>
      </c>
      <c r="AA1740" s="2426">
        <v>38400</v>
      </c>
      <c r="AB1740" s="2703">
        <v>38400</v>
      </c>
      <c r="AC1740" s="766"/>
      <c r="AD1740" s="766"/>
      <c r="AE1740" s="766"/>
      <c r="AF1740" s="766"/>
      <c r="AG1740" s="766"/>
      <c r="BB1740" s="647"/>
      <c r="BC1740" s="648"/>
      <c r="BD1740" s="757"/>
      <c r="BE1740" s="659"/>
    </row>
    <row r="1741" spans="1:57" s="64" customFormat="1" ht="15" customHeight="1" outlineLevel="1" x14ac:dyDescent="0.25">
      <c r="A1741" s="1393"/>
      <c r="B1741" s="157"/>
      <c r="C1741" s="385"/>
      <c r="D1741" s="3589"/>
      <c r="E1741" s="3721"/>
      <c r="F1741" s="3773" t="str">
        <f>$E$1524</f>
        <v>ASHP SEER 17 replace ASHP - early replacement SF ER1</v>
      </c>
      <c r="G1741" s="3774"/>
      <c r="H1741" s="3774"/>
      <c r="I1741" s="3775"/>
      <c r="J1741" s="3071" t="str">
        <f>$C$1524</f>
        <v>353750_2019_12_</v>
      </c>
      <c r="K1741" s="2703">
        <v>39600</v>
      </c>
      <c r="L1741" s="2724">
        <f t="shared" si="194"/>
        <v>3.3</v>
      </c>
      <c r="M1741" s="2718" t="s">
        <v>1503</v>
      </c>
      <c r="N1741" s="157"/>
      <c r="O1741" s="277"/>
      <c r="P1741" s="157"/>
      <c r="Q1741" s="157"/>
      <c r="R1741" s="157"/>
      <c r="S1741" s="157"/>
      <c r="T1741" s="157"/>
      <c r="U1741" s="157"/>
      <c r="V1741" s="3589"/>
      <c r="W1741" s="766">
        <v>39600</v>
      </c>
      <c r="X1741" s="766">
        <v>39600</v>
      </c>
      <c r="Y1741" s="766">
        <v>39600</v>
      </c>
      <c r="Z1741" s="2426">
        <v>39600</v>
      </c>
      <c r="AA1741" s="2426">
        <v>39600</v>
      </c>
      <c r="AB1741" s="2703">
        <v>39600</v>
      </c>
      <c r="AC1741" s="766"/>
      <c r="AD1741" s="766"/>
      <c r="AE1741" s="766"/>
      <c r="AF1741" s="766"/>
      <c r="AG1741" s="766"/>
      <c r="BB1741" s="647"/>
      <c r="BC1741" s="648"/>
      <c r="BD1741" s="757"/>
      <c r="BE1741" s="659"/>
    </row>
    <row r="1742" spans="1:57" s="64" customFormat="1" ht="15" customHeight="1" outlineLevel="1" x14ac:dyDescent="0.25">
      <c r="A1742" s="1393"/>
      <c r="B1742" s="157"/>
      <c r="C1742" s="385"/>
      <c r="D1742" s="3589"/>
      <c r="E1742" s="3721"/>
      <c r="F1742" s="3773" t="str">
        <f>$E$1526</f>
        <v>ASHP SEER 17 replace ASHP - early replacement SF ER2</v>
      </c>
      <c r="G1742" s="3774"/>
      <c r="H1742" s="3774"/>
      <c r="I1742" s="3775"/>
      <c r="J1742" s="3071" t="str">
        <f>$C$1526</f>
        <v>353750_2019_12_</v>
      </c>
      <c r="K1742" s="2703">
        <v>39600</v>
      </c>
      <c r="L1742" s="2724">
        <f t="shared" si="194"/>
        <v>3.3</v>
      </c>
      <c r="M1742" s="2718" t="s">
        <v>1503</v>
      </c>
      <c r="N1742" s="157"/>
      <c r="O1742" s="277"/>
      <c r="P1742" s="157"/>
      <c r="Q1742" s="157"/>
      <c r="R1742" s="157"/>
      <c r="S1742" s="157"/>
      <c r="T1742" s="157"/>
      <c r="U1742" s="157"/>
      <c r="V1742" s="3589"/>
      <c r="W1742" s="766">
        <v>39600</v>
      </c>
      <c r="X1742" s="766">
        <v>39600</v>
      </c>
      <c r="Y1742" s="766">
        <v>39600</v>
      </c>
      <c r="Z1742" s="2426">
        <v>39600</v>
      </c>
      <c r="AA1742" s="2426">
        <v>39600</v>
      </c>
      <c r="AB1742" s="2703">
        <v>39600</v>
      </c>
      <c r="AC1742" s="766"/>
      <c r="AD1742" s="766"/>
      <c r="AE1742" s="766"/>
      <c r="AF1742" s="766"/>
      <c r="AG1742" s="766"/>
      <c r="BB1742" s="647"/>
      <c r="BC1742" s="648"/>
      <c r="BD1742" s="757"/>
      <c r="BE1742" s="659"/>
    </row>
    <row r="1743" spans="1:57" s="64" customFormat="1" ht="15" customHeight="1" outlineLevel="1" x14ac:dyDescent="0.25">
      <c r="A1743" s="2463"/>
      <c r="B1743" s="157"/>
      <c r="C1743" s="385"/>
      <c r="D1743" s="3589"/>
      <c r="E1743" s="3721"/>
      <c r="F1743" s="3773" t="str">
        <f>$E$1528</f>
        <v>ASHP SEER 17 replace ASHP - replace on fail SF</v>
      </c>
      <c r="G1743" s="3774"/>
      <c r="H1743" s="3774"/>
      <c r="I1743" s="3775"/>
      <c r="J1743" s="3071" t="str">
        <f>$C$1528</f>
        <v>353800_2019_12_</v>
      </c>
      <c r="K1743" s="2703">
        <v>39600</v>
      </c>
      <c r="L1743" s="2724">
        <f t="shared" si="194"/>
        <v>3.3</v>
      </c>
      <c r="M1743" s="2718" t="s">
        <v>1503</v>
      </c>
      <c r="N1743" s="157"/>
      <c r="O1743" s="277"/>
      <c r="P1743" s="157"/>
      <c r="Q1743" s="157"/>
      <c r="R1743" s="157"/>
      <c r="S1743" s="157"/>
      <c r="T1743" s="157"/>
      <c r="U1743" s="157"/>
      <c r="V1743" s="3589"/>
      <c r="W1743" s="766">
        <v>39600</v>
      </c>
      <c r="X1743" s="766">
        <v>39600</v>
      </c>
      <c r="Y1743" s="766">
        <v>39600</v>
      </c>
      <c r="Z1743" s="2426">
        <v>39600</v>
      </c>
      <c r="AA1743" s="2426">
        <v>39600</v>
      </c>
      <c r="AB1743" s="2703">
        <v>39600</v>
      </c>
      <c r="AC1743" s="766"/>
      <c r="AD1743" s="766"/>
      <c r="AE1743" s="766"/>
      <c r="AF1743" s="766"/>
      <c r="AG1743" s="766"/>
      <c r="BB1743" s="647"/>
      <c r="BC1743" s="648"/>
      <c r="BD1743" s="757"/>
      <c r="BE1743" s="659"/>
    </row>
    <row r="1744" spans="1:57" s="64" customFormat="1" ht="15" customHeight="1" outlineLevel="1" x14ac:dyDescent="0.25">
      <c r="A1744" s="1393"/>
      <c r="B1744" s="157"/>
      <c r="C1744" s="385"/>
      <c r="D1744" s="3589"/>
      <c r="E1744" s="3721"/>
      <c r="F1744" s="3773" t="str">
        <f>$E$1530</f>
        <v>ASHP SEER 18 replace ASHP - early replacement SF ER1</v>
      </c>
      <c r="G1744" s="3774"/>
      <c r="H1744" s="3774"/>
      <c r="I1744" s="3775"/>
      <c r="J1744" s="3071" t="str">
        <f>$C$1530</f>
        <v>353850_2019_12_</v>
      </c>
      <c r="K1744" s="2703">
        <v>42600</v>
      </c>
      <c r="L1744" s="2724">
        <f t="shared" si="194"/>
        <v>3.55</v>
      </c>
      <c r="M1744" s="2718" t="s">
        <v>3650</v>
      </c>
      <c r="N1744" s="157"/>
      <c r="O1744" s="277"/>
      <c r="P1744" s="157"/>
      <c r="Q1744" s="157"/>
      <c r="R1744" s="157"/>
      <c r="S1744" s="157"/>
      <c r="T1744" s="157"/>
      <c r="U1744" s="157"/>
      <c r="V1744" s="3589"/>
      <c r="W1744" s="766">
        <v>39600</v>
      </c>
      <c r="X1744" s="766">
        <v>39600</v>
      </c>
      <c r="Y1744" s="766">
        <v>39600</v>
      </c>
      <c r="Z1744" s="2426">
        <v>39600</v>
      </c>
      <c r="AA1744" s="2426">
        <v>39600</v>
      </c>
      <c r="AB1744" s="2660">
        <v>42600</v>
      </c>
      <c r="AC1744" s="766"/>
      <c r="AD1744" s="766"/>
      <c r="AE1744" s="766"/>
      <c r="AF1744" s="766"/>
      <c r="AG1744" s="766"/>
      <c r="BB1744" s="647"/>
      <c r="BC1744" s="648"/>
      <c r="BD1744" s="757"/>
      <c r="BE1744" s="659"/>
    </row>
    <row r="1745" spans="1:57" s="64" customFormat="1" ht="15" customHeight="1" outlineLevel="1" x14ac:dyDescent="0.25">
      <c r="A1745" s="2463"/>
      <c r="B1745" s="157"/>
      <c r="C1745" s="385"/>
      <c r="D1745" s="3589"/>
      <c r="E1745" s="3721"/>
      <c r="F1745" s="3773" t="str">
        <f>$E$1532</f>
        <v>ASHP SEER 18 replace ASHP - early replacement SF ER2</v>
      </c>
      <c r="G1745" s="3774"/>
      <c r="H1745" s="3774"/>
      <c r="I1745" s="3775"/>
      <c r="J1745" s="3071" t="str">
        <f>$C$1532</f>
        <v>353850_2019_12_</v>
      </c>
      <c r="K1745" s="2703">
        <f>K1744</f>
        <v>42600</v>
      </c>
      <c r="L1745" s="2724">
        <f t="shared" si="194"/>
        <v>3.55</v>
      </c>
      <c r="M1745" s="2718" t="s">
        <v>3650</v>
      </c>
      <c r="N1745" s="157"/>
      <c r="O1745" s="277"/>
      <c r="P1745" s="157"/>
      <c r="Q1745" s="157"/>
      <c r="R1745" s="157"/>
      <c r="S1745" s="157"/>
      <c r="T1745" s="157"/>
      <c r="U1745" s="157"/>
      <c r="V1745" s="3589"/>
      <c r="W1745" s="766">
        <v>39600</v>
      </c>
      <c r="X1745" s="766">
        <v>39600</v>
      </c>
      <c r="Y1745" s="766">
        <v>39600</v>
      </c>
      <c r="Z1745" s="2426">
        <v>39600</v>
      </c>
      <c r="AA1745" s="2426">
        <v>39600</v>
      </c>
      <c r="AB1745" s="2660">
        <v>42600</v>
      </c>
      <c r="AC1745" s="766"/>
      <c r="AD1745" s="766"/>
      <c r="AE1745" s="766"/>
      <c r="AF1745" s="766"/>
      <c r="AG1745" s="766"/>
      <c r="BB1745" s="647"/>
      <c r="BC1745" s="648"/>
      <c r="BD1745" s="757"/>
      <c r="BE1745" s="659"/>
    </row>
    <row r="1746" spans="1:57" s="64" customFormat="1" ht="15" customHeight="1" outlineLevel="1" x14ac:dyDescent="0.25">
      <c r="A1746" s="1393"/>
      <c r="B1746" s="157"/>
      <c r="C1746" s="385"/>
      <c r="D1746" s="3589"/>
      <c r="E1746" s="3721"/>
      <c r="F1746" s="3773" t="str">
        <f>$E$1534</f>
        <v>ASHP - SEER 18 - replace on fail SF</v>
      </c>
      <c r="G1746" s="3774"/>
      <c r="H1746" s="3774"/>
      <c r="I1746" s="3775"/>
      <c r="J1746" s="3071" t="str">
        <f>$C$1534</f>
        <v>353950_2019_12_</v>
      </c>
      <c r="K1746" s="2703">
        <v>39600</v>
      </c>
      <c r="L1746" s="2724">
        <f t="shared" si="194"/>
        <v>3.3</v>
      </c>
      <c r="M1746" s="2718" t="s">
        <v>1503</v>
      </c>
      <c r="N1746" s="157"/>
      <c r="O1746" s="277"/>
      <c r="P1746" s="157"/>
      <c r="Q1746" s="157"/>
      <c r="R1746" s="157"/>
      <c r="S1746" s="157"/>
      <c r="T1746" s="157"/>
      <c r="U1746" s="157"/>
      <c r="V1746" s="3589"/>
      <c r="W1746" s="766">
        <v>39600</v>
      </c>
      <c r="X1746" s="766">
        <v>39600</v>
      </c>
      <c r="Y1746" s="766">
        <v>39600</v>
      </c>
      <c r="Z1746" s="2426">
        <v>39600</v>
      </c>
      <c r="AA1746" s="2426">
        <v>39600</v>
      </c>
      <c r="AB1746" s="2703">
        <v>39600</v>
      </c>
      <c r="AC1746" s="766"/>
      <c r="AD1746" s="766"/>
      <c r="AE1746" s="766"/>
      <c r="AF1746" s="766"/>
      <c r="AG1746" s="766"/>
      <c r="BB1746" s="647"/>
      <c r="BC1746" s="648"/>
      <c r="BD1746" s="757"/>
      <c r="BE1746" s="659"/>
    </row>
    <row r="1747" spans="1:57" s="64" customFormat="1" ht="15" customHeight="1" outlineLevel="1" x14ac:dyDescent="0.25">
      <c r="A1747" s="2463"/>
      <c r="B1747" s="157"/>
      <c r="C1747" s="385"/>
      <c r="D1747" s="3589"/>
      <c r="E1747" s="3721"/>
      <c r="F1747" s="3773" t="str">
        <f>$E$1536</f>
        <v>ASHP SEER 19 replace ASHP - early replacement SF ER1</v>
      </c>
      <c r="G1747" s="3774"/>
      <c r="H1747" s="3774"/>
      <c r="I1747" s="3775"/>
      <c r="J1747" s="3071" t="str">
        <f>$C$1536</f>
        <v>354000_2019_12_</v>
      </c>
      <c r="K1747" s="2703">
        <v>39600</v>
      </c>
      <c r="L1747" s="2724">
        <f t="shared" si="194"/>
        <v>3.3</v>
      </c>
      <c r="M1747" s="2718" t="s">
        <v>1503</v>
      </c>
      <c r="N1747" s="157"/>
      <c r="O1747" s="277"/>
      <c r="P1747" s="157"/>
      <c r="Q1747" s="157"/>
      <c r="R1747" s="157"/>
      <c r="S1747" s="157"/>
      <c r="T1747" s="157"/>
      <c r="U1747" s="157"/>
      <c r="V1747" s="3589"/>
      <c r="W1747" s="766">
        <v>39600</v>
      </c>
      <c r="X1747" s="766">
        <v>39600</v>
      </c>
      <c r="Y1747" s="766">
        <v>39600</v>
      </c>
      <c r="Z1747" s="2426">
        <v>39600</v>
      </c>
      <c r="AA1747" s="2426">
        <v>39600</v>
      </c>
      <c r="AB1747" s="2703">
        <v>39600</v>
      </c>
      <c r="AC1747" s="766"/>
      <c r="AD1747" s="766"/>
      <c r="AE1747" s="766"/>
      <c r="AF1747" s="766"/>
      <c r="AG1747" s="766"/>
      <c r="BB1747" s="647"/>
      <c r="BC1747" s="648"/>
      <c r="BD1747" s="757"/>
      <c r="BE1747" s="659"/>
    </row>
    <row r="1748" spans="1:57" s="64" customFormat="1" ht="15" customHeight="1" outlineLevel="1" x14ac:dyDescent="0.25">
      <c r="A1748" s="2463"/>
      <c r="B1748" s="157"/>
      <c r="C1748" s="385"/>
      <c r="D1748" s="3589"/>
      <c r="E1748" s="3721"/>
      <c r="F1748" s="3773" t="str">
        <f>$E$1538</f>
        <v>ASHP SEER 19 replace ASHP - early replacement SF ER2</v>
      </c>
      <c r="G1748" s="3774"/>
      <c r="H1748" s="3774"/>
      <c r="I1748" s="3775"/>
      <c r="J1748" s="3071" t="str">
        <f>$C$1538</f>
        <v>354000_2019_12_</v>
      </c>
      <c r="K1748" s="2703">
        <v>39600</v>
      </c>
      <c r="L1748" s="2724">
        <f t="shared" si="194"/>
        <v>3.3</v>
      </c>
      <c r="M1748" s="2718" t="s">
        <v>1503</v>
      </c>
      <c r="N1748" s="157"/>
      <c r="O1748" s="277"/>
      <c r="P1748" s="157"/>
      <c r="Q1748" s="157"/>
      <c r="R1748" s="157"/>
      <c r="S1748" s="157"/>
      <c r="T1748" s="157"/>
      <c r="U1748" s="157"/>
      <c r="V1748" s="3589"/>
      <c r="W1748" s="766">
        <v>39600</v>
      </c>
      <c r="X1748" s="766">
        <v>39600</v>
      </c>
      <c r="Y1748" s="766">
        <v>39600</v>
      </c>
      <c r="Z1748" s="2426">
        <v>39600</v>
      </c>
      <c r="AA1748" s="2426">
        <v>39600</v>
      </c>
      <c r="AB1748" s="2703">
        <v>39600</v>
      </c>
      <c r="AC1748" s="766"/>
      <c r="AD1748" s="766"/>
      <c r="AE1748" s="766"/>
      <c r="AF1748" s="766"/>
      <c r="AG1748" s="766"/>
      <c r="BB1748" s="647"/>
      <c r="BC1748" s="648"/>
      <c r="BD1748" s="757"/>
      <c r="BE1748" s="659"/>
    </row>
    <row r="1749" spans="1:57" s="64" customFormat="1" ht="15" customHeight="1" outlineLevel="1" x14ac:dyDescent="0.25">
      <c r="A1749" s="1393"/>
      <c r="B1749" s="157"/>
      <c r="C1749" s="385"/>
      <c r="D1749" s="3589"/>
      <c r="E1749" s="3721"/>
      <c r="F1749" s="3773" t="str">
        <f>$E$1540</f>
        <v>ASHP SEER 19 replace ASHP - replace on fail SF</v>
      </c>
      <c r="G1749" s="3774"/>
      <c r="H1749" s="3774"/>
      <c r="I1749" s="3775"/>
      <c r="J1749" s="3071" t="str">
        <f>$C$1540</f>
        <v>354050_2019_12_</v>
      </c>
      <c r="K1749" s="2703">
        <v>39600</v>
      </c>
      <c r="L1749" s="2724">
        <f t="shared" si="194"/>
        <v>3.3</v>
      </c>
      <c r="M1749" s="2718" t="s">
        <v>1503</v>
      </c>
      <c r="N1749" s="157"/>
      <c r="O1749" s="277"/>
      <c r="P1749" s="157"/>
      <c r="Q1749" s="157"/>
      <c r="R1749" s="157"/>
      <c r="S1749" s="157"/>
      <c r="T1749" s="157"/>
      <c r="U1749" s="157"/>
      <c r="V1749" s="3589"/>
      <c r="W1749" s="766">
        <v>39600</v>
      </c>
      <c r="X1749" s="766">
        <v>39600</v>
      </c>
      <c r="Y1749" s="766">
        <v>39600</v>
      </c>
      <c r="Z1749" s="2426">
        <v>39600</v>
      </c>
      <c r="AA1749" s="2426">
        <v>39600</v>
      </c>
      <c r="AB1749" s="2703">
        <v>39600</v>
      </c>
      <c r="AC1749" s="766"/>
      <c r="AD1749" s="766"/>
      <c r="AE1749" s="766"/>
      <c r="AF1749" s="766"/>
      <c r="AG1749" s="766"/>
      <c r="BB1749" s="647"/>
      <c r="BC1749" s="648"/>
      <c r="BD1749" s="757"/>
      <c r="BE1749" s="659"/>
    </row>
    <row r="1750" spans="1:57" s="64" customFormat="1" ht="15" customHeight="1" outlineLevel="1" x14ac:dyDescent="0.25">
      <c r="A1750" s="1393"/>
      <c r="B1750" s="157"/>
      <c r="C1750" s="385"/>
      <c r="D1750" s="3589"/>
      <c r="E1750" s="3721"/>
      <c r="F1750" s="3773" t="str">
        <f>$E$1542</f>
        <v>ASHP - SEER 17 - replace electric furnace / CAC - early replacement SF ER1</v>
      </c>
      <c r="G1750" s="3774"/>
      <c r="H1750" s="3774"/>
      <c r="I1750" s="3775"/>
      <c r="J1750" s="3071" t="str">
        <f>$C$1542</f>
        <v>354100_2019_12_</v>
      </c>
      <c r="K1750" s="2703">
        <v>37200</v>
      </c>
      <c r="L1750" s="2724">
        <f t="shared" si="194"/>
        <v>3.1</v>
      </c>
      <c r="M1750" s="2718"/>
      <c r="N1750" s="157"/>
      <c r="O1750" s="277"/>
      <c r="P1750" s="157"/>
      <c r="Q1750" s="157"/>
      <c r="R1750" s="157"/>
      <c r="S1750" s="157"/>
      <c r="T1750" s="157"/>
      <c r="U1750" s="157"/>
      <c r="V1750" s="3589"/>
      <c r="W1750" s="766">
        <v>37200</v>
      </c>
      <c r="X1750" s="766">
        <v>37200</v>
      </c>
      <c r="Y1750" s="766">
        <v>37200</v>
      </c>
      <c r="Z1750" s="2426">
        <v>37200</v>
      </c>
      <c r="AA1750" s="2426">
        <v>37200</v>
      </c>
      <c r="AB1750" s="2703">
        <v>37200</v>
      </c>
      <c r="AC1750" s="766"/>
      <c r="AD1750" s="766"/>
      <c r="AE1750" s="766"/>
      <c r="AF1750" s="766"/>
      <c r="AG1750" s="766"/>
      <c r="BB1750" s="647"/>
      <c r="BC1750" s="648"/>
      <c r="BD1750" s="757"/>
      <c r="BE1750" s="659"/>
    </row>
    <row r="1751" spans="1:57" s="64" customFormat="1" ht="15" customHeight="1" outlineLevel="1" x14ac:dyDescent="0.25">
      <c r="A1751" s="1393"/>
      <c r="B1751" s="157"/>
      <c r="C1751" s="385"/>
      <c r="D1751" s="3589"/>
      <c r="E1751" s="3721"/>
      <c r="F1751" s="3773" t="str">
        <f>$E$1544</f>
        <v>ASHP - SEER 17 - replace electric furnace / CAC - early replacement SF ER2</v>
      </c>
      <c r="G1751" s="3774"/>
      <c r="H1751" s="3774"/>
      <c r="I1751" s="3775"/>
      <c r="J1751" s="3071" t="str">
        <f>$C$1544</f>
        <v>354100_2019_12_</v>
      </c>
      <c r="K1751" s="2703">
        <v>37200</v>
      </c>
      <c r="L1751" s="2724">
        <f t="shared" si="194"/>
        <v>3.1</v>
      </c>
      <c r="M1751" s="2718"/>
      <c r="N1751" s="157"/>
      <c r="O1751" s="277"/>
      <c r="P1751" s="157"/>
      <c r="Q1751" s="157"/>
      <c r="R1751" s="157"/>
      <c r="S1751" s="157"/>
      <c r="T1751" s="157"/>
      <c r="U1751" s="157"/>
      <c r="V1751" s="3589"/>
      <c r="W1751" s="766">
        <v>37200</v>
      </c>
      <c r="X1751" s="766">
        <v>37200</v>
      </c>
      <c r="Y1751" s="766">
        <v>37200</v>
      </c>
      <c r="Z1751" s="2426">
        <v>37200</v>
      </c>
      <c r="AA1751" s="2426">
        <v>37200</v>
      </c>
      <c r="AB1751" s="2703">
        <v>37200</v>
      </c>
      <c r="AC1751" s="766"/>
      <c r="AD1751" s="766"/>
      <c r="AE1751" s="766"/>
      <c r="AF1751" s="766"/>
      <c r="AG1751" s="766"/>
      <c r="BB1751" s="647"/>
      <c r="BC1751" s="648"/>
      <c r="BD1751" s="757"/>
      <c r="BE1751" s="659"/>
    </row>
    <row r="1752" spans="1:57" s="64" customFormat="1" ht="15" customHeight="1" outlineLevel="1" x14ac:dyDescent="0.25">
      <c r="A1752" s="1393"/>
      <c r="B1752" s="157"/>
      <c r="C1752" s="385"/>
      <c r="D1752" s="3589"/>
      <c r="E1752" s="3721"/>
      <c r="F1752" s="3773" t="str">
        <f>$E$1546</f>
        <v>ASHP - SEER 17 - replace electric furnace / CAC - early replacement MF ER1</v>
      </c>
      <c r="G1752" s="3774"/>
      <c r="H1752" s="3774"/>
      <c r="I1752" s="3775"/>
      <c r="J1752" s="3071" t="str">
        <f>$C$1546</f>
        <v>354150_2019_12_</v>
      </c>
      <c r="K1752" s="2703">
        <v>37200</v>
      </c>
      <c r="L1752" s="2724">
        <f t="shared" si="194"/>
        <v>3.1</v>
      </c>
      <c r="M1752" s="2718"/>
      <c r="N1752" s="157"/>
      <c r="O1752" s="277"/>
      <c r="P1752" s="937"/>
      <c r="Q1752" s="938"/>
      <c r="R1752" s="937"/>
      <c r="S1752" s="924"/>
      <c r="T1752" s="1407"/>
      <c r="U1752" s="157"/>
      <c r="V1752" s="3589"/>
      <c r="W1752" s="766">
        <v>37200</v>
      </c>
      <c r="X1752" s="766">
        <v>37200</v>
      </c>
      <c r="Y1752" s="766">
        <v>37200</v>
      </c>
      <c r="Z1752" s="2426">
        <v>37200</v>
      </c>
      <c r="AA1752" s="2426">
        <v>37200</v>
      </c>
      <c r="AB1752" s="2703">
        <v>37200</v>
      </c>
      <c r="AC1752" s="766"/>
      <c r="AD1752" s="766"/>
      <c r="AE1752" s="766"/>
      <c r="AF1752" s="766"/>
      <c r="AG1752" s="766"/>
      <c r="BB1752" s="647"/>
      <c r="BC1752" s="648"/>
      <c r="BD1752" s="757"/>
      <c r="BE1752" s="659"/>
    </row>
    <row r="1753" spans="1:57" s="64" customFormat="1" ht="15" customHeight="1" outlineLevel="1" x14ac:dyDescent="0.25">
      <c r="A1753" s="1393"/>
      <c r="B1753" s="157"/>
      <c r="C1753" s="385"/>
      <c r="D1753" s="3589"/>
      <c r="E1753" s="3721"/>
      <c r="F1753" s="3773" t="str">
        <f>$E$1548</f>
        <v>ASHP - SEER 17 - replace electric furnace / CAC - early replacement MF ER2</v>
      </c>
      <c r="G1753" s="3774"/>
      <c r="H1753" s="3774"/>
      <c r="I1753" s="3775"/>
      <c r="J1753" s="3071" t="str">
        <f>$C$1548</f>
        <v>354150_2019_12_</v>
      </c>
      <c r="K1753" s="2703">
        <v>37200</v>
      </c>
      <c r="L1753" s="2724">
        <f t="shared" si="194"/>
        <v>3.1</v>
      </c>
      <c r="M1753" s="2718"/>
      <c r="N1753" s="157"/>
      <c r="O1753" s="277"/>
      <c r="P1753" s="277"/>
      <c r="Q1753" s="277"/>
      <c r="R1753" s="277"/>
      <c r="S1753" s="157"/>
      <c r="T1753" s="157"/>
      <c r="U1753" s="157"/>
      <c r="V1753" s="3589"/>
      <c r="W1753" s="766">
        <v>37200</v>
      </c>
      <c r="X1753" s="766">
        <v>37200</v>
      </c>
      <c r="Y1753" s="766">
        <v>37200</v>
      </c>
      <c r="Z1753" s="2426">
        <v>37200</v>
      </c>
      <c r="AA1753" s="2426">
        <v>37200</v>
      </c>
      <c r="AB1753" s="2703">
        <v>37200</v>
      </c>
      <c r="AC1753" s="766"/>
      <c r="AD1753" s="766"/>
      <c r="AE1753" s="766"/>
      <c r="AF1753" s="766"/>
      <c r="AG1753" s="766"/>
      <c r="BB1753" s="647"/>
      <c r="BC1753" s="648"/>
      <c r="BD1753" s="757"/>
      <c r="BE1753" s="659"/>
    </row>
    <row r="1754" spans="1:57" s="64" customFormat="1" ht="15" customHeight="1" outlineLevel="1" x14ac:dyDescent="0.25">
      <c r="A1754" s="1393"/>
      <c r="B1754" s="157"/>
      <c r="C1754" s="385"/>
      <c r="D1754" s="3589"/>
      <c r="E1754" s="3721"/>
      <c r="F1754" s="3773" t="str">
        <f>$E$1550</f>
        <v>ASHP - SEER 17 - replace electric furnace / CAC - early replacement MF ER1_CompE</v>
      </c>
      <c r="G1754" s="3774"/>
      <c r="H1754" s="3774"/>
      <c r="I1754" s="3775"/>
      <c r="J1754" s="3071" t="str">
        <f>$C$1550</f>
        <v>354151_2019_12_</v>
      </c>
      <c r="K1754" s="2703">
        <f>K1752</f>
        <v>37200</v>
      </c>
      <c r="L1754" s="2724">
        <f t="shared" si="194"/>
        <v>3.1</v>
      </c>
      <c r="M1754" s="2718"/>
      <c r="N1754" s="157"/>
      <c r="O1754" s="277"/>
      <c r="P1754" s="277"/>
      <c r="Q1754" s="277"/>
      <c r="R1754" s="277"/>
      <c r="S1754" s="157"/>
      <c r="T1754" s="157"/>
      <c r="U1754" s="157"/>
      <c r="V1754" s="3589"/>
      <c r="W1754" s="766"/>
      <c r="X1754" s="766"/>
      <c r="Y1754" s="765">
        <v>37200</v>
      </c>
      <c r="Z1754" s="2426">
        <v>37200</v>
      </c>
      <c r="AA1754" s="2426">
        <v>37200</v>
      </c>
      <c r="AB1754" s="2703">
        <v>37200</v>
      </c>
      <c r="AC1754" s="766"/>
      <c r="AD1754" s="766"/>
      <c r="AE1754" s="766"/>
      <c r="AF1754" s="766"/>
      <c r="AG1754" s="766"/>
      <c r="BB1754" s="647"/>
      <c r="BC1754" s="648"/>
      <c r="BD1754" s="757"/>
      <c r="BE1754" s="659"/>
    </row>
    <row r="1755" spans="1:57" s="64" customFormat="1" ht="15" customHeight="1" outlineLevel="1" x14ac:dyDescent="0.25">
      <c r="A1755" s="1393"/>
      <c r="B1755" s="157"/>
      <c r="C1755" s="385"/>
      <c r="D1755" s="3589"/>
      <c r="E1755" s="3721"/>
      <c r="F1755" s="3773" t="str">
        <f>$E$1552</f>
        <v>ASHP - SEER 17 - replace electric furnace / CAC - early replacement MF ER2_CompE</v>
      </c>
      <c r="G1755" s="3774"/>
      <c r="H1755" s="3774"/>
      <c r="I1755" s="3775"/>
      <c r="J1755" s="3071" t="str">
        <f>$C$1552</f>
        <v>354151_2019_12_</v>
      </c>
      <c r="K1755" s="2703">
        <f>K1753</f>
        <v>37200</v>
      </c>
      <c r="L1755" s="2724">
        <f t="shared" si="194"/>
        <v>3.1</v>
      </c>
      <c r="M1755" s="2718"/>
      <c r="N1755" s="157"/>
      <c r="O1755" s="277"/>
      <c r="P1755" s="277"/>
      <c r="Q1755" s="277"/>
      <c r="R1755" s="277"/>
      <c r="S1755" s="157"/>
      <c r="T1755" s="157"/>
      <c r="U1755" s="157"/>
      <c r="V1755" s="3589"/>
      <c r="W1755" s="766"/>
      <c r="X1755" s="766"/>
      <c r="Y1755" s="765">
        <v>37200</v>
      </c>
      <c r="Z1755" s="2426">
        <v>37200</v>
      </c>
      <c r="AA1755" s="2426">
        <v>37200</v>
      </c>
      <c r="AB1755" s="2703">
        <v>37200</v>
      </c>
      <c r="AC1755" s="766"/>
      <c r="AD1755" s="766"/>
      <c r="AE1755" s="766"/>
      <c r="AF1755" s="766"/>
      <c r="AG1755" s="766"/>
      <c r="BB1755" s="647"/>
      <c r="BC1755" s="648"/>
      <c r="BD1755" s="757"/>
      <c r="BE1755" s="659"/>
    </row>
    <row r="1756" spans="1:57" s="64" customFormat="1" ht="15" customHeight="1" outlineLevel="1" x14ac:dyDescent="0.25">
      <c r="A1756" s="1393"/>
      <c r="B1756" s="157"/>
      <c r="C1756" s="385"/>
      <c r="D1756" s="3589"/>
      <c r="E1756" s="3721"/>
      <c r="F1756" s="3773" t="str">
        <f>$E$1554</f>
        <v>ASHP SEER 17 replace ASHP - early replacement MF ER1</v>
      </c>
      <c r="G1756" s="3774"/>
      <c r="H1756" s="3774"/>
      <c r="I1756" s="3775"/>
      <c r="J1756" s="3071" t="str">
        <f>$C$1554</f>
        <v>354200_2019_12_</v>
      </c>
      <c r="K1756" s="2703">
        <v>39600</v>
      </c>
      <c r="L1756" s="2724">
        <f t="shared" si="194"/>
        <v>3.3</v>
      </c>
      <c r="M1756" s="2718"/>
      <c r="N1756" s="157"/>
      <c r="O1756" s="277"/>
      <c r="P1756" s="277"/>
      <c r="Q1756" s="277"/>
      <c r="R1756" s="277"/>
      <c r="S1756" s="157"/>
      <c r="T1756" s="157"/>
      <c r="U1756" s="157"/>
      <c r="V1756" s="3589"/>
      <c r="W1756" s="766">
        <v>39600</v>
      </c>
      <c r="X1756" s="766">
        <v>39600</v>
      </c>
      <c r="Y1756" s="766">
        <v>39600</v>
      </c>
      <c r="Z1756" s="2426">
        <v>39600</v>
      </c>
      <c r="AA1756" s="2426">
        <v>39600</v>
      </c>
      <c r="AB1756" s="2703">
        <v>39600</v>
      </c>
      <c r="AC1756" s="766"/>
      <c r="AD1756" s="766"/>
      <c r="AE1756" s="766"/>
      <c r="AF1756" s="766"/>
      <c r="AG1756" s="766"/>
      <c r="BB1756" s="647"/>
      <c r="BC1756" s="648"/>
      <c r="BD1756" s="757"/>
      <c r="BE1756" s="659"/>
    </row>
    <row r="1757" spans="1:57" s="64" customFormat="1" ht="15" customHeight="1" outlineLevel="1" x14ac:dyDescent="0.25">
      <c r="A1757" s="1393"/>
      <c r="B1757" s="157"/>
      <c r="C1757" s="385"/>
      <c r="D1757" s="3589"/>
      <c r="E1757" s="3721"/>
      <c r="F1757" s="3773" t="str">
        <f>$E$1556</f>
        <v>ASHP SEER 17 replace ASHP - early replacement MF ER2</v>
      </c>
      <c r="G1757" s="3774"/>
      <c r="H1757" s="3774"/>
      <c r="I1757" s="3775"/>
      <c r="J1757" s="3071" t="str">
        <f>$C$1556</f>
        <v>354200_2019_12_</v>
      </c>
      <c r="K1757" s="2703">
        <v>39600</v>
      </c>
      <c r="L1757" s="2724">
        <f t="shared" si="194"/>
        <v>3.3</v>
      </c>
      <c r="M1757" s="2718"/>
      <c r="N1757" s="157"/>
      <c r="O1757" s="277"/>
      <c r="P1757" s="277"/>
      <c r="Q1757" s="277"/>
      <c r="R1757" s="277"/>
      <c r="S1757" s="157"/>
      <c r="T1757" s="157"/>
      <c r="U1757" s="157"/>
      <c r="V1757" s="3589"/>
      <c r="W1757" s="766">
        <v>39600</v>
      </c>
      <c r="X1757" s="766">
        <v>39600</v>
      </c>
      <c r="Y1757" s="766">
        <v>39600</v>
      </c>
      <c r="Z1757" s="2426">
        <v>39600</v>
      </c>
      <c r="AA1757" s="2426">
        <v>39600</v>
      </c>
      <c r="AB1757" s="2703">
        <v>39600</v>
      </c>
      <c r="AC1757" s="766"/>
      <c r="AD1757" s="766"/>
      <c r="AE1757" s="766"/>
      <c r="AF1757" s="766"/>
      <c r="AG1757" s="766"/>
      <c r="BB1757" s="647"/>
      <c r="BC1757" s="648"/>
      <c r="BD1757" s="757"/>
      <c r="BE1757" s="659"/>
    </row>
    <row r="1758" spans="1:57" s="64" customFormat="1" ht="15" customHeight="1" outlineLevel="1" x14ac:dyDescent="0.25">
      <c r="A1758" s="1393"/>
      <c r="B1758" s="157"/>
      <c r="C1758" s="385"/>
      <c r="D1758" s="3589"/>
      <c r="E1758" s="3721"/>
      <c r="F1758" s="3773" t="str">
        <f>$E$1558</f>
        <v>ASHP SEER 17 replace ASHP - early replacement MF ER1_CompE</v>
      </c>
      <c r="G1758" s="3774"/>
      <c r="H1758" s="3774"/>
      <c r="I1758" s="3775"/>
      <c r="J1758" s="3071" t="str">
        <f>$C$1558</f>
        <v>354201_2019_12_</v>
      </c>
      <c r="K1758" s="2703">
        <f>K1756</f>
        <v>39600</v>
      </c>
      <c r="L1758" s="2724">
        <f t="shared" si="194"/>
        <v>3.3</v>
      </c>
      <c r="M1758" s="2718"/>
      <c r="N1758" s="157"/>
      <c r="O1758" s="277"/>
      <c r="P1758" s="277"/>
      <c r="Q1758" s="277"/>
      <c r="R1758" s="277"/>
      <c r="S1758" s="157"/>
      <c r="T1758" s="157"/>
      <c r="U1758" s="157"/>
      <c r="V1758" s="3589"/>
      <c r="W1758" s="766"/>
      <c r="X1758" s="766"/>
      <c r="Y1758" s="765">
        <v>39600</v>
      </c>
      <c r="Z1758" s="2426">
        <v>39600</v>
      </c>
      <c r="AA1758" s="2426">
        <v>39600</v>
      </c>
      <c r="AB1758" s="2703">
        <v>39600</v>
      </c>
      <c r="AC1758" s="766"/>
      <c r="AD1758" s="766"/>
      <c r="AE1758" s="766"/>
      <c r="AF1758" s="766"/>
      <c r="AG1758" s="766"/>
      <c r="BB1758" s="647"/>
      <c r="BC1758" s="648"/>
      <c r="BD1758" s="757"/>
      <c r="BE1758" s="659"/>
    </row>
    <row r="1759" spans="1:57" s="64" customFormat="1" ht="15" customHeight="1" outlineLevel="1" x14ac:dyDescent="0.25">
      <c r="A1759" s="1393"/>
      <c r="B1759" s="157"/>
      <c r="C1759" s="385"/>
      <c r="D1759" s="3589"/>
      <c r="E1759" s="3721"/>
      <c r="F1759" s="3773" t="str">
        <f>$E$1560</f>
        <v>ASHP SEER 17 replace ASHP - early replacement MF ER2_CompE</v>
      </c>
      <c r="G1759" s="3774"/>
      <c r="H1759" s="3774"/>
      <c r="I1759" s="3775"/>
      <c r="J1759" s="3071" t="str">
        <f>$C$1560</f>
        <v>354201_2019_12_</v>
      </c>
      <c r="K1759" s="2703">
        <f>K1757</f>
        <v>39600</v>
      </c>
      <c r="L1759" s="2724">
        <f t="shared" si="194"/>
        <v>3.3</v>
      </c>
      <c r="M1759" s="2718"/>
      <c r="N1759" s="157"/>
      <c r="O1759" s="277"/>
      <c r="P1759" s="277"/>
      <c r="Q1759" s="277"/>
      <c r="R1759" s="277"/>
      <c r="S1759" s="157"/>
      <c r="T1759" s="157"/>
      <c r="U1759" s="157"/>
      <c r="V1759" s="3589"/>
      <c r="W1759" s="766"/>
      <c r="X1759" s="766"/>
      <c r="Y1759" s="765">
        <v>39600</v>
      </c>
      <c r="Z1759" s="2426">
        <v>39600</v>
      </c>
      <c r="AA1759" s="2426">
        <v>39600</v>
      </c>
      <c r="AB1759" s="2703">
        <v>39600</v>
      </c>
      <c r="AC1759" s="766"/>
      <c r="AD1759" s="766"/>
      <c r="AE1759" s="766"/>
      <c r="AF1759" s="766"/>
      <c r="AG1759" s="766"/>
      <c r="BB1759" s="647"/>
      <c r="BC1759" s="648"/>
      <c r="BD1759" s="757"/>
      <c r="BE1759" s="659"/>
    </row>
    <row r="1760" spans="1:57" s="64" customFormat="1" ht="15" customHeight="1" outlineLevel="1" x14ac:dyDescent="0.25">
      <c r="A1760" s="1393"/>
      <c r="B1760" s="157"/>
      <c r="C1760" s="385"/>
      <c r="D1760" s="3589"/>
      <c r="E1760" s="3721"/>
      <c r="F1760" s="3773" t="str">
        <f>$E$1562</f>
        <v>ASHP - SEER 18 - replace electric furnace / CAC - early replacement SF ER1</v>
      </c>
      <c r="G1760" s="3774"/>
      <c r="H1760" s="3774"/>
      <c r="I1760" s="3775"/>
      <c r="J1760" s="3071" t="str">
        <f>$C$1562</f>
        <v>354250_2019_12_</v>
      </c>
      <c r="K1760" s="3182">
        <v>40965.517241379312</v>
      </c>
      <c r="L1760" s="2724">
        <f t="shared" si="194"/>
        <v>3.4137931034482758</v>
      </c>
      <c r="M1760" s="2718" t="s">
        <v>3650</v>
      </c>
      <c r="N1760" s="157"/>
      <c r="O1760" s="277"/>
      <c r="P1760" s="277"/>
      <c r="Q1760" s="277"/>
      <c r="R1760" s="277"/>
      <c r="S1760" s="157"/>
      <c r="T1760" s="157"/>
      <c r="U1760" s="157"/>
      <c r="V1760" s="3589"/>
      <c r="W1760" s="766">
        <v>37200</v>
      </c>
      <c r="X1760" s="766">
        <v>37200</v>
      </c>
      <c r="Y1760" s="766">
        <v>37200</v>
      </c>
      <c r="Z1760" s="2426">
        <v>37200</v>
      </c>
      <c r="AA1760" s="2426">
        <v>37200</v>
      </c>
      <c r="AB1760" s="2655">
        <v>40965.517241379312</v>
      </c>
      <c r="AC1760" s="766"/>
      <c r="AD1760" s="766"/>
      <c r="AE1760" s="766"/>
      <c r="AF1760" s="766"/>
      <c r="AG1760" s="766"/>
      <c r="BB1760" s="647"/>
      <c r="BC1760" s="648"/>
      <c r="BD1760" s="757"/>
      <c r="BE1760" s="659"/>
    </row>
    <row r="1761" spans="1:57" s="64" customFormat="1" ht="15" customHeight="1" outlineLevel="1" x14ac:dyDescent="0.25">
      <c r="A1761" s="1393"/>
      <c r="B1761" s="157"/>
      <c r="C1761" s="385"/>
      <c r="D1761" s="3589"/>
      <c r="E1761" s="3721"/>
      <c r="F1761" s="3773" t="str">
        <f>$E$1564</f>
        <v>ASHP - SEER 18 - replace electric furnace / CAC - early replacement SF ER2</v>
      </c>
      <c r="G1761" s="3774"/>
      <c r="H1761" s="3774"/>
      <c r="I1761" s="3775"/>
      <c r="J1761" s="3071" t="str">
        <f>$C$1564</f>
        <v>354250_2019_12_</v>
      </c>
      <c r="K1761" s="3182">
        <f>K1760</f>
        <v>40965.517241379312</v>
      </c>
      <c r="L1761" s="2724">
        <f t="shared" si="194"/>
        <v>3.4137931034482758</v>
      </c>
      <c r="M1761" s="2718" t="s">
        <v>3650</v>
      </c>
      <c r="N1761" s="157"/>
      <c r="O1761" s="277"/>
      <c r="P1761" s="277"/>
      <c r="Q1761" s="277"/>
      <c r="R1761" s="277"/>
      <c r="S1761" s="157"/>
      <c r="T1761" s="157"/>
      <c r="U1761" s="157"/>
      <c r="V1761" s="3589"/>
      <c r="W1761" s="766">
        <v>37200</v>
      </c>
      <c r="X1761" s="766">
        <v>37200</v>
      </c>
      <c r="Y1761" s="766">
        <v>37200</v>
      </c>
      <c r="Z1761" s="2426">
        <v>37200</v>
      </c>
      <c r="AA1761" s="2426">
        <v>37200</v>
      </c>
      <c r="AB1761" s="2655">
        <v>40965.517241379312</v>
      </c>
      <c r="AC1761" s="766"/>
      <c r="AD1761" s="766"/>
      <c r="AE1761" s="766"/>
      <c r="AF1761" s="766"/>
      <c r="AG1761" s="766"/>
      <c r="BB1761" s="647"/>
      <c r="BC1761" s="648"/>
      <c r="BD1761" s="757"/>
      <c r="BE1761" s="659"/>
    </row>
    <row r="1762" spans="1:57" s="64" customFormat="1" ht="15" customHeight="1" outlineLevel="1" x14ac:dyDescent="0.25">
      <c r="A1762" s="1393"/>
      <c r="B1762" s="157"/>
      <c r="C1762" s="385"/>
      <c r="D1762" s="3589"/>
      <c r="E1762" s="3721"/>
      <c r="F1762" s="3773" t="str">
        <f>$E$1566</f>
        <v>ASHP - SEER 18 - replace electric furnace / CAC - early replacement MF ER1</v>
      </c>
      <c r="G1762" s="3774"/>
      <c r="H1762" s="3774"/>
      <c r="I1762" s="3775"/>
      <c r="J1762" s="3071" t="str">
        <f>$C$1566</f>
        <v>354300_2019_12_</v>
      </c>
      <c r="K1762" s="3182">
        <v>48000</v>
      </c>
      <c r="L1762" s="2724">
        <f t="shared" si="194"/>
        <v>4</v>
      </c>
      <c r="M1762" s="2718" t="s">
        <v>3650</v>
      </c>
      <c r="N1762" s="157"/>
      <c r="O1762" s="277"/>
      <c r="P1762" s="277"/>
      <c r="Q1762" s="277"/>
      <c r="R1762" s="277"/>
      <c r="S1762" s="157"/>
      <c r="T1762" s="157"/>
      <c r="U1762" s="157"/>
      <c r="V1762" s="3589"/>
      <c r="W1762" s="766">
        <v>37200</v>
      </c>
      <c r="X1762" s="766">
        <v>37200</v>
      </c>
      <c r="Y1762" s="766">
        <v>37200</v>
      </c>
      <c r="Z1762" s="2426">
        <v>37200</v>
      </c>
      <c r="AA1762" s="2426">
        <v>37200</v>
      </c>
      <c r="AB1762" s="2655">
        <v>48000</v>
      </c>
      <c r="AC1762" s="766"/>
      <c r="AD1762" s="766"/>
      <c r="AE1762" s="766"/>
      <c r="AF1762" s="766"/>
      <c r="AG1762" s="766"/>
      <c r="BB1762" s="647"/>
      <c r="BC1762" s="648"/>
      <c r="BD1762" s="757"/>
      <c r="BE1762" s="659"/>
    </row>
    <row r="1763" spans="1:57" s="64" customFormat="1" ht="15" customHeight="1" outlineLevel="1" x14ac:dyDescent="0.25">
      <c r="A1763" s="1393"/>
      <c r="B1763" s="157"/>
      <c r="C1763" s="385"/>
      <c r="D1763" s="3589"/>
      <c r="E1763" s="3721"/>
      <c r="F1763" s="3773" t="str">
        <f>$E$1568</f>
        <v>ASHP - SEER 18 - replace electric furnace / CAC - early replacement MF ER2</v>
      </c>
      <c r="G1763" s="3774"/>
      <c r="H1763" s="3774"/>
      <c r="I1763" s="3775"/>
      <c r="J1763" s="3071" t="str">
        <f>$C$1568</f>
        <v>354300_2019_12_</v>
      </c>
      <c r="K1763" s="3182">
        <f>K1762</f>
        <v>48000</v>
      </c>
      <c r="L1763" s="2724">
        <f t="shared" si="194"/>
        <v>4</v>
      </c>
      <c r="M1763" s="2718" t="s">
        <v>3650</v>
      </c>
      <c r="N1763" s="157"/>
      <c r="O1763" s="277"/>
      <c r="P1763" s="277"/>
      <c r="Q1763" s="277"/>
      <c r="R1763" s="277"/>
      <c r="S1763" s="157"/>
      <c r="T1763" s="157"/>
      <c r="U1763" s="157"/>
      <c r="V1763" s="3589"/>
      <c r="W1763" s="766">
        <v>37200</v>
      </c>
      <c r="X1763" s="766">
        <v>37200</v>
      </c>
      <c r="Y1763" s="766">
        <v>37200</v>
      </c>
      <c r="Z1763" s="2426">
        <v>37200</v>
      </c>
      <c r="AA1763" s="2426">
        <v>37200</v>
      </c>
      <c r="AB1763" s="2655">
        <v>48000</v>
      </c>
      <c r="AC1763" s="766"/>
      <c r="AD1763" s="766"/>
      <c r="AE1763" s="766"/>
      <c r="AF1763" s="766"/>
      <c r="AG1763" s="766"/>
      <c r="BB1763" s="647"/>
      <c r="BC1763" s="648"/>
      <c r="BD1763" s="757"/>
      <c r="BE1763" s="659"/>
    </row>
    <row r="1764" spans="1:57" s="64" customFormat="1" ht="15" customHeight="1" outlineLevel="1" x14ac:dyDescent="0.25">
      <c r="A1764" s="1393"/>
      <c r="B1764" s="157"/>
      <c r="C1764" s="385"/>
      <c r="D1764" s="3589"/>
      <c r="E1764" s="3721"/>
      <c r="F1764" s="3773" t="str">
        <f>$E$1570</f>
        <v>ASHP - SEER 18 - replace electric furnace / CAC - early replacement MF ER1_CompE</v>
      </c>
      <c r="G1764" s="3774"/>
      <c r="H1764" s="3774"/>
      <c r="I1764" s="3775"/>
      <c r="J1764" s="3071" t="str">
        <f>$C$1570</f>
        <v>354301_2019_12_</v>
      </c>
      <c r="K1764" s="2703">
        <f>K1762</f>
        <v>48000</v>
      </c>
      <c r="L1764" s="2724">
        <f t="shared" si="194"/>
        <v>4</v>
      </c>
      <c r="M1764" s="2718" t="s">
        <v>3652</v>
      </c>
      <c r="N1764" s="157"/>
      <c r="O1764" s="277"/>
      <c r="P1764" s="277"/>
      <c r="Q1764" s="277"/>
      <c r="R1764" s="277"/>
      <c r="S1764" s="157"/>
      <c r="T1764" s="157"/>
      <c r="U1764" s="157"/>
      <c r="V1764" s="3589"/>
      <c r="W1764" s="766"/>
      <c r="X1764" s="766"/>
      <c r="Y1764" s="765">
        <v>37200</v>
      </c>
      <c r="Z1764" s="2426">
        <v>37200</v>
      </c>
      <c r="AA1764" s="2426">
        <v>37200</v>
      </c>
      <c r="AB1764" s="2660">
        <v>48000</v>
      </c>
      <c r="AC1764" s="766"/>
      <c r="AD1764" s="766"/>
      <c r="AE1764" s="766"/>
      <c r="AF1764" s="766"/>
      <c r="AG1764" s="766"/>
      <c r="BB1764" s="647"/>
      <c r="BC1764" s="648"/>
      <c r="BD1764" s="757"/>
      <c r="BE1764" s="659"/>
    </row>
    <row r="1765" spans="1:57" s="64" customFormat="1" ht="15" customHeight="1" outlineLevel="1" x14ac:dyDescent="0.25">
      <c r="A1765" s="1393"/>
      <c r="B1765" s="157"/>
      <c r="C1765" s="385"/>
      <c r="D1765" s="3589"/>
      <c r="E1765" s="3721"/>
      <c r="F1765" s="3773" t="str">
        <f>$E$1572</f>
        <v>ASHP - SEER 18 - replace electric furnace / CAC - early replacement MF ER2_CompE</v>
      </c>
      <c r="G1765" s="3774"/>
      <c r="H1765" s="3774"/>
      <c r="I1765" s="3775"/>
      <c r="J1765" s="3071" t="str">
        <f>$C$1572</f>
        <v>354301_2019_12_</v>
      </c>
      <c r="K1765" s="2703">
        <f>K1763</f>
        <v>48000</v>
      </c>
      <c r="L1765" s="2724">
        <f t="shared" si="194"/>
        <v>4</v>
      </c>
      <c r="M1765" s="2718" t="s">
        <v>3652</v>
      </c>
      <c r="N1765" s="157"/>
      <c r="O1765" s="277"/>
      <c r="P1765" s="277"/>
      <c r="Q1765" s="277"/>
      <c r="R1765" s="277"/>
      <c r="S1765" s="157"/>
      <c r="T1765" s="157"/>
      <c r="U1765" s="157"/>
      <c r="V1765" s="3589"/>
      <c r="W1765" s="766"/>
      <c r="X1765" s="766"/>
      <c r="Y1765" s="765">
        <v>37200</v>
      </c>
      <c r="Z1765" s="2426">
        <v>37200</v>
      </c>
      <c r="AA1765" s="2426">
        <v>37200</v>
      </c>
      <c r="AB1765" s="2660">
        <v>48000</v>
      </c>
      <c r="AC1765" s="766"/>
      <c r="AD1765" s="766"/>
      <c r="AE1765" s="766"/>
      <c r="AF1765" s="766"/>
      <c r="AG1765" s="766"/>
      <c r="BB1765" s="647"/>
      <c r="BC1765" s="648"/>
      <c r="BD1765" s="757"/>
      <c r="BE1765" s="659"/>
    </row>
    <row r="1766" spans="1:57" s="64" customFormat="1" ht="15" customHeight="1" outlineLevel="1" x14ac:dyDescent="0.25">
      <c r="A1766" s="1393"/>
      <c r="B1766" s="157"/>
      <c r="C1766" s="385"/>
      <c r="D1766" s="3589"/>
      <c r="E1766" s="3721"/>
      <c r="F1766" s="3773" t="str">
        <f>$E$1574</f>
        <v>ASHP SEER 18 replace ASHP - early replacement MF ER1</v>
      </c>
      <c r="G1766" s="3774"/>
      <c r="H1766" s="3774"/>
      <c r="I1766" s="3775"/>
      <c r="J1766" s="3071" t="str">
        <f>$C$1574</f>
        <v>354350_2019_12_</v>
      </c>
      <c r="K1766" s="2703">
        <v>39600</v>
      </c>
      <c r="L1766" s="2724">
        <f t="shared" si="194"/>
        <v>3.3</v>
      </c>
      <c r="M1766" s="2718"/>
      <c r="N1766" s="157"/>
      <c r="O1766" s="277"/>
      <c r="P1766" s="277"/>
      <c r="Q1766" s="277"/>
      <c r="R1766" s="277"/>
      <c r="S1766" s="157"/>
      <c r="T1766" s="157"/>
      <c r="U1766" s="157"/>
      <c r="V1766" s="3589"/>
      <c r="W1766" s="766">
        <v>39600</v>
      </c>
      <c r="X1766" s="766">
        <v>39600</v>
      </c>
      <c r="Y1766" s="766">
        <v>39600</v>
      </c>
      <c r="Z1766" s="2426">
        <v>39600</v>
      </c>
      <c r="AA1766" s="2426">
        <v>39600</v>
      </c>
      <c r="AB1766" s="2703">
        <v>39600</v>
      </c>
      <c r="AC1766" s="766"/>
      <c r="AD1766" s="766"/>
      <c r="AE1766" s="766"/>
      <c r="AF1766" s="766"/>
      <c r="AG1766" s="766"/>
      <c r="BB1766" s="647"/>
      <c r="BC1766" s="648"/>
      <c r="BD1766" s="757"/>
      <c r="BE1766" s="659"/>
    </row>
    <row r="1767" spans="1:57" s="64" customFormat="1" ht="15" customHeight="1" outlineLevel="1" x14ac:dyDescent="0.25">
      <c r="A1767" s="1393"/>
      <c r="B1767" s="157"/>
      <c r="C1767" s="385"/>
      <c r="D1767" s="3589"/>
      <c r="E1767" s="3721"/>
      <c r="F1767" s="3773" t="str">
        <f>$E$1576</f>
        <v>ASHP SEER 18 replace ASHP - early replacement MF ER2</v>
      </c>
      <c r="G1767" s="3774"/>
      <c r="H1767" s="3774"/>
      <c r="I1767" s="3775"/>
      <c r="J1767" s="3071" t="str">
        <f>$C$1576</f>
        <v>354350_2019_12_</v>
      </c>
      <c r="K1767" s="2703">
        <v>39600</v>
      </c>
      <c r="L1767" s="2724">
        <f t="shared" si="194"/>
        <v>3.3</v>
      </c>
      <c r="M1767" s="2718"/>
      <c r="N1767" s="157"/>
      <c r="O1767" s="277"/>
      <c r="P1767" s="277"/>
      <c r="Q1767" s="277"/>
      <c r="R1767" s="277"/>
      <c r="S1767" s="157"/>
      <c r="T1767" s="157"/>
      <c r="U1767" s="157"/>
      <c r="V1767" s="3589"/>
      <c r="W1767" s="766">
        <v>39600</v>
      </c>
      <c r="X1767" s="766">
        <v>39600</v>
      </c>
      <c r="Y1767" s="766">
        <v>39600</v>
      </c>
      <c r="Z1767" s="2426">
        <v>39600</v>
      </c>
      <c r="AA1767" s="2426">
        <v>39600</v>
      </c>
      <c r="AB1767" s="2703">
        <v>39600</v>
      </c>
      <c r="AC1767" s="766"/>
      <c r="AD1767" s="766"/>
      <c r="AE1767" s="766"/>
      <c r="AF1767" s="766"/>
      <c r="AG1767" s="766"/>
      <c r="BB1767" s="647"/>
      <c r="BC1767" s="648"/>
      <c r="BD1767" s="757"/>
      <c r="BE1767" s="659"/>
    </row>
    <row r="1768" spans="1:57" s="64" customFormat="1" ht="15" customHeight="1" outlineLevel="1" x14ac:dyDescent="0.25">
      <c r="A1768" s="1393"/>
      <c r="B1768" s="157"/>
      <c r="C1768" s="385"/>
      <c r="D1768" s="3589"/>
      <c r="E1768" s="3721"/>
      <c r="F1768" s="3773" t="str">
        <f>$E$1578</f>
        <v>ASHP SEER 18 replace ASHP - early replacement MF ER1_CompE</v>
      </c>
      <c r="G1768" s="3774"/>
      <c r="H1768" s="3774"/>
      <c r="I1768" s="3775"/>
      <c r="J1768" s="3071" t="str">
        <f>$C$1578</f>
        <v>354351_2019_12_</v>
      </c>
      <c r="K1768" s="2703">
        <f>K1766</f>
        <v>39600</v>
      </c>
      <c r="L1768" s="2724">
        <f t="shared" si="194"/>
        <v>3.3</v>
      </c>
      <c r="M1768" s="2718"/>
      <c r="N1768" s="157"/>
      <c r="O1768" s="277"/>
      <c r="P1768" s="277"/>
      <c r="Q1768" s="277"/>
      <c r="R1768" s="277"/>
      <c r="S1768" s="157"/>
      <c r="T1768" s="157"/>
      <c r="U1768" s="157"/>
      <c r="V1768" s="3589"/>
      <c r="W1768" s="766"/>
      <c r="X1768" s="766"/>
      <c r="Y1768" s="765">
        <v>39600</v>
      </c>
      <c r="Z1768" s="2426">
        <v>39600</v>
      </c>
      <c r="AA1768" s="2426">
        <v>39600</v>
      </c>
      <c r="AB1768" s="2703">
        <v>39600</v>
      </c>
      <c r="AC1768" s="766"/>
      <c r="AD1768" s="766"/>
      <c r="AE1768" s="766"/>
      <c r="AF1768" s="766"/>
      <c r="AG1768" s="766"/>
      <c r="BB1768" s="647"/>
      <c r="BC1768" s="648"/>
      <c r="BD1768" s="757"/>
      <c r="BE1768" s="659"/>
    </row>
    <row r="1769" spans="1:57" s="64" customFormat="1" ht="15" customHeight="1" outlineLevel="1" x14ac:dyDescent="0.25">
      <c r="A1769" s="1393"/>
      <c r="B1769" s="157"/>
      <c r="C1769" s="385"/>
      <c r="D1769" s="3589"/>
      <c r="E1769" s="3721"/>
      <c r="F1769" s="3773" t="str">
        <f>$E$1580</f>
        <v>ASHP SEER 18 replace ASHP - early replacement MF ER2_CompE</v>
      </c>
      <c r="G1769" s="3774"/>
      <c r="H1769" s="3774"/>
      <c r="I1769" s="3775"/>
      <c r="J1769" s="3071" t="str">
        <f>$C$1580</f>
        <v>354351_2019_12_</v>
      </c>
      <c r="K1769" s="2703">
        <f>K1767</f>
        <v>39600</v>
      </c>
      <c r="L1769" s="2724">
        <f t="shared" si="194"/>
        <v>3.3</v>
      </c>
      <c r="M1769" s="2718"/>
      <c r="N1769" s="157"/>
      <c r="O1769" s="277"/>
      <c r="P1769" s="277"/>
      <c r="Q1769" s="277"/>
      <c r="R1769" s="277"/>
      <c r="S1769" s="157"/>
      <c r="T1769" s="157"/>
      <c r="U1769" s="157"/>
      <c r="V1769" s="3589"/>
      <c r="W1769" s="766"/>
      <c r="X1769" s="766"/>
      <c r="Y1769" s="765">
        <v>39600</v>
      </c>
      <c r="Z1769" s="2426">
        <v>39600</v>
      </c>
      <c r="AA1769" s="2426">
        <v>39600</v>
      </c>
      <c r="AB1769" s="2703">
        <v>39600</v>
      </c>
      <c r="AC1769" s="766"/>
      <c r="AD1769" s="766"/>
      <c r="AE1769" s="766"/>
      <c r="AF1769" s="766"/>
      <c r="AG1769" s="766"/>
      <c r="BB1769" s="647"/>
      <c r="BC1769" s="648"/>
      <c r="BD1769" s="757"/>
      <c r="BE1769" s="659"/>
    </row>
    <row r="1770" spans="1:57" s="64" customFormat="1" ht="15" customHeight="1" outlineLevel="1" x14ac:dyDescent="0.25">
      <c r="A1770" s="1393"/>
      <c r="B1770" s="157"/>
      <c r="C1770" s="385"/>
      <c r="D1770" s="3589"/>
      <c r="E1770" s="3721"/>
      <c r="F1770" s="3773" t="str">
        <f>$E$1582</f>
        <v>ASHP - SEER 19 - replace electric furnace / CAC - early replacement SF ER1</v>
      </c>
      <c r="G1770" s="3774"/>
      <c r="H1770" s="3774"/>
      <c r="I1770" s="3775"/>
      <c r="J1770" s="3071" t="str">
        <f>$C$1582</f>
        <v>354400_2019_12_</v>
      </c>
      <c r="K1770" s="2703">
        <v>37200</v>
      </c>
      <c r="L1770" s="2724">
        <f t="shared" si="194"/>
        <v>3.1</v>
      </c>
      <c r="M1770" s="2718"/>
      <c r="N1770" s="157"/>
      <c r="O1770" s="277"/>
      <c r="P1770" s="277"/>
      <c r="Q1770" s="277"/>
      <c r="R1770" s="277"/>
      <c r="S1770" s="157"/>
      <c r="T1770" s="157"/>
      <c r="U1770" s="157"/>
      <c r="V1770" s="3589"/>
      <c r="W1770" s="766">
        <v>37200</v>
      </c>
      <c r="X1770" s="766">
        <v>37200</v>
      </c>
      <c r="Y1770" s="766">
        <v>37200</v>
      </c>
      <c r="Z1770" s="2426">
        <v>37200</v>
      </c>
      <c r="AA1770" s="2426">
        <v>37200</v>
      </c>
      <c r="AB1770" s="2703">
        <v>37200</v>
      </c>
      <c r="AC1770" s="766"/>
      <c r="AD1770" s="766"/>
      <c r="AE1770" s="766"/>
      <c r="AF1770" s="766"/>
      <c r="AG1770" s="766"/>
      <c r="BB1770" s="647"/>
      <c r="BC1770" s="648"/>
      <c r="BD1770" s="757"/>
      <c r="BE1770" s="659"/>
    </row>
    <row r="1771" spans="1:57" s="64" customFormat="1" ht="15" customHeight="1" outlineLevel="1" x14ac:dyDescent="0.25">
      <c r="A1771" s="1393"/>
      <c r="B1771" s="157"/>
      <c r="C1771" s="385"/>
      <c r="D1771" s="3589"/>
      <c r="E1771" s="3721"/>
      <c r="F1771" s="3773" t="str">
        <f>$E$1584</f>
        <v>ASHP - SEER 19 - replace electric furnace / CAC - early replacement SF ER2</v>
      </c>
      <c r="G1771" s="3774"/>
      <c r="H1771" s="3774"/>
      <c r="I1771" s="3775"/>
      <c r="J1771" s="3071" t="str">
        <f>$C$1584</f>
        <v>354400_2019_12_</v>
      </c>
      <c r="K1771" s="2703">
        <v>37200</v>
      </c>
      <c r="L1771" s="2724">
        <f t="shared" si="194"/>
        <v>3.1</v>
      </c>
      <c r="M1771" s="2718"/>
      <c r="N1771" s="157"/>
      <c r="O1771" s="277"/>
      <c r="P1771" s="277"/>
      <c r="Q1771" s="277"/>
      <c r="R1771" s="277"/>
      <c r="S1771" s="157"/>
      <c r="T1771" s="157"/>
      <c r="U1771" s="157"/>
      <c r="V1771" s="3589"/>
      <c r="W1771" s="766">
        <v>37200</v>
      </c>
      <c r="X1771" s="766">
        <v>37200</v>
      </c>
      <c r="Y1771" s="766">
        <v>37200</v>
      </c>
      <c r="Z1771" s="2426">
        <v>37200</v>
      </c>
      <c r="AA1771" s="2426">
        <v>37200</v>
      </c>
      <c r="AB1771" s="2703">
        <v>37200</v>
      </c>
      <c r="AC1771" s="766"/>
      <c r="AD1771" s="766"/>
      <c r="AE1771" s="766"/>
      <c r="AF1771" s="766"/>
      <c r="AG1771" s="766"/>
      <c r="BB1771" s="647"/>
      <c r="BC1771" s="648"/>
      <c r="BD1771" s="757"/>
      <c r="BE1771" s="659"/>
    </row>
    <row r="1772" spans="1:57" s="64" customFormat="1" ht="15" customHeight="1" outlineLevel="1" x14ac:dyDescent="0.25">
      <c r="A1772" s="1393"/>
      <c r="B1772" s="157"/>
      <c r="C1772" s="385"/>
      <c r="D1772" s="3589"/>
      <c r="E1772" s="3721"/>
      <c r="F1772" s="3773" t="str">
        <f>$E$1586</f>
        <v>ASHP - SEER 19 - replace electric furnace / CAC - early replacement MF ER1</v>
      </c>
      <c r="G1772" s="3774"/>
      <c r="H1772" s="3774"/>
      <c r="I1772" s="3775"/>
      <c r="J1772" s="3071" t="str">
        <f>$C$1586</f>
        <v>354450_2019_12_</v>
      </c>
      <c r="K1772" s="2703">
        <v>37200</v>
      </c>
      <c r="L1772" s="2724">
        <f t="shared" si="194"/>
        <v>3.1</v>
      </c>
      <c r="M1772" s="2718"/>
      <c r="N1772" s="157"/>
      <c r="O1772" s="277"/>
      <c r="P1772" s="277"/>
      <c r="Q1772" s="277"/>
      <c r="R1772" s="277"/>
      <c r="S1772" s="157"/>
      <c r="T1772" s="157"/>
      <c r="U1772" s="157"/>
      <c r="V1772" s="3589"/>
      <c r="W1772" s="766">
        <v>37200</v>
      </c>
      <c r="X1772" s="766">
        <v>37200</v>
      </c>
      <c r="Y1772" s="766">
        <v>37200</v>
      </c>
      <c r="Z1772" s="2426">
        <v>37200</v>
      </c>
      <c r="AA1772" s="2426">
        <v>37200</v>
      </c>
      <c r="AB1772" s="2703">
        <v>37200</v>
      </c>
      <c r="AC1772" s="766"/>
      <c r="AD1772" s="766"/>
      <c r="AE1772" s="766"/>
      <c r="AF1772" s="766"/>
      <c r="AG1772" s="766"/>
      <c r="BB1772" s="647"/>
      <c r="BC1772" s="648"/>
      <c r="BD1772" s="757"/>
      <c r="BE1772" s="659"/>
    </row>
    <row r="1773" spans="1:57" s="64" customFormat="1" ht="15" customHeight="1" outlineLevel="1" x14ac:dyDescent="0.25">
      <c r="A1773" s="1393"/>
      <c r="B1773" s="157"/>
      <c r="C1773" s="385"/>
      <c r="D1773" s="3589"/>
      <c r="E1773" s="3721"/>
      <c r="F1773" s="3773" t="str">
        <f>$E$1588</f>
        <v>ASHP - SEER 19 - replace electric furnace / CAC - early replacement MF ER2</v>
      </c>
      <c r="G1773" s="3774"/>
      <c r="H1773" s="3774"/>
      <c r="I1773" s="3775"/>
      <c r="J1773" s="3071" t="str">
        <f>$C$1588</f>
        <v>354450_2019_12_</v>
      </c>
      <c r="K1773" s="2703">
        <v>37200</v>
      </c>
      <c r="L1773" s="2724">
        <f t="shared" ref="L1773:L1809" si="197">K1773/12000</f>
        <v>3.1</v>
      </c>
      <c r="M1773" s="2718"/>
      <c r="N1773" s="157"/>
      <c r="O1773" s="277"/>
      <c r="P1773" s="277"/>
      <c r="Q1773" s="277"/>
      <c r="R1773" s="277"/>
      <c r="S1773" s="157"/>
      <c r="T1773" s="157"/>
      <c r="U1773" s="157"/>
      <c r="V1773" s="3589"/>
      <c r="W1773" s="766">
        <v>37200</v>
      </c>
      <c r="X1773" s="766">
        <v>37200</v>
      </c>
      <c r="Y1773" s="766">
        <v>37200</v>
      </c>
      <c r="Z1773" s="2426">
        <v>37200</v>
      </c>
      <c r="AA1773" s="2426">
        <v>37200</v>
      </c>
      <c r="AB1773" s="2703">
        <v>37200</v>
      </c>
      <c r="AC1773" s="766"/>
      <c r="AD1773" s="766"/>
      <c r="AE1773" s="766"/>
      <c r="AF1773" s="766"/>
      <c r="AG1773" s="766"/>
      <c r="BB1773" s="647"/>
      <c r="BC1773" s="648"/>
      <c r="BD1773" s="757"/>
      <c r="BE1773" s="659"/>
    </row>
    <row r="1774" spans="1:57" s="64" customFormat="1" ht="15" customHeight="1" outlineLevel="1" x14ac:dyDescent="0.25">
      <c r="A1774" s="1393"/>
      <c r="B1774" s="157"/>
      <c r="C1774" s="385"/>
      <c r="D1774" s="3589"/>
      <c r="E1774" s="3721"/>
      <c r="F1774" s="3773" t="str">
        <f>$E$1590</f>
        <v>ASHP - SEER 19 - replace electric furnace / CAC - early replacement MF ER1_CompE</v>
      </c>
      <c r="G1774" s="3774"/>
      <c r="H1774" s="3774"/>
      <c r="I1774" s="3775"/>
      <c r="J1774" s="3071" t="str">
        <f>$C$1590</f>
        <v>354451_2019_12_</v>
      </c>
      <c r="K1774" s="2703">
        <f>K1772</f>
        <v>37200</v>
      </c>
      <c r="L1774" s="2724">
        <f t="shared" si="197"/>
        <v>3.1</v>
      </c>
      <c r="M1774" s="2718"/>
      <c r="N1774" s="157"/>
      <c r="O1774" s="277"/>
      <c r="P1774" s="277"/>
      <c r="Q1774" s="277"/>
      <c r="R1774" s="277"/>
      <c r="S1774" s="157"/>
      <c r="T1774" s="157"/>
      <c r="U1774" s="157"/>
      <c r="V1774" s="3589"/>
      <c r="W1774" s="766"/>
      <c r="X1774" s="766"/>
      <c r="Y1774" s="765">
        <v>37200</v>
      </c>
      <c r="Z1774" s="2426">
        <v>37200</v>
      </c>
      <c r="AA1774" s="2426">
        <v>37200</v>
      </c>
      <c r="AB1774" s="2703">
        <v>37200</v>
      </c>
      <c r="AC1774" s="766"/>
      <c r="AD1774" s="766"/>
      <c r="AE1774" s="766"/>
      <c r="AF1774" s="766"/>
      <c r="AG1774" s="766"/>
      <c r="BB1774" s="647"/>
      <c r="BC1774" s="648"/>
      <c r="BD1774" s="757"/>
      <c r="BE1774" s="659"/>
    </row>
    <row r="1775" spans="1:57" s="64" customFormat="1" ht="15" customHeight="1" outlineLevel="1" x14ac:dyDescent="0.25">
      <c r="A1775" s="1393"/>
      <c r="B1775" s="157"/>
      <c r="C1775" s="385"/>
      <c r="D1775" s="3589"/>
      <c r="E1775" s="3721"/>
      <c r="F1775" s="3773" t="str">
        <f>$E$1592</f>
        <v>ASHP - SEER 19 - replace electric furnace / CAC - early replacement MF ER2_CompE</v>
      </c>
      <c r="G1775" s="3774"/>
      <c r="H1775" s="3774"/>
      <c r="I1775" s="3775"/>
      <c r="J1775" s="3071" t="str">
        <f>$C$1592</f>
        <v>354451_2019_12_</v>
      </c>
      <c r="K1775" s="2703">
        <f>K1773</f>
        <v>37200</v>
      </c>
      <c r="L1775" s="2724">
        <f t="shared" si="197"/>
        <v>3.1</v>
      </c>
      <c r="M1775" s="2718"/>
      <c r="N1775" s="157"/>
      <c r="O1775" s="277"/>
      <c r="P1775" s="277"/>
      <c r="Q1775" s="277"/>
      <c r="R1775" s="277"/>
      <c r="S1775" s="157"/>
      <c r="T1775" s="157"/>
      <c r="U1775" s="157"/>
      <c r="V1775" s="3589"/>
      <c r="W1775" s="766"/>
      <c r="X1775" s="766"/>
      <c r="Y1775" s="765">
        <v>37200</v>
      </c>
      <c r="Z1775" s="2426">
        <v>37200</v>
      </c>
      <c r="AA1775" s="2426">
        <v>37200</v>
      </c>
      <c r="AB1775" s="2703">
        <v>37200</v>
      </c>
      <c r="AC1775" s="766"/>
      <c r="AD1775" s="766"/>
      <c r="AE1775" s="766"/>
      <c r="AF1775" s="766"/>
      <c r="AG1775" s="766"/>
      <c r="BB1775" s="647"/>
      <c r="BC1775" s="648"/>
      <c r="BD1775" s="757"/>
      <c r="BE1775" s="659"/>
    </row>
    <row r="1776" spans="1:57" s="64" customFormat="1" ht="15" customHeight="1" outlineLevel="1" x14ac:dyDescent="0.25">
      <c r="A1776" s="1393"/>
      <c r="B1776" s="157"/>
      <c r="C1776" s="385"/>
      <c r="D1776" s="3589"/>
      <c r="E1776" s="3721"/>
      <c r="F1776" s="3773" t="str">
        <f>$E$1594</f>
        <v>ASHP SEER 19 replace ASHP - early replacement MF ER1</v>
      </c>
      <c r="G1776" s="3774"/>
      <c r="H1776" s="3774"/>
      <c r="I1776" s="3775"/>
      <c r="J1776" s="3071" t="str">
        <f>$C$1594</f>
        <v>354500_2019_12_</v>
      </c>
      <c r="K1776" s="2703">
        <v>39600</v>
      </c>
      <c r="L1776" s="2724">
        <f t="shared" si="197"/>
        <v>3.3</v>
      </c>
      <c r="M1776" s="2718"/>
      <c r="N1776" s="157"/>
      <c r="O1776" s="277"/>
      <c r="P1776" s="277"/>
      <c r="Q1776" s="277"/>
      <c r="R1776" s="277"/>
      <c r="S1776" s="157"/>
      <c r="T1776" s="157"/>
      <c r="U1776" s="157"/>
      <c r="V1776" s="3589"/>
      <c r="W1776" s="766">
        <v>39600</v>
      </c>
      <c r="X1776" s="766">
        <v>39600</v>
      </c>
      <c r="Y1776" s="766">
        <v>39600</v>
      </c>
      <c r="Z1776" s="2426">
        <v>39600</v>
      </c>
      <c r="AA1776" s="2426">
        <v>39600</v>
      </c>
      <c r="AB1776" s="2703">
        <v>39600</v>
      </c>
      <c r="AC1776" s="766"/>
      <c r="AD1776" s="766"/>
      <c r="AE1776" s="766"/>
      <c r="AF1776" s="766"/>
      <c r="AG1776" s="766"/>
      <c r="BB1776" s="647"/>
      <c r="BC1776" s="648"/>
      <c r="BD1776" s="757"/>
      <c r="BE1776" s="659"/>
    </row>
    <row r="1777" spans="1:57" s="64" customFormat="1" ht="15" customHeight="1" outlineLevel="1" x14ac:dyDescent="0.25">
      <c r="A1777" s="1393"/>
      <c r="B1777" s="157"/>
      <c r="C1777" s="385"/>
      <c r="D1777" s="3589"/>
      <c r="E1777" s="3721"/>
      <c r="F1777" s="3773" t="str">
        <f>$E$1596</f>
        <v>ASHP SEER 19 replace ASHP - early replacement MF ER2</v>
      </c>
      <c r="G1777" s="3774"/>
      <c r="H1777" s="3774"/>
      <c r="I1777" s="3775"/>
      <c r="J1777" s="3071" t="str">
        <f>$C$1596</f>
        <v>354500_2019_12_</v>
      </c>
      <c r="K1777" s="2703">
        <v>39600</v>
      </c>
      <c r="L1777" s="2724">
        <f t="shared" si="197"/>
        <v>3.3</v>
      </c>
      <c r="M1777" s="2718"/>
      <c r="N1777" s="157"/>
      <c r="O1777" s="277"/>
      <c r="P1777" s="277"/>
      <c r="Q1777" s="277"/>
      <c r="R1777" s="277"/>
      <c r="S1777" s="157"/>
      <c r="T1777" s="157"/>
      <c r="U1777" s="157"/>
      <c r="V1777" s="3589"/>
      <c r="W1777" s="766">
        <v>39600</v>
      </c>
      <c r="X1777" s="766">
        <v>39600</v>
      </c>
      <c r="Y1777" s="766">
        <v>39600</v>
      </c>
      <c r="Z1777" s="2426">
        <v>39600</v>
      </c>
      <c r="AA1777" s="2426">
        <v>39600</v>
      </c>
      <c r="AB1777" s="2703">
        <v>39600</v>
      </c>
      <c r="AC1777" s="766"/>
      <c r="AD1777" s="766"/>
      <c r="AE1777" s="766"/>
      <c r="AF1777" s="766"/>
      <c r="AG1777" s="766"/>
      <c r="BB1777" s="647"/>
      <c r="BC1777" s="648"/>
      <c r="BD1777" s="757"/>
      <c r="BE1777" s="659"/>
    </row>
    <row r="1778" spans="1:57" s="64" customFormat="1" ht="15" customHeight="1" outlineLevel="1" x14ac:dyDescent="0.25">
      <c r="A1778" s="1393"/>
      <c r="B1778" s="157"/>
      <c r="C1778" s="385"/>
      <c r="D1778" s="3589"/>
      <c r="E1778" s="3721"/>
      <c r="F1778" s="3773" t="str">
        <f>$E$1598</f>
        <v>ASHP SEER 19 replace ASHP - early replacement MF ER1_CompE</v>
      </c>
      <c r="G1778" s="3774"/>
      <c r="H1778" s="3774"/>
      <c r="I1778" s="3775"/>
      <c r="J1778" s="3071" t="str">
        <f>$C$1598</f>
        <v>354501_2019_12_</v>
      </c>
      <c r="K1778" s="2703">
        <f>K1776</f>
        <v>39600</v>
      </c>
      <c r="L1778" s="2724">
        <f t="shared" si="197"/>
        <v>3.3</v>
      </c>
      <c r="M1778" s="2718"/>
      <c r="N1778" s="157"/>
      <c r="O1778" s="277"/>
      <c r="P1778" s="277"/>
      <c r="Q1778" s="277"/>
      <c r="R1778" s="277"/>
      <c r="S1778" s="157"/>
      <c r="T1778" s="157"/>
      <c r="U1778" s="157"/>
      <c r="V1778" s="3589"/>
      <c r="W1778" s="766"/>
      <c r="X1778" s="766"/>
      <c r="Y1778" s="765">
        <v>39600</v>
      </c>
      <c r="Z1778" s="2426">
        <v>39600</v>
      </c>
      <c r="AA1778" s="2426">
        <v>39600</v>
      </c>
      <c r="AB1778" s="2703">
        <v>39600</v>
      </c>
      <c r="AC1778" s="766"/>
      <c r="AD1778" s="766"/>
      <c r="AE1778" s="766"/>
      <c r="AF1778" s="766"/>
      <c r="AG1778" s="766"/>
      <c r="BB1778" s="647"/>
      <c r="BC1778" s="648"/>
      <c r="BD1778" s="757"/>
      <c r="BE1778" s="659"/>
    </row>
    <row r="1779" spans="1:57" s="64" customFormat="1" ht="15" customHeight="1" outlineLevel="1" x14ac:dyDescent="0.25">
      <c r="A1779" s="1393"/>
      <c r="B1779" s="157"/>
      <c r="C1779" s="385"/>
      <c r="D1779" s="3589"/>
      <c r="E1779" s="3721"/>
      <c r="F1779" s="3773" t="str">
        <f>$E$1600</f>
        <v>ASHP SEER 19 replace ASHP - early replacement MF ER2_CompE</v>
      </c>
      <c r="G1779" s="3774"/>
      <c r="H1779" s="3774"/>
      <c r="I1779" s="3775"/>
      <c r="J1779" s="3071" t="str">
        <f>$C$1600</f>
        <v>354501_2019_12_</v>
      </c>
      <c r="K1779" s="2703">
        <f>K1777</f>
        <v>39600</v>
      </c>
      <c r="L1779" s="2724">
        <f t="shared" si="197"/>
        <v>3.3</v>
      </c>
      <c r="M1779" s="2718"/>
      <c r="N1779" s="157"/>
      <c r="O1779" s="277"/>
      <c r="P1779" s="277"/>
      <c r="Q1779" s="277"/>
      <c r="R1779" s="277"/>
      <c r="S1779" s="157"/>
      <c r="T1779" s="157"/>
      <c r="U1779" s="157"/>
      <c r="V1779" s="3589"/>
      <c r="W1779" s="766"/>
      <c r="X1779" s="766"/>
      <c r="Y1779" s="765">
        <v>39600</v>
      </c>
      <c r="Z1779" s="2426">
        <v>39600</v>
      </c>
      <c r="AA1779" s="2426">
        <v>39600</v>
      </c>
      <c r="AB1779" s="2703">
        <v>39600</v>
      </c>
      <c r="AC1779" s="766"/>
      <c r="AD1779" s="766"/>
      <c r="AE1779" s="766"/>
      <c r="AF1779" s="766"/>
      <c r="AG1779" s="766"/>
      <c r="BB1779" s="647"/>
      <c r="BC1779" s="648"/>
      <c r="BD1779" s="757"/>
      <c r="BE1779" s="659"/>
    </row>
    <row r="1780" spans="1:57" s="64" customFormat="1" ht="15" customHeight="1" outlineLevel="1" x14ac:dyDescent="0.25">
      <c r="A1780" s="1393"/>
      <c r="B1780" s="157"/>
      <c r="C1780" s="385"/>
      <c r="D1780" s="3589"/>
      <c r="E1780" s="3721"/>
      <c r="F1780" s="3773" t="str">
        <f>$E$1602</f>
        <v>ASHP SEER 20 replace ASHP - early replacement SF ER1</v>
      </c>
      <c r="G1780" s="3774"/>
      <c r="H1780" s="3774"/>
      <c r="I1780" s="3775"/>
      <c r="J1780" s="3071" t="str">
        <f>$C$1602</f>
        <v>354550_2019_12_</v>
      </c>
      <c r="K1780" s="2703">
        <v>39600</v>
      </c>
      <c r="L1780" s="2724">
        <f t="shared" si="197"/>
        <v>3.3</v>
      </c>
      <c r="M1780" s="2718"/>
      <c r="N1780" s="157"/>
      <c r="O1780" s="277"/>
      <c r="P1780" s="277"/>
      <c r="Q1780" s="277"/>
      <c r="R1780" s="277"/>
      <c r="S1780" s="157"/>
      <c r="T1780" s="157"/>
      <c r="U1780" s="157"/>
      <c r="V1780" s="3589"/>
      <c r="W1780" s="766">
        <v>39600</v>
      </c>
      <c r="X1780" s="766">
        <v>39600</v>
      </c>
      <c r="Y1780" s="766">
        <v>39600</v>
      </c>
      <c r="Z1780" s="2426">
        <v>39600</v>
      </c>
      <c r="AA1780" s="2426">
        <v>39600</v>
      </c>
      <c r="AB1780" s="2703">
        <v>39600</v>
      </c>
      <c r="AC1780" s="766"/>
      <c r="AD1780" s="766"/>
      <c r="AE1780" s="766"/>
      <c r="AF1780" s="766"/>
      <c r="AG1780" s="766"/>
      <c r="BB1780" s="647"/>
      <c r="BC1780" s="648"/>
      <c r="BD1780" s="757"/>
      <c r="BE1780" s="659"/>
    </row>
    <row r="1781" spans="1:57" s="64" customFormat="1" ht="15" customHeight="1" outlineLevel="1" x14ac:dyDescent="0.25">
      <c r="A1781" s="1393"/>
      <c r="B1781" s="157"/>
      <c r="C1781" s="385"/>
      <c r="D1781" s="3589"/>
      <c r="E1781" s="3721"/>
      <c r="F1781" s="3773" t="str">
        <f>$E$1604</f>
        <v>ASHP SEER 20 replace ASHP - early replacement SF ER2</v>
      </c>
      <c r="G1781" s="3774"/>
      <c r="H1781" s="3774"/>
      <c r="I1781" s="3775"/>
      <c r="J1781" s="3071" t="str">
        <f>$C$1604</f>
        <v>354550_2019_12_</v>
      </c>
      <c r="K1781" s="2703">
        <v>39600</v>
      </c>
      <c r="L1781" s="2724">
        <f t="shared" si="197"/>
        <v>3.3</v>
      </c>
      <c r="M1781" s="2718"/>
      <c r="N1781" s="157"/>
      <c r="O1781" s="277"/>
      <c r="P1781" s="277"/>
      <c r="Q1781" s="277"/>
      <c r="R1781" s="277"/>
      <c r="S1781" s="157"/>
      <c r="T1781" s="157"/>
      <c r="U1781" s="157"/>
      <c r="V1781" s="3589"/>
      <c r="W1781" s="766">
        <v>39600</v>
      </c>
      <c r="X1781" s="766">
        <v>39600</v>
      </c>
      <c r="Y1781" s="766">
        <v>39600</v>
      </c>
      <c r="Z1781" s="2426">
        <v>39600</v>
      </c>
      <c r="AA1781" s="2426">
        <v>39600</v>
      </c>
      <c r="AB1781" s="2703">
        <v>39600</v>
      </c>
      <c r="AC1781" s="766"/>
      <c r="AD1781" s="766"/>
      <c r="AE1781" s="766"/>
      <c r="AF1781" s="766"/>
      <c r="AG1781" s="766"/>
      <c r="BB1781" s="647"/>
      <c r="BC1781" s="648"/>
      <c r="BD1781" s="757"/>
      <c r="BE1781" s="659"/>
    </row>
    <row r="1782" spans="1:57" s="64" customFormat="1" ht="15" customHeight="1" outlineLevel="1" x14ac:dyDescent="0.25">
      <c r="A1782" s="1393"/>
      <c r="B1782" s="157"/>
      <c r="C1782" s="385"/>
      <c r="D1782" s="3589"/>
      <c r="E1782" s="3721"/>
      <c r="F1782" s="3773" t="str">
        <f>$E$1606</f>
        <v>ASHP SEER 20 replace ASHP - replace on fail SF</v>
      </c>
      <c r="G1782" s="3774"/>
      <c r="H1782" s="3774"/>
      <c r="I1782" s="3775"/>
      <c r="J1782" s="3071" t="str">
        <f>$C$1606</f>
        <v>354600_2019_12_</v>
      </c>
      <c r="K1782" s="2703">
        <v>39600</v>
      </c>
      <c r="L1782" s="2724">
        <f t="shared" si="197"/>
        <v>3.3</v>
      </c>
      <c r="M1782" s="2718"/>
      <c r="N1782" s="157"/>
      <c r="O1782" s="277"/>
      <c r="P1782" s="277"/>
      <c r="Q1782" s="277"/>
      <c r="R1782" s="277"/>
      <c r="S1782" s="157"/>
      <c r="T1782" s="157"/>
      <c r="U1782" s="157"/>
      <c r="V1782" s="3589"/>
      <c r="W1782" s="766">
        <v>39600</v>
      </c>
      <c r="X1782" s="766">
        <v>39600</v>
      </c>
      <c r="Y1782" s="766">
        <v>39600</v>
      </c>
      <c r="Z1782" s="2426">
        <v>39600</v>
      </c>
      <c r="AA1782" s="2426">
        <v>39600</v>
      </c>
      <c r="AB1782" s="2703">
        <v>39600</v>
      </c>
      <c r="AC1782" s="766"/>
      <c r="AD1782" s="766"/>
      <c r="AE1782" s="766"/>
      <c r="AF1782" s="766"/>
      <c r="AG1782" s="766"/>
      <c r="BB1782" s="647"/>
      <c r="BC1782" s="648"/>
      <c r="BD1782" s="757"/>
      <c r="BE1782" s="659"/>
    </row>
    <row r="1783" spans="1:57" s="64" customFormat="1" ht="15" customHeight="1" outlineLevel="1" x14ac:dyDescent="0.25">
      <c r="A1783" s="1393"/>
      <c r="B1783" s="157"/>
      <c r="C1783" s="385"/>
      <c r="D1783" s="3589"/>
      <c r="E1783" s="3721"/>
      <c r="F1783" s="3773" t="str">
        <f>$E$1608</f>
        <v>ASHP - SEER 20 - replace electric furnace / CAC - early replacement MF ER1</v>
      </c>
      <c r="G1783" s="3774"/>
      <c r="H1783" s="3774"/>
      <c r="I1783" s="3775"/>
      <c r="J1783" s="3071" t="str">
        <f>$C$1608</f>
        <v>354650_2019_12_</v>
      </c>
      <c r="K1783" s="2703">
        <v>37200</v>
      </c>
      <c r="L1783" s="2724">
        <f t="shared" si="197"/>
        <v>3.1</v>
      </c>
      <c r="M1783" s="2718"/>
      <c r="N1783" s="157"/>
      <c r="O1783" s="277"/>
      <c r="P1783" s="277"/>
      <c r="Q1783" s="277"/>
      <c r="R1783" s="277"/>
      <c r="S1783" s="157"/>
      <c r="T1783" s="157"/>
      <c r="U1783" s="157"/>
      <c r="V1783" s="3589"/>
      <c r="W1783" s="766">
        <v>37200</v>
      </c>
      <c r="X1783" s="766">
        <v>37200</v>
      </c>
      <c r="Y1783" s="766">
        <v>37200</v>
      </c>
      <c r="Z1783" s="2426">
        <v>37200</v>
      </c>
      <c r="AA1783" s="2426">
        <v>37200</v>
      </c>
      <c r="AB1783" s="2703">
        <v>37200</v>
      </c>
      <c r="AC1783" s="766"/>
      <c r="AD1783" s="766"/>
      <c r="AE1783" s="766"/>
      <c r="AF1783" s="766"/>
      <c r="AG1783" s="766"/>
      <c r="BB1783" s="647"/>
      <c r="BC1783" s="648"/>
      <c r="BD1783" s="757"/>
      <c r="BE1783" s="659"/>
    </row>
    <row r="1784" spans="1:57" s="64" customFormat="1" ht="15" customHeight="1" outlineLevel="1" x14ac:dyDescent="0.25">
      <c r="A1784" s="1393"/>
      <c r="B1784" s="157"/>
      <c r="C1784" s="385"/>
      <c r="D1784" s="3589"/>
      <c r="E1784" s="3721"/>
      <c r="F1784" s="3773" t="str">
        <f>$E$1610</f>
        <v>ASHP - SEER 20 - replace electric furnace / CAC - early replacement MF ER2</v>
      </c>
      <c r="G1784" s="3774"/>
      <c r="H1784" s="3774"/>
      <c r="I1784" s="3775"/>
      <c r="J1784" s="3071" t="str">
        <f>$C$1610</f>
        <v>354650_2019_12_</v>
      </c>
      <c r="K1784" s="2703">
        <v>37200</v>
      </c>
      <c r="L1784" s="2724">
        <f t="shared" si="197"/>
        <v>3.1</v>
      </c>
      <c r="M1784" s="2718"/>
      <c r="N1784" s="157"/>
      <c r="O1784" s="277"/>
      <c r="P1784" s="277"/>
      <c r="Q1784" s="277"/>
      <c r="R1784" s="277"/>
      <c r="S1784" s="157"/>
      <c r="T1784" s="157"/>
      <c r="U1784" s="157"/>
      <c r="V1784" s="3589"/>
      <c r="W1784" s="766">
        <v>37200</v>
      </c>
      <c r="X1784" s="766">
        <v>37200</v>
      </c>
      <c r="Y1784" s="766">
        <v>37200</v>
      </c>
      <c r="Z1784" s="2426">
        <v>37200</v>
      </c>
      <c r="AA1784" s="2426">
        <v>37200</v>
      </c>
      <c r="AB1784" s="2703">
        <v>37200</v>
      </c>
      <c r="AC1784" s="766"/>
      <c r="AD1784" s="766"/>
      <c r="AE1784" s="766"/>
      <c r="AF1784" s="766"/>
      <c r="AG1784" s="766"/>
      <c r="BB1784" s="647"/>
      <c r="BC1784" s="648"/>
      <c r="BD1784" s="757"/>
      <c r="BE1784" s="659"/>
    </row>
    <row r="1785" spans="1:57" s="64" customFormat="1" ht="15" customHeight="1" outlineLevel="1" x14ac:dyDescent="0.25">
      <c r="A1785" s="1393"/>
      <c r="B1785" s="157"/>
      <c r="C1785" s="385"/>
      <c r="D1785" s="3589"/>
      <c r="E1785" s="3721"/>
      <c r="F1785" s="3773" t="str">
        <f>$E$1612</f>
        <v>ASHP - SEER 20 - replace electric furnace / CAC - early replacement MF ER1_CompE</v>
      </c>
      <c r="G1785" s="3774"/>
      <c r="H1785" s="3774"/>
      <c r="I1785" s="3775"/>
      <c r="J1785" s="3071" t="str">
        <f>$C$1612</f>
        <v>354651_2019_12_</v>
      </c>
      <c r="K1785" s="2703">
        <f>K1783</f>
        <v>37200</v>
      </c>
      <c r="L1785" s="2724">
        <f t="shared" si="197"/>
        <v>3.1</v>
      </c>
      <c r="M1785" s="2718"/>
      <c r="N1785" s="157"/>
      <c r="O1785" s="277"/>
      <c r="P1785" s="277"/>
      <c r="Q1785" s="277"/>
      <c r="R1785" s="277"/>
      <c r="S1785" s="157"/>
      <c r="T1785" s="157"/>
      <c r="U1785" s="157"/>
      <c r="V1785" s="3589"/>
      <c r="W1785" s="766"/>
      <c r="X1785" s="766"/>
      <c r="Y1785" s="765">
        <v>37200</v>
      </c>
      <c r="Z1785" s="2426">
        <v>37200</v>
      </c>
      <c r="AA1785" s="2426">
        <v>37200</v>
      </c>
      <c r="AB1785" s="2703">
        <v>37200</v>
      </c>
      <c r="AC1785" s="766"/>
      <c r="AD1785" s="766"/>
      <c r="AE1785" s="766"/>
      <c r="AF1785" s="766"/>
      <c r="AG1785" s="766"/>
      <c r="BB1785" s="647"/>
      <c r="BC1785" s="648"/>
      <c r="BD1785" s="757"/>
      <c r="BE1785" s="659"/>
    </row>
    <row r="1786" spans="1:57" s="64" customFormat="1" ht="15" customHeight="1" outlineLevel="1" x14ac:dyDescent="0.25">
      <c r="A1786" s="1393"/>
      <c r="B1786" s="157"/>
      <c r="C1786" s="385"/>
      <c r="D1786" s="3589"/>
      <c r="E1786" s="3721"/>
      <c r="F1786" s="3773" t="str">
        <f>$E$1614</f>
        <v>ASHP - SEER 20 - replace electric furnace / CAC - early replacement MF ER2_CompE</v>
      </c>
      <c r="G1786" s="3774"/>
      <c r="H1786" s="3774"/>
      <c r="I1786" s="3775"/>
      <c r="J1786" s="3071" t="str">
        <f>$C$1614</f>
        <v>354651_2019_12_</v>
      </c>
      <c r="K1786" s="2703">
        <f>K1784</f>
        <v>37200</v>
      </c>
      <c r="L1786" s="2724">
        <f t="shared" si="197"/>
        <v>3.1</v>
      </c>
      <c r="M1786" s="2718"/>
      <c r="N1786" s="157"/>
      <c r="O1786" s="277"/>
      <c r="P1786" s="277"/>
      <c r="Q1786" s="277"/>
      <c r="R1786" s="277"/>
      <c r="S1786" s="157"/>
      <c r="T1786" s="157"/>
      <c r="U1786" s="157"/>
      <c r="V1786" s="3589"/>
      <c r="W1786" s="766"/>
      <c r="X1786" s="766"/>
      <c r="Y1786" s="765">
        <v>37200</v>
      </c>
      <c r="Z1786" s="2426">
        <v>37200</v>
      </c>
      <c r="AA1786" s="2426">
        <v>37200</v>
      </c>
      <c r="AB1786" s="2703">
        <v>37200</v>
      </c>
      <c r="AC1786" s="766"/>
      <c r="AD1786" s="766"/>
      <c r="AE1786" s="766"/>
      <c r="AF1786" s="766"/>
      <c r="AG1786" s="766"/>
      <c r="BB1786" s="647"/>
      <c r="BC1786" s="648"/>
      <c r="BD1786" s="757"/>
      <c r="BE1786" s="659"/>
    </row>
    <row r="1787" spans="1:57" s="64" customFormat="1" ht="15" customHeight="1" outlineLevel="1" x14ac:dyDescent="0.25">
      <c r="A1787" s="1393"/>
      <c r="B1787" s="157"/>
      <c r="C1787" s="385"/>
      <c r="D1787" s="3589"/>
      <c r="E1787" s="3721"/>
      <c r="F1787" s="3773" t="str">
        <f>$E$1616</f>
        <v>ASHP SEER 20 replace ASHP - early replacement MF ER1</v>
      </c>
      <c r="G1787" s="3774"/>
      <c r="H1787" s="3774"/>
      <c r="I1787" s="3775"/>
      <c r="J1787" s="3071" t="str">
        <f>$C$1616</f>
        <v>354700_2019_12_</v>
      </c>
      <c r="K1787" s="2703">
        <v>39600</v>
      </c>
      <c r="L1787" s="2724">
        <f t="shared" si="197"/>
        <v>3.3</v>
      </c>
      <c r="M1787" s="2718"/>
      <c r="N1787" s="157"/>
      <c r="O1787" s="277"/>
      <c r="P1787" s="277"/>
      <c r="Q1787" s="277"/>
      <c r="R1787" s="277"/>
      <c r="S1787" s="157"/>
      <c r="T1787" s="157"/>
      <c r="U1787" s="157"/>
      <c r="V1787" s="3589"/>
      <c r="W1787" s="766">
        <v>39600</v>
      </c>
      <c r="X1787" s="766">
        <v>39600</v>
      </c>
      <c r="Y1787" s="766">
        <v>39600</v>
      </c>
      <c r="Z1787" s="2426">
        <v>39600</v>
      </c>
      <c r="AA1787" s="2426">
        <v>39600</v>
      </c>
      <c r="AB1787" s="2703">
        <v>39600</v>
      </c>
      <c r="AC1787" s="766"/>
      <c r="AD1787" s="766"/>
      <c r="AE1787" s="766"/>
      <c r="AF1787" s="766"/>
      <c r="AG1787" s="766"/>
      <c r="BB1787" s="647"/>
      <c r="BC1787" s="648"/>
      <c r="BD1787" s="757"/>
      <c r="BE1787" s="659"/>
    </row>
    <row r="1788" spans="1:57" s="64" customFormat="1" ht="15" customHeight="1" outlineLevel="1" x14ac:dyDescent="0.25">
      <c r="A1788" s="1393"/>
      <c r="B1788" s="157"/>
      <c r="C1788" s="385"/>
      <c r="D1788" s="3589"/>
      <c r="E1788" s="3721"/>
      <c r="F1788" s="3773" t="str">
        <f>$E$1618</f>
        <v>ASHP SEER 20 replace ASHP - early replacement MF ER2</v>
      </c>
      <c r="G1788" s="3774"/>
      <c r="H1788" s="3774"/>
      <c r="I1788" s="3775"/>
      <c r="J1788" s="3071" t="str">
        <f>$C$1618</f>
        <v>354700_2019_12_</v>
      </c>
      <c r="K1788" s="2703">
        <v>39600</v>
      </c>
      <c r="L1788" s="2724">
        <f t="shared" si="197"/>
        <v>3.3</v>
      </c>
      <c r="M1788" s="2718"/>
      <c r="N1788" s="157"/>
      <c r="O1788" s="277"/>
      <c r="P1788" s="277"/>
      <c r="Q1788" s="277"/>
      <c r="R1788" s="277"/>
      <c r="S1788" s="157"/>
      <c r="T1788" s="157"/>
      <c r="U1788" s="157"/>
      <c r="V1788" s="3589"/>
      <c r="W1788" s="766">
        <v>39600</v>
      </c>
      <c r="X1788" s="766">
        <v>39600</v>
      </c>
      <c r="Y1788" s="766">
        <v>39600</v>
      </c>
      <c r="Z1788" s="2426">
        <v>39600</v>
      </c>
      <c r="AA1788" s="2426">
        <v>39600</v>
      </c>
      <c r="AB1788" s="2703">
        <v>39600</v>
      </c>
      <c r="AC1788" s="766"/>
      <c r="AD1788" s="766"/>
      <c r="AE1788" s="766"/>
      <c r="AF1788" s="766"/>
      <c r="AG1788" s="766"/>
      <c r="BB1788" s="647"/>
      <c r="BC1788" s="648"/>
      <c r="BD1788" s="757"/>
      <c r="BE1788" s="659"/>
    </row>
    <row r="1789" spans="1:57" s="64" customFormat="1" ht="15" customHeight="1" outlineLevel="1" x14ac:dyDescent="0.25">
      <c r="A1789" s="1393"/>
      <c r="B1789" s="157"/>
      <c r="C1789" s="385"/>
      <c r="D1789" s="3589"/>
      <c r="E1789" s="3721"/>
      <c r="F1789" s="3773" t="str">
        <f>$E$1620</f>
        <v>ASHP SEER 20 replace ASHP - early replacement MF ER1_CompE</v>
      </c>
      <c r="G1789" s="3774"/>
      <c r="H1789" s="3774"/>
      <c r="I1789" s="3775"/>
      <c r="J1789" s="3071" t="str">
        <f>$C$1620</f>
        <v>354701_2019_12_</v>
      </c>
      <c r="K1789" s="2703">
        <f>K1787</f>
        <v>39600</v>
      </c>
      <c r="L1789" s="2724">
        <f t="shared" si="197"/>
        <v>3.3</v>
      </c>
      <c r="M1789" s="2718"/>
      <c r="N1789" s="157"/>
      <c r="O1789" s="277"/>
      <c r="P1789" s="277"/>
      <c r="Q1789" s="277"/>
      <c r="R1789" s="277"/>
      <c r="S1789" s="157"/>
      <c r="T1789" s="157"/>
      <c r="U1789" s="157"/>
      <c r="V1789" s="3589"/>
      <c r="W1789" s="766"/>
      <c r="X1789" s="766"/>
      <c r="Y1789" s="765">
        <v>39600</v>
      </c>
      <c r="Z1789" s="2426">
        <v>39600</v>
      </c>
      <c r="AA1789" s="2426">
        <v>39600</v>
      </c>
      <c r="AB1789" s="2703">
        <v>39600</v>
      </c>
      <c r="AC1789" s="766"/>
      <c r="AD1789" s="766"/>
      <c r="AE1789" s="766"/>
      <c r="AF1789" s="766"/>
      <c r="AG1789" s="766"/>
      <c r="BB1789" s="647"/>
      <c r="BC1789" s="648"/>
      <c r="BD1789" s="757"/>
      <c r="BE1789" s="659"/>
    </row>
    <row r="1790" spans="1:57" s="64" customFormat="1" ht="15" customHeight="1" outlineLevel="1" x14ac:dyDescent="0.25">
      <c r="A1790" s="1393"/>
      <c r="B1790" s="157"/>
      <c r="C1790" s="385"/>
      <c r="D1790" s="3589"/>
      <c r="E1790" s="3721"/>
      <c r="F1790" s="3773" t="str">
        <f>$E$1622</f>
        <v>ASHP SEER 20 replace ASHP - early replacement MF ER2_CompE</v>
      </c>
      <c r="G1790" s="3774"/>
      <c r="H1790" s="3774"/>
      <c r="I1790" s="3775"/>
      <c r="J1790" s="3071" t="str">
        <f>$C$1622</f>
        <v>354701_2019_12_</v>
      </c>
      <c r="K1790" s="2703">
        <f>K1788</f>
        <v>39600</v>
      </c>
      <c r="L1790" s="2724">
        <f t="shared" si="197"/>
        <v>3.3</v>
      </c>
      <c r="M1790" s="2718"/>
      <c r="N1790" s="157"/>
      <c r="O1790" s="277"/>
      <c r="P1790" s="277"/>
      <c r="Q1790" s="277"/>
      <c r="R1790" s="277"/>
      <c r="S1790" s="157"/>
      <c r="T1790" s="157"/>
      <c r="U1790" s="157"/>
      <c r="V1790" s="3589"/>
      <c r="W1790" s="766"/>
      <c r="X1790" s="766"/>
      <c r="Y1790" s="765">
        <v>39600</v>
      </c>
      <c r="Z1790" s="2426">
        <v>39600</v>
      </c>
      <c r="AA1790" s="2426">
        <v>39600</v>
      </c>
      <c r="AB1790" s="2703">
        <v>39600</v>
      </c>
      <c r="AC1790" s="766"/>
      <c r="AD1790" s="766"/>
      <c r="AE1790" s="766"/>
      <c r="AF1790" s="766"/>
      <c r="AG1790" s="766"/>
      <c r="BB1790" s="647"/>
      <c r="BC1790" s="648"/>
      <c r="BD1790" s="757"/>
      <c r="BE1790" s="659"/>
    </row>
    <row r="1791" spans="1:57" s="64" customFormat="1" ht="15" customHeight="1" outlineLevel="1" x14ac:dyDescent="0.25">
      <c r="A1791" s="1393"/>
      <c r="B1791" s="157"/>
      <c r="C1791" s="385"/>
      <c r="D1791" s="3589"/>
      <c r="E1791" s="3721"/>
      <c r="F1791" s="3773" t="str">
        <f>$E$1624</f>
        <v>ASHP SEER 21 replace ASHP - early replacement SF ER1</v>
      </c>
      <c r="G1791" s="3774"/>
      <c r="H1791" s="3774"/>
      <c r="I1791" s="3775"/>
      <c r="J1791" s="3071" t="str">
        <f>$C$1624</f>
        <v>354750_2019_12_</v>
      </c>
      <c r="K1791" s="2703">
        <v>39600</v>
      </c>
      <c r="L1791" s="2724">
        <f t="shared" si="197"/>
        <v>3.3</v>
      </c>
      <c r="M1791" s="2718"/>
      <c r="N1791" s="157"/>
      <c r="O1791" s="277"/>
      <c r="P1791" s="277"/>
      <c r="Q1791" s="277"/>
      <c r="R1791" s="277"/>
      <c r="S1791" s="157"/>
      <c r="T1791" s="157"/>
      <c r="U1791" s="157"/>
      <c r="V1791" s="3589"/>
      <c r="W1791" s="766">
        <v>39600</v>
      </c>
      <c r="X1791" s="766">
        <v>39600</v>
      </c>
      <c r="Y1791" s="766">
        <v>39600</v>
      </c>
      <c r="Z1791" s="2426">
        <v>39600</v>
      </c>
      <c r="AA1791" s="2426">
        <v>39600</v>
      </c>
      <c r="AB1791" s="2703">
        <v>39600</v>
      </c>
      <c r="AC1791" s="766"/>
      <c r="AD1791" s="766"/>
      <c r="AE1791" s="766"/>
      <c r="AF1791" s="766"/>
      <c r="AG1791" s="766"/>
      <c r="BB1791" s="647"/>
      <c r="BC1791" s="648"/>
      <c r="BD1791" s="757"/>
      <c r="BE1791" s="659"/>
    </row>
    <row r="1792" spans="1:57" s="64" customFormat="1" ht="15" customHeight="1" outlineLevel="1" x14ac:dyDescent="0.25">
      <c r="A1792" s="1393"/>
      <c r="B1792" s="157"/>
      <c r="C1792" s="385"/>
      <c r="D1792" s="3589"/>
      <c r="E1792" s="3721"/>
      <c r="F1792" s="3773" t="str">
        <f>$E$1626</f>
        <v>ASHP SEER 21 replace ASHP - early replacement SF ER2</v>
      </c>
      <c r="G1792" s="3774"/>
      <c r="H1792" s="3774"/>
      <c r="I1792" s="3775"/>
      <c r="J1792" s="3071" t="str">
        <f>$C$1626</f>
        <v>354750_2019_12_</v>
      </c>
      <c r="K1792" s="2703">
        <v>39600</v>
      </c>
      <c r="L1792" s="2724">
        <f t="shared" si="197"/>
        <v>3.3</v>
      </c>
      <c r="M1792" s="2718"/>
      <c r="N1792" s="157"/>
      <c r="O1792" s="277"/>
      <c r="P1792" s="277"/>
      <c r="Q1792" s="277"/>
      <c r="R1792" s="277"/>
      <c r="S1792" s="157"/>
      <c r="T1792" s="157"/>
      <c r="U1792" s="157"/>
      <c r="V1792" s="3589"/>
      <c r="W1792" s="766">
        <v>39600</v>
      </c>
      <c r="X1792" s="766">
        <v>39600</v>
      </c>
      <c r="Y1792" s="766">
        <v>39600</v>
      </c>
      <c r="Z1792" s="2426">
        <v>39600</v>
      </c>
      <c r="AA1792" s="2426">
        <v>39600</v>
      </c>
      <c r="AB1792" s="2703">
        <v>39600</v>
      </c>
      <c r="AC1792" s="766"/>
      <c r="AD1792" s="766"/>
      <c r="AE1792" s="766"/>
      <c r="AF1792" s="766"/>
      <c r="AG1792" s="766"/>
      <c r="BB1792" s="647"/>
      <c r="BC1792" s="648"/>
      <c r="BD1792" s="757"/>
      <c r="BE1792" s="659"/>
    </row>
    <row r="1793" spans="1:57" s="64" customFormat="1" ht="15" customHeight="1" outlineLevel="1" x14ac:dyDescent="0.25">
      <c r="A1793" s="1393"/>
      <c r="B1793" s="157"/>
      <c r="C1793" s="385"/>
      <c r="D1793" s="3589"/>
      <c r="E1793" s="3721"/>
      <c r="F1793" s="3773" t="str">
        <f>$E$1628</f>
        <v>ASHP SEER 21 replace ASHP - replace on fail SF</v>
      </c>
      <c r="G1793" s="3774"/>
      <c r="H1793" s="3774"/>
      <c r="I1793" s="3775"/>
      <c r="J1793" s="3071" t="str">
        <f>$C$1628</f>
        <v>354800_2019_12_</v>
      </c>
      <c r="K1793" s="2703">
        <v>39600</v>
      </c>
      <c r="L1793" s="2724">
        <f t="shared" si="197"/>
        <v>3.3</v>
      </c>
      <c r="M1793" s="2718"/>
      <c r="N1793" s="157"/>
      <c r="O1793" s="277"/>
      <c r="P1793" s="277"/>
      <c r="Q1793" s="277"/>
      <c r="R1793" s="277"/>
      <c r="S1793" s="157"/>
      <c r="T1793" s="157"/>
      <c r="U1793" s="157"/>
      <c r="V1793" s="3589"/>
      <c r="W1793" s="766">
        <v>39600</v>
      </c>
      <c r="X1793" s="766">
        <v>39600</v>
      </c>
      <c r="Y1793" s="766">
        <v>39600</v>
      </c>
      <c r="Z1793" s="2426">
        <v>39600</v>
      </c>
      <c r="AA1793" s="2426">
        <v>39600</v>
      </c>
      <c r="AB1793" s="2703">
        <v>39600</v>
      </c>
      <c r="AC1793" s="766"/>
      <c r="AD1793" s="766"/>
      <c r="AE1793" s="766"/>
      <c r="AF1793" s="766"/>
      <c r="AG1793" s="766"/>
      <c r="BB1793" s="647"/>
      <c r="BC1793" s="648"/>
      <c r="BD1793" s="757"/>
      <c r="BE1793" s="659"/>
    </row>
    <row r="1794" spans="1:57" s="64" customFormat="1" ht="15" customHeight="1" outlineLevel="1" x14ac:dyDescent="0.25">
      <c r="A1794" s="1393"/>
      <c r="B1794" s="157"/>
      <c r="C1794" s="385"/>
      <c r="D1794" s="3589"/>
      <c r="E1794" s="3721"/>
      <c r="F1794" s="3773" t="str">
        <f>$E$1630</f>
        <v>ASHP - SEER 21 - replace electric furnace / CAC MF</v>
      </c>
      <c r="G1794" s="3774"/>
      <c r="H1794" s="3774"/>
      <c r="I1794" s="3775"/>
      <c r="J1794" s="3071" t="str">
        <f>$C$1630</f>
        <v>354850_2019_12_</v>
      </c>
      <c r="K1794" s="2703">
        <v>33600</v>
      </c>
      <c r="L1794" s="2724">
        <f t="shared" si="197"/>
        <v>2.8</v>
      </c>
      <c r="M1794" s="2718"/>
      <c r="N1794" s="157"/>
      <c r="O1794" s="277"/>
      <c r="P1794" s="277"/>
      <c r="Q1794" s="277"/>
      <c r="R1794" s="277"/>
      <c r="S1794" s="157"/>
      <c r="T1794" s="157"/>
      <c r="U1794" s="157"/>
      <c r="V1794" s="3589"/>
      <c r="W1794" s="766">
        <v>33600</v>
      </c>
      <c r="X1794" s="766">
        <v>33600</v>
      </c>
      <c r="Y1794" s="766">
        <v>33600</v>
      </c>
      <c r="Z1794" s="2426">
        <v>33600</v>
      </c>
      <c r="AA1794" s="2426">
        <v>33600</v>
      </c>
      <c r="AB1794" s="2703">
        <v>33600</v>
      </c>
      <c r="AC1794" s="766"/>
      <c r="AD1794" s="766"/>
      <c r="AE1794" s="766"/>
      <c r="AF1794" s="766"/>
      <c r="AG1794" s="766"/>
      <c r="BB1794" s="647"/>
      <c r="BC1794" s="648"/>
      <c r="BD1794" s="757"/>
      <c r="BE1794" s="659"/>
    </row>
    <row r="1795" spans="1:57" s="64" customFormat="1" ht="15" customHeight="1" outlineLevel="1" x14ac:dyDescent="0.25">
      <c r="A1795" s="1393"/>
      <c r="B1795" s="157"/>
      <c r="C1795" s="385"/>
      <c r="D1795" s="3589"/>
      <c r="E1795" s="3721"/>
      <c r="F1795" s="3773" t="str">
        <f>$E$1632</f>
        <v>ASHP - SEER 21 - replace electric furnace / CAC MF_CompE</v>
      </c>
      <c r="G1795" s="3774"/>
      <c r="H1795" s="3774"/>
      <c r="I1795" s="3775"/>
      <c r="J1795" s="3071" t="str">
        <f>$C$1632</f>
        <v>354851_2019_12_</v>
      </c>
      <c r="K1795" s="2703">
        <f>K1794</f>
        <v>33600</v>
      </c>
      <c r="L1795" s="2724">
        <f t="shared" si="197"/>
        <v>2.8</v>
      </c>
      <c r="M1795" s="2718"/>
      <c r="N1795" s="157"/>
      <c r="O1795" s="277"/>
      <c r="P1795" s="277"/>
      <c r="Q1795" s="277"/>
      <c r="R1795" s="277"/>
      <c r="S1795" s="157"/>
      <c r="T1795" s="157"/>
      <c r="U1795" s="157"/>
      <c r="V1795" s="3589"/>
      <c r="W1795" s="766"/>
      <c r="X1795" s="766"/>
      <c r="Y1795" s="765">
        <v>33600</v>
      </c>
      <c r="Z1795" s="2426">
        <v>33600</v>
      </c>
      <c r="AA1795" s="2426">
        <v>33600</v>
      </c>
      <c r="AB1795" s="2703">
        <v>33600</v>
      </c>
      <c r="AC1795" s="766"/>
      <c r="AD1795" s="766"/>
      <c r="AE1795" s="766"/>
      <c r="AF1795" s="766"/>
      <c r="AG1795" s="766"/>
      <c r="BB1795" s="647"/>
      <c r="BC1795" s="648"/>
      <c r="BD1795" s="757"/>
      <c r="BE1795" s="659"/>
    </row>
    <row r="1796" spans="1:57" s="64" customFormat="1" ht="15" customHeight="1" outlineLevel="1" x14ac:dyDescent="0.25">
      <c r="A1796" s="1393"/>
      <c r="B1796" s="157"/>
      <c r="C1796" s="385"/>
      <c r="D1796" s="3589"/>
      <c r="E1796" s="3721"/>
      <c r="F1796" s="3773" t="str">
        <f>$E$1634</f>
        <v>ASHP SEER 21 replace ASHP - early replacement MF ER1</v>
      </c>
      <c r="G1796" s="3774"/>
      <c r="H1796" s="3774"/>
      <c r="I1796" s="3775"/>
      <c r="J1796" s="3071" t="str">
        <f>$C$1634</f>
        <v>354900_2019_12_</v>
      </c>
      <c r="K1796" s="2703">
        <v>39600</v>
      </c>
      <c r="L1796" s="2724">
        <f t="shared" si="197"/>
        <v>3.3</v>
      </c>
      <c r="M1796" s="2718"/>
      <c r="N1796" s="157"/>
      <c r="O1796" s="277"/>
      <c r="P1796" s="277"/>
      <c r="Q1796" s="277"/>
      <c r="R1796" s="277"/>
      <c r="S1796" s="157"/>
      <c r="T1796" s="157"/>
      <c r="U1796" s="157"/>
      <c r="V1796" s="3589"/>
      <c r="W1796" s="766">
        <v>39600</v>
      </c>
      <c r="X1796" s="766">
        <v>39600</v>
      </c>
      <c r="Y1796" s="766">
        <v>39600</v>
      </c>
      <c r="Z1796" s="2426">
        <v>39600</v>
      </c>
      <c r="AA1796" s="2426">
        <v>39600</v>
      </c>
      <c r="AB1796" s="2703">
        <v>39600</v>
      </c>
      <c r="AC1796" s="766"/>
      <c r="AD1796" s="766"/>
      <c r="AE1796" s="766"/>
      <c r="AF1796" s="766"/>
      <c r="AG1796" s="766"/>
      <c r="BB1796" s="647"/>
      <c r="BC1796" s="648"/>
      <c r="BD1796" s="757"/>
      <c r="BE1796" s="659"/>
    </row>
    <row r="1797" spans="1:57" s="64" customFormat="1" ht="15" customHeight="1" outlineLevel="1" x14ac:dyDescent="0.25">
      <c r="A1797" s="1393"/>
      <c r="B1797" s="157"/>
      <c r="C1797" s="385"/>
      <c r="D1797" s="3589"/>
      <c r="E1797" s="3721"/>
      <c r="F1797" s="3773" t="str">
        <f>$E$1636</f>
        <v>ASHP SEER 21 replace ASHP - early replacement MF ER2</v>
      </c>
      <c r="G1797" s="3774"/>
      <c r="H1797" s="3774"/>
      <c r="I1797" s="3775"/>
      <c r="J1797" s="3071" t="str">
        <f>$C$1636</f>
        <v>354900_2019_12_</v>
      </c>
      <c r="K1797" s="2703">
        <v>39600</v>
      </c>
      <c r="L1797" s="2724">
        <f t="shared" si="197"/>
        <v>3.3</v>
      </c>
      <c r="M1797" s="2718"/>
      <c r="N1797" s="157"/>
      <c r="O1797" s="277"/>
      <c r="P1797" s="277"/>
      <c r="Q1797" s="277"/>
      <c r="R1797" s="277"/>
      <c r="S1797" s="157"/>
      <c r="T1797" s="157"/>
      <c r="U1797" s="157"/>
      <c r="V1797" s="3589"/>
      <c r="W1797" s="766">
        <v>39600</v>
      </c>
      <c r="X1797" s="766">
        <v>39600</v>
      </c>
      <c r="Y1797" s="766">
        <v>39600</v>
      </c>
      <c r="Z1797" s="2426">
        <v>39600</v>
      </c>
      <c r="AA1797" s="2426">
        <v>39600</v>
      </c>
      <c r="AB1797" s="2703">
        <v>39600</v>
      </c>
      <c r="AC1797" s="766"/>
      <c r="AD1797" s="766"/>
      <c r="AE1797" s="766"/>
      <c r="AF1797" s="766"/>
      <c r="AG1797" s="766"/>
      <c r="BB1797" s="647"/>
      <c r="BC1797" s="648"/>
      <c r="BD1797" s="757"/>
      <c r="BE1797" s="659"/>
    </row>
    <row r="1798" spans="1:57" s="64" customFormat="1" ht="15" customHeight="1" outlineLevel="1" x14ac:dyDescent="0.25">
      <c r="A1798" s="1393"/>
      <c r="B1798" s="157"/>
      <c r="C1798" s="385"/>
      <c r="D1798" s="3589"/>
      <c r="E1798" s="3721"/>
      <c r="F1798" s="3773" t="str">
        <f>$E$1638</f>
        <v>ASHP SEER 21 replace ASHP - early replacement MF ER1_CompE</v>
      </c>
      <c r="G1798" s="3774"/>
      <c r="H1798" s="3774"/>
      <c r="I1798" s="3775"/>
      <c r="J1798" s="3071" t="str">
        <f>$C$1638</f>
        <v>354901_2019_12_</v>
      </c>
      <c r="K1798" s="2703">
        <f>K1796</f>
        <v>39600</v>
      </c>
      <c r="L1798" s="2724">
        <f t="shared" si="197"/>
        <v>3.3</v>
      </c>
      <c r="M1798" s="2718"/>
      <c r="N1798" s="157"/>
      <c r="O1798" s="277"/>
      <c r="P1798" s="277"/>
      <c r="Q1798" s="277"/>
      <c r="R1798" s="277"/>
      <c r="S1798" s="157"/>
      <c r="T1798" s="157"/>
      <c r="U1798" s="157"/>
      <c r="V1798" s="3589"/>
      <c r="W1798" s="766"/>
      <c r="X1798" s="766"/>
      <c r="Y1798" s="765">
        <v>39600</v>
      </c>
      <c r="Z1798" s="2426">
        <v>39600</v>
      </c>
      <c r="AA1798" s="2426">
        <v>39600</v>
      </c>
      <c r="AB1798" s="2703">
        <v>39600</v>
      </c>
      <c r="AC1798" s="766"/>
      <c r="AD1798" s="766"/>
      <c r="AE1798" s="766"/>
      <c r="AF1798" s="766"/>
      <c r="AG1798" s="766"/>
      <c r="BB1798" s="647"/>
      <c r="BC1798" s="648"/>
      <c r="BD1798" s="757"/>
      <c r="BE1798" s="659"/>
    </row>
    <row r="1799" spans="1:57" s="64" customFormat="1" ht="15" customHeight="1" outlineLevel="1" x14ac:dyDescent="0.25">
      <c r="A1799" s="1393"/>
      <c r="B1799" s="157"/>
      <c r="C1799" s="385"/>
      <c r="D1799" s="3589"/>
      <c r="E1799" s="3721"/>
      <c r="F1799" s="3773" t="str">
        <f>$E$1640</f>
        <v>ASHP SEER 21 replace ASHP - early replacement MF ER2_CompE</v>
      </c>
      <c r="G1799" s="3774"/>
      <c r="H1799" s="3774"/>
      <c r="I1799" s="3775"/>
      <c r="J1799" s="3071" t="str">
        <f>$C$1640</f>
        <v>354901_2019_12_</v>
      </c>
      <c r="K1799" s="2703">
        <f>K1797</f>
        <v>39600</v>
      </c>
      <c r="L1799" s="2724">
        <f t="shared" si="197"/>
        <v>3.3</v>
      </c>
      <c r="M1799" s="2718"/>
      <c r="N1799" s="157"/>
      <c r="O1799" s="277"/>
      <c r="P1799" s="277"/>
      <c r="Q1799" s="277"/>
      <c r="R1799" s="277"/>
      <c r="S1799" s="157"/>
      <c r="T1799" s="157"/>
      <c r="U1799" s="157"/>
      <c r="V1799" s="3589"/>
      <c r="W1799" s="766"/>
      <c r="X1799" s="766"/>
      <c r="Y1799" s="765">
        <v>39600</v>
      </c>
      <c r="Z1799" s="2426">
        <v>39600</v>
      </c>
      <c r="AA1799" s="2426">
        <v>39600</v>
      </c>
      <c r="AB1799" s="2703">
        <v>39600</v>
      </c>
      <c r="AC1799" s="766"/>
      <c r="AD1799" s="766"/>
      <c r="AE1799" s="766"/>
      <c r="AF1799" s="766"/>
      <c r="AG1799" s="766"/>
      <c r="BB1799" s="647"/>
      <c r="BC1799" s="648"/>
      <c r="BD1799" s="757"/>
      <c r="BE1799" s="659"/>
    </row>
    <row r="1800" spans="1:57" s="64" customFormat="1" ht="15" customHeight="1" outlineLevel="1" x14ac:dyDescent="0.25">
      <c r="A1800" s="1393"/>
      <c r="B1800" s="157"/>
      <c r="C1800" s="385"/>
      <c r="D1800" s="3589"/>
      <c r="E1800" s="3721"/>
      <c r="F1800" s="3773" t="str">
        <f>$E$1642</f>
        <v>ASHP - SEER 17 - replace on fail MF</v>
      </c>
      <c r="G1800" s="3774"/>
      <c r="H1800" s="3774"/>
      <c r="I1800" s="3775"/>
      <c r="J1800" s="3071" t="str">
        <f>$C$1642</f>
        <v>354950_2019_12_</v>
      </c>
      <c r="K1800" s="2703">
        <v>39600</v>
      </c>
      <c r="L1800" s="2724">
        <f t="shared" si="197"/>
        <v>3.3</v>
      </c>
      <c r="M1800" s="2718" t="s">
        <v>1503</v>
      </c>
      <c r="N1800" s="157"/>
      <c r="O1800" s="277"/>
      <c r="P1800" s="277"/>
      <c r="Q1800" s="277"/>
      <c r="R1800" s="277"/>
      <c r="S1800" s="157"/>
      <c r="T1800" s="157"/>
      <c r="U1800" s="157"/>
      <c r="V1800" s="3589"/>
      <c r="W1800" s="766">
        <v>39600</v>
      </c>
      <c r="X1800" s="766">
        <v>39600</v>
      </c>
      <c r="Y1800" s="766">
        <v>39600</v>
      </c>
      <c r="Z1800" s="2426">
        <v>39600</v>
      </c>
      <c r="AA1800" s="2426">
        <v>39600</v>
      </c>
      <c r="AB1800" s="2703">
        <v>39600</v>
      </c>
      <c r="AC1800" s="766"/>
      <c r="AD1800" s="766"/>
      <c r="AE1800" s="766"/>
      <c r="AF1800" s="766"/>
      <c r="AG1800" s="766"/>
      <c r="BB1800" s="647"/>
      <c r="BC1800" s="648"/>
      <c r="BD1800" s="757"/>
      <c r="BE1800" s="659"/>
    </row>
    <row r="1801" spans="1:57" s="64" customFormat="1" ht="15" customHeight="1" outlineLevel="1" x14ac:dyDescent="0.25">
      <c r="A1801" s="1393"/>
      <c r="B1801" s="157"/>
      <c r="C1801" s="385"/>
      <c r="D1801" s="3589"/>
      <c r="E1801" s="3721"/>
      <c r="F1801" s="3773" t="str">
        <f>$E$1644</f>
        <v>ASHP - SEER 17 - replace on fail MF_CompE</v>
      </c>
      <c r="G1801" s="3774"/>
      <c r="H1801" s="3774"/>
      <c r="I1801" s="3775"/>
      <c r="J1801" s="3071" t="str">
        <f>$C$1644</f>
        <v>354951_2019_12_</v>
      </c>
      <c r="K1801" s="2703">
        <f>K1800</f>
        <v>39600</v>
      </c>
      <c r="L1801" s="2724">
        <f t="shared" si="197"/>
        <v>3.3</v>
      </c>
      <c r="M1801" s="2718"/>
      <c r="N1801" s="157"/>
      <c r="O1801" s="277"/>
      <c r="P1801" s="277"/>
      <c r="Q1801" s="277"/>
      <c r="R1801" s="277"/>
      <c r="S1801" s="157"/>
      <c r="T1801" s="157"/>
      <c r="U1801" s="157"/>
      <c r="V1801" s="3589"/>
      <c r="W1801" s="766"/>
      <c r="X1801" s="766"/>
      <c r="Y1801" s="765">
        <v>39600</v>
      </c>
      <c r="Z1801" s="2426">
        <v>39600</v>
      </c>
      <c r="AA1801" s="2426">
        <v>39600</v>
      </c>
      <c r="AB1801" s="2703">
        <v>39600</v>
      </c>
      <c r="AC1801" s="766"/>
      <c r="AD1801" s="766"/>
      <c r="AE1801" s="766"/>
      <c r="AF1801" s="766"/>
      <c r="AG1801" s="766"/>
      <c r="BB1801" s="647"/>
      <c r="BC1801" s="648"/>
      <c r="BD1801" s="757"/>
      <c r="BE1801" s="659"/>
    </row>
    <row r="1802" spans="1:57" s="64" customFormat="1" ht="15" customHeight="1" outlineLevel="1" x14ac:dyDescent="0.25">
      <c r="A1802" s="2463"/>
      <c r="B1802" s="157"/>
      <c r="C1802" s="385"/>
      <c r="D1802" s="3589"/>
      <c r="E1802" s="3721"/>
      <c r="F1802" s="3773" t="str">
        <f>$E$1646</f>
        <v>ASHP - SEER 18 - replace on fail MF</v>
      </c>
      <c r="G1802" s="3774"/>
      <c r="H1802" s="3774"/>
      <c r="I1802" s="3775"/>
      <c r="J1802" s="3071" t="str">
        <f>$C$1646</f>
        <v>355000_2019_12_</v>
      </c>
      <c r="K1802" s="2703">
        <v>39600</v>
      </c>
      <c r="L1802" s="2724">
        <f t="shared" si="197"/>
        <v>3.3</v>
      </c>
      <c r="M1802" s="2718" t="s">
        <v>1503</v>
      </c>
      <c r="N1802" s="157"/>
      <c r="O1802" s="277"/>
      <c r="P1802" s="937"/>
      <c r="Q1802" s="938"/>
      <c r="R1802" s="937"/>
      <c r="S1802" s="924"/>
      <c r="T1802" s="1407"/>
      <c r="U1802" s="157"/>
      <c r="V1802" s="3589"/>
      <c r="W1802" s="766">
        <v>39600</v>
      </c>
      <c r="X1802" s="766">
        <v>39600</v>
      </c>
      <c r="Y1802" s="766">
        <v>39600</v>
      </c>
      <c r="Z1802" s="2426">
        <v>39600</v>
      </c>
      <c r="AA1802" s="2426">
        <v>39600</v>
      </c>
      <c r="AB1802" s="2703">
        <v>39600</v>
      </c>
      <c r="AC1802" s="766"/>
      <c r="AD1802" s="766"/>
      <c r="AE1802" s="766"/>
      <c r="AF1802" s="766"/>
      <c r="AG1802" s="766"/>
      <c r="BB1802" s="647"/>
      <c r="BC1802" s="648"/>
      <c r="BD1802" s="757"/>
      <c r="BE1802" s="659"/>
    </row>
    <row r="1803" spans="1:57" s="64" customFormat="1" ht="15" customHeight="1" outlineLevel="1" x14ac:dyDescent="0.25">
      <c r="A1803" s="2463"/>
      <c r="B1803" s="157"/>
      <c r="C1803" s="385"/>
      <c r="D1803" s="3589"/>
      <c r="E1803" s="3721"/>
      <c r="F1803" s="3773" t="str">
        <f>$E$1648</f>
        <v>ASHP - SEER 18 - replace on fail MF_CompE</v>
      </c>
      <c r="G1803" s="3774"/>
      <c r="H1803" s="3774"/>
      <c r="I1803" s="3775"/>
      <c r="J1803" s="3071" t="str">
        <f>$C$1648</f>
        <v>355001_2019_12_</v>
      </c>
      <c r="K1803" s="2703">
        <f>K1802</f>
        <v>39600</v>
      </c>
      <c r="L1803" s="2724">
        <f t="shared" si="197"/>
        <v>3.3</v>
      </c>
      <c r="M1803" s="2718"/>
      <c r="N1803" s="157"/>
      <c r="O1803" s="277"/>
      <c r="P1803" s="937"/>
      <c r="Q1803" s="938"/>
      <c r="R1803" s="937"/>
      <c r="S1803" s="924"/>
      <c r="T1803" s="1407"/>
      <c r="U1803" s="157"/>
      <c r="V1803" s="3589"/>
      <c r="W1803" s="766"/>
      <c r="X1803" s="766"/>
      <c r="Y1803" s="765">
        <v>39600</v>
      </c>
      <c r="Z1803" s="2426">
        <v>39600</v>
      </c>
      <c r="AA1803" s="2426">
        <v>39600</v>
      </c>
      <c r="AB1803" s="2703">
        <v>39600</v>
      </c>
      <c r="AC1803" s="766"/>
      <c r="AD1803" s="766"/>
      <c r="AE1803" s="766"/>
      <c r="AF1803" s="766"/>
      <c r="AG1803" s="766"/>
      <c r="BB1803" s="647"/>
      <c r="BC1803" s="648"/>
      <c r="BD1803" s="757"/>
      <c r="BE1803" s="659"/>
    </row>
    <row r="1804" spans="1:57" s="64" customFormat="1" ht="15" customHeight="1" outlineLevel="1" x14ac:dyDescent="0.25">
      <c r="A1804" s="2463"/>
      <c r="B1804" s="157"/>
      <c r="C1804" s="385"/>
      <c r="D1804" s="3589"/>
      <c r="E1804" s="3721"/>
      <c r="F1804" s="3773" t="str">
        <f>$E$1650</f>
        <v>ASHP - SEER 19 - replace on fail MF</v>
      </c>
      <c r="G1804" s="3774"/>
      <c r="H1804" s="3774"/>
      <c r="I1804" s="3775"/>
      <c r="J1804" s="3071" t="str">
        <f>$C$1650</f>
        <v>355050_2019_12_</v>
      </c>
      <c r="K1804" s="2703">
        <v>39600</v>
      </c>
      <c r="L1804" s="2724">
        <f t="shared" si="197"/>
        <v>3.3</v>
      </c>
      <c r="M1804" s="2718" t="s">
        <v>1503</v>
      </c>
      <c r="N1804" s="157"/>
      <c r="O1804" s="277"/>
      <c r="P1804" s="937"/>
      <c r="Q1804" s="938"/>
      <c r="R1804" s="937"/>
      <c r="S1804" s="924"/>
      <c r="T1804" s="1407"/>
      <c r="U1804" s="157"/>
      <c r="V1804" s="3589"/>
      <c r="W1804" s="766">
        <v>39600</v>
      </c>
      <c r="X1804" s="766">
        <v>39600</v>
      </c>
      <c r="Y1804" s="766">
        <v>39600</v>
      </c>
      <c r="Z1804" s="2426">
        <v>39600</v>
      </c>
      <c r="AA1804" s="2426">
        <v>39600</v>
      </c>
      <c r="AB1804" s="2703">
        <v>39600</v>
      </c>
      <c r="AC1804" s="766"/>
      <c r="AD1804" s="766"/>
      <c r="AE1804" s="766"/>
      <c r="AF1804" s="766"/>
      <c r="AG1804" s="766"/>
      <c r="BB1804" s="647"/>
      <c r="BC1804" s="648"/>
      <c r="BD1804" s="757"/>
      <c r="BE1804" s="659"/>
    </row>
    <row r="1805" spans="1:57" s="64" customFormat="1" ht="15" customHeight="1" outlineLevel="1" x14ac:dyDescent="0.25">
      <c r="A1805" s="2463"/>
      <c r="B1805" s="157"/>
      <c r="C1805" s="385"/>
      <c r="D1805" s="3589"/>
      <c r="E1805" s="3721"/>
      <c r="F1805" s="3773" t="str">
        <f>$E$1652</f>
        <v>ASHP - SEER 19 - replace on fail MF_CompE</v>
      </c>
      <c r="G1805" s="3774"/>
      <c r="H1805" s="3774"/>
      <c r="I1805" s="3775"/>
      <c r="J1805" s="3071" t="str">
        <f>$C$1652</f>
        <v>355051_2019_12_</v>
      </c>
      <c r="K1805" s="2703">
        <f>K1804</f>
        <v>39600</v>
      </c>
      <c r="L1805" s="2724">
        <f t="shared" si="197"/>
        <v>3.3</v>
      </c>
      <c r="M1805" s="2718"/>
      <c r="N1805" s="157"/>
      <c r="O1805" s="277"/>
      <c r="P1805" s="937"/>
      <c r="Q1805" s="938"/>
      <c r="R1805" s="937"/>
      <c r="S1805" s="924"/>
      <c r="T1805" s="1407"/>
      <c r="U1805" s="157"/>
      <c r="V1805" s="3589"/>
      <c r="W1805" s="766"/>
      <c r="X1805" s="766"/>
      <c r="Y1805" s="765">
        <v>39600</v>
      </c>
      <c r="Z1805" s="2426">
        <v>39600</v>
      </c>
      <c r="AA1805" s="2426">
        <v>39600</v>
      </c>
      <c r="AB1805" s="2703">
        <v>39600</v>
      </c>
      <c r="AC1805" s="766"/>
      <c r="AD1805" s="766"/>
      <c r="AE1805" s="766"/>
      <c r="AF1805" s="766"/>
      <c r="AG1805" s="766"/>
      <c r="BB1805" s="647"/>
      <c r="BC1805" s="648"/>
      <c r="BD1805" s="757"/>
      <c r="BE1805" s="659"/>
    </row>
    <row r="1806" spans="1:57" s="64" customFormat="1" ht="15" customHeight="1" outlineLevel="1" x14ac:dyDescent="0.25">
      <c r="A1806" s="1393"/>
      <c r="B1806" s="157"/>
      <c r="C1806" s="385"/>
      <c r="D1806" s="3589"/>
      <c r="E1806" s="3721"/>
      <c r="F1806" s="3773" t="str">
        <f>$E$1654</f>
        <v>ASHP - SEER 20 - replace on fail MF</v>
      </c>
      <c r="G1806" s="3774"/>
      <c r="H1806" s="3774"/>
      <c r="I1806" s="3775"/>
      <c r="J1806" s="3071" t="str">
        <f>$C$1654</f>
        <v>355100_2019_12_</v>
      </c>
      <c r="K1806" s="2703">
        <v>39600</v>
      </c>
      <c r="L1806" s="2724">
        <f t="shared" si="197"/>
        <v>3.3</v>
      </c>
      <c r="M1806" s="2718" t="s">
        <v>1503</v>
      </c>
      <c r="N1806" s="157"/>
      <c r="O1806" s="277"/>
      <c r="P1806" s="277"/>
      <c r="Q1806" s="277"/>
      <c r="R1806" s="277"/>
      <c r="S1806" s="157"/>
      <c r="T1806" s="157"/>
      <c r="U1806" s="157"/>
      <c r="V1806" s="3589"/>
      <c r="W1806" s="766">
        <v>39600</v>
      </c>
      <c r="X1806" s="766">
        <v>39600</v>
      </c>
      <c r="Y1806" s="766">
        <v>39600</v>
      </c>
      <c r="Z1806" s="2426">
        <v>39600</v>
      </c>
      <c r="AA1806" s="2426">
        <v>39600</v>
      </c>
      <c r="AB1806" s="2703">
        <v>39600</v>
      </c>
      <c r="AC1806" s="766"/>
      <c r="AD1806" s="766"/>
      <c r="AE1806" s="766"/>
      <c r="AF1806" s="766"/>
      <c r="AG1806" s="766"/>
      <c r="BB1806" s="647"/>
      <c r="BC1806" s="648"/>
      <c r="BD1806" s="757"/>
      <c r="BE1806" s="659"/>
    </row>
    <row r="1807" spans="1:57" s="64" customFormat="1" ht="15" customHeight="1" outlineLevel="1" x14ac:dyDescent="0.25">
      <c r="A1807" s="1393"/>
      <c r="B1807" s="157"/>
      <c r="C1807" s="385"/>
      <c r="D1807" s="3589"/>
      <c r="E1807" s="3721"/>
      <c r="F1807" s="3773" t="str">
        <f>$E$1656</f>
        <v>ASHP - SEER 20 - replace on fail MF_CompE</v>
      </c>
      <c r="G1807" s="3774"/>
      <c r="H1807" s="3774"/>
      <c r="I1807" s="3775"/>
      <c r="J1807" s="3071" t="str">
        <f>$C$1656</f>
        <v>355101_2019_12_</v>
      </c>
      <c r="K1807" s="2703">
        <f>K1806</f>
        <v>39600</v>
      </c>
      <c r="L1807" s="2724">
        <f t="shared" si="197"/>
        <v>3.3</v>
      </c>
      <c r="M1807" s="2719"/>
      <c r="N1807" s="157"/>
      <c r="O1807" s="277"/>
      <c r="P1807" s="277"/>
      <c r="Q1807" s="277"/>
      <c r="R1807" s="277"/>
      <c r="S1807" s="157"/>
      <c r="T1807" s="157"/>
      <c r="U1807" s="157"/>
      <c r="V1807" s="3589"/>
      <c r="W1807" s="778"/>
      <c r="X1807" s="778"/>
      <c r="Y1807" s="765">
        <v>39600</v>
      </c>
      <c r="Z1807" s="2426">
        <v>39600</v>
      </c>
      <c r="AA1807" s="2426">
        <v>39600</v>
      </c>
      <c r="AB1807" s="2703">
        <v>39600</v>
      </c>
      <c r="AC1807" s="778"/>
      <c r="AD1807" s="778"/>
      <c r="AE1807" s="778"/>
      <c r="AF1807" s="778"/>
      <c r="AG1807" s="778"/>
      <c r="BB1807" s="647"/>
      <c r="BC1807" s="648"/>
      <c r="BD1807" s="757"/>
      <c r="BE1807" s="659"/>
    </row>
    <row r="1808" spans="1:57" s="64" customFormat="1" ht="15.75" customHeight="1" outlineLevel="1" x14ac:dyDescent="0.25">
      <c r="A1808" s="1393"/>
      <c r="B1808" s="157"/>
      <c r="C1808" s="385"/>
      <c r="D1808" s="3589"/>
      <c r="E1808" s="3721"/>
      <c r="F1808" s="3773" t="str">
        <f>$E$1658</f>
        <v>ASHP - SEER 21 - replace on fail MF</v>
      </c>
      <c r="G1808" s="3774"/>
      <c r="H1808" s="3774"/>
      <c r="I1808" s="3775"/>
      <c r="J1808" s="3071" t="str">
        <f>$C$1658</f>
        <v>355150_2019_12_</v>
      </c>
      <c r="K1808" s="2703">
        <v>39600</v>
      </c>
      <c r="L1808" s="2724">
        <f t="shared" si="197"/>
        <v>3.3</v>
      </c>
      <c r="M1808" s="2718" t="s">
        <v>1503</v>
      </c>
      <c r="N1808" s="157"/>
      <c r="O1808" s="277"/>
      <c r="P1808" s="277"/>
      <c r="Q1808" s="277"/>
      <c r="R1808" s="277"/>
      <c r="S1808" s="157"/>
      <c r="T1808" s="157"/>
      <c r="U1808" s="157"/>
      <c r="V1808" s="3589"/>
      <c r="W1808" s="766">
        <v>39600</v>
      </c>
      <c r="X1808" s="766">
        <v>39600</v>
      </c>
      <c r="Y1808" s="766">
        <v>39600</v>
      </c>
      <c r="Z1808" s="2426">
        <v>39600</v>
      </c>
      <c r="AA1808" s="2426">
        <v>39600</v>
      </c>
      <c r="AB1808" s="2703">
        <v>39600</v>
      </c>
      <c r="AC1808" s="766"/>
      <c r="AD1808" s="766"/>
      <c r="AE1808" s="766"/>
      <c r="AF1808" s="766"/>
      <c r="AG1808" s="766"/>
      <c r="BB1808" s="647"/>
      <c r="BC1808" s="648"/>
      <c r="BD1808" s="757"/>
      <c r="BE1808" s="659"/>
    </row>
    <row r="1809" spans="1:57" s="64" customFormat="1" ht="15.75" customHeight="1" outlineLevel="1" thickBot="1" x14ac:dyDescent="0.3">
      <c r="A1809" s="1393"/>
      <c r="B1809" s="157"/>
      <c r="C1809" s="385"/>
      <c r="D1809" s="3591"/>
      <c r="E1809" s="3722"/>
      <c r="F1809" s="1807" t="str">
        <f>$E$1660</f>
        <v>ASHP - SEER 21 - replace on fail MF_CompE</v>
      </c>
      <c r="G1809" s="940"/>
      <c r="H1809" s="940"/>
      <c r="I1809" s="941"/>
      <c r="J1809" s="1807" t="str">
        <f>$C$1660</f>
        <v>355151_2019_12_</v>
      </c>
      <c r="K1809" s="2703">
        <f>K1808</f>
        <v>39600</v>
      </c>
      <c r="L1809" s="2724">
        <f t="shared" si="197"/>
        <v>3.3</v>
      </c>
      <c r="M1809" s="2720"/>
      <c r="N1809" s="157"/>
      <c r="O1809" s="277"/>
      <c r="P1809" s="277"/>
      <c r="Q1809" s="277"/>
      <c r="R1809" s="277"/>
      <c r="S1809" s="157"/>
      <c r="T1809" s="157"/>
      <c r="U1809" s="157"/>
      <c r="V1809" s="3591"/>
      <c r="W1809" s="780"/>
      <c r="X1809" s="780"/>
      <c r="Y1809" s="786">
        <v>39600</v>
      </c>
      <c r="Z1809" s="781">
        <v>39600</v>
      </c>
      <c r="AA1809" s="781">
        <v>39600</v>
      </c>
      <c r="AB1809" s="2703">
        <v>39600</v>
      </c>
      <c r="AC1809" s="780"/>
      <c r="AD1809" s="780"/>
      <c r="AE1809" s="780"/>
      <c r="AF1809" s="780"/>
      <c r="AG1809" s="780"/>
      <c r="BB1809" s="647"/>
      <c r="BC1809" s="648"/>
      <c r="BD1809" s="757"/>
      <c r="BE1809" s="659"/>
    </row>
    <row r="1810" spans="1:57" s="64" customFormat="1" ht="15" customHeight="1" outlineLevel="1" thickBot="1" x14ac:dyDescent="0.3">
      <c r="A1810" s="1393"/>
      <c r="B1810" s="157"/>
      <c r="C1810" s="385"/>
      <c r="D1810" s="3588" t="s">
        <v>1287</v>
      </c>
      <c r="E1810" s="3720" t="s">
        <v>1288</v>
      </c>
      <c r="F1810" s="3771" t="str">
        <f>$E$1406</f>
        <v>ASHP - SEER 15 ER Elec Resist Furnace: HVAC ER1</v>
      </c>
      <c r="G1810" s="3771"/>
      <c r="H1810" s="3771"/>
      <c r="I1810" s="3771"/>
      <c r="J1810" s="3070" t="str">
        <f>$C$1406</f>
        <v>352300_2019_12_</v>
      </c>
      <c r="K1810" s="3065">
        <v>1496</v>
      </c>
      <c r="L1810" s="833"/>
      <c r="M1810" s="943" t="s">
        <v>1504</v>
      </c>
      <c r="N1810" s="157"/>
      <c r="O1810" s="277"/>
      <c r="P1810" s="277"/>
      <c r="Q1810" s="277"/>
      <c r="R1810" s="277"/>
      <c r="S1810" s="157"/>
      <c r="T1810" s="157"/>
      <c r="U1810" s="157"/>
      <c r="V1810" s="3588" t="s">
        <v>1287</v>
      </c>
      <c r="W1810" s="760">
        <v>2009</v>
      </c>
      <c r="X1810" s="759">
        <v>1496</v>
      </c>
      <c r="Y1810" s="760">
        <v>1496</v>
      </c>
      <c r="Z1810" s="2428">
        <v>1496</v>
      </c>
      <c r="AA1810" s="2428">
        <v>1496</v>
      </c>
      <c r="AB1810" s="2428">
        <v>1496</v>
      </c>
      <c r="AC1810" s="760"/>
      <c r="AD1810" s="760"/>
      <c r="AE1810" s="760"/>
      <c r="AF1810" s="760"/>
      <c r="AG1810" s="760"/>
      <c r="BB1810" s="647"/>
      <c r="BC1810" s="648"/>
      <c r="BD1810" s="757"/>
      <c r="BE1810" s="659"/>
    </row>
    <row r="1811" spans="1:57" s="64" customFormat="1" ht="15" customHeight="1" outlineLevel="1" x14ac:dyDescent="0.25">
      <c r="A1811" s="1393"/>
      <c r="B1811" s="157"/>
      <c r="C1811" s="385"/>
      <c r="D1811" s="3589"/>
      <c r="E1811" s="3721"/>
      <c r="F1811" s="3773" t="str">
        <f>$E$1408</f>
        <v>ASHP - SEER 15 ER Elec Resist Furnace: HVAC ER2</v>
      </c>
      <c r="G1811" s="3774"/>
      <c r="H1811" s="3774"/>
      <c r="I1811" s="3775"/>
      <c r="J1811" s="3071" t="str">
        <f>$C$1408</f>
        <v>352300_2019_12_</v>
      </c>
      <c r="K1811" s="3056">
        <v>1496</v>
      </c>
      <c r="L1811" s="944"/>
      <c r="M1811" s="1808"/>
      <c r="N1811" s="157"/>
      <c r="O1811" s="277"/>
      <c r="P1811" s="277"/>
      <c r="Q1811" s="277"/>
      <c r="R1811" s="277"/>
      <c r="S1811" s="157"/>
      <c r="T1811" s="157"/>
      <c r="U1811" s="157"/>
      <c r="V1811" s="3589"/>
      <c r="W1811" s="766">
        <v>2009</v>
      </c>
      <c r="X1811" s="759">
        <v>1496</v>
      </c>
      <c r="Y1811" s="766">
        <v>1496</v>
      </c>
      <c r="Z1811" s="2426">
        <v>1496</v>
      </c>
      <c r="AA1811" s="2426">
        <v>1496</v>
      </c>
      <c r="AB1811" s="2426">
        <v>1496</v>
      </c>
      <c r="AC1811" s="766"/>
      <c r="AD1811" s="766"/>
      <c r="AE1811" s="766"/>
      <c r="AF1811" s="766"/>
      <c r="AG1811" s="766"/>
      <c r="BB1811" s="647"/>
      <c r="BC1811" s="648"/>
      <c r="BD1811" s="757"/>
      <c r="BE1811" s="659"/>
    </row>
    <row r="1812" spans="1:57" s="64" customFormat="1" ht="15" customHeight="1" outlineLevel="1" x14ac:dyDescent="0.25">
      <c r="A1812" s="1393"/>
      <c r="B1812" s="157"/>
      <c r="C1812" s="385"/>
      <c r="D1812" s="3589"/>
      <c r="E1812" s="3721"/>
      <c r="F1812" s="3773" t="str">
        <f>$E$1410</f>
        <v>ASHP - SEER 15 ER with ASHP: HVAC ER1</v>
      </c>
      <c r="G1812" s="3774"/>
      <c r="H1812" s="3774"/>
      <c r="I1812" s="3775"/>
      <c r="J1812" s="3071" t="str">
        <f>$C$1410</f>
        <v>352350_2019_12_</v>
      </c>
      <c r="K1812" s="3056">
        <v>1496</v>
      </c>
      <c r="L1812" s="944"/>
      <c r="M1812" s="1808"/>
      <c r="N1812" s="157"/>
      <c r="O1812" s="277"/>
      <c r="P1812" s="277"/>
      <c r="Q1812" s="277"/>
      <c r="R1812" s="277"/>
      <c r="S1812" s="157"/>
      <c r="T1812" s="157"/>
      <c r="U1812" s="157"/>
      <c r="V1812" s="3589"/>
      <c r="W1812" s="766">
        <v>2009</v>
      </c>
      <c r="X1812" s="765">
        <v>1496</v>
      </c>
      <c r="Y1812" s="766">
        <v>1496</v>
      </c>
      <c r="Z1812" s="2426">
        <v>1496</v>
      </c>
      <c r="AA1812" s="2426">
        <v>1496</v>
      </c>
      <c r="AB1812" s="2426">
        <v>1496</v>
      </c>
      <c r="AC1812" s="766"/>
      <c r="AD1812" s="766"/>
      <c r="AE1812" s="766"/>
      <c r="AF1812" s="766"/>
      <c r="AG1812" s="766"/>
      <c r="BB1812" s="647"/>
      <c r="BC1812" s="648"/>
      <c r="BD1812" s="757"/>
      <c r="BE1812" s="659"/>
    </row>
    <row r="1813" spans="1:57" s="64" customFormat="1" ht="15" customHeight="1" outlineLevel="1" x14ac:dyDescent="0.25">
      <c r="A1813" s="2463"/>
      <c r="B1813" s="157"/>
      <c r="C1813" s="385"/>
      <c r="D1813" s="3589"/>
      <c r="E1813" s="3721"/>
      <c r="F1813" s="3773" t="str">
        <f>$E$1412</f>
        <v>ASHP - SEER 15 ER with ASHP: HVAC ER2</v>
      </c>
      <c r="G1813" s="3774"/>
      <c r="H1813" s="3774"/>
      <c r="I1813" s="3775"/>
      <c r="J1813" s="3071" t="str">
        <f>$C$1412</f>
        <v>352350_2019_12_</v>
      </c>
      <c r="K1813" s="3056">
        <v>1496</v>
      </c>
      <c r="L1813" s="944"/>
      <c r="M1813" s="1808"/>
      <c r="N1813" s="157"/>
      <c r="O1813" s="277"/>
      <c r="P1813" s="937"/>
      <c r="Q1813" s="937"/>
      <c r="R1813" s="937"/>
      <c r="S1813" s="924"/>
      <c r="T1813" s="1407"/>
      <c r="U1813" s="157"/>
      <c r="V1813" s="3589"/>
      <c r="W1813" s="766">
        <v>2009</v>
      </c>
      <c r="X1813" s="765">
        <v>1496</v>
      </c>
      <c r="Y1813" s="766">
        <v>1496</v>
      </c>
      <c r="Z1813" s="2426">
        <v>1496</v>
      </c>
      <c r="AA1813" s="2426">
        <v>1496</v>
      </c>
      <c r="AB1813" s="2426">
        <v>1496</v>
      </c>
      <c r="AC1813" s="766"/>
      <c r="AD1813" s="766"/>
      <c r="AE1813" s="766"/>
      <c r="AF1813" s="766"/>
      <c r="AG1813" s="766"/>
      <c r="BB1813" s="647"/>
      <c r="BC1813" s="648"/>
      <c r="BD1813" s="757"/>
      <c r="BE1813" s="659"/>
    </row>
    <row r="1814" spans="1:57" s="64" customFormat="1" ht="15" customHeight="1" outlineLevel="1" x14ac:dyDescent="0.25">
      <c r="A1814" s="2463"/>
      <c r="B1814" s="157"/>
      <c r="C1814" s="385"/>
      <c r="D1814" s="3589"/>
      <c r="E1814" s="3721"/>
      <c r="F1814" s="3773" t="str">
        <f>$E$1414</f>
        <v>ASHP-  SEER 15 Replace at Fail Elec Resist Furnace: HVAC</v>
      </c>
      <c r="G1814" s="3774"/>
      <c r="H1814" s="3774"/>
      <c r="I1814" s="3775"/>
      <c r="J1814" s="3071" t="str">
        <f>$C$1414</f>
        <v>352400_2019_12_</v>
      </c>
      <c r="K1814" s="3056">
        <v>1496</v>
      </c>
      <c r="L1814" s="944"/>
      <c r="M1814" s="1808"/>
      <c r="N1814" s="157"/>
      <c r="O1814" s="277"/>
      <c r="P1814" s="937"/>
      <c r="Q1814" s="937"/>
      <c r="R1814" s="937"/>
      <c r="S1814" s="924"/>
      <c r="T1814" s="1407"/>
      <c r="U1814" s="157"/>
      <c r="V1814" s="3589"/>
      <c r="W1814" s="766">
        <v>2009</v>
      </c>
      <c r="X1814" s="765">
        <v>1496</v>
      </c>
      <c r="Y1814" s="766">
        <v>1496</v>
      </c>
      <c r="Z1814" s="2426">
        <v>1496</v>
      </c>
      <c r="AA1814" s="2426">
        <v>1496</v>
      </c>
      <c r="AB1814" s="2426">
        <v>1496</v>
      </c>
      <c r="AC1814" s="766"/>
      <c r="AD1814" s="766"/>
      <c r="AE1814" s="766"/>
      <c r="AF1814" s="766"/>
      <c r="AG1814" s="766"/>
      <c r="BB1814" s="647"/>
      <c r="BC1814" s="648"/>
      <c r="BD1814" s="757"/>
      <c r="BE1814" s="659"/>
    </row>
    <row r="1815" spans="1:57" s="64" customFormat="1" ht="15" customHeight="1" outlineLevel="1" x14ac:dyDescent="0.25">
      <c r="A1815" s="2463"/>
      <c r="B1815" s="157"/>
      <c r="C1815" s="385"/>
      <c r="D1815" s="3589"/>
      <c r="E1815" s="3721"/>
      <c r="F1815" s="3773" t="str">
        <f>$E$1416</f>
        <v>ASHP - SEER 15 Replace at Fail with ASHP: HVAC</v>
      </c>
      <c r="G1815" s="3774"/>
      <c r="H1815" s="3774"/>
      <c r="I1815" s="3775"/>
      <c r="J1815" s="3071" t="str">
        <f>$C$1416</f>
        <v>352450_2019_12_</v>
      </c>
      <c r="K1815" s="3056">
        <v>1496</v>
      </c>
      <c r="L1815" s="944"/>
      <c r="M1815" s="1808"/>
      <c r="N1815" s="157"/>
      <c r="O1815" s="277"/>
      <c r="P1815" s="937"/>
      <c r="Q1815" s="937"/>
      <c r="R1815" s="937"/>
      <c r="S1815" s="924"/>
      <c r="T1815" s="1407"/>
      <c r="U1815" s="157"/>
      <c r="V1815" s="3589"/>
      <c r="W1815" s="766">
        <v>2009</v>
      </c>
      <c r="X1815" s="765">
        <v>1496</v>
      </c>
      <c r="Y1815" s="766">
        <v>1496</v>
      </c>
      <c r="Z1815" s="2426">
        <v>1496</v>
      </c>
      <c r="AA1815" s="2426">
        <v>1496</v>
      </c>
      <c r="AB1815" s="2426">
        <v>1496</v>
      </c>
      <c r="AC1815" s="766"/>
      <c r="AD1815" s="766"/>
      <c r="AE1815" s="766"/>
      <c r="AF1815" s="766"/>
      <c r="AG1815" s="766"/>
      <c r="BB1815" s="647"/>
      <c r="BC1815" s="648"/>
      <c r="BD1815" s="757"/>
      <c r="BE1815" s="659"/>
    </row>
    <row r="1816" spans="1:57" s="64" customFormat="1" ht="15" customHeight="1" outlineLevel="1" x14ac:dyDescent="0.25">
      <c r="A1816" s="2463"/>
      <c r="B1816" s="157"/>
      <c r="C1816" s="385"/>
      <c r="D1816" s="3589"/>
      <c r="E1816" s="3721"/>
      <c r="F1816" s="3773" t="str">
        <f>$E$1418</f>
        <v>ASHP - SEER 16 - replace electric furnace / CAC - early replacement SF ER1</v>
      </c>
      <c r="G1816" s="3774"/>
      <c r="H1816" s="3774"/>
      <c r="I1816" s="3775"/>
      <c r="J1816" s="3071" t="str">
        <f>$C$1418</f>
        <v>352500_2019_12_</v>
      </c>
      <c r="K1816" s="3056">
        <v>1496</v>
      </c>
      <c r="L1816" s="944"/>
      <c r="M1816" s="1808"/>
      <c r="N1816" s="157"/>
      <c r="O1816" s="277"/>
      <c r="P1816" s="937"/>
      <c r="Q1816" s="937"/>
      <c r="R1816" s="937"/>
      <c r="S1816" s="924"/>
      <c r="T1816" s="1407"/>
      <c r="U1816" s="157"/>
      <c r="V1816" s="3589"/>
      <c r="W1816" s="766">
        <v>2009</v>
      </c>
      <c r="X1816" s="765">
        <v>1496</v>
      </c>
      <c r="Y1816" s="766">
        <v>1496</v>
      </c>
      <c r="Z1816" s="2426">
        <v>1496</v>
      </c>
      <c r="AA1816" s="2426">
        <v>1496</v>
      </c>
      <c r="AB1816" s="2426">
        <v>1496</v>
      </c>
      <c r="AC1816" s="766"/>
      <c r="AD1816" s="766"/>
      <c r="AE1816" s="766"/>
      <c r="AF1816" s="766"/>
      <c r="AG1816" s="766"/>
      <c r="BB1816" s="647"/>
      <c r="BC1816" s="648"/>
      <c r="BD1816" s="757"/>
      <c r="BE1816" s="659"/>
    </row>
    <row r="1817" spans="1:57" s="64" customFormat="1" ht="15" customHeight="1" outlineLevel="1" x14ac:dyDescent="0.25">
      <c r="A1817" s="1393"/>
      <c r="B1817" s="157"/>
      <c r="C1817" s="385"/>
      <c r="D1817" s="3589"/>
      <c r="E1817" s="3721"/>
      <c r="F1817" s="3773" t="str">
        <f>$E$1420</f>
        <v>ASHP - SEER 16 - replace electric furnace / CAC - early replacement SF ER2</v>
      </c>
      <c r="G1817" s="3774"/>
      <c r="H1817" s="3774"/>
      <c r="I1817" s="3775"/>
      <c r="J1817" s="3071" t="str">
        <f>$C$1420</f>
        <v>352500_2019_12_</v>
      </c>
      <c r="K1817" s="3056">
        <v>1496</v>
      </c>
      <c r="L1817" s="944"/>
      <c r="M1817" s="1808"/>
      <c r="N1817" s="157"/>
      <c r="O1817" s="277"/>
      <c r="P1817" s="277"/>
      <c r="Q1817" s="277"/>
      <c r="R1817" s="277"/>
      <c r="S1817" s="157"/>
      <c r="T1817" s="157"/>
      <c r="U1817" s="157"/>
      <c r="V1817" s="3589"/>
      <c r="W1817" s="766">
        <v>2009</v>
      </c>
      <c r="X1817" s="765">
        <v>1496</v>
      </c>
      <c r="Y1817" s="766">
        <v>1496</v>
      </c>
      <c r="Z1817" s="2426">
        <v>1496</v>
      </c>
      <c r="AA1817" s="2426">
        <v>1496</v>
      </c>
      <c r="AB1817" s="2426">
        <v>1496</v>
      </c>
      <c r="AC1817" s="766"/>
      <c r="AD1817" s="766"/>
      <c r="AE1817" s="766"/>
      <c r="AF1817" s="766"/>
      <c r="AG1817" s="766"/>
      <c r="BB1817" s="647"/>
      <c r="BC1817" s="648"/>
      <c r="BD1817" s="757"/>
      <c r="BE1817" s="659"/>
    </row>
    <row r="1818" spans="1:57" s="64" customFormat="1" ht="15" customHeight="1" outlineLevel="1" x14ac:dyDescent="0.25">
      <c r="A1818" s="1393"/>
      <c r="B1818" s="157"/>
      <c r="C1818" s="385"/>
      <c r="D1818" s="3589"/>
      <c r="E1818" s="3721"/>
      <c r="F1818" s="3773" t="str">
        <f>$E$1422</f>
        <v>ASHP SEER 16 replace ASHP - early replacement SF ER1</v>
      </c>
      <c r="G1818" s="3774"/>
      <c r="H1818" s="3774"/>
      <c r="I1818" s="3775"/>
      <c r="J1818" s="3071" t="str">
        <f>$C$1422</f>
        <v>352550_2019_12_</v>
      </c>
      <c r="K1818" s="3056">
        <v>1496</v>
      </c>
      <c r="L1818" s="944"/>
      <c r="M1818" s="1808"/>
      <c r="N1818" s="157"/>
      <c r="O1818" s="277"/>
      <c r="P1818" s="277"/>
      <c r="Q1818" s="277"/>
      <c r="R1818" s="277"/>
      <c r="S1818" s="157"/>
      <c r="T1818" s="157"/>
      <c r="U1818" s="157"/>
      <c r="V1818" s="3589"/>
      <c r="W1818" s="766">
        <v>2009</v>
      </c>
      <c r="X1818" s="765">
        <v>1496</v>
      </c>
      <c r="Y1818" s="766">
        <v>1496</v>
      </c>
      <c r="Z1818" s="2426">
        <v>1496</v>
      </c>
      <c r="AA1818" s="2426">
        <v>1496</v>
      </c>
      <c r="AB1818" s="2426">
        <v>1496</v>
      </c>
      <c r="AC1818" s="766"/>
      <c r="AD1818" s="766"/>
      <c r="AE1818" s="766"/>
      <c r="AF1818" s="766"/>
      <c r="AG1818" s="766"/>
      <c r="BB1818" s="647"/>
      <c r="BC1818" s="648"/>
      <c r="BD1818" s="757"/>
      <c r="BE1818" s="659"/>
    </row>
    <row r="1819" spans="1:57" s="64" customFormat="1" ht="15" customHeight="1" outlineLevel="1" x14ac:dyDescent="0.25">
      <c r="A1819" s="1393"/>
      <c r="B1819" s="157"/>
      <c r="C1819" s="385"/>
      <c r="D1819" s="3589"/>
      <c r="E1819" s="3721"/>
      <c r="F1819" s="3773" t="str">
        <f>$E$1424</f>
        <v>ASHP SEER 16 replace ASHP - early replacement SF ER2</v>
      </c>
      <c r="G1819" s="3774"/>
      <c r="H1819" s="3774"/>
      <c r="I1819" s="3775"/>
      <c r="J1819" s="3071" t="str">
        <f>$C$1424</f>
        <v>352550_2019_12_</v>
      </c>
      <c r="K1819" s="3056">
        <v>1496</v>
      </c>
      <c r="L1819" s="945"/>
      <c r="M1819" s="1808"/>
      <c r="N1819" s="157"/>
      <c r="O1819" s="277"/>
      <c r="P1819" s="277"/>
      <c r="Q1819" s="277"/>
      <c r="R1819" s="277"/>
      <c r="S1819" s="157"/>
      <c r="T1819" s="157"/>
      <c r="U1819" s="157"/>
      <c r="V1819" s="3589"/>
      <c r="W1819" s="766">
        <v>2009</v>
      </c>
      <c r="X1819" s="765">
        <v>1496</v>
      </c>
      <c r="Y1819" s="766">
        <v>1496</v>
      </c>
      <c r="Z1819" s="2426">
        <v>1496</v>
      </c>
      <c r="AA1819" s="2426">
        <v>1496</v>
      </c>
      <c r="AB1819" s="2426">
        <v>1496</v>
      </c>
      <c r="AC1819" s="766"/>
      <c r="AD1819" s="766"/>
      <c r="AE1819" s="766"/>
      <c r="AF1819" s="766"/>
      <c r="AG1819" s="766"/>
      <c r="BB1819" s="647"/>
      <c r="BC1819" s="648"/>
      <c r="BD1819" s="757"/>
      <c r="BE1819" s="659"/>
    </row>
    <row r="1820" spans="1:57" s="64" customFormat="1" ht="15" customHeight="1" outlineLevel="1" x14ac:dyDescent="0.25">
      <c r="A1820" s="1393"/>
      <c r="B1820" s="157"/>
      <c r="C1820" s="385"/>
      <c r="D1820" s="3589"/>
      <c r="E1820" s="3721"/>
      <c r="F1820" s="3773" t="str">
        <f>$E$1426</f>
        <v>ASHP - SEER 16 - replace electric furnace / CAC SF</v>
      </c>
      <c r="G1820" s="3774"/>
      <c r="H1820" s="3774"/>
      <c r="I1820" s="3775"/>
      <c r="J1820" s="3071" t="str">
        <f>$C$1426</f>
        <v>352600_2019_12_</v>
      </c>
      <c r="K1820" s="3056">
        <v>1496</v>
      </c>
      <c r="L1820" s="945"/>
      <c r="M1820" s="1808"/>
      <c r="N1820" s="157"/>
      <c r="O1820" s="277"/>
      <c r="P1820" s="277"/>
      <c r="Q1820" s="277"/>
      <c r="R1820" s="277"/>
      <c r="S1820" s="157"/>
      <c r="T1820" s="157"/>
      <c r="U1820" s="157"/>
      <c r="V1820" s="3589"/>
      <c r="W1820" s="766">
        <v>2009</v>
      </c>
      <c r="X1820" s="765">
        <v>1496</v>
      </c>
      <c r="Y1820" s="766">
        <v>1496</v>
      </c>
      <c r="Z1820" s="2426">
        <v>1496</v>
      </c>
      <c r="AA1820" s="2426">
        <v>1496</v>
      </c>
      <c r="AB1820" s="2426">
        <v>1496</v>
      </c>
      <c r="AC1820" s="766"/>
      <c r="AD1820" s="766"/>
      <c r="AE1820" s="766"/>
      <c r="AF1820" s="766"/>
      <c r="AG1820" s="766"/>
      <c r="BB1820" s="647"/>
      <c r="BC1820" s="648"/>
      <c r="BD1820" s="757"/>
      <c r="BE1820" s="659"/>
    </row>
    <row r="1821" spans="1:57" s="64" customFormat="1" ht="15" customHeight="1" outlineLevel="1" x14ac:dyDescent="0.25">
      <c r="A1821" s="1393"/>
      <c r="B1821" s="157"/>
      <c r="C1821" s="385"/>
      <c r="D1821" s="3589"/>
      <c r="E1821" s="3721"/>
      <c r="F1821" s="3773" t="str">
        <f>$E$1428</f>
        <v>ASHP SEER 16 replace ASHP - replace on fail SF</v>
      </c>
      <c r="G1821" s="3774"/>
      <c r="H1821" s="3774"/>
      <c r="I1821" s="3775"/>
      <c r="J1821" s="3071" t="str">
        <f>$C$1428</f>
        <v>352650_2019_12_</v>
      </c>
      <c r="K1821" s="3056">
        <v>1496</v>
      </c>
      <c r="L1821" s="945"/>
      <c r="M1821" s="1808"/>
      <c r="N1821" s="157"/>
      <c r="O1821" s="277"/>
      <c r="P1821" s="277"/>
      <c r="Q1821" s="277"/>
      <c r="R1821" s="277"/>
      <c r="S1821" s="157"/>
      <c r="T1821" s="157"/>
      <c r="U1821" s="157"/>
      <c r="V1821" s="3589"/>
      <c r="W1821" s="766">
        <v>2009</v>
      </c>
      <c r="X1821" s="765">
        <v>1496</v>
      </c>
      <c r="Y1821" s="766">
        <v>1496</v>
      </c>
      <c r="Z1821" s="2426">
        <v>1496</v>
      </c>
      <c r="AA1821" s="2426">
        <v>1496</v>
      </c>
      <c r="AB1821" s="2426">
        <v>1496</v>
      </c>
      <c r="AC1821" s="766"/>
      <c r="AD1821" s="766"/>
      <c r="AE1821" s="766"/>
      <c r="AF1821" s="766"/>
      <c r="AG1821" s="766"/>
      <c r="BB1821" s="647"/>
      <c r="BC1821" s="648"/>
      <c r="BD1821" s="757"/>
      <c r="BE1821" s="659"/>
    </row>
    <row r="1822" spans="1:57" s="64" customFormat="1" ht="15" customHeight="1" outlineLevel="1" x14ac:dyDescent="0.25">
      <c r="A1822" s="1393"/>
      <c r="B1822" s="157"/>
      <c r="C1822" s="385"/>
      <c r="D1822" s="3589"/>
      <c r="E1822" s="3721"/>
      <c r="F1822" s="3773" t="str">
        <f>$E$1430</f>
        <v>ASHP SEER 15 MF ER replace ASHP: HVAC ER1</v>
      </c>
      <c r="G1822" s="3774"/>
      <c r="H1822" s="3774"/>
      <c r="I1822" s="3775"/>
      <c r="J1822" s="3071" t="str">
        <f>$C$1430</f>
        <v>352700_2019_12_</v>
      </c>
      <c r="K1822" s="3056">
        <v>1496</v>
      </c>
      <c r="L1822" s="945"/>
      <c r="M1822" s="1808"/>
      <c r="N1822" s="157"/>
      <c r="O1822" s="277"/>
      <c r="P1822" s="277"/>
      <c r="Q1822" s="277"/>
      <c r="R1822" s="277"/>
      <c r="S1822" s="157"/>
      <c r="T1822" s="157"/>
      <c r="U1822" s="157"/>
      <c r="V1822" s="3589"/>
      <c r="W1822" s="766">
        <v>2009</v>
      </c>
      <c r="X1822" s="765">
        <v>1496</v>
      </c>
      <c r="Y1822" s="766">
        <v>1496</v>
      </c>
      <c r="Z1822" s="2426">
        <v>1496</v>
      </c>
      <c r="AA1822" s="2426">
        <v>1496</v>
      </c>
      <c r="AB1822" s="2426">
        <v>1496</v>
      </c>
      <c r="AC1822" s="766"/>
      <c r="AD1822" s="766"/>
      <c r="AE1822" s="766"/>
      <c r="AF1822" s="766"/>
      <c r="AG1822" s="766"/>
      <c r="BB1822" s="647"/>
      <c r="BC1822" s="648"/>
      <c r="BD1822" s="757"/>
      <c r="BE1822" s="659"/>
    </row>
    <row r="1823" spans="1:57" s="64" customFormat="1" ht="15" customHeight="1" outlineLevel="1" x14ac:dyDescent="0.25">
      <c r="A1823" s="2463"/>
      <c r="B1823" s="157"/>
      <c r="C1823" s="385"/>
      <c r="D1823" s="3589"/>
      <c r="E1823" s="3721"/>
      <c r="F1823" s="3773" t="str">
        <f>$E$1432</f>
        <v>ASHP SEER 15 MF ER replace ASHP: HVAC ER2</v>
      </c>
      <c r="G1823" s="3774"/>
      <c r="H1823" s="3774"/>
      <c r="I1823" s="3775"/>
      <c r="J1823" s="3071" t="str">
        <f>$C$1432</f>
        <v>352700_2019_12_</v>
      </c>
      <c r="K1823" s="3056">
        <v>1496</v>
      </c>
      <c r="L1823" s="945"/>
      <c r="M1823" s="1808"/>
      <c r="N1823" s="157"/>
      <c r="O1823" s="277"/>
      <c r="P1823" s="937"/>
      <c r="Q1823" s="937"/>
      <c r="R1823" s="937"/>
      <c r="S1823" s="924"/>
      <c r="T1823" s="1407"/>
      <c r="U1823" s="157"/>
      <c r="V1823" s="3589"/>
      <c r="W1823" s="766">
        <v>2009</v>
      </c>
      <c r="X1823" s="765">
        <v>1496</v>
      </c>
      <c r="Y1823" s="766">
        <v>1496</v>
      </c>
      <c r="Z1823" s="2426">
        <v>1496</v>
      </c>
      <c r="AA1823" s="2426">
        <v>1496</v>
      </c>
      <c r="AB1823" s="2426">
        <v>1496</v>
      </c>
      <c r="AC1823" s="766"/>
      <c r="AD1823" s="766"/>
      <c r="AE1823" s="766"/>
      <c r="AF1823" s="766"/>
      <c r="AG1823" s="766"/>
      <c r="BB1823" s="647"/>
      <c r="BC1823" s="648"/>
      <c r="BD1823" s="757"/>
      <c r="BE1823" s="659"/>
    </row>
    <row r="1824" spans="1:57" s="64" customFormat="1" ht="15" customHeight="1" outlineLevel="1" x14ac:dyDescent="0.25">
      <c r="A1824" s="2463"/>
      <c r="B1824" s="157"/>
      <c r="C1824" s="385"/>
      <c r="D1824" s="3589"/>
      <c r="E1824" s="3721"/>
      <c r="F1824" s="3773" t="str">
        <f>$E$1434</f>
        <v>ASHP SEER 15 MF ER replace ASHP: HVAC ER1_CompE</v>
      </c>
      <c r="G1824" s="3774"/>
      <c r="H1824" s="3774"/>
      <c r="I1824" s="3775"/>
      <c r="J1824" s="3071" t="str">
        <f>$C$1434</f>
        <v>352701_2019_12_</v>
      </c>
      <c r="K1824" s="3056">
        <v>510</v>
      </c>
      <c r="L1824" s="945"/>
      <c r="M1824" s="1808" t="s">
        <v>3675</v>
      </c>
      <c r="N1824" s="157"/>
      <c r="O1824" s="277"/>
      <c r="P1824" s="937"/>
      <c r="Q1824" s="937"/>
      <c r="R1824" s="937"/>
      <c r="S1824" s="924"/>
      <c r="T1824" s="1407"/>
      <c r="U1824" s="157"/>
      <c r="V1824" s="3589"/>
      <c r="W1824" s="766"/>
      <c r="X1824" s="765"/>
      <c r="Y1824" s="765">
        <v>510</v>
      </c>
      <c r="Z1824" s="2426">
        <v>510</v>
      </c>
      <c r="AA1824" s="2426">
        <v>510</v>
      </c>
      <c r="AB1824" s="2426">
        <v>510</v>
      </c>
      <c r="AC1824" s="766"/>
      <c r="AD1824" s="766"/>
      <c r="AE1824" s="766"/>
      <c r="AF1824" s="766"/>
      <c r="AG1824" s="766"/>
      <c r="BB1824" s="647"/>
      <c r="BC1824" s="648"/>
      <c r="BD1824" s="757"/>
      <c r="BE1824" s="659"/>
    </row>
    <row r="1825" spans="1:57" s="64" customFormat="1" ht="15" customHeight="1" outlineLevel="1" x14ac:dyDescent="0.25">
      <c r="A1825" s="2463"/>
      <c r="B1825" s="157"/>
      <c r="C1825" s="385"/>
      <c r="D1825" s="3589"/>
      <c r="E1825" s="3721"/>
      <c r="F1825" s="3773" t="str">
        <f>$E$1436</f>
        <v>ASHP SEER 15 MF ER replace ASHP: HVAC ER2_CompE</v>
      </c>
      <c r="G1825" s="3774"/>
      <c r="H1825" s="3774"/>
      <c r="I1825" s="3775"/>
      <c r="J1825" s="3071" t="str">
        <f>$C$1436</f>
        <v>352701_2019_12_</v>
      </c>
      <c r="K1825" s="3056">
        <v>510</v>
      </c>
      <c r="L1825" s="945"/>
      <c r="M1825" s="1808" t="s">
        <v>3675</v>
      </c>
      <c r="N1825" s="157"/>
      <c r="O1825" s="277"/>
      <c r="P1825" s="937"/>
      <c r="Q1825" s="937"/>
      <c r="R1825" s="937"/>
      <c r="S1825" s="924"/>
      <c r="T1825" s="1407"/>
      <c r="U1825" s="157"/>
      <c r="V1825" s="3589"/>
      <c r="W1825" s="766"/>
      <c r="X1825" s="765"/>
      <c r="Y1825" s="765">
        <v>510</v>
      </c>
      <c r="Z1825" s="2426">
        <v>510</v>
      </c>
      <c r="AA1825" s="2426">
        <v>510</v>
      </c>
      <c r="AB1825" s="2426">
        <v>510</v>
      </c>
      <c r="AC1825" s="766"/>
      <c r="AD1825" s="766"/>
      <c r="AE1825" s="766"/>
      <c r="AF1825" s="766"/>
      <c r="AG1825" s="766"/>
      <c r="BB1825" s="647"/>
      <c r="BC1825" s="648"/>
      <c r="BD1825" s="757"/>
      <c r="BE1825" s="659"/>
    </row>
    <row r="1826" spans="1:57" s="64" customFormat="1" ht="15" customHeight="1" outlineLevel="1" x14ac:dyDescent="0.25">
      <c r="A1826" s="2463"/>
      <c r="B1826" s="157"/>
      <c r="C1826" s="385"/>
      <c r="D1826" s="3589"/>
      <c r="E1826" s="3721"/>
      <c r="F1826" s="3773" t="str">
        <f>$E$1438</f>
        <v>ASHP SEER 15 MF ER replace Elec Resist Furnace: HVAC ER1</v>
      </c>
      <c r="G1826" s="3774"/>
      <c r="H1826" s="3774"/>
      <c r="I1826" s="3775"/>
      <c r="J1826" s="3071" t="str">
        <f>$C$1438</f>
        <v>352750_2019_12_</v>
      </c>
      <c r="K1826" s="3056">
        <v>1496</v>
      </c>
      <c r="L1826" s="945"/>
      <c r="M1826" s="1808"/>
      <c r="N1826" s="157"/>
      <c r="O1826" s="277"/>
      <c r="P1826" s="937"/>
      <c r="Q1826" s="937"/>
      <c r="R1826" s="937"/>
      <c r="S1826" s="924"/>
      <c r="T1826" s="1407"/>
      <c r="U1826" s="157"/>
      <c r="V1826" s="3589"/>
      <c r="W1826" s="766">
        <v>2009</v>
      </c>
      <c r="X1826" s="765">
        <v>1496</v>
      </c>
      <c r="Y1826" s="766">
        <v>1496</v>
      </c>
      <c r="Z1826" s="2426">
        <v>1496</v>
      </c>
      <c r="AA1826" s="2426">
        <v>1496</v>
      </c>
      <c r="AB1826" s="2426">
        <v>1496</v>
      </c>
      <c r="AC1826" s="766"/>
      <c r="AD1826" s="766"/>
      <c r="AE1826" s="766"/>
      <c r="AF1826" s="766"/>
      <c r="AG1826" s="766"/>
      <c r="BB1826" s="647"/>
      <c r="BC1826" s="648"/>
      <c r="BD1826" s="757"/>
      <c r="BE1826" s="659"/>
    </row>
    <row r="1827" spans="1:57" s="64" customFormat="1" ht="15" customHeight="1" outlineLevel="1" x14ac:dyDescent="0.25">
      <c r="A1827" s="2463"/>
      <c r="B1827" s="157"/>
      <c r="C1827" s="385"/>
      <c r="D1827" s="3589"/>
      <c r="E1827" s="3721"/>
      <c r="F1827" s="3773" t="str">
        <f>$E$1440</f>
        <v>ASHP SEER 15 MF ER replace Elec Resist Furnace: HVAC ER2</v>
      </c>
      <c r="G1827" s="3774"/>
      <c r="H1827" s="3774"/>
      <c r="I1827" s="3775"/>
      <c r="J1827" s="3071" t="str">
        <f>$C$1440</f>
        <v>352750_2019_12_</v>
      </c>
      <c r="K1827" s="3056">
        <v>1496</v>
      </c>
      <c r="L1827" s="945"/>
      <c r="M1827" s="1808"/>
      <c r="N1827" s="157"/>
      <c r="O1827" s="277"/>
      <c r="P1827" s="937"/>
      <c r="Q1827" s="937"/>
      <c r="R1827" s="937"/>
      <c r="S1827" s="924"/>
      <c r="T1827" s="1407"/>
      <c r="U1827" s="157"/>
      <c r="V1827" s="3589"/>
      <c r="W1827" s="766">
        <v>2009</v>
      </c>
      <c r="X1827" s="765">
        <v>1496</v>
      </c>
      <c r="Y1827" s="766">
        <v>1496</v>
      </c>
      <c r="Z1827" s="2426">
        <v>1496</v>
      </c>
      <c r="AA1827" s="2426">
        <v>1496</v>
      </c>
      <c r="AB1827" s="2426">
        <v>1496</v>
      </c>
      <c r="AC1827" s="766"/>
      <c r="AD1827" s="766"/>
      <c r="AE1827" s="766"/>
      <c r="AF1827" s="766"/>
      <c r="AG1827" s="766"/>
      <c r="BB1827" s="647"/>
      <c r="BC1827" s="648"/>
      <c r="BD1827" s="757"/>
      <c r="BE1827" s="659"/>
    </row>
    <row r="1828" spans="1:57" s="64" customFormat="1" ht="15" customHeight="1" outlineLevel="1" x14ac:dyDescent="0.25">
      <c r="A1828" s="2463"/>
      <c r="B1828" s="157"/>
      <c r="C1828" s="385"/>
      <c r="D1828" s="3589"/>
      <c r="E1828" s="3721"/>
      <c r="F1828" s="3773" t="str">
        <f>$E$1442</f>
        <v>ASHP SEER 15 MF ER replace Elec Resist Furnace: HVAC ER1_CompE</v>
      </c>
      <c r="G1828" s="3774"/>
      <c r="H1828" s="3774"/>
      <c r="I1828" s="3775"/>
      <c r="J1828" s="3071" t="str">
        <f>$C$1442</f>
        <v>352751_2019_12_</v>
      </c>
      <c r="K1828" s="3056">
        <v>510</v>
      </c>
      <c r="L1828" s="945"/>
      <c r="M1828" s="1808" t="s">
        <v>3675</v>
      </c>
      <c r="N1828" s="157"/>
      <c r="O1828" s="277"/>
      <c r="P1828" s="937"/>
      <c r="Q1828" s="937"/>
      <c r="R1828" s="937"/>
      <c r="S1828" s="924"/>
      <c r="T1828" s="1407"/>
      <c r="U1828" s="157"/>
      <c r="V1828" s="3589"/>
      <c r="W1828" s="766"/>
      <c r="X1828" s="765"/>
      <c r="Y1828" s="765">
        <v>510</v>
      </c>
      <c r="Z1828" s="2426">
        <v>510</v>
      </c>
      <c r="AA1828" s="2426">
        <v>510</v>
      </c>
      <c r="AB1828" s="2426">
        <v>510</v>
      </c>
      <c r="AC1828" s="766"/>
      <c r="AD1828" s="766"/>
      <c r="AE1828" s="766"/>
      <c r="AF1828" s="766"/>
      <c r="AG1828" s="766"/>
      <c r="BB1828" s="647"/>
      <c r="BC1828" s="648"/>
      <c r="BD1828" s="757"/>
      <c r="BE1828" s="659"/>
    </row>
    <row r="1829" spans="1:57" s="64" customFormat="1" ht="15" customHeight="1" outlineLevel="1" x14ac:dyDescent="0.25">
      <c r="A1829" s="2463"/>
      <c r="B1829" s="157"/>
      <c r="C1829" s="385"/>
      <c r="D1829" s="3589"/>
      <c r="E1829" s="3721"/>
      <c r="F1829" s="3773" t="str">
        <f>$E$1444</f>
        <v>ASHP SEER 15 MF ER replace Elec Resist Furnace: HVAC ER2_CompE</v>
      </c>
      <c r="G1829" s="3774"/>
      <c r="H1829" s="3774"/>
      <c r="I1829" s="3775"/>
      <c r="J1829" s="3071" t="str">
        <f>$C$1444</f>
        <v>352751_2019_12_</v>
      </c>
      <c r="K1829" s="3056">
        <v>510</v>
      </c>
      <c r="L1829" s="945"/>
      <c r="M1829" s="1808"/>
      <c r="N1829" s="157"/>
      <c r="O1829" s="277"/>
      <c r="P1829" s="937"/>
      <c r="Q1829" s="937"/>
      <c r="R1829" s="937"/>
      <c r="S1829" s="924"/>
      <c r="T1829" s="1407"/>
      <c r="U1829" s="157"/>
      <c r="V1829" s="3589"/>
      <c r="W1829" s="766"/>
      <c r="X1829" s="765"/>
      <c r="Y1829" s="765">
        <v>510</v>
      </c>
      <c r="Z1829" s="2426">
        <v>510</v>
      </c>
      <c r="AA1829" s="2426">
        <v>510</v>
      </c>
      <c r="AB1829" s="2426">
        <v>510</v>
      </c>
      <c r="AC1829" s="766"/>
      <c r="AD1829" s="766"/>
      <c r="AE1829" s="766"/>
      <c r="AF1829" s="766"/>
      <c r="AG1829" s="766"/>
      <c r="BB1829" s="647"/>
      <c r="BC1829" s="648"/>
      <c r="BD1829" s="757"/>
      <c r="BE1829" s="659"/>
    </row>
    <row r="1830" spans="1:57" s="64" customFormat="1" ht="15" customHeight="1" outlineLevel="1" x14ac:dyDescent="0.25">
      <c r="A1830" s="2463"/>
      <c r="B1830" s="157"/>
      <c r="C1830" s="385"/>
      <c r="D1830" s="3589"/>
      <c r="E1830" s="3721"/>
      <c r="F1830" s="3773" t="str">
        <f>$E$1446</f>
        <v>ASHP SEER 15 MF replace at Fail Elec Resist Furnace: HVAC</v>
      </c>
      <c r="G1830" s="3774"/>
      <c r="H1830" s="3774"/>
      <c r="I1830" s="3775"/>
      <c r="J1830" s="3071" t="str">
        <f>$C$1446</f>
        <v>352800_2019_12_</v>
      </c>
      <c r="K1830" s="3056">
        <v>1496</v>
      </c>
      <c r="L1830" s="945"/>
      <c r="M1830" s="1808"/>
      <c r="N1830" s="157"/>
      <c r="O1830" s="277"/>
      <c r="P1830" s="937"/>
      <c r="Q1830" s="937"/>
      <c r="R1830" s="937"/>
      <c r="S1830" s="924"/>
      <c r="T1830" s="1407"/>
      <c r="U1830" s="157"/>
      <c r="V1830" s="3589"/>
      <c r="W1830" s="766">
        <v>2009</v>
      </c>
      <c r="X1830" s="765">
        <v>1496</v>
      </c>
      <c r="Y1830" s="766">
        <v>1496</v>
      </c>
      <c r="Z1830" s="2426">
        <v>1496</v>
      </c>
      <c r="AA1830" s="2426">
        <v>1496</v>
      </c>
      <c r="AB1830" s="2426">
        <v>1496</v>
      </c>
      <c r="AC1830" s="766"/>
      <c r="AD1830" s="766"/>
      <c r="AE1830" s="766"/>
      <c r="AF1830" s="766"/>
      <c r="AG1830" s="766"/>
      <c r="BB1830" s="647"/>
      <c r="BC1830" s="648"/>
      <c r="BD1830" s="757"/>
      <c r="BE1830" s="659"/>
    </row>
    <row r="1831" spans="1:57" s="64" customFormat="1" ht="15" customHeight="1" outlineLevel="1" x14ac:dyDescent="0.25">
      <c r="A1831" s="2463"/>
      <c r="B1831" s="157"/>
      <c r="C1831" s="385"/>
      <c r="D1831" s="3589"/>
      <c r="E1831" s="3721"/>
      <c r="F1831" s="3773" t="str">
        <f>$E$1448</f>
        <v>ASHP SEER 15 MF replace at Fail Elec Resist Furnace: HVAC_CompE</v>
      </c>
      <c r="G1831" s="3774"/>
      <c r="H1831" s="3774"/>
      <c r="I1831" s="3775"/>
      <c r="J1831" s="3071" t="str">
        <f>$C$1448</f>
        <v>352801_2019_12_</v>
      </c>
      <c r="K1831" s="3056">
        <v>510</v>
      </c>
      <c r="L1831" s="945"/>
      <c r="M1831" s="1808" t="s">
        <v>3675</v>
      </c>
      <c r="N1831" s="157"/>
      <c r="O1831" s="277"/>
      <c r="P1831" s="937"/>
      <c r="Q1831" s="937"/>
      <c r="R1831" s="937"/>
      <c r="S1831" s="924"/>
      <c r="T1831" s="1407"/>
      <c r="U1831" s="157"/>
      <c r="V1831" s="3589"/>
      <c r="W1831" s="766"/>
      <c r="X1831" s="765"/>
      <c r="Y1831" s="765">
        <v>510</v>
      </c>
      <c r="Z1831" s="2426">
        <v>510</v>
      </c>
      <c r="AA1831" s="2426">
        <v>510</v>
      </c>
      <c r="AB1831" s="2426">
        <v>510</v>
      </c>
      <c r="AC1831" s="766"/>
      <c r="AD1831" s="766"/>
      <c r="AE1831" s="766"/>
      <c r="AF1831" s="766"/>
      <c r="AG1831" s="766"/>
      <c r="BB1831" s="647"/>
      <c r="BC1831" s="648"/>
      <c r="BD1831" s="757"/>
      <c r="BE1831" s="659"/>
    </row>
    <row r="1832" spans="1:57" s="64" customFormat="1" ht="15" customHeight="1" outlineLevel="1" x14ac:dyDescent="0.25">
      <c r="A1832" s="2463"/>
      <c r="B1832" s="157"/>
      <c r="C1832" s="385"/>
      <c r="D1832" s="3589"/>
      <c r="E1832" s="3721"/>
      <c r="F1832" s="3773" t="str">
        <f>$E$1450</f>
        <v>ASHP SEER 16 MF ER replace ASHP: HVAC ER1</v>
      </c>
      <c r="G1832" s="3774"/>
      <c r="H1832" s="3774"/>
      <c r="I1832" s="3775"/>
      <c r="J1832" s="3071" t="str">
        <f>$C$1450</f>
        <v>352850_2019_12_</v>
      </c>
      <c r="K1832" s="3056">
        <v>1496</v>
      </c>
      <c r="L1832" s="945"/>
      <c r="M1832" s="1808"/>
      <c r="N1832" s="157"/>
      <c r="O1832" s="277"/>
      <c r="P1832" s="937"/>
      <c r="Q1832" s="937"/>
      <c r="R1832" s="937"/>
      <c r="S1832" s="924"/>
      <c r="T1832" s="1407"/>
      <c r="U1832" s="157"/>
      <c r="V1832" s="3589"/>
      <c r="W1832" s="766">
        <v>2009</v>
      </c>
      <c r="X1832" s="765">
        <v>1496</v>
      </c>
      <c r="Y1832" s="766">
        <v>1496</v>
      </c>
      <c r="Z1832" s="2426">
        <v>1496</v>
      </c>
      <c r="AA1832" s="2426">
        <v>1496</v>
      </c>
      <c r="AB1832" s="2426">
        <v>1496</v>
      </c>
      <c r="AC1832" s="766"/>
      <c r="AD1832" s="766"/>
      <c r="AE1832" s="766"/>
      <c r="AF1832" s="766"/>
      <c r="AG1832" s="766"/>
      <c r="BB1832" s="647"/>
      <c r="BC1832" s="648"/>
      <c r="BD1832" s="757"/>
      <c r="BE1832" s="659"/>
    </row>
    <row r="1833" spans="1:57" s="64" customFormat="1" ht="15" customHeight="1" outlineLevel="1" x14ac:dyDescent="0.25">
      <c r="A1833" s="2463"/>
      <c r="B1833" s="157"/>
      <c r="C1833" s="385"/>
      <c r="D1833" s="3589"/>
      <c r="E1833" s="3721"/>
      <c r="F1833" s="3773" t="str">
        <f>$E$1452</f>
        <v>ASHP SEER 16 MF ER replace ASHP: HVAC ER2</v>
      </c>
      <c r="G1833" s="3774"/>
      <c r="H1833" s="3774"/>
      <c r="I1833" s="3775"/>
      <c r="J1833" s="3071" t="str">
        <f>$C$1452</f>
        <v>352850_2019_12_</v>
      </c>
      <c r="K1833" s="3056">
        <v>1496</v>
      </c>
      <c r="L1833" s="945"/>
      <c r="M1833" s="1808"/>
      <c r="N1833" s="157"/>
      <c r="O1833" s="277"/>
      <c r="P1833" s="937"/>
      <c r="Q1833" s="937"/>
      <c r="R1833" s="937"/>
      <c r="S1833" s="924"/>
      <c r="T1833" s="1407"/>
      <c r="U1833" s="157"/>
      <c r="V1833" s="3589"/>
      <c r="W1833" s="766">
        <v>2009</v>
      </c>
      <c r="X1833" s="765">
        <v>1496</v>
      </c>
      <c r="Y1833" s="766">
        <v>1496</v>
      </c>
      <c r="Z1833" s="2426">
        <v>1496</v>
      </c>
      <c r="AA1833" s="2426">
        <v>1496</v>
      </c>
      <c r="AB1833" s="2426">
        <v>1496</v>
      </c>
      <c r="AC1833" s="766"/>
      <c r="AD1833" s="766"/>
      <c r="AE1833" s="766"/>
      <c r="AF1833" s="766"/>
      <c r="AG1833" s="766"/>
      <c r="BB1833" s="647"/>
      <c r="BC1833" s="648"/>
      <c r="BD1833" s="757"/>
      <c r="BE1833" s="659"/>
    </row>
    <row r="1834" spans="1:57" s="64" customFormat="1" ht="15" customHeight="1" outlineLevel="1" x14ac:dyDescent="0.25">
      <c r="A1834" s="2463"/>
      <c r="B1834" s="157"/>
      <c r="C1834" s="385"/>
      <c r="D1834" s="3589"/>
      <c r="E1834" s="3721"/>
      <c r="F1834" s="3773" t="str">
        <f>$E$1454</f>
        <v>ASHP SEER 16 MF ER replace ASHP: HVAC ER1_CompE</v>
      </c>
      <c r="G1834" s="3774"/>
      <c r="H1834" s="3774"/>
      <c r="I1834" s="3775"/>
      <c r="J1834" s="3071" t="str">
        <f>$C$1454</f>
        <v>352851_2019_12_</v>
      </c>
      <c r="K1834" s="3056">
        <v>510</v>
      </c>
      <c r="L1834" s="945"/>
      <c r="M1834" s="1808" t="s">
        <v>3675</v>
      </c>
      <c r="N1834" s="157"/>
      <c r="O1834" s="277"/>
      <c r="P1834" s="937"/>
      <c r="Q1834" s="937"/>
      <c r="R1834" s="937"/>
      <c r="S1834" s="924"/>
      <c r="T1834" s="1407"/>
      <c r="U1834" s="157"/>
      <c r="V1834" s="3589"/>
      <c r="W1834" s="766"/>
      <c r="X1834" s="765"/>
      <c r="Y1834" s="765">
        <v>510</v>
      </c>
      <c r="Z1834" s="2426">
        <v>510</v>
      </c>
      <c r="AA1834" s="2426">
        <v>510</v>
      </c>
      <c r="AB1834" s="2426">
        <v>510</v>
      </c>
      <c r="AC1834" s="766"/>
      <c r="AD1834" s="766"/>
      <c r="AE1834" s="766"/>
      <c r="AF1834" s="766"/>
      <c r="AG1834" s="766"/>
      <c r="BB1834" s="647"/>
      <c r="BC1834" s="648"/>
      <c r="BD1834" s="757"/>
      <c r="BE1834" s="659"/>
    </row>
    <row r="1835" spans="1:57" s="64" customFormat="1" ht="15" customHeight="1" outlineLevel="1" x14ac:dyDescent="0.25">
      <c r="A1835" s="2463"/>
      <c r="B1835" s="157"/>
      <c r="C1835" s="385"/>
      <c r="D1835" s="3589"/>
      <c r="E1835" s="3721"/>
      <c r="F1835" s="3773" t="str">
        <f>$E$1456</f>
        <v>ASHP SEER 16 MF ER replace ASHP: HVAC ER2_CompE</v>
      </c>
      <c r="G1835" s="3774"/>
      <c r="H1835" s="3774"/>
      <c r="I1835" s="3775"/>
      <c r="J1835" s="3071" t="str">
        <f>$C$1456</f>
        <v>352851_2019_12_</v>
      </c>
      <c r="K1835" s="3056">
        <v>510</v>
      </c>
      <c r="L1835" s="945"/>
      <c r="M1835" s="1808" t="s">
        <v>3675</v>
      </c>
      <c r="N1835" s="157"/>
      <c r="O1835" s="277"/>
      <c r="P1835" s="937"/>
      <c r="Q1835" s="937"/>
      <c r="R1835" s="937"/>
      <c r="S1835" s="924"/>
      <c r="T1835" s="1407"/>
      <c r="U1835" s="157"/>
      <c r="V1835" s="3589"/>
      <c r="W1835" s="766"/>
      <c r="X1835" s="765"/>
      <c r="Y1835" s="765">
        <v>510</v>
      </c>
      <c r="Z1835" s="2426">
        <v>510</v>
      </c>
      <c r="AA1835" s="2426">
        <v>510</v>
      </c>
      <c r="AB1835" s="2426">
        <v>510</v>
      </c>
      <c r="AC1835" s="766"/>
      <c r="AD1835" s="766"/>
      <c r="AE1835" s="766"/>
      <c r="AF1835" s="766"/>
      <c r="AG1835" s="766"/>
      <c r="BB1835" s="647"/>
      <c r="BC1835" s="648"/>
      <c r="BD1835" s="757"/>
      <c r="BE1835" s="659"/>
    </row>
    <row r="1836" spans="1:57" s="64" customFormat="1" ht="15" customHeight="1" outlineLevel="1" x14ac:dyDescent="0.25">
      <c r="A1836" s="2463"/>
      <c r="B1836" s="157"/>
      <c r="C1836" s="385"/>
      <c r="D1836" s="3589"/>
      <c r="E1836" s="3721"/>
      <c r="F1836" s="3773" t="str">
        <f>$E$1458</f>
        <v>ASHP - SEER 16 - replace on fail MF</v>
      </c>
      <c r="G1836" s="3774"/>
      <c r="H1836" s="3774"/>
      <c r="I1836" s="3775"/>
      <c r="J1836" s="3071" t="str">
        <f>$C$1458</f>
        <v>352900_2019_12_</v>
      </c>
      <c r="K1836" s="3056">
        <v>1496</v>
      </c>
      <c r="L1836" s="945"/>
      <c r="M1836" s="1808"/>
      <c r="N1836" s="157"/>
      <c r="O1836" s="277"/>
      <c r="P1836" s="937"/>
      <c r="Q1836" s="937"/>
      <c r="R1836" s="937"/>
      <c r="S1836" s="924"/>
      <c r="T1836" s="1407"/>
      <c r="U1836" s="157"/>
      <c r="V1836" s="3589"/>
      <c r="W1836" s="766">
        <v>2009</v>
      </c>
      <c r="X1836" s="765">
        <v>1496</v>
      </c>
      <c r="Y1836" s="766">
        <v>1496</v>
      </c>
      <c r="Z1836" s="2426">
        <v>1496</v>
      </c>
      <c r="AA1836" s="2426">
        <v>1496</v>
      </c>
      <c r="AB1836" s="2426">
        <v>1496</v>
      </c>
      <c r="AC1836" s="766"/>
      <c r="AD1836" s="766"/>
      <c r="AE1836" s="766"/>
      <c r="AF1836" s="766"/>
      <c r="AG1836" s="766"/>
      <c r="BB1836" s="647"/>
      <c r="BC1836" s="648"/>
      <c r="BD1836" s="757"/>
      <c r="BE1836" s="659"/>
    </row>
    <row r="1837" spans="1:57" s="64" customFormat="1" ht="15" customHeight="1" outlineLevel="1" x14ac:dyDescent="0.25">
      <c r="A1837" s="2463"/>
      <c r="B1837" s="157"/>
      <c r="C1837" s="385"/>
      <c r="D1837" s="3589"/>
      <c r="E1837" s="3721"/>
      <c r="F1837" s="3773" t="str">
        <f>$E$1460</f>
        <v>ASHP - SEER 16 - replace on fail MF_CompE</v>
      </c>
      <c r="G1837" s="3774"/>
      <c r="H1837" s="3774"/>
      <c r="I1837" s="3775"/>
      <c r="J1837" s="3071" t="str">
        <f>$C$1460</f>
        <v>352901_2019_12_</v>
      </c>
      <c r="K1837" s="3056">
        <v>510</v>
      </c>
      <c r="L1837" s="945"/>
      <c r="M1837" s="1808" t="s">
        <v>3675</v>
      </c>
      <c r="N1837" s="157"/>
      <c r="O1837" s="277"/>
      <c r="P1837" s="937"/>
      <c r="Q1837" s="937"/>
      <c r="R1837" s="937"/>
      <c r="S1837" s="924"/>
      <c r="T1837" s="1407"/>
      <c r="U1837" s="157"/>
      <c r="V1837" s="3589"/>
      <c r="W1837" s="766"/>
      <c r="X1837" s="765"/>
      <c r="Y1837" s="765">
        <v>510</v>
      </c>
      <c r="Z1837" s="2426">
        <v>510</v>
      </c>
      <c r="AA1837" s="2426">
        <v>510</v>
      </c>
      <c r="AB1837" s="2426">
        <v>510</v>
      </c>
      <c r="AC1837" s="766"/>
      <c r="AD1837" s="766"/>
      <c r="AE1837" s="766"/>
      <c r="AF1837" s="766"/>
      <c r="AG1837" s="766"/>
      <c r="BB1837" s="647"/>
      <c r="BC1837" s="648"/>
      <c r="BD1837" s="757"/>
      <c r="BE1837" s="659"/>
    </row>
    <row r="1838" spans="1:57" s="64" customFormat="1" ht="15" customHeight="1" outlineLevel="1" x14ac:dyDescent="0.25">
      <c r="A1838" s="2463"/>
      <c r="B1838" s="157"/>
      <c r="C1838" s="385"/>
      <c r="D1838" s="3589"/>
      <c r="E1838" s="3721"/>
      <c r="F1838" s="3773" t="str">
        <f>$E$1462</f>
        <v>ASHP - SEER 16 - replace electric furnace / CAC MF</v>
      </c>
      <c r="G1838" s="3774"/>
      <c r="H1838" s="3774"/>
      <c r="I1838" s="3775"/>
      <c r="J1838" s="3071" t="str">
        <f>$C$1462</f>
        <v>352950_2019_12_</v>
      </c>
      <c r="K1838" s="3056">
        <v>1496</v>
      </c>
      <c r="L1838" s="945"/>
      <c r="M1838" s="1808"/>
      <c r="N1838" s="157"/>
      <c r="O1838" s="277"/>
      <c r="P1838" s="937"/>
      <c r="Q1838" s="937"/>
      <c r="R1838" s="937"/>
      <c r="S1838" s="924"/>
      <c r="T1838" s="1407"/>
      <c r="U1838" s="157"/>
      <c r="V1838" s="3589"/>
      <c r="W1838" s="766">
        <v>2009</v>
      </c>
      <c r="X1838" s="765">
        <v>1496</v>
      </c>
      <c r="Y1838" s="766">
        <v>1496</v>
      </c>
      <c r="Z1838" s="2426">
        <v>1496</v>
      </c>
      <c r="AA1838" s="2426">
        <v>1496</v>
      </c>
      <c r="AB1838" s="2426">
        <v>1496</v>
      </c>
      <c r="AC1838" s="766"/>
      <c r="AD1838" s="766"/>
      <c r="AE1838" s="766"/>
      <c r="AF1838" s="766"/>
      <c r="AG1838" s="766"/>
      <c r="BB1838" s="647"/>
      <c r="BC1838" s="648"/>
      <c r="BD1838" s="757"/>
      <c r="BE1838" s="659"/>
    </row>
    <row r="1839" spans="1:57" s="64" customFormat="1" ht="15" customHeight="1" outlineLevel="1" x14ac:dyDescent="0.25">
      <c r="A1839" s="2463"/>
      <c r="B1839" s="157"/>
      <c r="C1839" s="385"/>
      <c r="D1839" s="3589"/>
      <c r="E1839" s="3721"/>
      <c r="F1839" s="3773" t="str">
        <f>$E$1464</f>
        <v>ASHP - SEER 16 - replace electric furnace / CAC MF_CompE</v>
      </c>
      <c r="G1839" s="3774"/>
      <c r="H1839" s="3774"/>
      <c r="I1839" s="3775"/>
      <c r="J1839" s="3071" t="str">
        <f>$C$1464</f>
        <v>352951_2019_12_</v>
      </c>
      <c r="K1839" s="3056">
        <v>510</v>
      </c>
      <c r="L1839" s="945"/>
      <c r="M1839" s="1808" t="s">
        <v>3675</v>
      </c>
      <c r="N1839" s="157"/>
      <c r="O1839" s="277"/>
      <c r="P1839" s="937"/>
      <c r="Q1839" s="937"/>
      <c r="R1839" s="937"/>
      <c r="S1839" s="924"/>
      <c r="T1839" s="1407"/>
      <c r="U1839" s="157"/>
      <c r="V1839" s="3589"/>
      <c r="W1839" s="766"/>
      <c r="X1839" s="765"/>
      <c r="Y1839" s="765">
        <v>510</v>
      </c>
      <c r="Z1839" s="2426">
        <v>510</v>
      </c>
      <c r="AA1839" s="2426">
        <v>510</v>
      </c>
      <c r="AB1839" s="2426">
        <v>510</v>
      </c>
      <c r="AC1839" s="766"/>
      <c r="AD1839" s="766"/>
      <c r="AE1839" s="766"/>
      <c r="AF1839" s="766"/>
      <c r="AG1839" s="766"/>
      <c r="BB1839" s="647"/>
      <c r="BC1839" s="648"/>
      <c r="BD1839" s="757"/>
      <c r="BE1839" s="659"/>
    </row>
    <row r="1840" spans="1:57" s="64" customFormat="1" ht="15" customHeight="1" outlineLevel="1" x14ac:dyDescent="0.25">
      <c r="A1840" s="2463"/>
      <c r="B1840" s="157"/>
      <c r="C1840" s="385"/>
      <c r="D1840" s="3589"/>
      <c r="E1840" s="3721"/>
      <c r="F1840" s="3773" t="str">
        <f>$E$1466</f>
        <v>ASHP - SEER 16 - replace electric furnace / CAC - early replacement MF ER1</v>
      </c>
      <c r="G1840" s="3774"/>
      <c r="H1840" s="3774"/>
      <c r="I1840" s="3775"/>
      <c r="J1840" s="3071" t="str">
        <f>$C$1466</f>
        <v>353000_2019_12_</v>
      </c>
      <c r="K1840" s="3056">
        <v>1496</v>
      </c>
      <c r="L1840" s="945"/>
      <c r="M1840" s="1808"/>
      <c r="N1840" s="157"/>
      <c r="O1840" s="277"/>
      <c r="P1840" s="937"/>
      <c r="Q1840" s="937"/>
      <c r="R1840" s="937"/>
      <c r="S1840" s="924"/>
      <c r="T1840" s="1407"/>
      <c r="U1840" s="157"/>
      <c r="V1840" s="3589"/>
      <c r="W1840" s="766">
        <v>2009</v>
      </c>
      <c r="X1840" s="765">
        <v>1496</v>
      </c>
      <c r="Y1840" s="766">
        <v>1496</v>
      </c>
      <c r="Z1840" s="2426">
        <v>1496</v>
      </c>
      <c r="AA1840" s="2426">
        <v>1496</v>
      </c>
      <c r="AB1840" s="2426">
        <v>1496</v>
      </c>
      <c r="AC1840" s="766"/>
      <c r="AD1840" s="766"/>
      <c r="AE1840" s="766"/>
      <c r="AF1840" s="766"/>
      <c r="AG1840" s="766"/>
      <c r="BB1840" s="647"/>
      <c r="BC1840" s="648"/>
      <c r="BD1840" s="757"/>
      <c r="BE1840" s="659"/>
    </row>
    <row r="1841" spans="1:57" s="64" customFormat="1" ht="15" customHeight="1" outlineLevel="1" x14ac:dyDescent="0.25">
      <c r="A1841" s="2463"/>
      <c r="B1841" s="157"/>
      <c r="C1841" s="385"/>
      <c r="D1841" s="3589"/>
      <c r="E1841" s="3721"/>
      <c r="F1841" s="3773" t="str">
        <f>$E$1468</f>
        <v>ASHP - SEER 16 - replace electric furnace / CAC - early replacement MF ER2</v>
      </c>
      <c r="G1841" s="3774"/>
      <c r="H1841" s="3774"/>
      <c r="I1841" s="3775"/>
      <c r="J1841" s="3071" t="str">
        <f>$C$1468</f>
        <v>353000_2019_12_</v>
      </c>
      <c r="K1841" s="3056">
        <v>1496</v>
      </c>
      <c r="L1841" s="945"/>
      <c r="M1841" s="1808"/>
      <c r="N1841" s="157"/>
      <c r="O1841" s="277"/>
      <c r="P1841" s="937"/>
      <c r="Q1841" s="937"/>
      <c r="R1841" s="937"/>
      <c r="S1841" s="924"/>
      <c r="T1841" s="1407"/>
      <c r="U1841" s="157"/>
      <c r="V1841" s="3589"/>
      <c r="W1841" s="766">
        <v>2009</v>
      </c>
      <c r="X1841" s="765">
        <v>1496</v>
      </c>
      <c r="Y1841" s="766">
        <v>1496</v>
      </c>
      <c r="Z1841" s="2426">
        <v>1496</v>
      </c>
      <c r="AA1841" s="2426">
        <v>1496</v>
      </c>
      <c r="AB1841" s="2426">
        <v>1496</v>
      </c>
      <c r="AC1841" s="766"/>
      <c r="AD1841" s="766"/>
      <c r="AE1841" s="766"/>
      <c r="AF1841" s="766"/>
      <c r="AG1841" s="766"/>
      <c r="BB1841" s="647"/>
      <c r="BC1841" s="648"/>
      <c r="BD1841" s="757"/>
      <c r="BE1841" s="659"/>
    </row>
    <row r="1842" spans="1:57" s="64" customFormat="1" ht="15" customHeight="1" outlineLevel="1" x14ac:dyDescent="0.25">
      <c r="A1842" s="2463"/>
      <c r="B1842" s="157"/>
      <c r="C1842" s="385"/>
      <c r="D1842" s="3589"/>
      <c r="E1842" s="3721"/>
      <c r="F1842" s="3773" t="str">
        <f>$E$1470</f>
        <v>ASHP - SEER 16 - replace electric furnace / CAC - early replacement MF ER1_CompE</v>
      </c>
      <c r="G1842" s="3774"/>
      <c r="H1842" s="3774"/>
      <c r="I1842" s="3775"/>
      <c r="J1842" s="3071" t="str">
        <f>$C$1470</f>
        <v>353001_2019_12_</v>
      </c>
      <c r="K1842" s="3056">
        <v>510</v>
      </c>
      <c r="L1842" s="945"/>
      <c r="M1842" s="1808" t="s">
        <v>3675</v>
      </c>
      <c r="N1842" s="157"/>
      <c r="O1842" s="277"/>
      <c r="P1842" s="937"/>
      <c r="Q1842" s="937"/>
      <c r="R1842" s="937"/>
      <c r="S1842" s="924"/>
      <c r="T1842" s="1407"/>
      <c r="U1842" s="157"/>
      <c r="V1842" s="3589"/>
      <c r="W1842" s="766"/>
      <c r="X1842" s="765"/>
      <c r="Y1842" s="765">
        <v>510</v>
      </c>
      <c r="Z1842" s="2426">
        <v>510</v>
      </c>
      <c r="AA1842" s="2426">
        <v>510</v>
      </c>
      <c r="AB1842" s="2426">
        <v>510</v>
      </c>
      <c r="AC1842" s="766"/>
      <c r="AD1842" s="766"/>
      <c r="AE1842" s="766"/>
      <c r="AF1842" s="766"/>
      <c r="AG1842" s="766"/>
      <c r="BB1842" s="647"/>
      <c r="BC1842" s="648"/>
      <c r="BD1842" s="757"/>
      <c r="BE1842" s="659"/>
    </row>
    <row r="1843" spans="1:57" s="64" customFormat="1" ht="15" customHeight="1" outlineLevel="1" x14ac:dyDescent="0.25">
      <c r="A1843" s="2463"/>
      <c r="B1843" s="157"/>
      <c r="C1843" s="385"/>
      <c r="D1843" s="3589"/>
      <c r="E1843" s="3721"/>
      <c r="F1843" s="3773" t="str">
        <f>$E$1472</f>
        <v>ASHP - SEER 16 - replace electric furnace / CAC - early replacement MF ER2_CompE</v>
      </c>
      <c r="G1843" s="3774"/>
      <c r="H1843" s="3774"/>
      <c r="I1843" s="3775"/>
      <c r="J1843" s="3071" t="str">
        <f>$C$1472</f>
        <v>353001_2019_12_</v>
      </c>
      <c r="K1843" s="3056">
        <v>510</v>
      </c>
      <c r="L1843" s="945"/>
      <c r="M1843" s="1808" t="s">
        <v>3675</v>
      </c>
      <c r="N1843" s="157"/>
      <c r="O1843" s="277"/>
      <c r="P1843" s="937"/>
      <c r="Q1843" s="937"/>
      <c r="R1843" s="937"/>
      <c r="S1843" s="924"/>
      <c r="T1843" s="1407"/>
      <c r="U1843" s="157"/>
      <c r="V1843" s="3589"/>
      <c r="W1843" s="766"/>
      <c r="X1843" s="765"/>
      <c r="Y1843" s="765">
        <v>510</v>
      </c>
      <c r="Z1843" s="2426">
        <v>510</v>
      </c>
      <c r="AA1843" s="2426">
        <v>510</v>
      </c>
      <c r="AB1843" s="2426">
        <v>510</v>
      </c>
      <c r="AC1843" s="766"/>
      <c r="AD1843" s="766"/>
      <c r="AE1843" s="766"/>
      <c r="AF1843" s="766"/>
      <c r="AG1843" s="766"/>
      <c r="BB1843" s="647"/>
      <c r="BC1843" s="648"/>
      <c r="BD1843" s="757"/>
      <c r="BE1843" s="659"/>
    </row>
    <row r="1844" spans="1:57" s="64" customFormat="1" ht="15" customHeight="1" outlineLevel="1" x14ac:dyDescent="0.25">
      <c r="A1844" s="2463"/>
      <c r="B1844" s="157"/>
      <c r="C1844" s="385"/>
      <c r="D1844" s="3589"/>
      <c r="E1844" s="3721"/>
      <c r="F1844" s="3776" t="str">
        <f>$E$1474</f>
        <v xml:space="preserve">ASHP SEER 15 - replace on Fail MF </v>
      </c>
      <c r="G1844" s="3777"/>
      <c r="H1844" s="3777"/>
      <c r="I1844" s="3778"/>
      <c r="J1844" s="3072" t="str">
        <f>$C$1474</f>
        <v>353050_2019_12_</v>
      </c>
      <c r="K1844" s="3056">
        <v>1496</v>
      </c>
      <c r="L1844" s="945"/>
      <c r="M1844" s="1808"/>
      <c r="N1844" s="157"/>
      <c r="O1844" s="277"/>
      <c r="P1844" s="937"/>
      <c r="Q1844" s="937"/>
      <c r="R1844" s="937"/>
      <c r="S1844" s="924"/>
      <c r="T1844" s="1407"/>
      <c r="U1844" s="157"/>
      <c r="V1844" s="3589"/>
      <c r="W1844" s="766">
        <v>2009</v>
      </c>
      <c r="X1844" s="765">
        <v>1496</v>
      </c>
      <c r="Y1844" s="766">
        <v>1496</v>
      </c>
      <c r="Z1844" s="2426">
        <v>1496</v>
      </c>
      <c r="AA1844" s="2426">
        <v>1496</v>
      </c>
      <c r="AB1844" s="2426">
        <v>1496</v>
      </c>
      <c r="AC1844" s="766"/>
      <c r="AD1844" s="766"/>
      <c r="AE1844" s="766"/>
      <c r="AF1844" s="766"/>
      <c r="AG1844" s="766"/>
      <c r="BB1844" s="647"/>
      <c r="BC1844" s="648"/>
      <c r="BD1844" s="757"/>
      <c r="BE1844" s="659"/>
    </row>
    <row r="1845" spans="1:57" s="64" customFormat="1" ht="15" customHeight="1" outlineLevel="1" x14ac:dyDescent="0.25">
      <c r="A1845" s="2463"/>
      <c r="B1845" s="157"/>
      <c r="C1845" s="385"/>
      <c r="D1845" s="3589"/>
      <c r="E1845" s="3721"/>
      <c r="F1845" s="3776" t="str">
        <f>$E$1476</f>
        <v>ASHP SEER 15 - replace on Fail MF _CompE</v>
      </c>
      <c r="G1845" s="3777"/>
      <c r="H1845" s="3777"/>
      <c r="I1845" s="3778"/>
      <c r="J1845" s="3072" t="str">
        <f>$C$1476</f>
        <v>353051_2019_12_</v>
      </c>
      <c r="K1845" s="3056">
        <v>510</v>
      </c>
      <c r="L1845" s="945"/>
      <c r="M1845" s="1808" t="s">
        <v>3675</v>
      </c>
      <c r="N1845" s="157"/>
      <c r="O1845" s="277"/>
      <c r="P1845" s="937"/>
      <c r="Q1845" s="937"/>
      <c r="R1845" s="937"/>
      <c r="S1845" s="924"/>
      <c r="T1845" s="1407"/>
      <c r="U1845" s="157"/>
      <c r="V1845" s="3589"/>
      <c r="W1845" s="766"/>
      <c r="X1845" s="765"/>
      <c r="Y1845" s="765">
        <v>510</v>
      </c>
      <c r="Z1845" s="2426">
        <v>510</v>
      </c>
      <c r="AA1845" s="2426">
        <v>510</v>
      </c>
      <c r="AB1845" s="2426">
        <v>510</v>
      </c>
      <c r="AC1845" s="766"/>
      <c r="AD1845" s="766"/>
      <c r="AE1845" s="766"/>
      <c r="AF1845" s="766"/>
      <c r="AG1845" s="766"/>
      <c r="BB1845" s="647"/>
      <c r="BC1845" s="648"/>
      <c r="BD1845" s="757"/>
      <c r="BE1845" s="659"/>
    </row>
    <row r="1846" spans="1:57" s="64" customFormat="1" ht="15" customHeight="1" outlineLevel="1" x14ac:dyDescent="0.25">
      <c r="A1846" s="2463"/>
      <c r="B1846" s="157"/>
      <c r="C1846" s="385"/>
      <c r="D1846" s="3589"/>
      <c r="E1846" s="3721"/>
      <c r="F1846" s="3773" t="str">
        <f>$E$1478</f>
        <v>ASHP - SEER 17 - replace electric furnace / CAC SF</v>
      </c>
      <c r="G1846" s="3774"/>
      <c r="H1846" s="3774"/>
      <c r="I1846" s="3775"/>
      <c r="J1846" s="3071" t="str">
        <f>$C$1478</f>
        <v>353100_2019_12_</v>
      </c>
      <c r="K1846" s="3056">
        <v>1496</v>
      </c>
      <c r="L1846" s="945"/>
      <c r="M1846" s="1808"/>
      <c r="N1846" s="157"/>
      <c r="O1846" s="277"/>
      <c r="P1846" s="937"/>
      <c r="Q1846" s="937"/>
      <c r="R1846" s="937"/>
      <c r="S1846" s="924"/>
      <c r="T1846" s="1407"/>
      <c r="U1846" s="157"/>
      <c r="V1846" s="3589"/>
      <c r="W1846" s="766">
        <v>2009</v>
      </c>
      <c r="X1846" s="765">
        <v>1496</v>
      </c>
      <c r="Y1846" s="766">
        <v>1496</v>
      </c>
      <c r="Z1846" s="2426">
        <v>1496</v>
      </c>
      <c r="AA1846" s="2426">
        <v>1496</v>
      </c>
      <c r="AB1846" s="2426">
        <v>1496</v>
      </c>
      <c r="AC1846" s="766"/>
      <c r="AD1846" s="766"/>
      <c r="AE1846" s="766"/>
      <c r="AF1846" s="766"/>
      <c r="AG1846" s="766"/>
      <c r="BB1846" s="647"/>
      <c r="BC1846" s="648"/>
      <c r="BD1846" s="757"/>
      <c r="BE1846" s="659"/>
    </row>
    <row r="1847" spans="1:57" s="64" customFormat="1" ht="15" customHeight="1" outlineLevel="1" x14ac:dyDescent="0.25">
      <c r="A1847" s="2463"/>
      <c r="B1847" s="157"/>
      <c r="C1847" s="385"/>
      <c r="D1847" s="3589"/>
      <c r="E1847" s="3721"/>
      <c r="F1847" s="3773" t="str">
        <f>$E$1480</f>
        <v>ASHP - SEER 17 - replace electric furnace / CAC MF</v>
      </c>
      <c r="G1847" s="3774"/>
      <c r="H1847" s="3774"/>
      <c r="I1847" s="3775"/>
      <c r="J1847" s="3071" t="str">
        <f>$C$1480</f>
        <v>353150_2019_12_</v>
      </c>
      <c r="K1847" s="3056">
        <v>1496</v>
      </c>
      <c r="L1847" s="945"/>
      <c r="M1847" s="1808"/>
      <c r="N1847" s="157"/>
      <c r="O1847" s="277"/>
      <c r="P1847" s="937"/>
      <c r="Q1847" s="937"/>
      <c r="R1847" s="937"/>
      <c r="S1847" s="924"/>
      <c r="T1847" s="1407"/>
      <c r="U1847" s="157"/>
      <c r="V1847" s="3589"/>
      <c r="W1847" s="766">
        <v>2009</v>
      </c>
      <c r="X1847" s="765">
        <v>1496</v>
      </c>
      <c r="Y1847" s="766">
        <v>1496</v>
      </c>
      <c r="Z1847" s="2426">
        <v>1496</v>
      </c>
      <c r="AA1847" s="2426">
        <v>1496</v>
      </c>
      <c r="AB1847" s="2426">
        <v>1496</v>
      </c>
      <c r="AC1847" s="766"/>
      <c r="AD1847" s="766"/>
      <c r="AE1847" s="766"/>
      <c r="AF1847" s="766"/>
      <c r="AG1847" s="766"/>
      <c r="BB1847" s="647"/>
      <c r="BC1847" s="648"/>
      <c r="BD1847" s="757"/>
      <c r="BE1847" s="659"/>
    </row>
    <row r="1848" spans="1:57" s="64" customFormat="1" ht="15" customHeight="1" outlineLevel="1" x14ac:dyDescent="0.25">
      <c r="A1848" s="2463"/>
      <c r="B1848" s="157"/>
      <c r="C1848" s="385"/>
      <c r="D1848" s="3589"/>
      <c r="E1848" s="3721"/>
      <c r="F1848" s="3773" t="str">
        <f>$E$1482</f>
        <v>ASHP - SEER 17 - replace electric furnace / CAC MF_CompE</v>
      </c>
      <c r="G1848" s="3774"/>
      <c r="H1848" s="3774"/>
      <c r="I1848" s="3775"/>
      <c r="J1848" s="3071" t="str">
        <f>$C$1482</f>
        <v>353151_2019_12_</v>
      </c>
      <c r="K1848" s="3056">
        <v>510</v>
      </c>
      <c r="L1848" s="945"/>
      <c r="M1848" s="1808" t="s">
        <v>3675</v>
      </c>
      <c r="N1848" s="157"/>
      <c r="O1848" s="277"/>
      <c r="P1848" s="937"/>
      <c r="Q1848" s="937"/>
      <c r="R1848" s="937"/>
      <c r="S1848" s="924"/>
      <c r="T1848" s="1407"/>
      <c r="U1848" s="157"/>
      <c r="V1848" s="3589"/>
      <c r="W1848" s="766"/>
      <c r="X1848" s="765"/>
      <c r="Y1848" s="765">
        <v>510</v>
      </c>
      <c r="Z1848" s="2426">
        <v>510</v>
      </c>
      <c r="AA1848" s="2426">
        <v>510</v>
      </c>
      <c r="AB1848" s="2426">
        <v>510</v>
      </c>
      <c r="AC1848" s="766"/>
      <c r="AD1848" s="766"/>
      <c r="AE1848" s="766"/>
      <c r="AF1848" s="766"/>
      <c r="AG1848" s="766"/>
      <c r="BB1848" s="647"/>
      <c r="BC1848" s="648"/>
      <c r="BD1848" s="757"/>
      <c r="BE1848" s="659"/>
    </row>
    <row r="1849" spans="1:57" s="64" customFormat="1" ht="15" customHeight="1" outlineLevel="1" x14ac:dyDescent="0.25">
      <c r="A1849" s="2463"/>
      <c r="B1849" s="157"/>
      <c r="C1849" s="385"/>
      <c r="D1849" s="3589"/>
      <c r="E1849" s="3721"/>
      <c r="F1849" s="3773" t="str">
        <f>$E$1484</f>
        <v>ASHP - SEER 18 - replace electric furnace / CAC SF</v>
      </c>
      <c r="G1849" s="3774"/>
      <c r="H1849" s="3774"/>
      <c r="I1849" s="3775"/>
      <c r="J1849" s="3071" t="str">
        <f>$C$1484</f>
        <v>353200_2019_12_</v>
      </c>
      <c r="K1849" s="3056">
        <v>1496</v>
      </c>
      <c r="L1849" s="945"/>
      <c r="M1849" s="1808"/>
      <c r="N1849" s="157"/>
      <c r="O1849" s="277"/>
      <c r="P1849" s="937"/>
      <c r="Q1849" s="937"/>
      <c r="R1849" s="937"/>
      <c r="S1849" s="924"/>
      <c r="T1849" s="1407"/>
      <c r="U1849" s="157"/>
      <c r="V1849" s="3589"/>
      <c r="W1849" s="766">
        <v>2009</v>
      </c>
      <c r="X1849" s="765">
        <v>1496</v>
      </c>
      <c r="Y1849" s="766">
        <v>1496</v>
      </c>
      <c r="Z1849" s="2426">
        <v>1496</v>
      </c>
      <c r="AA1849" s="2426">
        <v>1496</v>
      </c>
      <c r="AB1849" s="2426">
        <v>1496</v>
      </c>
      <c r="AC1849" s="766"/>
      <c r="AD1849" s="766"/>
      <c r="AE1849" s="766"/>
      <c r="AF1849" s="766"/>
      <c r="AG1849" s="766"/>
      <c r="BB1849" s="647"/>
      <c r="BC1849" s="648"/>
      <c r="BD1849" s="757"/>
      <c r="BE1849" s="659"/>
    </row>
    <row r="1850" spans="1:57" s="64" customFormat="1" ht="15" customHeight="1" outlineLevel="1" x14ac:dyDescent="0.25">
      <c r="A1850" s="2463"/>
      <c r="B1850" s="157"/>
      <c r="C1850" s="385"/>
      <c r="D1850" s="3589"/>
      <c r="E1850" s="3721"/>
      <c r="F1850" s="3773" t="str">
        <f>$E$1486</f>
        <v>ASHP - SEER 18 - replace electric furnace / CAC MF</v>
      </c>
      <c r="G1850" s="3774"/>
      <c r="H1850" s="3774"/>
      <c r="I1850" s="3775"/>
      <c r="J1850" s="3071" t="str">
        <f>$C$1486</f>
        <v>353250_2019_12_</v>
      </c>
      <c r="K1850" s="3056">
        <v>1496</v>
      </c>
      <c r="L1850" s="945"/>
      <c r="M1850" s="1808"/>
      <c r="N1850" s="157"/>
      <c r="O1850" s="277"/>
      <c r="P1850" s="937"/>
      <c r="Q1850" s="937"/>
      <c r="R1850" s="937"/>
      <c r="S1850" s="924"/>
      <c r="T1850" s="1407"/>
      <c r="U1850" s="157"/>
      <c r="V1850" s="3589"/>
      <c r="W1850" s="766">
        <v>2009</v>
      </c>
      <c r="X1850" s="765">
        <v>1496</v>
      </c>
      <c r="Y1850" s="766">
        <v>1496</v>
      </c>
      <c r="Z1850" s="2426">
        <v>1496</v>
      </c>
      <c r="AA1850" s="2426">
        <v>1496</v>
      </c>
      <c r="AB1850" s="2426">
        <v>1496</v>
      </c>
      <c r="AC1850" s="766"/>
      <c r="AD1850" s="766"/>
      <c r="AE1850" s="766"/>
      <c r="AF1850" s="766"/>
      <c r="AG1850" s="766"/>
      <c r="BB1850" s="647"/>
      <c r="BC1850" s="648"/>
      <c r="BD1850" s="757"/>
      <c r="BE1850" s="659"/>
    </row>
    <row r="1851" spans="1:57" s="64" customFormat="1" ht="15" customHeight="1" outlineLevel="1" x14ac:dyDescent="0.25">
      <c r="A1851" s="2463"/>
      <c r="B1851" s="157"/>
      <c r="C1851" s="385"/>
      <c r="D1851" s="3589"/>
      <c r="E1851" s="3721"/>
      <c r="F1851" s="3773" t="str">
        <f>$E$1488</f>
        <v>ASHP - SEER 18 - replace electric furnace / CAC MF_CompE</v>
      </c>
      <c r="G1851" s="3774"/>
      <c r="H1851" s="3774"/>
      <c r="I1851" s="3775"/>
      <c r="J1851" s="3071" t="str">
        <f>$C$1488</f>
        <v>353251_2019_12_</v>
      </c>
      <c r="K1851" s="3056">
        <v>510</v>
      </c>
      <c r="L1851" s="945"/>
      <c r="M1851" s="1808" t="s">
        <v>3675</v>
      </c>
      <c r="N1851" s="157"/>
      <c r="O1851" s="277"/>
      <c r="P1851" s="937"/>
      <c r="Q1851" s="937"/>
      <c r="R1851" s="937"/>
      <c r="S1851" s="924"/>
      <c r="T1851" s="1407"/>
      <c r="U1851" s="157"/>
      <c r="V1851" s="3589"/>
      <c r="W1851" s="766"/>
      <c r="X1851" s="765"/>
      <c r="Y1851" s="765">
        <v>510</v>
      </c>
      <c r="Z1851" s="2426">
        <v>510</v>
      </c>
      <c r="AA1851" s="2426">
        <v>510</v>
      </c>
      <c r="AB1851" s="2426">
        <v>510</v>
      </c>
      <c r="AC1851" s="766"/>
      <c r="AD1851" s="766"/>
      <c r="AE1851" s="766"/>
      <c r="AF1851" s="766"/>
      <c r="AG1851" s="766"/>
      <c r="BB1851" s="647"/>
      <c r="BC1851" s="648"/>
      <c r="BD1851" s="757"/>
      <c r="BE1851" s="659"/>
    </row>
    <row r="1852" spans="1:57" s="64" customFormat="1" ht="15" customHeight="1" outlineLevel="1" x14ac:dyDescent="0.25">
      <c r="A1852" s="2463"/>
      <c r="B1852" s="157"/>
      <c r="C1852" s="385"/>
      <c r="D1852" s="3589"/>
      <c r="E1852" s="3721"/>
      <c r="F1852" s="3773" t="str">
        <f>$E$1490</f>
        <v>ASHP - SEER 19 - replace electric furnace / CAC SF</v>
      </c>
      <c r="G1852" s="3774"/>
      <c r="H1852" s="3774"/>
      <c r="I1852" s="3775"/>
      <c r="J1852" s="3071" t="str">
        <f>$C$1490</f>
        <v>353300_2019_12_</v>
      </c>
      <c r="K1852" s="3056">
        <v>1496</v>
      </c>
      <c r="L1852" s="945"/>
      <c r="M1852" s="1808"/>
      <c r="N1852" s="157"/>
      <c r="O1852" s="277"/>
      <c r="P1852" s="937"/>
      <c r="Q1852" s="937"/>
      <c r="R1852" s="937"/>
      <c r="S1852" s="924"/>
      <c r="T1852" s="1407"/>
      <c r="U1852" s="157"/>
      <c r="V1852" s="3589"/>
      <c r="W1852" s="766">
        <v>2009</v>
      </c>
      <c r="X1852" s="765">
        <v>1496</v>
      </c>
      <c r="Y1852" s="766">
        <v>1496</v>
      </c>
      <c r="Z1852" s="2426">
        <v>1496</v>
      </c>
      <c r="AA1852" s="2426">
        <v>1496</v>
      </c>
      <c r="AB1852" s="2426">
        <v>1496</v>
      </c>
      <c r="AC1852" s="766"/>
      <c r="AD1852" s="766"/>
      <c r="AE1852" s="766"/>
      <c r="AF1852" s="766"/>
      <c r="AG1852" s="766"/>
      <c r="BB1852" s="647"/>
      <c r="BC1852" s="648"/>
      <c r="BD1852" s="757"/>
      <c r="BE1852" s="659"/>
    </row>
    <row r="1853" spans="1:57" s="64" customFormat="1" ht="15" customHeight="1" outlineLevel="1" x14ac:dyDescent="0.25">
      <c r="A1853" s="2463"/>
      <c r="B1853" s="157"/>
      <c r="C1853" s="385"/>
      <c r="D1853" s="3589"/>
      <c r="E1853" s="3721"/>
      <c r="F1853" s="3773" t="str">
        <f>$E$1492</f>
        <v>ASHP - SEER 19 - replace electric furnace / CAC MF</v>
      </c>
      <c r="G1853" s="3774"/>
      <c r="H1853" s="3774"/>
      <c r="I1853" s="3775"/>
      <c r="J1853" s="3071" t="str">
        <f>$C$1492</f>
        <v>353350_2019_12_</v>
      </c>
      <c r="K1853" s="3056">
        <v>1496</v>
      </c>
      <c r="L1853" s="945"/>
      <c r="M1853" s="1808"/>
      <c r="N1853" s="157"/>
      <c r="O1853" s="277"/>
      <c r="P1853" s="937"/>
      <c r="Q1853" s="937"/>
      <c r="R1853" s="937"/>
      <c r="S1853" s="924"/>
      <c r="T1853" s="1407"/>
      <c r="U1853" s="157"/>
      <c r="V1853" s="3589"/>
      <c r="W1853" s="766">
        <v>2009</v>
      </c>
      <c r="X1853" s="765">
        <v>1496</v>
      </c>
      <c r="Y1853" s="766">
        <v>1496</v>
      </c>
      <c r="Z1853" s="2426">
        <v>1496</v>
      </c>
      <c r="AA1853" s="2426">
        <v>1496</v>
      </c>
      <c r="AB1853" s="2426">
        <v>1496</v>
      </c>
      <c r="AC1853" s="766"/>
      <c r="AD1853" s="766"/>
      <c r="AE1853" s="766"/>
      <c r="AF1853" s="766"/>
      <c r="AG1853" s="766"/>
      <c r="BB1853" s="647"/>
      <c r="BC1853" s="648"/>
      <c r="BD1853" s="757"/>
      <c r="BE1853" s="659"/>
    </row>
    <row r="1854" spans="1:57" s="64" customFormat="1" ht="15" customHeight="1" outlineLevel="1" x14ac:dyDescent="0.25">
      <c r="A1854" s="2463"/>
      <c r="B1854" s="157"/>
      <c r="C1854" s="385"/>
      <c r="D1854" s="3589"/>
      <c r="E1854" s="3721"/>
      <c r="F1854" s="3773" t="str">
        <f>$E$1494</f>
        <v>ASHP - SEER 19 - replace electric furnace / CAC MF_CompE</v>
      </c>
      <c r="G1854" s="3774"/>
      <c r="H1854" s="3774"/>
      <c r="I1854" s="3775"/>
      <c r="J1854" s="3071" t="str">
        <f>$C$1494</f>
        <v>353351_2019_12_</v>
      </c>
      <c r="K1854" s="3056">
        <v>510</v>
      </c>
      <c r="L1854" s="945"/>
      <c r="M1854" s="1808" t="s">
        <v>3675</v>
      </c>
      <c r="N1854" s="157"/>
      <c r="O1854" s="277"/>
      <c r="P1854" s="937"/>
      <c r="Q1854" s="937"/>
      <c r="R1854" s="937"/>
      <c r="S1854" s="924"/>
      <c r="T1854" s="1407"/>
      <c r="U1854" s="157"/>
      <c r="V1854" s="3589"/>
      <c r="W1854" s="766"/>
      <c r="X1854" s="765"/>
      <c r="Y1854" s="765">
        <v>510</v>
      </c>
      <c r="Z1854" s="2426">
        <v>510</v>
      </c>
      <c r="AA1854" s="2426">
        <v>510</v>
      </c>
      <c r="AB1854" s="2426">
        <v>510</v>
      </c>
      <c r="AC1854" s="766"/>
      <c r="AD1854" s="766"/>
      <c r="AE1854" s="766"/>
      <c r="AF1854" s="766"/>
      <c r="AG1854" s="766"/>
      <c r="BB1854" s="647"/>
      <c r="BC1854" s="648"/>
      <c r="BD1854" s="757"/>
      <c r="BE1854" s="659"/>
    </row>
    <row r="1855" spans="1:57" s="64" customFormat="1" ht="15" customHeight="1" outlineLevel="1" x14ac:dyDescent="0.25">
      <c r="A1855" s="2463"/>
      <c r="B1855" s="157"/>
      <c r="C1855" s="385"/>
      <c r="D1855" s="3589"/>
      <c r="E1855" s="3721"/>
      <c r="F1855" s="3773" t="str">
        <f>$E$1496</f>
        <v>ASHP - SEER 20 - replace electric furnace / CAC - early replacement SF ER1</v>
      </c>
      <c r="G1855" s="3774"/>
      <c r="H1855" s="3774"/>
      <c r="I1855" s="3775"/>
      <c r="J1855" s="3071" t="str">
        <f>$C$1496</f>
        <v>353400_2019_12_</v>
      </c>
      <c r="K1855" s="3056">
        <v>1496</v>
      </c>
      <c r="L1855" s="945"/>
      <c r="M1855" s="1808"/>
      <c r="N1855" s="157"/>
      <c r="O1855" s="277"/>
      <c r="P1855" s="937"/>
      <c r="Q1855" s="937"/>
      <c r="R1855" s="937"/>
      <c r="S1855" s="924"/>
      <c r="T1855" s="1407"/>
      <c r="U1855" s="157"/>
      <c r="V1855" s="3589"/>
      <c r="W1855" s="766">
        <v>2009</v>
      </c>
      <c r="X1855" s="765">
        <v>1496</v>
      </c>
      <c r="Y1855" s="766">
        <v>1496</v>
      </c>
      <c r="Z1855" s="2426">
        <v>1496</v>
      </c>
      <c r="AA1855" s="2426">
        <v>1496</v>
      </c>
      <c r="AB1855" s="2426">
        <v>1496</v>
      </c>
      <c r="AC1855" s="766"/>
      <c r="AD1855" s="766"/>
      <c r="AE1855" s="766"/>
      <c r="AF1855" s="766"/>
      <c r="AG1855" s="766"/>
      <c r="BB1855" s="647"/>
      <c r="BC1855" s="648"/>
      <c r="BD1855" s="757"/>
      <c r="BE1855" s="659"/>
    </row>
    <row r="1856" spans="1:57" s="64" customFormat="1" ht="15" customHeight="1" outlineLevel="1" x14ac:dyDescent="0.25">
      <c r="A1856" s="2463"/>
      <c r="B1856" s="157"/>
      <c r="C1856" s="385"/>
      <c r="D1856" s="3589"/>
      <c r="E1856" s="3721"/>
      <c r="F1856" s="3773" t="str">
        <f>$E$1498</f>
        <v>ASHP - SEER 20 - replace electric furnace / CAC - early replacement SF ER2</v>
      </c>
      <c r="G1856" s="3774"/>
      <c r="H1856" s="3774"/>
      <c r="I1856" s="3775"/>
      <c r="J1856" s="3071" t="str">
        <f>$C$1498</f>
        <v>353400_2019_12_</v>
      </c>
      <c r="K1856" s="3056">
        <v>1496</v>
      </c>
      <c r="L1856" s="945"/>
      <c r="M1856" s="1808"/>
      <c r="N1856" s="157"/>
      <c r="O1856" s="277"/>
      <c r="P1856" s="937"/>
      <c r="Q1856" s="937"/>
      <c r="R1856" s="937"/>
      <c r="S1856" s="924"/>
      <c r="T1856" s="1407"/>
      <c r="U1856" s="157"/>
      <c r="V1856" s="3589"/>
      <c r="W1856" s="766">
        <v>2009</v>
      </c>
      <c r="X1856" s="765">
        <v>1496</v>
      </c>
      <c r="Y1856" s="766">
        <v>1496</v>
      </c>
      <c r="Z1856" s="2426">
        <v>1496</v>
      </c>
      <c r="AA1856" s="2426">
        <v>1496</v>
      </c>
      <c r="AB1856" s="2426">
        <v>1496</v>
      </c>
      <c r="AC1856" s="766"/>
      <c r="AD1856" s="766"/>
      <c r="AE1856" s="766"/>
      <c r="AF1856" s="766"/>
      <c r="AG1856" s="766"/>
      <c r="BB1856" s="647"/>
      <c r="BC1856" s="648"/>
      <c r="BD1856" s="757"/>
      <c r="BE1856" s="659"/>
    </row>
    <row r="1857" spans="1:57" s="64" customFormat="1" ht="15" customHeight="1" outlineLevel="1" x14ac:dyDescent="0.25">
      <c r="A1857" s="2463"/>
      <c r="B1857" s="157"/>
      <c r="C1857" s="385"/>
      <c r="D1857" s="3589"/>
      <c r="E1857" s="3721"/>
      <c r="F1857" s="3773" t="str">
        <f>$E$1500</f>
        <v>ASHP - SEER 20 - replace electric furnace / CAC SF</v>
      </c>
      <c r="G1857" s="3774"/>
      <c r="H1857" s="3774"/>
      <c r="I1857" s="3775"/>
      <c r="J1857" s="3071" t="str">
        <f>$C$1500</f>
        <v>353450_2019_12_</v>
      </c>
      <c r="K1857" s="3056">
        <v>1496</v>
      </c>
      <c r="L1857" s="945"/>
      <c r="M1857" s="1808"/>
      <c r="N1857" s="157"/>
      <c r="O1857" s="277"/>
      <c r="P1857" s="937"/>
      <c r="Q1857" s="937"/>
      <c r="R1857" s="937"/>
      <c r="S1857" s="924"/>
      <c r="T1857" s="1407"/>
      <c r="U1857" s="157"/>
      <c r="V1857" s="3589"/>
      <c r="W1857" s="766">
        <v>2009</v>
      </c>
      <c r="X1857" s="765">
        <v>1496</v>
      </c>
      <c r="Y1857" s="766">
        <v>1496</v>
      </c>
      <c r="Z1857" s="2426">
        <v>1496</v>
      </c>
      <c r="AA1857" s="2426">
        <v>1496</v>
      </c>
      <c r="AB1857" s="2426">
        <v>1496</v>
      </c>
      <c r="AC1857" s="766"/>
      <c r="AD1857" s="766"/>
      <c r="AE1857" s="766"/>
      <c r="AF1857" s="766"/>
      <c r="AG1857" s="766"/>
      <c r="BB1857" s="647"/>
      <c r="BC1857" s="648"/>
      <c r="BD1857" s="757"/>
      <c r="BE1857" s="659"/>
    </row>
    <row r="1858" spans="1:57" s="64" customFormat="1" ht="15" customHeight="1" outlineLevel="1" x14ac:dyDescent="0.25">
      <c r="A1858" s="2463"/>
      <c r="B1858" s="157"/>
      <c r="C1858" s="385"/>
      <c r="D1858" s="3589"/>
      <c r="E1858" s="3721"/>
      <c r="F1858" s="3773" t="str">
        <f>$E$1502</f>
        <v>ASHP - SEER 20 - replace electric furnace / CAC MF</v>
      </c>
      <c r="G1858" s="3774"/>
      <c r="H1858" s="3774"/>
      <c r="I1858" s="3775"/>
      <c r="J1858" s="3071" t="str">
        <f>$C$1502</f>
        <v>353500_2019_12_</v>
      </c>
      <c r="K1858" s="3056">
        <v>1496</v>
      </c>
      <c r="L1858" s="945"/>
      <c r="M1858" s="1808"/>
      <c r="N1858" s="157"/>
      <c r="O1858" s="277"/>
      <c r="P1858" s="937"/>
      <c r="Q1858" s="937"/>
      <c r="R1858" s="937"/>
      <c r="S1858" s="924"/>
      <c r="T1858" s="1407"/>
      <c r="U1858" s="157"/>
      <c r="V1858" s="3589"/>
      <c r="W1858" s="766">
        <v>2009</v>
      </c>
      <c r="X1858" s="765">
        <v>1496</v>
      </c>
      <c r="Y1858" s="766">
        <v>1496</v>
      </c>
      <c r="Z1858" s="2426">
        <v>1496</v>
      </c>
      <c r="AA1858" s="2426">
        <v>1496</v>
      </c>
      <c r="AB1858" s="2426">
        <v>1496</v>
      </c>
      <c r="AC1858" s="766"/>
      <c r="AD1858" s="766"/>
      <c r="AE1858" s="766"/>
      <c r="AF1858" s="766"/>
      <c r="AG1858" s="766"/>
      <c r="BB1858" s="647"/>
      <c r="BC1858" s="648"/>
      <c r="BD1858" s="757"/>
      <c r="BE1858" s="659"/>
    </row>
    <row r="1859" spans="1:57" s="64" customFormat="1" ht="15" customHeight="1" outlineLevel="1" x14ac:dyDescent="0.25">
      <c r="A1859" s="2463"/>
      <c r="B1859" s="157"/>
      <c r="C1859" s="385"/>
      <c r="D1859" s="3589"/>
      <c r="E1859" s="3721"/>
      <c r="F1859" s="3773" t="str">
        <f>$E$1504</f>
        <v>ASHP - SEER 20 - replace electric furnace / CAC MF_CompE</v>
      </c>
      <c r="G1859" s="3774"/>
      <c r="H1859" s="3774"/>
      <c r="I1859" s="3775"/>
      <c r="J1859" s="3071" t="str">
        <f>$C$1504</f>
        <v>353501_2019_12_</v>
      </c>
      <c r="K1859" s="3056">
        <v>510</v>
      </c>
      <c r="L1859" s="945"/>
      <c r="M1859" s="1808" t="s">
        <v>3675</v>
      </c>
      <c r="N1859" s="157"/>
      <c r="O1859" s="277"/>
      <c r="P1859" s="937"/>
      <c r="Q1859" s="937"/>
      <c r="R1859" s="937"/>
      <c r="S1859" s="924"/>
      <c r="T1859" s="1407"/>
      <c r="U1859" s="157"/>
      <c r="V1859" s="3589"/>
      <c r="W1859" s="766"/>
      <c r="X1859" s="765"/>
      <c r="Y1859" s="765">
        <v>510</v>
      </c>
      <c r="Z1859" s="2426">
        <v>510</v>
      </c>
      <c r="AA1859" s="2426">
        <v>510</v>
      </c>
      <c r="AB1859" s="2426">
        <v>510</v>
      </c>
      <c r="AC1859" s="766"/>
      <c r="AD1859" s="766"/>
      <c r="AE1859" s="766"/>
      <c r="AF1859" s="766"/>
      <c r="AG1859" s="766"/>
      <c r="BB1859" s="647"/>
      <c r="BC1859" s="648"/>
      <c r="BD1859" s="757"/>
      <c r="BE1859" s="659"/>
    </row>
    <row r="1860" spans="1:57" s="64" customFormat="1" ht="15" customHeight="1" outlineLevel="1" x14ac:dyDescent="0.25">
      <c r="A1860" s="2463"/>
      <c r="B1860" s="157"/>
      <c r="C1860" s="385"/>
      <c r="D1860" s="3589"/>
      <c r="E1860" s="3721"/>
      <c r="F1860" s="3773" t="str">
        <f>$E$1506</f>
        <v>ASHP - SEER 21 - replace electric furnace / CAC - early replacement SF ER1</v>
      </c>
      <c r="G1860" s="3774"/>
      <c r="H1860" s="3774"/>
      <c r="I1860" s="3775"/>
      <c r="J1860" s="3071" t="str">
        <f>$C$1506</f>
        <v>353550_2019_12_</v>
      </c>
      <c r="K1860" s="3056">
        <v>1496</v>
      </c>
      <c r="L1860" s="945"/>
      <c r="M1860" s="1808"/>
      <c r="N1860" s="157"/>
      <c r="O1860" s="277"/>
      <c r="P1860" s="937"/>
      <c r="Q1860" s="937"/>
      <c r="R1860" s="937"/>
      <c r="S1860" s="924"/>
      <c r="T1860" s="1407"/>
      <c r="U1860" s="157"/>
      <c r="V1860" s="3589"/>
      <c r="W1860" s="766">
        <v>2009</v>
      </c>
      <c r="X1860" s="765">
        <v>1496</v>
      </c>
      <c r="Y1860" s="766">
        <v>1496</v>
      </c>
      <c r="Z1860" s="2426">
        <v>1496</v>
      </c>
      <c r="AA1860" s="2426">
        <v>1496</v>
      </c>
      <c r="AB1860" s="2426">
        <v>1496</v>
      </c>
      <c r="AC1860" s="766"/>
      <c r="AD1860" s="766"/>
      <c r="AE1860" s="766"/>
      <c r="AF1860" s="766"/>
      <c r="AG1860" s="766"/>
      <c r="BB1860" s="647"/>
      <c r="BC1860" s="648"/>
      <c r="BD1860" s="757"/>
      <c r="BE1860" s="659"/>
    </row>
    <row r="1861" spans="1:57" s="64" customFormat="1" ht="15" customHeight="1" outlineLevel="1" x14ac:dyDescent="0.25">
      <c r="A1861" s="2463"/>
      <c r="B1861" s="157"/>
      <c r="C1861" s="385"/>
      <c r="D1861" s="3589"/>
      <c r="E1861" s="3721"/>
      <c r="F1861" s="3773" t="str">
        <f>$E$1508</f>
        <v>ASHP - SEER 21 - replace electric furnace / CAC - early replacement SF ER2</v>
      </c>
      <c r="G1861" s="3774"/>
      <c r="H1861" s="3774"/>
      <c r="I1861" s="3775"/>
      <c r="J1861" s="3071" t="str">
        <f>$C$1508</f>
        <v>353550_2019_12_</v>
      </c>
      <c r="K1861" s="3056">
        <v>1496</v>
      </c>
      <c r="L1861" s="945"/>
      <c r="M1861" s="1808"/>
      <c r="N1861" s="157"/>
      <c r="O1861" s="277"/>
      <c r="P1861" s="937"/>
      <c r="Q1861" s="938"/>
      <c r="R1861" s="937"/>
      <c r="S1861" s="924"/>
      <c r="T1861" s="1407"/>
      <c r="U1861" s="157"/>
      <c r="V1861" s="3589"/>
      <c r="W1861" s="766">
        <v>2009</v>
      </c>
      <c r="X1861" s="765">
        <v>1496</v>
      </c>
      <c r="Y1861" s="766">
        <v>1496</v>
      </c>
      <c r="Z1861" s="2426">
        <v>1496</v>
      </c>
      <c r="AA1861" s="2426">
        <v>1496</v>
      </c>
      <c r="AB1861" s="2426">
        <v>1496</v>
      </c>
      <c r="AC1861" s="766"/>
      <c r="AD1861" s="766"/>
      <c r="AE1861" s="766"/>
      <c r="AF1861" s="766"/>
      <c r="AG1861" s="766"/>
      <c r="BB1861" s="647"/>
      <c r="BC1861" s="648"/>
      <c r="BD1861" s="757"/>
      <c r="BE1861" s="659"/>
    </row>
    <row r="1862" spans="1:57" s="64" customFormat="1" ht="15" customHeight="1" outlineLevel="1" x14ac:dyDescent="0.25">
      <c r="A1862" s="2463"/>
      <c r="B1862" s="157"/>
      <c r="C1862" s="385"/>
      <c r="D1862" s="3589"/>
      <c r="E1862" s="3721"/>
      <c r="F1862" s="3773" t="str">
        <f>$E$1510</f>
        <v>ASHP - SEER 21 - replace electric furnace / CAC - early replacement MF ER1</v>
      </c>
      <c r="G1862" s="3774"/>
      <c r="H1862" s="3774"/>
      <c r="I1862" s="3775"/>
      <c r="J1862" s="3071" t="str">
        <f>$C$1510</f>
        <v>353600_2019_12_</v>
      </c>
      <c r="K1862" s="3056">
        <v>1496</v>
      </c>
      <c r="L1862" s="945"/>
      <c r="M1862" s="1808"/>
      <c r="N1862" s="157"/>
      <c r="O1862" s="277"/>
      <c r="P1862" s="937"/>
      <c r="Q1862" s="938"/>
      <c r="R1862" s="937"/>
      <c r="S1862" s="924"/>
      <c r="T1862" s="1407"/>
      <c r="U1862" s="157"/>
      <c r="V1862" s="3589"/>
      <c r="W1862" s="766">
        <v>2009</v>
      </c>
      <c r="X1862" s="765">
        <v>1496</v>
      </c>
      <c r="Y1862" s="766">
        <v>1496</v>
      </c>
      <c r="Z1862" s="2426">
        <v>1496</v>
      </c>
      <c r="AA1862" s="2426">
        <v>1496</v>
      </c>
      <c r="AB1862" s="2426">
        <v>1496</v>
      </c>
      <c r="AC1862" s="766"/>
      <c r="AD1862" s="766"/>
      <c r="AE1862" s="766"/>
      <c r="AF1862" s="766"/>
      <c r="AG1862" s="766"/>
      <c r="BB1862" s="647"/>
      <c r="BC1862" s="648"/>
      <c r="BD1862" s="757"/>
      <c r="BE1862" s="659"/>
    </row>
    <row r="1863" spans="1:57" s="64" customFormat="1" ht="15" customHeight="1" outlineLevel="1" x14ac:dyDescent="0.25">
      <c r="A1863" s="2463"/>
      <c r="B1863" s="157"/>
      <c r="C1863" s="385"/>
      <c r="D1863" s="3589"/>
      <c r="E1863" s="3721"/>
      <c r="F1863" s="3773" t="str">
        <f>$E$1512</f>
        <v>ASHP - SEER 21 - replace electric furnace / CAC - early replacement MF ER2</v>
      </c>
      <c r="G1863" s="3774"/>
      <c r="H1863" s="3774"/>
      <c r="I1863" s="3775"/>
      <c r="J1863" s="3071" t="str">
        <f>$C$1512</f>
        <v>353600_2019_12_</v>
      </c>
      <c r="K1863" s="3056">
        <v>1496</v>
      </c>
      <c r="L1863" s="945"/>
      <c r="M1863" s="1808"/>
      <c r="N1863" s="157"/>
      <c r="O1863" s="277"/>
      <c r="P1863" s="937"/>
      <c r="Q1863" s="938"/>
      <c r="R1863" s="937"/>
      <c r="S1863" s="924"/>
      <c r="T1863" s="1407"/>
      <c r="U1863" s="157"/>
      <c r="V1863" s="3589"/>
      <c r="W1863" s="766">
        <v>2009</v>
      </c>
      <c r="X1863" s="765">
        <v>1496</v>
      </c>
      <c r="Y1863" s="766">
        <v>1496</v>
      </c>
      <c r="Z1863" s="2426">
        <v>1496</v>
      </c>
      <c r="AA1863" s="2426">
        <v>1496</v>
      </c>
      <c r="AB1863" s="2426">
        <v>1496</v>
      </c>
      <c r="AC1863" s="766"/>
      <c r="AD1863" s="766"/>
      <c r="AE1863" s="766"/>
      <c r="AF1863" s="766"/>
      <c r="AG1863" s="766"/>
      <c r="BB1863" s="647"/>
      <c r="BC1863" s="648"/>
      <c r="BD1863" s="757"/>
      <c r="BE1863" s="659"/>
    </row>
    <row r="1864" spans="1:57" s="64" customFormat="1" ht="15" customHeight="1" outlineLevel="1" x14ac:dyDescent="0.25">
      <c r="A1864" s="2463"/>
      <c r="B1864" s="157"/>
      <c r="C1864" s="385"/>
      <c r="D1864" s="3589"/>
      <c r="E1864" s="3721"/>
      <c r="F1864" s="3773" t="str">
        <f>$E$1514</f>
        <v>ASHP - SEER 21 - replace electric furnace / CAC - early replacement MF ER1_CompE</v>
      </c>
      <c r="G1864" s="3774"/>
      <c r="H1864" s="3774"/>
      <c r="I1864" s="3775"/>
      <c r="J1864" s="3071" t="str">
        <f>$C$1514</f>
        <v>353601_2019_12_</v>
      </c>
      <c r="K1864" s="3056">
        <v>510</v>
      </c>
      <c r="L1864" s="945"/>
      <c r="M1864" s="1808" t="s">
        <v>3675</v>
      </c>
      <c r="N1864" s="157"/>
      <c r="O1864" s="277"/>
      <c r="P1864" s="937"/>
      <c r="Q1864" s="938"/>
      <c r="R1864" s="937"/>
      <c r="S1864" s="924"/>
      <c r="T1864" s="1407"/>
      <c r="U1864" s="157"/>
      <c r="V1864" s="3589"/>
      <c r="W1864" s="766"/>
      <c r="X1864" s="765"/>
      <c r="Y1864" s="765">
        <v>510</v>
      </c>
      <c r="Z1864" s="2426">
        <v>510</v>
      </c>
      <c r="AA1864" s="2426">
        <v>510</v>
      </c>
      <c r="AB1864" s="2426">
        <v>510</v>
      </c>
      <c r="AC1864" s="766"/>
      <c r="AD1864" s="766"/>
      <c r="AE1864" s="766"/>
      <c r="AF1864" s="766"/>
      <c r="AG1864" s="766"/>
      <c r="BB1864" s="647"/>
      <c r="BC1864" s="648"/>
      <c r="BD1864" s="757"/>
      <c r="BE1864" s="659"/>
    </row>
    <row r="1865" spans="1:57" s="64" customFormat="1" ht="15" customHeight="1" outlineLevel="1" x14ac:dyDescent="0.25">
      <c r="A1865" s="2463"/>
      <c r="B1865" s="157"/>
      <c r="C1865" s="385"/>
      <c r="D1865" s="3589"/>
      <c r="E1865" s="3721"/>
      <c r="F1865" s="3773" t="str">
        <f>$E$1516</f>
        <v>ASHP - SEER 21 - replace electric furnace / CAC - early replacement MF ER2_CompE</v>
      </c>
      <c r="G1865" s="3774"/>
      <c r="H1865" s="3774"/>
      <c r="I1865" s="3775"/>
      <c r="J1865" s="3071" t="str">
        <f>$C$1516</f>
        <v>353601_2019_12_</v>
      </c>
      <c r="K1865" s="3056">
        <v>510</v>
      </c>
      <c r="L1865" s="945"/>
      <c r="M1865" s="1808" t="s">
        <v>3675</v>
      </c>
      <c r="N1865" s="157"/>
      <c r="O1865" s="277"/>
      <c r="P1865" s="937"/>
      <c r="Q1865" s="938"/>
      <c r="R1865" s="937"/>
      <c r="S1865" s="924"/>
      <c r="T1865" s="1407"/>
      <c r="U1865" s="157"/>
      <c r="V1865" s="3589"/>
      <c r="W1865" s="766"/>
      <c r="X1865" s="765"/>
      <c r="Y1865" s="765">
        <v>510</v>
      </c>
      <c r="Z1865" s="2426">
        <v>510</v>
      </c>
      <c r="AA1865" s="2426">
        <v>510</v>
      </c>
      <c r="AB1865" s="2426">
        <v>510</v>
      </c>
      <c r="AC1865" s="766"/>
      <c r="AD1865" s="766"/>
      <c r="AE1865" s="766"/>
      <c r="AF1865" s="766"/>
      <c r="AG1865" s="766"/>
      <c r="BB1865" s="647"/>
      <c r="BC1865" s="648"/>
      <c r="BD1865" s="757"/>
      <c r="BE1865" s="659"/>
    </row>
    <row r="1866" spans="1:57" s="64" customFormat="1" ht="15" customHeight="1" outlineLevel="1" x14ac:dyDescent="0.25">
      <c r="A1866" s="2463"/>
      <c r="B1866" s="157"/>
      <c r="C1866" s="385"/>
      <c r="D1866" s="3589"/>
      <c r="E1866" s="3721"/>
      <c r="F1866" s="3773" t="str">
        <f>$E$1518</f>
        <v>ASHP - SEER 21 - replace electric furnace / CAC SF</v>
      </c>
      <c r="G1866" s="3774"/>
      <c r="H1866" s="3774"/>
      <c r="I1866" s="3775"/>
      <c r="J1866" s="3071" t="str">
        <f>$C$1518</f>
        <v>353650_2019_12_</v>
      </c>
      <c r="K1866" s="3056">
        <v>1496</v>
      </c>
      <c r="L1866" s="945"/>
      <c r="M1866" s="1808"/>
      <c r="N1866" s="157"/>
      <c r="O1866" s="277"/>
      <c r="P1866" s="937"/>
      <c r="Q1866" s="938"/>
      <c r="R1866" s="937"/>
      <c r="S1866" s="924"/>
      <c r="T1866" s="1407"/>
      <c r="U1866" s="157"/>
      <c r="V1866" s="3589"/>
      <c r="W1866" s="766">
        <v>2009</v>
      </c>
      <c r="X1866" s="765">
        <v>1496</v>
      </c>
      <c r="Y1866" s="766">
        <v>1496</v>
      </c>
      <c r="Z1866" s="2426">
        <v>1496</v>
      </c>
      <c r="AA1866" s="2426">
        <v>1496</v>
      </c>
      <c r="AB1866" s="2426">
        <v>1496</v>
      </c>
      <c r="AC1866" s="766"/>
      <c r="AD1866" s="766"/>
      <c r="AE1866" s="766"/>
      <c r="AF1866" s="766"/>
      <c r="AG1866" s="766"/>
      <c r="BB1866" s="647"/>
      <c r="BC1866" s="648"/>
      <c r="BD1866" s="757"/>
      <c r="BE1866" s="659"/>
    </row>
    <row r="1867" spans="1:57" s="64" customFormat="1" ht="15" customHeight="1" outlineLevel="1" x14ac:dyDescent="0.25">
      <c r="A1867" s="2463"/>
      <c r="B1867" s="157"/>
      <c r="C1867" s="385"/>
      <c r="D1867" s="3589"/>
      <c r="E1867" s="3721"/>
      <c r="F1867" s="3773" t="str">
        <f>$E$1520</f>
        <v>ASHP-  SEER 21+ replace at Fail Elec Resist Furnace MF</v>
      </c>
      <c r="G1867" s="3774"/>
      <c r="H1867" s="3774"/>
      <c r="I1867" s="3775"/>
      <c r="J1867" s="3071" t="str">
        <f>$C$1520</f>
        <v>353700_2019_12_</v>
      </c>
      <c r="K1867" s="3056">
        <v>1496</v>
      </c>
      <c r="L1867" s="945"/>
      <c r="M1867" s="1808"/>
      <c r="N1867" s="157"/>
      <c r="O1867" s="277"/>
      <c r="P1867" s="937"/>
      <c r="Q1867" s="938"/>
      <c r="R1867" s="937"/>
      <c r="S1867" s="924"/>
      <c r="T1867" s="1407"/>
      <c r="U1867" s="157"/>
      <c r="V1867" s="3589"/>
      <c r="W1867" s="766">
        <v>2009</v>
      </c>
      <c r="X1867" s="765">
        <v>1496</v>
      </c>
      <c r="Y1867" s="766">
        <v>1496</v>
      </c>
      <c r="Z1867" s="2426">
        <v>1496</v>
      </c>
      <c r="AA1867" s="2426">
        <v>1496</v>
      </c>
      <c r="AB1867" s="2426">
        <v>1496</v>
      </c>
      <c r="AC1867" s="766"/>
      <c r="AD1867" s="766"/>
      <c r="AE1867" s="766"/>
      <c r="AF1867" s="766"/>
      <c r="AG1867" s="766"/>
      <c r="BB1867" s="647"/>
      <c r="BC1867" s="648"/>
      <c r="BD1867" s="757"/>
      <c r="BE1867" s="659"/>
    </row>
    <row r="1868" spans="1:57" s="64" customFormat="1" ht="15" customHeight="1" outlineLevel="1" x14ac:dyDescent="0.25">
      <c r="A1868" s="2463"/>
      <c r="B1868" s="157"/>
      <c r="C1868" s="385"/>
      <c r="D1868" s="3589"/>
      <c r="E1868" s="3721"/>
      <c r="F1868" s="3773" t="str">
        <f>$E$1522</f>
        <v>ASHP-  SEER 21+ replace at Fail Elec Resist Furnace MF_CompE</v>
      </c>
      <c r="G1868" s="3774"/>
      <c r="H1868" s="3774"/>
      <c r="I1868" s="3775"/>
      <c r="J1868" s="3071" t="str">
        <f>$C$1522</f>
        <v>353701_2019_12_</v>
      </c>
      <c r="K1868" s="3056">
        <v>510</v>
      </c>
      <c r="L1868" s="945"/>
      <c r="M1868" s="1808" t="s">
        <v>3675</v>
      </c>
      <c r="N1868" s="157"/>
      <c r="O1868" s="277"/>
      <c r="P1868" s="937"/>
      <c r="Q1868" s="938"/>
      <c r="R1868" s="937"/>
      <c r="S1868" s="924"/>
      <c r="T1868" s="1407"/>
      <c r="U1868" s="157"/>
      <c r="V1868" s="3589"/>
      <c r="W1868" s="766"/>
      <c r="X1868" s="765"/>
      <c r="Y1868" s="766">
        <v>510</v>
      </c>
      <c r="Z1868" s="2426">
        <v>510</v>
      </c>
      <c r="AA1868" s="2426">
        <v>510</v>
      </c>
      <c r="AB1868" s="2426">
        <v>510</v>
      </c>
      <c r="AC1868" s="766"/>
      <c r="AD1868" s="766"/>
      <c r="AE1868" s="766"/>
      <c r="AF1868" s="766"/>
      <c r="AG1868" s="766"/>
      <c r="BB1868" s="647"/>
      <c r="BC1868" s="648"/>
      <c r="BD1868" s="757"/>
      <c r="BE1868" s="659"/>
    </row>
    <row r="1869" spans="1:57" s="64" customFormat="1" ht="15" customHeight="1" outlineLevel="1" x14ac:dyDescent="0.25">
      <c r="A1869" s="2463"/>
      <c r="B1869" s="157"/>
      <c r="C1869" s="385"/>
      <c r="D1869" s="3589"/>
      <c r="E1869" s="3721"/>
      <c r="F1869" s="3773" t="str">
        <f>$E$1524</f>
        <v>ASHP SEER 17 replace ASHP - early replacement SF ER1</v>
      </c>
      <c r="G1869" s="3774"/>
      <c r="H1869" s="3774"/>
      <c r="I1869" s="3775"/>
      <c r="J1869" s="3071" t="str">
        <f>$C$1524</f>
        <v>353750_2019_12_</v>
      </c>
      <c r="K1869" s="3056">
        <v>1496</v>
      </c>
      <c r="L1869" s="945"/>
      <c r="M1869" s="1808"/>
      <c r="N1869" s="157"/>
      <c r="O1869" s="277"/>
      <c r="P1869" s="937"/>
      <c r="Q1869" s="938"/>
      <c r="R1869" s="937"/>
      <c r="S1869" s="924"/>
      <c r="T1869" s="1407"/>
      <c r="U1869" s="157"/>
      <c r="V1869" s="3589"/>
      <c r="W1869" s="766">
        <v>2009</v>
      </c>
      <c r="X1869" s="765">
        <v>1496</v>
      </c>
      <c r="Y1869" s="766">
        <v>1496</v>
      </c>
      <c r="Z1869" s="2426">
        <v>1496</v>
      </c>
      <c r="AA1869" s="2426">
        <v>1496</v>
      </c>
      <c r="AB1869" s="2426">
        <v>1496</v>
      </c>
      <c r="AC1869" s="766"/>
      <c r="AD1869" s="766"/>
      <c r="AE1869" s="766"/>
      <c r="AF1869" s="766"/>
      <c r="AG1869" s="766"/>
      <c r="BB1869" s="647"/>
      <c r="BC1869" s="648"/>
      <c r="BD1869" s="757"/>
      <c r="BE1869" s="659"/>
    </row>
    <row r="1870" spans="1:57" s="64" customFormat="1" ht="15" customHeight="1" outlineLevel="1" x14ac:dyDescent="0.25">
      <c r="A1870" s="1393"/>
      <c r="B1870" s="157"/>
      <c r="C1870" s="385"/>
      <c r="D1870" s="3589"/>
      <c r="E1870" s="3721"/>
      <c r="F1870" s="3773" t="str">
        <f>$E$1526</f>
        <v>ASHP SEER 17 replace ASHP - early replacement SF ER2</v>
      </c>
      <c r="G1870" s="3774"/>
      <c r="H1870" s="3774"/>
      <c r="I1870" s="3775"/>
      <c r="J1870" s="3071" t="str">
        <f>$C$1526</f>
        <v>353750_2019_12_</v>
      </c>
      <c r="K1870" s="3056">
        <v>1496</v>
      </c>
      <c r="L1870" s="945"/>
      <c r="M1870" s="1808"/>
      <c r="N1870" s="157"/>
      <c r="O1870" s="277"/>
      <c r="P1870" s="277"/>
      <c r="Q1870" s="277"/>
      <c r="R1870" s="277"/>
      <c r="S1870" s="157"/>
      <c r="T1870" s="157"/>
      <c r="U1870" s="157"/>
      <c r="V1870" s="3589"/>
      <c r="W1870" s="766">
        <v>2009</v>
      </c>
      <c r="X1870" s="765">
        <v>1496</v>
      </c>
      <c r="Y1870" s="766">
        <v>1496</v>
      </c>
      <c r="Z1870" s="2426">
        <v>1496</v>
      </c>
      <c r="AA1870" s="2426">
        <v>1496</v>
      </c>
      <c r="AB1870" s="2426">
        <v>1496</v>
      </c>
      <c r="AC1870" s="766"/>
      <c r="AD1870" s="766"/>
      <c r="AE1870" s="766"/>
      <c r="AF1870" s="766"/>
      <c r="AG1870" s="766"/>
      <c r="BB1870" s="647"/>
      <c r="BC1870" s="648"/>
      <c r="BD1870" s="757"/>
      <c r="BE1870" s="659"/>
    </row>
    <row r="1871" spans="1:57" s="64" customFormat="1" ht="15" customHeight="1" outlineLevel="1" x14ac:dyDescent="0.25">
      <c r="A1871" s="2463"/>
      <c r="B1871" s="157"/>
      <c r="C1871" s="385"/>
      <c r="D1871" s="3589"/>
      <c r="E1871" s="3721"/>
      <c r="F1871" s="3773" t="str">
        <f>$E$1528</f>
        <v>ASHP SEER 17 replace ASHP - replace on fail SF</v>
      </c>
      <c r="G1871" s="3774"/>
      <c r="H1871" s="3774"/>
      <c r="I1871" s="3775"/>
      <c r="J1871" s="3071" t="str">
        <f>$C$1528</f>
        <v>353800_2019_12_</v>
      </c>
      <c r="K1871" s="3056">
        <v>1496</v>
      </c>
      <c r="L1871" s="945"/>
      <c r="M1871" s="1808"/>
      <c r="N1871" s="157"/>
      <c r="O1871" s="277"/>
      <c r="P1871" s="937"/>
      <c r="Q1871" s="938"/>
      <c r="R1871" s="937"/>
      <c r="S1871" s="924"/>
      <c r="T1871" s="1407"/>
      <c r="U1871" s="157"/>
      <c r="V1871" s="3589"/>
      <c r="W1871" s="766">
        <v>2009</v>
      </c>
      <c r="X1871" s="765">
        <v>1496</v>
      </c>
      <c r="Y1871" s="766">
        <v>1496</v>
      </c>
      <c r="Z1871" s="2426">
        <v>1496</v>
      </c>
      <c r="AA1871" s="2426">
        <v>1496</v>
      </c>
      <c r="AB1871" s="2426">
        <v>1496</v>
      </c>
      <c r="AC1871" s="766"/>
      <c r="AD1871" s="766"/>
      <c r="AE1871" s="766"/>
      <c r="AF1871" s="766"/>
      <c r="AG1871" s="766"/>
      <c r="BB1871" s="647"/>
      <c r="BC1871" s="648"/>
      <c r="BD1871" s="757"/>
      <c r="BE1871" s="659"/>
    </row>
    <row r="1872" spans="1:57" s="64" customFormat="1" ht="15" customHeight="1" outlineLevel="1" x14ac:dyDescent="0.25">
      <c r="A1872" s="1393"/>
      <c r="B1872" s="157"/>
      <c r="C1872" s="385"/>
      <c r="D1872" s="3589"/>
      <c r="E1872" s="3721"/>
      <c r="F1872" s="3773" t="str">
        <f>$E$1530</f>
        <v>ASHP SEER 18 replace ASHP - early replacement SF ER1</v>
      </c>
      <c r="G1872" s="3774"/>
      <c r="H1872" s="3774"/>
      <c r="I1872" s="3775"/>
      <c r="J1872" s="3071" t="str">
        <f>$C$1530</f>
        <v>353850_2019_12_</v>
      </c>
      <c r="K1872" s="3056">
        <v>1496</v>
      </c>
      <c r="L1872" s="945"/>
      <c r="M1872" s="1808"/>
      <c r="N1872" s="157"/>
      <c r="O1872" s="277"/>
      <c r="P1872" s="277"/>
      <c r="Q1872" s="277"/>
      <c r="R1872" s="277"/>
      <c r="S1872" s="157"/>
      <c r="T1872" s="157"/>
      <c r="U1872" s="157"/>
      <c r="V1872" s="3589"/>
      <c r="W1872" s="766">
        <v>2009</v>
      </c>
      <c r="X1872" s="765">
        <v>1496</v>
      </c>
      <c r="Y1872" s="766">
        <v>1496</v>
      </c>
      <c r="Z1872" s="2426">
        <v>1496</v>
      </c>
      <c r="AA1872" s="2426">
        <v>1496</v>
      </c>
      <c r="AB1872" s="2426">
        <v>1496</v>
      </c>
      <c r="AC1872" s="766"/>
      <c r="AD1872" s="766"/>
      <c r="AE1872" s="766"/>
      <c r="AF1872" s="766"/>
      <c r="AG1872" s="766"/>
      <c r="BB1872" s="647"/>
      <c r="BC1872" s="648"/>
      <c r="BD1872" s="757"/>
      <c r="BE1872" s="659"/>
    </row>
    <row r="1873" spans="1:57" s="64" customFormat="1" ht="15" customHeight="1" outlineLevel="1" x14ac:dyDescent="0.25">
      <c r="A1873" s="2463"/>
      <c r="B1873" s="157"/>
      <c r="C1873" s="385"/>
      <c r="D1873" s="3589"/>
      <c r="E1873" s="3721"/>
      <c r="F1873" s="3773" t="str">
        <f>$E$1532</f>
        <v>ASHP SEER 18 replace ASHP - early replacement SF ER2</v>
      </c>
      <c r="G1873" s="3774"/>
      <c r="H1873" s="3774"/>
      <c r="I1873" s="3775"/>
      <c r="J1873" s="3071" t="str">
        <f>$C$1532</f>
        <v>353850_2019_12_</v>
      </c>
      <c r="K1873" s="3056">
        <v>1496</v>
      </c>
      <c r="L1873" s="945"/>
      <c r="M1873" s="1808"/>
      <c r="N1873" s="157"/>
      <c r="O1873" s="277"/>
      <c r="P1873" s="937"/>
      <c r="Q1873" s="938"/>
      <c r="R1873" s="937"/>
      <c r="S1873" s="924"/>
      <c r="T1873" s="1407"/>
      <c r="U1873" s="157"/>
      <c r="V1873" s="3589"/>
      <c r="W1873" s="766">
        <v>2009</v>
      </c>
      <c r="X1873" s="765">
        <v>1496</v>
      </c>
      <c r="Y1873" s="766">
        <v>1496</v>
      </c>
      <c r="Z1873" s="2426">
        <v>1496</v>
      </c>
      <c r="AA1873" s="2426">
        <v>1496</v>
      </c>
      <c r="AB1873" s="2426">
        <v>1496</v>
      </c>
      <c r="AC1873" s="766"/>
      <c r="AD1873" s="766"/>
      <c r="AE1873" s="766"/>
      <c r="AF1873" s="766"/>
      <c r="AG1873" s="766"/>
      <c r="BB1873" s="647"/>
      <c r="BC1873" s="648"/>
      <c r="BD1873" s="757"/>
      <c r="BE1873" s="659"/>
    </row>
    <row r="1874" spans="1:57" s="64" customFormat="1" ht="15" customHeight="1" outlineLevel="1" x14ac:dyDescent="0.25">
      <c r="A1874" s="1393"/>
      <c r="B1874" s="157"/>
      <c r="C1874" s="385"/>
      <c r="D1874" s="3589"/>
      <c r="E1874" s="3721"/>
      <c r="F1874" s="3773" t="str">
        <f>$E$1534</f>
        <v>ASHP - SEER 18 - replace on fail SF</v>
      </c>
      <c r="G1874" s="3774"/>
      <c r="H1874" s="3774"/>
      <c r="I1874" s="3775"/>
      <c r="J1874" s="3071" t="str">
        <f>$C$1534</f>
        <v>353950_2019_12_</v>
      </c>
      <c r="K1874" s="3056">
        <v>1496</v>
      </c>
      <c r="L1874" s="945"/>
      <c r="M1874" s="1808"/>
      <c r="N1874" s="157"/>
      <c r="O1874" s="277"/>
      <c r="P1874" s="277"/>
      <c r="Q1874" s="277"/>
      <c r="R1874" s="277"/>
      <c r="S1874" s="157"/>
      <c r="T1874" s="157"/>
      <c r="U1874" s="157"/>
      <c r="V1874" s="3589"/>
      <c r="W1874" s="766">
        <v>2009</v>
      </c>
      <c r="X1874" s="765">
        <v>1496</v>
      </c>
      <c r="Y1874" s="766">
        <v>1496</v>
      </c>
      <c r="Z1874" s="2426">
        <v>1496</v>
      </c>
      <c r="AA1874" s="2426">
        <v>1496</v>
      </c>
      <c r="AB1874" s="2426">
        <v>1496</v>
      </c>
      <c r="AC1874" s="766"/>
      <c r="AD1874" s="766"/>
      <c r="AE1874" s="766"/>
      <c r="AF1874" s="766"/>
      <c r="AG1874" s="766"/>
      <c r="BB1874" s="647"/>
      <c r="BC1874" s="648"/>
      <c r="BD1874" s="757"/>
      <c r="BE1874" s="659"/>
    </row>
    <row r="1875" spans="1:57" s="64" customFormat="1" ht="15" customHeight="1" outlineLevel="1" x14ac:dyDescent="0.25">
      <c r="A1875" s="2463"/>
      <c r="B1875" s="157"/>
      <c r="C1875" s="385"/>
      <c r="D1875" s="3589"/>
      <c r="E1875" s="3721"/>
      <c r="F1875" s="3773" t="str">
        <f>$E$1536</f>
        <v>ASHP SEER 19 replace ASHP - early replacement SF ER1</v>
      </c>
      <c r="G1875" s="3774"/>
      <c r="H1875" s="3774"/>
      <c r="I1875" s="3775"/>
      <c r="J1875" s="3071" t="str">
        <f>$C$1536</f>
        <v>354000_2019_12_</v>
      </c>
      <c r="K1875" s="3056">
        <v>1496</v>
      </c>
      <c r="L1875" s="945"/>
      <c r="M1875" s="1808"/>
      <c r="N1875" s="157"/>
      <c r="O1875" s="277"/>
      <c r="P1875" s="937"/>
      <c r="Q1875" s="938"/>
      <c r="R1875" s="937"/>
      <c r="S1875" s="924"/>
      <c r="T1875" s="1407"/>
      <c r="U1875" s="157"/>
      <c r="V1875" s="3589"/>
      <c r="W1875" s="766">
        <v>2009</v>
      </c>
      <c r="X1875" s="765">
        <v>1496</v>
      </c>
      <c r="Y1875" s="766">
        <v>1496</v>
      </c>
      <c r="Z1875" s="2426">
        <v>1496</v>
      </c>
      <c r="AA1875" s="2426">
        <v>1496</v>
      </c>
      <c r="AB1875" s="2426">
        <v>1496</v>
      </c>
      <c r="AC1875" s="766"/>
      <c r="AD1875" s="766"/>
      <c r="AE1875" s="766"/>
      <c r="AF1875" s="766"/>
      <c r="AG1875" s="766"/>
      <c r="BB1875" s="647"/>
      <c r="BC1875" s="648"/>
      <c r="BD1875" s="757"/>
      <c r="BE1875" s="659"/>
    </row>
    <row r="1876" spans="1:57" s="64" customFormat="1" ht="15" customHeight="1" outlineLevel="1" x14ac:dyDescent="0.25">
      <c r="A1876" s="2463"/>
      <c r="B1876" s="157"/>
      <c r="C1876" s="385"/>
      <c r="D1876" s="3589"/>
      <c r="E1876" s="3721"/>
      <c r="F1876" s="3773" t="str">
        <f>$E$1538</f>
        <v>ASHP SEER 19 replace ASHP - early replacement SF ER2</v>
      </c>
      <c r="G1876" s="3774"/>
      <c r="H1876" s="3774"/>
      <c r="I1876" s="3775"/>
      <c r="J1876" s="3071" t="str">
        <f>$C$1538</f>
        <v>354000_2019_12_</v>
      </c>
      <c r="K1876" s="3056">
        <v>1496</v>
      </c>
      <c r="L1876" s="945"/>
      <c r="M1876" s="1808"/>
      <c r="N1876" s="157"/>
      <c r="O1876" s="277"/>
      <c r="P1876" s="937"/>
      <c r="Q1876" s="938"/>
      <c r="R1876" s="937"/>
      <c r="S1876" s="924"/>
      <c r="T1876" s="1407"/>
      <c r="U1876" s="157"/>
      <c r="V1876" s="3589"/>
      <c r="W1876" s="766">
        <v>2009</v>
      </c>
      <c r="X1876" s="765">
        <v>1496</v>
      </c>
      <c r="Y1876" s="766">
        <v>1496</v>
      </c>
      <c r="Z1876" s="2426">
        <v>1496</v>
      </c>
      <c r="AA1876" s="2426">
        <v>1496</v>
      </c>
      <c r="AB1876" s="2426">
        <v>1496</v>
      </c>
      <c r="AC1876" s="766"/>
      <c r="AD1876" s="766"/>
      <c r="AE1876" s="766"/>
      <c r="AF1876" s="766"/>
      <c r="AG1876" s="766"/>
      <c r="BB1876" s="647"/>
      <c r="BC1876" s="648"/>
      <c r="BD1876" s="757"/>
      <c r="BE1876" s="659"/>
    </row>
    <row r="1877" spans="1:57" s="64" customFormat="1" ht="15" customHeight="1" outlineLevel="1" x14ac:dyDescent="0.25">
      <c r="A1877" s="1393"/>
      <c r="B1877" s="157"/>
      <c r="C1877" s="385"/>
      <c r="D1877" s="3589"/>
      <c r="E1877" s="3721"/>
      <c r="F1877" s="3773" t="str">
        <f>$E$1540</f>
        <v>ASHP SEER 19 replace ASHP - replace on fail SF</v>
      </c>
      <c r="G1877" s="3774"/>
      <c r="H1877" s="3774"/>
      <c r="I1877" s="3775"/>
      <c r="J1877" s="3071" t="str">
        <f>$C$1540</f>
        <v>354050_2019_12_</v>
      </c>
      <c r="K1877" s="3056">
        <v>1496</v>
      </c>
      <c r="L1877" s="945"/>
      <c r="M1877" s="1808"/>
      <c r="N1877" s="157"/>
      <c r="O1877" s="277"/>
      <c r="P1877" s="277"/>
      <c r="Q1877" s="277"/>
      <c r="R1877" s="277"/>
      <c r="S1877" s="157"/>
      <c r="T1877" s="157"/>
      <c r="U1877" s="157"/>
      <c r="V1877" s="3589"/>
      <c r="W1877" s="766">
        <v>2009</v>
      </c>
      <c r="X1877" s="765">
        <v>1496</v>
      </c>
      <c r="Y1877" s="766">
        <v>1496</v>
      </c>
      <c r="Z1877" s="2426">
        <v>1496</v>
      </c>
      <c r="AA1877" s="2426">
        <v>1496</v>
      </c>
      <c r="AB1877" s="2426">
        <v>1496</v>
      </c>
      <c r="AC1877" s="766"/>
      <c r="AD1877" s="766"/>
      <c r="AE1877" s="766"/>
      <c r="AF1877" s="766"/>
      <c r="AG1877" s="766"/>
      <c r="BB1877" s="647"/>
      <c r="BC1877" s="648"/>
      <c r="BD1877" s="757"/>
      <c r="BE1877" s="659"/>
    </row>
    <row r="1878" spans="1:57" s="64" customFormat="1" ht="15" customHeight="1" outlineLevel="1" x14ac:dyDescent="0.25">
      <c r="A1878" s="1393"/>
      <c r="B1878" s="157"/>
      <c r="C1878" s="385"/>
      <c r="D1878" s="3589"/>
      <c r="E1878" s="3721"/>
      <c r="F1878" s="3773" t="str">
        <f>$E$1542</f>
        <v>ASHP - SEER 17 - replace electric furnace / CAC - early replacement SF ER1</v>
      </c>
      <c r="G1878" s="3774"/>
      <c r="H1878" s="3774"/>
      <c r="I1878" s="3775"/>
      <c r="J1878" s="3071" t="str">
        <f>$C$1542</f>
        <v>354100_2019_12_</v>
      </c>
      <c r="K1878" s="3056">
        <v>1496</v>
      </c>
      <c r="L1878" s="945"/>
      <c r="M1878" s="1808"/>
      <c r="N1878" s="157"/>
      <c r="O1878" s="277"/>
      <c r="P1878" s="277"/>
      <c r="Q1878" s="277"/>
      <c r="R1878" s="277"/>
      <c r="S1878" s="157"/>
      <c r="T1878" s="157"/>
      <c r="U1878" s="157"/>
      <c r="V1878" s="3589"/>
      <c r="W1878" s="766">
        <v>2009</v>
      </c>
      <c r="X1878" s="765">
        <v>1496</v>
      </c>
      <c r="Y1878" s="766">
        <v>1496</v>
      </c>
      <c r="Z1878" s="2426">
        <v>1496</v>
      </c>
      <c r="AA1878" s="2426">
        <v>1496</v>
      </c>
      <c r="AB1878" s="2426">
        <v>1496</v>
      </c>
      <c r="AC1878" s="766"/>
      <c r="AD1878" s="766"/>
      <c r="AE1878" s="766"/>
      <c r="AF1878" s="766"/>
      <c r="AG1878" s="766"/>
      <c r="BB1878" s="647"/>
      <c r="BC1878" s="648"/>
      <c r="BD1878" s="757"/>
      <c r="BE1878" s="659"/>
    </row>
    <row r="1879" spans="1:57" s="64" customFormat="1" ht="15" customHeight="1" outlineLevel="1" x14ac:dyDescent="0.25">
      <c r="A1879" s="1393"/>
      <c r="B1879" s="157"/>
      <c r="C1879" s="385"/>
      <c r="D1879" s="3589"/>
      <c r="E1879" s="3721"/>
      <c r="F1879" s="3773" t="str">
        <f>$E$1544</f>
        <v>ASHP - SEER 17 - replace electric furnace / CAC - early replacement SF ER2</v>
      </c>
      <c r="G1879" s="3774"/>
      <c r="H1879" s="3774"/>
      <c r="I1879" s="3775"/>
      <c r="J1879" s="3071" t="str">
        <f>$C$1544</f>
        <v>354100_2019_12_</v>
      </c>
      <c r="K1879" s="3056">
        <v>1496</v>
      </c>
      <c r="L1879" s="945"/>
      <c r="M1879" s="1808"/>
      <c r="N1879" s="157"/>
      <c r="O1879" s="277"/>
      <c r="P1879" s="277"/>
      <c r="Q1879" s="277"/>
      <c r="R1879" s="277"/>
      <c r="S1879" s="157"/>
      <c r="T1879" s="157"/>
      <c r="U1879" s="157"/>
      <c r="V1879" s="3589"/>
      <c r="W1879" s="766">
        <v>2009</v>
      </c>
      <c r="X1879" s="765">
        <v>1496</v>
      </c>
      <c r="Y1879" s="766">
        <v>1496</v>
      </c>
      <c r="Z1879" s="2426">
        <v>1496</v>
      </c>
      <c r="AA1879" s="2426">
        <v>1496</v>
      </c>
      <c r="AB1879" s="2426">
        <v>1496</v>
      </c>
      <c r="AC1879" s="766"/>
      <c r="AD1879" s="766"/>
      <c r="AE1879" s="766"/>
      <c r="AF1879" s="766"/>
      <c r="AG1879" s="766"/>
      <c r="BB1879" s="647"/>
      <c r="BC1879" s="648"/>
      <c r="BD1879" s="757"/>
      <c r="BE1879" s="659"/>
    </row>
    <row r="1880" spans="1:57" s="64" customFormat="1" ht="15" customHeight="1" outlineLevel="1" x14ac:dyDescent="0.25">
      <c r="A1880" s="1393"/>
      <c r="B1880" s="157"/>
      <c r="C1880" s="385"/>
      <c r="D1880" s="3589"/>
      <c r="E1880" s="3721"/>
      <c r="F1880" s="3773" t="str">
        <f>$E$1546</f>
        <v>ASHP - SEER 17 - replace electric furnace / CAC - early replacement MF ER1</v>
      </c>
      <c r="G1880" s="3774"/>
      <c r="H1880" s="3774"/>
      <c r="I1880" s="3775"/>
      <c r="J1880" s="3071" t="str">
        <f>$C$1546</f>
        <v>354150_2019_12_</v>
      </c>
      <c r="K1880" s="3056">
        <v>1496</v>
      </c>
      <c r="L1880" s="945"/>
      <c r="M1880" s="1808"/>
      <c r="N1880" s="157"/>
      <c r="O1880" s="277"/>
      <c r="P1880" s="277"/>
      <c r="Q1880" s="277"/>
      <c r="R1880" s="277"/>
      <c r="S1880" s="157"/>
      <c r="T1880" s="157"/>
      <c r="U1880" s="157"/>
      <c r="V1880" s="3589"/>
      <c r="W1880" s="766">
        <v>2009</v>
      </c>
      <c r="X1880" s="765">
        <v>1496</v>
      </c>
      <c r="Y1880" s="766">
        <v>1496</v>
      </c>
      <c r="Z1880" s="2426">
        <v>1496</v>
      </c>
      <c r="AA1880" s="2426">
        <v>1496</v>
      </c>
      <c r="AB1880" s="2426">
        <v>1496</v>
      </c>
      <c r="AC1880" s="766"/>
      <c r="AD1880" s="766"/>
      <c r="AE1880" s="766"/>
      <c r="AF1880" s="766"/>
      <c r="AG1880" s="766"/>
      <c r="BB1880" s="647"/>
      <c r="BC1880" s="648"/>
      <c r="BD1880" s="757"/>
      <c r="BE1880" s="659"/>
    </row>
    <row r="1881" spans="1:57" s="64" customFormat="1" ht="15" customHeight="1" outlineLevel="1" x14ac:dyDescent="0.25">
      <c r="A1881" s="1393"/>
      <c r="B1881" s="157"/>
      <c r="C1881" s="385"/>
      <c r="D1881" s="3589"/>
      <c r="E1881" s="3721"/>
      <c r="F1881" s="3773" t="str">
        <f>$E$1548</f>
        <v>ASHP - SEER 17 - replace electric furnace / CAC - early replacement MF ER2</v>
      </c>
      <c r="G1881" s="3774"/>
      <c r="H1881" s="3774"/>
      <c r="I1881" s="3775"/>
      <c r="J1881" s="3071" t="str">
        <f>$C$1548</f>
        <v>354150_2019_12_</v>
      </c>
      <c r="K1881" s="3056">
        <v>1496</v>
      </c>
      <c r="L1881" s="945"/>
      <c r="M1881" s="1808"/>
      <c r="N1881" s="157"/>
      <c r="O1881" s="277"/>
      <c r="P1881" s="277"/>
      <c r="Q1881" s="277"/>
      <c r="R1881" s="277"/>
      <c r="S1881" s="157"/>
      <c r="T1881" s="157"/>
      <c r="U1881" s="157"/>
      <c r="V1881" s="3589"/>
      <c r="W1881" s="766">
        <v>2009</v>
      </c>
      <c r="X1881" s="765">
        <v>1496</v>
      </c>
      <c r="Y1881" s="766">
        <v>1496</v>
      </c>
      <c r="Z1881" s="2426">
        <v>1496</v>
      </c>
      <c r="AA1881" s="2426">
        <v>1496</v>
      </c>
      <c r="AB1881" s="2426">
        <v>1496</v>
      </c>
      <c r="AC1881" s="766"/>
      <c r="AD1881" s="766"/>
      <c r="AE1881" s="766"/>
      <c r="AF1881" s="766"/>
      <c r="AG1881" s="766"/>
      <c r="BB1881" s="647"/>
      <c r="BC1881" s="648"/>
      <c r="BD1881" s="757"/>
      <c r="BE1881" s="659"/>
    </row>
    <row r="1882" spans="1:57" s="64" customFormat="1" ht="15" customHeight="1" outlineLevel="1" x14ac:dyDescent="0.25">
      <c r="A1882" s="1393"/>
      <c r="B1882" s="157"/>
      <c r="C1882" s="385"/>
      <c r="D1882" s="3589"/>
      <c r="E1882" s="3721"/>
      <c r="F1882" s="3773" t="str">
        <f>$E$1550</f>
        <v>ASHP - SEER 17 - replace electric furnace / CAC - early replacement MF ER1_CompE</v>
      </c>
      <c r="G1882" s="3774"/>
      <c r="H1882" s="3774"/>
      <c r="I1882" s="3775"/>
      <c r="J1882" s="3071" t="str">
        <f>$C$1550</f>
        <v>354151_2019_12_</v>
      </c>
      <c r="K1882" s="3056">
        <v>510</v>
      </c>
      <c r="L1882" s="945"/>
      <c r="M1882" s="1808" t="s">
        <v>3675</v>
      </c>
      <c r="N1882" s="157"/>
      <c r="O1882" s="277"/>
      <c r="P1882" s="277"/>
      <c r="Q1882" s="277"/>
      <c r="R1882" s="277"/>
      <c r="S1882" s="157"/>
      <c r="T1882" s="157"/>
      <c r="U1882" s="157"/>
      <c r="V1882" s="3589"/>
      <c r="W1882" s="766"/>
      <c r="X1882" s="765"/>
      <c r="Y1882" s="765">
        <v>510</v>
      </c>
      <c r="Z1882" s="2426">
        <v>510</v>
      </c>
      <c r="AA1882" s="2426">
        <v>510</v>
      </c>
      <c r="AB1882" s="2426">
        <v>510</v>
      </c>
      <c r="AC1882" s="766"/>
      <c r="AD1882" s="766"/>
      <c r="AE1882" s="766"/>
      <c r="AF1882" s="766"/>
      <c r="AG1882" s="766"/>
      <c r="BB1882" s="647"/>
      <c r="BC1882" s="648"/>
      <c r="BD1882" s="757"/>
      <c r="BE1882" s="659"/>
    </row>
    <row r="1883" spans="1:57" s="64" customFormat="1" ht="15" customHeight="1" outlineLevel="1" x14ac:dyDescent="0.25">
      <c r="A1883" s="1393"/>
      <c r="B1883" s="157"/>
      <c r="C1883" s="385"/>
      <c r="D1883" s="3589"/>
      <c r="E1883" s="3721"/>
      <c r="F1883" s="3773" t="str">
        <f>$E$1552</f>
        <v>ASHP - SEER 17 - replace electric furnace / CAC - early replacement MF ER2_CompE</v>
      </c>
      <c r="G1883" s="3774"/>
      <c r="H1883" s="3774"/>
      <c r="I1883" s="3775"/>
      <c r="J1883" s="3071" t="str">
        <f>$C$1552</f>
        <v>354151_2019_12_</v>
      </c>
      <c r="K1883" s="3056">
        <v>510</v>
      </c>
      <c r="L1883" s="945"/>
      <c r="M1883" s="1808" t="s">
        <v>3675</v>
      </c>
      <c r="N1883" s="157"/>
      <c r="O1883" s="277"/>
      <c r="P1883" s="277"/>
      <c r="Q1883" s="277"/>
      <c r="R1883" s="277"/>
      <c r="S1883" s="157"/>
      <c r="T1883" s="157"/>
      <c r="U1883" s="157"/>
      <c r="V1883" s="3589"/>
      <c r="W1883" s="766"/>
      <c r="X1883" s="765"/>
      <c r="Y1883" s="765">
        <v>510</v>
      </c>
      <c r="Z1883" s="2426">
        <v>510</v>
      </c>
      <c r="AA1883" s="2426">
        <v>510</v>
      </c>
      <c r="AB1883" s="2426">
        <v>510</v>
      </c>
      <c r="AC1883" s="766"/>
      <c r="AD1883" s="766"/>
      <c r="AE1883" s="766"/>
      <c r="AF1883" s="766"/>
      <c r="AG1883" s="766"/>
      <c r="BB1883" s="647"/>
      <c r="BC1883" s="648"/>
      <c r="BD1883" s="757"/>
      <c r="BE1883" s="659"/>
    </row>
    <row r="1884" spans="1:57" s="64" customFormat="1" ht="15" customHeight="1" outlineLevel="1" x14ac:dyDescent="0.25">
      <c r="A1884" s="1393"/>
      <c r="B1884" s="157"/>
      <c r="C1884" s="385"/>
      <c r="D1884" s="3589"/>
      <c r="E1884" s="3721"/>
      <c r="F1884" s="3773" t="str">
        <f>$E$1554</f>
        <v>ASHP SEER 17 replace ASHP - early replacement MF ER1</v>
      </c>
      <c r="G1884" s="3774"/>
      <c r="H1884" s="3774"/>
      <c r="I1884" s="3775"/>
      <c r="J1884" s="3071" t="str">
        <f>$C$1554</f>
        <v>354200_2019_12_</v>
      </c>
      <c r="K1884" s="3056">
        <v>1496</v>
      </c>
      <c r="L1884" s="945"/>
      <c r="M1884" s="1808"/>
      <c r="N1884" s="157"/>
      <c r="O1884" s="277"/>
      <c r="P1884" s="277"/>
      <c r="Q1884" s="277"/>
      <c r="R1884" s="277"/>
      <c r="S1884" s="157"/>
      <c r="T1884" s="157"/>
      <c r="U1884" s="157"/>
      <c r="V1884" s="3589"/>
      <c r="W1884" s="766">
        <v>2009</v>
      </c>
      <c r="X1884" s="765">
        <v>1496</v>
      </c>
      <c r="Y1884" s="766">
        <v>1496</v>
      </c>
      <c r="Z1884" s="2426">
        <v>1496</v>
      </c>
      <c r="AA1884" s="2426">
        <v>1496</v>
      </c>
      <c r="AB1884" s="2426">
        <v>1496</v>
      </c>
      <c r="AC1884" s="766"/>
      <c r="AD1884" s="766"/>
      <c r="AE1884" s="766"/>
      <c r="AF1884" s="766"/>
      <c r="AG1884" s="766"/>
      <c r="BB1884" s="647"/>
      <c r="BC1884" s="648"/>
      <c r="BD1884" s="757"/>
      <c r="BE1884" s="659"/>
    </row>
    <row r="1885" spans="1:57" s="64" customFormat="1" ht="15" customHeight="1" outlineLevel="1" x14ac:dyDescent="0.25">
      <c r="A1885" s="1393"/>
      <c r="B1885" s="157"/>
      <c r="C1885" s="385"/>
      <c r="D1885" s="3589"/>
      <c r="E1885" s="3721"/>
      <c r="F1885" s="3773" t="str">
        <f>$E$1556</f>
        <v>ASHP SEER 17 replace ASHP - early replacement MF ER2</v>
      </c>
      <c r="G1885" s="3774"/>
      <c r="H1885" s="3774"/>
      <c r="I1885" s="3775"/>
      <c r="J1885" s="3071" t="str">
        <f>$C$1556</f>
        <v>354200_2019_12_</v>
      </c>
      <c r="K1885" s="3056">
        <v>1496</v>
      </c>
      <c r="L1885" s="945"/>
      <c r="M1885" s="1808"/>
      <c r="N1885" s="157"/>
      <c r="O1885" s="277"/>
      <c r="P1885" s="277"/>
      <c r="Q1885" s="277"/>
      <c r="R1885" s="277"/>
      <c r="S1885" s="157"/>
      <c r="T1885" s="157"/>
      <c r="U1885" s="157"/>
      <c r="V1885" s="3589"/>
      <c r="W1885" s="766">
        <v>2009</v>
      </c>
      <c r="X1885" s="765">
        <v>1496</v>
      </c>
      <c r="Y1885" s="766">
        <v>1496</v>
      </c>
      <c r="Z1885" s="2426">
        <v>1496</v>
      </c>
      <c r="AA1885" s="2426">
        <v>1496</v>
      </c>
      <c r="AB1885" s="2426">
        <v>1496</v>
      </c>
      <c r="AC1885" s="766"/>
      <c r="AD1885" s="766"/>
      <c r="AE1885" s="766"/>
      <c r="AF1885" s="766"/>
      <c r="AG1885" s="766"/>
      <c r="BB1885" s="647"/>
      <c r="BC1885" s="648"/>
      <c r="BD1885" s="757"/>
      <c r="BE1885" s="659"/>
    </row>
    <row r="1886" spans="1:57" s="64" customFormat="1" ht="15" customHeight="1" outlineLevel="1" x14ac:dyDescent="0.25">
      <c r="A1886" s="1393"/>
      <c r="B1886" s="157"/>
      <c r="C1886" s="385"/>
      <c r="D1886" s="3589"/>
      <c r="E1886" s="3721"/>
      <c r="F1886" s="3773" t="str">
        <f>$E$1558</f>
        <v>ASHP SEER 17 replace ASHP - early replacement MF ER1_CompE</v>
      </c>
      <c r="G1886" s="3774"/>
      <c r="H1886" s="3774"/>
      <c r="I1886" s="3775"/>
      <c r="J1886" s="3071" t="str">
        <f>$C$1558</f>
        <v>354201_2019_12_</v>
      </c>
      <c r="K1886" s="3056">
        <v>510</v>
      </c>
      <c r="L1886" s="945"/>
      <c r="M1886" s="1808" t="s">
        <v>3675</v>
      </c>
      <c r="N1886" s="157"/>
      <c r="O1886" s="277"/>
      <c r="P1886" s="277"/>
      <c r="Q1886" s="277"/>
      <c r="R1886" s="277"/>
      <c r="S1886" s="157"/>
      <c r="T1886" s="157"/>
      <c r="U1886" s="157"/>
      <c r="V1886" s="3589"/>
      <c r="W1886" s="766"/>
      <c r="X1886" s="765"/>
      <c r="Y1886" s="765">
        <v>510</v>
      </c>
      <c r="Z1886" s="2426">
        <v>510</v>
      </c>
      <c r="AA1886" s="2426">
        <v>510</v>
      </c>
      <c r="AB1886" s="2426">
        <v>510</v>
      </c>
      <c r="AC1886" s="766"/>
      <c r="AD1886" s="766"/>
      <c r="AE1886" s="766"/>
      <c r="AF1886" s="766"/>
      <c r="AG1886" s="766"/>
      <c r="BB1886" s="647"/>
      <c r="BC1886" s="648"/>
      <c r="BD1886" s="757"/>
      <c r="BE1886" s="659"/>
    </row>
    <row r="1887" spans="1:57" s="64" customFormat="1" ht="15" customHeight="1" outlineLevel="1" x14ac:dyDescent="0.25">
      <c r="A1887" s="1393"/>
      <c r="B1887" s="157"/>
      <c r="C1887" s="385"/>
      <c r="D1887" s="3589"/>
      <c r="E1887" s="3721"/>
      <c r="F1887" s="3773" t="str">
        <f>$E$1560</f>
        <v>ASHP SEER 17 replace ASHP - early replacement MF ER2_CompE</v>
      </c>
      <c r="G1887" s="3774"/>
      <c r="H1887" s="3774"/>
      <c r="I1887" s="3775"/>
      <c r="J1887" s="3071" t="str">
        <f>$C$1560</f>
        <v>354201_2019_12_</v>
      </c>
      <c r="K1887" s="3056">
        <v>510</v>
      </c>
      <c r="L1887" s="945"/>
      <c r="M1887" s="1808" t="s">
        <v>3675</v>
      </c>
      <c r="N1887" s="157"/>
      <c r="O1887" s="277"/>
      <c r="P1887" s="277"/>
      <c r="Q1887" s="277"/>
      <c r="R1887" s="277"/>
      <c r="S1887" s="157"/>
      <c r="T1887" s="157"/>
      <c r="U1887" s="157"/>
      <c r="V1887" s="3589"/>
      <c r="W1887" s="766"/>
      <c r="X1887" s="765"/>
      <c r="Y1887" s="765">
        <v>510</v>
      </c>
      <c r="Z1887" s="2426">
        <v>510</v>
      </c>
      <c r="AA1887" s="2426">
        <v>510</v>
      </c>
      <c r="AB1887" s="2426">
        <v>510</v>
      </c>
      <c r="AC1887" s="766"/>
      <c r="AD1887" s="766"/>
      <c r="AE1887" s="766"/>
      <c r="AF1887" s="766"/>
      <c r="AG1887" s="766"/>
      <c r="BB1887" s="647"/>
      <c r="BC1887" s="648"/>
      <c r="BD1887" s="757"/>
      <c r="BE1887" s="659"/>
    </row>
    <row r="1888" spans="1:57" s="64" customFormat="1" ht="15" customHeight="1" outlineLevel="1" x14ac:dyDescent="0.25">
      <c r="A1888" s="1393"/>
      <c r="B1888" s="157"/>
      <c r="C1888" s="385"/>
      <c r="D1888" s="3589"/>
      <c r="E1888" s="3721"/>
      <c r="F1888" s="3773" t="str">
        <f>$E$1562</f>
        <v>ASHP - SEER 18 - replace electric furnace / CAC - early replacement SF ER1</v>
      </c>
      <c r="G1888" s="3774"/>
      <c r="H1888" s="3774"/>
      <c r="I1888" s="3775"/>
      <c r="J1888" s="3071" t="str">
        <f>$C$1562</f>
        <v>354250_2019_12_</v>
      </c>
      <c r="K1888" s="3056">
        <v>1496</v>
      </c>
      <c r="L1888" s="945"/>
      <c r="M1888" s="1808"/>
      <c r="N1888" s="157"/>
      <c r="O1888" s="277"/>
      <c r="P1888" s="277"/>
      <c r="Q1888" s="277"/>
      <c r="R1888" s="277"/>
      <c r="S1888" s="157"/>
      <c r="T1888" s="157"/>
      <c r="U1888" s="157"/>
      <c r="V1888" s="3589"/>
      <c r="W1888" s="766">
        <v>2009</v>
      </c>
      <c r="X1888" s="765">
        <v>1496</v>
      </c>
      <c r="Y1888" s="766">
        <v>1496</v>
      </c>
      <c r="Z1888" s="2426">
        <v>1496</v>
      </c>
      <c r="AA1888" s="2426">
        <v>1496</v>
      </c>
      <c r="AB1888" s="2426">
        <v>1496</v>
      </c>
      <c r="AC1888" s="766"/>
      <c r="AD1888" s="766"/>
      <c r="AE1888" s="766"/>
      <c r="AF1888" s="766"/>
      <c r="AG1888" s="766"/>
      <c r="BB1888" s="647"/>
      <c r="BC1888" s="648"/>
      <c r="BD1888" s="757"/>
      <c r="BE1888" s="659"/>
    </row>
    <row r="1889" spans="1:57" s="64" customFormat="1" ht="15" customHeight="1" outlineLevel="1" x14ac:dyDescent="0.25">
      <c r="A1889" s="1393"/>
      <c r="B1889" s="157"/>
      <c r="C1889" s="385"/>
      <c r="D1889" s="3589"/>
      <c r="E1889" s="3721"/>
      <c r="F1889" s="3773" t="str">
        <f>$E$1564</f>
        <v>ASHP - SEER 18 - replace electric furnace / CAC - early replacement SF ER2</v>
      </c>
      <c r="G1889" s="3774"/>
      <c r="H1889" s="3774"/>
      <c r="I1889" s="3775"/>
      <c r="J1889" s="3071" t="str">
        <f>$C$1564</f>
        <v>354250_2019_12_</v>
      </c>
      <c r="K1889" s="3056">
        <v>1496</v>
      </c>
      <c r="L1889" s="945"/>
      <c r="M1889" s="1808"/>
      <c r="N1889" s="157"/>
      <c r="O1889" s="277"/>
      <c r="P1889" s="277"/>
      <c r="Q1889" s="277"/>
      <c r="R1889" s="277"/>
      <c r="S1889" s="157"/>
      <c r="T1889" s="157"/>
      <c r="U1889" s="157"/>
      <c r="V1889" s="3589"/>
      <c r="W1889" s="766">
        <v>2009</v>
      </c>
      <c r="X1889" s="765">
        <v>1496</v>
      </c>
      <c r="Y1889" s="766">
        <v>1496</v>
      </c>
      <c r="Z1889" s="2426">
        <v>1496</v>
      </c>
      <c r="AA1889" s="2426">
        <v>1496</v>
      </c>
      <c r="AB1889" s="2426">
        <v>1496</v>
      </c>
      <c r="AC1889" s="766"/>
      <c r="AD1889" s="766"/>
      <c r="AE1889" s="766"/>
      <c r="AF1889" s="766"/>
      <c r="AG1889" s="766"/>
      <c r="BB1889" s="647"/>
      <c r="BC1889" s="648"/>
      <c r="BD1889" s="757"/>
      <c r="BE1889" s="659"/>
    </row>
    <row r="1890" spans="1:57" s="64" customFormat="1" ht="15" customHeight="1" outlineLevel="1" x14ac:dyDescent="0.25">
      <c r="A1890" s="1393"/>
      <c r="B1890" s="157"/>
      <c r="C1890" s="385"/>
      <c r="D1890" s="3589"/>
      <c r="E1890" s="3721"/>
      <c r="F1890" s="3773" t="str">
        <f>$E$1566</f>
        <v>ASHP - SEER 18 - replace electric furnace / CAC - early replacement MF ER1</v>
      </c>
      <c r="G1890" s="3774"/>
      <c r="H1890" s="3774"/>
      <c r="I1890" s="3775"/>
      <c r="J1890" s="3071" t="str">
        <f>$C$1566</f>
        <v>354300_2019_12_</v>
      </c>
      <c r="K1890" s="3056">
        <v>1496</v>
      </c>
      <c r="L1890" s="945"/>
      <c r="M1890" s="1808"/>
      <c r="N1890" s="157"/>
      <c r="O1890" s="277"/>
      <c r="P1890" s="277"/>
      <c r="Q1890" s="277"/>
      <c r="R1890" s="277"/>
      <c r="S1890" s="157"/>
      <c r="T1890" s="157"/>
      <c r="U1890" s="157"/>
      <c r="V1890" s="3589"/>
      <c r="W1890" s="766">
        <v>2009</v>
      </c>
      <c r="X1890" s="765">
        <v>1496</v>
      </c>
      <c r="Y1890" s="766">
        <v>1496</v>
      </c>
      <c r="Z1890" s="2426">
        <v>1496</v>
      </c>
      <c r="AA1890" s="2426">
        <v>1496</v>
      </c>
      <c r="AB1890" s="2426">
        <v>1496</v>
      </c>
      <c r="AC1890" s="766"/>
      <c r="AD1890" s="766"/>
      <c r="AE1890" s="766"/>
      <c r="AF1890" s="766"/>
      <c r="AG1890" s="766"/>
      <c r="BB1890" s="647"/>
      <c r="BC1890" s="648"/>
      <c r="BD1890" s="757"/>
      <c r="BE1890" s="659"/>
    </row>
    <row r="1891" spans="1:57" s="64" customFormat="1" ht="15" customHeight="1" outlineLevel="1" x14ac:dyDescent="0.25">
      <c r="A1891" s="1393"/>
      <c r="B1891" s="157"/>
      <c r="C1891" s="385"/>
      <c r="D1891" s="3589"/>
      <c r="E1891" s="3721"/>
      <c r="F1891" s="3773" t="str">
        <f>$E$1568</f>
        <v>ASHP - SEER 18 - replace electric furnace / CAC - early replacement MF ER2</v>
      </c>
      <c r="G1891" s="3774"/>
      <c r="H1891" s="3774"/>
      <c r="I1891" s="3775"/>
      <c r="J1891" s="3071" t="str">
        <f>$C$1568</f>
        <v>354300_2019_12_</v>
      </c>
      <c r="K1891" s="3056">
        <v>1496</v>
      </c>
      <c r="L1891" s="945"/>
      <c r="M1891" s="1808"/>
      <c r="N1891" s="157"/>
      <c r="O1891" s="277"/>
      <c r="P1891" s="277"/>
      <c r="Q1891" s="277"/>
      <c r="R1891" s="277"/>
      <c r="S1891" s="157"/>
      <c r="T1891" s="157"/>
      <c r="U1891" s="157"/>
      <c r="V1891" s="3589"/>
      <c r="W1891" s="766">
        <v>2009</v>
      </c>
      <c r="X1891" s="765">
        <v>1496</v>
      </c>
      <c r="Y1891" s="766">
        <v>1496</v>
      </c>
      <c r="Z1891" s="2426">
        <v>1496</v>
      </c>
      <c r="AA1891" s="2426">
        <v>1496</v>
      </c>
      <c r="AB1891" s="2426">
        <v>1496</v>
      </c>
      <c r="AC1891" s="766"/>
      <c r="AD1891" s="766"/>
      <c r="AE1891" s="766"/>
      <c r="AF1891" s="766"/>
      <c r="AG1891" s="766"/>
      <c r="BB1891" s="647"/>
      <c r="BC1891" s="648"/>
      <c r="BD1891" s="757"/>
      <c r="BE1891" s="659"/>
    </row>
    <row r="1892" spans="1:57" s="64" customFormat="1" ht="15" customHeight="1" outlineLevel="1" x14ac:dyDescent="0.25">
      <c r="A1892" s="1393"/>
      <c r="B1892" s="157"/>
      <c r="C1892" s="385"/>
      <c r="D1892" s="3589"/>
      <c r="E1892" s="3721"/>
      <c r="F1892" s="3773" t="str">
        <f>$E$1570</f>
        <v>ASHP - SEER 18 - replace electric furnace / CAC - early replacement MF ER1_CompE</v>
      </c>
      <c r="G1892" s="3774"/>
      <c r="H1892" s="3774"/>
      <c r="I1892" s="3775"/>
      <c r="J1892" s="3071" t="str">
        <f>$C$1570</f>
        <v>354301_2019_12_</v>
      </c>
      <c r="K1892" s="3056">
        <v>510</v>
      </c>
      <c r="L1892" s="945"/>
      <c r="M1892" s="1808" t="s">
        <v>3675</v>
      </c>
      <c r="N1892" s="157"/>
      <c r="O1892" s="277"/>
      <c r="P1892" s="277"/>
      <c r="Q1892" s="277"/>
      <c r="R1892" s="277"/>
      <c r="S1892" s="157"/>
      <c r="T1892" s="157"/>
      <c r="U1892" s="157"/>
      <c r="V1892" s="3589"/>
      <c r="W1892" s="766"/>
      <c r="X1892" s="765"/>
      <c r="Y1892" s="765">
        <v>510</v>
      </c>
      <c r="Z1892" s="2426">
        <v>510</v>
      </c>
      <c r="AA1892" s="2426">
        <v>510</v>
      </c>
      <c r="AB1892" s="2426">
        <v>510</v>
      </c>
      <c r="AC1892" s="766"/>
      <c r="AD1892" s="766"/>
      <c r="AE1892" s="766"/>
      <c r="AF1892" s="766"/>
      <c r="AG1892" s="766"/>
      <c r="BB1892" s="647"/>
      <c r="BC1892" s="648"/>
      <c r="BD1892" s="757"/>
      <c r="BE1892" s="659"/>
    </row>
    <row r="1893" spans="1:57" s="64" customFormat="1" ht="15" customHeight="1" outlineLevel="1" x14ac:dyDescent="0.25">
      <c r="A1893" s="1393"/>
      <c r="B1893" s="157"/>
      <c r="C1893" s="385"/>
      <c r="D1893" s="3589"/>
      <c r="E1893" s="3721"/>
      <c r="F1893" s="3773" t="str">
        <f>$E$1572</f>
        <v>ASHP - SEER 18 - replace electric furnace / CAC - early replacement MF ER2_CompE</v>
      </c>
      <c r="G1893" s="3774"/>
      <c r="H1893" s="3774"/>
      <c r="I1893" s="3775"/>
      <c r="J1893" s="3071" t="str">
        <f>$C$1572</f>
        <v>354301_2019_12_</v>
      </c>
      <c r="K1893" s="3056">
        <v>510</v>
      </c>
      <c r="L1893" s="945"/>
      <c r="M1893" s="1808" t="s">
        <v>3675</v>
      </c>
      <c r="N1893" s="157"/>
      <c r="O1893" s="277"/>
      <c r="P1893" s="277"/>
      <c r="Q1893" s="277"/>
      <c r="R1893" s="277"/>
      <c r="S1893" s="157"/>
      <c r="T1893" s="157"/>
      <c r="U1893" s="157"/>
      <c r="V1893" s="3589"/>
      <c r="W1893" s="766"/>
      <c r="X1893" s="765"/>
      <c r="Y1893" s="765">
        <v>510</v>
      </c>
      <c r="Z1893" s="2426">
        <v>510</v>
      </c>
      <c r="AA1893" s="2426">
        <v>510</v>
      </c>
      <c r="AB1893" s="2426">
        <v>510</v>
      </c>
      <c r="AC1893" s="766"/>
      <c r="AD1893" s="766"/>
      <c r="AE1893" s="766"/>
      <c r="AF1893" s="766"/>
      <c r="AG1893" s="766"/>
      <c r="BB1893" s="647"/>
      <c r="BC1893" s="648"/>
      <c r="BD1893" s="757"/>
      <c r="BE1893" s="659"/>
    </row>
    <row r="1894" spans="1:57" s="64" customFormat="1" ht="15" customHeight="1" outlineLevel="1" x14ac:dyDescent="0.25">
      <c r="A1894" s="1393"/>
      <c r="B1894" s="157"/>
      <c r="C1894" s="385"/>
      <c r="D1894" s="3589"/>
      <c r="E1894" s="3721"/>
      <c r="F1894" s="3773" t="str">
        <f>$E$1574</f>
        <v>ASHP SEER 18 replace ASHP - early replacement MF ER1</v>
      </c>
      <c r="G1894" s="3774"/>
      <c r="H1894" s="3774"/>
      <c r="I1894" s="3775"/>
      <c r="J1894" s="3071" t="str">
        <f>$C$1574</f>
        <v>354350_2019_12_</v>
      </c>
      <c r="K1894" s="3056">
        <v>1496</v>
      </c>
      <c r="L1894" s="945"/>
      <c r="M1894" s="1808"/>
      <c r="N1894" s="157"/>
      <c r="O1894" s="277"/>
      <c r="P1894" s="277"/>
      <c r="Q1894" s="277"/>
      <c r="R1894" s="277"/>
      <c r="S1894" s="157"/>
      <c r="T1894" s="157"/>
      <c r="U1894" s="157"/>
      <c r="V1894" s="3589"/>
      <c r="W1894" s="766">
        <v>2009</v>
      </c>
      <c r="X1894" s="765">
        <v>1496</v>
      </c>
      <c r="Y1894" s="766">
        <v>1496</v>
      </c>
      <c r="Z1894" s="2426">
        <v>1496</v>
      </c>
      <c r="AA1894" s="2426">
        <v>1496</v>
      </c>
      <c r="AB1894" s="2426">
        <v>1496</v>
      </c>
      <c r="AC1894" s="766"/>
      <c r="AD1894" s="766"/>
      <c r="AE1894" s="766"/>
      <c r="AF1894" s="766"/>
      <c r="AG1894" s="766"/>
      <c r="BB1894" s="647"/>
      <c r="BC1894" s="648"/>
      <c r="BD1894" s="757"/>
      <c r="BE1894" s="659"/>
    </row>
    <row r="1895" spans="1:57" s="64" customFormat="1" ht="15" customHeight="1" outlineLevel="1" x14ac:dyDescent="0.25">
      <c r="A1895" s="1393"/>
      <c r="B1895" s="157"/>
      <c r="C1895" s="385"/>
      <c r="D1895" s="3589"/>
      <c r="E1895" s="3721"/>
      <c r="F1895" s="3773" t="str">
        <f>$E$1576</f>
        <v>ASHP SEER 18 replace ASHP - early replacement MF ER2</v>
      </c>
      <c r="G1895" s="3774"/>
      <c r="H1895" s="3774"/>
      <c r="I1895" s="3775"/>
      <c r="J1895" s="3071" t="str">
        <f>$C$1576</f>
        <v>354350_2019_12_</v>
      </c>
      <c r="K1895" s="3056">
        <v>1496</v>
      </c>
      <c r="L1895" s="945"/>
      <c r="M1895" s="1808"/>
      <c r="N1895" s="157"/>
      <c r="O1895" s="277"/>
      <c r="P1895" s="277"/>
      <c r="Q1895" s="277"/>
      <c r="R1895" s="277"/>
      <c r="S1895" s="157"/>
      <c r="T1895" s="157"/>
      <c r="U1895" s="157"/>
      <c r="V1895" s="3589"/>
      <c r="W1895" s="766">
        <v>2009</v>
      </c>
      <c r="X1895" s="765">
        <v>1496</v>
      </c>
      <c r="Y1895" s="766">
        <v>1496</v>
      </c>
      <c r="Z1895" s="2426">
        <v>1496</v>
      </c>
      <c r="AA1895" s="2426">
        <v>1496</v>
      </c>
      <c r="AB1895" s="2426">
        <v>1496</v>
      </c>
      <c r="AC1895" s="766"/>
      <c r="AD1895" s="766"/>
      <c r="AE1895" s="766"/>
      <c r="AF1895" s="766"/>
      <c r="AG1895" s="766"/>
      <c r="BB1895" s="647"/>
      <c r="BC1895" s="648"/>
      <c r="BD1895" s="757"/>
      <c r="BE1895" s="659"/>
    </row>
    <row r="1896" spans="1:57" s="64" customFormat="1" ht="15" customHeight="1" outlineLevel="1" x14ac:dyDescent="0.25">
      <c r="A1896" s="1393"/>
      <c r="B1896" s="157"/>
      <c r="C1896" s="385"/>
      <c r="D1896" s="3589"/>
      <c r="E1896" s="3721"/>
      <c r="F1896" s="3773" t="str">
        <f>$E$1578</f>
        <v>ASHP SEER 18 replace ASHP - early replacement MF ER1_CompE</v>
      </c>
      <c r="G1896" s="3774"/>
      <c r="H1896" s="3774"/>
      <c r="I1896" s="3775"/>
      <c r="J1896" s="3071" t="str">
        <f>$C$1578</f>
        <v>354351_2019_12_</v>
      </c>
      <c r="K1896" s="3056">
        <v>510</v>
      </c>
      <c r="L1896" s="945"/>
      <c r="M1896" s="1808" t="s">
        <v>3675</v>
      </c>
      <c r="N1896" s="157"/>
      <c r="O1896" s="277"/>
      <c r="P1896" s="277"/>
      <c r="Q1896" s="277"/>
      <c r="R1896" s="277"/>
      <c r="S1896" s="157"/>
      <c r="T1896" s="157"/>
      <c r="U1896" s="157"/>
      <c r="V1896" s="3589"/>
      <c r="W1896" s="766"/>
      <c r="X1896" s="765"/>
      <c r="Y1896" s="765">
        <v>510</v>
      </c>
      <c r="Z1896" s="2426">
        <v>510</v>
      </c>
      <c r="AA1896" s="2426">
        <v>510</v>
      </c>
      <c r="AB1896" s="2426">
        <v>510</v>
      </c>
      <c r="AC1896" s="766"/>
      <c r="AD1896" s="766"/>
      <c r="AE1896" s="766"/>
      <c r="AF1896" s="766"/>
      <c r="AG1896" s="766"/>
      <c r="BB1896" s="647"/>
      <c r="BC1896" s="648"/>
      <c r="BD1896" s="757"/>
      <c r="BE1896" s="659"/>
    </row>
    <row r="1897" spans="1:57" s="64" customFormat="1" ht="15" customHeight="1" outlineLevel="1" x14ac:dyDescent="0.25">
      <c r="A1897" s="1393"/>
      <c r="B1897" s="157"/>
      <c r="C1897" s="385"/>
      <c r="D1897" s="3589"/>
      <c r="E1897" s="3721"/>
      <c r="F1897" s="3773" t="str">
        <f>$E$1580</f>
        <v>ASHP SEER 18 replace ASHP - early replacement MF ER2_CompE</v>
      </c>
      <c r="G1897" s="3774"/>
      <c r="H1897" s="3774"/>
      <c r="I1897" s="3775"/>
      <c r="J1897" s="3071" t="str">
        <f>$C$1580</f>
        <v>354351_2019_12_</v>
      </c>
      <c r="K1897" s="3056">
        <v>510</v>
      </c>
      <c r="L1897" s="945"/>
      <c r="M1897" s="1808" t="s">
        <v>3675</v>
      </c>
      <c r="N1897" s="157"/>
      <c r="O1897" s="277"/>
      <c r="P1897" s="277"/>
      <c r="Q1897" s="277"/>
      <c r="R1897" s="277"/>
      <c r="S1897" s="157"/>
      <c r="T1897" s="157"/>
      <c r="U1897" s="157"/>
      <c r="V1897" s="3589"/>
      <c r="W1897" s="766"/>
      <c r="X1897" s="765"/>
      <c r="Y1897" s="765">
        <v>510</v>
      </c>
      <c r="Z1897" s="2426">
        <v>510</v>
      </c>
      <c r="AA1897" s="2426">
        <v>510</v>
      </c>
      <c r="AB1897" s="2426">
        <v>510</v>
      </c>
      <c r="AC1897" s="766"/>
      <c r="AD1897" s="766"/>
      <c r="AE1897" s="766"/>
      <c r="AF1897" s="766"/>
      <c r="AG1897" s="766"/>
      <c r="BB1897" s="647"/>
      <c r="BC1897" s="648"/>
      <c r="BD1897" s="757"/>
      <c r="BE1897" s="659"/>
    </row>
    <row r="1898" spans="1:57" s="64" customFormat="1" ht="15" customHeight="1" outlineLevel="1" x14ac:dyDescent="0.25">
      <c r="A1898" s="1393"/>
      <c r="B1898" s="157"/>
      <c r="C1898" s="385"/>
      <c r="D1898" s="3589"/>
      <c r="E1898" s="3721"/>
      <c r="F1898" s="3773" t="str">
        <f>$E$1582</f>
        <v>ASHP - SEER 19 - replace electric furnace / CAC - early replacement SF ER1</v>
      </c>
      <c r="G1898" s="3774"/>
      <c r="H1898" s="3774"/>
      <c r="I1898" s="3775"/>
      <c r="J1898" s="3071" t="str">
        <f>$C$1582</f>
        <v>354400_2019_12_</v>
      </c>
      <c r="K1898" s="3056">
        <v>1496</v>
      </c>
      <c r="L1898" s="945"/>
      <c r="M1898" s="1808"/>
      <c r="N1898" s="157"/>
      <c r="O1898" s="277"/>
      <c r="P1898" s="277"/>
      <c r="Q1898" s="277"/>
      <c r="R1898" s="277"/>
      <c r="S1898" s="157"/>
      <c r="T1898" s="157"/>
      <c r="U1898" s="157"/>
      <c r="V1898" s="3589"/>
      <c r="W1898" s="766">
        <v>2009</v>
      </c>
      <c r="X1898" s="765">
        <v>1496</v>
      </c>
      <c r="Y1898" s="766">
        <v>1496</v>
      </c>
      <c r="Z1898" s="2426">
        <v>1496</v>
      </c>
      <c r="AA1898" s="2426">
        <v>1496</v>
      </c>
      <c r="AB1898" s="2426">
        <v>1496</v>
      </c>
      <c r="AC1898" s="766"/>
      <c r="AD1898" s="766"/>
      <c r="AE1898" s="766"/>
      <c r="AF1898" s="766"/>
      <c r="AG1898" s="766"/>
      <c r="BB1898" s="647"/>
      <c r="BC1898" s="648"/>
      <c r="BD1898" s="757"/>
      <c r="BE1898" s="659"/>
    </row>
    <row r="1899" spans="1:57" s="64" customFormat="1" ht="15" customHeight="1" outlineLevel="1" x14ac:dyDescent="0.25">
      <c r="A1899" s="1393"/>
      <c r="B1899" s="157"/>
      <c r="C1899" s="385"/>
      <c r="D1899" s="3589"/>
      <c r="E1899" s="3721"/>
      <c r="F1899" s="3773" t="str">
        <f>$E$1584</f>
        <v>ASHP - SEER 19 - replace electric furnace / CAC - early replacement SF ER2</v>
      </c>
      <c r="G1899" s="3774"/>
      <c r="H1899" s="3774"/>
      <c r="I1899" s="3775"/>
      <c r="J1899" s="3071" t="str">
        <f>$C$1584</f>
        <v>354400_2019_12_</v>
      </c>
      <c r="K1899" s="3056">
        <v>1496</v>
      </c>
      <c r="L1899" s="945"/>
      <c r="M1899" s="1808"/>
      <c r="N1899" s="157"/>
      <c r="O1899" s="277"/>
      <c r="P1899" s="277"/>
      <c r="Q1899" s="277"/>
      <c r="R1899" s="277"/>
      <c r="S1899" s="157"/>
      <c r="T1899" s="157"/>
      <c r="U1899" s="157"/>
      <c r="V1899" s="3589"/>
      <c r="W1899" s="766">
        <v>2009</v>
      </c>
      <c r="X1899" s="765">
        <v>1496</v>
      </c>
      <c r="Y1899" s="766">
        <v>1496</v>
      </c>
      <c r="Z1899" s="2426">
        <v>1496</v>
      </c>
      <c r="AA1899" s="2426">
        <v>1496</v>
      </c>
      <c r="AB1899" s="2426">
        <v>1496</v>
      </c>
      <c r="AC1899" s="766"/>
      <c r="AD1899" s="766"/>
      <c r="AE1899" s="766"/>
      <c r="AF1899" s="766"/>
      <c r="AG1899" s="766"/>
      <c r="BB1899" s="647"/>
      <c r="BC1899" s="648"/>
      <c r="BD1899" s="757"/>
      <c r="BE1899" s="659"/>
    </row>
    <row r="1900" spans="1:57" s="64" customFormat="1" ht="15" customHeight="1" outlineLevel="1" x14ac:dyDescent="0.25">
      <c r="A1900" s="1393"/>
      <c r="B1900" s="157"/>
      <c r="C1900" s="385"/>
      <c r="D1900" s="3589"/>
      <c r="E1900" s="3721"/>
      <c r="F1900" s="3773" t="str">
        <f>$E$1586</f>
        <v>ASHP - SEER 19 - replace electric furnace / CAC - early replacement MF ER1</v>
      </c>
      <c r="G1900" s="3774"/>
      <c r="H1900" s="3774"/>
      <c r="I1900" s="3775"/>
      <c r="J1900" s="3071" t="str">
        <f>$C$1586</f>
        <v>354450_2019_12_</v>
      </c>
      <c r="K1900" s="3056">
        <v>1496</v>
      </c>
      <c r="L1900" s="945"/>
      <c r="M1900" s="1808"/>
      <c r="N1900" s="157"/>
      <c r="O1900" s="277"/>
      <c r="P1900" s="277"/>
      <c r="Q1900" s="277"/>
      <c r="R1900" s="277"/>
      <c r="S1900" s="157"/>
      <c r="T1900" s="157"/>
      <c r="U1900" s="157"/>
      <c r="V1900" s="3589"/>
      <c r="W1900" s="766">
        <v>2009</v>
      </c>
      <c r="X1900" s="765">
        <v>1496</v>
      </c>
      <c r="Y1900" s="766">
        <v>1496</v>
      </c>
      <c r="Z1900" s="2426">
        <v>1496</v>
      </c>
      <c r="AA1900" s="2426">
        <v>1496</v>
      </c>
      <c r="AB1900" s="2426">
        <v>1496</v>
      </c>
      <c r="AC1900" s="766"/>
      <c r="AD1900" s="766"/>
      <c r="AE1900" s="766"/>
      <c r="AF1900" s="766"/>
      <c r="AG1900" s="766"/>
      <c r="BB1900" s="647"/>
      <c r="BC1900" s="648"/>
      <c r="BD1900" s="757"/>
      <c r="BE1900" s="659"/>
    </row>
    <row r="1901" spans="1:57" s="64" customFormat="1" ht="15" customHeight="1" outlineLevel="1" x14ac:dyDescent="0.25">
      <c r="A1901" s="1393"/>
      <c r="B1901" s="157"/>
      <c r="C1901" s="385"/>
      <c r="D1901" s="3589"/>
      <c r="E1901" s="3721"/>
      <c r="F1901" s="3773" t="str">
        <f>$E$1588</f>
        <v>ASHP - SEER 19 - replace electric furnace / CAC - early replacement MF ER2</v>
      </c>
      <c r="G1901" s="3774"/>
      <c r="H1901" s="3774"/>
      <c r="I1901" s="3775"/>
      <c r="J1901" s="3071" t="str">
        <f>$C$1588</f>
        <v>354450_2019_12_</v>
      </c>
      <c r="K1901" s="3056">
        <v>1496</v>
      </c>
      <c r="L1901" s="945"/>
      <c r="M1901" s="1808"/>
      <c r="N1901" s="157"/>
      <c r="O1901" s="277"/>
      <c r="P1901" s="277"/>
      <c r="Q1901" s="277"/>
      <c r="R1901" s="277"/>
      <c r="S1901" s="157"/>
      <c r="T1901" s="157"/>
      <c r="U1901" s="157"/>
      <c r="V1901" s="3589"/>
      <c r="W1901" s="766">
        <v>2009</v>
      </c>
      <c r="X1901" s="765">
        <v>1496</v>
      </c>
      <c r="Y1901" s="766">
        <v>1496</v>
      </c>
      <c r="Z1901" s="2426">
        <v>1496</v>
      </c>
      <c r="AA1901" s="2426">
        <v>1496</v>
      </c>
      <c r="AB1901" s="2426">
        <v>1496</v>
      </c>
      <c r="AC1901" s="766"/>
      <c r="AD1901" s="766"/>
      <c r="AE1901" s="766"/>
      <c r="AF1901" s="766"/>
      <c r="AG1901" s="766"/>
      <c r="BB1901" s="647"/>
      <c r="BC1901" s="648"/>
      <c r="BD1901" s="757"/>
      <c r="BE1901" s="659"/>
    </row>
    <row r="1902" spans="1:57" s="64" customFormat="1" ht="15" customHeight="1" outlineLevel="1" x14ac:dyDescent="0.25">
      <c r="A1902" s="1393"/>
      <c r="B1902" s="157"/>
      <c r="C1902" s="385"/>
      <c r="D1902" s="3589"/>
      <c r="E1902" s="3721"/>
      <c r="F1902" s="3773" t="str">
        <f>$E$1590</f>
        <v>ASHP - SEER 19 - replace electric furnace / CAC - early replacement MF ER1_CompE</v>
      </c>
      <c r="G1902" s="3774"/>
      <c r="H1902" s="3774"/>
      <c r="I1902" s="3775"/>
      <c r="J1902" s="3071" t="str">
        <f>$C$1590</f>
        <v>354451_2019_12_</v>
      </c>
      <c r="K1902" s="3056">
        <v>510</v>
      </c>
      <c r="L1902" s="945"/>
      <c r="M1902" s="1808" t="s">
        <v>3675</v>
      </c>
      <c r="N1902" s="157"/>
      <c r="O1902" s="277"/>
      <c r="P1902" s="277"/>
      <c r="Q1902" s="277"/>
      <c r="R1902" s="277"/>
      <c r="S1902" s="157"/>
      <c r="T1902" s="157"/>
      <c r="U1902" s="157"/>
      <c r="V1902" s="3589"/>
      <c r="W1902" s="766"/>
      <c r="X1902" s="765"/>
      <c r="Y1902" s="765">
        <v>510</v>
      </c>
      <c r="Z1902" s="2426">
        <v>510</v>
      </c>
      <c r="AA1902" s="2426">
        <v>510</v>
      </c>
      <c r="AB1902" s="2426">
        <v>510</v>
      </c>
      <c r="AC1902" s="766"/>
      <c r="AD1902" s="766"/>
      <c r="AE1902" s="766"/>
      <c r="AF1902" s="766"/>
      <c r="AG1902" s="766"/>
      <c r="BB1902" s="647"/>
      <c r="BC1902" s="648"/>
      <c r="BD1902" s="757"/>
      <c r="BE1902" s="659"/>
    </row>
    <row r="1903" spans="1:57" s="64" customFormat="1" ht="15" customHeight="1" outlineLevel="1" x14ac:dyDescent="0.25">
      <c r="A1903" s="1393"/>
      <c r="B1903" s="157"/>
      <c r="C1903" s="385"/>
      <c r="D1903" s="3589"/>
      <c r="E1903" s="3721"/>
      <c r="F1903" s="3773" t="str">
        <f>$E$1592</f>
        <v>ASHP - SEER 19 - replace electric furnace / CAC - early replacement MF ER2_CompE</v>
      </c>
      <c r="G1903" s="3774"/>
      <c r="H1903" s="3774"/>
      <c r="I1903" s="3775"/>
      <c r="J1903" s="3071" t="str">
        <f>$C$1592</f>
        <v>354451_2019_12_</v>
      </c>
      <c r="K1903" s="3056">
        <v>510</v>
      </c>
      <c r="L1903" s="945"/>
      <c r="M1903" s="1808" t="s">
        <v>3675</v>
      </c>
      <c r="N1903" s="157"/>
      <c r="O1903" s="277"/>
      <c r="P1903" s="277"/>
      <c r="Q1903" s="277"/>
      <c r="R1903" s="277"/>
      <c r="S1903" s="157"/>
      <c r="T1903" s="157"/>
      <c r="U1903" s="157"/>
      <c r="V1903" s="3589"/>
      <c r="W1903" s="766"/>
      <c r="X1903" s="765"/>
      <c r="Y1903" s="765">
        <v>510</v>
      </c>
      <c r="Z1903" s="2426">
        <v>510</v>
      </c>
      <c r="AA1903" s="2426">
        <v>510</v>
      </c>
      <c r="AB1903" s="2426">
        <v>510</v>
      </c>
      <c r="AC1903" s="766"/>
      <c r="AD1903" s="766"/>
      <c r="AE1903" s="766"/>
      <c r="AF1903" s="766"/>
      <c r="AG1903" s="766"/>
      <c r="BB1903" s="647"/>
      <c r="BC1903" s="648"/>
      <c r="BD1903" s="757"/>
      <c r="BE1903" s="659"/>
    </row>
    <row r="1904" spans="1:57" s="64" customFormat="1" ht="15" customHeight="1" outlineLevel="1" x14ac:dyDescent="0.25">
      <c r="A1904" s="1393"/>
      <c r="B1904" s="157"/>
      <c r="C1904" s="385"/>
      <c r="D1904" s="3589"/>
      <c r="E1904" s="3721"/>
      <c r="F1904" s="3773" t="str">
        <f>$E$1594</f>
        <v>ASHP SEER 19 replace ASHP - early replacement MF ER1</v>
      </c>
      <c r="G1904" s="3774"/>
      <c r="H1904" s="3774"/>
      <c r="I1904" s="3775"/>
      <c r="J1904" s="3071" t="str">
        <f>$C$1594</f>
        <v>354500_2019_12_</v>
      </c>
      <c r="K1904" s="3056">
        <v>1496</v>
      </c>
      <c r="L1904" s="945"/>
      <c r="M1904" s="1808"/>
      <c r="N1904" s="157"/>
      <c r="O1904" s="277"/>
      <c r="P1904" s="277"/>
      <c r="Q1904" s="277"/>
      <c r="R1904" s="277"/>
      <c r="S1904" s="157"/>
      <c r="T1904" s="157"/>
      <c r="U1904" s="157"/>
      <c r="V1904" s="3589"/>
      <c r="W1904" s="766">
        <v>2009</v>
      </c>
      <c r="X1904" s="765">
        <v>1496</v>
      </c>
      <c r="Y1904" s="766">
        <v>1496</v>
      </c>
      <c r="Z1904" s="2426">
        <v>1496</v>
      </c>
      <c r="AA1904" s="2426">
        <v>1496</v>
      </c>
      <c r="AB1904" s="2426">
        <v>1496</v>
      </c>
      <c r="AC1904" s="766"/>
      <c r="AD1904" s="766"/>
      <c r="AE1904" s="766"/>
      <c r="AF1904" s="766"/>
      <c r="AG1904" s="766"/>
      <c r="BB1904" s="647"/>
      <c r="BC1904" s="648"/>
      <c r="BD1904" s="757"/>
      <c r="BE1904" s="659"/>
    </row>
    <row r="1905" spans="1:57" s="64" customFormat="1" ht="15" customHeight="1" outlineLevel="1" x14ac:dyDescent="0.25">
      <c r="A1905" s="1393"/>
      <c r="B1905" s="157"/>
      <c r="C1905" s="385"/>
      <c r="D1905" s="3589"/>
      <c r="E1905" s="3721"/>
      <c r="F1905" s="3773" t="str">
        <f>$E$1596</f>
        <v>ASHP SEER 19 replace ASHP - early replacement MF ER2</v>
      </c>
      <c r="G1905" s="3774"/>
      <c r="H1905" s="3774"/>
      <c r="I1905" s="3775"/>
      <c r="J1905" s="3071" t="str">
        <f>$C$1596</f>
        <v>354500_2019_12_</v>
      </c>
      <c r="K1905" s="3056">
        <v>1496</v>
      </c>
      <c r="L1905" s="945"/>
      <c r="M1905" s="1808"/>
      <c r="N1905" s="157"/>
      <c r="O1905" s="277"/>
      <c r="P1905" s="277"/>
      <c r="Q1905" s="277"/>
      <c r="R1905" s="277"/>
      <c r="S1905" s="157"/>
      <c r="T1905" s="157"/>
      <c r="U1905" s="157"/>
      <c r="V1905" s="3589"/>
      <c r="W1905" s="766">
        <v>2009</v>
      </c>
      <c r="X1905" s="765">
        <v>1496</v>
      </c>
      <c r="Y1905" s="766">
        <v>1496</v>
      </c>
      <c r="Z1905" s="2426">
        <v>1496</v>
      </c>
      <c r="AA1905" s="2426">
        <v>1496</v>
      </c>
      <c r="AB1905" s="2426">
        <v>1496</v>
      </c>
      <c r="AC1905" s="766"/>
      <c r="AD1905" s="766"/>
      <c r="AE1905" s="766"/>
      <c r="AF1905" s="766"/>
      <c r="AG1905" s="766"/>
      <c r="BB1905" s="647"/>
      <c r="BC1905" s="648"/>
      <c r="BD1905" s="757"/>
      <c r="BE1905" s="659"/>
    </row>
    <row r="1906" spans="1:57" s="64" customFormat="1" ht="15" customHeight="1" outlineLevel="1" x14ac:dyDescent="0.25">
      <c r="A1906" s="1393"/>
      <c r="B1906" s="157"/>
      <c r="C1906" s="385"/>
      <c r="D1906" s="3589"/>
      <c r="E1906" s="3721"/>
      <c r="F1906" s="3773" t="str">
        <f>$E$1598</f>
        <v>ASHP SEER 19 replace ASHP - early replacement MF ER1_CompE</v>
      </c>
      <c r="G1906" s="3774"/>
      <c r="H1906" s="3774"/>
      <c r="I1906" s="3775"/>
      <c r="J1906" s="3071" t="str">
        <f>$C$1598</f>
        <v>354501_2019_12_</v>
      </c>
      <c r="K1906" s="3056">
        <v>510</v>
      </c>
      <c r="L1906" s="945"/>
      <c r="M1906" s="1808" t="s">
        <v>3675</v>
      </c>
      <c r="N1906" s="157"/>
      <c r="O1906" s="277"/>
      <c r="P1906" s="277"/>
      <c r="Q1906" s="277"/>
      <c r="R1906" s="277"/>
      <c r="S1906" s="157"/>
      <c r="T1906" s="157"/>
      <c r="U1906" s="157"/>
      <c r="V1906" s="3589"/>
      <c r="W1906" s="766"/>
      <c r="X1906" s="765"/>
      <c r="Y1906" s="765">
        <v>510</v>
      </c>
      <c r="Z1906" s="2426">
        <v>510</v>
      </c>
      <c r="AA1906" s="2426">
        <v>510</v>
      </c>
      <c r="AB1906" s="2426">
        <v>510</v>
      </c>
      <c r="AC1906" s="766"/>
      <c r="AD1906" s="766"/>
      <c r="AE1906" s="766"/>
      <c r="AF1906" s="766"/>
      <c r="AG1906" s="766"/>
      <c r="BB1906" s="647"/>
      <c r="BC1906" s="648"/>
      <c r="BD1906" s="757"/>
      <c r="BE1906" s="659"/>
    </row>
    <row r="1907" spans="1:57" s="64" customFormat="1" ht="15" customHeight="1" outlineLevel="1" x14ac:dyDescent="0.25">
      <c r="A1907" s="1393"/>
      <c r="B1907" s="157"/>
      <c r="C1907" s="385"/>
      <c r="D1907" s="3589"/>
      <c r="E1907" s="3721"/>
      <c r="F1907" s="3773" t="str">
        <f>$E$1600</f>
        <v>ASHP SEER 19 replace ASHP - early replacement MF ER2_CompE</v>
      </c>
      <c r="G1907" s="3774"/>
      <c r="H1907" s="3774"/>
      <c r="I1907" s="3775"/>
      <c r="J1907" s="3071" t="str">
        <f>$C$1600</f>
        <v>354501_2019_12_</v>
      </c>
      <c r="K1907" s="3056">
        <v>510</v>
      </c>
      <c r="L1907" s="945"/>
      <c r="M1907" s="1808" t="s">
        <v>3675</v>
      </c>
      <c r="N1907" s="157"/>
      <c r="O1907" s="277"/>
      <c r="P1907" s="277"/>
      <c r="Q1907" s="277"/>
      <c r="R1907" s="277"/>
      <c r="S1907" s="157"/>
      <c r="T1907" s="157"/>
      <c r="U1907" s="157"/>
      <c r="V1907" s="3589"/>
      <c r="W1907" s="766"/>
      <c r="X1907" s="765"/>
      <c r="Y1907" s="765">
        <v>510</v>
      </c>
      <c r="Z1907" s="2426">
        <v>510</v>
      </c>
      <c r="AA1907" s="2426">
        <v>510</v>
      </c>
      <c r="AB1907" s="2426">
        <v>510</v>
      </c>
      <c r="AC1907" s="766"/>
      <c r="AD1907" s="766"/>
      <c r="AE1907" s="766"/>
      <c r="AF1907" s="766"/>
      <c r="AG1907" s="766"/>
      <c r="BB1907" s="647"/>
      <c r="BC1907" s="648"/>
      <c r="BD1907" s="757"/>
      <c r="BE1907" s="659"/>
    </row>
    <row r="1908" spans="1:57" s="64" customFormat="1" ht="15" customHeight="1" outlineLevel="1" x14ac:dyDescent="0.25">
      <c r="A1908" s="1393"/>
      <c r="B1908" s="157"/>
      <c r="C1908" s="385"/>
      <c r="D1908" s="3589"/>
      <c r="E1908" s="3721"/>
      <c r="F1908" s="3773" t="str">
        <f>$E$1602</f>
        <v>ASHP SEER 20 replace ASHP - early replacement SF ER1</v>
      </c>
      <c r="G1908" s="3774"/>
      <c r="H1908" s="3774"/>
      <c r="I1908" s="3775"/>
      <c r="J1908" s="3071" t="str">
        <f>$C$1602</f>
        <v>354550_2019_12_</v>
      </c>
      <c r="K1908" s="3056">
        <v>1496</v>
      </c>
      <c r="L1908" s="945"/>
      <c r="M1908" s="1808"/>
      <c r="N1908" s="157"/>
      <c r="O1908" s="277"/>
      <c r="P1908" s="277"/>
      <c r="Q1908" s="277"/>
      <c r="R1908" s="277"/>
      <c r="S1908" s="157"/>
      <c r="T1908" s="157"/>
      <c r="U1908" s="157"/>
      <c r="V1908" s="3589"/>
      <c r="W1908" s="766">
        <v>2009</v>
      </c>
      <c r="X1908" s="765">
        <v>1496</v>
      </c>
      <c r="Y1908" s="766">
        <v>1496</v>
      </c>
      <c r="Z1908" s="2426">
        <v>1496</v>
      </c>
      <c r="AA1908" s="2426">
        <v>1496</v>
      </c>
      <c r="AB1908" s="2426">
        <v>1496</v>
      </c>
      <c r="AC1908" s="766"/>
      <c r="AD1908" s="766"/>
      <c r="AE1908" s="766"/>
      <c r="AF1908" s="766"/>
      <c r="AG1908" s="766"/>
      <c r="BB1908" s="647"/>
      <c r="BC1908" s="648"/>
      <c r="BD1908" s="757"/>
      <c r="BE1908" s="659"/>
    </row>
    <row r="1909" spans="1:57" s="64" customFormat="1" ht="15" customHeight="1" outlineLevel="1" x14ac:dyDescent="0.25">
      <c r="A1909" s="1393"/>
      <c r="B1909" s="157"/>
      <c r="C1909" s="385"/>
      <c r="D1909" s="3589"/>
      <c r="E1909" s="3721"/>
      <c r="F1909" s="3773" t="str">
        <f>$E$1604</f>
        <v>ASHP SEER 20 replace ASHP - early replacement SF ER2</v>
      </c>
      <c r="G1909" s="3774"/>
      <c r="H1909" s="3774"/>
      <c r="I1909" s="3775"/>
      <c r="J1909" s="3071" t="str">
        <f>$C$1604</f>
        <v>354550_2019_12_</v>
      </c>
      <c r="K1909" s="3056">
        <v>1496</v>
      </c>
      <c r="L1909" s="945"/>
      <c r="M1909" s="1808"/>
      <c r="N1909" s="157"/>
      <c r="O1909" s="277"/>
      <c r="P1909" s="277"/>
      <c r="Q1909" s="277"/>
      <c r="R1909" s="277"/>
      <c r="S1909" s="157"/>
      <c r="T1909" s="157"/>
      <c r="U1909" s="157"/>
      <c r="V1909" s="3589"/>
      <c r="W1909" s="766">
        <v>2009</v>
      </c>
      <c r="X1909" s="765">
        <v>1496</v>
      </c>
      <c r="Y1909" s="766">
        <v>1496</v>
      </c>
      <c r="Z1909" s="2426">
        <v>1496</v>
      </c>
      <c r="AA1909" s="2426">
        <v>1496</v>
      </c>
      <c r="AB1909" s="2426">
        <v>1496</v>
      </c>
      <c r="AC1909" s="766"/>
      <c r="AD1909" s="766"/>
      <c r="AE1909" s="766"/>
      <c r="AF1909" s="766"/>
      <c r="AG1909" s="766"/>
      <c r="BB1909" s="647"/>
      <c r="BC1909" s="648"/>
      <c r="BD1909" s="757"/>
      <c r="BE1909" s="659"/>
    </row>
    <row r="1910" spans="1:57" s="64" customFormat="1" ht="15" customHeight="1" outlineLevel="1" x14ac:dyDescent="0.25">
      <c r="A1910" s="1393"/>
      <c r="B1910" s="157"/>
      <c r="C1910" s="385"/>
      <c r="D1910" s="3589"/>
      <c r="E1910" s="3721"/>
      <c r="F1910" s="3773" t="str">
        <f>$E$1606</f>
        <v>ASHP SEER 20 replace ASHP - replace on fail SF</v>
      </c>
      <c r="G1910" s="3774"/>
      <c r="H1910" s="3774"/>
      <c r="I1910" s="3775"/>
      <c r="J1910" s="3071" t="str">
        <f>$C$1606</f>
        <v>354600_2019_12_</v>
      </c>
      <c r="K1910" s="3056">
        <v>1496</v>
      </c>
      <c r="L1910" s="945"/>
      <c r="M1910" s="1808"/>
      <c r="N1910" s="157"/>
      <c r="O1910" s="277"/>
      <c r="P1910" s="277"/>
      <c r="Q1910" s="277"/>
      <c r="R1910" s="277"/>
      <c r="S1910" s="157"/>
      <c r="T1910" s="157"/>
      <c r="U1910" s="157"/>
      <c r="V1910" s="3589"/>
      <c r="W1910" s="766">
        <v>2009</v>
      </c>
      <c r="X1910" s="765">
        <v>1496</v>
      </c>
      <c r="Y1910" s="766">
        <v>1496</v>
      </c>
      <c r="Z1910" s="2426">
        <v>1496</v>
      </c>
      <c r="AA1910" s="2426">
        <v>1496</v>
      </c>
      <c r="AB1910" s="2426">
        <v>1496</v>
      </c>
      <c r="AC1910" s="766"/>
      <c r="AD1910" s="766"/>
      <c r="AE1910" s="766"/>
      <c r="AF1910" s="766"/>
      <c r="AG1910" s="766"/>
      <c r="BB1910" s="647"/>
      <c r="BC1910" s="648"/>
      <c r="BD1910" s="757"/>
      <c r="BE1910" s="659"/>
    </row>
    <row r="1911" spans="1:57" s="64" customFormat="1" ht="15" customHeight="1" outlineLevel="1" x14ac:dyDescent="0.25">
      <c r="A1911" s="1393"/>
      <c r="B1911" s="157"/>
      <c r="C1911" s="385"/>
      <c r="D1911" s="3589"/>
      <c r="E1911" s="3721"/>
      <c r="F1911" s="3773" t="str">
        <f>$E$1608</f>
        <v>ASHP - SEER 20 - replace electric furnace / CAC - early replacement MF ER1</v>
      </c>
      <c r="G1911" s="3774"/>
      <c r="H1911" s="3774"/>
      <c r="I1911" s="3775"/>
      <c r="J1911" s="3071" t="str">
        <f>$C$1608</f>
        <v>354650_2019_12_</v>
      </c>
      <c r="K1911" s="3056">
        <v>1496</v>
      </c>
      <c r="L1911" s="945"/>
      <c r="M1911" s="1808"/>
      <c r="N1911" s="157"/>
      <c r="O1911" s="277"/>
      <c r="P1911" s="277"/>
      <c r="Q1911" s="277"/>
      <c r="R1911" s="277"/>
      <c r="S1911" s="157"/>
      <c r="T1911" s="157"/>
      <c r="U1911" s="157"/>
      <c r="V1911" s="3589"/>
      <c r="W1911" s="766">
        <v>2009</v>
      </c>
      <c r="X1911" s="765">
        <v>1496</v>
      </c>
      <c r="Y1911" s="766">
        <v>1496</v>
      </c>
      <c r="Z1911" s="2426">
        <v>1496</v>
      </c>
      <c r="AA1911" s="2426">
        <v>1496</v>
      </c>
      <c r="AB1911" s="2426">
        <v>1496</v>
      </c>
      <c r="AC1911" s="766"/>
      <c r="AD1911" s="766"/>
      <c r="AE1911" s="766"/>
      <c r="AF1911" s="766"/>
      <c r="AG1911" s="766"/>
      <c r="BB1911" s="647"/>
      <c r="BC1911" s="648"/>
      <c r="BD1911" s="757"/>
      <c r="BE1911" s="659"/>
    </row>
    <row r="1912" spans="1:57" s="64" customFormat="1" ht="15" customHeight="1" outlineLevel="1" x14ac:dyDescent="0.25">
      <c r="A1912" s="1393"/>
      <c r="B1912" s="157"/>
      <c r="C1912" s="385"/>
      <c r="D1912" s="3589"/>
      <c r="E1912" s="3721"/>
      <c r="F1912" s="3773" t="str">
        <f>$E$1610</f>
        <v>ASHP - SEER 20 - replace electric furnace / CAC - early replacement MF ER2</v>
      </c>
      <c r="G1912" s="3774"/>
      <c r="H1912" s="3774"/>
      <c r="I1912" s="3775"/>
      <c r="J1912" s="3071" t="str">
        <f>$C$1610</f>
        <v>354650_2019_12_</v>
      </c>
      <c r="K1912" s="3056">
        <v>1496</v>
      </c>
      <c r="L1912" s="945"/>
      <c r="M1912" s="1808"/>
      <c r="N1912" s="157"/>
      <c r="O1912" s="277"/>
      <c r="P1912" s="277"/>
      <c r="Q1912" s="277"/>
      <c r="R1912" s="277"/>
      <c r="S1912" s="157"/>
      <c r="T1912" s="157"/>
      <c r="U1912" s="157"/>
      <c r="V1912" s="3589"/>
      <c r="W1912" s="766">
        <v>2009</v>
      </c>
      <c r="X1912" s="765">
        <v>1496</v>
      </c>
      <c r="Y1912" s="766">
        <v>1496</v>
      </c>
      <c r="Z1912" s="2426">
        <v>1496</v>
      </c>
      <c r="AA1912" s="2426">
        <v>1496</v>
      </c>
      <c r="AB1912" s="2426">
        <v>1496</v>
      </c>
      <c r="AC1912" s="766"/>
      <c r="AD1912" s="766"/>
      <c r="AE1912" s="766"/>
      <c r="AF1912" s="766"/>
      <c r="AG1912" s="766"/>
      <c r="BB1912" s="647"/>
      <c r="BC1912" s="648"/>
      <c r="BD1912" s="757"/>
      <c r="BE1912" s="659"/>
    </row>
    <row r="1913" spans="1:57" s="64" customFormat="1" ht="15" customHeight="1" outlineLevel="1" x14ac:dyDescent="0.25">
      <c r="A1913" s="1393"/>
      <c r="B1913" s="157"/>
      <c r="C1913" s="385"/>
      <c r="D1913" s="3589"/>
      <c r="E1913" s="3721"/>
      <c r="F1913" s="3773" t="str">
        <f>$E$1612</f>
        <v>ASHP - SEER 20 - replace electric furnace / CAC - early replacement MF ER1_CompE</v>
      </c>
      <c r="G1913" s="3774"/>
      <c r="H1913" s="3774"/>
      <c r="I1913" s="3775"/>
      <c r="J1913" s="3071" t="str">
        <f>$C$1612</f>
        <v>354651_2019_12_</v>
      </c>
      <c r="K1913" s="3056">
        <v>510</v>
      </c>
      <c r="L1913" s="945"/>
      <c r="M1913" s="1808" t="s">
        <v>3675</v>
      </c>
      <c r="N1913" s="157"/>
      <c r="O1913" s="277"/>
      <c r="P1913" s="277"/>
      <c r="Q1913" s="277"/>
      <c r="R1913" s="277"/>
      <c r="S1913" s="157"/>
      <c r="T1913" s="157"/>
      <c r="U1913" s="157"/>
      <c r="V1913" s="3589"/>
      <c r="W1913" s="766"/>
      <c r="X1913" s="765"/>
      <c r="Y1913" s="765">
        <v>510</v>
      </c>
      <c r="Z1913" s="2426">
        <v>510</v>
      </c>
      <c r="AA1913" s="2426">
        <v>510</v>
      </c>
      <c r="AB1913" s="2426">
        <v>510</v>
      </c>
      <c r="AC1913" s="766"/>
      <c r="AD1913" s="766"/>
      <c r="AE1913" s="766"/>
      <c r="AF1913" s="766"/>
      <c r="AG1913" s="766"/>
      <c r="BB1913" s="647"/>
      <c r="BC1913" s="648"/>
      <c r="BD1913" s="757"/>
      <c r="BE1913" s="659"/>
    </row>
    <row r="1914" spans="1:57" s="64" customFormat="1" ht="15" customHeight="1" outlineLevel="1" x14ac:dyDescent="0.25">
      <c r="A1914" s="1393"/>
      <c r="B1914" s="157"/>
      <c r="C1914" s="385"/>
      <c r="D1914" s="3589"/>
      <c r="E1914" s="3721"/>
      <c r="F1914" s="3773" t="str">
        <f>$E$1614</f>
        <v>ASHP - SEER 20 - replace electric furnace / CAC - early replacement MF ER2_CompE</v>
      </c>
      <c r="G1914" s="3774"/>
      <c r="H1914" s="3774"/>
      <c r="I1914" s="3775"/>
      <c r="J1914" s="3071" t="str">
        <f>$C$1614</f>
        <v>354651_2019_12_</v>
      </c>
      <c r="K1914" s="3056">
        <v>510</v>
      </c>
      <c r="L1914" s="945"/>
      <c r="M1914" s="1808" t="s">
        <v>3675</v>
      </c>
      <c r="N1914" s="157"/>
      <c r="O1914" s="277"/>
      <c r="P1914" s="277"/>
      <c r="Q1914" s="277"/>
      <c r="R1914" s="277"/>
      <c r="S1914" s="157"/>
      <c r="T1914" s="157"/>
      <c r="U1914" s="157"/>
      <c r="V1914" s="3589"/>
      <c r="W1914" s="766"/>
      <c r="X1914" s="765"/>
      <c r="Y1914" s="765">
        <v>510</v>
      </c>
      <c r="Z1914" s="2426">
        <v>510</v>
      </c>
      <c r="AA1914" s="2426">
        <v>510</v>
      </c>
      <c r="AB1914" s="2426">
        <v>510</v>
      </c>
      <c r="AC1914" s="766"/>
      <c r="AD1914" s="766"/>
      <c r="AE1914" s="766"/>
      <c r="AF1914" s="766"/>
      <c r="AG1914" s="766"/>
      <c r="BB1914" s="647"/>
      <c r="BC1914" s="648"/>
      <c r="BD1914" s="757"/>
      <c r="BE1914" s="659"/>
    </row>
    <row r="1915" spans="1:57" s="64" customFormat="1" ht="15" customHeight="1" outlineLevel="1" x14ac:dyDescent="0.25">
      <c r="A1915" s="1393"/>
      <c r="B1915" s="157"/>
      <c r="C1915" s="385"/>
      <c r="D1915" s="3589"/>
      <c r="E1915" s="3721"/>
      <c r="F1915" s="3773" t="str">
        <f>$E$1616</f>
        <v>ASHP SEER 20 replace ASHP - early replacement MF ER1</v>
      </c>
      <c r="G1915" s="3774"/>
      <c r="H1915" s="3774"/>
      <c r="I1915" s="3775"/>
      <c r="J1915" s="3071" t="str">
        <f>$C$1616</f>
        <v>354700_2019_12_</v>
      </c>
      <c r="K1915" s="3056">
        <v>1496</v>
      </c>
      <c r="L1915" s="945"/>
      <c r="M1915" s="1808"/>
      <c r="N1915" s="157"/>
      <c r="O1915" s="277"/>
      <c r="P1915" s="277"/>
      <c r="Q1915" s="277"/>
      <c r="R1915" s="277"/>
      <c r="S1915" s="157"/>
      <c r="T1915" s="157"/>
      <c r="U1915" s="157"/>
      <c r="V1915" s="3589"/>
      <c r="W1915" s="766">
        <v>2009</v>
      </c>
      <c r="X1915" s="765">
        <v>1496</v>
      </c>
      <c r="Y1915" s="766">
        <v>1496</v>
      </c>
      <c r="Z1915" s="2426">
        <v>1496</v>
      </c>
      <c r="AA1915" s="2426">
        <v>1496</v>
      </c>
      <c r="AB1915" s="2426">
        <v>1496</v>
      </c>
      <c r="AC1915" s="766"/>
      <c r="AD1915" s="766"/>
      <c r="AE1915" s="766"/>
      <c r="AF1915" s="766"/>
      <c r="AG1915" s="766"/>
      <c r="BB1915" s="647"/>
      <c r="BC1915" s="648"/>
      <c r="BD1915" s="757"/>
      <c r="BE1915" s="659"/>
    </row>
    <row r="1916" spans="1:57" s="64" customFormat="1" ht="15" customHeight="1" outlineLevel="1" x14ac:dyDescent="0.25">
      <c r="A1916" s="1393"/>
      <c r="B1916" s="157"/>
      <c r="C1916" s="385"/>
      <c r="D1916" s="3589"/>
      <c r="E1916" s="3721"/>
      <c r="F1916" s="3773" t="str">
        <f>$E$1618</f>
        <v>ASHP SEER 20 replace ASHP - early replacement MF ER2</v>
      </c>
      <c r="G1916" s="3774"/>
      <c r="H1916" s="3774"/>
      <c r="I1916" s="3775"/>
      <c r="J1916" s="3071" t="str">
        <f>$C$1618</f>
        <v>354700_2019_12_</v>
      </c>
      <c r="K1916" s="3056">
        <v>1496</v>
      </c>
      <c r="L1916" s="945"/>
      <c r="M1916" s="1808"/>
      <c r="N1916" s="157"/>
      <c r="O1916" s="277"/>
      <c r="P1916" s="277"/>
      <c r="Q1916" s="277"/>
      <c r="R1916" s="277"/>
      <c r="S1916" s="157"/>
      <c r="T1916" s="157"/>
      <c r="U1916" s="157"/>
      <c r="V1916" s="3589"/>
      <c r="W1916" s="766">
        <v>2009</v>
      </c>
      <c r="X1916" s="765">
        <v>1496</v>
      </c>
      <c r="Y1916" s="766">
        <v>1496</v>
      </c>
      <c r="Z1916" s="2426">
        <v>1496</v>
      </c>
      <c r="AA1916" s="2426">
        <v>1496</v>
      </c>
      <c r="AB1916" s="2426">
        <v>1496</v>
      </c>
      <c r="AC1916" s="766"/>
      <c r="AD1916" s="766"/>
      <c r="AE1916" s="766"/>
      <c r="AF1916" s="766"/>
      <c r="AG1916" s="766"/>
      <c r="BB1916" s="647"/>
      <c r="BC1916" s="648"/>
      <c r="BD1916" s="757"/>
      <c r="BE1916" s="659"/>
    </row>
    <row r="1917" spans="1:57" s="64" customFormat="1" ht="15" customHeight="1" outlineLevel="1" x14ac:dyDescent="0.25">
      <c r="A1917" s="1393"/>
      <c r="B1917" s="157"/>
      <c r="C1917" s="385"/>
      <c r="D1917" s="3589"/>
      <c r="E1917" s="3721"/>
      <c r="F1917" s="3773" t="str">
        <f>$E$1620</f>
        <v>ASHP SEER 20 replace ASHP - early replacement MF ER1_CompE</v>
      </c>
      <c r="G1917" s="3774"/>
      <c r="H1917" s="3774"/>
      <c r="I1917" s="3775"/>
      <c r="J1917" s="3071" t="str">
        <f>$C$1620</f>
        <v>354701_2019_12_</v>
      </c>
      <c r="K1917" s="3056">
        <v>510</v>
      </c>
      <c r="L1917" s="945"/>
      <c r="M1917" s="1808" t="s">
        <v>3675</v>
      </c>
      <c r="N1917" s="157"/>
      <c r="O1917" s="277"/>
      <c r="P1917" s="277"/>
      <c r="Q1917" s="277"/>
      <c r="R1917" s="277"/>
      <c r="S1917" s="157"/>
      <c r="T1917" s="157"/>
      <c r="U1917" s="157"/>
      <c r="V1917" s="3589"/>
      <c r="W1917" s="766"/>
      <c r="X1917" s="765"/>
      <c r="Y1917" s="765">
        <v>510</v>
      </c>
      <c r="Z1917" s="2426">
        <v>510</v>
      </c>
      <c r="AA1917" s="2426">
        <v>510</v>
      </c>
      <c r="AB1917" s="2426">
        <v>510</v>
      </c>
      <c r="AC1917" s="766"/>
      <c r="AD1917" s="766"/>
      <c r="AE1917" s="766"/>
      <c r="AF1917" s="766"/>
      <c r="AG1917" s="766"/>
      <c r="BB1917" s="647"/>
      <c r="BC1917" s="648"/>
      <c r="BD1917" s="757"/>
      <c r="BE1917" s="659"/>
    </row>
    <row r="1918" spans="1:57" s="64" customFormat="1" ht="15" customHeight="1" outlineLevel="1" x14ac:dyDescent="0.25">
      <c r="A1918" s="1393"/>
      <c r="B1918" s="157"/>
      <c r="C1918" s="385"/>
      <c r="D1918" s="3589"/>
      <c r="E1918" s="3721"/>
      <c r="F1918" s="3773" t="str">
        <f>$E$1622</f>
        <v>ASHP SEER 20 replace ASHP - early replacement MF ER2_CompE</v>
      </c>
      <c r="G1918" s="3774"/>
      <c r="H1918" s="3774"/>
      <c r="I1918" s="3775"/>
      <c r="J1918" s="3071" t="str">
        <f>$C$1622</f>
        <v>354701_2019_12_</v>
      </c>
      <c r="K1918" s="3056">
        <v>510</v>
      </c>
      <c r="L1918" s="945"/>
      <c r="M1918" s="1808" t="s">
        <v>3675</v>
      </c>
      <c r="N1918" s="157"/>
      <c r="O1918" s="277"/>
      <c r="P1918" s="277"/>
      <c r="Q1918" s="277"/>
      <c r="R1918" s="277"/>
      <c r="S1918" s="157"/>
      <c r="T1918" s="157"/>
      <c r="U1918" s="157"/>
      <c r="V1918" s="3589"/>
      <c r="W1918" s="766"/>
      <c r="X1918" s="765"/>
      <c r="Y1918" s="765">
        <v>510</v>
      </c>
      <c r="Z1918" s="2426">
        <v>510</v>
      </c>
      <c r="AA1918" s="2426">
        <v>510</v>
      </c>
      <c r="AB1918" s="2426">
        <v>510</v>
      </c>
      <c r="AC1918" s="766"/>
      <c r="AD1918" s="766"/>
      <c r="AE1918" s="766"/>
      <c r="AF1918" s="766"/>
      <c r="AG1918" s="766"/>
      <c r="BB1918" s="647"/>
      <c r="BC1918" s="648"/>
      <c r="BD1918" s="757"/>
      <c r="BE1918" s="659"/>
    </row>
    <row r="1919" spans="1:57" s="64" customFormat="1" ht="15" customHeight="1" outlineLevel="1" x14ac:dyDescent="0.25">
      <c r="A1919" s="1393"/>
      <c r="B1919" s="157"/>
      <c r="C1919" s="385"/>
      <c r="D1919" s="3589"/>
      <c r="E1919" s="3721"/>
      <c r="F1919" s="3773" t="str">
        <f>$E$1624</f>
        <v>ASHP SEER 21 replace ASHP - early replacement SF ER1</v>
      </c>
      <c r="G1919" s="3774"/>
      <c r="H1919" s="3774"/>
      <c r="I1919" s="3775"/>
      <c r="J1919" s="3071" t="str">
        <f>$C$1624</f>
        <v>354750_2019_12_</v>
      </c>
      <c r="K1919" s="3056">
        <v>1496</v>
      </c>
      <c r="L1919" s="945"/>
      <c r="M1919" s="1808"/>
      <c r="N1919" s="157"/>
      <c r="O1919" s="277"/>
      <c r="P1919" s="277"/>
      <c r="Q1919" s="277"/>
      <c r="R1919" s="277"/>
      <c r="S1919" s="157"/>
      <c r="T1919" s="157"/>
      <c r="U1919" s="157"/>
      <c r="V1919" s="3589"/>
      <c r="W1919" s="766">
        <v>2009</v>
      </c>
      <c r="X1919" s="765">
        <v>1496</v>
      </c>
      <c r="Y1919" s="766">
        <v>1496</v>
      </c>
      <c r="Z1919" s="2426">
        <v>1496</v>
      </c>
      <c r="AA1919" s="2426">
        <v>1496</v>
      </c>
      <c r="AB1919" s="2426">
        <v>1496</v>
      </c>
      <c r="AC1919" s="766"/>
      <c r="AD1919" s="766"/>
      <c r="AE1919" s="766"/>
      <c r="AF1919" s="766"/>
      <c r="AG1919" s="766"/>
      <c r="BB1919" s="647"/>
      <c r="BC1919" s="648"/>
      <c r="BD1919" s="757"/>
      <c r="BE1919" s="659"/>
    </row>
    <row r="1920" spans="1:57" s="64" customFormat="1" ht="15" customHeight="1" outlineLevel="1" x14ac:dyDescent="0.25">
      <c r="A1920" s="1393"/>
      <c r="B1920" s="157"/>
      <c r="C1920" s="385"/>
      <c r="D1920" s="3589"/>
      <c r="E1920" s="3721"/>
      <c r="F1920" s="3773" t="str">
        <f>$E$1626</f>
        <v>ASHP SEER 21 replace ASHP - early replacement SF ER2</v>
      </c>
      <c r="G1920" s="3774"/>
      <c r="H1920" s="3774"/>
      <c r="I1920" s="3775"/>
      <c r="J1920" s="3071" t="str">
        <f>$C$1626</f>
        <v>354750_2019_12_</v>
      </c>
      <c r="K1920" s="3056">
        <v>1496</v>
      </c>
      <c r="L1920" s="945"/>
      <c r="M1920" s="1808"/>
      <c r="N1920" s="157"/>
      <c r="O1920" s="277"/>
      <c r="P1920" s="277"/>
      <c r="Q1920" s="277"/>
      <c r="R1920" s="277"/>
      <c r="S1920" s="157"/>
      <c r="T1920" s="157"/>
      <c r="U1920" s="157"/>
      <c r="V1920" s="3589"/>
      <c r="W1920" s="766">
        <v>2009</v>
      </c>
      <c r="X1920" s="765">
        <v>1496</v>
      </c>
      <c r="Y1920" s="766">
        <v>1496</v>
      </c>
      <c r="Z1920" s="2426">
        <v>1496</v>
      </c>
      <c r="AA1920" s="2426">
        <v>1496</v>
      </c>
      <c r="AB1920" s="2426">
        <v>1496</v>
      </c>
      <c r="AC1920" s="766"/>
      <c r="AD1920" s="766"/>
      <c r="AE1920" s="766"/>
      <c r="AF1920" s="766"/>
      <c r="AG1920" s="766"/>
      <c r="BB1920" s="647"/>
      <c r="BC1920" s="648"/>
      <c r="BD1920" s="757"/>
      <c r="BE1920" s="659"/>
    </row>
    <row r="1921" spans="1:57" s="64" customFormat="1" ht="15" customHeight="1" outlineLevel="1" x14ac:dyDescent="0.25">
      <c r="A1921" s="1393"/>
      <c r="B1921" s="157"/>
      <c r="C1921" s="385"/>
      <c r="D1921" s="3589"/>
      <c r="E1921" s="3721"/>
      <c r="F1921" s="3773" t="str">
        <f>$E$1628</f>
        <v>ASHP SEER 21 replace ASHP - replace on fail SF</v>
      </c>
      <c r="G1921" s="3774"/>
      <c r="H1921" s="3774"/>
      <c r="I1921" s="3775"/>
      <c r="J1921" s="3071" t="str">
        <f>$C$1628</f>
        <v>354800_2019_12_</v>
      </c>
      <c r="K1921" s="3056">
        <v>1496</v>
      </c>
      <c r="L1921" s="945"/>
      <c r="M1921" s="1808"/>
      <c r="N1921" s="157"/>
      <c r="O1921" s="277"/>
      <c r="P1921" s="277"/>
      <c r="Q1921" s="277"/>
      <c r="R1921" s="277"/>
      <c r="S1921" s="157"/>
      <c r="T1921" s="157"/>
      <c r="U1921" s="157"/>
      <c r="V1921" s="3589"/>
      <c r="W1921" s="766">
        <v>2009</v>
      </c>
      <c r="X1921" s="765">
        <v>1496</v>
      </c>
      <c r="Y1921" s="766">
        <v>1496</v>
      </c>
      <c r="Z1921" s="2426">
        <v>1496</v>
      </c>
      <c r="AA1921" s="2426">
        <v>1496</v>
      </c>
      <c r="AB1921" s="2426">
        <v>1496</v>
      </c>
      <c r="AC1921" s="766"/>
      <c r="AD1921" s="766"/>
      <c r="AE1921" s="766"/>
      <c r="AF1921" s="766"/>
      <c r="AG1921" s="766"/>
      <c r="BB1921" s="647"/>
      <c r="BC1921" s="648"/>
      <c r="BD1921" s="757"/>
      <c r="BE1921" s="659"/>
    </row>
    <row r="1922" spans="1:57" s="64" customFormat="1" ht="15" customHeight="1" outlineLevel="1" x14ac:dyDescent="0.25">
      <c r="A1922" s="1393"/>
      <c r="B1922" s="157"/>
      <c r="C1922" s="385"/>
      <c r="D1922" s="3589"/>
      <c r="E1922" s="3721"/>
      <c r="F1922" s="3773" t="str">
        <f>$E$1630</f>
        <v>ASHP - SEER 21 - replace electric furnace / CAC MF</v>
      </c>
      <c r="G1922" s="3774"/>
      <c r="H1922" s="3774"/>
      <c r="I1922" s="3775"/>
      <c r="J1922" s="3071" t="str">
        <f>$C$1630</f>
        <v>354850_2019_12_</v>
      </c>
      <c r="K1922" s="3056">
        <v>1496</v>
      </c>
      <c r="L1922" s="945"/>
      <c r="M1922" s="1808"/>
      <c r="N1922" s="157"/>
      <c r="O1922" s="277"/>
      <c r="P1922" s="277"/>
      <c r="Q1922" s="277"/>
      <c r="R1922" s="277"/>
      <c r="S1922" s="157"/>
      <c r="T1922" s="157"/>
      <c r="U1922" s="157"/>
      <c r="V1922" s="3589"/>
      <c r="W1922" s="766">
        <v>2009</v>
      </c>
      <c r="X1922" s="765">
        <v>1496</v>
      </c>
      <c r="Y1922" s="766">
        <v>1496</v>
      </c>
      <c r="Z1922" s="2426">
        <v>1496</v>
      </c>
      <c r="AA1922" s="2426">
        <v>1496</v>
      </c>
      <c r="AB1922" s="2426">
        <v>1496</v>
      </c>
      <c r="AC1922" s="766"/>
      <c r="AD1922" s="766"/>
      <c r="AE1922" s="766"/>
      <c r="AF1922" s="766"/>
      <c r="AG1922" s="766"/>
      <c r="BB1922" s="647"/>
      <c r="BC1922" s="648"/>
      <c r="BD1922" s="757"/>
      <c r="BE1922" s="659"/>
    </row>
    <row r="1923" spans="1:57" s="64" customFormat="1" ht="15" customHeight="1" outlineLevel="1" x14ac:dyDescent="0.25">
      <c r="A1923" s="1393"/>
      <c r="B1923" s="157"/>
      <c r="C1923" s="385"/>
      <c r="D1923" s="3589"/>
      <c r="E1923" s="3721"/>
      <c r="F1923" s="3773" t="str">
        <f>$E$1632</f>
        <v>ASHP - SEER 21 - replace electric furnace / CAC MF_CompE</v>
      </c>
      <c r="G1923" s="3774"/>
      <c r="H1923" s="3774"/>
      <c r="I1923" s="3775"/>
      <c r="J1923" s="3071" t="str">
        <f>$C$1632</f>
        <v>354851_2019_12_</v>
      </c>
      <c r="K1923" s="3056">
        <v>510</v>
      </c>
      <c r="L1923" s="945"/>
      <c r="M1923" s="1808" t="s">
        <v>3675</v>
      </c>
      <c r="N1923" s="157"/>
      <c r="O1923" s="277"/>
      <c r="P1923" s="277"/>
      <c r="Q1923" s="277"/>
      <c r="R1923" s="277"/>
      <c r="S1923" s="157"/>
      <c r="T1923" s="157"/>
      <c r="U1923" s="157"/>
      <c r="V1923" s="3589"/>
      <c r="W1923" s="766"/>
      <c r="X1923" s="765"/>
      <c r="Y1923" s="765">
        <v>510</v>
      </c>
      <c r="Z1923" s="2426">
        <v>510</v>
      </c>
      <c r="AA1923" s="2426">
        <v>510</v>
      </c>
      <c r="AB1923" s="2426">
        <v>510</v>
      </c>
      <c r="AC1923" s="766"/>
      <c r="AD1923" s="766"/>
      <c r="AE1923" s="766"/>
      <c r="AF1923" s="766"/>
      <c r="AG1923" s="766"/>
      <c r="BB1923" s="647"/>
      <c r="BC1923" s="648"/>
      <c r="BD1923" s="757"/>
      <c r="BE1923" s="659"/>
    </row>
    <row r="1924" spans="1:57" s="64" customFormat="1" ht="15" customHeight="1" outlineLevel="1" x14ac:dyDescent="0.25">
      <c r="A1924" s="1393"/>
      <c r="B1924" s="157"/>
      <c r="C1924" s="385"/>
      <c r="D1924" s="3589"/>
      <c r="E1924" s="3721"/>
      <c r="F1924" s="3773" t="str">
        <f>$E$1634</f>
        <v>ASHP SEER 21 replace ASHP - early replacement MF ER1</v>
      </c>
      <c r="G1924" s="3774"/>
      <c r="H1924" s="3774"/>
      <c r="I1924" s="3775"/>
      <c r="J1924" s="3071" t="str">
        <f>$C$1634</f>
        <v>354900_2019_12_</v>
      </c>
      <c r="K1924" s="3056">
        <v>1496</v>
      </c>
      <c r="L1924" s="945"/>
      <c r="M1924" s="1808"/>
      <c r="N1924" s="157"/>
      <c r="O1924" s="277"/>
      <c r="P1924" s="277"/>
      <c r="Q1924" s="277"/>
      <c r="R1924" s="277"/>
      <c r="S1924" s="157"/>
      <c r="T1924" s="157"/>
      <c r="U1924" s="157"/>
      <c r="V1924" s="3589"/>
      <c r="W1924" s="766">
        <v>2009</v>
      </c>
      <c r="X1924" s="765">
        <v>1496</v>
      </c>
      <c r="Y1924" s="766">
        <v>1496</v>
      </c>
      <c r="Z1924" s="2426">
        <v>1496</v>
      </c>
      <c r="AA1924" s="2426">
        <v>1496</v>
      </c>
      <c r="AB1924" s="2426">
        <v>1496</v>
      </c>
      <c r="AC1924" s="766"/>
      <c r="AD1924" s="766"/>
      <c r="AE1924" s="766"/>
      <c r="AF1924" s="766"/>
      <c r="AG1924" s="766"/>
      <c r="BB1924" s="647"/>
      <c r="BC1924" s="648"/>
      <c r="BD1924" s="757"/>
      <c r="BE1924" s="659"/>
    </row>
    <row r="1925" spans="1:57" s="64" customFormat="1" ht="15" customHeight="1" outlineLevel="1" x14ac:dyDescent="0.25">
      <c r="A1925" s="1393"/>
      <c r="B1925" s="157"/>
      <c r="C1925" s="385"/>
      <c r="D1925" s="3589"/>
      <c r="E1925" s="3721"/>
      <c r="F1925" s="3773" t="str">
        <f>$E$1636</f>
        <v>ASHP SEER 21 replace ASHP - early replacement MF ER2</v>
      </c>
      <c r="G1925" s="3774"/>
      <c r="H1925" s="3774"/>
      <c r="I1925" s="3775"/>
      <c r="J1925" s="3071" t="str">
        <f>$C$1636</f>
        <v>354900_2019_12_</v>
      </c>
      <c r="K1925" s="3056">
        <v>1496</v>
      </c>
      <c r="L1925" s="945"/>
      <c r="M1925" s="1808"/>
      <c r="N1925" s="157"/>
      <c r="O1925" s="277"/>
      <c r="P1925" s="277"/>
      <c r="Q1925" s="277"/>
      <c r="R1925" s="277"/>
      <c r="S1925" s="157"/>
      <c r="T1925" s="157"/>
      <c r="U1925" s="157"/>
      <c r="V1925" s="3589"/>
      <c r="W1925" s="766">
        <v>2009</v>
      </c>
      <c r="X1925" s="765">
        <v>1496</v>
      </c>
      <c r="Y1925" s="766">
        <v>1496</v>
      </c>
      <c r="Z1925" s="2426">
        <v>1496</v>
      </c>
      <c r="AA1925" s="2426">
        <v>1496</v>
      </c>
      <c r="AB1925" s="2426">
        <v>1496</v>
      </c>
      <c r="AC1925" s="766"/>
      <c r="AD1925" s="766"/>
      <c r="AE1925" s="766"/>
      <c r="AF1925" s="766"/>
      <c r="AG1925" s="766"/>
      <c r="BB1925" s="647"/>
      <c r="BC1925" s="648"/>
      <c r="BD1925" s="757"/>
      <c r="BE1925" s="659"/>
    </row>
    <row r="1926" spans="1:57" s="64" customFormat="1" ht="15" customHeight="1" outlineLevel="1" x14ac:dyDescent="0.25">
      <c r="A1926" s="1393"/>
      <c r="B1926" s="157"/>
      <c r="C1926" s="385"/>
      <c r="D1926" s="3589"/>
      <c r="E1926" s="3721"/>
      <c r="F1926" s="3773" t="str">
        <f>$E$1638</f>
        <v>ASHP SEER 21 replace ASHP - early replacement MF ER1_CompE</v>
      </c>
      <c r="G1926" s="3774"/>
      <c r="H1926" s="3774"/>
      <c r="I1926" s="3775"/>
      <c r="J1926" s="3071" t="str">
        <f>$C$1638</f>
        <v>354901_2019_12_</v>
      </c>
      <c r="K1926" s="3056">
        <v>510</v>
      </c>
      <c r="L1926" s="945"/>
      <c r="M1926" s="1808" t="s">
        <v>3675</v>
      </c>
      <c r="N1926" s="157"/>
      <c r="O1926" s="277"/>
      <c r="P1926" s="277"/>
      <c r="Q1926" s="277"/>
      <c r="R1926" s="277"/>
      <c r="S1926" s="157"/>
      <c r="T1926" s="157"/>
      <c r="U1926" s="157"/>
      <c r="V1926" s="3589"/>
      <c r="W1926" s="766"/>
      <c r="X1926" s="765"/>
      <c r="Y1926" s="765">
        <v>510</v>
      </c>
      <c r="Z1926" s="2426">
        <v>510</v>
      </c>
      <c r="AA1926" s="2426">
        <v>510</v>
      </c>
      <c r="AB1926" s="2426">
        <v>510</v>
      </c>
      <c r="AC1926" s="766"/>
      <c r="AD1926" s="766"/>
      <c r="AE1926" s="766"/>
      <c r="AF1926" s="766"/>
      <c r="AG1926" s="766"/>
      <c r="BB1926" s="647"/>
      <c r="BC1926" s="648"/>
      <c r="BD1926" s="757"/>
      <c r="BE1926" s="659"/>
    </row>
    <row r="1927" spans="1:57" s="64" customFormat="1" ht="15" customHeight="1" outlineLevel="1" x14ac:dyDescent="0.25">
      <c r="A1927" s="1393"/>
      <c r="B1927" s="157"/>
      <c r="C1927" s="385"/>
      <c r="D1927" s="3589"/>
      <c r="E1927" s="3721"/>
      <c r="F1927" s="3773" t="str">
        <f>$E$1640</f>
        <v>ASHP SEER 21 replace ASHP - early replacement MF ER2_CompE</v>
      </c>
      <c r="G1927" s="3774"/>
      <c r="H1927" s="3774"/>
      <c r="I1927" s="3775"/>
      <c r="J1927" s="3071" t="str">
        <f>$C$1640</f>
        <v>354901_2019_12_</v>
      </c>
      <c r="K1927" s="3056">
        <v>510</v>
      </c>
      <c r="L1927" s="945"/>
      <c r="M1927" s="1808" t="s">
        <v>3675</v>
      </c>
      <c r="N1927" s="157"/>
      <c r="O1927" s="277"/>
      <c r="P1927" s="277"/>
      <c r="Q1927" s="277"/>
      <c r="R1927" s="277"/>
      <c r="S1927" s="157"/>
      <c r="T1927" s="157"/>
      <c r="U1927" s="157"/>
      <c r="V1927" s="3589"/>
      <c r="W1927" s="766"/>
      <c r="X1927" s="765"/>
      <c r="Y1927" s="765">
        <v>510</v>
      </c>
      <c r="Z1927" s="2426">
        <v>510</v>
      </c>
      <c r="AA1927" s="2426">
        <v>510</v>
      </c>
      <c r="AB1927" s="2426">
        <v>510</v>
      </c>
      <c r="AC1927" s="766"/>
      <c r="AD1927" s="766"/>
      <c r="AE1927" s="766"/>
      <c r="AF1927" s="766"/>
      <c r="AG1927" s="766"/>
      <c r="BB1927" s="647"/>
      <c r="BC1927" s="648"/>
      <c r="BD1927" s="757"/>
      <c r="BE1927" s="659"/>
    </row>
    <row r="1928" spans="1:57" s="64" customFormat="1" ht="15" customHeight="1" outlineLevel="1" x14ac:dyDescent="0.25">
      <c r="A1928" s="1393"/>
      <c r="B1928" s="157"/>
      <c r="C1928" s="385"/>
      <c r="D1928" s="3589"/>
      <c r="E1928" s="3721"/>
      <c r="F1928" s="3773" t="str">
        <f>$E$1642</f>
        <v>ASHP - SEER 17 - replace on fail MF</v>
      </c>
      <c r="G1928" s="3774"/>
      <c r="H1928" s="3774"/>
      <c r="I1928" s="3775"/>
      <c r="J1928" s="3071" t="str">
        <f>$C$1642</f>
        <v>354950_2019_12_</v>
      </c>
      <c r="K1928" s="3056">
        <v>1496</v>
      </c>
      <c r="L1928" s="945"/>
      <c r="M1928" s="1808"/>
      <c r="N1928" s="157"/>
      <c r="O1928" s="277"/>
      <c r="P1928" s="277"/>
      <c r="Q1928" s="277"/>
      <c r="R1928" s="277"/>
      <c r="S1928" s="157"/>
      <c r="T1928" s="157"/>
      <c r="U1928" s="157"/>
      <c r="V1928" s="3589"/>
      <c r="W1928" s="766">
        <v>2009</v>
      </c>
      <c r="X1928" s="765">
        <v>1496</v>
      </c>
      <c r="Y1928" s="766">
        <v>1496</v>
      </c>
      <c r="Z1928" s="2426">
        <v>1496</v>
      </c>
      <c r="AA1928" s="2426">
        <v>1496</v>
      </c>
      <c r="AB1928" s="2426">
        <v>1496</v>
      </c>
      <c r="AC1928" s="766"/>
      <c r="AD1928" s="766"/>
      <c r="AE1928" s="766"/>
      <c r="AF1928" s="766"/>
      <c r="AG1928" s="766"/>
      <c r="BB1928" s="647"/>
      <c r="BC1928" s="648"/>
      <c r="BD1928" s="757"/>
      <c r="BE1928" s="659"/>
    </row>
    <row r="1929" spans="1:57" s="64" customFormat="1" ht="15" customHeight="1" outlineLevel="1" x14ac:dyDescent="0.25">
      <c r="A1929" s="1393"/>
      <c r="B1929" s="157"/>
      <c r="C1929" s="385"/>
      <c r="D1929" s="3589"/>
      <c r="E1929" s="3721"/>
      <c r="F1929" s="3773" t="str">
        <f>$E$1644</f>
        <v>ASHP - SEER 17 - replace on fail MF_CompE</v>
      </c>
      <c r="G1929" s="3774"/>
      <c r="H1929" s="3774"/>
      <c r="I1929" s="3775"/>
      <c r="J1929" s="3071" t="str">
        <f>$C$1644</f>
        <v>354951_2019_12_</v>
      </c>
      <c r="K1929" s="3056">
        <v>510</v>
      </c>
      <c r="L1929" s="945"/>
      <c r="M1929" s="1808" t="s">
        <v>3675</v>
      </c>
      <c r="N1929" s="157"/>
      <c r="O1929" s="277"/>
      <c r="P1929" s="277"/>
      <c r="Q1929" s="277"/>
      <c r="R1929" s="277"/>
      <c r="S1929" s="157"/>
      <c r="T1929" s="157"/>
      <c r="U1929" s="157"/>
      <c r="V1929" s="3589"/>
      <c r="W1929" s="766"/>
      <c r="X1929" s="765"/>
      <c r="Y1929" s="765">
        <v>510</v>
      </c>
      <c r="Z1929" s="2426">
        <v>510</v>
      </c>
      <c r="AA1929" s="2426">
        <v>510</v>
      </c>
      <c r="AB1929" s="2426">
        <v>510</v>
      </c>
      <c r="AC1929" s="766"/>
      <c r="AD1929" s="766"/>
      <c r="AE1929" s="766"/>
      <c r="AF1929" s="766"/>
      <c r="AG1929" s="766"/>
      <c r="BB1929" s="647"/>
      <c r="BC1929" s="648"/>
      <c r="BD1929" s="757"/>
      <c r="BE1929" s="659"/>
    </row>
    <row r="1930" spans="1:57" s="64" customFormat="1" ht="15" customHeight="1" outlineLevel="1" x14ac:dyDescent="0.25">
      <c r="A1930" s="2463"/>
      <c r="B1930" s="157"/>
      <c r="C1930" s="385"/>
      <c r="D1930" s="3589"/>
      <c r="E1930" s="3721"/>
      <c r="F1930" s="3773" t="str">
        <f>$E$1646</f>
        <v>ASHP - SEER 18 - replace on fail MF</v>
      </c>
      <c r="G1930" s="3774"/>
      <c r="H1930" s="3774"/>
      <c r="I1930" s="3775"/>
      <c r="J1930" s="3071" t="str">
        <f>$C$1646</f>
        <v>355000_2019_12_</v>
      </c>
      <c r="K1930" s="3056">
        <v>1496</v>
      </c>
      <c r="L1930" s="945"/>
      <c r="M1930" s="1808"/>
      <c r="N1930" s="157"/>
      <c r="O1930" s="277"/>
      <c r="P1930" s="937"/>
      <c r="Q1930" s="938"/>
      <c r="R1930" s="937"/>
      <c r="S1930" s="924"/>
      <c r="T1930" s="1407"/>
      <c r="U1930" s="157"/>
      <c r="V1930" s="3589"/>
      <c r="W1930" s="766">
        <v>2009</v>
      </c>
      <c r="X1930" s="765">
        <v>1496</v>
      </c>
      <c r="Y1930" s="766">
        <v>1496</v>
      </c>
      <c r="Z1930" s="2426">
        <v>1496</v>
      </c>
      <c r="AA1930" s="2426">
        <v>1496</v>
      </c>
      <c r="AB1930" s="2426">
        <v>1496</v>
      </c>
      <c r="AC1930" s="766"/>
      <c r="AD1930" s="766"/>
      <c r="AE1930" s="766"/>
      <c r="AF1930" s="766"/>
      <c r="AG1930" s="766"/>
      <c r="BB1930" s="647"/>
      <c r="BC1930" s="648"/>
      <c r="BD1930" s="757"/>
      <c r="BE1930" s="659"/>
    </row>
    <row r="1931" spans="1:57" s="64" customFormat="1" ht="15" customHeight="1" outlineLevel="1" x14ac:dyDescent="0.25">
      <c r="A1931" s="2463"/>
      <c r="B1931" s="157"/>
      <c r="C1931" s="385"/>
      <c r="D1931" s="3589"/>
      <c r="E1931" s="3721"/>
      <c r="F1931" s="3773" t="str">
        <f>$E$1648</f>
        <v>ASHP - SEER 18 - replace on fail MF_CompE</v>
      </c>
      <c r="G1931" s="3774"/>
      <c r="H1931" s="3774"/>
      <c r="I1931" s="3775"/>
      <c r="J1931" s="3071" t="str">
        <f>$C$1648</f>
        <v>355001_2019_12_</v>
      </c>
      <c r="K1931" s="3056">
        <v>510</v>
      </c>
      <c r="L1931" s="945"/>
      <c r="M1931" s="1808" t="s">
        <v>3675</v>
      </c>
      <c r="N1931" s="157"/>
      <c r="O1931" s="277"/>
      <c r="P1931" s="937"/>
      <c r="Q1931" s="938"/>
      <c r="R1931" s="937"/>
      <c r="S1931" s="924"/>
      <c r="T1931" s="1407"/>
      <c r="U1931" s="157"/>
      <c r="V1931" s="3589"/>
      <c r="W1931" s="766"/>
      <c r="X1931" s="765"/>
      <c r="Y1931" s="765">
        <v>510</v>
      </c>
      <c r="Z1931" s="2426">
        <v>510</v>
      </c>
      <c r="AA1931" s="2426">
        <v>510</v>
      </c>
      <c r="AB1931" s="2426">
        <v>510</v>
      </c>
      <c r="AC1931" s="766"/>
      <c r="AD1931" s="766"/>
      <c r="AE1931" s="766"/>
      <c r="AF1931" s="766"/>
      <c r="AG1931" s="766"/>
      <c r="BB1931" s="647"/>
      <c r="BC1931" s="648"/>
      <c r="BD1931" s="757"/>
      <c r="BE1931" s="659"/>
    </row>
    <row r="1932" spans="1:57" s="64" customFormat="1" ht="15" customHeight="1" outlineLevel="1" x14ac:dyDescent="0.25">
      <c r="A1932" s="2463"/>
      <c r="B1932" s="157"/>
      <c r="C1932" s="385"/>
      <c r="D1932" s="3589"/>
      <c r="E1932" s="3721"/>
      <c r="F1932" s="3773" t="str">
        <f>$E$1650</f>
        <v>ASHP - SEER 19 - replace on fail MF</v>
      </c>
      <c r="G1932" s="3774"/>
      <c r="H1932" s="3774"/>
      <c r="I1932" s="3775"/>
      <c r="J1932" s="3071" t="str">
        <f>$C$1650</f>
        <v>355050_2019_12_</v>
      </c>
      <c r="K1932" s="3056">
        <v>1496</v>
      </c>
      <c r="L1932" s="945"/>
      <c r="M1932" s="1808"/>
      <c r="N1932" s="157"/>
      <c r="O1932" s="277"/>
      <c r="P1932" s="937"/>
      <c r="Q1932" s="938"/>
      <c r="R1932" s="937"/>
      <c r="S1932" s="924"/>
      <c r="T1932" s="1407"/>
      <c r="U1932" s="157"/>
      <c r="V1932" s="3589"/>
      <c r="W1932" s="766">
        <v>2009</v>
      </c>
      <c r="X1932" s="765">
        <v>1496</v>
      </c>
      <c r="Y1932" s="766">
        <v>1496</v>
      </c>
      <c r="Z1932" s="2426">
        <v>1496</v>
      </c>
      <c r="AA1932" s="2426">
        <v>1496</v>
      </c>
      <c r="AB1932" s="2426">
        <v>1496</v>
      </c>
      <c r="AC1932" s="766"/>
      <c r="AD1932" s="766"/>
      <c r="AE1932" s="766"/>
      <c r="AF1932" s="766"/>
      <c r="AG1932" s="766"/>
      <c r="BB1932" s="647"/>
      <c r="BC1932" s="648"/>
      <c r="BD1932" s="757"/>
      <c r="BE1932" s="659"/>
    </row>
    <row r="1933" spans="1:57" s="64" customFormat="1" ht="15" customHeight="1" outlineLevel="1" x14ac:dyDescent="0.25">
      <c r="A1933" s="2463"/>
      <c r="B1933" s="157"/>
      <c r="C1933" s="385"/>
      <c r="D1933" s="3589"/>
      <c r="E1933" s="3721"/>
      <c r="F1933" s="3773" t="str">
        <f>$E$1652</f>
        <v>ASHP - SEER 19 - replace on fail MF_CompE</v>
      </c>
      <c r="G1933" s="3774"/>
      <c r="H1933" s="3774"/>
      <c r="I1933" s="3775"/>
      <c r="J1933" s="3071" t="str">
        <f>$C$1652</f>
        <v>355051_2019_12_</v>
      </c>
      <c r="K1933" s="3056">
        <v>510</v>
      </c>
      <c r="L1933" s="945"/>
      <c r="M1933" s="1808" t="s">
        <v>3675</v>
      </c>
      <c r="N1933" s="157"/>
      <c r="O1933" s="277"/>
      <c r="P1933" s="937"/>
      <c r="Q1933" s="938"/>
      <c r="R1933" s="937"/>
      <c r="S1933" s="924"/>
      <c r="T1933" s="1407"/>
      <c r="U1933" s="157"/>
      <c r="V1933" s="3589"/>
      <c r="W1933" s="766"/>
      <c r="X1933" s="765"/>
      <c r="Y1933" s="765">
        <v>510</v>
      </c>
      <c r="Z1933" s="2426">
        <v>510</v>
      </c>
      <c r="AA1933" s="2426">
        <v>510</v>
      </c>
      <c r="AB1933" s="2426">
        <v>510</v>
      </c>
      <c r="AC1933" s="766"/>
      <c r="AD1933" s="766"/>
      <c r="AE1933" s="766"/>
      <c r="AF1933" s="766"/>
      <c r="AG1933" s="766"/>
      <c r="BB1933" s="647"/>
      <c r="BC1933" s="648"/>
      <c r="BD1933" s="757"/>
      <c r="BE1933" s="659"/>
    </row>
    <row r="1934" spans="1:57" s="64" customFormat="1" ht="15" customHeight="1" outlineLevel="1" x14ac:dyDescent="0.25">
      <c r="A1934" s="1393"/>
      <c r="B1934" s="157"/>
      <c r="C1934" s="385"/>
      <c r="D1934" s="3589"/>
      <c r="E1934" s="3721"/>
      <c r="F1934" s="3773" t="str">
        <f>$E$1654</f>
        <v>ASHP - SEER 20 - replace on fail MF</v>
      </c>
      <c r="G1934" s="3774"/>
      <c r="H1934" s="3774"/>
      <c r="I1934" s="3775"/>
      <c r="J1934" s="3071" t="str">
        <f>$C$1654</f>
        <v>355100_2019_12_</v>
      </c>
      <c r="K1934" s="3056">
        <v>1496</v>
      </c>
      <c r="L1934" s="945"/>
      <c r="M1934" s="1808"/>
      <c r="N1934" s="157"/>
      <c r="O1934" s="277"/>
      <c r="P1934" s="277"/>
      <c r="Q1934" s="277"/>
      <c r="R1934" s="277"/>
      <c r="S1934" s="157"/>
      <c r="T1934" s="157"/>
      <c r="U1934" s="157"/>
      <c r="V1934" s="3589"/>
      <c r="W1934" s="766">
        <v>2009</v>
      </c>
      <c r="X1934" s="765">
        <v>1496</v>
      </c>
      <c r="Y1934" s="766">
        <v>1496</v>
      </c>
      <c r="Z1934" s="2426">
        <v>1496</v>
      </c>
      <c r="AA1934" s="2426">
        <v>1496</v>
      </c>
      <c r="AB1934" s="2426">
        <v>1496</v>
      </c>
      <c r="AC1934" s="766"/>
      <c r="AD1934" s="766"/>
      <c r="AE1934" s="766"/>
      <c r="AF1934" s="766"/>
      <c r="AG1934" s="766"/>
      <c r="BB1934" s="647"/>
      <c r="BC1934" s="648"/>
      <c r="BD1934" s="757"/>
      <c r="BE1934" s="659"/>
    </row>
    <row r="1935" spans="1:57" s="64" customFormat="1" ht="15" customHeight="1" outlineLevel="1" x14ac:dyDescent="0.25">
      <c r="A1935" s="1393"/>
      <c r="B1935" s="157"/>
      <c r="C1935" s="385"/>
      <c r="D1935" s="3589"/>
      <c r="E1935" s="3721"/>
      <c r="F1935" s="3773" t="str">
        <f>$E$1656</f>
        <v>ASHP - SEER 20 - replace on fail MF_CompE</v>
      </c>
      <c r="G1935" s="3774"/>
      <c r="H1935" s="3774"/>
      <c r="I1935" s="3775"/>
      <c r="J1935" s="3071" t="str">
        <f>$C$1656</f>
        <v>355101_2019_12_</v>
      </c>
      <c r="K1935" s="3056">
        <v>510</v>
      </c>
      <c r="L1935" s="946"/>
      <c r="M1935" s="1808" t="s">
        <v>3675</v>
      </c>
      <c r="N1935" s="157"/>
      <c r="O1935" s="277"/>
      <c r="P1935" s="277"/>
      <c r="Q1935" s="277"/>
      <c r="R1935" s="277"/>
      <c r="S1935" s="157"/>
      <c r="T1935" s="157"/>
      <c r="U1935" s="157"/>
      <c r="V1935" s="3589"/>
      <c r="W1935" s="778"/>
      <c r="X1935" s="777"/>
      <c r="Y1935" s="765">
        <v>510</v>
      </c>
      <c r="Z1935" s="2426">
        <v>510</v>
      </c>
      <c r="AA1935" s="2426">
        <v>510</v>
      </c>
      <c r="AB1935" s="2426">
        <v>510</v>
      </c>
      <c r="AC1935" s="778"/>
      <c r="AD1935" s="778"/>
      <c r="AE1935" s="778"/>
      <c r="AF1935" s="778"/>
      <c r="AG1935" s="778"/>
      <c r="BB1935" s="647"/>
      <c r="BC1935" s="648"/>
      <c r="BD1935" s="757"/>
      <c r="BE1935" s="659"/>
    </row>
    <row r="1936" spans="1:57" s="64" customFormat="1" ht="15.75" customHeight="1" outlineLevel="1" x14ac:dyDescent="0.25">
      <c r="A1936" s="1393"/>
      <c r="B1936" s="157"/>
      <c r="C1936" s="385"/>
      <c r="D1936" s="3589"/>
      <c r="E1936" s="3721"/>
      <c r="F1936" s="3773" t="str">
        <f>$E$1658</f>
        <v>ASHP - SEER 21 - replace on fail MF</v>
      </c>
      <c r="G1936" s="3774"/>
      <c r="H1936" s="3774"/>
      <c r="I1936" s="3775"/>
      <c r="J1936" s="3071" t="str">
        <f>$C$1658</f>
        <v>355150_2019_12_</v>
      </c>
      <c r="K1936" s="3056">
        <v>1496</v>
      </c>
      <c r="L1936" s="945"/>
      <c r="M1936" s="1808"/>
      <c r="N1936" s="157"/>
      <c r="O1936" s="277"/>
      <c r="P1936" s="277"/>
      <c r="Q1936" s="277"/>
      <c r="R1936" s="277"/>
      <c r="S1936" s="157"/>
      <c r="T1936" s="157"/>
      <c r="U1936" s="157"/>
      <c r="V1936" s="3589"/>
      <c r="W1936" s="766">
        <v>2009</v>
      </c>
      <c r="X1936" s="765">
        <v>1496</v>
      </c>
      <c r="Y1936" s="766">
        <v>1496</v>
      </c>
      <c r="Z1936" s="2426">
        <v>1496</v>
      </c>
      <c r="AA1936" s="2426">
        <v>1496</v>
      </c>
      <c r="AB1936" s="2426">
        <v>1496</v>
      </c>
      <c r="AC1936" s="766"/>
      <c r="AD1936" s="766"/>
      <c r="AE1936" s="766"/>
      <c r="AF1936" s="766"/>
      <c r="AG1936" s="766"/>
      <c r="BB1936" s="647"/>
      <c r="BC1936" s="648"/>
      <c r="BD1936" s="757"/>
      <c r="BE1936" s="659"/>
    </row>
    <row r="1937" spans="1:57" s="64" customFormat="1" ht="30.75" outlineLevel="1" thickBot="1" x14ac:dyDescent="0.3">
      <c r="A1937" s="1393"/>
      <c r="B1937" s="157"/>
      <c r="C1937" s="385"/>
      <c r="D1937" s="3591"/>
      <c r="E1937" s="3722"/>
      <c r="F1937" s="1807" t="str">
        <f>$E$1660</f>
        <v>ASHP - SEER 21 - replace on fail MF_CompE</v>
      </c>
      <c r="G1937" s="940"/>
      <c r="H1937" s="940"/>
      <c r="I1937" s="941"/>
      <c r="J1937" s="1807" t="str">
        <f>$C$1660</f>
        <v>355151_2019_12_</v>
      </c>
      <c r="K1937" s="949">
        <v>510</v>
      </c>
      <c r="L1937" s="948"/>
      <c r="M1937" s="1808" t="s">
        <v>3675</v>
      </c>
      <c r="N1937" s="157"/>
      <c r="O1937" s="277"/>
      <c r="P1937" s="277"/>
      <c r="Q1937" s="277"/>
      <c r="R1937" s="277"/>
      <c r="S1937" s="157"/>
      <c r="T1937" s="157"/>
      <c r="U1937" s="157"/>
      <c r="V1937" s="3591"/>
      <c r="W1937" s="780"/>
      <c r="X1937" s="779"/>
      <c r="Y1937" s="947">
        <v>510</v>
      </c>
      <c r="Z1937" s="949">
        <v>510</v>
      </c>
      <c r="AA1937" s="949">
        <v>510</v>
      </c>
      <c r="AB1937" s="949">
        <v>510</v>
      </c>
      <c r="AC1937" s="780"/>
      <c r="AD1937" s="780"/>
      <c r="AE1937" s="780"/>
      <c r="AF1937" s="780"/>
      <c r="AG1937" s="780"/>
      <c r="BB1937" s="647"/>
      <c r="BC1937" s="648"/>
      <c r="BD1937" s="757"/>
      <c r="BE1937" s="659"/>
    </row>
    <row r="1938" spans="1:57" s="64" customFormat="1" ht="15" customHeight="1" outlineLevel="1" x14ac:dyDescent="0.25">
      <c r="A1938" s="2463"/>
      <c r="B1938" s="157"/>
      <c r="C1938" s="385"/>
      <c r="D1938" s="3588" t="s">
        <v>1291</v>
      </c>
      <c r="E1938" s="3720" t="s">
        <v>1292</v>
      </c>
      <c r="F1938" s="3771" t="str">
        <f>$E$1406</f>
        <v>ASHP - SEER 15 ER Elec Resist Furnace: HVAC ER1</v>
      </c>
      <c r="G1938" s="3771"/>
      <c r="H1938" s="3771"/>
      <c r="I1938" s="3771"/>
      <c r="J1938" s="3070" t="str">
        <f>$C$1406</f>
        <v>352300_2019_12_</v>
      </c>
      <c r="K1938" s="3065">
        <v>3.41</v>
      </c>
      <c r="L1938" s="833"/>
      <c r="M1938" s="952" t="s">
        <v>1089</v>
      </c>
      <c r="N1938" s="157"/>
      <c r="O1938" s="277"/>
      <c r="P1938" s="937"/>
      <c r="Q1938" s="937"/>
      <c r="R1938" s="937"/>
      <c r="S1938" s="924"/>
      <c r="T1938" s="1407"/>
      <c r="U1938" s="157"/>
      <c r="V1938" s="3588" t="s">
        <v>1291</v>
      </c>
      <c r="W1938" s="760">
        <v>3.41</v>
      </c>
      <c r="X1938" s="760">
        <v>3.41</v>
      </c>
      <c r="Y1938" s="760">
        <v>3.41</v>
      </c>
      <c r="Z1938" s="2428">
        <v>3.41</v>
      </c>
      <c r="AA1938" s="2428">
        <v>3.41</v>
      </c>
      <c r="AB1938" s="2428">
        <v>3.41</v>
      </c>
      <c r="AC1938" s="760"/>
      <c r="AD1938" s="760"/>
      <c r="AE1938" s="760"/>
      <c r="AF1938" s="760"/>
      <c r="AG1938" s="760"/>
      <c r="BB1938" s="647"/>
      <c r="BC1938" s="648"/>
      <c r="BD1938" s="757"/>
      <c r="BE1938" s="659"/>
    </row>
    <row r="1939" spans="1:57" s="64" customFormat="1" ht="15" customHeight="1" outlineLevel="1" x14ac:dyDescent="0.25">
      <c r="A1939" s="2463"/>
      <c r="B1939" s="157"/>
      <c r="C1939" s="385"/>
      <c r="D1939" s="3589"/>
      <c r="E1939" s="3721"/>
      <c r="F1939" s="3773" t="str">
        <f>$E$1408</f>
        <v>ASHP - SEER 15 ER Elec Resist Furnace: HVAC ER2</v>
      </c>
      <c r="G1939" s="3774"/>
      <c r="H1939" s="3774"/>
      <c r="I1939" s="3775"/>
      <c r="J1939" s="3071" t="str">
        <f>$C$1408</f>
        <v>352300_2019_12_</v>
      </c>
      <c r="K1939" s="3056">
        <v>3.41</v>
      </c>
      <c r="L1939" s="944"/>
      <c r="M1939" s="783" t="s">
        <v>1089</v>
      </c>
      <c r="N1939" s="157"/>
      <c r="O1939" s="277"/>
      <c r="P1939" s="937"/>
      <c r="Q1939" s="937"/>
      <c r="R1939" s="937"/>
      <c r="S1939" s="924"/>
      <c r="T1939" s="1407"/>
      <c r="U1939" s="157"/>
      <c r="V1939" s="3589"/>
      <c r="W1939" s="766">
        <v>3.41</v>
      </c>
      <c r="X1939" s="766">
        <v>3.41</v>
      </c>
      <c r="Y1939" s="766">
        <v>3.41</v>
      </c>
      <c r="Z1939" s="2426">
        <v>3.41</v>
      </c>
      <c r="AA1939" s="2426">
        <v>3.41</v>
      </c>
      <c r="AB1939" s="2426">
        <v>3.41</v>
      </c>
      <c r="AC1939" s="766"/>
      <c r="AD1939" s="766"/>
      <c r="AE1939" s="766"/>
      <c r="AF1939" s="766"/>
      <c r="AG1939" s="766"/>
      <c r="BB1939" s="647"/>
      <c r="BC1939" s="648"/>
      <c r="BD1939" s="757"/>
      <c r="BE1939" s="659"/>
    </row>
    <row r="1940" spans="1:57" s="64" customFormat="1" ht="15" customHeight="1" outlineLevel="1" x14ac:dyDescent="0.25">
      <c r="A1940" s="2463"/>
      <c r="B1940" s="157"/>
      <c r="C1940" s="385"/>
      <c r="D1940" s="3589"/>
      <c r="E1940" s="3721"/>
      <c r="F1940" s="3773" t="str">
        <f>$E$1410</f>
        <v>ASHP - SEER 15 ER with ASHP: HVAC ER1</v>
      </c>
      <c r="G1940" s="3774"/>
      <c r="H1940" s="3774"/>
      <c r="I1940" s="3775"/>
      <c r="J1940" s="3071" t="str">
        <f>$C$1410</f>
        <v>352350_2019_12_</v>
      </c>
      <c r="K1940" s="3056">
        <v>6.58</v>
      </c>
      <c r="L1940" s="944"/>
      <c r="M1940" s="783" t="s">
        <v>1089</v>
      </c>
      <c r="N1940" s="157"/>
      <c r="O1940" s="277"/>
      <c r="P1940" s="937"/>
      <c r="Q1940" s="937"/>
      <c r="R1940" s="937"/>
      <c r="S1940" s="924"/>
      <c r="T1940" s="1407"/>
      <c r="U1940" s="157"/>
      <c r="V1940" s="3589"/>
      <c r="W1940" s="766">
        <v>5.44</v>
      </c>
      <c r="X1940" s="765">
        <v>6.58</v>
      </c>
      <c r="Y1940" s="766">
        <v>6.58</v>
      </c>
      <c r="Z1940" s="2426">
        <v>6.58</v>
      </c>
      <c r="AA1940" s="2426">
        <v>6.58</v>
      </c>
      <c r="AB1940" s="2426">
        <v>6.58</v>
      </c>
      <c r="AC1940" s="766"/>
      <c r="AD1940" s="766"/>
      <c r="AE1940" s="766"/>
      <c r="AF1940" s="766"/>
      <c r="AG1940" s="766"/>
      <c r="BB1940" s="647"/>
      <c r="BC1940" s="648"/>
      <c r="BD1940" s="757"/>
      <c r="BE1940" s="659"/>
    </row>
    <row r="1941" spans="1:57" s="64" customFormat="1" ht="15" customHeight="1" outlineLevel="1" x14ac:dyDescent="0.25">
      <c r="A1941" s="2463"/>
      <c r="B1941" s="157"/>
      <c r="C1941" s="385"/>
      <c r="D1941" s="3589"/>
      <c r="E1941" s="3721"/>
      <c r="F1941" s="3773" t="str">
        <f>$E$1412</f>
        <v>ASHP - SEER 15 ER with ASHP: HVAC ER2</v>
      </c>
      <c r="G1941" s="3774"/>
      <c r="H1941" s="3774"/>
      <c r="I1941" s="3775"/>
      <c r="J1941" s="3071" t="str">
        <f>$C$1412</f>
        <v>352350_2019_12_</v>
      </c>
      <c r="K1941" s="3056">
        <v>8.1999999999999993</v>
      </c>
      <c r="L1941" s="944"/>
      <c r="M1941" s="783" t="s">
        <v>1089</v>
      </c>
      <c r="N1941" s="157"/>
      <c r="O1941" s="277"/>
      <c r="P1941" s="937"/>
      <c r="Q1941" s="937"/>
      <c r="R1941" s="937"/>
      <c r="S1941" s="924"/>
      <c r="T1941" s="1407"/>
      <c r="U1941" s="157"/>
      <c r="V1941" s="3589"/>
      <c r="W1941" s="766">
        <v>8.1999999999999993</v>
      </c>
      <c r="X1941" s="766">
        <v>8.1999999999999993</v>
      </c>
      <c r="Y1941" s="766">
        <v>8.1999999999999993</v>
      </c>
      <c r="Z1941" s="2426">
        <v>8.1999999999999993</v>
      </c>
      <c r="AA1941" s="2426">
        <v>8.1999999999999993</v>
      </c>
      <c r="AB1941" s="2426">
        <v>8.1999999999999993</v>
      </c>
      <c r="AC1941" s="766"/>
      <c r="AD1941" s="766"/>
      <c r="AE1941" s="766"/>
      <c r="AF1941" s="766"/>
      <c r="AG1941" s="766"/>
      <c r="BB1941" s="647"/>
      <c r="BC1941" s="648"/>
      <c r="BD1941" s="757"/>
      <c r="BE1941" s="659"/>
    </row>
    <row r="1942" spans="1:57" s="64" customFormat="1" ht="15" customHeight="1" outlineLevel="1" x14ac:dyDescent="0.25">
      <c r="A1942" s="2463"/>
      <c r="B1942" s="157"/>
      <c r="C1942" s="385"/>
      <c r="D1942" s="3589"/>
      <c r="E1942" s="3721"/>
      <c r="F1942" s="3773" t="str">
        <f>$E$1414</f>
        <v>ASHP-  SEER 15 Replace at Fail Elec Resist Furnace: HVAC</v>
      </c>
      <c r="G1942" s="3774"/>
      <c r="H1942" s="3774"/>
      <c r="I1942" s="3775"/>
      <c r="J1942" s="3071" t="str">
        <f>$C$1414</f>
        <v>352400_2019_12_</v>
      </c>
      <c r="K1942" s="3056">
        <v>3.41</v>
      </c>
      <c r="L1942" s="944"/>
      <c r="M1942" s="783" t="s">
        <v>1089</v>
      </c>
      <c r="N1942" s="157"/>
      <c r="O1942" s="277"/>
      <c r="P1942" s="937"/>
      <c r="Q1942" s="937"/>
      <c r="R1942" s="937"/>
      <c r="S1942" s="924"/>
      <c r="T1942" s="1407"/>
      <c r="U1942" s="157"/>
      <c r="V1942" s="3589"/>
      <c r="W1942" s="766">
        <v>3.41</v>
      </c>
      <c r="X1942" s="766">
        <v>3.41</v>
      </c>
      <c r="Y1942" s="766">
        <v>3.41</v>
      </c>
      <c r="Z1942" s="2426">
        <v>3.41</v>
      </c>
      <c r="AA1942" s="2426">
        <v>3.41</v>
      </c>
      <c r="AB1942" s="2426">
        <v>3.41</v>
      </c>
      <c r="AC1942" s="766"/>
      <c r="AD1942" s="766"/>
      <c r="AE1942" s="766"/>
      <c r="AF1942" s="766"/>
      <c r="AG1942" s="766"/>
      <c r="BB1942" s="647"/>
      <c r="BC1942" s="648"/>
      <c r="BD1942" s="757"/>
      <c r="BE1942" s="659"/>
    </row>
    <row r="1943" spans="1:57" s="64" customFormat="1" ht="15" customHeight="1" outlineLevel="1" x14ac:dyDescent="0.25">
      <c r="A1943" s="2463"/>
      <c r="B1943" s="157"/>
      <c r="C1943" s="385"/>
      <c r="D1943" s="3589"/>
      <c r="E1943" s="3721"/>
      <c r="F1943" s="3773" t="str">
        <f>$E$1416</f>
        <v>ASHP - SEER 15 Replace at Fail with ASHP: HVAC</v>
      </c>
      <c r="G1943" s="3774"/>
      <c r="H1943" s="3774"/>
      <c r="I1943" s="3775"/>
      <c r="J1943" s="3071" t="str">
        <f>$C$1416</f>
        <v>352450_2019_12_</v>
      </c>
      <c r="K1943" s="3056">
        <v>8.1999999999999993</v>
      </c>
      <c r="L1943" s="944"/>
      <c r="M1943" s="783" t="s">
        <v>1089</v>
      </c>
      <c r="N1943" s="157"/>
      <c r="O1943" s="277"/>
      <c r="P1943" s="937"/>
      <c r="Q1943" s="937"/>
      <c r="R1943" s="937"/>
      <c r="S1943" s="924"/>
      <c r="T1943" s="1407"/>
      <c r="U1943" s="157"/>
      <c r="V1943" s="3589"/>
      <c r="W1943" s="766">
        <v>8.1999999999999993</v>
      </c>
      <c r="X1943" s="766">
        <v>8.1999999999999993</v>
      </c>
      <c r="Y1943" s="766">
        <v>8.1999999999999993</v>
      </c>
      <c r="Z1943" s="2426">
        <v>8.1999999999999993</v>
      </c>
      <c r="AA1943" s="2426">
        <v>8.1999999999999993</v>
      </c>
      <c r="AB1943" s="2426">
        <v>8.1999999999999993</v>
      </c>
      <c r="AC1943" s="766"/>
      <c r="AD1943" s="766"/>
      <c r="AE1943" s="766"/>
      <c r="AF1943" s="766"/>
      <c r="AG1943" s="766"/>
      <c r="BB1943" s="647"/>
      <c r="BC1943" s="648"/>
      <c r="BD1943" s="757"/>
      <c r="BE1943" s="659"/>
    </row>
    <row r="1944" spans="1:57" s="64" customFormat="1" ht="15" customHeight="1" outlineLevel="1" x14ac:dyDescent="0.25">
      <c r="A1944" s="2463"/>
      <c r="B1944" s="157"/>
      <c r="C1944" s="385"/>
      <c r="D1944" s="3589"/>
      <c r="E1944" s="3721"/>
      <c r="F1944" s="3773" t="str">
        <f>$E$1418</f>
        <v>ASHP - SEER 16 - replace electric furnace / CAC - early replacement SF ER1</v>
      </c>
      <c r="G1944" s="3774"/>
      <c r="H1944" s="3774"/>
      <c r="I1944" s="3775"/>
      <c r="J1944" s="3071" t="str">
        <f>$C$1418</f>
        <v>352500_2019_12_</v>
      </c>
      <c r="K1944" s="3056">
        <v>3.41</v>
      </c>
      <c r="L1944" s="944"/>
      <c r="M1944" s="783" t="s">
        <v>1089</v>
      </c>
      <c r="N1944" s="157"/>
      <c r="O1944" s="277"/>
      <c r="P1944" s="937"/>
      <c r="Q1944" s="937"/>
      <c r="R1944" s="937"/>
      <c r="S1944" s="924"/>
      <c r="T1944" s="1407"/>
      <c r="U1944" s="157"/>
      <c r="V1944" s="3589"/>
      <c r="W1944" s="766">
        <v>3.41</v>
      </c>
      <c r="X1944" s="766">
        <v>3.41</v>
      </c>
      <c r="Y1944" s="766">
        <v>3.41</v>
      </c>
      <c r="Z1944" s="2426">
        <v>3.41</v>
      </c>
      <c r="AA1944" s="2426">
        <v>3.41</v>
      </c>
      <c r="AB1944" s="2426">
        <v>3.41</v>
      </c>
      <c r="AC1944" s="766"/>
      <c r="AD1944" s="766"/>
      <c r="AE1944" s="766"/>
      <c r="AF1944" s="766"/>
      <c r="AG1944" s="766"/>
      <c r="BB1944" s="647"/>
      <c r="BC1944" s="648"/>
      <c r="BD1944" s="757"/>
      <c r="BE1944" s="659"/>
    </row>
    <row r="1945" spans="1:57" s="64" customFormat="1" ht="15" customHeight="1" outlineLevel="1" x14ac:dyDescent="0.25">
      <c r="A1945" s="2463"/>
      <c r="B1945" s="157"/>
      <c r="C1945" s="385"/>
      <c r="D1945" s="3589"/>
      <c r="E1945" s="3721"/>
      <c r="F1945" s="3773" t="str">
        <f>$E$1420</f>
        <v>ASHP - SEER 16 - replace electric furnace / CAC - early replacement SF ER2</v>
      </c>
      <c r="G1945" s="3774"/>
      <c r="H1945" s="3774"/>
      <c r="I1945" s="3775"/>
      <c r="J1945" s="3071" t="str">
        <f>$C$1420</f>
        <v>352500_2019_12_</v>
      </c>
      <c r="K1945" s="3056">
        <v>3.41</v>
      </c>
      <c r="L1945" s="944"/>
      <c r="M1945" s="783" t="s">
        <v>1089</v>
      </c>
      <c r="N1945" s="157"/>
      <c r="O1945" s="277"/>
      <c r="P1945" s="937"/>
      <c r="Q1945" s="937"/>
      <c r="R1945" s="937"/>
      <c r="S1945" s="924"/>
      <c r="T1945" s="1407"/>
      <c r="U1945" s="157"/>
      <c r="V1945" s="3589"/>
      <c r="W1945" s="766">
        <v>3.41</v>
      </c>
      <c r="X1945" s="766">
        <v>3.41</v>
      </c>
      <c r="Y1945" s="766">
        <v>3.41</v>
      </c>
      <c r="Z1945" s="2426">
        <v>3.41</v>
      </c>
      <c r="AA1945" s="2426">
        <v>3.41</v>
      </c>
      <c r="AB1945" s="2426">
        <v>3.41</v>
      </c>
      <c r="AC1945" s="766"/>
      <c r="AD1945" s="766"/>
      <c r="AE1945" s="766"/>
      <c r="AF1945" s="766"/>
      <c r="AG1945" s="766"/>
      <c r="BB1945" s="647"/>
      <c r="BC1945" s="648"/>
      <c r="BD1945" s="757"/>
      <c r="BE1945" s="659"/>
    </row>
    <row r="1946" spans="1:57" s="64" customFormat="1" ht="15" customHeight="1" outlineLevel="1" x14ac:dyDescent="0.25">
      <c r="A1946" s="2463"/>
      <c r="B1946" s="157"/>
      <c r="C1946" s="385"/>
      <c r="D1946" s="3589"/>
      <c r="E1946" s="3721"/>
      <c r="F1946" s="3773" t="str">
        <f>$E$1422</f>
        <v>ASHP SEER 16 replace ASHP - early replacement SF ER1</v>
      </c>
      <c r="G1946" s="3774"/>
      <c r="H1946" s="3774"/>
      <c r="I1946" s="3775"/>
      <c r="J1946" s="3071" t="str">
        <f>$C$1422</f>
        <v>352550_2019_12_</v>
      </c>
      <c r="K1946" s="3056">
        <v>6.58</v>
      </c>
      <c r="L1946" s="944"/>
      <c r="M1946" s="783" t="s">
        <v>1089</v>
      </c>
      <c r="N1946" s="157"/>
      <c r="O1946" s="277"/>
      <c r="P1946" s="937"/>
      <c r="Q1946" s="937"/>
      <c r="R1946" s="937"/>
      <c r="S1946" s="924"/>
      <c r="T1946" s="1407"/>
      <c r="U1946" s="157"/>
      <c r="V1946" s="3589"/>
      <c r="W1946" s="766">
        <v>5.44</v>
      </c>
      <c r="X1946" s="765">
        <v>6.58</v>
      </c>
      <c r="Y1946" s="766">
        <v>6.58</v>
      </c>
      <c r="Z1946" s="2426">
        <v>6.58</v>
      </c>
      <c r="AA1946" s="2426">
        <v>6.58</v>
      </c>
      <c r="AB1946" s="2426">
        <v>6.58</v>
      </c>
      <c r="AC1946" s="766"/>
      <c r="AD1946" s="766"/>
      <c r="AE1946" s="766"/>
      <c r="AF1946" s="766"/>
      <c r="AG1946" s="766"/>
      <c r="BB1946" s="647"/>
      <c r="BC1946" s="648"/>
      <c r="BD1946" s="757"/>
      <c r="BE1946" s="659"/>
    </row>
    <row r="1947" spans="1:57" s="64" customFormat="1" ht="15" customHeight="1" outlineLevel="1" x14ac:dyDescent="0.25">
      <c r="A1947" s="1393"/>
      <c r="B1947" s="157"/>
      <c r="C1947" s="385"/>
      <c r="D1947" s="3589"/>
      <c r="E1947" s="3721"/>
      <c r="F1947" s="3773" t="str">
        <f>$E$1424</f>
        <v>ASHP SEER 16 replace ASHP - early replacement SF ER2</v>
      </c>
      <c r="G1947" s="3774"/>
      <c r="H1947" s="3774"/>
      <c r="I1947" s="3775"/>
      <c r="J1947" s="3071" t="str">
        <f>$C$1424</f>
        <v>352550_2019_12_</v>
      </c>
      <c r="K1947" s="3056">
        <v>8.1999999999999993</v>
      </c>
      <c r="L1947" s="945"/>
      <c r="M1947" s="783" t="s">
        <v>1089</v>
      </c>
      <c r="N1947" s="157"/>
      <c r="O1947" s="277"/>
      <c r="P1947" s="937"/>
      <c r="Q1947" s="937"/>
      <c r="R1947" s="937"/>
      <c r="S1947" s="924"/>
      <c r="T1947" s="1407"/>
      <c r="U1947" s="157"/>
      <c r="V1947" s="3589"/>
      <c r="W1947" s="766">
        <v>8.1999999999999993</v>
      </c>
      <c r="X1947" s="766">
        <v>8.1999999999999993</v>
      </c>
      <c r="Y1947" s="766">
        <v>8.1999999999999993</v>
      </c>
      <c r="Z1947" s="2426">
        <v>8.1999999999999993</v>
      </c>
      <c r="AA1947" s="2426">
        <v>8.1999999999999993</v>
      </c>
      <c r="AB1947" s="2426">
        <v>8.1999999999999993</v>
      </c>
      <c r="AC1947" s="766"/>
      <c r="AD1947" s="766"/>
      <c r="AE1947" s="766"/>
      <c r="AF1947" s="766"/>
      <c r="AG1947" s="766"/>
      <c r="BB1947" s="647"/>
      <c r="BC1947" s="648"/>
      <c r="BD1947" s="757"/>
      <c r="BE1947" s="659"/>
    </row>
    <row r="1948" spans="1:57" s="64" customFormat="1" ht="15" customHeight="1" outlineLevel="1" x14ac:dyDescent="0.25">
      <c r="A1948" s="2463"/>
      <c r="B1948" s="157"/>
      <c r="C1948" s="385"/>
      <c r="D1948" s="3589"/>
      <c r="E1948" s="3721"/>
      <c r="F1948" s="3773" t="str">
        <f>$E$1426</f>
        <v>ASHP - SEER 16 - replace electric furnace / CAC SF</v>
      </c>
      <c r="G1948" s="3774"/>
      <c r="H1948" s="3774"/>
      <c r="I1948" s="3775"/>
      <c r="J1948" s="3071" t="str">
        <f>$C$1426</f>
        <v>352600_2019_12_</v>
      </c>
      <c r="K1948" s="3056">
        <v>3.41</v>
      </c>
      <c r="L1948" s="945"/>
      <c r="M1948" s="783" t="s">
        <v>1089</v>
      </c>
      <c r="N1948" s="157"/>
      <c r="O1948" s="277"/>
      <c r="P1948" s="937"/>
      <c r="Q1948" s="937"/>
      <c r="R1948" s="937"/>
      <c r="S1948" s="924"/>
      <c r="T1948" s="1407"/>
      <c r="U1948" s="157"/>
      <c r="V1948" s="3589"/>
      <c r="W1948" s="766">
        <v>3.41</v>
      </c>
      <c r="X1948" s="766">
        <v>3.41</v>
      </c>
      <c r="Y1948" s="766">
        <v>3.41</v>
      </c>
      <c r="Z1948" s="2426">
        <v>3.41</v>
      </c>
      <c r="AA1948" s="2426">
        <v>3.41</v>
      </c>
      <c r="AB1948" s="2426">
        <v>3.41</v>
      </c>
      <c r="AC1948" s="766"/>
      <c r="AD1948" s="766"/>
      <c r="AE1948" s="766"/>
      <c r="AF1948" s="766"/>
      <c r="AG1948" s="766"/>
      <c r="BB1948" s="647"/>
      <c r="BC1948" s="648"/>
      <c r="BD1948" s="757"/>
      <c r="BE1948" s="659"/>
    </row>
    <row r="1949" spans="1:57" s="64" customFormat="1" ht="15" customHeight="1" outlineLevel="1" x14ac:dyDescent="0.25">
      <c r="A1949" s="2463"/>
      <c r="B1949" s="157"/>
      <c r="C1949" s="385"/>
      <c r="D1949" s="3589"/>
      <c r="E1949" s="3721"/>
      <c r="F1949" s="3773" t="str">
        <f>$E$1428</f>
        <v>ASHP SEER 16 replace ASHP - replace on fail SF</v>
      </c>
      <c r="G1949" s="3774"/>
      <c r="H1949" s="3774"/>
      <c r="I1949" s="3775"/>
      <c r="J1949" s="3071" t="str">
        <f>$C$1428</f>
        <v>352650_2019_12_</v>
      </c>
      <c r="K1949" s="3056">
        <v>8.1999999999999993</v>
      </c>
      <c r="L1949" s="945"/>
      <c r="M1949" s="783" t="s">
        <v>1089</v>
      </c>
      <c r="N1949" s="157"/>
      <c r="O1949" s="277"/>
      <c r="P1949" s="937"/>
      <c r="Q1949" s="937"/>
      <c r="R1949" s="937"/>
      <c r="S1949" s="924"/>
      <c r="T1949" s="1407"/>
      <c r="U1949" s="157"/>
      <c r="V1949" s="3589"/>
      <c r="W1949" s="766">
        <v>8.1999999999999993</v>
      </c>
      <c r="X1949" s="766">
        <v>8.1999999999999993</v>
      </c>
      <c r="Y1949" s="766">
        <v>8.1999999999999993</v>
      </c>
      <c r="Z1949" s="2426">
        <v>8.1999999999999993</v>
      </c>
      <c r="AA1949" s="2426">
        <v>8.1999999999999993</v>
      </c>
      <c r="AB1949" s="2426">
        <v>8.1999999999999993</v>
      </c>
      <c r="AC1949" s="766"/>
      <c r="AD1949" s="766"/>
      <c r="AE1949" s="766"/>
      <c r="AF1949" s="766"/>
      <c r="AG1949" s="766"/>
      <c r="BB1949" s="647"/>
      <c r="BC1949" s="648"/>
      <c r="BD1949" s="757"/>
      <c r="BE1949" s="659"/>
    </row>
    <row r="1950" spans="1:57" s="64" customFormat="1" ht="15" customHeight="1" outlineLevel="1" x14ac:dyDescent="0.25">
      <c r="A1950" s="2463"/>
      <c r="B1950" s="157"/>
      <c r="C1950" s="385"/>
      <c r="D1950" s="3589"/>
      <c r="E1950" s="3721"/>
      <c r="F1950" s="3773" t="str">
        <f>$E$1430</f>
        <v>ASHP SEER 15 MF ER replace ASHP: HVAC ER1</v>
      </c>
      <c r="G1950" s="3774"/>
      <c r="H1950" s="3774"/>
      <c r="I1950" s="3775"/>
      <c r="J1950" s="3071" t="str">
        <f>$C$1430</f>
        <v>352700_2019_12_</v>
      </c>
      <c r="K1950" s="3056">
        <v>6.58</v>
      </c>
      <c r="L1950" s="945"/>
      <c r="M1950" s="783" t="s">
        <v>1505</v>
      </c>
      <c r="N1950" s="157"/>
      <c r="O1950" s="277"/>
      <c r="P1950" s="937"/>
      <c r="Q1950" s="937"/>
      <c r="R1950" s="937"/>
      <c r="S1950" s="924"/>
      <c r="T1950" s="1407"/>
      <c r="U1950" s="157"/>
      <c r="V1950" s="3589"/>
      <c r="W1950" s="766">
        <v>5.44</v>
      </c>
      <c r="X1950" s="765">
        <v>5.44</v>
      </c>
      <c r="Y1950" s="765">
        <v>6.58</v>
      </c>
      <c r="Z1950" s="2426">
        <v>6.58</v>
      </c>
      <c r="AA1950" s="2426">
        <v>6.58</v>
      </c>
      <c r="AB1950" s="2426">
        <v>6.58</v>
      </c>
      <c r="AC1950" s="766"/>
      <c r="AD1950" s="766"/>
      <c r="AE1950" s="766"/>
      <c r="AF1950" s="766"/>
      <c r="AG1950" s="766"/>
      <c r="BB1950" s="647"/>
      <c r="BC1950" s="648"/>
      <c r="BD1950" s="757"/>
      <c r="BE1950" s="659"/>
    </row>
    <row r="1951" spans="1:57" s="64" customFormat="1" ht="15" customHeight="1" outlineLevel="1" x14ac:dyDescent="0.25">
      <c r="A1951" s="2463"/>
      <c r="B1951" s="157"/>
      <c r="C1951" s="385"/>
      <c r="D1951" s="3589"/>
      <c r="E1951" s="3721"/>
      <c r="F1951" s="3773" t="str">
        <f>$E$1432</f>
        <v>ASHP SEER 15 MF ER replace ASHP: HVAC ER2</v>
      </c>
      <c r="G1951" s="3774"/>
      <c r="H1951" s="3774"/>
      <c r="I1951" s="3775"/>
      <c r="J1951" s="3071" t="str">
        <f>$C$1432</f>
        <v>352700_2019_12_</v>
      </c>
      <c r="K1951" s="3056">
        <v>8.1999999999999993</v>
      </c>
      <c r="L1951" s="945"/>
      <c r="M1951" s="783" t="s">
        <v>1505</v>
      </c>
      <c r="N1951" s="157"/>
      <c r="O1951" s="277"/>
      <c r="P1951" s="937"/>
      <c r="Q1951" s="937"/>
      <c r="R1951" s="937"/>
      <c r="S1951" s="924"/>
      <c r="T1951" s="1407"/>
      <c r="U1951" s="157"/>
      <c r="V1951" s="3589"/>
      <c r="W1951" s="766">
        <v>8.1999999999999993</v>
      </c>
      <c r="X1951" s="766">
        <v>8.1999999999999993</v>
      </c>
      <c r="Y1951" s="766">
        <v>8.1999999999999993</v>
      </c>
      <c r="Z1951" s="2426">
        <v>8.1999999999999993</v>
      </c>
      <c r="AA1951" s="2426">
        <v>8.1999999999999993</v>
      </c>
      <c r="AB1951" s="2426">
        <v>8.1999999999999993</v>
      </c>
      <c r="AC1951" s="766"/>
      <c r="AD1951" s="766"/>
      <c r="AE1951" s="766"/>
      <c r="AF1951" s="766"/>
      <c r="AG1951" s="766"/>
      <c r="BB1951" s="647"/>
      <c r="BC1951" s="648"/>
      <c r="BD1951" s="757"/>
      <c r="BE1951" s="659"/>
    </row>
    <row r="1952" spans="1:57" s="64" customFormat="1" ht="15" customHeight="1" outlineLevel="1" x14ac:dyDescent="0.25">
      <c r="A1952" s="2463"/>
      <c r="B1952" s="157"/>
      <c r="C1952" s="385"/>
      <c r="D1952" s="3589"/>
      <c r="E1952" s="3721"/>
      <c r="F1952" s="3773" t="str">
        <f>$E$1434</f>
        <v>ASHP SEER 15 MF ER replace ASHP: HVAC ER1_CompE</v>
      </c>
      <c r="G1952" s="3774"/>
      <c r="H1952" s="3774"/>
      <c r="I1952" s="3775"/>
      <c r="J1952" s="3071" t="str">
        <f>$C$1434</f>
        <v>352701_2019_12_</v>
      </c>
      <c r="K1952" s="3056">
        <v>6.58</v>
      </c>
      <c r="L1952" s="945"/>
      <c r="M1952" s="783" t="s">
        <v>1505</v>
      </c>
      <c r="N1952" s="157"/>
      <c r="O1952" s="277"/>
      <c r="P1952" s="937"/>
      <c r="Q1952" s="937"/>
      <c r="R1952" s="937"/>
      <c r="S1952" s="924"/>
      <c r="T1952" s="1407"/>
      <c r="U1952" s="157"/>
      <c r="V1952" s="3589"/>
      <c r="W1952" s="766"/>
      <c r="X1952" s="766"/>
      <c r="Y1952" s="765">
        <v>6.58</v>
      </c>
      <c r="Z1952" s="2426">
        <v>6.58</v>
      </c>
      <c r="AA1952" s="2426">
        <v>6.58</v>
      </c>
      <c r="AB1952" s="2426">
        <v>6.58</v>
      </c>
      <c r="AC1952" s="766"/>
      <c r="AD1952" s="766"/>
      <c r="AE1952" s="766"/>
      <c r="AF1952" s="766"/>
      <c r="AG1952" s="766"/>
      <c r="BB1952" s="647"/>
      <c r="BC1952" s="648"/>
      <c r="BD1952" s="757"/>
      <c r="BE1952" s="659"/>
    </row>
    <row r="1953" spans="1:57" s="64" customFormat="1" ht="15" customHeight="1" outlineLevel="1" x14ac:dyDescent="0.25">
      <c r="A1953" s="2463"/>
      <c r="B1953" s="157"/>
      <c r="C1953" s="385"/>
      <c r="D1953" s="3589"/>
      <c r="E1953" s="3721"/>
      <c r="F1953" s="3773" t="str">
        <f>$E$1436</f>
        <v>ASHP SEER 15 MF ER replace ASHP: HVAC ER2_CompE</v>
      </c>
      <c r="G1953" s="3774"/>
      <c r="H1953" s="3774"/>
      <c r="I1953" s="3775"/>
      <c r="J1953" s="3071" t="str">
        <f>$C$1436</f>
        <v>352701_2019_12_</v>
      </c>
      <c r="K1953" s="3056">
        <v>8.1999999999999993</v>
      </c>
      <c r="L1953" s="945"/>
      <c r="M1953" s="783" t="s">
        <v>1505</v>
      </c>
      <c r="N1953" s="157"/>
      <c r="O1953" s="277"/>
      <c r="P1953" s="937"/>
      <c r="Q1953" s="937"/>
      <c r="R1953" s="937"/>
      <c r="S1953" s="924"/>
      <c r="T1953" s="1407"/>
      <c r="U1953" s="157"/>
      <c r="V1953" s="3589"/>
      <c r="W1953" s="766"/>
      <c r="X1953" s="766"/>
      <c r="Y1953" s="765">
        <v>8.1999999999999993</v>
      </c>
      <c r="Z1953" s="2426">
        <v>8.1999999999999993</v>
      </c>
      <c r="AA1953" s="2426">
        <v>8.1999999999999993</v>
      </c>
      <c r="AB1953" s="2426">
        <v>8.1999999999999993</v>
      </c>
      <c r="AC1953" s="766"/>
      <c r="AD1953" s="766"/>
      <c r="AE1953" s="766"/>
      <c r="AF1953" s="766"/>
      <c r="AG1953" s="766"/>
      <c r="BB1953" s="647"/>
      <c r="BC1953" s="648"/>
      <c r="BD1953" s="757"/>
      <c r="BE1953" s="659"/>
    </row>
    <row r="1954" spans="1:57" s="64" customFormat="1" ht="15" customHeight="1" outlineLevel="1" x14ac:dyDescent="0.25">
      <c r="A1954" s="1393"/>
      <c r="B1954" s="157"/>
      <c r="C1954" s="385"/>
      <c r="D1954" s="3589"/>
      <c r="E1954" s="3721"/>
      <c r="F1954" s="3773" t="str">
        <f>$E$1438</f>
        <v>ASHP SEER 15 MF ER replace Elec Resist Furnace: HVAC ER1</v>
      </c>
      <c r="G1954" s="3774"/>
      <c r="H1954" s="3774"/>
      <c r="I1954" s="3775"/>
      <c r="J1954" s="3071" t="str">
        <f>$C$1438</f>
        <v>352750_2019_12_</v>
      </c>
      <c r="K1954" s="3056">
        <v>3.41</v>
      </c>
      <c r="L1954" s="945"/>
      <c r="M1954" s="783" t="s">
        <v>1505</v>
      </c>
      <c r="N1954" s="157"/>
      <c r="O1954" s="277"/>
      <c r="P1954" s="937"/>
      <c r="Q1954" s="937"/>
      <c r="R1954" s="937"/>
      <c r="S1954" s="924"/>
      <c r="T1954" s="1407"/>
      <c r="U1954" s="157"/>
      <c r="V1954" s="3589"/>
      <c r="W1954" s="766">
        <v>3.41</v>
      </c>
      <c r="X1954" s="766">
        <v>3.41</v>
      </c>
      <c r="Y1954" s="766">
        <v>3.41</v>
      </c>
      <c r="Z1954" s="2426">
        <v>3.41</v>
      </c>
      <c r="AA1954" s="2426">
        <v>3.41</v>
      </c>
      <c r="AB1954" s="2426">
        <v>3.41</v>
      </c>
      <c r="AC1954" s="766"/>
      <c r="AD1954" s="766"/>
      <c r="AE1954" s="766"/>
      <c r="AF1954" s="766"/>
      <c r="AG1954" s="766"/>
      <c r="BB1954" s="647"/>
      <c r="BC1954" s="648"/>
      <c r="BD1954" s="757"/>
      <c r="BE1954" s="659"/>
    </row>
    <row r="1955" spans="1:57" s="64" customFormat="1" ht="15" customHeight="1" outlineLevel="1" x14ac:dyDescent="0.25">
      <c r="A1955" s="2463"/>
      <c r="B1955" s="157"/>
      <c r="C1955" s="385"/>
      <c r="D1955" s="3589"/>
      <c r="E1955" s="3721"/>
      <c r="F1955" s="3773" t="str">
        <f>$E$1440</f>
        <v>ASHP SEER 15 MF ER replace Elec Resist Furnace: HVAC ER2</v>
      </c>
      <c r="G1955" s="3774"/>
      <c r="H1955" s="3774"/>
      <c r="I1955" s="3775"/>
      <c r="J1955" s="3071" t="str">
        <f>$C$1440</f>
        <v>352750_2019_12_</v>
      </c>
      <c r="K1955" s="3056">
        <v>3.41</v>
      </c>
      <c r="L1955" s="945"/>
      <c r="M1955" s="783" t="s">
        <v>1505</v>
      </c>
      <c r="N1955" s="157"/>
      <c r="O1955" s="277"/>
      <c r="P1955" s="937"/>
      <c r="Q1955" s="937"/>
      <c r="R1955" s="937"/>
      <c r="S1955" s="924"/>
      <c r="T1955" s="1407"/>
      <c r="U1955" s="157"/>
      <c r="V1955" s="3589"/>
      <c r="W1955" s="766">
        <v>3.41</v>
      </c>
      <c r="X1955" s="766">
        <v>3.41</v>
      </c>
      <c r="Y1955" s="766">
        <v>3.41</v>
      </c>
      <c r="Z1955" s="2426">
        <v>3.41</v>
      </c>
      <c r="AA1955" s="2426">
        <v>3.41</v>
      </c>
      <c r="AB1955" s="2426">
        <v>3.41</v>
      </c>
      <c r="AC1955" s="766"/>
      <c r="AD1955" s="766"/>
      <c r="AE1955" s="766"/>
      <c r="AF1955" s="766"/>
      <c r="AG1955" s="766"/>
      <c r="BB1955" s="647"/>
      <c r="BC1955" s="648"/>
      <c r="BD1955" s="757"/>
      <c r="BE1955" s="659"/>
    </row>
    <row r="1956" spans="1:57" s="64" customFormat="1" ht="15" customHeight="1" outlineLevel="1" x14ac:dyDescent="0.25">
      <c r="A1956" s="2463"/>
      <c r="B1956" s="157"/>
      <c r="C1956" s="385"/>
      <c r="D1956" s="3589"/>
      <c r="E1956" s="3721"/>
      <c r="F1956" s="3773" t="str">
        <f>$E$1442</f>
        <v>ASHP SEER 15 MF ER replace Elec Resist Furnace: HVAC ER1_CompE</v>
      </c>
      <c r="G1956" s="3774"/>
      <c r="H1956" s="3774"/>
      <c r="I1956" s="3775"/>
      <c r="J1956" s="3071" t="str">
        <f>$C$1442</f>
        <v>352751_2019_12_</v>
      </c>
      <c r="K1956" s="3056">
        <v>3.41</v>
      </c>
      <c r="L1956" s="945"/>
      <c r="M1956" s="783" t="s">
        <v>1505</v>
      </c>
      <c r="N1956" s="157"/>
      <c r="O1956" s="277"/>
      <c r="P1956" s="937"/>
      <c r="Q1956" s="937"/>
      <c r="R1956" s="937"/>
      <c r="S1956" s="924"/>
      <c r="T1956" s="1407"/>
      <c r="U1956" s="157"/>
      <c r="V1956" s="3589"/>
      <c r="W1956" s="766"/>
      <c r="X1956" s="766"/>
      <c r="Y1956" s="765">
        <v>3.41</v>
      </c>
      <c r="Z1956" s="2426">
        <v>3.41</v>
      </c>
      <c r="AA1956" s="2426">
        <v>3.41</v>
      </c>
      <c r="AB1956" s="2426">
        <v>3.41</v>
      </c>
      <c r="AC1956" s="766"/>
      <c r="AD1956" s="766"/>
      <c r="AE1956" s="766"/>
      <c r="AF1956" s="766"/>
      <c r="AG1956" s="766"/>
      <c r="BB1956" s="647"/>
      <c r="BC1956" s="648"/>
      <c r="BD1956" s="757"/>
      <c r="BE1956" s="659"/>
    </row>
    <row r="1957" spans="1:57" s="64" customFormat="1" ht="15" customHeight="1" outlineLevel="1" x14ac:dyDescent="0.25">
      <c r="A1957" s="2463"/>
      <c r="B1957" s="157"/>
      <c r="C1957" s="385"/>
      <c r="D1957" s="3589"/>
      <c r="E1957" s="3721"/>
      <c r="F1957" s="3773" t="str">
        <f>$E$1444</f>
        <v>ASHP SEER 15 MF ER replace Elec Resist Furnace: HVAC ER2_CompE</v>
      </c>
      <c r="G1957" s="3774"/>
      <c r="H1957" s="3774"/>
      <c r="I1957" s="3775"/>
      <c r="J1957" s="3071" t="str">
        <f>$C$1444</f>
        <v>352751_2019_12_</v>
      </c>
      <c r="K1957" s="3056">
        <v>3.41</v>
      </c>
      <c r="L1957" s="945"/>
      <c r="M1957" s="783" t="s">
        <v>1505</v>
      </c>
      <c r="N1957" s="157"/>
      <c r="O1957" s="277"/>
      <c r="P1957" s="937"/>
      <c r="Q1957" s="937"/>
      <c r="R1957" s="937"/>
      <c r="S1957" s="924"/>
      <c r="T1957" s="1407"/>
      <c r="U1957" s="157"/>
      <c r="V1957" s="3589"/>
      <c r="W1957" s="766"/>
      <c r="X1957" s="766"/>
      <c r="Y1957" s="765">
        <v>3.41</v>
      </c>
      <c r="Z1957" s="2426">
        <v>3.41</v>
      </c>
      <c r="AA1957" s="2426">
        <v>3.41</v>
      </c>
      <c r="AB1957" s="2426">
        <v>3.41</v>
      </c>
      <c r="AC1957" s="766"/>
      <c r="AD1957" s="766"/>
      <c r="AE1957" s="766"/>
      <c r="AF1957" s="766"/>
      <c r="AG1957" s="766"/>
      <c r="BB1957" s="647"/>
      <c r="BC1957" s="648"/>
      <c r="BD1957" s="757"/>
      <c r="BE1957" s="659"/>
    </row>
    <row r="1958" spans="1:57" s="64" customFormat="1" ht="15" customHeight="1" outlineLevel="1" x14ac:dyDescent="0.25">
      <c r="A1958" s="2463"/>
      <c r="B1958" s="157"/>
      <c r="C1958" s="385"/>
      <c r="D1958" s="3589"/>
      <c r="E1958" s="3721"/>
      <c r="F1958" s="3773" t="str">
        <f>$E$1446</f>
        <v>ASHP SEER 15 MF replace at Fail Elec Resist Furnace: HVAC</v>
      </c>
      <c r="G1958" s="3774"/>
      <c r="H1958" s="3774"/>
      <c r="I1958" s="3775"/>
      <c r="J1958" s="3071" t="str">
        <f>$C$1446</f>
        <v>352800_2019_12_</v>
      </c>
      <c r="K1958" s="3056">
        <v>3.41</v>
      </c>
      <c r="L1958" s="945"/>
      <c r="M1958" s="783" t="s">
        <v>1505</v>
      </c>
      <c r="N1958" s="157"/>
      <c r="O1958" s="277"/>
      <c r="P1958" s="937"/>
      <c r="Q1958" s="937"/>
      <c r="R1958" s="937"/>
      <c r="S1958" s="924"/>
      <c r="T1958" s="1407"/>
      <c r="U1958" s="157"/>
      <c r="V1958" s="3589"/>
      <c r="W1958" s="766">
        <v>3.41</v>
      </c>
      <c r="X1958" s="766">
        <v>3.41</v>
      </c>
      <c r="Y1958" s="766">
        <v>3.41</v>
      </c>
      <c r="Z1958" s="2426">
        <v>3.41</v>
      </c>
      <c r="AA1958" s="2426">
        <v>3.41</v>
      </c>
      <c r="AB1958" s="2426">
        <v>3.41</v>
      </c>
      <c r="AC1958" s="766"/>
      <c r="AD1958" s="766"/>
      <c r="AE1958" s="766"/>
      <c r="AF1958" s="766"/>
      <c r="AG1958" s="766"/>
      <c r="BB1958" s="647"/>
      <c r="BC1958" s="648"/>
      <c r="BD1958" s="757"/>
      <c r="BE1958" s="659"/>
    </row>
    <row r="1959" spans="1:57" s="64" customFormat="1" ht="15" customHeight="1" outlineLevel="1" x14ac:dyDescent="0.25">
      <c r="A1959" s="2463"/>
      <c r="B1959" s="157"/>
      <c r="C1959" s="385"/>
      <c r="D1959" s="3589"/>
      <c r="E1959" s="3721"/>
      <c r="F1959" s="3773" t="str">
        <f>$E$1448</f>
        <v>ASHP SEER 15 MF replace at Fail Elec Resist Furnace: HVAC_CompE</v>
      </c>
      <c r="G1959" s="3774"/>
      <c r="H1959" s="3774"/>
      <c r="I1959" s="3775"/>
      <c r="J1959" s="3071" t="str">
        <f>$C$1448</f>
        <v>352801_2019_12_</v>
      </c>
      <c r="K1959" s="3056">
        <v>3.41</v>
      </c>
      <c r="L1959" s="945"/>
      <c r="M1959" s="783" t="s">
        <v>1505</v>
      </c>
      <c r="N1959" s="157"/>
      <c r="O1959" s="277"/>
      <c r="P1959" s="937"/>
      <c r="Q1959" s="937"/>
      <c r="R1959" s="937"/>
      <c r="S1959" s="924"/>
      <c r="T1959" s="1407"/>
      <c r="U1959" s="157"/>
      <c r="V1959" s="3589"/>
      <c r="W1959" s="766"/>
      <c r="X1959" s="766"/>
      <c r="Y1959" s="765">
        <v>3.41</v>
      </c>
      <c r="Z1959" s="2426">
        <v>3.41</v>
      </c>
      <c r="AA1959" s="2426">
        <v>3.41</v>
      </c>
      <c r="AB1959" s="2426">
        <v>3.41</v>
      </c>
      <c r="AC1959" s="766"/>
      <c r="AD1959" s="766"/>
      <c r="AE1959" s="766"/>
      <c r="AF1959" s="766"/>
      <c r="AG1959" s="766"/>
      <c r="BB1959" s="647"/>
      <c r="BC1959" s="648"/>
      <c r="BD1959" s="757"/>
      <c r="BE1959" s="659"/>
    </row>
    <row r="1960" spans="1:57" s="64" customFormat="1" ht="15" customHeight="1" outlineLevel="1" x14ac:dyDescent="0.25">
      <c r="A1960" s="2463"/>
      <c r="B1960" s="157"/>
      <c r="C1960" s="385"/>
      <c r="D1960" s="3589"/>
      <c r="E1960" s="3721"/>
      <c r="F1960" s="3773" t="str">
        <f>$E$1450</f>
        <v>ASHP SEER 16 MF ER replace ASHP: HVAC ER1</v>
      </c>
      <c r="G1960" s="3774"/>
      <c r="H1960" s="3774"/>
      <c r="I1960" s="3775"/>
      <c r="J1960" s="3071" t="str">
        <f>$C$1450</f>
        <v>352850_2019_12_</v>
      </c>
      <c r="K1960" s="3056">
        <v>6.58</v>
      </c>
      <c r="L1960" s="945"/>
      <c r="M1960" s="783" t="s">
        <v>1505</v>
      </c>
      <c r="N1960" s="157"/>
      <c r="O1960" s="277"/>
      <c r="P1960" s="937"/>
      <c r="Q1960" s="937"/>
      <c r="R1960" s="937"/>
      <c r="S1960" s="924"/>
      <c r="T1960" s="1407"/>
      <c r="U1960" s="157"/>
      <c r="V1960" s="3589"/>
      <c r="W1960" s="766">
        <v>5.44</v>
      </c>
      <c r="X1960" s="765">
        <v>6.58</v>
      </c>
      <c r="Y1960" s="766">
        <v>6.58</v>
      </c>
      <c r="Z1960" s="2426">
        <v>6.58</v>
      </c>
      <c r="AA1960" s="2426">
        <v>6.58</v>
      </c>
      <c r="AB1960" s="2426">
        <v>6.58</v>
      </c>
      <c r="AC1960" s="766"/>
      <c r="AD1960" s="766"/>
      <c r="AE1960" s="766"/>
      <c r="AF1960" s="766"/>
      <c r="AG1960" s="766"/>
      <c r="BB1960" s="647"/>
      <c r="BC1960" s="648"/>
      <c r="BD1960" s="757"/>
      <c r="BE1960" s="659"/>
    </row>
    <row r="1961" spans="1:57" s="64" customFormat="1" ht="15" customHeight="1" outlineLevel="1" x14ac:dyDescent="0.25">
      <c r="A1961" s="2463"/>
      <c r="B1961" s="157"/>
      <c r="C1961" s="385"/>
      <c r="D1961" s="3589"/>
      <c r="E1961" s="3721"/>
      <c r="F1961" s="3773" t="str">
        <f>$E$1452</f>
        <v>ASHP SEER 16 MF ER replace ASHP: HVAC ER2</v>
      </c>
      <c r="G1961" s="3774"/>
      <c r="H1961" s="3774"/>
      <c r="I1961" s="3775"/>
      <c r="J1961" s="3071" t="str">
        <f>$C$1452</f>
        <v>352850_2019_12_</v>
      </c>
      <c r="K1961" s="3056">
        <v>8.1999999999999993</v>
      </c>
      <c r="L1961" s="945"/>
      <c r="M1961" s="783" t="s">
        <v>1505</v>
      </c>
      <c r="N1961" s="157"/>
      <c r="O1961" s="277"/>
      <c r="P1961" s="937"/>
      <c r="Q1961" s="937"/>
      <c r="R1961" s="937"/>
      <c r="S1961" s="924"/>
      <c r="T1961" s="1407"/>
      <c r="U1961" s="157"/>
      <c r="V1961" s="3589"/>
      <c r="W1961" s="766">
        <v>8.1999999999999993</v>
      </c>
      <c r="X1961" s="766">
        <v>8.1999999999999993</v>
      </c>
      <c r="Y1961" s="766">
        <v>8.1999999999999993</v>
      </c>
      <c r="Z1961" s="2426">
        <v>8.1999999999999993</v>
      </c>
      <c r="AA1961" s="2426">
        <v>8.1999999999999993</v>
      </c>
      <c r="AB1961" s="2426">
        <v>8.1999999999999993</v>
      </c>
      <c r="AC1961" s="766"/>
      <c r="AD1961" s="766"/>
      <c r="AE1961" s="766"/>
      <c r="AF1961" s="766"/>
      <c r="AG1961" s="766"/>
      <c r="BB1961" s="647"/>
      <c r="BC1961" s="648"/>
      <c r="BD1961" s="757"/>
      <c r="BE1961" s="659"/>
    </row>
    <row r="1962" spans="1:57" s="64" customFormat="1" ht="15" customHeight="1" outlineLevel="1" x14ac:dyDescent="0.25">
      <c r="A1962" s="2463"/>
      <c r="B1962" s="157"/>
      <c r="C1962" s="385"/>
      <c r="D1962" s="3589"/>
      <c r="E1962" s="3721"/>
      <c r="F1962" s="3773" t="str">
        <f>$E$1454</f>
        <v>ASHP SEER 16 MF ER replace ASHP: HVAC ER1_CompE</v>
      </c>
      <c r="G1962" s="3774"/>
      <c r="H1962" s="3774"/>
      <c r="I1962" s="3775"/>
      <c r="J1962" s="3071" t="str">
        <f>$C$1454</f>
        <v>352851_2019_12_</v>
      </c>
      <c r="K1962" s="3056">
        <v>6.58</v>
      </c>
      <c r="L1962" s="945"/>
      <c r="M1962" s="783" t="s">
        <v>1505</v>
      </c>
      <c r="N1962" s="157"/>
      <c r="O1962" s="277"/>
      <c r="P1962" s="937"/>
      <c r="Q1962" s="937"/>
      <c r="R1962" s="937"/>
      <c r="S1962" s="924"/>
      <c r="T1962" s="1407"/>
      <c r="U1962" s="157"/>
      <c r="V1962" s="3589"/>
      <c r="W1962" s="766"/>
      <c r="X1962" s="766"/>
      <c r="Y1962" s="765">
        <v>6.58</v>
      </c>
      <c r="Z1962" s="2426">
        <v>6.58</v>
      </c>
      <c r="AA1962" s="2426">
        <v>6.58</v>
      </c>
      <c r="AB1962" s="2426">
        <v>6.58</v>
      </c>
      <c r="AC1962" s="766"/>
      <c r="AD1962" s="766"/>
      <c r="AE1962" s="766"/>
      <c r="AF1962" s="766"/>
      <c r="AG1962" s="766"/>
      <c r="BB1962" s="647"/>
      <c r="BC1962" s="648"/>
      <c r="BD1962" s="757"/>
      <c r="BE1962" s="659"/>
    </row>
    <row r="1963" spans="1:57" s="64" customFormat="1" ht="15" customHeight="1" outlineLevel="1" x14ac:dyDescent="0.25">
      <c r="A1963" s="2463"/>
      <c r="B1963" s="157"/>
      <c r="C1963" s="385"/>
      <c r="D1963" s="3589"/>
      <c r="E1963" s="3721"/>
      <c r="F1963" s="3773" t="str">
        <f>$E$1456</f>
        <v>ASHP SEER 16 MF ER replace ASHP: HVAC ER2_CompE</v>
      </c>
      <c r="G1963" s="3774"/>
      <c r="H1963" s="3774"/>
      <c r="I1963" s="3775"/>
      <c r="J1963" s="3071" t="str">
        <f>$C$1456</f>
        <v>352851_2019_12_</v>
      </c>
      <c r="K1963" s="3056">
        <v>8.1999999999999993</v>
      </c>
      <c r="L1963" s="945"/>
      <c r="M1963" s="783" t="s">
        <v>1505</v>
      </c>
      <c r="N1963" s="157"/>
      <c r="O1963" s="277"/>
      <c r="P1963" s="937"/>
      <c r="Q1963" s="937"/>
      <c r="R1963" s="937"/>
      <c r="S1963" s="924"/>
      <c r="T1963" s="1407"/>
      <c r="U1963" s="157"/>
      <c r="V1963" s="3589"/>
      <c r="W1963" s="766"/>
      <c r="X1963" s="766"/>
      <c r="Y1963" s="765">
        <v>8.1999999999999993</v>
      </c>
      <c r="Z1963" s="2426">
        <v>8.1999999999999993</v>
      </c>
      <c r="AA1963" s="2426">
        <v>8.1999999999999993</v>
      </c>
      <c r="AB1963" s="2426">
        <v>8.1999999999999993</v>
      </c>
      <c r="AC1963" s="766"/>
      <c r="AD1963" s="766"/>
      <c r="AE1963" s="766"/>
      <c r="AF1963" s="766"/>
      <c r="AG1963" s="766"/>
      <c r="BB1963" s="647"/>
      <c r="BC1963" s="648"/>
      <c r="BD1963" s="757"/>
      <c r="BE1963" s="659"/>
    </row>
    <row r="1964" spans="1:57" s="64" customFormat="1" ht="15" customHeight="1" outlineLevel="1" x14ac:dyDescent="0.25">
      <c r="A1964" s="2463"/>
      <c r="B1964" s="157"/>
      <c r="C1964" s="385"/>
      <c r="D1964" s="3589"/>
      <c r="E1964" s="3721"/>
      <c r="F1964" s="3773" t="str">
        <f>$E$1458</f>
        <v>ASHP - SEER 16 - replace on fail MF</v>
      </c>
      <c r="G1964" s="3774"/>
      <c r="H1964" s="3774"/>
      <c r="I1964" s="3775"/>
      <c r="J1964" s="3071" t="str">
        <f>$C$1458</f>
        <v>352900_2019_12_</v>
      </c>
      <c r="K1964" s="3056">
        <v>8.1999999999999993</v>
      </c>
      <c r="L1964" s="945"/>
      <c r="M1964" s="783" t="s">
        <v>1505</v>
      </c>
      <c r="N1964" s="157"/>
      <c r="O1964" s="277"/>
      <c r="P1964" s="937"/>
      <c r="Q1964" s="937"/>
      <c r="R1964" s="937"/>
      <c r="S1964" s="924"/>
      <c r="T1964" s="1407"/>
      <c r="U1964" s="157"/>
      <c r="V1964" s="3589"/>
      <c r="W1964" s="766">
        <v>8.1999999999999993</v>
      </c>
      <c r="X1964" s="766">
        <v>8.1999999999999993</v>
      </c>
      <c r="Y1964" s="766">
        <v>8.1999999999999993</v>
      </c>
      <c r="Z1964" s="2426">
        <v>8.1999999999999993</v>
      </c>
      <c r="AA1964" s="2426">
        <v>8.1999999999999993</v>
      </c>
      <c r="AB1964" s="2426">
        <v>8.1999999999999993</v>
      </c>
      <c r="AC1964" s="766"/>
      <c r="AD1964" s="766"/>
      <c r="AE1964" s="766"/>
      <c r="AF1964" s="766"/>
      <c r="AG1964" s="766"/>
      <c r="BB1964" s="647"/>
      <c r="BC1964" s="648"/>
      <c r="BD1964" s="757"/>
      <c r="BE1964" s="659"/>
    </row>
    <row r="1965" spans="1:57" s="64" customFormat="1" ht="15" customHeight="1" outlineLevel="1" x14ac:dyDescent="0.25">
      <c r="A1965" s="2463"/>
      <c r="B1965" s="157"/>
      <c r="C1965" s="385"/>
      <c r="D1965" s="3589"/>
      <c r="E1965" s="3721"/>
      <c r="F1965" s="3773" t="str">
        <f>$E$1460</f>
        <v>ASHP - SEER 16 - replace on fail MF_CompE</v>
      </c>
      <c r="G1965" s="3774"/>
      <c r="H1965" s="3774"/>
      <c r="I1965" s="3775"/>
      <c r="J1965" s="3071" t="str">
        <f>$C$1460</f>
        <v>352901_2019_12_</v>
      </c>
      <c r="K1965" s="3056">
        <v>8.1999999999999993</v>
      </c>
      <c r="L1965" s="945"/>
      <c r="M1965" s="783" t="s">
        <v>1505</v>
      </c>
      <c r="N1965" s="157"/>
      <c r="O1965" s="277"/>
      <c r="P1965" s="937"/>
      <c r="Q1965" s="937"/>
      <c r="R1965" s="937"/>
      <c r="S1965" s="924"/>
      <c r="T1965" s="1407"/>
      <c r="U1965" s="157"/>
      <c r="V1965" s="3589"/>
      <c r="W1965" s="766"/>
      <c r="X1965" s="766"/>
      <c r="Y1965" s="765">
        <v>8.1999999999999993</v>
      </c>
      <c r="Z1965" s="2426">
        <v>8.1999999999999993</v>
      </c>
      <c r="AA1965" s="2426">
        <v>8.1999999999999993</v>
      </c>
      <c r="AB1965" s="2426">
        <v>8.1999999999999993</v>
      </c>
      <c r="AC1965" s="766"/>
      <c r="AD1965" s="766"/>
      <c r="AE1965" s="766"/>
      <c r="AF1965" s="766"/>
      <c r="AG1965" s="766"/>
      <c r="BB1965" s="647"/>
      <c r="BC1965" s="648"/>
      <c r="BD1965" s="757"/>
      <c r="BE1965" s="659"/>
    </row>
    <row r="1966" spans="1:57" s="64" customFormat="1" ht="15" customHeight="1" outlineLevel="1" x14ac:dyDescent="0.25">
      <c r="A1966" s="2463"/>
      <c r="B1966" s="157"/>
      <c r="C1966" s="385"/>
      <c r="D1966" s="3589"/>
      <c r="E1966" s="3721"/>
      <c r="F1966" s="3773" t="str">
        <f>$E$1462</f>
        <v>ASHP - SEER 16 - replace electric furnace / CAC MF</v>
      </c>
      <c r="G1966" s="3774"/>
      <c r="H1966" s="3774"/>
      <c r="I1966" s="3775"/>
      <c r="J1966" s="3071" t="str">
        <f>$C$1462</f>
        <v>352950_2019_12_</v>
      </c>
      <c r="K1966" s="3056">
        <v>3.41</v>
      </c>
      <c r="L1966" s="945"/>
      <c r="M1966" s="783" t="s">
        <v>1505</v>
      </c>
      <c r="N1966" s="157"/>
      <c r="O1966" s="277"/>
      <c r="P1966" s="937"/>
      <c r="Q1966" s="937"/>
      <c r="R1966" s="937"/>
      <c r="S1966" s="924"/>
      <c r="T1966" s="1407"/>
      <c r="U1966" s="157"/>
      <c r="V1966" s="3589"/>
      <c r="W1966" s="766">
        <v>3.41</v>
      </c>
      <c r="X1966" s="766">
        <v>3.41</v>
      </c>
      <c r="Y1966" s="766">
        <v>3.41</v>
      </c>
      <c r="Z1966" s="2426">
        <v>3.41</v>
      </c>
      <c r="AA1966" s="2426">
        <v>3.41</v>
      </c>
      <c r="AB1966" s="2426">
        <v>3.41</v>
      </c>
      <c r="AC1966" s="766"/>
      <c r="AD1966" s="766"/>
      <c r="AE1966" s="766"/>
      <c r="AF1966" s="766"/>
      <c r="AG1966" s="766"/>
      <c r="BB1966" s="647"/>
      <c r="BC1966" s="648"/>
      <c r="BD1966" s="757"/>
      <c r="BE1966" s="659"/>
    </row>
    <row r="1967" spans="1:57" s="64" customFormat="1" ht="15" customHeight="1" outlineLevel="1" x14ac:dyDescent="0.25">
      <c r="A1967" s="2463"/>
      <c r="B1967" s="157"/>
      <c r="C1967" s="385"/>
      <c r="D1967" s="3589"/>
      <c r="E1967" s="3721"/>
      <c r="F1967" s="3773" t="str">
        <f>$E$1464</f>
        <v>ASHP - SEER 16 - replace electric furnace / CAC MF_CompE</v>
      </c>
      <c r="G1967" s="3774"/>
      <c r="H1967" s="3774"/>
      <c r="I1967" s="3775"/>
      <c r="J1967" s="3071" t="str">
        <f>$C$1464</f>
        <v>352951_2019_12_</v>
      </c>
      <c r="K1967" s="3056">
        <v>3.41</v>
      </c>
      <c r="L1967" s="945"/>
      <c r="M1967" s="783" t="s">
        <v>1505</v>
      </c>
      <c r="N1967" s="157"/>
      <c r="O1967" s="277"/>
      <c r="P1967" s="937"/>
      <c r="Q1967" s="937"/>
      <c r="R1967" s="937"/>
      <c r="S1967" s="924"/>
      <c r="T1967" s="1407"/>
      <c r="U1967" s="157"/>
      <c r="V1967" s="3589"/>
      <c r="W1967" s="766"/>
      <c r="X1967" s="766"/>
      <c r="Y1967" s="765">
        <v>3.41</v>
      </c>
      <c r="Z1967" s="2426">
        <v>3.41</v>
      </c>
      <c r="AA1967" s="2426">
        <v>3.41</v>
      </c>
      <c r="AB1967" s="2426">
        <v>3.41</v>
      </c>
      <c r="AC1967" s="766"/>
      <c r="AD1967" s="766"/>
      <c r="AE1967" s="766"/>
      <c r="AF1967" s="766"/>
      <c r="AG1967" s="766"/>
      <c r="BB1967" s="647"/>
      <c r="BC1967" s="648"/>
      <c r="BD1967" s="757"/>
      <c r="BE1967" s="659"/>
    </row>
    <row r="1968" spans="1:57" s="64" customFormat="1" ht="15" customHeight="1" outlineLevel="1" x14ac:dyDescent="0.25">
      <c r="A1968" s="2463"/>
      <c r="B1968" s="157"/>
      <c r="C1968" s="385"/>
      <c r="D1968" s="3589"/>
      <c r="E1968" s="3721"/>
      <c r="F1968" s="3773" t="str">
        <f>$E$1466</f>
        <v>ASHP - SEER 16 - replace electric furnace / CAC - early replacement MF ER1</v>
      </c>
      <c r="G1968" s="3774"/>
      <c r="H1968" s="3774"/>
      <c r="I1968" s="3775"/>
      <c r="J1968" s="3071" t="str">
        <f>$C$1466</f>
        <v>353000_2019_12_</v>
      </c>
      <c r="K1968" s="3056">
        <v>3.41</v>
      </c>
      <c r="L1968" s="945"/>
      <c r="M1968" s="783" t="s">
        <v>1505</v>
      </c>
      <c r="N1968" s="157"/>
      <c r="O1968" s="277"/>
      <c r="P1968" s="937"/>
      <c r="Q1968" s="937"/>
      <c r="R1968" s="937"/>
      <c r="S1968" s="924"/>
      <c r="T1968" s="1407"/>
      <c r="U1968" s="157"/>
      <c r="V1968" s="3589"/>
      <c r="W1968" s="766">
        <v>3.41</v>
      </c>
      <c r="X1968" s="766">
        <v>3.41</v>
      </c>
      <c r="Y1968" s="766">
        <v>3.41</v>
      </c>
      <c r="Z1968" s="2426">
        <v>3.41</v>
      </c>
      <c r="AA1968" s="2426">
        <v>3.41</v>
      </c>
      <c r="AB1968" s="2426">
        <v>3.41</v>
      </c>
      <c r="AC1968" s="766"/>
      <c r="AD1968" s="766"/>
      <c r="AE1968" s="766"/>
      <c r="AF1968" s="766"/>
      <c r="AG1968" s="766"/>
      <c r="BB1968" s="647"/>
      <c r="BC1968" s="648"/>
      <c r="BD1968" s="757"/>
      <c r="BE1968" s="659"/>
    </row>
    <row r="1969" spans="1:57" s="64" customFormat="1" ht="15" customHeight="1" outlineLevel="1" x14ac:dyDescent="0.25">
      <c r="A1969" s="2463"/>
      <c r="B1969" s="157"/>
      <c r="C1969" s="385"/>
      <c r="D1969" s="3589"/>
      <c r="E1969" s="3721"/>
      <c r="F1969" s="3773" t="str">
        <f>$E$1468</f>
        <v>ASHP - SEER 16 - replace electric furnace / CAC - early replacement MF ER2</v>
      </c>
      <c r="G1969" s="3774"/>
      <c r="H1969" s="3774"/>
      <c r="I1969" s="3775"/>
      <c r="J1969" s="3071" t="str">
        <f>$C$1468</f>
        <v>353000_2019_12_</v>
      </c>
      <c r="K1969" s="3056">
        <v>3.41</v>
      </c>
      <c r="L1969" s="945"/>
      <c r="M1969" s="783" t="s">
        <v>1505</v>
      </c>
      <c r="N1969" s="157"/>
      <c r="O1969" s="277"/>
      <c r="P1969" s="937"/>
      <c r="Q1969" s="937"/>
      <c r="R1969" s="937"/>
      <c r="S1969" s="924"/>
      <c r="T1969" s="1407"/>
      <c r="U1969" s="157"/>
      <c r="V1969" s="3589"/>
      <c r="W1969" s="766">
        <v>3.41</v>
      </c>
      <c r="X1969" s="766">
        <v>3.41</v>
      </c>
      <c r="Y1969" s="766">
        <v>3.41</v>
      </c>
      <c r="Z1969" s="2426">
        <v>3.41</v>
      </c>
      <c r="AA1969" s="2426">
        <v>3.41</v>
      </c>
      <c r="AB1969" s="2426">
        <v>3.41</v>
      </c>
      <c r="AC1969" s="766"/>
      <c r="AD1969" s="766"/>
      <c r="AE1969" s="766"/>
      <c r="AF1969" s="766"/>
      <c r="AG1969" s="766"/>
      <c r="BB1969" s="647"/>
      <c r="BC1969" s="648"/>
      <c r="BD1969" s="757"/>
      <c r="BE1969" s="659"/>
    </row>
    <row r="1970" spans="1:57" s="64" customFormat="1" ht="15" customHeight="1" outlineLevel="1" x14ac:dyDescent="0.25">
      <c r="A1970" s="2463"/>
      <c r="B1970" s="157"/>
      <c r="C1970" s="385"/>
      <c r="D1970" s="3589"/>
      <c r="E1970" s="3721"/>
      <c r="F1970" s="3773" t="str">
        <f>$E$1470</f>
        <v>ASHP - SEER 16 - replace electric furnace / CAC - early replacement MF ER1_CompE</v>
      </c>
      <c r="G1970" s="3774"/>
      <c r="H1970" s="3774"/>
      <c r="I1970" s="3775"/>
      <c r="J1970" s="3071" t="str">
        <f>$C$1470</f>
        <v>353001_2019_12_</v>
      </c>
      <c r="K1970" s="3056">
        <v>3.41</v>
      </c>
      <c r="L1970" s="945"/>
      <c r="M1970" s="783" t="s">
        <v>1505</v>
      </c>
      <c r="N1970" s="157"/>
      <c r="O1970" s="277"/>
      <c r="P1970" s="937"/>
      <c r="Q1970" s="937"/>
      <c r="R1970" s="937"/>
      <c r="S1970" s="924"/>
      <c r="T1970" s="1407"/>
      <c r="U1970" s="157"/>
      <c r="V1970" s="3589"/>
      <c r="W1970" s="766"/>
      <c r="X1970" s="766"/>
      <c r="Y1970" s="765">
        <v>3.41</v>
      </c>
      <c r="Z1970" s="2426">
        <v>3.41</v>
      </c>
      <c r="AA1970" s="2426">
        <v>3.41</v>
      </c>
      <c r="AB1970" s="2426">
        <v>3.41</v>
      </c>
      <c r="AC1970" s="766"/>
      <c r="AD1970" s="766"/>
      <c r="AE1970" s="766"/>
      <c r="AF1970" s="766"/>
      <c r="AG1970" s="766"/>
      <c r="BB1970" s="647"/>
      <c r="BC1970" s="648"/>
      <c r="BD1970" s="757"/>
      <c r="BE1970" s="659"/>
    </row>
    <row r="1971" spans="1:57" s="64" customFormat="1" ht="15" customHeight="1" outlineLevel="1" x14ac:dyDescent="0.25">
      <c r="A1971" s="2463"/>
      <c r="B1971" s="157"/>
      <c r="C1971" s="385"/>
      <c r="D1971" s="3589"/>
      <c r="E1971" s="3721"/>
      <c r="F1971" s="3773" t="str">
        <f>$E$1472</f>
        <v>ASHP - SEER 16 - replace electric furnace / CAC - early replacement MF ER2_CompE</v>
      </c>
      <c r="G1971" s="3774"/>
      <c r="H1971" s="3774"/>
      <c r="I1971" s="3775"/>
      <c r="J1971" s="3071" t="str">
        <f>$C$1472</f>
        <v>353001_2019_12_</v>
      </c>
      <c r="K1971" s="3056">
        <v>3.41</v>
      </c>
      <c r="L1971" s="945"/>
      <c r="M1971" s="783" t="s">
        <v>1505</v>
      </c>
      <c r="N1971" s="157"/>
      <c r="O1971" s="277"/>
      <c r="P1971" s="937"/>
      <c r="Q1971" s="937"/>
      <c r="R1971" s="937"/>
      <c r="S1971" s="924"/>
      <c r="T1971" s="1407"/>
      <c r="U1971" s="157"/>
      <c r="V1971" s="3589"/>
      <c r="W1971" s="766"/>
      <c r="X1971" s="766"/>
      <c r="Y1971" s="765">
        <v>3.41</v>
      </c>
      <c r="Z1971" s="2426">
        <v>3.41</v>
      </c>
      <c r="AA1971" s="2426">
        <v>3.41</v>
      </c>
      <c r="AB1971" s="2426">
        <v>3.41</v>
      </c>
      <c r="AC1971" s="766"/>
      <c r="AD1971" s="766"/>
      <c r="AE1971" s="766"/>
      <c r="AF1971" s="766"/>
      <c r="AG1971" s="766"/>
      <c r="BB1971" s="647"/>
      <c r="BC1971" s="648"/>
      <c r="BD1971" s="757"/>
      <c r="BE1971" s="659"/>
    </row>
    <row r="1972" spans="1:57" s="64" customFormat="1" ht="15" customHeight="1" outlineLevel="1" x14ac:dyDescent="0.25">
      <c r="A1972" s="2463"/>
      <c r="B1972" s="157"/>
      <c r="C1972" s="385"/>
      <c r="D1972" s="3589"/>
      <c r="E1972" s="3721"/>
      <c r="F1972" s="3776" t="str">
        <f>$E$1474</f>
        <v xml:space="preserve">ASHP SEER 15 - replace on Fail MF </v>
      </c>
      <c r="G1972" s="3777"/>
      <c r="H1972" s="3777"/>
      <c r="I1972" s="3778"/>
      <c r="J1972" s="3072" t="str">
        <f>$C$1474</f>
        <v>353050_2019_12_</v>
      </c>
      <c r="K1972" s="3056">
        <v>8.1999999999999993</v>
      </c>
      <c r="L1972" s="945"/>
      <c r="M1972" s="783" t="s">
        <v>1505</v>
      </c>
      <c r="N1972" s="157"/>
      <c r="O1972" s="277"/>
      <c r="P1972" s="937"/>
      <c r="Q1972" s="937"/>
      <c r="R1972" s="937"/>
      <c r="S1972" s="924"/>
      <c r="T1972" s="1407"/>
      <c r="U1972" s="157"/>
      <c r="V1972" s="3589"/>
      <c r="W1972" s="766">
        <v>8.1999999999999993</v>
      </c>
      <c r="X1972" s="766">
        <v>8.1999999999999993</v>
      </c>
      <c r="Y1972" s="766">
        <v>8.1999999999999993</v>
      </c>
      <c r="Z1972" s="2426">
        <v>8.1999999999999993</v>
      </c>
      <c r="AA1972" s="2426">
        <v>8.1999999999999993</v>
      </c>
      <c r="AB1972" s="2426">
        <v>8.1999999999999993</v>
      </c>
      <c r="AC1972" s="766"/>
      <c r="AD1972" s="766"/>
      <c r="AE1972" s="766"/>
      <c r="AF1972" s="766"/>
      <c r="AG1972" s="766"/>
      <c r="BB1972" s="647"/>
      <c r="BC1972" s="648"/>
      <c r="BD1972" s="757"/>
      <c r="BE1972" s="659"/>
    </row>
    <row r="1973" spans="1:57" s="64" customFormat="1" ht="15" customHeight="1" outlineLevel="1" x14ac:dyDescent="0.25">
      <c r="A1973" s="2463"/>
      <c r="B1973" s="157"/>
      <c r="C1973" s="385"/>
      <c r="D1973" s="3589"/>
      <c r="E1973" s="3721"/>
      <c r="F1973" s="3776" t="str">
        <f>$E$1476</f>
        <v>ASHP SEER 15 - replace on Fail MF _CompE</v>
      </c>
      <c r="G1973" s="3777"/>
      <c r="H1973" s="3777"/>
      <c r="I1973" s="3778"/>
      <c r="J1973" s="3072" t="str">
        <f>$C$1476</f>
        <v>353051_2019_12_</v>
      </c>
      <c r="K1973" s="3056">
        <v>8.1999999999999993</v>
      </c>
      <c r="L1973" s="945"/>
      <c r="M1973" s="783" t="s">
        <v>1505</v>
      </c>
      <c r="N1973" s="157"/>
      <c r="O1973" s="277"/>
      <c r="P1973" s="937"/>
      <c r="Q1973" s="937"/>
      <c r="R1973" s="937"/>
      <c r="S1973" s="924"/>
      <c r="T1973" s="1407"/>
      <c r="U1973" s="157"/>
      <c r="V1973" s="3589"/>
      <c r="W1973" s="766"/>
      <c r="X1973" s="766"/>
      <c r="Y1973" s="765">
        <v>8.1999999999999993</v>
      </c>
      <c r="Z1973" s="2426">
        <v>8.1999999999999993</v>
      </c>
      <c r="AA1973" s="2426">
        <v>8.1999999999999993</v>
      </c>
      <c r="AB1973" s="2426">
        <v>8.1999999999999993</v>
      </c>
      <c r="AC1973" s="766"/>
      <c r="AD1973" s="766"/>
      <c r="AE1973" s="766"/>
      <c r="AF1973" s="766"/>
      <c r="AG1973" s="766"/>
      <c r="BB1973" s="647"/>
      <c r="BC1973" s="648"/>
      <c r="BD1973" s="757"/>
      <c r="BE1973" s="659"/>
    </row>
    <row r="1974" spans="1:57" s="64" customFormat="1" ht="15" customHeight="1" outlineLevel="1" x14ac:dyDescent="0.25">
      <c r="A1974" s="2463"/>
      <c r="B1974" s="157"/>
      <c r="C1974" s="385"/>
      <c r="D1974" s="3589"/>
      <c r="E1974" s="3721"/>
      <c r="F1974" s="3773" t="str">
        <f>$E$1478</f>
        <v>ASHP - SEER 17 - replace electric furnace / CAC SF</v>
      </c>
      <c r="G1974" s="3774"/>
      <c r="H1974" s="3774"/>
      <c r="I1974" s="3775"/>
      <c r="J1974" s="3071" t="str">
        <f>$C$1478</f>
        <v>353100_2019_12_</v>
      </c>
      <c r="K1974" s="3056">
        <v>3.41</v>
      </c>
      <c r="L1974" s="945"/>
      <c r="M1974" s="783" t="s">
        <v>1089</v>
      </c>
      <c r="N1974" s="157"/>
      <c r="O1974" s="277"/>
      <c r="P1974" s="937"/>
      <c r="Q1974" s="937"/>
      <c r="R1974" s="937"/>
      <c r="S1974" s="924"/>
      <c r="T1974" s="1407"/>
      <c r="U1974" s="157"/>
      <c r="V1974" s="3589"/>
      <c r="W1974" s="766">
        <v>3.41</v>
      </c>
      <c r="X1974" s="766">
        <v>3.41</v>
      </c>
      <c r="Y1974" s="766">
        <v>3.41</v>
      </c>
      <c r="Z1974" s="2426">
        <v>3.41</v>
      </c>
      <c r="AA1974" s="2426">
        <v>3.41</v>
      </c>
      <c r="AB1974" s="2426">
        <v>3.41</v>
      </c>
      <c r="AC1974" s="766"/>
      <c r="AD1974" s="766"/>
      <c r="AE1974" s="766"/>
      <c r="AF1974" s="766"/>
      <c r="AG1974" s="766"/>
      <c r="BB1974" s="647"/>
      <c r="BC1974" s="648"/>
      <c r="BD1974" s="757"/>
      <c r="BE1974" s="659"/>
    </row>
    <row r="1975" spans="1:57" s="64" customFormat="1" ht="15" customHeight="1" outlineLevel="1" x14ac:dyDescent="0.25">
      <c r="A1975" s="2463"/>
      <c r="B1975" s="157"/>
      <c r="C1975" s="385"/>
      <c r="D1975" s="3589"/>
      <c r="E1975" s="3721"/>
      <c r="F1975" s="3773" t="str">
        <f>$E$1480</f>
        <v>ASHP - SEER 17 - replace electric furnace / CAC MF</v>
      </c>
      <c r="G1975" s="3774"/>
      <c r="H1975" s="3774"/>
      <c r="I1975" s="3775"/>
      <c r="J1975" s="3071" t="str">
        <f>$C$1480</f>
        <v>353150_2019_12_</v>
      </c>
      <c r="K1975" s="3056">
        <v>3.41</v>
      </c>
      <c r="L1975" s="945"/>
      <c r="M1975" s="783" t="s">
        <v>1505</v>
      </c>
      <c r="N1975" s="157"/>
      <c r="O1975" s="277"/>
      <c r="P1975" s="937"/>
      <c r="Q1975" s="937"/>
      <c r="R1975" s="937"/>
      <c r="S1975" s="924"/>
      <c r="T1975" s="1407"/>
      <c r="U1975" s="157"/>
      <c r="V1975" s="3589"/>
      <c r="W1975" s="766">
        <v>3.41</v>
      </c>
      <c r="X1975" s="766">
        <v>3.41</v>
      </c>
      <c r="Y1975" s="766">
        <v>3.41</v>
      </c>
      <c r="Z1975" s="2426">
        <v>3.41</v>
      </c>
      <c r="AA1975" s="2426">
        <v>3.41</v>
      </c>
      <c r="AB1975" s="2426">
        <v>3.41</v>
      </c>
      <c r="AC1975" s="766"/>
      <c r="AD1975" s="766"/>
      <c r="AE1975" s="766"/>
      <c r="AF1975" s="766"/>
      <c r="AG1975" s="766"/>
      <c r="BB1975" s="647"/>
      <c r="BC1975" s="648"/>
      <c r="BD1975" s="757"/>
      <c r="BE1975" s="659"/>
    </row>
    <row r="1976" spans="1:57" s="64" customFormat="1" ht="15" customHeight="1" outlineLevel="1" x14ac:dyDescent="0.25">
      <c r="A1976" s="2463"/>
      <c r="B1976" s="157"/>
      <c r="C1976" s="385"/>
      <c r="D1976" s="3589"/>
      <c r="E1976" s="3721"/>
      <c r="F1976" s="3773" t="str">
        <f>$E$1482</f>
        <v>ASHP - SEER 17 - replace electric furnace / CAC MF_CompE</v>
      </c>
      <c r="G1976" s="3774"/>
      <c r="H1976" s="3774"/>
      <c r="I1976" s="3775"/>
      <c r="J1976" s="3071" t="str">
        <f>$C$1482</f>
        <v>353151_2019_12_</v>
      </c>
      <c r="K1976" s="3056">
        <v>3.41</v>
      </c>
      <c r="L1976" s="945"/>
      <c r="M1976" s="783" t="s">
        <v>1505</v>
      </c>
      <c r="N1976" s="157"/>
      <c r="O1976" s="277"/>
      <c r="P1976" s="937"/>
      <c r="Q1976" s="937"/>
      <c r="R1976" s="937"/>
      <c r="S1976" s="924"/>
      <c r="T1976" s="1407"/>
      <c r="U1976" s="157"/>
      <c r="V1976" s="3589"/>
      <c r="W1976" s="766"/>
      <c r="X1976" s="766"/>
      <c r="Y1976" s="765">
        <v>3.41</v>
      </c>
      <c r="Z1976" s="2426">
        <v>3.41</v>
      </c>
      <c r="AA1976" s="2426">
        <v>3.41</v>
      </c>
      <c r="AB1976" s="2426">
        <v>3.41</v>
      </c>
      <c r="AC1976" s="766"/>
      <c r="AD1976" s="766"/>
      <c r="AE1976" s="766"/>
      <c r="AF1976" s="766"/>
      <c r="AG1976" s="766"/>
      <c r="BB1976" s="647"/>
      <c r="BC1976" s="648"/>
      <c r="BD1976" s="757"/>
      <c r="BE1976" s="659"/>
    </row>
    <row r="1977" spans="1:57" s="64" customFormat="1" ht="15" customHeight="1" outlineLevel="1" x14ac:dyDescent="0.25">
      <c r="A1977" s="2463"/>
      <c r="B1977" s="157"/>
      <c r="C1977" s="385"/>
      <c r="D1977" s="3589"/>
      <c r="E1977" s="3721"/>
      <c r="F1977" s="3773" t="str">
        <f>$E$1484</f>
        <v>ASHP - SEER 18 - replace electric furnace / CAC SF</v>
      </c>
      <c r="G1977" s="3774"/>
      <c r="H1977" s="3774"/>
      <c r="I1977" s="3775"/>
      <c r="J1977" s="3071" t="str">
        <f>$C$1484</f>
        <v>353200_2019_12_</v>
      </c>
      <c r="K1977" s="3056">
        <v>3.41</v>
      </c>
      <c r="L1977" s="945"/>
      <c r="M1977" s="783" t="s">
        <v>1089</v>
      </c>
      <c r="N1977" s="157"/>
      <c r="O1977" s="277"/>
      <c r="P1977" s="937"/>
      <c r="Q1977" s="937"/>
      <c r="R1977" s="937"/>
      <c r="S1977" s="924"/>
      <c r="T1977" s="1407"/>
      <c r="U1977" s="157"/>
      <c r="V1977" s="3589"/>
      <c r="W1977" s="766">
        <v>3.41</v>
      </c>
      <c r="X1977" s="766">
        <v>3.41</v>
      </c>
      <c r="Y1977" s="766">
        <v>3.41</v>
      </c>
      <c r="Z1977" s="2426">
        <v>3.41</v>
      </c>
      <c r="AA1977" s="2426">
        <v>3.41</v>
      </c>
      <c r="AB1977" s="2426">
        <v>3.41</v>
      </c>
      <c r="AC1977" s="766"/>
      <c r="AD1977" s="766"/>
      <c r="AE1977" s="766"/>
      <c r="AF1977" s="766"/>
      <c r="AG1977" s="766"/>
      <c r="BB1977" s="647"/>
      <c r="BC1977" s="648"/>
      <c r="BD1977" s="757"/>
      <c r="BE1977" s="659"/>
    </row>
    <row r="1978" spans="1:57" s="64" customFormat="1" ht="15" customHeight="1" outlineLevel="1" x14ac:dyDescent="0.25">
      <c r="A1978" s="2463"/>
      <c r="B1978" s="157"/>
      <c r="C1978" s="385"/>
      <c r="D1978" s="3589"/>
      <c r="E1978" s="3721"/>
      <c r="F1978" s="3773" t="str">
        <f>$E$1486</f>
        <v>ASHP - SEER 18 - replace electric furnace / CAC MF</v>
      </c>
      <c r="G1978" s="3774"/>
      <c r="H1978" s="3774"/>
      <c r="I1978" s="3775"/>
      <c r="J1978" s="3071" t="str">
        <f>$C$1486</f>
        <v>353250_2019_12_</v>
      </c>
      <c r="K1978" s="3056">
        <v>3.41</v>
      </c>
      <c r="L1978" s="945"/>
      <c r="M1978" s="783" t="s">
        <v>1505</v>
      </c>
      <c r="N1978" s="157"/>
      <c r="O1978" s="277"/>
      <c r="P1978" s="937"/>
      <c r="Q1978" s="937"/>
      <c r="R1978" s="937"/>
      <c r="S1978" s="924"/>
      <c r="T1978" s="1407"/>
      <c r="U1978" s="157"/>
      <c r="V1978" s="3589"/>
      <c r="W1978" s="766">
        <v>3.41</v>
      </c>
      <c r="X1978" s="766">
        <v>3.41</v>
      </c>
      <c r="Y1978" s="766">
        <v>3.41</v>
      </c>
      <c r="Z1978" s="2426">
        <v>3.41</v>
      </c>
      <c r="AA1978" s="2426">
        <v>3.41</v>
      </c>
      <c r="AB1978" s="2426">
        <v>3.41</v>
      </c>
      <c r="AC1978" s="766"/>
      <c r="AD1978" s="766"/>
      <c r="AE1978" s="766"/>
      <c r="AF1978" s="766"/>
      <c r="AG1978" s="766"/>
      <c r="BB1978" s="647"/>
      <c r="BC1978" s="648"/>
      <c r="BD1978" s="757"/>
      <c r="BE1978" s="659"/>
    </row>
    <row r="1979" spans="1:57" s="64" customFormat="1" ht="15" customHeight="1" outlineLevel="1" x14ac:dyDescent="0.25">
      <c r="A1979" s="2463"/>
      <c r="B1979" s="157"/>
      <c r="C1979" s="385"/>
      <c r="D1979" s="3589"/>
      <c r="E1979" s="3721"/>
      <c r="F1979" s="3773" t="str">
        <f>$E$1488</f>
        <v>ASHP - SEER 18 - replace electric furnace / CAC MF_CompE</v>
      </c>
      <c r="G1979" s="3774"/>
      <c r="H1979" s="3774"/>
      <c r="I1979" s="3775"/>
      <c r="J1979" s="3071" t="str">
        <f>$C$1488</f>
        <v>353251_2019_12_</v>
      </c>
      <c r="K1979" s="3056">
        <v>3.41</v>
      </c>
      <c r="L1979" s="945"/>
      <c r="M1979" s="783" t="s">
        <v>1505</v>
      </c>
      <c r="N1979" s="157"/>
      <c r="O1979" s="277"/>
      <c r="P1979" s="937"/>
      <c r="Q1979" s="937"/>
      <c r="R1979" s="937"/>
      <c r="S1979" s="924"/>
      <c r="T1979" s="1407"/>
      <c r="U1979" s="157"/>
      <c r="V1979" s="3589"/>
      <c r="W1979" s="766"/>
      <c r="X1979" s="766"/>
      <c r="Y1979" s="765">
        <v>3.41</v>
      </c>
      <c r="Z1979" s="2426">
        <v>3.41</v>
      </c>
      <c r="AA1979" s="2426">
        <v>3.41</v>
      </c>
      <c r="AB1979" s="2426">
        <v>3.41</v>
      </c>
      <c r="AC1979" s="766"/>
      <c r="AD1979" s="766"/>
      <c r="AE1979" s="766"/>
      <c r="AF1979" s="766"/>
      <c r="AG1979" s="766"/>
      <c r="BB1979" s="647"/>
      <c r="BC1979" s="648"/>
      <c r="BD1979" s="757"/>
      <c r="BE1979" s="659"/>
    </row>
    <row r="1980" spans="1:57" s="64" customFormat="1" ht="15" customHeight="1" outlineLevel="1" x14ac:dyDescent="0.25">
      <c r="A1980" s="2463"/>
      <c r="B1980" s="157"/>
      <c r="C1980" s="385"/>
      <c r="D1980" s="3589"/>
      <c r="E1980" s="3721"/>
      <c r="F1980" s="3773" t="str">
        <f>$E$1490</f>
        <v>ASHP - SEER 19 - replace electric furnace / CAC SF</v>
      </c>
      <c r="G1980" s="3774"/>
      <c r="H1980" s="3774"/>
      <c r="I1980" s="3775"/>
      <c r="J1980" s="3071" t="str">
        <f>$C$1490</f>
        <v>353300_2019_12_</v>
      </c>
      <c r="K1980" s="3056">
        <v>3.41</v>
      </c>
      <c r="L1980" s="945"/>
      <c r="M1980" s="783" t="s">
        <v>1089</v>
      </c>
      <c r="N1980" s="157"/>
      <c r="O1980" s="277"/>
      <c r="P1980" s="937"/>
      <c r="Q1980" s="937"/>
      <c r="R1980" s="937"/>
      <c r="S1980" s="924"/>
      <c r="T1980" s="1407"/>
      <c r="U1980" s="157"/>
      <c r="V1980" s="3589"/>
      <c r="W1980" s="766">
        <v>3.41</v>
      </c>
      <c r="X1980" s="766">
        <v>3.41</v>
      </c>
      <c r="Y1980" s="766">
        <v>3.41</v>
      </c>
      <c r="Z1980" s="2426">
        <v>3.41</v>
      </c>
      <c r="AA1980" s="2426">
        <v>3.41</v>
      </c>
      <c r="AB1980" s="2426">
        <v>3.41</v>
      </c>
      <c r="AC1980" s="766"/>
      <c r="AD1980" s="766"/>
      <c r="AE1980" s="766"/>
      <c r="AF1980" s="766"/>
      <c r="AG1980" s="766"/>
      <c r="BB1980" s="647"/>
      <c r="BC1980" s="648"/>
      <c r="BD1980" s="757"/>
      <c r="BE1980" s="659"/>
    </row>
    <row r="1981" spans="1:57" s="64" customFormat="1" ht="15" customHeight="1" outlineLevel="1" x14ac:dyDescent="0.25">
      <c r="A1981" s="2463"/>
      <c r="B1981" s="157"/>
      <c r="C1981" s="385"/>
      <c r="D1981" s="3589"/>
      <c r="E1981" s="3721"/>
      <c r="F1981" s="3773" t="str">
        <f>$E$1492</f>
        <v>ASHP - SEER 19 - replace electric furnace / CAC MF</v>
      </c>
      <c r="G1981" s="3774"/>
      <c r="H1981" s="3774"/>
      <c r="I1981" s="3775"/>
      <c r="J1981" s="3071" t="str">
        <f>$C$1492</f>
        <v>353350_2019_12_</v>
      </c>
      <c r="K1981" s="3056">
        <v>3.41</v>
      </c>
      <c r="L1981" s="945"/>
      <c r="M1981" s="783" t="s">
        <v>1505</v>
      </c>
      <c r="N1981" s="157"/>
      <c r="O1981" s="277"/>
      <c r="P1981" s="937"/>
      <c r="Q1981" s="937"/>
      <c r="R1981" s="937"/>
      <c r="S1981" s="924"/>
      <c r="T1981" s="1407"/>
      <c r="U1981" s="157"/>
      <c r="V1981" s="3589"/>
      <c r="W1981" s="766">
        <v>3.41</v>
      </c>
      <c r="X1981" s="766">
        <v>3.41</v>
      </c>
      <c r="Y1981" s="766">
        <v>3.41</v>
      </c>
      <c r="Z1981" s="2426">
        <v>3.41</v>
      </c>
      <c r="AA1981" s="2426">
        <v>3.41</v>
      </c>
      <c r="AB1981" s="2426">
        <v>3.41</v>
      </c>
      <c r="AC1981" s="766"/>
      <c r="AD1981" s="766"/>
      <c r="AE1981" s="766"/>
      <c r="AF1981" s="766"/>
      <c r="AG1981" s="766"/>
      <c r="BB1981" s="647"/>
      <c r="BC1981" s="648"/>
      <c r="BD1981" s="757"/>
      <c r="BE1981" s="659"/>
    </row>
    <row r="1982" spans="1:57" s="64" customFormat="1" ht="15" customHeight="1" outlineLevel="1" x14ac:dyDescent="0.25">
      <c r="A1982" s="2463"/>
      <c r="B1982" s="157"/>
      <c r="C1982" s="385"/>
      <c r="D1982" s="3589"/>
      <c r="E1982" s="3721"/>
      <c r="F1982" s="3773" t="str">
        <f>$E$1494</f>
        <v>ASHP - SEER 19 - replace electric furnace / CAC MF_CompE</v>
      </c>
      <c r="G1982" s="3774"/>
      <c r="H1982" s="3774"/>
      <c r="I1982" s="3775"/>
      <c r="J1982" s="3071" t="str">
        <f>$C$1494</f>
        <v>353351_2019_12_</v>
      </c>
      <c r="K1982" s="3056">
        <v>3.41</v>
      </c>
      <c r="L1982" s="945"/>
      <c r="M1982" s="783" t="s">
        <v>1505</v>
      </c>
      <c r="N1982" s="157"/>
      <c r="O1982" s="277"/>
      <c r="P1982" s="937"/>
      <c r="Q1982" s="937"/>
      <c r="R1982" s="937"/>
      <c r="S1982" s="924"/>
      <c r="T1982" s="1407"/>
      <c r="U1982" s="157"/>
      <c r="V1982" s="3589"/>
      <c r="W1982" s="766"/>
      <c r="X1982" s="766"/>
      <c r="Y1982" s="765">
        <v>3.41</v>
      </c>
      <c r="Z1982" s="2426">
        <v>3.41</v>
      </c>
      <c r="AA1982" s="2426">
        <v>3.41</v>
      </c>
      <c r="AB1982" s="2426">
        <v>3.41</v>
      </c>
      <c r="AC1982" s="766"/>
      <c r="AD1982" s="766"/>
      <c r="AE1982" s="766"/>
      <c r="AF1982" s="766"/>
      <c r="AG1982" s="766"/>
      <c r="BB1982" s="647"/>
      <c r="BC1982" s="648"/>
      <c r="BD1982" s="757"/>
      <c r="BE1982" s="659"/>
    </row>
    <row r="1983" spans="1:57" s="64" customFormat="1" ht="15" customHeight="1" outlineLevel="1" x14ac:dyDescent="0.25">
      <c r="A1983" s="2463"/>
      <c r="B1983" s="157"/>
      <c r="C1983" s="385"/>
      <c r="D1983" s="3589"/>
      <c r="E1983" s="3721"/>
      <c r="F1983" s="3773" t="str">
        <f>$E$1496</f>
        <v>ASHP - SEER 20 - replace electric furnace / CAC - early replacement SF ER1</v>
      </c>
      <c r="G1983" s="3774"/>
      <c r="H1983" s="3774"/>
      <c r="I1983" s="3775"/>
      <c r="J1983" s="3071" t="str">
        <f>$C$1496</f>
        <v>353400_2019_12_</v>
      </c>
      <c r="K1983" s="3056">
        <v>3.41</v>
      </c>
      <c r="L1983" s="945"/>
      <c r="M1983" s="783" t="s">
        <v>1089</v>
      </c>
      <c r="N1983" s="157"/>
      <c r="O1983" s="277"/>
      <c r="P1983" s="937"/>
      <c r="Q1983" s="937"/>
      <c r="R1983" s="937"/>
      <c r="S1983" s="924"/>
      <c r="T1983" s="1407"/>
      <c r="U1983" s="157"/>
      <c r="V1983" s="3589"/>
      <c r="W1983" s="766">
        <v>3.41</v>
      </c>
      <c r="X1983" s="766">
        <v>3.41</v>
      </c>
      <c r="Y1983" s="766">
        <v>3.41</v>
      </c>
      <c r="Z1983" s="2426">
        <v>3.41</v>
      </c>
      <c r="AA1983" s="2426">
        <v>3.41</v>
      </c>
      <c r="AB1983" s="2426">
        <v>3.41</v>
      </c>
      <c r="AC1983" s="766"/>
      <c r="AD1983" s="766"/>
      <c r="AE1983" s="766"/>
      <c r="AF1983" s="766"/>
      <c r="AG1983" s="766"/>
      <c r="BB1983" s="647"/>
      <c r="BC1983" s="648"/>
      <c r="BD1983" s="757"/>
      <c r="BE1983" s="659"/>
    </row>
    <row r="1984" spans="1:57" s="64" customFormat="1" ht="15" customHeight="1" outlineLevel="1" x14ac:dyDescent="0.25">
      <c r="A1984" s="2463"/>
      <c r="B1984" s="157"/>
      <c r="C1984" s="385"/>
      <c r="D1984" s="3589"/>
      <c r="E1984" s="3721"/>
      <c r="F1984" s="3773" t="str">
        <f>$E$1498</f>
        <v>ASHP - SEER 20 - replace electric furnace / CAC - early replacement SF ER2</v>
      </c>
      <c r="G1984" s="3774"/>
      <c r="H1984" s="3774"/>
      <c r="I1984" s="3775"/>
      <c r="J1984" s="3071" t="str">
        <f>$C$1498</f>
        <v>353400_2019_12_</v>
      </c>
      <c r="K1984" s="3056">
        <v>3.41</v>
      </c>
      <c r="L1984" s="945"/>
      <c r="M1984" s="783" t="s">
        <v>1089</v>
      </c>
      <c r="N1984" s="157"/>
      <c r="O1984" s="277"/>
      <c r="P1984" s="937"/>
      <c r="Q1984" s="937"/>
      <c r="R1984" s="937"/>
      <c r="S1984" s="924"/>
      <c r="T1984" s="1407"/>
      <c r="U1984" s="157"/>
      <c r="V1984" s="3589"/>
      <c r="W1984" s="766">
        <v>3.41</v>
      </c>
      <c r="X1984" s="766">
        <v>3.41</v>
      </c>
      <c r="Y1984" s="766">
        <v>3.41</v>
      </c>
      <c r="Z1984" s="2426">
        <v>3.41</v>
      </c>
      <c r="AA1984" s="2426">
        <v>3.41</v>
      </c>
      <c r="AB1984" s="2426">
        <v>3.41</v>
      </c>
      <c r="AC1984" s="766"/>
      <c r="AD1984" s="766"/>
      <c r="AE1984" s="766"/>
      <c r="AF1984" s="766"/>
      <c r="AG1984" s="766"/>
      <c r="BB1984" s="647"/>
      <c r="BC1984" s="648"/>
      <c r="BD1984" s="757"/>
      <c r="BE1984" s="659"/>
    </row>
    <row r="1985" spans="1:57" s="64" customFormat="1" ht="15" customHeight="1" outlineLevel="1" x14ac:dyDescent="0.25">
      <c r="A1985" s="2463"/>
      <c r="B1985" s="157"/>
      <c r="C1985" s="385"/>
      <c r="D1985" s="3589"/>
      <c r="E1985" s="3721"/>
      <c r="F1985" s="3773" t="str">
        <f>$E$1500</f>
        <v>ASHP - SEER 20 - replace electric furnace / CAC SF</v>
      </c>
      <c r="G1985" s="3774"/>
      <c r="H1985" s="3774"/>
      <c r="I1985" s="3775"/>
      <c r="J1985" s="3071" t="str">
        <f>$C$1500</f>
        <v>353450_2019_12_</v>
      </c>
      <c r="K1985" s="3056">
        <v>3.41</v>
      </c>
      <c r="L1985" s="945"/>
      <c r="M1985" s="783" t="s">
        <v>1089</v>
      </c>
      <c r="N1985" s="157"/>
      <c r="O1985" s="277"/>
      <c r="P1985" s="937"/>
      <c r="Q1985" s="937"/>
      <c r="R1985" s="937"/>
      <c r="S1985" s="924"/>
      <c r="T1985" s="1407"/>
      <c r="U1985" s="157"/>
      <c r="V1985" s="3589"/>
      <c r="W1985" s="766">
        <v>3.41</v>
      </c>
      <c r="X1985" s="766">
        <v>3.41</v>
      </c>
      <c r="Y1985" s="766">
        <v>3.41</v>
      </c>
      <c r="Z1985" s="2426">
        <v>3.41</v>
      </c>
      <c r="AA1985" s="2426">
        <v>3.41</v>
      </c>
      <c r="AB1985" s="2426">
        <v>3.41</v>
      </c>
      <c r="AC1985" s="766"/>
      <c r="AD1985" s="766"/>
      <c r="AE1985" s="766"/>
      <c r="AF1985" s="766"/>
      <c r="AG1985" s="766"/>
      <c r="BB1985" s="647"/>
      <c r="BC1985" s="648"/>
      <c r="BD1985" s="757"/>
      <c r="BE1985" s="659"/>
    </row>
    <row r="1986" spans="1:57" s="64" customFormat="1" ht="15" customHeight="1" outlineLevel="1" x14ac:dyDescent="0.25">
      <c r="A1986" s="2463"/>
      <c r="B1986" s="157"/>
      <c r="C1986" s="385"/>
      <c r="D1986" s="3589"/>
      <c r="E1986" s="3721"/>
      <c r="F1986" s="3773" t="str">
        <f>$E$1502</f>
        <v>ASHP - SEER 20 - replace electric furnace / CAC MF</v>
      </c>
      <c r="G1986" s="3774"/>
      <c r="H1986" s="3774"/>
      <c r="I1986" s="3775"/>
      <c r="J1986" s="3071" t="str">
        <f>$C$1502</f>
        <v>353500_2019_12_</v>
      </c>
      <c r="K1986" s="3056">
        <v>3.41</v>
      </c>
      <c r="L1986" s="945"/>
      <c r="M1986" s="783" t="s">
        <v>1505</v>
      </c>
      <c r="N1986" s="157"/>
      <c r="O1986" s="277"/>
      <c r="P1986" s="937"/>
      <c r="Q1986" s="937"/>
      <c r="R1986" s="937"/>
      <c r="S1986" s="924"/>
      <c r="T1986" s="1407"/>
      <c r="U1986" s="157"/>
      <c r="V1986" s="3589"/>
      <c r="W1986" s="766">
        <v>3.41</v>
      </c>
      <c r="X1986" s="766">
        <v>3.41</v>
      </c>
      <c r="Y1986" s="766">
        <v>3.41</v>
      </c>
      <c r="Z1986" s="2426">
        <v>3.41</v>
      </c>
      <c r="AA1986" s="2426">
        <v>3.41</v>
      </c>
      <c r="AB1986" s="2426">
        <v>3.41</v>
      </c>
      <c r="AC1986" s="766"/>
      <c r="AD1986" s="766"/>
      <c r="AE1986" s="766"/>
      <c r="AF1986" s="766"/>
      <c r="AG1986" s="766"/>
      <c r="BB1986" s="647"/>
      <c r="BC1986" s="648"/>
      <c r="BD1986" s="757"/>
      <c r="BE1986" s="659"/>
    </row>
    <row r="1987" spans="1:57" s="64" customFormat="1" ht="15" customHeight="1" outlineLevel="1" x14ac:dyDescent="0.25">
      <c r="A1987" s="2463"/>
      <c r="B1987" s="157"/>
      <c r="C1987" s="385"/>
      <c r="D1987" s="3589"/>
      <c r="E1987" s="3721"/>
      <c r="F1987" s="3773" t="str">
        <f>$E$1504</f>
        <v>ASHP - SEER 20 - replace electric furnace / CAC MF_CompE</v>
      </c>
      <c r="G1987" s="3774"/>
      <c r="H1987" s="3774"/>
      <c r="I1987" s="3775"/>
      <c r="J1987" s="3071" t="str">
        <f>$C$1504</f>
        <v>353501_2019_12_</v>
      </c>
      <c r="K1987" s="3056">
        <v>3.41</v>
      </c>
      <c r="L1987" s="945"/>
      <c r="M1987" s="783" t="s">
        <v>1505</v>
      </c>
      <c r="N1987" s="157"/>
      <c r="O1987" s="277"/>
      <c r="P1987" s="937"/>
      <c r="Q1987" s="937"/>
      <c r="R1987" s="937"/>
      <c r="S1987" s="924"/>
      <c r="T1987" s="1407"/>
      <c r="U1987" s="157"/>
      <c r="V1987" s="3589"/>
      <c r="W1987" s="766"/>
      <c r="X1987" s="766"/>
      <c r="Y1987" s="765">
        <v>3.41</v>
      </c>
      <c r="Z1987" s="2426">
        <v>3.41</v>
      </c>
      <c r="AA1987" s="2426">
        <v>3.41</v>
      </c>
      <c r="AB1987" s="2426">
        <v>3.41</v>
      </c>
      <c r="AC1987" s="766"/>
      <c r="AD1987" s="766"/>
      <c r="AE1987" s="766"/>
      <c r="AF1987" s="766"/>
      <c r="AG1987" s="766"/>
      <c r="BB1987" s="647"/>
      <c r="BC1987" s="648"/>
      <c r="BD1987" s="757"/>
      <c r="BE1987" s="659"/>
    </row>
    <row r="1988" spans="1:57" s="64" customFormat="1" ht="15" customHeight="1" outlineLevel="1" x14ac:dyDescent="0.25">
      <c r="A1988" s="2463"/>
      <c r="B1988" s="157"/>
      <c r="C1988" s="385"/>
      <c r="D1988" s="3589"/>
      <c r="E1988" s="3721"/>
      <c r="F1988" s="3773" t="str">
        <f>$E$1506</f>
        <v>ASHP - SEER 21 - replace electric furnace / CAC - early replacement SF ER1</v>
      </c>
      <c r="G1988" s="3774"/>
      <c r="H1988" s="3774"/>
      <c r="I1988" s="3775"/>
      <c r="J1988" s="3071" t="str">
        <f>$C$1506</f>
        <v>353550_2019_12_</v>
      </c>
      <c r="K1988" s="3056">
        <v>3.41</v>
      </c>
      <c r="L1988" s="945"/>
      <c r="M1988" s="783" t="s">
        <v>1089</v>
      </c>
      <c r="N1988" s="157"/>
      <c r="O1988" s="277"/>
      <c r="P1988" s="937"/>
      <c r="Q1988" s="938"/>
      <c r="R1988" s="937"/>
      <c r="S1988" s="924"/>
      <c r="T1988" s="1407"/>
      <c r="U1988" s="157"/>
      <c r="V1988" s="3589"/>
      <c r="W1988" s="766">
        <v>3.41</v>
      </c>
      <c r="X1988" s="766">
        <v>3.41</v>
      </c>
      <c r="Y1988" s="766">
        <v>3.41</v>
      </c>
      <c r="Z1988" s="2426">
        <v>3.41</v>
      </c>
      <c r="AA1988" s="2426">
        <v>3.41</v>
      </c>
      <c r="AB1988" s="2426">
        <v>3.41</v>
      </c>
      <c r="AC1988" s="766"/>
      <c r="AD1988" s="766"/>
      <c r="AE1988" s="766"/>
      <c r="AF1988" s="766"/>
      <c r="AG1988" s="766"/>
      <c r="BB1988" s="647"/>
      <c r="BC1988" s="648"/>
      <c r="BD1988" s="757"/>
      <c r="BE1988" s="659"/>
    </row>
    <row r="1989" spans="1:57" s="64" customFormat="1" ht="15" customHeight="1" outlineLevel="1" x14ac:dyDescent="0.25">
      <c r="A1989" s="2463"/>
      <c r="B1989" s="157"/>
      <c r="C1989" s="385"/>
      <c r="D1989" s="3589"/>
      <c r="E1989" s="3721"/>
      <c r="F1989" s="3773" t="str">
        <f>$E$1508</f>
        <v>ASHP - SEER 21 - replace electric furnace / CAC - early replacement SF ER2</v>
      </c>
      <c r="G1989" s="3774"/>
      <c r="H1989" s="3774"/>
      <c r="I1989" s="3775"/>
      <c r="J1989" s="3071" t="str">
        <f>$C$1508</f>
        <v>353550_2019_12_</v>
      </c>
      <c r="K1989" s="3056">
        <v>3.41</v>
      </c>
      <c r="L1989" s="945"/>
      <c r="M1989" s="783" t="s">
        <v>1089</v>
      </c>
      <c r="N1989" s="157"/>
      <c r="O1989" s="277"/>
      <c r="P1989" s="937"/>
      <c r="Q1989" s="938"/>
      <c r="R1989" s="937"/>
      <c r="S1989" s="924"/>
      <c r="T1989" s="1407"/>
      <c r="U1989" s="157"/>
      <c r="V1989" s="3589"/>
      <c r="W1989" s="766">
        <v>3.41</v>
      </c>
      <c r="X1989" s="766">
        <v>3.41</v>
      </c>
      <c r="Y1989" s="766">
        <v>3.41</v>
      </c>
      <c r="Z1989" s="2426">
        <v>3.41</v>
      </c>
      <c r="AA1989" s="2426">
        <v>3.41</v>
      </c>
      <c r="AB1989" s="2426">
        <v>3.41</v>
      </c>
      <c r="AC1989" s="766"/>
      <c r="AD1989" s="766"/>
      <c r="AE1989" s="766"/>
      <c r="AF1989" s="766"/>
      <c r="AG1989" s="766"/>
      <c r="BB1989" s="647"/>
      <c r="BC1989" s="648"/>
      <c r="BD1989" s="757"/>
      <c r="BE1989" s="659"/>
    </row>
    <row r="1990" spans="1:57" s="64" customFormat="1" ht="15" customHeight="1" outlineLevel="1" x14ac:dyDescent="0.25">
      <c r="A1990" s="2463"/>
      <c r="B1990" s="157"/>
      <c r="C1990" s="385"/>
      <c r="D1990" s="3589"/>
      <c r="E1990" s="3721"/>
      <c r="F1990" s="3773" t="str">
        <f>$E$1510</f>
        <v>ASHP - SEER 21 - replace electric furnace / CAC - early replacement MF ER1</v>
      </c>
      <c r="G1990" s="3774"/>
      <c r="H1990" s="3774"/>
      <c r="I1990" s="3775"/>
      <c r="J1990" s="3071" t="str">
        <f>$C$1510</f>
        <v>353600_2019_12_</v>
      </c>
      <c r="K1990" s="3056">
        <v>3.41</v>
      </c>
      <c r="L1990" s="945"/>
      <c r="M1990" s="783" t="s">
        <v>1505</v>
      </c>
      <c r="N1990" s="157"/>
      <c r="O1990" s="277"/>
      <c r="P1990" s="937"/>
      <c r="Q1990" s="938"/>
      <c r="R1990" s="937"/>
      <c r="S1990" s="924"/>
      <c r="T1990" s="1407"/>
      <c r="U1990" s="157"/>
      <c r="V1990" s="3589"/>
      <c r="W1990" s="766">
        <v>3.41</v>
      </c>
      <c r="X1990" s="766">
        <v>3.41</v>
      </c>
      <c r="Y1990" s="766">
        <v>3.41</v>
      </c>
      <c r="Z1990" s="2426">
        <v>3.41</v>
      </c>
      <c r="AA1990" s="2426">
        <v>3.41</v>
      </c>
      <c r="AB1990" s="2426">
        <v>3.41</v>
      </c>
      <c r="AC1990" s="766"/>
      <c r="AD1990" s="766"/>
      <c r="AE1990" s="766"/>
      <c r="AF1990" s="766"/>
      <c r="AG1990" s="766"/>
      <c r="BB1990" s="647"/>
      <c r="BC1990" s="648"/>
      <c r="BD1990" s="757"/>
      <c r="BE1990" s="659"/>
    </row>
    <row r="1991" spans="1:57" s="64" customFormat="1" ht="15" customHeight="1" outlineLevel="1" x14ac:dyDescent="0.25">
      <c r="A1991" s="2463"/>
      <c r="B1991" s="157"/>
      <c r="C1991" s="385"/>
      <c r="D1991" s="3589"/>
      <c r="E1991" s="3721"/>
      <c r="F1991" s="3773" t="str">
        <f>$E$1512</f>
        <v>ASHP - SEER 21 - replace electric furnace / CAC - early replacement MF ER2</v>
      </c>
      <c r="G1991" s="3774"/>
      <c r="H1991" s="3774"/>
      <c r="I1991" s="3775"/>
      <c r="J1991" s="3071" t="str">
        <f>$C$1512</f>
        <v>353600_2019_12_</v>
      </c>
      <c r="K1991" s="3056">
        <v>3.41</v>
      </c>
      <c r="L1991" s="945"/>
      <c r="M1991" s="783" t="s">
        <v>1505</v>
      </c>
      <c r="N1991" s="157"/>
      <c r="O1991" s="277"/>
      <c r="P1991" s="937"/>
      <c r="Q1991" s="938"/>
      <c r="R1991" s="937"/>
      <c r="S1991" s="924"/>
      <c r="T1991" s="1407"/>
      <c r="U1991" s="157"/>
      <c r="V1991" s="3589"/>
      <c r="W1991" s="766">
        <v>3.41</v>
      </c>
      <c r="X1991" s="766">
        <v>3.41</v>
      </c>
      <c r="Y1991" s="766">
        <v>3.41</v>
      </c>
      <c r="Z1991" s="2426">
        <v>3.41</v>
      </c>
      <c r="AA1991" s="2426">
        <v>3.41</v>
      </c>
      <c r="AB1991" s="2426">
        <v>3.41</v>
      </c>
      <c r="AC1991" s="766"/>
      <c r="AD1991" s="766"/>
      <c r="AE1991" s="766"/>
      <c r="AF1991" s="766"/>
      <c r="AG1991" s="766"/>
      <c r="BB1991" s="647"/>
      <c r="BC1991" s="648"/>
      <c r="BD1991" s="757"/>
      <c r="BE1991" s="659"/>
    </row>
    <row r="1992" spans="1:57" s="64" customFormat="1" ht="15" customHeight="1" outlineLevel="1" x14ac:dyDescent="0.25">
      <c r="A1992" s="2463"/>
      <c r="B1992" s="157"/>
      <c r="C1992" s="385"/>
      <c r="D1992" s="3589"/>
      <c r="E1992" s="3721"/>
      <c r="F1992" s="3773" t="str">
        <f>$E$1514</f>
        <v>ASHP - SEER 21 - replace electric furnace / CAC - early replacement MF ER1_CompE</v>
      </c>
      <c r="G1992" s="3774"/>
      <c r="H1992" s="3774"/>
      <c r="I1992" s="3775"/>
      <c r="J1992" s="3071" t="str">
        <f>$C$1514</f>
        <v>353601_2019_12_</v>
      </c>
      <c r="K1992" s="3056">
        <v>3.41</v>
      </c>
      <c r="L1992" s="945"/>
      <c r="M1992" s="783" t="s">
        <v>1505</v>
      </c>
      <c r="N1992" s="157"/>
      <c r="O1992" s="277"/>
      <c r="P1992" s="937"/>
      <c r="Q1992" s="938"/>
      <c r="R1992" s="937"/>
      <c r="S1992" s="924"/>
      <c r="T1992" s="1407"/>
      <c r="U1992" s="157"/>
      <c r="V1992" s="3589"/>
      <c r="W1992" s="766"/>
      <c r="X1992" s="766"/>
      <c r="Y1992" s="765">
        <v>3.41</v>
      </c>
      <c r="Z1992" s="2426">
        <v>3.41</v>
      </c>
      <c r="AA1992" s="2426">
        <v>3.41</v>
      </c>
      <c r="AB1992" s="2426">
        <v>3.41</v>
      </c>
      <c r="AC1992" s="766"/>
      <c r="AD1992" s="766"/>
      <c r="AE1992" s="766"/>
      <c r="AF1992" s="766"/>
      <c r="AG1992" s="766"/>
      <c r="BB1992" s="647"/>
      <c r="BC1992" s="648"/>
      <c r="BD1992" s="757"/>
      <c r="BE1992" s="659"/>
    </row>
    <row r="1993" spans="1:57" s="64" customFormat="1" ht="15" customHeight="1" outlineLevel="1" x14ac:dyDescent="0.25">
      <c r="A1993" s="2463"/>
      <c r="B1993" s="157"/>
      <c r="C1993" s="385"/>
      <c r="D1993" s="3589"/>
      <c r="E1993" s="3721"/>
      <c r="F1993" s="3773" t="str">
        <f>$E$1516</f>
        <v>ASHP - SEER 21 - replace electric furnace / CAC - early replacement MF ER2_CompE</v>
      </c>
      <c r="G1993" s="3774"/>
      <c r="H1993" s="3774"/>
      <c r="I1993" s="3775"/>
      <c r="J1993" s="3071" t="str">
        <f>$C$1516</f>
        <v>353601_2019_12_</v>
      </c>
      <c r="K1993" s="3056">
        <v>3.41</v>
      </c>
      <c r="L1993" s="945"/>
      <c r="M1993" s="783" t="s">
        <v>1505</v>
      </c>
      <c r="N1993" s="157"/>
      <c r="O1993" s="277"/>
      <c r="P1993" s="937"/>
      <c r="Q1993" s="938"/>
      <c r="R1993" s="937"/>
      <c r="S1993" s="924"/>
      <c r="T1993" s="1407"/>
      <c r="U1993" s="157"/>
      <c r="V1993" s="3589"/>
      <c r="W1993" s="766"/>
      <c r="X1993" s="766"/>
      <c r="Y1993" s="765">
        <v>3.41</v>
      </c>
      <c r="Z1993" s="2426">
        <v>3.41</v>
      </c>
      <c r="AA1993" s="2426">
        <v>3.41</v>
      </c>
      <c r="AB1993" s="2426">
        <v>3.41</v>
      </c>
      <c r="AC1993" s="766"/>
      <c r="AD1993" s="766"/>
      <c r="AE1993" s="766"/>
      <c r="AF1993" s="766"/>
      <c r="AG1993" s="766"/>
      <c r="BB1993" s="647"/>
      <c r="BC1993" s="648"/>
      <c r="BD1993" s="757"/>
      <c r="BE1993" s="659"/>
    </row>
    <row r="1994" spans="1:57" s="64" customFormat="1" ht="15" customHeight="1" outlineLevel="1" x14ac:dyDescent="0.25">
      <c r="A1994" s="2463"/>
      <c r="B1994" s="157"/>
      <c r="C1994" s="385"/>
      <c r="D1994" s="3589"/>
      <c r="E1994" s="3721"/>
      <c r="F1994" s="3773" t="str">
        <f>$E$1518</f>
        <v>ASHP - SEER 21 - replace electric furnace / CAC SF</v>
      </c>
      <c r="G1994" s="3774"/>
      <c r="H1994" s="3774"/>
      <c r="I1994" s="3775"/>
      <c r="J1994" s="3071" t="str">
        <f>$C$1518</f>
        <v>353650_2019_12_</v>
      </c>
      <c r="K1994" s="3056">
        <v>3.41</v>
      </c>
      <c r="L1994" s="945"/>
      <c r="M1994" s="783" t="s">
        <v>1089</v>
      </c>
      <c r="N1994" s="157"/>
      <c r="O1994" s="277"/>
      <c r="P1994" s="937"/>
      <c r="Q1994" s="938"/>
      <c r="R1994" s="937"/>
      <c r="S1994" s="924"/>
      <c r="T1994" s="1407"/>
      <c r="U1994" s="157"/>
      <c r="V1994" s="3589"/>
      <c r="W1994" s="766">
        <v>3.41</v>
      </c>
      <c r="X1994" s="766">
        <v>3.41</v>
      </c>
      <c r="Y1994" s="766">
        <v>3.41</v>
      </c>
      <c r="Z1994" s="2426">
        <v>3.41</v>
      </c>
      <c r="AA1994" s="2426">
        <v>3.41</v>
      </c>
      <c r="AB1994" s="2426">
        <v>3.41</v>
      </c>
      <c r="AC1994" s="766"/>
      <c r="AD1994" s="766"/>
      <c r="AE1994" s="766"/>
      <c r="AF1994" s="766"/>
      <c r="AG1994" s="766"/>
      <c r="BB1994" s="647"/>
      <c r="BC1994" s="648"/>
      <c r="BD1994" s="757"/>
      <c r="BE1994" s="659"/>
    </row>
    <row r="1995" spans="1:57" s="64" customFormat="1" ht="15" customHeight="1" outlineLevel="1" x14ac:dyDescent="0.25">
      <c r="A1995" s="2463"/>
      <c r="B1995" s="157"/>
      <c r="C1995" s="385"/>
      <c r="D1995" s="3589"/>
      <c r="E1995" s="3721"/>
      <c r="F1995" s="3773" t="str">
        <f>$E$1520</f>
        <v>ASHP-  SEER 21+ replace at Fail Elec Resist Furnace MF</v>
      </c>
      <c r="G1995" s="3774"/>
      <c r="H1995" s="3774"/>
      <c r="I1995" s="3775"/>
      <c r="J1995" s="3071" t="str">
        <f>$C$1520</f>
        <v>353700_2019_12_</v>
      </c>
      <c r="K1995" s="3056">
        <v>3.41</v>
      </c>
      <c r="L1995" s="945"/>
      <c r="M1995" s="783" t="s">
        <v>1505</v>
      </c>
      <c r="N1995" s="157"/>
      <c r="O1995" s="277"/>
      <c r="P1995" s="937"/>
      <c r="Q1995" s="938"/>
      <c r="R1995" s="937"/>
      <c r="S1995" s="924"/>
      <c r="T1995" s="1407"/>
      <c r="U1995" s="157"/>
      <c r="V1995" s="3589"/>
      <c r="W1995" s="766">
        <v>3.41</v>
      </c>
      <c r="X1995" s="766">
        <v>3.41</v>
      </c>
      <c r="Y1995" s="766">
        <v>3.41</v>
      </c>
      <c r="Z1995" s="2426">
        <v>3.41</v>
      </c>
      <c r="AA1995" s="2426">
        <v>3.41</v>
      </c>
      <c r="AB1995" s="2426">
        <v>3.41</v>
      </c>
      <c r="AC1995" s="766"/>
      <c r="AD1995" s="766"/>
      <c r="AE1995" s="766"/>
      <c r="AF1995" s="766"/>
      <c r="AG1995" s="766"/>
      <c r="BB1995" s="647"/>
      <c r="BC1995" s="648"/>
      <c r="BD1995" s="757"/>
      <c r="BE1995" s="659"/>
    </row>
    <row r="1996" spans="1:57" s="64" customFormat="1" ht="15" customHeight="1" outlineLevel="1" x14ac:dyDescent="0.25">
      <c r="A1996" s="2463"/>
      <c r="B1996" s="157"/>
      <c r="C1996" s="385"/>
      <c r="D1996" s="3589"/>
      <c r="E1996" s="3721"/>
      <c r="F1996" s="3773" t="str">
        <f>$E$1522</f>
        <v>ASHP-  SEER 21+ replace at Fail Elec Resist Furnace MF_CompE</v>
      </c>
      <c r="G1996" s="3774"/>
      <c r="H1996" s="3774"/>
      <c r="I1996" s="3775"/>
      <c r="J1996" s="3071" t="str">
        <f>$C$1522</f>
        <v>353701_2019_12_</v>
      </c>
      <c r="K1996" s="3056">
        <v>3.41</v>
      </c>
      <c r="L1996" s="945"/>
      <c r="M1996" s="783" t="s">
        <v>1505</v>
      </c>
      <c r="N1996" s="157"/>
      <c r="O1996" s="277"/>
      <c r="P1996" s="937"/>
      <c r="Q1996" s="938"/>
      <c r="R1996" s="937"/>
      <c r="S1996" s="924"/>
      <c r="T1996" s="1407"/>
      <c r="U1996" s="157"/>
      <c r="V1996" s="3589"/>
      <c r="W1996" s="766"/>
      <c r="X1996" s="766"/>
      <c r="Y1996" s="765">
        <v>3.41</v>
      </c>
      <c r="Z1996" s="2426">
        <v>3.41</v>
      </c>
      <c r="AA1996" s="2426">
        <v>3.41</v>
      </c>
      <c r="AB1996" s="2426">
        <v>3.41</v>
      </c>
      <c r="AC1996" s="766"/>
      <c r="AD1996" s="766"/>
      <c r="AE1996" s="766"/>
      <c r="AF1996" s="766"/>
      <c r="AG1996" s="766"/>
      <c r="BB1996" s="647"/>
      <c r="BC1996" s="648"/>
      <c r="BD1996" s="757"/>
      <c r="BE1996" s="659"/>
    </row>
    <row r="1997" spans="1:57" s="64" customFormat="1" ht="15" customHeight="1" outlineLevel="1" x14ac:dyDescent="0.25">
      <c r="A1997" s="1393"/>
      <c r="B1997" s="157"/>
      <c r="C1997" s="385"/>
      <c r="D1997" s="3589"/>
      <c r="E1997" s="3721"/>
      <c r="F1997" s="3773" t="str">
        <f>$E$1524</f>
        <v>ASHP SEER 17 replace ASHP - early replacement SF ER1</v>
      </c>
      <c r="G1997" s="3774"/>
      <c r="H1997" s="3774"/>
      <c r="I1997" s="3775"/>
      <c r="J1997" s="3071" t="str">
        <f>$C$1524</f>
        <v>353750_2019_12_</v>
      </c>
      <c r="K1997" s="3056">
        <v>6.58</v>
      </c>
      <c r="L1997" s="945"/>
      <c r="M1997" s="783" t="s">
        <v>1089</v>
      </c>
      <c r="N1997" s="157"/>
      <c r="O1997" s="277"/>
      <c r="P1997" s="277"/>
      <c r="Q1997" s="277"/>
      <c r="R1997" s="277"/>
      <c r="S1997" s="157"/>
      <c r="T1997" s="157"/>
      <c r="U1997" s="157"/>
      <c r="V1997" s="3589"/>
      <c r="W1997" s="766">
        <v>5.44</v>
      </c>
      <c r="X1997" s="765">
        <v>6.58</v>
      </c>
      <c r="Y1997" s="766">
        <v>6.58</v>
      </c>
      <c r="Z1997" s="2426">
        <v>6.58</v>
      </c>
      <c r="AA1997" s="2426">
        <v>6.58</v>
      </c>
      <c r="AB1997" s="2426">
        <v>6.58</v>
      </c>
      <c r="AC1997" s="766"/>
      <c r="AD1997" s="766"/>
      <c r="AE1997" s="766"/>
      <c r="AF1997" s="766"/>
      <c r="AG1997" s="766"/>
      <c r="BB1997" s="647"/>
      <c r="BC1997" s="648"/>
      <c r="BD1997" s="757"/>
      <c r="BE1997" s="659"/>
    </row>
    <row r="1998" spans="1:57" s="64" customFormat="1" ht="15" customHeight="1" outlineLevel="1" x14ac:dyDescent="0.25">
      <c r="A1998" s="2463"/>
      <c r="B1998" s="157"/>
      <c r="C1998" s="385"/>
      <c r="D1998" s="3589"/>
      <c r="E1998" s="3721"/>
      <c r="F1998" s="3773" t="str">
        <f>$E$1526</f>
        <v>ASHP SEER 17 replace ASHP - early replacement SF ER2</v>
      </c>
      <c r="G1998" s="3774"/>
      <c r="H1998" s="3774"/>
      <c r="I1998" s="3775"/>
      <c r="J1998" s="3071" t="str">
        <f>$C$1526</f>
        <v>353750_2019_12_</v>
      </c>
      <c r="K1998" s="3056">
        <v>8.1999999999999993</v>
      </c>
      <c r="L1998" s="945"/>
      <c r="M1998" s="783" t="s">
        <v>1089</v>
      </c>
      <c r="N1998" s="157"/>
      <c r="O1998" s="277"/>
      <c r="P1998" s="937"/>
      <c r="Q1998" s="938"/>
      <c r="R1998" s="937"/>
      <c r="S1998" s="924"/>
      <c r="T1998" s="1407"/>
      <c r="U1998" s="157"/>
      <c r="V1998" s="3589"/>
      <c r="W1998" s="766">
        <v>8.1999999999999993</v>
      </c>
      <c r="X1998" s="766">
        <v>8.1999999999999993</v>
      </c>
      <c r="Y1998" s="766">
        <v>8.1999999999999993</v>
      </c>
      <c r="Z1998" s="2426">
        <v>8.1999999999999993</v>
      </c>
      <c r="AA1998" s="2426">
        <v>8.1999999999999993</v>
      </c>
      <c r="AB1998" s="2426">
        <v>8.1999999999999993</v>
      </c>
      <c r="AC1998" s="766"/>
      <c r="AD1998" s="766"/>
      <c r="AE1998" s="766"/>
      <c r="AF1998" s="766"/>
      <c r="AG1998" s="766"/>
      <c r="BB1998" s="647"/>
      <c r="BC1998" s="648"/>
      <c r="BD1998" s="757"/>
      <c r="BE1998" s="659"/>
    </row>
    <row r="1999" spans="1:57" s="64" customFormat="1" ht="15" customHeight="1" outlineLevel="1" x14ac:dyDescent="0.25">
      <c r="A1999" s="1393"/>
      <c r="B1999" s="157"/>
      <c r="C1999" s="385"/>
      <c r="D1999" s="3589"/>
      <c r="E1999" s="3721"/>
      <c r="F1999" s="3773" t="str">
        <f>$E$1528</f>
        <v>ASHP SEER 17 replace ASHP - replace on fail SF</v>
      </c>
      <c r="G1999" s="3774"/>
      <c r="H1999" s="3774"/>
      <c r="I1999" s="3775"/>
      <c r="J1999" s="3071" t="str">
        <f>$C$1528</f>
        <v>353800_2019_12_</v>
      </c>
      <c r="K1999" s="3056">
        <v>8.1999999999999993</v>
      </c>
      <c r="L1999" s="945"/>
      <c r="M1999" s="783" t="s">
        <v>1089</v>
      </c>
      <c r="N1999" s="157"/>
      <c r="O1999" s="277"/>
      <c r="P1999" s="277"/>
      <c r="Q1999" s="277"/>
      <c r="R1999" s="277"/>
      <c r="S1999" s="157"/>
      <c r="T1999" s="157"/>
      <c r="U1999" s="157"/>
      <c r="V1999" s="3589"/>
      <c r="W1999" s="766">
        <v>8.1999999999999993</v>
      </c>
      <c r="X1999" s="766">
        <v>8.1999999999999993</v>
      </c>
      <c r="Y1999" s="766">
        <v>8.1999999999999993</v>
      </c>
      <c r="Z1999" s="2426">
        <v>8.1999999999999993</v>
      </c>
      <c r="AA1999" s="2426">
        <v>8.1999999999999993</v>
      </c>
      <c r="AB1999" s="2426">
        <v>8.1999999999999993</v>
      </c>
      <c r="AC1999" s="766"/>
      <c r="AD1999" s="766"/>
      <c r="AE1999" s="766"/>
      <c r="AF1999" s="766"/>
      <c r="AG1999" s="766"/>
      <c r="BB1999" s="647"/>
      <c r="BC1999" s="648"/>
      <c r="BD1999" s="757"/>
      <c r="BE1999" s="659"/>
    </row>
    <row r="2000" spans="1:57" s="64" customFormat="1" ht="15" customHeight="1" outlineLevel="1" x14ac:dyDescent="0.25">
      <c r="A2000" s="2463"/>
      <c r="B2000" s="157"/>
      <c r="C2000" s="385"/>
      <c r="D2000" s="3589"/>
      <c r="E2000" s="3721"/>
      <c r="F2000" s="3773" t="str">
        <f>$E$1530</f>
        <v>ASHP SEER 18 replace ASHP - early replacement SF ER1</v>
      </c>
      <c r="G2000" s="3774"/>
      <c r="H2000" s="3774"/>
      <c r="I2000" s="3775"/>
      <c r="J2000" s="3071" t="str">
        <f>$C$1530</f>
        <v>353850_2019_12_</v>
      </c>
      <c r="K2000" s="3056">
        <v>6.58</v>
      </c>
      <c r="L2000" s="945"/>
      <c r="M2000" s="783" t="s">
        <v>1089</v>
      </c>
      <c r="N2000" s="157"/>
      <c r="O2000" s="277"/>
      <c r="P2000" s="937"/>
      <c r="Q2000" s="938"/>
      <c r="R2000" s="937"/>
      <c r="S2000" s="924"/>
      <c r="T2000" s="1407"/>
      <c r="U2000" s="157"/>
      <c r="V2000" s="3589"/>
      <c r="W2000" s="766">
        <v>5.44</v>
      </c>
      <c r="X2000" s="765">
        <v>6.58</v>
      </c>
      <c r="Y2000" s="766">
        <v>6.58</v>
      </c>
      <c r="Z2000" s="2426">
        <v>6.58</v>
      </c>
      <c r="AA2000" s="2426">
        <v>6.58</v>
      </c>
      <c r="AB2000" s="2426">
        <v>6.58</v>
      </c>
      <c r="AC2000" s="766"/>
      <c r="AD2000" s="766"/>
      <c r="AE2000" s="766"/>
      <c r="AF2000" s="766"/>
      <c r="AG2000" s="766"/>
      <c r="BB2000" s="647"/>
      <c r="BC2000" s="648"/>
      <c r="BD2000" s="757"/>
      <c r="BE2000" s="659"/>
    </row>
    <row r="2001" spans="1:57" s="64" customFormat="1" ht="15" customHeight="1" outlineLevel="1" x14ac:dyDescent="0.25">
      <c r="A2001" s="1393"/>
      <c r="B2001" s="157"/>
      <c r="C2001" s="385"/>
      <c r="D2001" s="3589"/>
      <c r="E2001" s="3721"/>
      <c r="F2001" s="3773" t="str">
        <f>$E$1532</f>
        <v>ASHP SEER 18 replace ASHP - early replacement SF ER2</v>
      </c>
      <c r="G2001" s="3774"/>
      <c r="H2001" s="3774"/>
      <c r="I2001" s="3775"/>
      <c r="J2001" s="3071" t="str">
        <f>$C$1532</f>
        <v>353850_2019_12_</v>
      </c>
      <c r="K2001" s="3056">
        <v>8.1999999999999993</v>
      </c>
      <c r="L2001" s="945"/>
      <c r="M2001" s="783" t="s">
        <v>1089</v>
      </c>
      <c r="N2001" s="157"/>
      <c r="O2001" s="277"/>
      <c r="P2001" s="277"/>
      <c r="Q2001" s="277"/>
      <c r="R2001" s="277"/>
      <c r="S2001" s="157"/>
      <c r="T2001" s="157"/>
      <c r="U2001" s="157"/>
      <c r="V2001" s="3589"/>
      <c r="W2001" s="766">
        <v>8.1999999999999993</v>
      </c>
      <c r="X2001" s="766">
        <v>8.1999999999999993</v>
      </c>
      <c r="Y2001" s="766">
        <v>8.1999999999999993</v>
      </c>
      <c r="Z2001" s="2426">
        <v>8.1999999999999993</v>
      </c>
      <c r="AA2001" s="2426">
        <v>8.1999999999999993</v>
      </c>
      <c r="AB2001" s="2426">
        <v>8.1999999999999993</v>
      </c>
      <c r="AC2001" s="766"/>
      <c r="AD2001" s="766"/>
      <c r="AE2001" s="766"/>
      <c r="AF2001" s="766"/>
      <c r="AG2001" s="766"/>
      <c r="BB2001" s="647"/>
      <c r="BC2001" s="648"/>
      <c r="BD2001" s="757"/>
      <c r="BE2001" s="659"/>
    </row>
    <row r="2002" spans="1:57" s="64" customFormat="1" ht="15" customHeight="1" outlineLevel="1" x14ac:dyDescent="0.25">
      <c r="A2002" s="2463"/>
      <c r="B2002" s="157"/>
      <c r="C2002" s="385"/>
      <c r="D2002" s="3589"/>
      <c r="E2002" s="3721"/>
      <c r="F2002" s="3773" t="str">
        <f>$E$1534</f>
        <v>ASHP - SEER 18 - replace on fail SF</v>
      </c>
      <c r="G2002" s="3774"/>
      <c r="H2002" s="3774"/>
      <c r="I2002" s="3775"/>
      <c r="J2002" s="3071" t="str">
        <f>$C$1534</f>
        <v>353950_2019_12_</v>
      </c>
      <c r="K2002" s="3056">
        <v>8.1999999999999993</v>
      </c>
      <c r="L2002" s="945"/>
      <c r="M2002" s="783" t="s">
        <v>1089</v>
      </c>
      <c r="N2002" s="157"/>
      <c r="O2002" s="277"/>
      <c r="P2002" s="937"/>
      <c r="Q2002" s="938"/>
      <c r="R2002" s="937"/>
      <c r="S2002" s="924"/>
      <c r="T2002" s="1407"/>
      <c r="U2002" s="157"/>
      <c r="V2002" s="3589"/>
      <c r="W2002" s="766">
        <v>8.1999999999999993</v>
      </c>
      <c r="X2002" s="766">
        <v>8.1999999999999993</v>
      </c>
      <c r="Y2002" s="766">
        <v>8.1999999999999993</v>
      </c>
      <c r="Z2002" s="2426">
        <v>8.1999999999999993</v>
      </c>
      <c r="AA2002" s="2426">
        <v>8.1999999999999993</v>
      </c>
      <c r="AB2002" s="2426">
        <v>8.1999999999999993</v>
      </c>
      <c r="AC2002" s="766"/>
      <c r="AD2002" s="766"/>
      <c r="AE2002" s="766"/>
      <c r="AF2002" s="766"/>
      <c r="AG2002" s="766"/>
      <c r="BB2002" s="647"/>
      <c r="BC2002" s="648"/>
      <c r="BD2002" s="757"/>
      <c r="BE2002" s="659"/>
    </row>
    <row r="2003" spans="1:57" s="64" customFormat="1" ht="15" customHeight="1" outlineLevel="1" x14ac:dyDescent="0.25">
      <c r="A2003" s="2463"/>
      <c r="B2003" s="157"/>
      <c r="C2003" s="385"/>
      <c r="D2003" s="3589"/>
      <c r="E2003" s="3721"/>
      <c r="F2003" s="3773" t="str">
        <f>$E$1536</f>
        <v>ASHP SEER 19 replace ASHP - early replacement SF ER1</v>
      </c>
      <c r="G2003" s="3774"/>
      <c r="H2003" s="3774"/>
      <c r="I2003" s="3775"/>
      <c r="J2003" s="3071" t="str">
        <f>$C$1536</f>
        <v>354000_2019_12_</v>
      </c>
      <c r="K2003" s="3056">
        <v>6.58</v>
      </c>
      <c r="L2003" s="945"/>
      <c r="M2003" s="783" t="s">
        <v>1089</v>
      </c>
      <c r="N2003" s="157"/>
      <c r="O2003" s="277"/>
      <c r="P2003" s="937"/>
      <c r="Q2003" s="938"/>
      <c r="R2003" s="937"/>
      <c r="S2003" s="924"/>
      <c r="T2003" s="1407"/>
      <c r="U2003" s="157"/>
      <c r="V2003" s="3589"/>
      <c r="W2003" s="766">
        <v>5.44</v>
      </c>
      <c r="X2003" s="765">
        <v>6.58</v>
      </c>
      <c r="Y2003" s="766">
        <v>6.58</v>
      </c>
      <c r="Z2003" s="2426">
        <v>6.58</v>
      </c>
      <c r="AA2003" s="2426">
        <v>6.58</v>
      </c>
      <c r="AB2003" s="2426">
        <v>6.58</v>
      </c>
      <c r="AC2003" s="766"/>
      <c r="AD2003" s="766"/>
      <c r="AE2003" s="766"/>
      <c r="AF2003" s="766"/>
      <c r="AG2003" s="766"/>
      <c r="BB2003" s="647"/>
      <c r="BC2003" s="648"/>
      <c r="BD2003" s="757"/>
      <c r="BE2003" s="659"/>
    </row>
    <row r="2004" spans="1:57" s="64" customFormat="1" ht="15" customHeight="1" outlineLevel="1" x14ac:dyDescent="0.25">
      <c r="A2004" s="1393"/>
      <c r="B2004" s="157"/>
      <c r="C2004" s="385"/>
      <c r="D2004" s="3589"/>
      <c r="E2004" s="3721"/>
      <c r="F2004" s="3773" t="str">
        <f>$E$1538</f>
        <v>ASHP SEER 19 replace ASHP - early replacement SF ER2</v>
      </c>
      <c r="G2004" s="3774"/>
      <c r="H2004" s="3774"/>
      <c r="I2004" s="3775"/>
      <c r="J2004" s="3071" t="str">
        <f>$C$1538</f>
        <v>354000_2019_12_</v>
      </c>
      <c r="K2004" s="3056">
        <v>8.1999999999999993</v>
      </c>
      <c r="L2004" s="945"/>
      <c r="M2004" s="783" t="s">
        <v>1089</v>
      </c>
      <c r="N2004" s="157"/>
      <c r="O2004" s="277"/>
      <c r="P2004" s="277"/>
      <c r="Q2004" s="277"/>
      <c r="R2004" s="277"/>
      <c r="S2004" s="157"/>
      <c r="T2004" s="157"/>
      <c r="U2004" s="157"/>
      <c r="V2004" s="3589"/>
      <c r="W2004" s="766">
        <v>8.1999999999999993</v>
      </c>
      <c r="X2004" s="766">
        <v>8.1999999999999993</v>
      </c>
      <c r="Y2004" s="766">
        <v>8.1999999999999993</v>
      </c>
      <c r="Z2004" s="2426">
        <v>8.1999999999999993</v>
      </c>
      <c r="AA2004" s="2426">
        <v>8.1999999999999993</v>
      </c>
      <c r="AB2004" s="2426">
        <v>8.1999999999999993</v>
      </c>
      <c r="AC2004" s="766"/>
      <c r="AD2004" s="766"/>
      <c r="AE2004" s="766"/>
      <c r="AF2004" s="766"/>
      <c r="AG2004" s="766"/>
      <c r="BB2004" s="647"/>
      <c r="BC2004" s="648"/>
      <c r="BD2004" s="757"/>
      <c r="BE2004" s="659"/>
    </row>
    <row r="2005" spans="1:57" s="64" customFormat="1" ht="15" customHeight="1" outlineLevel="1" x14ac:dyDescent="0.25">
      <c r="A2005" s="1393"/>
      <c r="B2005" s="157"/>
      <c r="C2005" s="385"/>
      <c r="D2005" s="3589"/>
      <c r="E2005" s="3721"/>
      <c r="F2005" s="3773" t="str">
        <f>$E$1540</f>
        <v>ASHP SEER 19 replace ASHP - replace on fail SF</v>
      </c>
      <c r="G2005" s="3774"/>
      <c r="H2005" s="3774"/>
      <c r="I2005" s="3775"/>
      <c r="J2005" s="3071" t="str">
        <f>$C$1540</f>
        <v>354050_2019_12_</v>
      </c>
      <c r="K2005" s="3056">
        <v>8.1999999999999993</v>
      </c>
      <c r="L2005" s="945"/>
      <c r="M2005" s="783" t="s">
        <v>1089</v>
      </c>
      <c r="N2005" s="157"/>
      <c r="O2005" s="277"/>
      <c r="P2005" s="277"/>
      <c r="Q2005" s="277"/>
      <c r="R2005" s="277"/>
      <c r="S2005" s="157"/>
      <c r="T2005" s="157"/>
      <c r="U2005" s="157"/>
      <c r="V2005" s="3589"/>
      <c r="W2005" s="766">
        <v>8.1999999999999993</v>
      </c>
      <c r="X2005" s="766">
        <v>8.1999999999999993</v>
      </c>
      <c r="Y2005" s="766">
        <v>8.1999999999999993</v>
      </c>
      <c r="Z2005" s="2426">
        <v>8.1999999999999993</v>
      </c>
      <c r="AA2005" s="2426">
        <v>8.1999999999999993</v>
      </c>
      <c r="AB2005" s="2426">
        <v>8.1999999999999993</v>
      </c>
      <c r="AC2005" s="766"/>
      <c r="AD2005" s="766"/>
      <c r="AE2005" s="766"/>
      <c r="AF2005" s="766"/>
      <c r="AG2005" s="766"/>
      <c r="BB2005" s="647"/>
      <c r="BC2005" s="648"/>
      <c r="BD2005" s="757"/>
      <c r="BE2005" s="659"/>
    </row>
    <row r="2006" spans="1:57" s="64" customFormat="1" ht="15" customHeight="1" outlineLevel="1" x14ac:dyDescent="0.25">
      <c r="A2006" s="1393"/>
      <c r="B2006" s="157"/>
      <c r="C2006" s="385"/>
      <c r="D2006" s="3589"/>
      <c r="E2006" s="3721"/>
      <c r="F2006" s="3773" t="str">
        <f>$E$1542</f>
        <v>ASHP - SEER 17 - replace electric furnace / CAC - early replacement SF ER1</v>
      </c>
      <c r="G2006" s="3774"/>
      <c r="H2006" s="3774"/>
      <c r="I2006" s="3775"/>
      <c r="J2006" s="3071" t="str">
        <f>$C$1542</f>
        <v>354100_2019_12_</v>
      </c>
      <c r="K2006" s="3056">
        <v>3.41</v>
      </c>
      <c r="L2006" s="945"/>
      <c r="M2006" s="783" t="s">
        <v>1089</v>
      </c>
      <c r="N2006" s="157"/>
      <c r="O2006" s="277"/>
      <c r="P2006" s="277"/>
      <c r="Q2006" s="277"/>
      <c r="R2006" s="277"/>
      <c r="S2006" s="157"/>
      <c r="T2006" s="157"/>
      <c r="U2006" s="157"/>
      <c r="V2006" s="3589"/>
      <c r="W2006" s="766">
        <v>3.41</v>
      </c>
      <c r="X2006" s="766">
        <v>3.41</v>
      </c>
      <c r="Y2006" s="766">
        <v>3.41</v>
      </c>
      <c r="Z2006" s="2426">
        <v>3.41</v>
      </c>
      <c r="AA2006" s="2426">
        <v>3.41</v>
      </c>
      <c r="AB2006" s="2426">
        <v>3.41</v>
      </c>
      <c r="AC2006" s="766"/>
      <c r="AD2006" s="766"/>
      <c r="AE2006" s="766"/>
      <c r="AF2006" s="766"/>
      <c r="AG2006" s="766"/>
      <c r="BB2006" s="647"/>
      <c r="BC2006" s="648"/>
      <c r="BD2006" s="757"/>
      <c r="BE2006" s="659"/>
    </row>
    <row r="2007" spans="1:57" s="64" customFormat="1" ht="15" customHeight="1" outlineLevel="1" x14ac:dyDescent="0.25">
      <c r="A2007" s="1393"/>
      <c r="B2007" s="157"/>
      <c r="C2007" s="385"/>
      <c r="D2007" s="3589"/>
      <c r="E2007" s="3721"/>
      <c r="F2007" s="3773" t="str">
        <f>$E$1544</f>
        <v>ASHP - SEER 17 - replace electric furnace / CAC - early replacement SF ER2</v>
      </c>
      <c r="G2007" s="3774"/>
      <c r="H2007" s="3774"/>
      <c r="I2007" s="3775"/>
      <c r="J2007" s="3071" t="str">
        <f>$C$1544</f>
        <v>354100_2019_12_</v>
      </c>
      <c r="K2007" s="3056">
        <v>3.41</v>
      </c>
      <c r="L2007" s="945"/>
      <c r="M2007" s="783" t="s">
        <v>1089</v>
      </c>
      <c r="N2007" s="157"/>
      <c r="O2007" s="277"/>
      <c r="P2007" s="277"/>
      <c r="Q2007" s="277"/>
      <c r="R2007" s="277"/>
      <c r="S2007" s="157"/>
      <c r="T2007" s="157"/>
      <c r="U2007" s="157"/>
      <c r="V2007" s="3589"/>
      <c r="W2007" s="766">
        <v>3.41</v>
      </c>
      <c r="X2007" s="766">
        <v>3.41</v>
      </c>
      <c r="Y2007" s="766">
        <v>3.41</v>
      </c>
      <c r="Z2007" s="2426">
        <v>3.41</v>
      </c>
      <c r="AA2007" s="2426">
        <v>3.41</v>
      </c>
      <c r="AB2007" s="2426">
        <v>3.41</v>
      </c>
      <c r="AC2007" s="766"/>
      <c r="AD2007" s="766"/>
      <c r="AE2007" s="766"/>
      <c r="AF2007" s="766"/>
      <c r="AG2007" s="766"/>
      <c r="BB2007" s="647"/>
      <c r="BC2007" s="648"/>
      <c r="BD2007" s="757"/>
      <c r="BE2007" s="659"/>
    </row>
    <row r="2008" spans="1:57" s="64" customFormat="1" ht="15" customHeight="1" outlineLevel="1" x14ac:dyDescent="0.25">
      <c r="A2008" s="1393"/>
      <c r="B2008" s="157"/>
      <c r="C2008" s="385"/>
      <c r="D2008" s="3589"/>
      <c r="E2008" s="3721"/>
      <c r="F2008" s="3773" t="str">
        <f>$E$1546</f>
        <v>ASHP - SEER 17 - replace electric furnace / CAC - early replacement MF ER1</v>
      </c>
      <c r="G2008" s="3774"/>
      <c r="H2008" s="3774"/>
      <c r="I2008" s="3775"/>
      <c r="J2008" s="3071" t="str">
        <f>$C$1546</f>
        <v>354150_2019_12_</v>
      </c>
      <c r="K2008" s="3056">
        <v>3.41</v>
      </c>
      <c r="L2008" s="945"/>
      <c r="M2008" s="783" t="s">
        <v>1505</v>
      </c>
      <c r="N2008" s="157"/>
      <c r="O2008" s="277"/>
      <c r="P2008" s="277"/>
      <c r="Q2008" s="277"/>
      <c r="R2008" s="277"/>
      <c r="S2008" s="157"/>
      <c r="T2008" s="157"/>
      <c r="U2008" s="157"/>
      <c r="V2008" s="3589"/>
      <c r="W2008" s="766">
        <v>3.41</v>
      </c>
      <c r="X2008" s="766">
        <v>3.41</v>
      </c>
      <c r="Y2008" s="766">
        <v>3.41</v>
      </c>
      <c r="Z2008" s="2426">
        <v>3.41</v>
      </c>
      <c r="AA2008" s="2426">
        <v>3.41</v>
      </c>
      <c r="AB2008" s="2426">
        <v>3.41</v>
      </c>
      <c r="AC2008" s="766"/>
      <c r="AD2008" s="766"/>
      <c r="AE2008" s="766"/>
      <c r="AF2008" s="766"/>
      <c r="AG2008" s="766"/>
      <c r="BB2008" s="647"/>
      <c r="BC2008" s="648"/>
      <c r="BD2008" s="757"/>
      <c r="BE2008" s="659"/>
    </row>
    <row r="2009" spans="1:57" s="64" customFormat="1" ht="15" customHeight="1" outlineLevel="1" x14ac:dyDescent="0.25">
      <c r="A2009" s="1393"/>
      <c r="B2009" s="157"/>
      <c r="C2009" s="385"/>
      <c r="D2009" s="3589"/>
      <c r="E2009" s="3721"/>
      <c r="F2009" s="3773" t="str">
        <f>$E$1548</f>
        <v>ASHP - SEER 17 - replace electric furnace / CAC - early replacement MF ER2</v>
      </c>
      <c r="G2009" s="3774"/>
      <c r="H2009" s="3774"/>
      <c r="I2009" s="3775"/>
      <c r="J2009" s="3071" t="str">
        <f>$C$1548</f>
        <v>354150_2019_12_</v>
      </c>
      <c r="K2009" s="3056">
        <v>3.41</v>
      </c>
      <c r="L2009" s="945"/>
      <c r="M2009" s="783" t="s">
        <v>1505</v>
      </c>
      <c r="N2009" s="157"/>
      <c r="O2009" s="277"/>
      <c r="P2009" s="277"/>
      <c r="Q2009" s="277"/>
      <c r="R2009" s="277"/>
      <c r="S2009" s="157"/>
      <c r="T2009" s="157"/>
      <c r="U2009" s="157"/>
      <c r="V2009" s="3589"/>
      <c r="W2009" s="766">
        <v>3.41</v>
      </c>
      <c r="X2009" s="766">
        <v>3.41</v>
      </c>
      <c r="Y2009" s="766">
        <v>3.41</v>
      </c>
      <c r="Z2009" s="2426">
        <v>3.41</v>
      </c>
      <c r="AA2009" s="2426">
        <v>3.41</v>
      </c>
      <c r="AB2009" s="2426">
        <v>3.41</v>
      </c>
      <c r="AC2009" s="766"/>
      <c r="AD2009" s="766"/>
      <c r="AE2009" s="766"/>
      <c r="AF2009" s="766"/>
      <c r="AG2009" s="766"/>
      <c r="BB2009" s="647"/>
      <c r="BC2009" s="648"/>
      <c r="BD2009" s="757"/>
      <c r="BE2009" s="659"/>
    </row>
    <row r="2010" spans="1:57" s="64" customFormat="1" ht="15" customHeight="1" outlineLevel="1" x14ac:dyDescent="0.25">
      <c r="A2010" s="1393"/>
      <c r="B2010" s="157"/>
      <c r="C2010" s="385"/>
      <c r="D2010" s="3589"/>
      <c r="E2010" s="3721"/>
      <c r="F2010" s="3773" t="str">
        <f>$E$1550</f>
        <v>ASHP - SEER 17 - replace electric furnace / CAC - early replacement MF ER1_CompE</v>
      </c>
      <c r="G2010" s="3774"/>
      <c r="H2010" s="3774"/>
      <c r="I2010" s="3775"/>
      <c r="J2010" s="3071" t="str">
        <f>$C$1550</f>
        <v>354151_2019_12_</v>
      </c>
      <c r="K2010" s="3056">
        <v>3.41</v>
      </c>
      <c r="L2010" s="945"/>
      <c r="M2010" s="783" t="s">
        <v>1505</v>
      </c>
      <c r="N2010" s="157"/>
      <c r="O2010" s="277"/>
      <c r="P2010" s="277"/>
      <c r="Q2010" s="277"/>
      <c r="R2010" s="277"/>
      <c r="S2010" s="157"/>
      <c r="T2010" s="157"/>
      <c r="U2010" s="157"/>
      <c r="V2010" s="3589"/>
      <c r="W2010" s="766"/>
      <c r="X2010" s="766"/>
      <c r="Y2010" s="765">
        <v>3.41</v>
      </c>
      <c r="Z2010" s="2426">
        <v>3.41</v>
      </c>
      <c r="AA2010" s="2426">
        <v>3.41</v>
      </c>
      <c r="AB2010" s="2426">
        <v>3.41</v>
      </c>
      <c r="AC2010" s="766"/>
      <c r="AD2010" s="766"/>
      <c r="AE2010" s="766"/>
      <c r="AF2010" s="766"/>
      <c r="AG2010" s="766"/>
      <c r="BB2010" s="647"/>
      <c r="BC2010" s="648"/>
      <c r="BD2010" s="757"/>
      <c r="BE2010" s="659"/>
    </row>
    <row r="2011" spans="1:57" s="64" customFormat="1" ht="15" customHeight="1" outlineLevel="1" x14ac:dyDescent="0.25">
      <c r="A2011" s="1393"/>
      <c r="B2011" s="157"/>
      <c r="C2011" s="385"/>
      <c r="D2011" s="3589"/>
      <c r="E2011" s="3721"/>
      <c r="F2011" s="3773" t="str">
        <f>$E$1552</f>
        <v>ASHP - SEER 17 - replace electric furnace / CAC - early replacement MF ER2_CompE</v>
      </c>
      <c r="G2011" s="3774"/>
      <c r="H2011" s="3774"/>
      <c r="I2011" s="3775"/>
      <c r="J2011" s="3071" t="str">
        <f>$C$1552</f>
        <v>354151_2019_12_</v>
      </c>
      <c r="K2011" s="3056">
        <v>3.41</v>
      </c>
      <c r="L2011" s="945"/>
      <c r="M2011" s="783" t="s">
        <v>1505</v>
      </c>
      <c r="N2011" s="157"/>
      <c r="O2011" s="277"/>
      <c r="P2011" s="277"/>
      <c r="Q2011" s="277"/>
      <c r="R2011" s="277"/>
      <c r="S2011" s="157"/>
      <c r="T2011" s="157"/>
      <c r="U2011" s="157"/>
      <c r="V2011" s="3589"/>
      <c r="W2011" s="766"/>
      <c r="X2011" s="766"/>
      <c r="Y2011" s="765">
        <v>3.41</v>
      </c>
      <c r="Z2011" s="2426">
        <v>3.41</v>
      </c>
      <c r="AA2011" s="2426">
        <v>3.41</v>
      </c>
      <c r="AB2011" s="2426">
        <v>3.41</v>
      </c>
      <c r="AC2011" s="766"/>
      <c r="AD2011" s="766"/>
      <c r="AE2011" s="766"/>
      <c r="AF2011" s="766"/>
      <c r="AG2011" s="766"/>
      <c r="BB2011" s="647"/>
      <c r="BC2011" s="648"/>
      <c r="BD2011" s="757"/>
      <c r="BE2011" s="659"/>
    </row>
    <row r="2012" spans="1:57" s="64" customFormat="1" ht="15" customHeight="1" outlineLevel="1" x14ac:dyDescent="0.25">
      <c r="A2012" s="1393"/>
      <c r="B2012" s="157"/>
      <c r="C2012" s="385"/>
      <c r="D2012" s="3589"/>
      <c r="E2012" s="3721"/>
      <c r="F2012" s="3773" t="str">
        <f>$E$1554</f>
        <v>ASHP SEER 17 replace ASHP - early replacement MF ER1</v>
      </c>
      <c r="G2012" s="3774"/>
      <c r="H2012" s="3774"/>
      <c r="I2012" s="3775"/>
      <c r="J2012" s="3071" t="str">
        <f>$C$1554</f>
        <v>354200_2019_12_</v>
      </c>
      <c r="K2012" s="3056">
        <v>6.58</v>
      </c>
      <c r="L2012" s="945"/>
      <c r="M2012" s="783" t="s">
        <v>1505</v>
      </c>
      <c r="N2012" s="157"/>
      <c r="O2012" s="277"/>
      <c r="P2012" s="277"/>
      <c r="Q2012" s="277"/>
      <c r="R2012" s="277"/>
      <c r="S2012" s="157"/>
      <c r="T2012" s="157"/>
      <c r="U2012" s="157"/>
      <c r="V2012" s="3589"/>
      <c r="W2012" s="766">
        <v>5.44</v>
      </c>
      <c r="X2012" s="765">
        <v>6.58</v>
      </c>
      <c r="Y2012" s="766">
        <v>6.58</v>
      </c>
      <c r="Z2012" s="2426">
        <v>6.58</v>
      </c>
      <c r="AA2012" s="2426">
        <v>6.58</v>
      </c>
      <c r="AB2012" s="2426">
        <v>6.58</v>
      </c>
      <c r="AC2012" s="766"/>
      <c r="AD2012" s="766"/>
      <c r="AE2012" s="766"/>
      <c r="AF2012" s="766"/>
      <c r="AG2012" s="766"/>
      <c r="BB2012" s="647"/>
      <c r="BC2012" s="648"/>
      <c r="BD2012" s="757"/>
      <c r="BE2012" s="659"/>
    </row>
    <row r="2013" spans="1:57" s="64" customFormat="1" ht="15" customHeight="1" outlineLevel="1" x14ac:dyDescent="0.25">
      <c r="A2013" s="1393"/>
      <c r="B2013" s="157"/>
      <c r="C2013" s="385"/>
      <c r="D2013" s="3589"/>
      <c r="E2013" s="3721"/>
      <c r="F2013" s="3773" t="str">
        <f>$E$1556</f>
        <v>ASHP SEER 17 replace ASHP - early replacement MF ER2</v>
      </c>
      <c r="G2013" s="3774"/>
      <c r="H2013" s="3774"/>
      <c r="I2013" s="3775"/>
      <c r="J2013" s="3071" t="str">
        <f>$C$1556</f>
        <v>354200_2019_12_</v>
      </c>
      <c r="K2013" s="3056">
        <v>8.1999999999999993</v>
      </c>
      <c r="L2013" s="945"/>
      <c r="M2013" s="783" t="s">
        <v>1505</v>
      </c>
      <c r="N2013" s="157"/>
      <c r="O2013" s="277"/>
      <c r="P2013" s="277"/>
      <c r="Q2013" s="277"/>
      <c r="R2013" s="277"/>
      <c r="S2013" s="157"/>
      <c r="T2013" s="157"/>
      <c r="U2013" s="157"/>
      <c r="V2013" s="3589"/>
      <c r="W2013" s="766">
        <v>8.1999999999999993</v>
      </c>
      <c r="X2013" s="766">
        <v>8.1999999999999993</v>
      </c>
      <c r="Y2013" s="766">
        <v>8.1999999999999993</v>
      </c>
      <c r="Z2013" s="2426">
        <v>8.1999999999999993</v>
      </c>
      <c r="AA2013" s="2426">
        <v>8.1999999999999993</v>
      </c>
      <c r="AB2013" s="2426">
        <v>8.1999999999999993</v>
      </c>
      <c r="AC2013" s="766"/>
      <c r="AD2013" s="766"/>
      <c r="AE2013" s="766"/>
      <c r="AF2013" s="766"/>
      <c r="AG2013" s="766"/>
      <c r="BB2013" s="647"/>
      <c r="BC2013" s="648"/>
      <c r="BD2013" s="757"/>
      <c r="BE2013" s="659"/>
    </row>
    <row r="2014" spans="1:57" s="64" customFormat="1" ht="15" customHeight="1" outlineLevel="1" x14ac:dyDescent="0.25">
      <c r="A2014" s="1393"/>
      <c r="B2014" s="157"/>
      <c r="C2014" s="385"/>
      <c r="D2014" s="3589"/>
      <c r="E2014" s="3721"/>
      <c r="F2014" s="3773" t="str">
        <f>$E$1558</f>
        <v>ASHP SEER 17 replace ASHP - early replacement MF ER1_CompE</v>
      </c>
      <c r="G2014" s="3774"/>
      <c r="H2014" s="3774"/>
      <c r="I2014" s="3775"/>
      <c r="J2014" s="3071" t="str">
        <f>$C$1558</f>
        <v>354201_2019_12_</v>
      </c>
      <c r="K2014" s="3056">
        <v>6.58</v>
      </c>
      <c r="L2014" s="945"/>
      <c r="M2014" s="783" t="s">
        <v>1505</v>
      </c>
      <c r="N2014" s="157"/>
      <c r="O2014" s="277"/>
      <c r="P2014" s="277"/>
      <c r="Q2014" s="277"/>
      <c r="R2014" s="277"/>
      <c r="S2014" s="157"/>
      <c r="T2014" s="157"/>
      <c r="U2014" s="157"/>
      <c r="V2014" s="3589"/>
      <c r="W2014" s="766"/>
      <c r="X2014" s="766"/>
      <c r="Y2014" s="765">
        <v>6.58</v>
      </c>
      <c r="Z2014" s="2426">
        <v>6.58</v>
      </c>
      <c r="AA2014" s="2426">
        <v>6.58</v>
      </c>
      <c r="AB2014" s="2426">
        <v>6.58</v>
      </c>
      <c r="AC2014" s="766"/>
      <c r="AD2014" s="766"/>
      <c r="AE2014" s="766"/>
      <c r="AF2014" s="766"/>
      <c r="AG2014" s="766"/>
      <c r="BB2014" s="647"/>
      <c r="BC2014" s="648"/>
      <c r="BD2014" s="757"/>
      <c r="BE2014" s="659"/>
    </row>
    <row r="2015" spans="1:57" s="64" customFormat="1" ht="15" customHeight="1" outlineLevel="1" x14ac:dyDescent="0.25">
      <c r="A2015" s="1393"/>
      <c r="B2015" s="157"/>
      <c r="C2015" s="385"/>
      <c r="D2015" s="3589"/>
      <c r="E2015" s="3721"/>
      <c r="F2015" s="3773" t="str">
        <f>$E$1560</f>
        <v>ASHP SEER 17 replace ASHP - early replacement MF ER2_CompE</v>
      </c>
      <c r="G2015" s="3774"/>
      <c r="H2015" s="3774"/>
      <c r="I2015" s="3775"/>
      <c r="J2015" s="3071" t="str">
        <f>$C$1560</f>
        <v>354201_2019_12_</v>
      </c>
      <c r="K2015" s="3056">
        <v>8.1999999999999993</v>
      </c>
      <c r="L2015" s="945"/>
      <c r="M2015" s="783" t="s">
        <v>1505</v>
      </c>
      <c r="N2015" s="157"/>
      <c r="O2015" s="277"/>
      <c r="P2015" s="277"/>
      <c r="Q2015" s="277"/>
      <c r="R2015" s="277"/>
      <c r="S2015" s="157"/>
      <c r="T2015" s="157"/>
      <c r="U2015" s="157"/>
      <c r="V2015" s="3589"/>
      <c r="W2015" s="766"/>
      <c r="X2015" s="766"/>
      <c r="Y2015" s="765">
        <v>8.1999999999999993</v>
      </c>
      <c r="Z2015" s="2426">
        <v>8.1999999999999993</v>
      </c>
      <c r="AA2015" s="2426">
        <v>8.1999999999999993</v>
      </c>
      <c r="AB2015" s="2426">
        <v>8.1999999999999993</v>
      </c>
      <c r="AC2015" s="766"/>
      <c r="AD2015" s="766"/>
      <c r="AE2015" s="766"/>
      <c r="AF2015" s="766"/>
      <c r="AG2015" s="766"/>
      <c r="BB2015" s="647"/>
      <c r="BC2015" s="648"/>
      <c r="BD2015" s="757"/>
      <c r="BE2015" s="659"/>
    </row>
    <row r="2016" spans="1:57" s="64" customFormat="1" ht="15" customHeight="1" outlineLevel="1" x14ac:dyDescent="0.25">
      <c r="A2016" s="1393"/>
      <c r="B2016" s="157"/>
      <c r="C2016" s="385"/>
      <c r="D2016" s="3589"/>
      <c r="E2016" s="3721"/>
      <c r="F2016" s="3773" t="str">
        <f>$E$1562</f>
        <v>ASHP - SEER 18 - replace electric furnace / CAC - early replacement SF ER1</v>
      </c>
      <c r="G2016" s="3774"/>
      <c r="H2016" s="3774"/>
      <c r="I2016" s="3775"/>
      <c r="J2016" s="3071" t="str">
        <f>$C$1562</f>
        <v>354250_2019_12_</v>
      </c>
      <c r="K2016" s="3056">
        <v>3.41</v>
      </c>
      <c r="L2016" s="945"/>
      <c r="M2016" s="783" t="s">
        <v>1089</v>
      </c>
      <c r="N2016" s="157"/>
      <c r="O2016" s="277"/>
      <c r="P2016" s="277"/>
      <c r="Q2016" s="277"/>
      <c r="R2016" s="277"/>
      <c r="S2016" s="157"/>
      <c r="T2016" s="157"/>
      <c r="U2016" s="157"/>
      <c r="V2016" s="3589"/>
      <c r="W2016" s="766">
        <v>3.41</v>
      </c>
      <c r="X2016" s="766">
        <v>3.41</v>
      </c>
      <c r="Y2016" s="766">
        <v>3.41</v>
      </c>
      <c r="Z2016" s="2426">
        <v>3.41</v>
      </c>
      <c r="AA2016" s="2426">
        <v>3.41</v>
      </c>
      <c r="AB2016" s="2426">
        <v>3.41</v>
      </c>
      <c r="AC2016" s="766"/>
      <c r="AD2016" s="766"/>
      <c r="AE2016" s="766"/>
      <c r="AF2016" s="766"/>
      <c r="AG2016" s="766"/>
      <c r="BB2016" s="647"/>
      <c r="BC2016" s="648"/>
      <c r="BD2016" s="757"/>
      <c r="BE2016" s="659"/>
    </row>
    <row r="2017" spans="1:57" s="64" customFormat="1" ht="15" customHeight="1" outlineLevel="1" x14ac:dyDescent="0.25">
      <c r="A2017" s="1393"/>
      <c r="B2017" s="157"/>
      <c r="C2017" s="385"/>
      <c r="D2017" s="3589"/>
      <c r="E2017" s="3721"/>
      <c r="F2017" s="3773" t="str">
        <f>$E$1564</f>
        <v>ASHP - SEER 18 - replace electric furnace / CAC - early replacement SF ER2</v>
      </c>
      <c r="G2017" s="3774"/>
      <c r="H2017" s="3774"/>
      <c r="I2017" s="3775"/>
      <c r="J2017" s="3071" t="str">
        <f>$C$1564</f>
        <v>354250_2019_12_</v>
      </c>
      <c r="K2017" s="3056">
        <v>3.41</v>
      </c>
      <c r="L2017" s="945"/>
      <c r="M2017" s="783" t="s">
        <v>1089</v>
      </c>
      <c r="N2017" s="157"/>
      <c r="O2017" s="277"/>
      <c r="P2017" s="277"/>
      <c r="Q2017" s="277"/>
      <c r="R2017" s="277"/>
      <c r="S2017" s="157"/>
      <c r="T2017" s="157"/>
      <c r="U2017" s="157"/>
      <c r="V2017" s="3589"/>
      <c r="W2017" s="766">
        <v>3.41</v>
      </c>
      <c r="X2017" s="766">
        <v>3.41</v>
      </c>
      <c r="Y2017" s="766">
        <v>3.41</v>
      </c>
      <c r="Z2017" s="2426">
        <v>3.41</v>
      </c>
      <c r="AA2017" s="2426">
        <v>3.41</v>
      </c>
      <c r="AB2017" s="2426">
        <v>3.41</v>
      </c>
      <c r="AC2017" s="766"/>
      <c r="AD2017" s="766"/>
      <c r="AE2017" s="766"/>
      <c r="AF2017" s="766"/>
      <c r="AG2017" s="766"/>
      <c r="BB2017" s="647"/>
      <c r="BC2017" s="648"/>
      <c r="BD2017" s="757"/>
      <c r="BE2017" s="659"/>
    </row>
    <row r="2018" spans="1:57" s="64" customFormat="1" ht="15" customHeight="1" outlineLevel="1" x14ac:dyDescent="0.25">
      <c r="A2018" s="1393"/>
      <c r="B2018" s="157"/>
      <c r="C2018" s="385"/>
      <c r="D2018" s="3589"/>
      <c r="E2018" s="3721"/>
      <c r="F2018" s="3773" t="str">
        <f>$E$1566</f>
        <v>ASHP - SEER 18 - replace electric furnace / CAC - early replacement MF ER1</v>
      </c>
      <c r="G2018" s="3774"/>
      <c r="H2018" s="3774"/>
      <c r="I2018" s="3775"/>
      <c r="J2018" s="3071" t="str">
        <f>$C$1566</f>
        <v>354300_2019_12_</v>
      </c>
      <c r="K2018" s="3056">
        <v>3.41</v>
      </c>
      <c r="L2018" s="945"/>
      <c r="M2018" s="783" t="s">
        <v>1505</v>
      </c>
      <c r="N2018" s="157"/>
      <c r="O2018" s="277"/>
      <c r="P2018" s="277"/>
      <c r="Q2018" s="277"/>
      <c r="R2018" s="277"/>
      <c r="S2018" s="157"/>
      <c r="T2018" s="157"/>
      <c r="U2018" s="157"/>
      <c r="V2018" s="3589"/>
      <c r="W2018" s="766">
        <v>3.41</v>
      </c>
      <c r="X2018" s="766">
        <v>3.41</v>
      </c>
      <c r="Y2018" s="766">
        <v>3.41</v>
      </c>
      <c r="Z2018" s="2426">
        <v>3.41</v>
      </c>
      <c r="AA2018" s="2426">
        <v>3.41</v>
      </c>
      <c r="AB2018" s="2426">
        <v>3.41</v>
      </c>
      <c r="AC2018" s="766"/>
      <c r="AD2018" s="766"/>
      <c r="AE2018" s="766"/>
      <c r="AF2018" s="766"/>
      <c r="AG2018" s="766"/>
      <c r="BB2018" s="647"/>
      <c r="BC2018" s="648"/>
      <c r="BD2018" s="757"/>
      <c r="BE2018" s="659"/>
    </row>
    <row r="2019" spans="1:57" s="64" customFormat="1" ht="15" customHeight="1" outlineLevel="1" x14ac:dyDescent="0.25">
      <c r="A2019" s="1393"/>
      <c r="B2019" s="157"/>
      <c r="C2019" s="385"/>
      <c r="D2019" s="3589"/>
      <c r="E2019" s="3721"/>
      <c r="F2019" s="3773" t="str">
        <f>$E$1568</f>
        <v>ASHP - SEER 18 - replace electric furnace / CAC - early replacement MF ER2</v>
      </c>
      <c r="G2019" s="3774"/>
      <c r="H2019" s="3774"/>
      <c r="I2019" s="3775"/>
      <c r="J2019" s="3071" t="str">
        <f>$C$1568</f>
        <v>354300_2019_12_</v>
      </c>
      <c r="K2019" s="3056">
        <v>3.41</v>
      </c>
      <c r="L2019" s="945"/>
      <c r="M2019" s="783" t="s">
        <v>1505</v>
      </c>
      <c r="N2019" s="157"/>
      <c r="O2019" s="277"/>
      <c r="P2019" s="277"/>
      <c r="Q2019" s="277"/>
      <c r="R2019" s="277"/>
      <c r="S2019" s="157"/>
      <c r="T2019" s="157"/>
      <c r="U2019" s="157"/>
      <c r="V2019" s="3589"/>
      <c r="W2019" s="766">
        <v>3.41</v>
      </c>
      <c r="X2019" s="766">
        <v>3.41</v>
      </c>
      <c r="Y2019" s="766">
        <v>3.41</v>
      </c>
      <c r="Z2019" s="2426">
        <v>3.41</v>
      </c>
      <c r="AA2019" s="2426">
        <v>3.41</v>
      </c>
      <c r="AB2019" s="2426">
        <v>3.41</v>
      </c>
      <c r="AC2019" s="766"/>
      <c r="AD2019" s="766"/>
      <c r="AE2019" s="766"/>
      <c r="AF2019" s="766"/>
      <c r="AG2019" s="766"/>
      <c r="BB2019" s="647"/>
      <c r="BC2019" s="648"/>
      <c r="BD2019" s="757"/>
      <c r="BE2019" s="659"/>
    </row>
    <row r="2020" spans="1:57" s="64" customFormat="1" ht="15" customHeight="1" outlineLevel="1" x14ac:dyDescent="0.25">
      <c r="A2020" s="1393"/>
      <c r="B2020" s="157"/>
      <c r="C2020" s="385"/>
      <c r="D2020" s="3589"/>
      <c r="E2020" s="3721"/>
      <c r="F2020" s="3773" t="str">
        <f>$E$1570</f>
        <v>ASHP - SEER 18 - replace electric furnace / CAC - early replacement MF ER1_CompE</v>
      </c>
      <c r="G2020" s="3774"/>
      <c r="H2020" s="3774"/>
      <c r="I2020" s="3775"/>
      <c r="J2020" s="3071" t="str">
        <f>$C$1570</f>
        <v>354301_2019_12_</v>
      </c>
      <c r="K2020" s="3056">
        <v>3.41</v>
      </c>
      <c r="L2020" s="945"/>
      <c r="M2020" s="783" t="s">
        <v>1505</v>
      </c>
      <c r="N2020" s="157"/>
      <c r="O2020" s="277"/>
      <c r="P2020" s="277"/>
      <c r="Q2020" s="277"/>
      <c r="R2020" s="277"/>
      <c r="S2020" s="157"/>
      <c r="T2020" s="157"/>
      <c r="U2020" s="157"/>
      <c r="V2020" s="3589"/>
      <c r="W2020" s="766"/>
      <c r="X2020" s="766"/>
      <c r="Y2020" s="765">
        <v>3.41</v>
      </c>
      <c r="Z2020" s="2426">
        <v>3.41</v>
      </c>
      <c r="AA2020" s="2426">
        <v>3.41</v>
      </c>
      <c r="AB2020" s="2426">
        <v>3.41</v>
      </c>
      <c r="AC2020" s="766"/>
      <c r="AD2020" s="766"/>
      <c r="AE2020" s="766"/>
      <c r="AF2020" s="766"/>
      <c r="AG2020" s="766"/>
      <c r="BB2020" s="647"/>
      <c r="BC2020" s="648"/>
      <c r="BD2020" s="757"/>
      <c r="BE2020" s="659"/>
    </row>
    <row r="2021" spans="1:57" s="64" customFormat="1" ht="15" customHeight="1" outlineLevel="1" x14ac:dyDescent="0.25">
      <c r="A2021" s="1393"/>
      <c r="B2021" s="157"/>
      <c r="C2021" s="385"/>
      <c r="D2021" s="3589"/>
      <c r="E2021" s="3721"/>
      <c r="F2021" s="3773" t="str">
        <f>$E$1572</f>
        <v>ASHP - SEER 18 - replace electric furnace / CAC - early replacement MF ER2_CompE</v>
      </c>
      <c r="G2021" s="3774"/>
      <c r="H2021" s="3774"/>
      <c r="I2021" s="3775"/>
      <c r="J2021" s="3071" t="str">
        <f>$C$1572</f>
        <v>354301_2019_12_</v>
      </c>
      <c r="K2021" s="3056">
        <v>3.41</v>
      </c>
      <c r="L2021" s="945"/>
      <c r="M2021" s="783" t="s">
        <v>1505</v>
      </c>
      <c r="N2021" s="157"/>
      <c r="O2021" s="277"/>
      <c r="P2021" s="277"/>
      <c r="Q2021" s="277"/>
      <c r="R2021" s="277"/>
      <c r="S2021" s="157"/>
      <c r="T2021" s="157"/>
      <c r="U2021" s="157"/>
      <c r="V2021" s="3589"/>
      <c r="W2021" s="766"/>
      <c r="X2021" s="766"/>
      <c r="Y2021" s="765">
        <v>3.41</v>
      </c>
      <c r="Z2021" s="2426">
        <v>3.41</v>
      </c>
      <c r="AA2021" s="2426">
        <v>3.41</v>
      </c>
      <c r="AB2021" s="2426">
        <v>3.41</v>
      </c>
      <c r="AC2021" s="766"/>
      <c r="AD2021" s="766"/>
      <c r="AE2021" s="766"/>
      <c r="AF2021" s="766"/>
      <c r="AG2021" s="766"/>
      <c r="BB2021" s="647"/>
      <c r="BC2021" s="648"/>
      <c r="BD2021" s="757"/>
      <c r="BE2021" s="659"/>
    </row>
    <row r="2022" spans="1:57" s="64" customFormat="1" ht="15" customHeight="1" outlineLevel="1" x14ac:dyDescent="0.25">
      <c r="A2022" s="1393"/>
      <c r="B2022" s="157"/>
      <c r="C2022" s="385"/>
      <c r="D2022" s="3589"/>
      <c r="E2022" s="3721"/>
      <c r="F2022" s="3773" t="str">
        <f>$E$1574</f>
        <v>ASHP SEER 18 replace ASHP - early replacement MF ER1</v>
      </c>
      <c r="G2022" s="3774"/>
      <c r="H2022" s="3774"/>
      <c r="I2022" s="3775"/>
      <c r="J2022" s="3071" t="str">
        <f>$C$1574</f>
        <v>354350_2019_12_</v>
      </c>
      <c r="K2022" s="3056">
        <v>6.58</v>
      </c>
      <c r="L2022" s="945"/>
      <c r="M2022" s="783" t="s">
        <v>1505</v>
      </c>
      <c r="N2022" s="157"/>
      <c r="O2022" s="277"/>
      <c r="P2022" s="277"/>
      <c r="Q2022" s="277"/>
      <c r="R2022" s="277"/>
      <c r="S2022" s="157"/>
      <c r="T2022" s="157"/>
      <c r="U2022" s="157"/>
      <c r="V2022" s="3589"/>
      <c r="W2022" s="766">
        <v>5.44</v>
      </c>
      <c r="X2022" s="765">
        <v>6.58</v>
      </c>
      <c r="Y2022" s="766">
        <v>6.58</v>
      </c>
      <c r="Z2022" s="2426">
        <v>6.58</v>
      </c>
      <c r="AA2022" s="2426">
        <v>6.58</v>
      </c>
      <c r="AB2022" s="2426">
        <v>6.58</v>
      </c>
      <c r="AC2022" s="766"/>
      <c r="AD2022" s="766"/>
      <c r="AE2022" s="766"/>
      <c r="AF2022" s="766"/>
      <c r="AG2022" s="766"/>
      <c r="BB2022" s="647"/>
      <c r="BC2022" s="648"/>
      <c r="BD2022" s="757"/>
      <c r="BE2022" s="659"/>
    </row>
    <row r="2023" spans="1:57" s="64" customFormat="1" ht="15" customHeight="1" outlineLevel="1" x14ac:dyDescent="0.25">
      <c r="A2023" s="1393"/>
      <c r="B2023" s="157"/>
      <c r="C2023" s="385"/>
      <c r="D2023" s="3589"/>
      <c r="E2023" s="3721"/>
      <c r="F2023" s="3773" t="str">
        <f>$E$1576</f>
        <v>ASHP SEER 18 replace ASHP - early replacement MF ER2</v>
      </c>
      <c r="G2023" s="3774"/>
      <c r="H2023" s="3774"/>
      <c r="I2023" s="3775"/>
      <c r="J2023" s="3071" t="str">
        <f>$C$1576</f>
        <v>354350_2019_12_</v>
      </c>
      <c r="K2023" s="3056">
        <v>8.1999999999999993</v>
      </c>
      <c r="L2023" s="945"/>
      <c r="M2023" s="783" t="s">
        <v>1505</v>
      </c>
      <c r="N2023" s="157"/>
      <c r="O2023" s="277"/>
      <c r="P2023" s="277"/>
      <c r="Q2023" s="277"/>
      <c r="R2023" s="277"/>
      <c r="S2023" s="157"/>
      <c r="T2023" s="157"/>
      <c r="U2023" s="157"/>
      <c r="V2023" s="3589"/>
      <c r="W2023" s="766">
        <v>8.1999999999999993</v>
      </c>
      <c r="X2023" s="766">
        <v>8.1999999999999993</v>
      </c>
      <c r="Y2023" s="766">
        <v>8.1999999999999993</v>
      </c>
      <c r="Z2023" s="2426">
        <v>8.1999999999999993</v>
      </c>
      <c r="AA2023" s="2426">
        <v>8.1999999999999993</v>
      </c>
      <c r="AB2023" s="2426">
        <v>8.1999999999999993</v>
      </c>
      <c r="AC2023" s="766"/>
      <c r="AD2023" s="766"/>
      <c r="AE2023" s="766"/>
      <c r="AF2023" s="766"/>
      <c r="AG2023" s="766"/>
      <c r="BB2023" s="647"/>
      <c r="BC2023" s="648"/>
      <c r="BD2023" s="757"/>
      <c r="BE2023" s="659"/>
    </row>
    <row r="2024" spans="1:57" s="64" customFormat="1" ht="15" customHeight="1" outlineLevel="1" x14ac:dyDescent="0.25">
      <c r="A2024" s="1393"/>
      <c r="B2024" s="157"/>
      <c r="C2024" s="385"/>
      <c r="D2024" s="3589"/>
      <c r="E2024" s="3721"/>
      <c r="F2024" s="3773" t="str">
        <f>$E$1578</f>
        <v>ASHP SEER 18 replace ASHP - early replacement MF ER1_CompE</v>
      </c>
      <c r="G2024" s="3774"/>
      <c r="H2024" s="3774"/>
      <c r="I2024" s="3775"/>
      <c r="J2024" s="3071" t="str">
        <f>$C$1578</f>
        <v>354351_2019_12_</v>
      </c>
      <c r="K2024" s="3056">
        <v>6.58</v>
      </c>
      <c r="L2024" s="945"/>
      <c r="M2024" s="783" t="s">
        <v>1505</v>
      </c>
      <c r="N2024" s="157"/>
      <c r="O2024" s="277"/>
      <c r="P2024" s="277"/>
      <c r="Q2024" s="277"/>
      <c r="R2024" s="277"/>
      <c r="S2024" s="157"/>
      <c r="T2024" s="157"/>
      <c r="U2024" s="157"/>
      <c r="V2024" s="3589"/>
      <c r="W2024" s="766"/>
      <c r="X2024" s="766"/>
      <c r="Y2024" s="765">
        <v>6.58</v>
      </c>
      <c r="Z2024" s="2426">
        <v>6.58</v>
      </c>
      <c r="AA2024" s="2426">
        <v>6.58</v>
      </c>
      <c r="AB2024" s="2426">
        <v>6.58</v>
      </c>
      <c r="AC2024" s="766"/>
      <c r="AD2024" s="766"/>
      <c r="AE2024" s="766"/>
      <c r="AF2024" s="766"/>
      <c r="AG2024" s="766"/>
      <c r="BB2024" s="647"/>
      <c r="BC2024" s="648"/>
      <c r="BD2024" s="757"/>
      <c r="BE2024" s="659"/>
    </row>
    <row r="2025" spans="1:57" s="64" customFormat="1" ht="15" customHeight="1" outlineLevel="1" x14ac:dyDescent="0.25">
      <c r="A2025" s="1393"/>
      <c r="B2025" s="157"/>
      <c r="C2025" s="385"/>
      <c r="D2025" s="3589"/>
      <c r="E2025" s="3721"/>
      <c r="F2025" s="3773" t="str">
        <f>$E$1580</f>
        <v>ASHP SEER 18 replace ASHP - early replacement MF ER2_CompE</v>
      </c>
      <c r="G2025" s="3774"/>
      <c r="H2025" s="3774"/>
      <c r="I2025" s="3775"/>
      <c r="J2025" s="3071" t="str">
        <f>$C$1580</f>
        <v>354351_2019_12_</v>
      </c>
      <c r="K2025" s="3056">
        <v>8.1999999999999993</v>
      </c>
      <c r="L2025" s="945"/>
      <c r="M2025" s="783" t="s">
        <v>1505</v>
      </c>
      <c r="N2025" s="157"/>
      <c r="O2025" s="277"/>
      <c r="P2025" s="277"/>
      <c r="Q2025" s="277"/>
      <c r="R2025" s="277"/>
      <c r="S2025" s="157"/>
      <c r="T2025" s="157"/>
      <c r="U2025" s="157"/>
      <c r="V2025" s="3589"/>
      <c r="W2025" s="766"/>
      <c r="X2025" s="766"/>
      <c r="Y2025" s="765">
        <v>8.1999999999999993</v>
      </c>
      <c r="Z2025" s="2426">
        <v>8.1999999999999993</v>
      </c>
      <c r="AA2025" s="2426">
        <v>8.1999999999999993</v>
      </c>
      <c r="AB2025" s="2426">
        <v>8.1999999999999993</v>
      </c>
      <c r="AC2025" s="766"/>
      <c r="AD2025" s="766"/>
      <c r="AE2025" s="766"/>
      <c r="AF2025" s="766"/>
      <c r="AG2025" s="766"/>
      <c r="BB2025" s="647"/>
      <c r="BC2025" s="648"/>
      <c r="BD2025" s="757"/>
      <c r="BE2025" s="659"/>
    </row>
    <row r="2026" spans="1:57" s="64" customFormat="1" ht="15" customHeight="1" outlineLevel="1" x14ac:dyDescent="0.25">
      <c r="A2026" s="1393"/>
      <c r="B2026" s="157"/>
      <c r="C2026" s="385"/>
      <c r="D2026" s="3589"/>
      <c r="E2026" s="3721"/>
      <c r="F2026" s="3773" t="str">
        <f>$E$1582</f>
        <v>ASHP - SEER 19 - replace electric furnace / CAC - early replacement SF ER1</v>
      </c>
      <c r="G2026" s="3774"/>
      <c r="H2026" s="3774"/>
      <c r="I2026" s="3775"/>
      <c r="J2026" s="3071" t="str">
        <f>$C$1582</f>
        <v>354400_2019_12_</v>
      </c>
      <c r="K2026" s="3056">
        <v>3.41</v>
      </c>
      <c r="L2026" s="945"/>
      <c r="M2026" s="783" t="s">
        <v>1089</v>
      </c>
      <c r="N2026" s="157"/>
      <c r="O2026" s="277"/>
      <c r="P2026" s="277"/>
      <c r="Q2026" s="277"/>
      <c r="R2026" s="277"/>
      <c r="S2026" s="157"/>
      <c r="T2026" s="157"/>
      <c r="U2026" s="157"/>
      <c r="V2026" s="3589"/>
      <c r="W2026" s="766">
        <v>3.41</v>
      </c>
      <c r="X2026" s="766">
        <v>3.41</v>
      </c>
      <c r="Y2026" s="766">
        <v>3.41</v>
      </c>
      <c r="Z2026" s="2426">
        <v>3.41</v>
      </c>
      <c r="AA2026" s="2426">
        <v>3.41</v>
      </c>
      <c r="AB2026" s="2426">
        <v>3.41</v>
      </c>
      <c r="AC2026" s="766"/>
      <c r="AD2026" s="766"/>
      <c r="AE2026" s="766"/>
      <c r="AF2026" s="766"/>
      <c r="AG2026" s="766"/>
      <c r="BB2026" s="647"/>
      <c r="BC2026" s="648"/>
      <c r="BD2026" s="757"/>
      <c r="BE2026" s="659"/>
    </row>
    <row r="2027" spans="1:57" s="64" customFormat="1" ht="15" customHeight="1" outlineLevel="1" x14ac:dyDescent="0.25">
      <c r="A2027" s="1393"/>
      <c r="B2027" s="157"/>
      <c r="C2027" s="385"/>
      <c r="D2027" s="3589"/>
      <c r="E2027" s="3721"/>
      <c r="F2027" s="3773" t="str">
        <f>$E$1584</f>
        <v>ASHP - SEER 19 - replace electric furnace / CAC - early replacement SF ER2</v>
      </c>
      <c r="G2027" s="3774"/>
      <c r="H2027" s="3774"/>
      <c r="I2027" s="3775"/>
      <c r="J2027" s="3071" t="str">
        <f>$C$1584</f>
        <v>354400_2019_12_</v>
      </c>
      <c r="K2027" s="3056">
        <v>3.41</v>
      </c>
      <c r="L2027" s="945"/>
      <c r="M2027" s="783" t="s">
        <v>1089</v>
      </c>
      <c r="N2027" s="157"/>
      <c r="O2027" s="277"/>
      <c r="P2027" s="277"/>
      <c r="Q2027" s="277"/>
      <c r="R2027" s="277"/>
      <c r="S2027" s="157"/>
      <c r="T2027" s="157"/>
      <c r="U2027" s="157"/>
      <c r="V2027" s="3589"/>
      <c r="W2027" s="766">
        <v>3.41</v>
      </c>
      <c r="X2027" s="766">
        <v>3.41</v>
      </c>
      <c r="Y2027" s="766">
        <v>3.41</v>
      </c>
      <c r="Z2027" s="2426">
        <v>3.41</v>
      </c>
      <c r="AA2027" s="2426">
        <v>3.41</v>
      </c>
      <c r="AB2027" s="2426">
        <v>3.41</v>
      </c>
      <c r="AC2027" s="766"/>
      <c r="AD2027" s="766"/>
      <c r="AE2027" s="766"/>
      <c r="AF2027" s="766"/>
      <c r="AG2027" s="766"/>
      <c r="BB2027" s="647"/>
      <c r="BC2027" s="648"/>
      <c r="BD2027" s="757"/>
      <c r="BE2027" s="659"/>
    </row>
    <row r="2028" spans="1:57" s="64" customFormat="1" ht="15" customHeight="1" outlineLevel="1" x14ac:dyDescent="0.25">
      <c r="A2028" s="1393"/>
      <c r="B2028" s="157"/>
      <c r="C2028" s="385"/>
      <c r="D2028" s="3589"/>
      <c r="E2028" s="3721"/>
      <c r="F2028" s="3773" t="str">
        <f>$E$1586</f>
        <v>ASHP - SEER 19 - replace electric furnace / CAC - early replacement MF ER1</v>
      </c>
      <c r="G2028" s="3774"/>
      <c r="H2028" s="3774"/>
      <c r="I2028" s="3775"/>
      <c r="J2028" s="3071" t="str">
        <f>$C$1586</f>
        <v>354450_2019_12_</v>
      </c>
      <c r="K2028" s="3056">
        <v>3.41</v>
      </c>
      <c r="L2028" s="945"/>
      <c r="M2028" s="783" t="s">
        <v>1505</v>
      </c>
      <c r="N2028" s="157"/>
      <c r="O2028" s="277"/>
      <c r="P2028" s="277"/>
      <c r="Q2028" s="277"/>
      <c r="R2028" s="277"/>
      <c r="S2028" s="157"/>
      <c r="T2028" s="157"/>
      <c r="U2028" s="157"/>
      <c r="V2028" s="3589"/>
      <c r="W2028" s="766">
        <v>3.41</v>
      </c>
      <c r="X2028" s="766">
        <v>3.41</v>
      </c>
      <c r="Y2028" s="766">
        <v>3.41</v>
      </c>
      <c r="Z2028" s="2426">
        <v>3.41</v>
      </c>
      <c r="AA2028" s="2426">
        <v>3.41</v>
      </c>
      <c r="AB2028" s="2426">
        <v>3.41</v>
      </c>
      <c r="AC2028" s="766"/>
      <c r="AD2028" s="766"/>
      <c r="AE2028" s="766"/>
      <c r="AF2028" s="766"/>
      <c r="AG2028" s="766"/>
      <c r="BB2028" s="647"/>
      <c r="BC2028" s="648"/>
      <c r="BD2028" s="757"/>
      <c r="BE2028" s="659"/>
    </row>
    <row r="2029" spans="1:57" s="64" customFormat="1" ht="15" customHeight="1" outlineLevel="1" x14ac:dyDescent="0.25">
      <c r="A2029" s="1393"/>
      <c r="B2029" s="157"/>
      <c r="C2029" s="385"/>
      <c r="D2029" s="3589"/>
      <c r="E2029" s="3721"/>
      <c r="F2029" s="3773" t="str">
        <f>$E$1588</f>
        <v>ASHP - SEER 19 - replace electric furnace / CAC - early replacement MF ER2</v>
      </c>
      <c r="G2029" s="3774"/>
      <c r="H2029" s="3774"/>
      <c r="I2029" s="3775"/>
      <c r="J2029" s="3071" t="str">
        <f>$C$1588</f>
        <v>354450_2019_12_</v>
      </c>
      <c r="K2029" s="3056">
        <v>3.41</v>
      </c>
      <c r="L2029" s="945"/>
      <c r="M2029" s="783" t="s">
        <v>1505</v>
      </c>
      <c r="N2029" s="157"/>
      <c r="O2029" s="277"/>
      <c r="P2029" s="277"/>
      <c r="Q2029" s="277"/>
      <c r="R2029" s="277"/>
      <c r="S2029" s="157"/>
      <c r="T2029" s="157"/>
      <c r="U2029" s="157"/>
      <c r="V2029" s="3589"/>
      <c r="W2029" s="766">
        <v>3.41</v>
      </c>
      <c r="X2029" s="766">
        <v>3.41</v>
      </c>
      <c r="Y2029" s="766">
        <v>3.41</v>
      </c>
      <c r="Z2029" s="2426">
        <v>3.41</v>
      </c>
      <c r="AA2029" s="2426">
        <v>3.41</v>
      </c>
      <c r="AB2029" s="2426">
        <v>3.41</v>
      </c>
      <c r="AC2029" s="766"/>
      <c r="AD2029" s="766"/>
      <c r="AE2029" s="766"/>
      <c r="AF2029" s="766"/>
      <c r="AG2029" s="766"/>
      <c r="BB2029" s="647"/>
      <c r="BC2029" s="648"/>
      <c r="BD2029" s="757"/>
      <c r="BE2029" s="659"/>
    </row>
    <row r="2030" spans="1:57" s="64" customFormat="1" ht="15" customHeight="1" outlineLevel="1" x14ac:dyDescent="0.25">
      <c r="A2030" s="1393"/>
      <c r="B2030" s="157"/>
      <c r="C2030" s="385"/>
      <c r="D2030" s="3589"/>
      <c r="E2030" s="3721"/>
      <c r="F2030" s="3773" t="str">
        <f>$E$1590</f>
        <v>ASHP - SEER 19 - replace electric furnace / CAC - early replacement MF ER1_CompE</v>
      </c>
      <c r="G2030" s="3774"/>
      <c r="H2030" s="3774"/>
      <c r="I2030" s="3775"/>
      <c r="J2030" s="3071" t="str">
        <f>$C$1590</f>
        <v>354451_2019_12_</v>
      </c>
      <c r="K2030" s="3056">
        <v>3.41</v>
      </c>
      <c r="L2030" s="945"/>
      <c r="M2030" s="783" t="s">
        <v>1505</v>
      </c>
      <c r="N2030" s="157"/>
      <c r="O2030" s="277"/>
      <c r="P2030" s="277"/>
      <c r="Q2030" s="277"/>
      <c r="R2030" s="277"/>
      <c r="S2030" s="157"/>
      <c r="T2030" s="157"/>
      <c r="U2030" s="157"/>
      <c r="V2030" s="3589"/>
      <c r="W2030" s="766"/>
      <c r="X2030" s="766"/>
      <c r="Y2030" s="765">
        <v>3.41</v>
      </c>
      <c r="Z2030" s="2426">
        <v>3.41</v>
      </c>
      <c r="AA2030" s="2426">
        <v>3.41</v>
      </c>
      <c r="AB2030" s="2426">
        <v>3.41</v>
      </c>
      <c r="AC2030" s="766"/>
      <c r="AD2030" s="766"/>
      <c r="AE2030" s="766"/>
      <c r="AF2030" s="766"/>
      <c r="AG2030" s="766"/>
      <c r="BB2030" s="647"/>
      <c r="BC2030" s="648"/>
      <c r="BD2030" s="757"/>
      <c r="BE2030" s="659"/>
    </row>
    <row r="2031" spans="1:57" s="64" customFormat="1" ht="15" customHeight="1" outlineLevel="1" x14ac:dyDescent="0.25">
      <c r="A2031" s="1393"/>
      <c r="B2031" s="157"/>
      <c r="C2031" s="385"/>
      <c r="D2031" s="3589"/>
      <c r="E2031" s="3721"/>
      <c r="F2031" s="3773" t="str">
        <f>$E$1592</f>
        <v>ASHP - SEER 19 - replace electric furnace / CAC - early replacement MF ER2_CompE</v>
      </c>
      <c r="G2031" s="3774"/>
      <c r="H2031" s="3774"/>
      <c r="I2031" s="3775"/>
      <c r="J2031" s="3071" t="str">
        <f>$C$1592</f>
        <v>354451_2019_12_</v>
      </c>
      <c r="K2031" s="3056">
        <v>3.41</v>
      </c>
      <c r="L2031" s="945"/>
      <c r="M2031" s="783" t="s">
        <v>1505</v>
      </c>
      <c r="N2031" s="157"/>
      <c r="O2031" s="277"/>
      <c r="P2031" s="277"/>
      <c r="Q2031" s="277"/>
      <c r="R2031" s="277"/>
      <c r="S2031" s="157"/>
      <c r="T2031" s="157"/>
      <c r="U2031" s="157"/>
      <c r="V2031" s="3589"/>
      <c r="W2031" s="766"/>
      <c r="X2031" s="766"/>
      <c r="Y2031" s="765">
        <v>3.41</v>
      </c>
      <c r="Z2031" s="2426">
        <v>3.41</v>
      </c>
      <c r="AA2031" s="2426">
        <v>3.41</v>
      </c>
      <c r="AB2031" s="2426">
        <v>3.41</v>
      </c>
      <c r="AC2031" s="766"/>
      <c r="AD2031" s="766"/>
      <c r="AE2031" s="766"/>
      <c r="AF2031" s="766"/>
      <c r="AG2031" s="766"/>
      <c r="BB2031" s="647"/>
      <c r="BC2031" s="648"/>
      <c r="BD2031" s="757"/>
      <c r="BE2031" s="659"/>
    </row>
    <row r="2032" spans="1:57" s="64" customFormat="1" ht="15" customHeight="1" outlineLevel="1" x14ac:dyDescent="0.25">
      <c r="A2032" s="1393"/>
      <c r="B2032" s="157"/>
      <c r="C2032" s="385"/>
      <c r="D2032" s="3589"/>
      <c r="E2032" s="3721"/>
      <c r="F2032" s="3773" t="str">
        <f>$E$1594</f>
        <v>ASHP SEER 19 replace ASHP - early replacement MF ER1</v>
      </c>
      <c r="G2032" s="3774"/>
      <c r="H2032" s="3774"/>
      <c r="I2032" s="3775"/>
      <c r="J2032" s="3071" t="str">
        <f>$C$1594</f>
        <v>354500_2019_12_</v>
      </c>
      <c r="K2032" s="3056">
        <v>6.58</v>
      </c>
      <c r="L2032" s="945"/>
      <c r="M2032" s="783" t="s">
        <v>1505</v>
      </c>
      <c r="N2032" s="157"/>
      <c r="O2032" s="277"/>
      <c r="P2032" s="277"/>
      <c r="Q2032" s="277"/>
      <c r="R2032" s="277"/>
      <c r="S2032" s="157"/>
      <c r="T2032" s="157"/>
      <c r="U2032" s="157"/>
      <c r="V2032" s="3589"/>
      <c r="W2032" s="766">
        <v>5.44</v>
      </c>
      <c r="X2032" s="765">
        <v>6.58</v>
      </c>
      <c r="Y2032" s="766">
        <v>6.58</v>
      </c>
      <c r="Z2032" s="2426">
        <v>6.58</v>
      </c>
      <c r="AA2032" s="2426">
        <v>6.58</v>
      </c>
      <c r="AB2032" s="2426">
        <v>6.58</v>
      </c>
      <c r="AC2032" s="766"/>
      <c r="AD2032" s="766"/>
      <c r="AE2032" s="766"/>
      <c r="AF2032" s="766"/>
      <c r="AG2032" s="766"/>
      <c r="BB2032" s="647"/>
      <c r="BC2032" s="648"/>
      <c r="BD2032" s="757"/>
      <c r="BE2032" s="659"/>
    </row>
    <row r="2033" spans="1:57" s="64" customFormat="1" ht="15" customHeight="1" outlineLevel="1" x14ac:dyDescent="0.25">
      <c r="A2033" s="1393"/>
      <c r="B2033" s="157"/>
      <c r="C2033" s="385"/>
      <c r="D2033" s="3589"/>
      <c r="E2033" s="3721"/>
      <c r="F2033" s="3773" t="str">
        <f>$E$1596</f>
        <v>ASHP SEER 19 replace ASHP - early replacement MF ER2</v>
      </c>
      <c r="G2033" s="3774"/>
      <c r="H2033" s="3774"/>
      <c r="I2033" s="3775"/>
      <c r="J2033" s="3071" t="str">
        <f>$C$1596</f>
        <v>354500_2019_12_</v>
      </c>
      <c r="K2033" s="3056">
        <v>8.1999999999999993</v>
      </c>
      <c r="L2033" s="945"/>
      <c r="M2033" s="783" t="s">
        <v>1505</v>
      </c>
      <c r="N2033" s="157"/>
      <c r="O2033" s="277"/>
      <c r="P2033" s="277"/>
      <c r="Q2033" s="277"/>
      <c r="R2033" s="277"/>
      <c r="S2033" s="157"/>
      <c r="T2033" s="157"/>
      <c r="U2033" s="157"/>
      <c r="V2033" s="3589"/>
      <c r="W2033" s="766">
        <v>8.1999999999999993</v>
      </c>
      <c r="X2033" s="766">
        <v>8.1999999999999993</v>
      </c>
      <c r="Y2033" s="766">
        <v>8.1999999999999993</v>
      </c>
      <c r="Z2033" s="2426">
        <v>8.1999999999999993</v>
      </c>
      <c r="AA2033" s="2426">
        <v>8.1999999999999993</v>
      </c>
      <c r="AB2033" s="2426">
        <v>8.1999999999999993</v>
      </c>
      <c r="AC2033" s="766"/>
      <c r="AD2033" s="766"/>
      <c r="AE2033" s="766"/>
      <c r="AF2033" s="766"/>
      <c r="AG2033" s="766"/>
      <c r="BB2033" s="647"/>
      <c r="BC2033" s="648"/>
      <c r="BD2033" s="757"/>
      <c r="BE2033" s="659"/>
    </row>
    <row r="2034" spans="1:57" s="64" customFormat="1" ht="15" customHeight="1" outlineLevel="1" x14ac:dyDescent="0.25">
      <c r="A2034" s="1393"/>
      <c r="B2034" s="157"/>
      <c r="C2034" s="385"/>
      <c r="D2034" s="3589"/>
      <c r="E2034" s="3721"/>
      <c r="F2034" s="3773" t="str">
        <f>$E$1598</f>
        <v>ASHP SEER 19 replace ASHP - early replacement MF ER1_CompE</v>
      </c>
      <c r="G2034" s="3774"/>
      <c r="H2034" s="3774"/>
      <c r="I2034" s="3775"/>
      <c r="J2034" s="3071" t="str">
        <f>$C$1598</f>
        <v>354501_2019_12_</v>
      </c>
      <c r="K2034" s="3056">
        <v>6.58</v>
      </c>
      <c r="L2034" s="945"/>
      <c r="M2034" s="783" t="s">
        <v>1505</v>
      </c>
      <c r="N2034" s="157"/>
      <c r="O2034" s="277"/>
      <c r="P2034" s="277"/>
      <c r="Q2034" s="277"/>
      <c r="R2034" s="277"/>
      <c r="S2034" s="157"/>
      <c r="T2034" s="157"/>
      <c r="U2034" s="157"/>
      <c r="V2034" s="3589"/>
      <c r="W2034" s="766"/>
      <c r="X2034" s="766"/>
      <c r="Y2034" s="765">
        <v>6.58</v>
      </c>
      <c r="Z2034" s="2426">
        <v>6.58</v>
      </c>
      <c r="AA2034" s="2426">
        <v>6.58</v>
      </c>
      <c r="AB2034" s="2426">
        <v>6.58</v>
      </c>
      <c r="AC2034" s="766"/>
      <c r="AD2034" s="766"/>
      <c r="AE2034" s="766"/>
      <c r="AF2034" s="766"/>
      <c r="AG2034" s="766"/>
      <c r="BB2034" s="647"/>
      <c r="BC2034" s="648"/>
      <c r="BD2034" s="757"/>
      <c r="BE2034" s="659"/>
    </row>
    <row r="2035" spans="1:57" s="64" customFormat="1" ht="15" customHeight="1" outlineLevel="1" x14ac:dyDescent="0.25">
      <c r="A2035" s="1393"/>
      <c r="B2035" s="157"/>
      <c r="C2035" s="385"/>
      <c r="D2035" s="3589"/>
      <c r="E2035" s="3721"/>
      <c r="F2035" s="3773" t="str">
        <f>$E$1600</f>
        <v>ASHP SEER 19 replace ASHP - early replacement MF ER2_CompE</v>
      </c>
      <c r="G2035" s="3774"/>
      <c r="H2035" s="3774"/>
      <c r="I2035" s="3775"/>
      <c r="J2035" s="3071" t="str">
        <f>$C$1600</f>
        <v>354501_2019_12_</v>
      </c>
      <c r="K2035" s="3056">
        <v>8.1999999999999993</v>
      </c>
      <c r="L2035" s="945"/>
      <c r="M2035" s="783" t="s">
        <v>1505</v>
      </c>
      <c r="N2035" s="157"/>
      <c r="O2035" s="277"/>
      <c r="P2035" s="277"/>
      <c r="Q2035" s="277"/>
      <c r="R2035" s="277"/>
      <c r="S2035" s="157"/>
      <c r="T2035" s="157"/>
      <c r="U2035" s="157"/>
      <c r="V2035" s="3589"/>
      <c r="W2035" s="766"/>
      <c r="X2035" s="766"/>
      <c r="Y2035" s="765">
        <v>8.1999999999999993</v>
      </c>
      <c r="Z2035" s="2426">
        <v>8.1999999999999993</v>
      </c>
      <c r="AA2035" s="2426">
        <v>8.1999999999999993</v>
      </c>
      <c r="AB2035" s="2426">
        <v>8.1999999999999993</v>
      </c>
      <c r="AC2035" s="766"/>
      <c r="AD2035" s="766"/>
      <c r="AE2035" s="766"/>
      <c r="AF2035" s="766"/>
      <c r="AG2035" s="766"/>
      <c r="BB2035" s="647"/>
      <c r="BC2035" s="648"/>
      <c r="BD2035" s="757"/>
      <c r="BE2035" s="659"/>
    </row>
    <row r="2036" spans="1:57" s="64" customFormat="1" ht="15" customHeight="1" outlineLevel="1" x14ac:dyDescent="0.25">
      <c r="A2036" s="1393"/>
      <c r="B2036" s="157"/>
      <c r="C2036" s="385"/>
      <c r="D2036" s="3589"/>
      <c r="E2036" s="3721"/>
      <c r="F2036" s="3773" t="str">
        <f>$E$1602</f>
        <v>ASHP SEER 20 replace ASHP - early replacement SF ER1</v>
      </c>
      <c r="G2036" s="3774"/>
      <c r="H2036" s="3774"/>
      <c r="I2036" s="3775"/>
      <c r="J2036" s="3071" t="str">
        <f>$C$1602</f>
        <v>354550_2019_12_</v>
      </c>
      <c r="K2036" s="3056">
        <v>6.58</v>
      </c>
      <c r="L2036" s="945"/>
      <c r="M2036" s="783" t="s">
        <v>1089</v>
      </c>
      <c r="N2036" s="157"/>
      <c r="O2036" s="277"/>
      <c r="P2036" s="277"/>
      <c r="Q2036" s="277"/>
      <c r="R2036" s="277"/>
      <c r="S2036" s="157"/>
      <c r="T2036" s="157"/>
      <c r="U2036" s="157"/>
      <c r="V2036" s="3589"/>
      <c r="W2036" s="766">
        <v>5.44</v>
      </c>
      <c r="X2036" s="765">
        <v>6.58</v>
      </c>
      <c r="Y2036" s="766">
        <v>6.58</v>
      </c>
      <c r="Z2036" s="2426">
        <v>6.58</v>
      </c>
      <c r="AA2036" s="2426">
        <v>6.58</v>
      </c>
      <c r="AB2036" s="2426">
        <v>6.58</v>
      </c>
      <c r="AC2036" s="766"/>
      <c r="AD2036" s="766"/>
      <c r="AE2036" s="766"/>
      <c r="AF2036" s="766"/>
      <c r="AG2036" s="766"/>
      <c r="BB2036" s="647"/>
      <c r="BC2036" s="648"/>
      <c r="BD2036" s="757"/>
      <c r="BE2036" s="659"/>
    </row>
    <row r="2037" spans="1:57" s="64" customFormat="1" ht="15" customHeight="1" outlineLevel="1" x14ac:dyDescent="0.25">
      <c r="A2037" s="1393"/>
      <c r="B2037" s="157"/>
      <c r="C2037" s="385"/>
      <c r="D2037" s="3589"/>
      <c r="E2037" s="3721"/>
      <c r="F2037" s="3773" t="str">
        <f>$E$1604</f>
        <v>ASHP SEER 20 replace ASHP - early replacement SF ER2</v>
      </c>
      <c r="G2037" s="3774"/>
      <c r="H2037" s="3774"/>
      <c r="I2037" s="3775"/>
      <c r="J2037" s="3071" t="str">
        <f>$C$1604</f>
        <v>354550_2019_12_</v>
      </c>
      <c r="K2037" s="3056">
        <v>8.1999999999999993</v>
      </c>
      <c r="L2037" s="945"/>
      <c r="M2037" s="783" t="s">
        <v>1089</v>
      </c>
      <c r="N2037" s="157"/>
      <c r="O2037" s="277"/>
      <c r="P2037" s="277"/>
      <c r="Q2037" s="277"/>
      <c r="R2037" s="277"/>
      <c r="S2037" s="157"/>
      <c r="T2037" s="157"/>
      <c r="U2037" s="157"/>
      <c r="V2037" s="3589"/>
      <c r="W2037" s="766">
        <v>8.1999999999999993</v>
      </c>
      <c r="X2037" s="766">
        <v>8.1999999999999993</v>
      </c>
      <c r="Y2037" s="766">
        <v>8.1999999999999993</v>
      </c>
      <c r="Z2037" s="2426">
        <v>8.1999999999999993</v>
      </c>
      <c r="AA2037" s="2426">
        <v>8.1999999999999993</v>
      </c>
      <c r="AB2037" s="2426">
        <v>8.1999999999999993</v>
      </c>
      <c r="AC2037" s="766"/>
      <c r="AD2037" s="766"/>
      <c r="AE2037" s="766"/>
      <c r="AF2037" s="766"/>
      <c r="AG2037" s="766"/>
      <c r="BB2037" s="647"/>
      <c r="BC2037" s="648"/>
      <c r="BD2037" s="757"/>
      <c r="BE2037" s="659"/>
    </row>
    <row r="2038" spans="1:57" s="64" customFormat="1" ht="15" customHeight="1" outlineLevel="1" x14ac:dyDescent="0.25">
      <c r="A2038" s="1393"/>
      <c r="B2038" s="157"/>
      <c r="C2038" s="385"/>
      <c r="D2038" s="3589"/>
      <c r="E2038" s="3721"/>
      <c r="F2038" s="3773" t="str">
        <f>$E$1606</f>
        <v>ASHP SEER 20 replace ASHP - replace on fail SF</v>
      </c>
      <c r="G2038" s="3774"/>
      <c r="H2038" s="3774"/>
      <c r="I2038" s="3775"/>
      <c r="J2038" s="3071" t="str">
        <f>$C$1606</f>
        <v>354600_2019_12_</v>
      </c>
      <c r="K2038" s="3056">
        <v>8.1999999999999993</v>
      </c>
      <c r="L2038" s="945"/>
      <c r="M2038" s="783" t="s">
        <v>1089</v>
      </c>
      <c r="N2038" s="157"/>
      <c r="O2038" s="277"/>
      <c r="P2038" s="277"/>
      <c r="Q2038" s="277"/>
      <c r="R2038" s="277"/>
      <c r="S2038" s="157"/>
      <c r="T2038" s="157"/>
      <c r="U2038" s="157"/>
      <c r="V2038" s="3589"/>
      <c r="W2038" s="766">
        <v>8.1999999999999993</v>
      </c>
      <c r="X2038" s="766">
        <v>8.1999999999999993</v>
      </c>
      <c r="Y2038" s="766">
        <v>8.1999999999999993</v>
      </c>
      <c r="Z2038" s="2426">
        <v>8.1999999999999993</v>
      </c>
      <c r="AA2038" s="2426">
        <v>8.1999999999999993</v>
      </c>
      <c r="AB2038" s="2426">
        <v>8.1999999999999993</v>
      </c>
      <c r="AC2038" s="766"/>
      <c r="AD2038" s="766"/>
      <c r="AE2038" s="766"/>
      <c r="AF2038" s="766"/>
      <c r="AG2038" s="766"/>
      <c r="BB2038" s="647"/>
      <c r="BC2038" s="648"/>
      <c r="BD2038" s="757"/>
      <c r="BE2038" s="659"/>
    </row>
    <row r="2039" spans="1:57" s="64" customFormat="1" ht="15" customHeight="1" outlineLevel="1" x14ac:dyDescent="0.25">
      <c r="A2039" s="1393"/>
      <c r="B2039" s="157"/>
      <c r="C2039" s="385"/>
      <c r="D2039" s="3589"/>
      <c r="E2039" s="3721"/>
      <c r="F2039" s="3773" t="str">
        <f>$E$1608</f>
        <v>ASHP - SEER 20 - replace electric furnace / CAC - early replacement MF ER1</v>
      </c>
      <c r="G2039" s="3774"/>
      <c r="H2039" s="3774"/>
      <c r="I2039" s="3775"/>
      <c r="J2039" s="3071" t="str">
        <f>$C$1608</f>
        <v>354650_2019_12_</v>
      </c>
      <c r="K2039" s="3056">
        <v>3.41</v>
      </c>
      <c r="L2039" s="945"/>
      <c r="M2039" s="783" t="s">
        <v>1505</v>
      </c>
      <c r="N2039" s="157"/>
      <c r="O2039" s="277"/>
      <c r="P2039" s="277"/>
      <c r="Q2039" s="277"/>
      <c r="R2039" s="277"/>
      <c r="S2039" s="157"/>
      <c r="T2039" s="157"/>
      <c r="U2039" s="157"/>
      <c r="V2039" s="3589"/>
      <c r="W2039" s="766">
        <v>3.41</v>
      </c>
      <c r="X2039" s="766">
        <v>3.41</v>
      </c>
      <c r="Y2039" s="766">
        <v>3.41</v>
      </c>
      <c r="Z2039" s="2426">
        <v>3.41</v>
      </c>
      <c r="AA2039" s="2426">
        <v>3.41</v>
      </c>
      <c r="AB2039" s="2426">
        <v>3.41</v>
      </c>
      <c r="AC2039" s="766"/>
      <c r="AD2039" s="766"/>
      <c r="AE2039" s="766"/>
      <c r="AF2039" s="766"/>
      <c r="AG2039" s="766"/>
      <c r="BB2039" s="647"/>
      <c r="BC2039" s="648"/>
      <c r="BD2039" s="757"/>
      <c r="BE2039" s="659"/>
    </row>
    <row r="2040" spans="1:57" s="64" customFormat="1" ht="15" customHeight="1" outlineLevel="1" x14ac:dyDescent="0.25">
      <c r="A2040" s="1393"/>
      <c r="B2040" s="157"/>
      <c r="C2040" s="385"/>
      <c r="D2040" s="3589"/>
      <c r="E2040" s="3721"/>
      <c r="F2040" s="3773" t="str">
        <f>$E$1610</f>
        <v>ASHP - SEER 20 - replace electric furnace / CAC - early replacement MF ER2</v>
      </c>
      <c r="G2040" s="3774"/>
      <c r="H2040" s="3774"/>
      <c r="I2040" s="3775"/>
      <c r="J2040" s="3071" t="str">
        <f>$C$1610</f>
        <v>354650_2019_12_</v>
      </c>
      <c r="K2040" s="3056">
        <v>3.41</v>
      </c>
      <c r="L2040" s="945"/>
      <c r="M2040" s="783" t="s">
        <v>1505</v>
      </c>
      <c r="N2040" s="157"/>
      <c r="O2040" s="277"/>
      <c r="P2040" s="277"/>
      <c r="Q2040" s="277"/>
      <c r="R2040" s="277"/>
      <c r="S2040" s="157"/>
      <c r="T2040" s="157"/>
      <c r="U2040" s="157"/>
      <c r="V2040" s="3589"/>
      <c r="W2040" s="766">
        <v>3.41</v>
      </c>
      <c r="X2040" s="766">
        <v>3.41</v>
      </c>
      <c r="Y2040" s="766">
        <v>3.41</v>
      </c>
      <c r="Z2040" s="2426">
        <v>3.41</v>
      </c>
      <c r="AA2040" s="2426">
        <v>3.41</v>
      </c>
      <c r="AB2040" s="2426">
        <v>3.41</v>
      </c>
      <c r="AC2040" s="766"/>
      <c r="AD2040" s="766"/>
      <c r="AE2040" s="766"/>
      <c r="AF2040" s="766"/>
      <c r="AG2040" s="766"/>
      <c r="BB2040" s="647"/>
      <c r="BC2040" s="648"/>
      <c r="BD2040" s="757"/>
      <c r="BE2040" s="659"/>
    </row>
    <row r="2041" spans="1:57" s="64" customFormat="1" ht="15" customHeight="1" outlineLevel="1" x14ac:dyDescent="0.25">
      <c r="A2041" s="1393"/>
      <c r="B2041" s="157"/>
      <c r="C2041" s="385"/>
      <c r="D2041" s="3589"/>
      <c r="E2041" s="3721"/>
      <c r="F2041" s="3773" t="str">
        <f>$E$1612</f>
        <v>ASHP - SEER 20 - replace electric furnace / CAC - early replacement MF ER1_CompE</v>
      </c>
      <c r="G2041" s="3774"/>
      <c r="H2041" s="3774"/>
      <c r="I2041" s="3775"/>
      <c r="J2041" s="3071" t="str">
        <f>$C$1612</f>
        <v>354651_2019_12_</v>
      </c>
      <c r="K2041" s="3056">
        <v>3.41</v>
      </c>
      <c r="L2041" s="945"/>
      <c r="M2041" s="783" t="s">
        <v>1505</v>
      </c>
      <c r="N2041" s="157"/>
      <c r="O2041" s="277"/>
      <c r="P2041" s="277"/>
      <c r="Q2041" s="277"/>
      <c r="R2041" s="277"/>
      <c r="S2041" s="157"/>
      <c r="T2041" s="157"/>
      <c r="U2041" s="157"/>
      <c r="V2041" s="3589"/>
      <c r="W2041" s="766"/>
      <c r="X2041" s="766"/>
      <c r="Y2041" s="765">
        <v>3.41</v>
      </c>
      <c r="Z2041" s="2426">
        <v>3.41</v>
      </c>
      <c r="AA2041" s="2426">
        <v>3.41</v>
      </c>
      <c r="AB2041" s="2426">
        <v>3.41</v>
      </c>
      <c r="AC2041" s="766"/>
      <c r="AD2041" s="766"/>
      <c r="AE2041" s="766"/>
      <c r="AF2041" s="766"/>
      <c r="AG2041" s="766"/>
      <c r="BB2041" s="647"/>
      <c r="BC2041" s="648"/>
      <c r="BD2041" s="757"/>
      <c r="BE2041" s="659"/>
    </row>
    <row r="2042" spans="1:57" s="64" customFormat="1" ht="15" customHeight="1" outlineLevel="1" x14ac:dyDescent="0.25">
      <c r="A2042" s="1393"/>
      <c r="B2042" s="157"/>
      <c r="C2042" s="385"/>
      <c r="D2042" s="3589"/>
      <c r="E2042" s="3721"/>
      <c r="F2042" s="3773" t="str">
        <f>$E$1614</f>
        <v>ASHP - SEER 20 - replace electric furnace / CAC - early replacement MF ER2_CompE</v>
      </c>
      <c r="G2042" s="3774"/>
      <c r="H2042" s="3774"/>
      <c r="I2042" s="3775"/>
      <c r="J2042" s="3071" t="str">
        <f>$C$1614</f>
        <v>354651_2019_12_</v>
      </c>
      <c r="K2042" s="3056">
        <v>3.41</v>
      </c>
      <c r="L2042" s="945"/>
      <c r="M2042" s="783" t="s">
        <v>1505</v>
      </c>
      <c r="N2042" s="157"/>
      <c r="O2042" s="277"/>
      <c r="P2042" s="277"/>
      <c r="Q2042" s="277"/>
      <c r="R2042" s="277"/>
      <c r="S2042" s="157"/>
      <c r="T2042" s="157"/>
      <c r="U2042" s="157"/>
      <c r="V2042" s="3589"/>
      <c r="W2042" s="766"/>
      <c r="X2042" s="766"/>
      <c r="Y2042" s="765">
        <v>3.41</v>
      </c>
      <c r="Z2042" s="2426">
        <v>3.41</v>
      </c>
      <c r="AA2042" s="2426">
        <v>3.41</v>
      </c>
      <c r="AB2042" s="2426">
        <v>3.41</v>
      </c>
      <c r="AC2042" s="766"/>
      <c r="AD2042" s="766"/>
      <c r="AE2042" s="766"/>
      <c r="AF2042" s="766"/>
      <c r="AG2042" s="766"/>
      <c r="BB2042" s="647"/>
      <c r="BC2042" s="648"/>
      <c r="BD2042" s="757"/>
      <c r="BE2042" s="659"/>
    </row>
    <row r="2043" spans="1:57" s="64" customFormat="1" ht="15" customHeight="1" outlineLevel="1" x14ac:dyDescent="0.25">
      <c r="A2043" s="1393"/>
      <c r="B2043" s="157"/>
      <c r="C2043" s="385"/>
      <c r="D2043" s="3589"/>
      <c r="E2043" s="3721"/>
      <c r="F2043" s="3773" t="str">
        <f>$E$1616</f>
        <v>ASHP SEER 20 replace ASHP - early replacement MF ER1</v>
      </c>
      <c r="G2043" s="3774"/>
      <c r="H2043" s="3774"/>
      <c r="I2043" s="3775"/>
      <c r="J2043" s="3071" t="str">
        <f>$C$1616</f>
        <v>354700_2019_12_</v>
      </c>
      <c r="K2043" s="3056">
        <v>6.58</v>
      </c>
      <c r="L2043" s="945"/>
      <c r="M2043" s="783" t="s">
        <v>1505</v>
      </c>
      <c r="N2043" s="157"/>
      <c r="O2043" s="277"/>
      <c r="P2043" s="277"/>
      <c r="Q2043" s="277"/>
      <c r="R2043" s="277"/>
      <c r="S2043" s="157"/>
      <c r="T2043" s="157"/>
      <c r="U2043" s="157"/>
      <c r="V2043" s="3589"/>
      <c r="W2043" s="766">
        <v>5.44</v>
      </c>
      <c r="X2043" s="765">
        <v>6.58</v>
      </c>
      <c r="Y2043" s="766">
        <v>6.58</v>
      </c>
      <c r="Z2043" s="2426">
        <v>6.58</v>
      </c>
      <c r="AA2043" s="2426">
        <v>6.58</v>
      </c>
      <c r="AB2043" s="2426">
        <v>6.58</v>
      </c>
      <c r="AC2043" s="766"/>
      <c r="AD2043" s="766"/>
      <c r="AE2043" s="766"/>
      <c r="AF2043" s="766"/>
      <c r="AG2043" s="766"/>
      <c r="BB2043" s="647"/>
      <c r="BC2043" s="648"/>
      <c r="BD2043" s="757"/>
      <c r="BE2043" s="659"/>
    </row>
    <row r="2044" spans="1:57" s="64" customFormat="1" ht="15" customHeight="1" outlineLevel="1" x14ac:dyDescent="0.25">
      <c r="A2044" s="1393"/>
      <c r="B2044" s="157"/>
      <c r="C2044" s="385"/>
      <c r="D2044" s="3589"/>
      <c r="E2044" s="3721"/>
      <c r="F2044" s="3773" t="str">
        <f>$E$1618</f>
        <v>ASHP SEER 20 replace ASHP - early replacement MF ER2</v>
      </c>
      <c r="G2044" s="3774"/>
      <c r="H2044" s="3774"/>
      <c r="I2044" s="3775"/>
      <c r="J2044" s="3071" t="str">
        <f>$C$1618</f>
        <v>354700_2019_12_</v>
      </c>
      <c r="K2044" s="3056">
        <v>8.1999999999999993</v>
      </c>
      <c r="L2044" s="945"/>
      <c r="M2044" s="783" t="s">
        <v>1505</v>
      </c>
      <c r="N2044" s="157"/>
      <c r="O2044" s="277"/>
      <c r="P2044" s="277"/>
      <c r="Q2044" s="277"/>
      <c r="R2044" s="277"/>
      <c r="S2044" s="157"/>
      <c r="T2044" s="157"/>
      <c r="U2044" s="157"/>
      <c r="V2044" s="3589"/>
      <c r="W2044" s="766">
        <v>8.1999999999999993</v>
      </c>
      <c r="X2044" s="766">
        <v>8.1999999999999993</v>
      </c>
      <c r="Y2044" s="766">
        <v>8.1999999999999993</v>
      </c>
      <c r="Z2044" s="2426">
        <v>8.1999999999999993</v>
      </c>
      <c r="AA2044" s="2426">
        <v>8.1999999999999993</v>
      </c>
      <c r="AB2044" s="2426">
        <v>8.1999999999999993</v>
      </c>
      <c r="AC2044" s="766"/>
      <c r="AD2044" s="766"/>
      <c r="AE2044" s="766"/>
      <c r="AF2044" s="766"/>
      <c r="AG2044" s="766"/>
      <c r="BB2044" s="647"/>
      <c r="BC2044" s="648"/>
      <c r="BD2044" s="757"/>
      <c r="BE2044" s="659"/>
    </row>
    <row r="2045" spans="1:57" s="64" customFormat="1" ht="15" customHeight="1" outlineLevel="1" x14ac:dyDescent="0.25">
      <c r="A2045" s="1393"/>
      <c r="B2045" s="157"/>
      <c r="C2045" s="385"/>
      <c r="D2045" s="3589"/>
      <c r="E2045" s="3721"/>
      <c r="F2045" s="3773" t="str">
        <f>$E$1620</f>
        <v>ASHP SEER 20 replace ASHP - early replacement MF ER1_CompE</v>
      </c>
      <c r="G2045" s="3774"/>
      <c r="H2045" s="3774"/>
      <c r="I2045" s="3775"/>
      <c r="J2045" s="3071" t="str">
        <f>$C$1620</f>
        <v>354701_2019_12_</v>
      </c>
      <c r="K2045" s="3056">
        <v>6.58</v>
      </c>
      <c r="L2045" s="945"/>
      <c r="M2045" s="783" t="s">
        <v>1505</v>
      </c>
      <c r="N2045" s="157"/>
      <c r="O2045" s="277"/>
      <c r="P2045" s="277"/>
      <c r="Q2045" s="277"/>
      <c r="R2045" s="277"/>
      <c r="S2045" s="157"/>
      <c r="T2045" s="157"/>
      <c r="U2045" s="157"/>
      <c r="V2045" s="3589"/>
      <c r="W2045" s="766"/>
      <c r="X2045" s="766"/>
      <c r="Y2045" s="765">
        <v>6.58</v>
      </c>
      <c r="Z2045" s="2426">
        <v>6.58</v>
      </c>
      <c r="AA2045" s="2426">
        <v>6.58</v>
      </c>
      <c r="AB2045" s="2426">
        <v>6.58</v>
      </c>
      <c r="AC2045" s="766"/>
      <c r="AD2045" s="766"/>
      <c r="AE2045" s="766"/>
      <c r="AF2045" s="766"/>
      <c r="AG2045" s="766"/>
      <c r="BB2045" s="647"/>
      <c r="BC2045" s="648"/>
      <c r="BD2045" s="757"/>
      <c r="BE2045" s="659"/>
    </row>
    <row r="2046" spans="1:57" s="64" customFormat="1" ht="15" customHeight="1" outlineLevel="1" x14ac:dyDescent="0.25">
      <c r="A2046" s="1393"/>
      <c r="B2046" s="157"/>
      <c r="C2046" s="385"/>
      <c r="D2046" s="3589"/>
      <c r="E2046" s="3721"/>
      <c r="F2046" s="3773" t="str">
        <f>$E$1622</f>
        <v>ASHP SEER 20 replace ASHP - early replacement MF ER2_CompE</v>
      </c>
      <c r="G2046" s="3774"/>
      <c r="H2046" s="3774"/>
      <c r="I2046" s="3775"/>
      <c r="J2046" s="3071" t="str">
        <f>$C$1622</f>
        <v>354701_2019_12_</v>
      </c>
      <c r="K2046" s="3056">
        <v>8.1999999999999993</v>
      </c>
      <c r="L2046" s="945"/>
      <c r="M2046" s="783" t="s">
        <v>1505</v>
      </c>
      <c r="N2046" s="157"/>
      <c r="O2046" s="277"/>
      <c r="P2046" s="277"/>
      <c r="Q2046" s="277"/>
      <c r="R2046" s="277"/>
      <c r="S2046" s="157"/>
      <c r="T2046" s="157"/>
      <c r="U2046" s="157"/>
      <c r="V2046" s="3589"/>
      <c r="W2046" s="766"/>
      <c r="X2046" s="766"/>
      <c r="Y2046" s="765">
        <v>8.1999999999999993</v>
      </c>
      <c r="Z2046" s="2426">
        <v>8.1999999999999993</v>
      </c>
      <c r="AA2046" s="2426">
        <v>8.1999999999999993</v>
      </c>
      <c r="AB2046" s="2426">
        <v>8.1999999999999993</v>
      </c>
      <c r="AC2046" s="766"/>
      <c r="AD2046" s="766"/>
      <c r="AE2046" s="766"/>
      <c r="AF2046" s="766"/>
      <c r="AG2046" s="766"/>
      <c r="BB2046" s="647"/>
      <c r="BC2046" s="648"/>
      <c r="BD2046" s="757"/>
      <c r="BE2046" s="659"/>
    </row>
    <row r="2047" spans="1:57" s="64" customFormat="1" ht="15" customHeight="1" outlineLevel="1" x14ac:dyDescent="0.25">
      <c r="A2047" s="1393"/>
      <c r="B2047" s="157"/>
      <c r="C2047" s="385"/>
      <c r="D2047" s="3589"/>
      <c r="E2047" s="3721"/>
      <c r="F2047" s="3773" t="str">
        <f>$E$1624</f>
        <v>ASHP SEER 21 replace ASHP - early replacement SF ER1</v>
      </c>
      <c r="G2047" s="3774"/>
      <c r="H2047" s="3774"/>
      <c r="I2047" s="3775"/>
      <c r="J2047" s="3071" t="str">
        <f>$C$1624</f>
        <v>354750_2019_12_</v>
      </c>
      <c r="K2047" s="3056">
        <v>6.58</v>
      </c>
      <c r="L2047" s="945"/>
      <c r="M2047" s="783" t="s">
        <v>1089</v>
      </c>
      <c r="N2047" s="157"/>
      <c r="O2047" s="277"/>
      <c r="P2047" s="277"/>
      <c r="Q2047" s="277"/>
      <c r="R2047" s="277"/>
      <c r="S2047" s="157"/>
      <c r="T2047" s="157"/>
      <c r="U2047" s="157"/>
      <c r="V2047" s="3589"/>
      <c r="W2047" s="766">
        <v>5.44</v>
      </c>
      <c r="X2047" s="765">
        <v>6.58</v>
      </c>
      <c r="Y2047" s="766">
        <v>6.58</v>
      </c>
      <c r="Z2047" s="2426">
        <v>6.58</v>
      </c>
      <c r="AA2047" s="2426">
        <v>6.58</v>
      </c>
      <c r="AB2047" s="2426">
        <v>6.58</v>
      </c>
      <c r="AC2047" s="766"/>
      <c r="AD2047" s="766"/>
      <c r="AE2047" s="766"/>
      <c r="AF2047" s="766"/>
      <c r="AG2047" s="766"/>
      <c r="BB2047" s="647"/>
      <c r="BC2047" s="648"/>
      <c r="BD2047" s="757"/>
      <c r="BE2047" s="659"/>
    </row>
    <row r="2048" spans="1:57" s="64" customFormat="1" ht="15" customHeight="1" outlineLevel="1" x14ac:dyDescent="0.25">
      <c r="A2048" s="1393"/>
      <c r="B2048" s="157"/>
      <c r="C2048" s="385"/>
      <c r="D2048" s="3589"/>
      <c r="E2048" s="3721"/>
      <c r="F2048" s="3773" t="str">
        <f>$E$1626</f>
        <v>ASHP SEER 21 replace ASHP - early replacement SF ER2</v>
      </c>
      <c r="G2048" s="3774"/>
      <c r="H2048" s="3774"/>
      <c r="I2048" s="3775"/>
      <c r="J2048" s="3071" t="str">
        <f>$C$1626</f>
        <v>354750_2019_12_</v>
      </c>
      <c r="K2048" s="3056">
        <v>8.1999999999999993</v>
      </c>
      <c r="L2048" s="945"/>
      <c r="M2048" s="783" t="s">
        <v>1089</v>
      </c>
      <c r="N2048" s="157"/>
      <c r="O2048" s="277"/>
      <c r="P2048" s="277"/>
      <c r="Q2048" s="277"/>
      <c r="R2048" s="277"/>
      <c r="S2048" s="157"/>
      <c r="T2048" s="157"/>
      <c r="U2048" s="157"/>
      <c r="V2048" s="3589"/>
      <c r="W2048" s="766">
        <v>8.1999999999999993</v>
      </c>
      <c r="X2048" s="766">
        <v>8.1999999999999993</v>
      </c>
      <c r="Y2048" s="766">
        <v>8.1999999999999993</v>
      </c>
      <c r="Z2048" s="2426">
        <v>8.1999999999999993</v>
      </c>
      <c r="AA2048" s="2426">
        <v>8.1999999999999993</v>
      </c>
      <c r="AB2048" s="2426">
        <v>8.1999999999999993</v>
      </c>
      <c r="AC2048" s="766"/>
      <c r="AD2048" s="766"/>
      <c r="AE2048" s="766"/>
      <c r="AF2048" s="766"/>
      <c r="AG2048" s="766"/>
      <c r="BB2048" s="647"/>
      <c r="BC2048" s="648"/>
      <c r="BD2048" s="757"/>
      <c r="BE2048" s="659"/>
    </row>
    <row r="2049" spans="1:57" s="64" customFormat="1" ht="15" customHeight="1" outlineLevel="1" x14ac:dyDescent="0.25">
      <c r="A2049" s="1393"/>
      <c r="B2049" s="157"/>
      <c r="C2049" s="385"/>
      <c r="D2049" s="3589"/>
      <c r="E2049" s="3721"/>
      <c r="F2049" s="3773" t="str">
        <f>$E$1628</f>
        <v>ASHP SEER 21 replace ASHP - replace on fail SF</v>
      </c>
      <c r="G2049" s="3774"/>
      <c r="H2049" s="3774"/>
      <c r="I2049" s="3775"/>
      <c r="J2049" s="3071" t="str">
        <f>$C$1628</f>
        <v>354800_2019_12_</v>
      </c>
      <c r="K2049" s="3056">
        <v>8.1999999999999993</v>
      </c>
      <c r="L2049" s="945"/>
      <c r="M2049" s="783" t="s">
        <v>1089</v>
      </c>
      <c r="N2049" s="157"/>
      <c r="O2049" s="277"/>
      <c r="P2049" s="277"/>
      <c r="Q2049" s="277"/>
      <c r="R2049" s="277"/>
      <c r="S2049" s="157"/>
      <c r="T2049" s="157"/>
      <c r="U2049" s="157"/>
      <c r="V2049" s="3589"/>
      <c r="W2049" s="766">
        <v>8.1999999999999993</v>
      </c>
      <c r="X2049" s="766">
        <v>8.1999999999999993</v>
      </c>
      <c r="Y2049" s="766">
        <v>8.1999999999999993</v>
      </c>
      <c r="Z2049" s="2426">
        <v>8.1999999999999993</v>
      </c>
      <c r="AA2049" s="2426">
        <v>8.1999999999999993</v>
      </c>
      <c r="AB2049" s="2426">
        <v>8.1999999999999993</v>
      </c>
      <c r="AC2049" s="766"/>
      <c r="AD2049" s="766"/>
      <c r="AE2049" s="766"/>
      <c r="AF2049" s="766"/>
      <c r="AG2049" s="766"/>
      <c r="BB2049" s="647"/>
      <c r="BC2049" s="648"/>
      <c r="BD2049" s="757"/>
      <c r="BE2049" s="659"/>
    </row>
    <row r="2050" spans="1:57" s="64" customFormat="1" ht="15" customHeight="1" outlineLevel="1" x14ac:dyDescent="0.25">
      <c r="A2050" s="1393"/>
      <c r="B2050" s="157"/>
      <c r="C2050" s="385"/>
      <c r="D2050" s="3589"/>
      <c r="E2050" s="3721"/>
      <c r="F2050" s="3773" t="str">
        <f>$E$1630</f>
        <v>ASHP - SEER 21 - replace electric furnace / CAC MF</v>
      </c>
      <c r="G2050" s="3774"/>
      <c r="H2050" s="3774"/>
      <c r="I2050" s="3775"/>
      <c r="J2050" s="3071" t="str">
        <f>$C$1630</f>
        <v>354850_2019_12_</v>
      </c>
      <c r="K2050" s="3056">
        <v>3.41</v>
      </c>
      <c r="L2050" s="945"/>
      <c r="M2050" s="783" t="s">
        <v>1505</v>
      </c>
      <c r="N2050" s="157"/>
      <c r="O2050" s="277"/>
      <c r="P2050" s="277"/>
      <c r="Q2050" s="277"/>
      <c r="R2050" s="277"/>
      <c r="S2050" s="157"/>
      <c r="T2050" s="157"/>
      <c r="U2050" s="157"/>
      <c r="V2050" s="3589"/>
      <c r="W2050" s="766">
        <v>3.41</v>
      </c>
      <c r="X2050" s="766">
        <v>3.41</v>
      </c>
      <c r="Y2050" s="766">
        <v>3.41</v>
      </c>
      <c r="Z2050" s="2426">
        <v>3.41</v>
      </c>
      <c r="AA2050" s="2426">
        <v>3.41</v>
      </c>
      <c r="AB2050" s="2426">
        <v>3.41</v>
      </c>
      <c r="AC2050" s="766"/>
      <c r="AD2050" s="766"/>
      <c r="AE2050" s="766"/>
      <c r="AF2050" s="766"/>
      <c r="AG2050" s="766"/>
      <c r="BB2050" s="647"/>
      <c r="BC2050" s="648"/>
      <c r="BD2050" s="757"/>
      <c r="BE2050" s="659"/>
    </row>
    <row r="2051" spans="1:57" s="64" customFormat="1" ht="15" customHeight="1" outlineLevel="1" x14ac:dyDescent="0.25">
      <c r="A2051" s="1393"/>
      <c r="B2051" s="157"/>
      <c r="C2051" s="385"/>
      <c r="D2051" s="3589"/>
      <c r="E2051" s="3721"/>
      <c r="F2051" s="3773" t="str">
        <f>$E$1632</f>
        <v>ASHP - SEER 21 - replace electric furnace / CAC MF_CompE</v>
      </c>
      <c r="G2051" s="3774"/>
      <c r="H2051" s="3774"/>
      <c r="I2051" s="3775"/>
      <c r="J2051" s="3071" t="str">
        <f>$C$1632</f>
        <v>354851_2019_12_</v>
      </c>
      <c r="K2051" s="3056">
        <v>3.41</v>
      </c>
      <c r="L2051" s="945"/>
      <c r="M2051" s="783" t="s">
        <v>1505</v>
      </c>
      <c r="N2051" s="157"/>
      <c r="O2051" s="277"/>
      <c r="P2051" s="277"/>
      <c r="Q2051" s="277"/>
      <c r="R2051" s="277"/>
      <c r="S2051" s="157"/>
      <c r="T2051" s="157"/>
      <c r="U2051" s="157"/>
      <c r="V2051" s="3589"/>
      <c r="W2051" s="766"/>
      <c r="X2051" s="766"/>
      <c r="Y2051" s="765">
        <v>3.41</v>
      </c>
      <c r="Z2051" s="2426">
        <v>3.41</v>
      </c>
      <c r="AA2051" s="2426">
        <v>3.41</v>
      </c>
      <c r="AB2051" s="2426">
        <v>3.41</v>
      </c>
      <c r="AC2051" s="766"/>
      <c r="AD2051" s="766"/>
      <c r="AE2051" s="766"/>
      <c r="AF2051" s="766"/>
      <c r="AG2051" s="766"/>
      <c r="BB2051" s="647"/>
      <c r="BC2051" s="648"/>
      <c r="BD2051" s="757"/>
      <c r="BE2051" s="659"/>
    </row>
    <row r="2052" spans="1:57" s="64" customFormat="1" ht="15" customHeight="1" outlineLevel="1" x14ac:dyDescent="0.25">
      <c r="A2052" s="1393"/>
      <c r="B2052" s="157"/>
      <c r="C2052" s="385"/>
      <c r="D2052" s="3589"/>
      <c r="E2052" s="3721"/>
      <c r="F2052" s="3773" t="str">
        <f>$E$1634</f>
        <v>ASHP SEER 21 replace ASHP - early replacement MF ER1</v>
      </c>
      <c r="G2052" s="3774"/>
      <c r="H2052" s="3774"/>
      <c r="I2052" s="3775"/>
      <c r="J2052" s="3071" t="str">
        <f>$C$1634</f>
        <v>354900_2019_12_</v>
      </c>
      <c r="K2052" s="3056">
        <v>6.58</v>
      </c>
      <c r="L2052" s="945"/>
      <c r="M2052" s="783" t="s">
        <v>1505</v>
      </c>
      <c r="N2052" s="157"/>
      <c r="O2052" s="277"/>
      <c r="P2052" s="277"/>
      <c r="Q2052" s="277"/>
      <c r="R2052" s="277"/>
      <c r="S2052" s="157"/>
      <c r="T2052" s="157"/>
      <c r="U2052" s="157"/>
      <c r="V2052" s="3589"/>
      <c r="W2052" s="766">
        <v>5.44</v>
      </c>
      <c r="X2052" s="765">
        <v>6.58</v>
      </c>
      <c r="Y2052" s="766">
        <v>6.58</v>
      </c>
      <c r="Z2052" s="2426">
        <v>6.58</v>
      </c>
      <c r="AA2052" s="2426">
        <v>6.58</v>
      </c>
      <c r="AB2052" s="2426">
        <v>6.58</v>
      </c>
      <c r="AC2052" s="766"/>
      <c r="AD2052" s="766"/>
      <c r="AE2052" s="766"/>
      <c r="AF2052" s="766"/>
      <c r="AG2052" s="766"/>
      <c r="BB2052" s="647"/>
      <c r="BC2052" s="648"/>
      <c r="BD2052" s="757"/>
      <c r="BE2052" s="659"/>
    </row>
    <row r="2053" spans="1:57" s="64" customFormat="1" ht="15" customHeight="1" outlineLevel="1" x14ac:dyDescent="0.25">
      <c r="A2053" s="1393"/>
      <c r="B2053" s="157"/>
      <c r="C2053" s="385"/>
      <c r="D2053" s="3589"/>
      <c r="E2053" s="3721"/>
      <c r="F2053" s="3773" t="str">
        <f>$E$1636</f>
        <v>ASHP SEER 21 replace ASHP - early replacement MF ER2</v>
      </c>
      <c r="G2053" s="3774"/>
      <c r="H2053" s="3774"/>
      <c r="I2053" s="3775"/>
      <c r="J2053" s="3071" t="str">
        <f>$C$1636</f>
        <v>354900_2019_12_</v>
      </c>
      <c r="K2053" s="3056">
        <v>8.1999999999999993</v>
      </c>
      <c r="L2053" s="945"/>
      <c r="M2053" s="783" t="s">
        <v>1505</v>
      </c>
      <c r="N2053" s="157"/>
      <c r="O2053" s="277"/>
      <c r="P2053" s="277"/>
      <c r="Q2053" s="277"/>
      <c r="R2053" s="277"/>
      <c r="S2053" s="157"/>
      <c r="T2053" s="157"/>
      <c r="U2053" s="157"/>
      <c r="V2053" s="3589"/>
      <c r="W2053" s="766">
        <v>8.1999999999999993</v>
      </c>
      <c r="X2053" s="766">
        <v>8.1999999999999993</v>
      </c>
      <c r="Y2053" s="766">
        <v>8.1999999999999993</v>
      </c>
      <c r="Z2053" s="2426">
        <v>8.1999999999999993</v>
      </c>
      <c r="AA2053" s="2426">
        <v>8.1999999999999993</v>
      </c>
      <c r="AB2053" s="2426">
        <v>8.1999999999999993</v>
      </c>
      <c r="AC2053" s="766"/>
      <c r="AD2053" s="766"/>
      <c r="AE2053" s="766"/>
      <c r="AF2053" s="766"/>
      <c r="AG2053" s="766"/>
      <c r="BB2053" s="647"/>
      <c r="BC2053" s="648"/>
      <c r="BD2053" s="757"/>
      <c r="BE2053" s="659"/>
    </row>
    <row r="2054" spans="1:57" s="64" customFormat="1" ht="15" customHeight="1" outlineLevel="1" x14ac:dyDescent="0.25">
      <c r="A2054" s="1393"/>
      <c r="B2054" s="157"/>
      <c r="C2054" s="385"/>
      <c r="D2054" s="3589"/>
      <c r="E2054" s="3721"/>
      <c r="F2054" s="3773" t="str">
        <f>$E$1638</f>
        <v>ASHP SEER 21 replace ASHP - early replacement MF ER1_CompE</v>
      </c>
      <c r="G2054" s="3774"/>
      <c r="H2054" s="3774"/>
      <c r="I2054" s="3775"/>
      <c r="J2054" s="3071" t="str">
        <f>$C$1638</f>
        <v>354901_2019_12_</v>
      </c>
      <c r="K2054" s="3056">
        <v>6.58</v>
      </c>
      <c r="L2054" s="945"/>
      <c r="M2054" s="783" t="s">
        <v>1505</v>
      </c>
      <c r="N2054" s="157"/>
      <c r="O2054" s="277"/>
      <c r="P2054" s="277"/>
      <c r="Q2054" s="277"/>
      <c r="R2054" s="277"/>
      <c r="S2054" s="157"/>
      <c r="T2054" s="157"/>
      <c r="U2054" s="157"/>
      <c r="V2054" s="3589"/>
      <c r="W2054" s="766"/>
      <c r="X2054" s="766"/>
      <c r="Y2054" s="765">
        <v>6.58</v>
      </c>
      <c r="Z2054" s="2426">
        <v>6.58</v>
      </c>
      <c r="AA2054" s="2426">
        <v>6.58</v>
      </c>
      <c r="AB2054" s="2426">
        <v>6.58</v>
      </c>
      <c r="AC2054" s="766"/>
      <c r="AD2054" s="766"/>
      <c r="AE2054" s="766"/>
      <c r="AF2054" s="766"/>
      <c r="AG2054" s="766"/>
      <c r="BB2054" s="647"/>
      <c r="BC2054" s="648"/>
      <c r="BD2054" s="757"/>
      <c r="BE2054" s="659"/>
    </row>
    <row r="2055" spans="1:57" s="64" customFormat="1" ht="15" customHeight="1" outlineLevel="1" x14ac:dyDescent="0.25">
      <c r="A2055" s="1393"/>
      <c r="B2055" s="157"/>
      <c r="C2055" s="385"/>
      <c r="D2055" s="3589"/>
      <c r="E2055" s="3721"/>
      <c r="F2055" s="3773" t="str">
        <f>$E$1640</f>
        <v>ASHP SEER 21 replace ASHP - early replacement MF ER2_CompE</v>
      </c>
      <c r="G2055" s="3774"/>
      <c r="H2055" s="3774"/>
      <c r="I2055" s="3775"/>
      <c r="J2055" s="3071" t="str">
        <f>$C$1640</f>
        <v>354901_2019_12_</v>
      </c>
      <c r="K2055" s="3056">
        <v>8.1999999999999993</v>
      </c>
      <c r="L2055" s="945"/>
      <c r="M2055" s="783" t="s">
        <v>1505</v>
      </c>
      <c r="N2055" s="157"/>
      <c r="O2055" s="277"/>
      <c r="P2055" s="277"/>
      <c r="Q2055" s="277"/>
      <c r="R2055" s="277"/>
      <c r="S2055" s="157"/>
      <c r="T2055" s="157"/>
      <c r="U2055" s="157"/>
      <c r="V2055" s="3589"/>
      <c r="W2055" s="766"/>
      <c r="X2055" s="766"/>
      <c r="Y2055" s="765">
        <v>8.1999999999999993</v>
      </c>
      <c r="Z2055" s="2426">
        <v>8.1999999999999993</v>
      </c>
      <c r="AA2055" s="2426">
        <v>8.1999999999999993</v>
      </c>
      <c r="AB2055" s="2426">
        <v>8.1999999999999993</v>
      </c>
      <c r="AC2055" s="766"/>
      <c r="AD2055" s="766"/>
      <c r="AE2055" s="766"/>
      <c r="AF2055" s="766"/>
      <c r="AG2055" s="766"/>
      <c r="BB2055" s="647"/>
      <c r="BC2055" s="648"/>
      <c r="BD2055" s="757"/>
      <c r="BE2055" s="659"/>
    </row>
    <row r="2056" spans="1:57" s="64" customFormat="1" ht="15" customHeight="1" outlineLevel="1" x14ac:dyDescent="0.25">
      <c r="A2056" s="2463"/>
      <c r="B2056" s="157"/>
      <c r="C2056" s="385"/>
      <c r="D2056" s="3589"/>
      <c r="E2056" s="3721"/>
      <c r="F2056" s="3773" t="str">
        <f>$E$1642</f>
        <v>ASHP - SEER 17 - replace on fail MF</v>
      </c>
      <c r="G2056" s="3774"/>
      <c r="H2056" s="3774"/>
      <c r="I2056" s="3775"/>
      <c r="J2056" s="3071" t="str">
        <f>$C$1642</f>
        <v>354950_2019_12_</v>
      </c>
      <c r="K2056" s="3056">
        <v>8.1999999999999993</v>
      </c>
      <c r="L2056" s="945"/>
      <c r="M2056" s="783" t="s">
        <v>1505</v>
      </c>
      <c r="N2056" s="157"/>
      <c r="O2056" s="277"/>
      <c r="P2056" s="937"/>
      <c r="Q2056" s="938"/>
      <c r="R2056" s="937"/>
      <c r="S2056" s="924"/>
      <c r="T2056" s="1407"/>
      <c r="U2056" s="157"/>
      <c r="V2056" s="3589"/>
      <c r="W2056" s="766">
        <v>8.1999999999999993</v>
      </c>
      <c r="X2056" s="766">
        <v>8.1999999999999993</v>
      </c>
      <c r="Y2056" s="766">
        <v>8.1999999999999993</v>
      </c>
      <c r="Z2056" s="2426">
        <v>8.1999999999999993</v>
      </c>
      <c r="AA2056" s="2426">
        <v>8.1999999999999993</v>
      </c>
      <c r="AB2056" s="2426">
        <v>8.1999999999999993</v>
      </c>
      <c r="AC2056" s="766"/>
      <c r="AD2056" s="766"/>
      <c r="AE2056" s="766"/>
      <c r="AF2056" s="766"/>
      <c r="AG2056" s="766"/>
      <c r="BB2056" s="647"/>
      <c r="BC2056" s="648"/>
      <c r="BD2056" s="757"/>
      <c r="BE2056" s="659"/>
    </row>
    <row r="2057" spans="1:57" s="64" customFormat="1" ht="15" customHeight="1" outlineLevel="1" x14ac:dyDescent="0.25">
      <c r="A2057" s="2463"/>
      <c r="B2057" s="157"/>
      <c r="C2057" s="385"/>
      <c r="D2057" s="3589"/>
      <c r="E2057" s="3721"/>
      <c r="F2057" s="3773" t="str">
        <f>$E$1644</f>
        <v>ASHP - SEER 17 - replace on fail MF_CompE</v>
      </c>
      <c r="G2057" s="3774"/>
      <c r="H2057" s="3774"/>
      <c r="I2057" s="3775"/>
      <c r="J2057" s="3071" t="str">
        <f>$C$1644</f>
        <v>354951_2019_12_</v>
      </c>
      <c r="K2057" s="3056">
        <v>8.1999999999999993</v>
      </c>
      <c r="L2057" s="945"/>
      <c r="M2057" s="783" t="s">
        <v>1505</v>
      </c>
      <c r="N2057" s="157"/>
      <c r="O2057" s="277"/>
      <c r="P2057" s="937"/>
      <c r="Q2057" s="938"/>
      <c r="R2057" s="937"/>
      <c r="S2057" s="924"/>
      <c r="T2057" s="1407"/>
      <c r="U2057" s="157"/>
      <c r="V2057" s="3589"/>
      <c r="W2057" s="766"/>
      <c r="X2057" s="766"/>
      <c r="Y2057" s="765">
        <v>8.1999999999999993</v>
      </c>
      <c r="Z2057" s="2426">
        <v>8.1999999999999993</v>
      </c>
      <c r="AA2057" s="2426">
        <v>8.1999999999999993</v>
      </c>
      <c r="AB2057" s="2426">
        <v>8.1999999999999993</v>
      </c>
      <c r="AC2057" s="766"/>
      <c r="AD2057" s="766"/>
      <c r="AE2057" s="766"/>
      <c r="AF2057" s="766"/>
      <c r="AG2057" s="766"/>
      <c r="BB2057" s="647"/>
      <c r="BC2057" s="648"/>
      <c r="BD2057" s="757"/>
      <c r="BE2057" s="659"/>
    </row>
    <row r="2058" spans="1:57" s="64" customFormat="1" ht="15" customHeight="1" outlineLevel="1" x14ac:dyDescent="0.25">
      <c r="A2058" s="2463"/>
      <c r="B2058" s="157"/>
      <c r="C2058" s="385"/>
      <c r="D2058" s="3589"/>
      <c r="E2058" s="3721"/>
      <c r="F2058" s="3773" t="str">
        <f>$E$1646</f>
        <v>ASHP - SEER 18 - replace on fail MF</v>
      </c>
      <c r="G2058" s="3774"/>
      <c r="H2058" s="3774"/>
      <c r="I2058" s="3775"/>
      <c r="J2058" s="3071" t="str">
        <f>$C$1646</f>
        <v>355000_2019_12_</v>
      </c>
      <c r="K2058" s="3056">
        <v>8.1999999999999993</v>
      </c>
      <c r="L2058" s="945"/>
      <c r="M2058" s="783" t="s">
        <v>1505</v>
      </c>
      <c r="N2058" s="157"/>
      <c r="O2058" s="277"/>
      <c r="P2058" s="937"/>
      <c r="Q2058" s="938"/>
      <c r="R2058" s="937"/>
      <c r="S2058" s="924"/>
      <c r="T2058" s="1407"/>
      <c r="U2058" s="157"/>
      <c r="V2058" s="3589"/>
      <c r="W2058" s="766">
        <v>8.1999999999999993</v>
      </c>
      <c r="X2058" s="766">
        <v>8.1999999999999993</v>
      </c>
      <c r="Y2058" s="766">
        <v>8.1999999999999993</v>
      </c>
      <c r="Z2058" s="2426">
        <v>8.1999999999999993</v>
      </c>
      <c r="AA2058" s="2426">
        <v>8.1999999999999993</v>
      </c>
      <c r="AB2058" s="2426">
        <v>8.1999999999999993</v>
      </c>
      <c r="AC2058" s="766"/>
      <c r="AD2058" s="766"/>
      <c r="AE2058" s="766"/>
      <c r="AF2058" s="766"/>
      <c r="AG2058" s="766"/>
      <c r="BB2058" s="647"/>
      <c r="BC2058" s="648"/>
      <c r="BD2058" s="757"/>
      <c r="BE2058" s="659"/>
    </row>
    <row r="2059" spans="1:57" s="64" customFormat="1" ht="15" customHeight="1" outlineLevel="1" x14ac:dyDescent="0.25">
      <c r="A2059" s="2463"/>
      <c r="B2059" s="157"/>
      <c r="C2059" s="385"/>
      <c r="D2059" s="3589"/>
      <c r="E2059" s="3721"/>
      <c r="F2059" s="3773" t="str">
        <f>$E$1648</f>
        <v>ASHP - SEER 18 - replace on fail MF_CompE</v>
      </c>
      <c r="G2059" s="3774"/>
      <c r="H2059" s="3774"/>
      <c r="I2059" s="3775"/>
      <c r="J2059" s="3071" t="str">
        <f>$C$1648</f>
        <v>355001_2019_12_</v>
      </c>
      <c r="K2059" s="3056">
        <v>8.1999999999999993</v>
      </c>
      <c r="L2059" s="945"/>
      <c r="M2059" s="783" t="s">
        <v>1505</v>
      </c>
      <c r="N2059" s="157"/>
      <c r="O2059" s="277"/>
      <c r="P2059" s="937"/>
      <c r="Q2059" s="938"/>
      <c r="R2059" s="937"/>
      <c r="S2059" s="924"/>
      <c r="T2059" s="1407"/>
      <c r="U2059" s="157"/>
      <c r="V2059" s="3589"/>
      <c r="W2059" s="766"/>
      <c r="X2059" s="766"/>
      <c r="Y2059" s="765">
        <v>8.1999999999999993</v>
      </c>
      <c r="Z2059" s="2426">
        <v>8.1999999999999993</v>
      </c>
      <c r="AA2059" s="2426">
        <v>8.1999999999999993</v>
      </c>
      <c r="AB2059" s="2426">
        <v>8.1999999999999993</v>
      </c>
      <c r="AC2059" s="766"/>
      <c r="AD2059" s="766"/>
      <c r="AE2059" s="766"/>
      <c r="AF2059" s="766"/>
      <c r="AG2059" s="766"/>
      <c r="BB2059" s="647"/>
      <c r="BC2059" s="648"/>
      <c r="BD2059" s="757"/>
      <c r="BE2059" s="659"/>
    </row>
    <row r="2060" spans="1:57" s="64" customFormat="1" ht="15" customHeight="1" outlineLevel="1" x14ac:dyDescent="0.25">
      <c r="A2060" s="1393"/>
      <c r="B2060" s="157"/>
      <c r="C2060" s="385"/>
      <c r="D2060" s="3589"/>
      <c r="E2060" s="3721"/>
      <c r="F2060" s="3773" t="str">
        <f>$E$1650</f>
        <v>ASHP - SEER 19 - replace on fail MF</v>
      </c>
      <c r="G2060" s="3774"/>
      <c r="H2060" s="3774"/>
      <c r="I2060" s="3775"/>
      <c r="J2060" s="3071" t="str">
        <f>$C$1650</f>
        <v>355050_2019_12_</v>
      </c>
      <c r="K2060" s="3056">
        <v>8.1999999999999993</v>
      </c>
      <c r="L2060" s="945"/>
      <c r="M2060" s="783" t="s">
        <v>1505</v>
      </c>
      <c r="N2060" s="157"/>
      <c r="O2060" s="277"/>
      <c r="P2060" s="277"/>
      <c r="Q2060" s="277"/>
      <c r="R2060" s="277"/>
      <c r="S2060" s="157"/>
      <c r="T2060" s="157"/>
      <c r="U2060" s="157"/>
      <c r="V2060" s="3589"/>
      <c r="W2060" s="766">
        <v>8.1999999999999993</v>
      </c>
      <c r="X2060" s="766">
        <v>8.1999999999999993</v>
      </c>
      <c r="Y2060" s="766">
        <v>8.1999999999999993</v>
      </c>
      <c r="Z2060" s="2426">
        <v>8.1999999999999993</v>
      </c>
      <c r="AA2060" s="2426">
        <v>8.1999999999999993</v>
      </c>
      <c r="AB2060" s="2426">
        <v>8.1999999999999993</v>
      </c>
      <c r="AC2060" s="766"/>
      <c r="AD2060" s="766"/>
      <c r="AE2060" s="766"/>
      <c r="AF2060" s="766"/>
      <c r="AG2060" s="766"/>
      <c r="BB2060" s="647"/>
      <c r="BC2060" s="648"/>
      <c r="BD2060" s="757"/>
      <c r="BE2060" s="659"/>
    </row>
    <row r="2061" spans="1:57" s="64" customFormat="1" ht="15" customHeight="1" outlineLevel="1" x14ac:dyDescent="0.25">
      <c r="A2061" s="1393"/>
      <c r="B2061" s="157"/>
      <c r="C2061" s="385"/>
      <c r="D2061" s="3589"/>
      <c r="E2061" s="3721"/>
      <c r="F2061" s="3773" t="str">
        <f>$E$1652</f>
        <v>ASHP - SEER 19 - replace on fail MF_CompE</v>
      </c>
      <c r="G2061" s="3774"/>
      <c r="H2061" s="3774"/>
      <c r="I2061" s="3775"/>
      <c r="J2061" s="3071" t="str">
        <f>$C$1652</f>
        <v>355051_2019_12_</v>
      </c>
      <c r="K2061" s="3056">
        <v>8.1999999999999993</v>
      </c>
      <c r="L2061" s="945"/>
      <c r="M2061" s="783" t="s">
        <v>1505</v>
      </c>
      <c r="N2061" s="157"/>
      <c r="O2061" s="277"/>
      <c r="P2061" s="277"/>
      <c r="Q2061" s="277"/>
      <c r="R2061" s="277"/>
      <c r="S2061" s="157"/>
      <c r="T2061" s="157"/>
      <c r="U2061" s="157"/>
      <c r="V2061" s="3589"/>
      <c r="W2061" s="766"/>
      <c r="X2061" s="766"/>
      <c r="Y2061" s="765">
        <v>8.1999999999999993</v>
      </c>
      <c r="Z2061" s="2426">
        <v>8.1999999999999993</v>
      </c>
      <c r="AA2061" s="2426">
        <v>8.1999999999999993</v>
      </c>
      <c r="AB2061" s="2426">
        <v>8.1999999999999993</v>
      </c>
      <c r="AC2061" s="766"/>
      <c r="AD2061" s="766"/>
      <c r="AE2061" s="766"/>
      <c r="AF2061" s="766"/>
      <c r="AG2061" s="766"/>
      <c r="BB2061" s="647"/>
      <c r="BC2061" s="648"/>
      <c r="BD2061" s="757"/>
      <c r="BE2061" s="659"/>
    </row>
    <row r="2062" spans="1:57" s="64" customFormat="1" ht="15" customHeight="1" outlineLevel="1" x14ac:dyDescent="0.25">
      <c r="A2062" s="1393"/>
      <c r="B2062" s="157"/>
      <c r="C2062" s="385"/>
      <c r="D2062" s="3589"/>
      <c r="E2062" s="3721"/>
      <c r="F2062" s="3773" t="str">
        <f>$E$1654</f>
        <v>ASHP - SEER 20 - replace on fail MF</v>
      </c>
      <c r="G2062" s="3774"/>
      <c r="H2062" s="3774"/>
      <c r="I2062" s="3775"/>
      <c r="J2062" s="3071" t="str">
        <f>$C$1654</f>
        <v>355100_2019_12_</v>
      </c>
      <c r="K2062" s="3056">
        <v>8.1999999999999993</v>
      </c>
      <c r="L2062" s="945"/>
      <c r="M2062" s="783" t="s">
        <v>1505</v>
      </c>
      <c r="N2062" s="157"/>
      <c r="O2062" s="277"/>
      <c r="P2062" s="277"/>
      <c r="Q2062" s="277"/>
      <c r="R2062" s="277"/>
      <c r="S2062" s="157"/>
      <c r="T2062" s="157"/>
      <c r="U2062" s="157"/>
      <c r="V2062" s="3589"/>
      <c r="W2062" s="766">
        <v>8.1999999999999993</v>
      </c>
      <c r="X2062" s="766">
        <v>8.1999999999999993</v>
      </c>
      <c r="Y2062" s="766">
        <v>8.1999999999999993</v>
      </c>
      <c r="Z2062" s="2426">
        <v>8.1999999999999993</v>
      </c>
      <c r="AA2062" s="2426">
        <v>8.1999999999999993</v>
      </c>
      <c r="AB2062" s="2426">
        <v>8.1999999999999993</v>
      </c>
      <c r="AC2062" s="766"/>
      <c r="AD2062" s="766"/>
      <c r="AE2062" s="766"/>
      <c r="AF2062" s="766"/>
      <c r="AG2062" s="766"/>
      <c r="BB2062" s="647"/>
      <c r="BC2062" s="648"/>
      <c r="BD2062" s="757"/>
      <c r="BE2062" s="659"/>
    </row>
    <row r="2063" spans="1:57" s="64" customFormat="1" ht="15" customHeight="1" outlineLevel="1" x14ac:dyDescent="0.25">
      <c r="A2063" s="1393"/>
      <c r="B2063" s="157"/>
      <c r="C2063" s="385"/>
      <c r="D2063" s="3589"/>
      <c r="E2063" s="3721"/>
      <c r="F2063" s="3773" t="str">
        <f>$E$1656</f>
        <v>ASHP - SEER 20 - replace on fail MF_CompE</v>
      </c>
      <c r="G2063" s="3774"/>
      <c r="H2063" s="3774"/>
      <c r="I2063" s="3775"/>
      <c r="J2063" s="3071" t="str">
        <f>$C$1656</f>
        <v>355101_2019_12_</v>
      </c>
      <c r="K2063" s="3056">
        <v>8.1999999999999993</v>
      </c>
      <c r="L2063" s="946"/>
      <c r="M2063" s="783" t="s">
        <v>1505</v>
      </c>
      <c r="N2063" s="157"/>
      <c r="O2063" s="277"/>
      <c r="P2063" s="277"/>
      <c r="Q2063" s="277"/>
      <c r="R2063" s="277"/>
      <c r="S2063" s="157"/>
      <c r="T2063" s="157"/>
      <c r="U2063" s="157"/>
      <c r="V2063" s="3589"/>
      <c r="W2063" s="778"/>
      <c r="X2063" s="778"/>
      <c r="Y2063" s="765">
        <v>8.1999999999999993</v>
      </c>
      <c r="Z2063" s="2426">
        <v>8.1999999999999993</v>
      </c>
      <c r="AA2063" s="2426">
        <v>8.1999999999999993</v>
      </c>
      <c r="AB2063" s="2426">
        <v>8.1999999999999993</v>
      </c>
      <c r="AC2063" s="778"/>
      <c r="AD2063" s="778"/>
      <c r="AE2063" s="778"/>
      <c r="AF2063" s="778"/>
      <c r="AG2063" s="778"/>
      <c r="BB2063" s="647"/>
      <c r="BC2063" s="648"/>
      <c r="BD2063" s="757"/>
      <c r="BE2063" s="659"/>
    </row>
    <row r="2064" spans="1:57" s="64" customFormat="1" ht="15.75" customHeight="1" outlineLevel="1" x14ac:dyDescent="0.25">
      <c r="A2064" s="2463"/>
      <c r="B2064" s="157"/>
      <c r="C2064" s="385"/>
      <c r="D2064" s="3589"/>
      <c r="E2064" s="3721"/>
      <c r="F2064" s="3773" t="str">
        <f>$E$1658</f>
        <v>ASHP - SEER 21 - replace on fail MF</v>
      </c>
      <c r="G2064" s="3774"/>
      <c r="H2064" s="3774"/>
      <c r="I2064" s="3775"/>
      <c r="J2064" s="3071" t="str">
        <f>$C$1658</f>
        <v>355150_2019_12_</v>
      </c>
      <c r="K2064" s="3056">
        <v>8.1999999999999993</v>
      </c>
      <c r="L2064" s="945"/>
      <c r="M2064" s="783" t="s">
        <v>1505</v>
      </c>
      <c r="N2064" s="157"/>
      <c r="O2064" s="277"/>
      <c r="P2064" s="937"/>
      <c r="Q2064" s="938"/>
      <c r="R2064" s="937"/>
      <c r="S2064" s="924"/>
      <c r="T2064" s="1407"/>
      <c r="U2064" s="157"/>
      <c r="V2064" s="3589"/>
      <c r="W2064" s="766">
        <v>8.1999999999999993</v>
      </c>
      <c r="X2064" s="766">
        <v>8.1999999999999993</v>
      </c>
      <c r="Y2064" s="766">
        <v>8.1999999999999993</v>
      </c>
      <c r="Z2064" s="2426">
        <v>8.1999999999999993</v>
      </c>
      <c r="AA2064" s="2426">
        <v>8.1999999999999993</v>
      </c>
      <c r="AB2064" s="2426">
        <v>8.1999999999999993</v>
      </c>
      <c r="AC2064" s="766"/>
      <c r="AD2064" s="766"/>
      <c r="AE2064" s="766"/>
      <c r="AF2064" s="766"/>
      <c r="AG2064" s="766"/>
      <c r="BB2064" s="647"/>
      <c r="BC2064" s="648"/>
      <c r="BD2064" s="757"/>
      <c r="BE2064" s="659"/>
    </row>
    <row r="2065" spans="1:57" s="64" customFormat="1" ht="15.75" customHeight="1" outlineLevel="1" thickBot="1" x14ac:dyDescent="0.3">
      <c r="A2065" s="2463"/>
      <c r="B2065" s="157"/>
      <c r="C2065" s="385"/>
      <c r="D2065" s="3591"/>
      <c r="E2065" s="3722"/>
      <c r="F2065" s="1807" t="str">
        <f>$E$1660</f>
        <v>ASHP - SEER 21 - replace on fail MF_CompE</v>
      </c>
      <c r="G2065" s="940"/>
      <c r="H2065" s="940"/>
      <c r="I2065" s="941"/>
      <c r="J2065" s="1807" t="str">
        <f>$C$1660</f>
        <v>355151_2019_12_</v>
      </c>
      <c r="K2065" s="949">
        <v>8.1999999999999993</v>
      </c>
      <c r="L2065" s="948"/>
      <c r="M2065" s="1809" t="s">
        <v>1089</v>
      </c>
      <c r="N2065" s="157"/>
      <c r="O2065" s="277"/>
      <c r="P2065" s="937"/>
      <c r="Q2065" s="938"/>
      <c r="R2065" s="937"/>
      <c r="S2065" s="924"/>
      <c r="T2065" s="1407"/>
      <c r="U2065" s="157"/>
      <c r="V2065" s="3591"/>
      <c r="W2065" s="780"/>
      <c r="X2065" s="780"/>
      <c r="Y2065" s="947">
        <v>8.1999999999999993</v>
      </c>
      <c r="Z2065" s="949">
        <v>8.1999999999999993</v>
      </c>
      <c r="AA2065" s="949">
        <v>8.1999999999999993</v>
      </c>
      <c r="AB2065" s="949">
        <v>8.1999999999999993</v>
      </c>
      <c r="AC2065" s="780"/>
      <c r="AD2065" s="780"/>
      <c r="AE2065" s="780"/>
      <c r="AF2065" s="780"/>
      <c r="AG2065" s="780"/>
      <c r="BB2065" s="647"/>
      <c r="BC2065" s="648"/>
      <c r="BD2065" s="757"/>
      <c r="BE2065" s="659"/>
    </row>
    <row r="2066" spans="1:57" s="64" customFormat="1" ht="15" customHeight="1" outlineLevel="1" x14ac:dyDescent="0.25">
      <c r="A2066" s="2463"/>
      <c r="B2066" s="157"/>
      <c r="C2066" s="385"/>
      <c r="D2066" s="3588" t="s">
        <v>1293</v>
      </c>
      <c r="E2066" s="3720" t="s">
        <v>1506</v>
      </c>
      <c r="F2066" s="3771" t="str">
        <f>$E$1406</f>
        <v>ASHP - SEER 15 ER Elec Resist Furnace: HVAC ER1</v>
      </c>
      <c r="G2066" s="3771"/>
      <c r="H2066" s="3771"/>
      <c r="I2066" s="3771"/>
      <c r="J2066" s="3070" t="str">
        <f>$C$1406</f>
        <v>352300_2019_12_</v>
      </c>
      <c r="K2066" s="3194">
        <v>8.532040816326532</v>
      </c>
      <c r="L2066" s="833"/>
      <c r="M2066" s="2679" t="s">
        <v>3674</v>
      </c>
      <c r="N2066" s="157"/>
      <c r="O2066" s="277"/>
      <c r="P2066" s="937"/>
      <c r="Q2066" s="937"/>
      <c r="R2066" s="937"/>
      <c r="S2066" s="924"/>
      <c r="T2066" s="1407"/>
      <c r="U2066" s="157"/>
      <c r="V2066" s="3588" t="s">
        <v>1293</v>
      </c>
      <c r="W2066" s="760">
        <v>8.6999999999999993</v>
      </c>
      <c r="X2066" s="759">
        <v>8.69</v>
      </c>
      <c r="Y2066" s="759">
        <v>8.67</v>
      </c>
      <c r="Z2066" s="2428">
        <v>8.67</v>
      </c>
      <c r="AA2066" s="2428">
        <v>8.67</v>
      </c>
      <c r="AB2066" s="2722">
        <v>8.532040816326532</v>
      </c>
      <c r="AC2066" s="760"/>
      <c r="AD2066" s="760"/>
      <c r="AE2066" s="760"/>
      <c r="AF2066" s="760"/>
      <c r="AG2066" s="760"/>
      <c r="BB2066" s="647"/>
      <c r="BC2066" s="648"/>
      <c r="BD2066" s="757"/>
      <c r="BE2066" s="659"/>
    </row>
    <row r="2067" spans="1:57" s="64" customFormat="1" ht="15" customHeight="1" outlineLevel="1" x14ac:dyDescent="0.25">
      <c r="A2067" s="2463"/>
      <c r="B2067" s="157"/>
      <c r="C2067" s="385"/>
      <c r="D2067" s="3589"/>
      <c r="E2067" s="3721"/>
      <c r="F2067" s="3773" t="str">
        <f>$E$1408</f>
        <v>ASHP - SEER 15 ER Elec Resist Furnace: HVAC ER2</v>
      </c>
      <c r="G2067" s="3774"/>
      <c r="H2067" s="3774"/>
      <c r="I2067" s="3775"/>
      <c r="J2067" s="3071" t="str">
        <f>$C$1408</f>
        <v>352300_2019_12_</v>
      </c>
      <c r="K2067" s="2725">
        <f>K2066</f>
        <v>8.532040816326532</v>
      </c>
      <c r="L2067" s="944"/>
      <c r="M2067" s="2675" t="s">
        <v>3674</v>
      </c>
      <c r="N2067" s="157"/>
      <c r="O2067" s="277"/>
      <c r="P2067" s="937"/>
      <c r="Q2067" s="937"/>
      <c r="R2067" s="937"/>
      <c r="S2067" s="924"/>
      <c r="T2067" s="1407"/>
      <c r="U2067" s="157"/>
      <c r="V2067" s="3589"/>
      <c r="W2067" s="766">
        <v>8.6999999999999993</v>
      </c>
      <c r="X2067" s="765">
        <v>8.69</v>
      </c>
      <c r="Y2067" s="765">
        <v>8.67</v>
      </c>
      <c r="Z2067" s="2426">
        <v>8.67</v>
      </c>
      <c r="AA2067" s="2426">
        <v>8.67</v>
      </c>
      <c r="AB2067" s="2658">
        <v>8.532040816326532</v>
      </c>
      <c r="AC2067" s="766"/>
      <c r="AD2067" s="766"/>
      <c r="AE2067" s="766"/>
      <c r="AF2067" s="766"/>
      <c r="AG2067" s="766"/>
      <c r="BB2067" s="647"/>
      <c r="BC2067" s="648"/>
      <c r="BD2067" s="757"/>
      <c r="BE2067" s="659"/>
    </row>
    <row r="2068" spans="1:57" s="64" customFormat="1" ht="15" customHeight="1" outlineLevel="1" x14ac:dyDescent="0.25">
      <c r="A2068" s="2463"/>
      <c r="B2068" s="157"/>
      <c r="C2068" s="385"/>
      <c r="D2068" s="3589"/>
      <c r="E2068" s="3721"/>
      <c r="F2068" s="3773" t="str">
        <f>$E$1410</f>
        <v>ASHP - SEER 15 ER with ASHP: HVAC ER1</v>
      </c>
      <c r="G2068" s="3774"/>
      <c r="H2068" s="3774"/>
      <c r="I2068" s="3775"/>
      <c r="J2068" s="3071" t="str">
        <f>$C$1410</f>
        <v>352350_2019_12_</v>
      </c>
      <c r="K2068" s="2725">
        <v>8.4761904761904781</v>
      </c>
      <c r="L2068" s="944"/>
      <c r="M2068" s="2675" t="s">
        <v>3674</v>
      </c>
      <c r="N2068" s="157"/>
      <c r="O2068" s="277"/>
      <c r="P2068" s="937"/>
      <c r="Q2068" s="937"/>
      <c r="R2068" s="937"/>
      <c r="S2068" s="924"/>
      <c r="T2068" s="1407"/>
      <c r="U2068" s="157"/>
      <c r="V2068" s="3589"/>
      <c r="W2068" s="766">
        <v>8.6999999999999993</v>
      </c>
      <c r="X2068" s="765">
        <v>8.69</v>
      </c>
      <c r="Y2068" s="765">
        <v>8.75</v>
      </c>
      <c r="Z2068" s="2426">
        <v>8.75</v>
      </c>
      <c r="AA2068" s="2426">
        <v>8.75</v>
      </c>
      <c r="AB2068" s="2658">
        <v>8.4761904761904781</v>
      </c>
      <c r="AC2068" s="766"/>
      <c r="AD2068" s="766"/>
      <c r="AE2068" s="766"/>
      <c r="AF2068" s="766"/>
      <c r="AG2068" s="766"/>
      <c r="BB2068" s="647"/>
      <c r="BC2068" s="648"/>
      <c r="BD2068" s="757"/>
      <c r="BE2068" s="659"/>
    </row>
    <row r="2069" spans="1:57" s="64" customFormat="1" ht="15" customHeight="1" outlineLevel="1" x14ac:dyDescent="0.25">
      <c r="A2069" s="2463"/>
      <c r="B2069" s="157"/>
      <c r="C2069" s="385"/>
      <c r="D2069" s="3589"/>
      <c r="E2069" s="3721"/>
      <c r="F2069" s="3773" t="str">
        <f>$E$1412</f>
        <v>ASHP - SEER 15 ER with ASHP: HVAC ER2</v>
      </c>
      <c r="G2069" s="3774"/>
      <c r="H2069" s="3774"/>
      <c r="I2069" s="3775"/>
      <c r="J2069" s="3071" t="str">
        <f>$C$1412</f>
        <v>352350_2019_12_</v>
      </c>
      <c r="K2069" s="2725">
        <f>K2068</f>
        <v>8.4761904761904781</v>
      </c>
      <c r="L2069" s="944"/>
      <c r="M2069" s="2675" t="s">
        <v>3674</v>
      </c>
      <c r="N2069" s="157"/>
      <c r="O2069" s="277"/>
      <c r="P2069" s="937"/>
      <c r="Q2069" s="937"/>
      <c r="R2069" s="937"/>
      <c r="S2069" s="924"/>
      <c r="T2069" s="1407"/>
      <c r="U2069" s="157"/>
      <c r="V2069" s="3589"/>
      <c r="W2069" s="766">
        <v>8.6999999999999993</v>
      </c>
      <c r="X2069" s="765">
        <v>8.69</v>
      </c>
      <c r="Y2069" s="765">
        <v>8.75</v>
      </c>
      <c r="Z2069" s="2426">
        <v>8.75</v>
      </c>
      <c r="AA2069" s="2426">
        <v>8.75</v>
      </c>
      <c r="AB2069" s="2658">
        <v>8.4761904761904781</v>
      </c>
      <c r="AC2069" s="766"/>
      <c r="AD2069" s="766"/>
      <c r="AE2069" s="766"/>
      <c r="AF2069" s="766"/>
      <c r="AG2069" s="766"/>
      <c r="BB2069" s="647"/>
      <c r="BC2069" s="648"/>
      <c r="BD2069" s="757"/>
      <c r="BE2069" s="659"/>
    </row>
    <row r="2070" spans="1:57" s="64" customFormat="1" ht="15" customHeight="1" outlineLevel="1" x14ac:dyDescent="0.25">
      <c r="A2070" s="2463"/>
      <c r="B2070" s="157"/>
      <c r="C2070" s="385"/>
      <c r="D2070" s="3589"/>
      <c r="E2070" s="3721"/>
      <c r="F2070" s="3773" t="str">
        <f>$E$1414</f>
        <v>ASHP-  SEER 15 Replace at Fail Elec Resist Furnace: HVAC</v>
      </c>
      <c r="G2070" s="3774"/>
      <c r="H2070" s="3774"/>
      <c r="I2070" s="3775"/>
      <c r="J2070" s="3071" t="str">
        <f>$C$1414</f>
        <v>352400_2019_12_</v>
      </c>
      <c r="K2070" s="2725">
        <v>8.4308510638297864</v>
      </c>
      <c r="L2070" s="945"/>
      <c r="M2070" s="2675" t="s">
        <v>3674</v>
      </c>
      <c r="N2070" s="157"/>
      <c r="O2070" s="277"/>
      <c r="P2070" s="937"/>
      <c r="Q2070" s="937"/>
      <c r="R2070" s="937"/>
      <c r="S2070" s="924"/>
      <c r="T2070" s="1407"/>
      <c r="U2070" s="157"/>
      <c r="V2070" s="3589"/>
      <c r="W2070" s="766">
        <v>8.6</v>
      </c>
      <c r="X2070" s="765">
        <v>8.69</v>
      </c>
      <c r="Y2070" s="765">
        <v>8.66</v>
      </c>
      <c r="Z2070" s="2426">
        <v>8.66</v>
      </c>
      <c r="AA2070" s="2426">
        <v>8.66</v>
      </c>
      <c r="AB2070" s="2658">
        <v>8.4308510638297864</v>
      </c>
      <c r="AC2070" s="766"/>
      <c r="AD2070" s="766"/>
      <c r="AE2070" s="766"/>
      <c r="AF2070" s="766"/>
      <c r="AG2070" s="766"/>
      <c r="BB2070" s="647"/>
      <c r="BC2070" s="648"/>
      <c r="BD2070" s="757"/>
      <c r="BE2070" s="659"/>
    </row>
    <row r="2071" spans="1:57" s="64" customFormat="1" ht="15" customHeight="1" outlineLevel="1" x14ac:dyDescent="0.25">
      <c r="A2071" s="2463"/>
      <c r="B2071" s="157"/>
      <c r="C2071" s="385"/>
      <c r="D2071" s="3589"/>
      <c r="E2071" s="3721"/>
      <c r="F2071" s="3773" t="str">
        <f>$E$1416</f>
        <v>ASHP - SEER 15 Replace at Fail with ASHP: HVAC</v>
      </c>
      <c r="G2071" s="3774"/>
      <c r="H2071" s="3774"/>
      <c r="I2071" s="3775"/>
      <c r="J2071" s="3071" t="str">
        <f>$C$1416</f>
        <v>352450_2019_12_</v>
      </c>
      <c r="K2071" s="2703">
        <v>8.6999999999999993</v>
      </c>
      <c r="L2071" s="945"/>
      <c r="M2071" s="2675" t="s">
        <v>1191</v>
      </c>
      <c r="N2071" s="157"/>
      <c r="O2071" s="277"/>
      <c r="P2071" s="937"/>
      <c r="Q2071" s="937"/>
      <c r="R2071" s="937"/>
      <c r="S2071" s="924"/>
      <c r="T2071" s="1407"/>
      <c r="U2071" s="157"/>
      <c r="V2071" s="3589"/>
      <c r="W2071" s="766">
        <v>8.6999999999999993</v>
      </c>
      <c r="X2071" s="765">
        <v>8.69</v>
      </c>
      <c r="Y2071" s="765">
        <v>8.6999999999999993</v>
      </c>
      <c r="Z2071" s="2426">
        <v>8.6999999999999993</v>
      </c>
      <c r="AA2071" s="2426">
        <v>8.6999999999999993</v>
      </c>
      <c r="AB2071" s="2703">
        <v>8.6999999999999993</v>
      </c>
      <c r="AC2071" s="766"/>
      <c r="AD2071" s="766"/>
      <c r="AE2071" s="766"/>
      <c r="AF2071" s="766"/>
      <c r="AG2071" s="766"/>
      <c r="BB2071" s="647"/>
      <c r="BC2071" s="648"/>
      <c r="BD2071" s="757"/>
      <c r="BE2071" s="659"/>
    </row>
    <row r="2072" spans="1:57" s="64" customFormat="1" ht="15" customHeight="1" outlineLevel="1" x14ac:dyDescent="0.25">
      <c r="A2072" s="2463"/>
      <c r="B2072" s="157"/>
      <c r="C2072" s="385"/>
      <c r="D2072" s="3589"/>
      <c r="E2072" s="3721"/>
      <c r="F2072" s="3773" t="str">
        <f>$E$1418</f>
        <v>ASHP - SEER 16 - replace electric furnace / CAC - early replacement SF ER1</v>
      </c>
      <c r="G2072" s="3774"/>
      <c r="H2072" s="3774"/>
      <c r="I2072" s="3775"/>
      <c r="J2072" s="3071" t="str">
        <f>$C$1418</f>
        <v>352500_2019_12_</v>
      </c>
      <c r="K2072" s="2725">
        <v>8.4276397515527925</v>
      </c>
      <c r="L2072" s="945"/>
      <c r="M2072" s="2675" t="s">
        <v>3674</v>
      </c>
      <c r="N2072" s="157"/>
      <c r="O2072" s="277"/>
      <c r="P2072" s="937"/>
      <c r="Q2072" s="937"/>
      <c r="R2072" s="937"/>
      <c r="S2072" s="924"/>
      <c r="T2072" s="1407"/>
      <c r="U2072" s="157"/>
      <c r="V2072" s="3589"/>
      <c r="W2072" s="766">
        <v>9.4</v>
      </c>
      <c r="X2072" s="765">
        <v>8.69</v>
      </c>
      <c r="Y2072" s="765">
        <v>9.35</v>
      </c>
      <c r="Z2072" s="2426">
        <v>9.35</v>
      </c>
      <c r="AA2072" s="2426">
        <v>9.35</v>
      </c>
      <c r="AB2072" s="2658">
        <v>8.4276397515527925</v>
      </c>
      <c r="AC2072" s="766"/>
      <c r="AD2072" s="766"/>
      <c r="AE2072" s="766"/>
      <c r="AF2072" s="766"/>
      <c r="AG2072" s="766"/>
      <c r="BB2072" s="647"/>
      <c r="BC2072" s="648"/>
      <c r="BD2072" s="757"/>
      <c r="BE2072" s="659"/>
    </row>
    <row r="2073" spans="1:57" s="64" customFormat="1" ht="15" customHeight="1" outlineLevel="1" x14ac:dyDescent="0.25">
      <c r="A2073" s="2463"/>
      <c r="B2073" s="157"/>
      <c r="C2073" s="385"/>
      <c r="D2073" s="3589"/>
      <c r="E2073" s="3721"/>
      <c r="F2073" s="3773" t="str">
        <f>$E$1420</f>
        <v>ASHP - SEER 16 - replace electric furnace / CAC - early replacement SF ER2</v>
      </c>
      <c r="G2073" s="3774"/>
      <c r="H2073" s="3774"/>
      <c r="I2073" s="3775"/>
      <c r="J2073" s="3071" t="str">
        <f>$C$1420</f>
        <v>352500_2019_12_</v>
      </c>
      <c r="K2073" s="2725">
        <f>K2072</f>
        <v>8.4276397515527925</v>
      </c>
      <c r="L2073" s="945"/>
      <c r="M2073" s="2675" t="s">
        <v>3674</v>
      </c>
      <c r="N2073" s="157"/>
      <c r="O2073" s="277"/>
      <c r="P2073" s="937"/>
      <c r="Q2073" s="937"/>
      <c r="R2073" s="937"/>
      <c r="S2073" s="924"/>
      <c r="T2073" s="1407"/>
      <c r="U2073" s="157"/>
      <c r="V2073" s="3589"/>
      <c r="W2073" s="766">
        <v>9.4</v>
      </c>
      <c r="X2073" s="765">
        <v>8.69</v>
      </c>
      <c r="Y2073" s="765">
        <v>9.35</v>
      </c>
      <c r="Z2073" s="2426">
        <v>9.35</v>
      </c>
      <c r="AA2073" s="2426">
        <v>9.35</v>
      </c>
      <c r="AB2073" s="2658">
        <v>8.4276397515527925</v>
      </c>
      <c r="AC2073" s="766"/>
      <c r="AD2073" s="766"/>
      <c r="AE2073" s="766"/>
      <c r="AF2073" s="766"/>
      <c r="AG2073" s="766"/>
      <c r="BB2073" s="647"/>
      <c r="BC2073" s="648"/>
      <c r="BD2073" s="757"/>
      <c r="BE2073" s="659"/>
    </row>
    <row r="2074" spans="1:57" s="64" customFormat="1" ht="15" customHeight="1" outlineLevel="1" x14ac:dyDescent="0.25">
      <c r="A2074" s="2463"/>
      <c r="B2074" s="157"/>
      <c r="C2074" s="385"/>
      <c r="D2074" s="3589"/>
      <c r="E2074" s="3721"/>
      <c r="F2074" s="3773" t="str">
        <f>$E$1422</f>
        <v>ASHP SEER 16 replace ASHP - early replacement SF ER1</v>
      </c>
      <c r="G2074" s="3774"/>
      <c r="H2074" s="3774"/>
      <c r="I2074" s="3775"/>
      <c r="J2074" s="3071" t="str">
        <f>$C$1422</f>
        <v>352550_2019_12_</v>
      </c>
      <c r="K2074" s="2725">
        <v>8.8862149532710237</v>
      </c>
      <c r="L2074" s="945"/>
      <c r="M2074" s="2675" t="s">
        <v>3674</v>
      </c>
      <c r="N2074" s="157"/>
      <c r="O2074" s="277"/>
      <c r="P2074" s="937"/>
      <c r="Q2074" s="937"/>
      <c r="R2074" s="937"/>
      <c r="S2074" s="924"/>
      <c r="T2074" s="1407"/>
      <c r="U2074" s="157"/>
      <c r="V2074" s="3589"/>
      <c r="W2074" s="766">
        <v>9.5</v>
      </c>
      <c r="X2074" s="765">
        <v>8.69</v>
      </c>
      <c r="Y2074" s="765">
        <v>9.33</v>
      </c>
      <c r="Z2074" s="2426">
        <v>9.33</v>
      </c>
      <c r="AA2074" s="2426">
        <v>9.33</v>
      </c>
      <c r="AB2074" s="2658">
        <v>8.8862149532710237</v>
      </c>
      <c r="AC2074" s="766"/>
      <c r="AD2074" s="766"/>
      <c r="AE2074" s="766"/>
      <c r="AF2074" s="766"/>
      <c r="AG2074" s="766"/>
      <c r="BB2074" s="647"/>
      <c r="BC2074" s="648"/>
      <c r="BD2074" s="757"/>
      <c r="BE2074" s="659"/>
    </row>
    <row r="2075" spans="1:57" s="64" customFormat="1" ht="15" customHeight="1" outlineLevel="1" x14ac:dyDescent="0.25">
      <c r="A2075" s="2463"/>
      <c r="B2075" s="157"/>
      <c r="C2075" s="385"/>
      <c r="D2075" s="3589"/>
      <c r="E2075" s="3721"/>
      <c r="F2075" s="3773" t="str">
        <f>$E$1424</f>
        <v>ASHP SEER 16 replace ASHP - early replacement SF ER2</v>
      </c>
      <c r="G2075" s="3774"/>
      <c r="H2075" s="3774"/>
      <c r="I2075" s="3775"/>
      <c r="J2075" s="3071" t="str">
        <f>$C$1424</f>
        <v>352550_2019_12_</v>
      </c>
      <c r="K2075" s="2725">
        <f>K2074</f>
        <v>8.8862149532710237</v>
      </c>
      <c r="L2075" s="945"/>
      <c r="M2075" s="2675" t="s">
        <v>3674</v>
      </c>
      <c r="N2075" s="157"/>
      <c r="O2075" s="277"/>
      <c r="P2075" s="937"/>
      <c r="Q2075" s="937"/>
      <c r="R2075" s="937"/>
      <c r="S2075" s="924"/>
      <c r="T2075" s="1407"/>
      <c r="U2075" s="157"/>
      <c r="V2075" s="3589"/>
      <c r="W2075" s="766">
        <v>9.5</v>
      </c>
      <c r="X2075" s="765">
        <v>8.69</v>
      </c>
      <c r="Y2075" s="765">
        <v>9.33</v>
      </c>
      <c r="Z2075" s="2426">
        <v>9.33</v>
      </c>
      <c r="AA2075" s="2426">
        <v>9.33</v>
      </c>
      <c r="AB2075" s="2658">
        <v>8.8862149532710237</v>
      </c>
      <c r="AC2075" s="766"/>
      <c r="AD2075" s="766"/>
      <c r="AE2075" s="766"/>
      <c r="AF2075" s="766"/>
      <c r="AG2075" s="766"/>
      <c r="BB2075" s="647"/>
      <c r="BC2075" s="648"/>
      <c r="BD2075" s="757"/>
      <c r="BE2075" s="659"/>
    </row>
    <row r="2076" spans="1:57" s="64" customFormat="1" ht="15" customHeight="1" outlineLevel="1" x14ac:dyDescent="0.25">
      <c r="A2076" s="2463"/>
      <c r="B2076" s="157"/>
      <c r="C2076" s="385"/>
      <c r="D2076" s="3589"/>
      <c r="E2076" s="3721"/>
      <c r="F2076" s="3773" t="str">
        <f>$E$1426</f>
        <v>ASHP - SEER 16 - replace electric furnace / CAC SF</v>
      </c>
      <c r="G2076" s="3774"/>
      <c r="H2076" s="3774"/>
      <c r="I2076" s="3775"/>
      <c r="J2076" s="3071" t="str">
        <f>$C$1426</f>
        <v>352600_2019_12_</v>
      </c>
      <c r="K2076" s="2725">
        <v>8.7769841269841269</v>
      </c>
      <c r="L2076" s="945"/>
      <c r="M2076" s="2675" t="s">
        <v>3674</v>
      </c>
      <c r="N2076" s="157"/>
      <c r="O2076" s="277"/>
      <c r="P2076" s="937"/>
      <c r="Q2076" s="937"/>
      <c r="R2076" s="937"/>
      <c r="S2076" s="924"/>
      <c r="T2076" s="1407"/>
      <c r="U2076" s="157"/>
      <c r="V2076" s="3589"/>
      <c r="W2076" s="766">
        <v>9.6999999999999993</v>
      </c>
      <c r="X2076" s="765">
        <v>8.69</v>
      </c>
      <c r="Y2076" s="765">
        <v>9.43</v>
      </c>
      <c r="Z2076" s="2426">
        <v>9.43</v>
      </c>
      <c r="AA2076" s="2426">
        <v>9.43</v>
      </c>
      <c r="AB2076" s="2658">
        <v>8.7769841269841269</v>
      </c>
      <c r="AC2076" s="766"/>
      <c r="AD2076" s="766"/>
      <c r="AE2076" s="766"/>
      <c r="AF2076" s="766"/>
      <c r="AG2076" s="766"/>
      <c r="BB2076" s="647"/>
      <c r="BC2076" s="648"/>
      <c r="BD2076" s="757"/>
      <c r="BE2076" s="659"/>
    </row>
    <row r="2077" spans="1:57" s="64" customFormat="1" ht="15" customHeight="1" outlineLevel="1" x14ac:dyDescent="0.25">
      <c r="A2077" s="2463"/>
      <c r="B2077" s="157"/>
      <c r="C2077" s="385"/>
      <c r="D2077" s="3589"/>
      <c r="E2077" s="3721"/>
      <c r="F2077" s="3773" t="str">
        <f>$E$1428</f>
        <v>ASHP SEER 16 replace ASHP - replace on fail SF</v>
      </c>
      <c r="G2077" s="3774"/>
      <c r="H2077" s="3774"/>
      <c r="I2077" s="3775"/>
      <c r="J2077" s="3071" t="str">
        <f>$C$1428</f>
        <v>352650_2019_12_</v>
      </c>
      <c r="K2077" s="2703">
        <v>9.43</v>
      </c>
      <c r="L2077" s="945"/>
      <c r="M2077" s="2675" t="s">
        <v>1191</v>
      </c>
      <c r="N2077" s="157"/>
      <c r="O2077" s="277"/>
      <c r="P2077" s="937"/>
      <c r="Q2077" s="937"/>
      <c r="R2077" s="937"/>
      <c r="S2077" s="924"/>
      <c r="T2077" s="1407"/>
      <c r="U2077" s="157"/>
      <c r="V2077" s="3589"/>
      <c r="W2077" s="766">
        <v>9.8000000000000007</v>
      </c>
      <c r="X2077" s="765">
        <v>8.69</v>
      </c>
      <c r="Y2077" s="765">
        <v>9.43</v>
      </c>
      <c r="Z2077" s="2426">
        <v>9.43</v>
      </c>
      <c r="AA2077" s="2426">
        <v>9.43</v>
      </c>
      <c r="AB2077" s="2703">
        <v>9.43</v>
      </c>
      <c r="AC2077" s="766"/>
      <c r="AD2077" s="766"/>
      <c r="AE2077" s="766"/>
      <c r="AF2077" s="766"/>
      <c r="AG2077" s="766"/>
      <c r="BB2077" s="647"/>
      <c r="BC2077" s="648"/>
      <c r="BD2077" s="757"/>
      <c r="BE2077" s="659"/>
    </row>
    <row r="2078" spans="1:57" s="64" customFormat="1" ht="15" customHeight="1" outlineLevel="1" x14ac:dyDescent="0.25">
      <c r="A2078" s="2463"/>
      <c r="B2078" s="157"/>
      <c r="C2078" s="385"/>
      <c r="D2078" s="3589"/>
      <c r="E2078" s="3721"/>
      <c r="F2078" s="3773" t="str">
        <f>$E$1430</f>
        <v>ASHP SEER 15 MF ER replace ASHP: HVAC ER1</v>
      </c>
      <c r="G2078" s="3774"/>
      <c r="H2078" s="3774"/>
      <c r="I2078" s="3775"/>
      <c r="J2078" s="3071" t="str">
        <f>$C$1430</f>
        <v>352700_2019_12_</v>
      </c>
      <c r="K2078" s="2725">
        <v>9.0625</v>
      </c>
      <c r="L2078" s="945"/>
      <c r="M2078" s="2675" t="s">
        <v>3674</v>
      </c>
      <c r="N2078" s="157"/>
      <c r="O2078" s="277"/>
      <c r="P2078" s="937"/>
      <c r="Q2078" s="937"/>
      <c r="R2078" s="937"/>
      <c r="S2078" s="924"/>
      <c r="T2078" s="1407"/>
      <c r="U2078" s="157"/>
      <c r="V2078" s="3589"/>
      <c r="W2078" s="766">
        <v>8.6999999999999993</v>
      </c>
      <c r="X2078" s="766">
        <v>8.6999999999999993</v>
      </c>
      <c r="Y2078" s="766">
        <v>8.6999999999999993</v>
      </c>
      <c r="Z2078" s="2426">
        <v>8.6999999999999993</v>
      </c>
      <c r="AA2078" s="2426">
        <v>8.6999999999999993</v>
      </c>
      <c r="AB2078" s="2658">
        <v>9.0625</v>
      </c>
      <c r="AC2078" s="766"/>
      <c r="AD2078" s="766"/>
      <c r="AE2078" s="766"/>
      <c r="AF2078" s="766"/>
      <c r="AG2078" s="766"/>
      <c r="BB2078" s="647"/>
      <c r="BC2078" s="648"/>
      <c r="BD2078" s="757"/>
      <c r="BE2078" s="659"/>
    </row>
    <row r="2079" spans="1:57" s="64" customFormat="1" ht="15" customHeight="1" outlineLevel="1" x14ac:dyDescent="0.25">
      <c r="A2079" s="2463"/>
      <c r="B2079" s="157"/>
      <c r="C2079" s="385"/>
      <c r="D2079" s="3589"/>
      <c r="E2079" s="3721"/>
      <c r="F2079" s="3773" t="str">
        <f>$E$1432</f>
        <v>ASHP SEER 15 MF ER replace ASHP: HVAC ER2</v>
      </c>
      <c r="G2079" s="3774"/>
      <c r="H2079" s="3774"/>
      <c r="I2079" s="3775"/>
      <c r="J2079" s="3071" t="str">
        <f>$C$1432</f>
        <v>352700_2019_12_</v>
      </c>
      <c r="K2079" s="2725">
        <f>K2078</f>
        <v>9.0625</v>
      </c>
      <c r="L2079" s="945"/>
      <c r="M2079" s="2675" t="s">
        <v>3674</v>
      </c>
      <c r="N2079" s="157"/>
      <c r="O2079" s="277"/>
      <c r="P2079" s="937"/>
      <c r="Q2079" s="937"/>
      <c r="R2079" s="937"/>
      <c r="S2079" s="924"/>
      <c r="T2079" s="1407"/>
      <c r="U2079" s="157"/>
      <c r="V2079" s="3589"/>
      <c r="W2079" s="766">
        <v>8.6999999999999993</v>
      </c>
      <c r="X2079" s="766">
        <v>8.6999999999999993</v>
      </c>
      <c r="Y2079" s="766">
        <v>8.6999999999999993</v>
      </c>
      <c r="Z2079" s="2426">
        <v>8.6999999999999993</v>
      </c>
      <c r="AA2079" s="2426">
        <v>8.6999999999999993</v>
      </c>
      <c r="AB2079" s="2658">
        <v>9.0625</v>
      </c>
      <c r="AC2079" s="766"/>
      <c r="AD2079" s="766"/>
      <c r="AE2079" s="766"/>
      <c r="AF2079" s="766"/>
      <c r="AG2079" s="766"/>
      <c r="BB2079" s="647"/>
      <c r="BC2079" s="648"/>
      <c r="BD2079" s="757"/>
      <c r="BE2079" s="659"/>
    </row>
    <row r="2080" spans="1:57" s="64" customFormat="1" ht="15" customHeight="1" outlineLevel="1" x14ac:dyDescent="0.25">
      <c r="A2080" s="2463"/>
      <c r="B2080" s="157"/>
      <c r="C2080" s="385"/>
      <c r="D2080" s="3589"/>
      <c r="E2080" s="3721"/>
      <c r="F2080" s="3773" t="str">
        <f>$E$1434</f>
        <v>ASHP SEER 15 MF ER replace ASHP: HVAC ER1_CompE</v>
      </c>
      <c r="G2080" s="3774"/>
      <c r="H2080" s="3774"/>
      <c r="I2080" s="3775"/>
      <c r="J2080" s="3071" t="str">
        <f>$C$1434</f>
        <v>352701_2019_12_</v>
      </c>
      <c r="K2080" s="2703">
        <v>8.6999999999999993</v>
      </c>
      <c r="L2080" s="945"/>
      <c r="M2080" s="2718"/>
      <c r="N2080" s="157"/>
      <c r="O2080" s="277"/>
      <c r="P2080" s="937"/>
      <c r="Q2080" s="937"/>
      <c r="R2080" s="937"/>
      <c r="S2080" s="924"/>
      <c r="T2080" s="1407"/>
      <c r="U2080" s="157"/>
      <c r="V2080" s="3589"/>
      <c r="W2080" s="766"/>
      <c r="X2080" s="766"/>
      <c r="Y2080" s="765">
        <v>8.6999999999999993</v>
      </c>
      <c r="Z2080" s="2426">
        <v>8.6999999999999993</v>
      </c>
      <c r="AA2080" s="2426">
        <v>8.6999999999999993</v>
      </c>
      <c r="AB2080" s="2703">
        <v>8.6999999999999993</v>
      </c>
      <c r="AC2080" s="766"/>
      <c r="AD2080" s="766"/>
      <c r="AE2080" s="766"/>
      <c r="AF2080" s="766"/>
      <c r="AG2080" s="766"/>
      <c r="BB2080" s="647"/>
      <c r="BC2080" s="648"/>
      <c r="BD2080" s="757"/>
      <c r="BE2080" s="659"/>
    </row>
    <row r="2081" spans="1:57" s="64" customFormat="1" ht="15" customHeight="1" outlineLevel="1" x14ac:dyDescent="0.25">
      <c r="A2081" s="2463"/>
      <c r="B2081" s="157"/>
      <c r="C2081" s="385"/>
      <c r="D2081" s="3589"/>
      <c r="E2081" s="3721"/>
      <c r="F2081" s="3773" t="str">
        <f>$E$1436</f>
        <v>ASHP SEER 15 MF ER replace ASHP: HVAC ER2_CompE</v>
      </c>
      <c r="G2081" s="3774"/>
      <c r="H2081" s="3774"/>
      <c r="I2081" s="3775"/>
      <c r="J2081" s="3071" t="str">
        <f>$C$1436</f>
        <v>352701_2019_12_</v>
      </c>
      <c r="K2081" s="2703">
        <v>8.6999999999999993</v>
      </c>
      <c r="L2081" s="945"/>
      <c r="M2081" s="2718"/>
      <c r="N2081" s="157"/>
      <c r="O2081" s="277"/>
      <c r="P2081" s="937"/>
      <c r="Q2081" s="937"/>
      <c r="R2081" s="937"/>
      <c r="S2081" s="924"/>
      <c r="T2081" s="1407"/>
      <c r="U2081" s="157"/>
      <c r="V2081" s="3589"/>
      <c r="W2081" s="766"/>
      <c r="X2081" s="766"/>
      <c r="Y2081" s="765">
        <v>8.6999999999999993</v>
      </c>
      <c r="Z2081" s="2426">
        <v>8.6999999999999993</v>
      </c>
      <c r="AA2081" s="2426">
        <v>8.6999999999999993</v>
      </c>
      <c r="AB2081" s="2703">
        <v>8.6999999999999993</v>
      </c>
      <c r="AC2081" s="766"/>
      <c r="AD2081" s="766"/>
      <c r="AE2081" s="766"/>
      <c r="AF2081" s="766"/>
      <c r="AG2081" s="766"/>
      <c r="BB2081" s="647"/>
      <c r="BC2081" s="648"/>
      <c r="BD2081" s="757"/>
      <c r="BE2081" s="659"/>
    </row>
    <row r="2082" spans="1:57" s="64" customFormat="1" ht="15" customHeight="1" outlineLevel="1" x14ac:dyDescent="0.25">
      <c r="A2082" s="2463"/>
      <c r="B2082" s="157"/>
      <c r="C2082" s="385"/>
      <c r="D2082" s="3589"/>
      <c r="E2082" s="3721"/>
      <c r="F2082" s="3773" t="str">
        <f>$E$1438</f>
        <v>ASHP SEER 15 MF ER replace Elec Resist Furnace: HVAC ER1</v>
      </c>
      <c r="G2082" s="3774"/>
      <c r="H2082" s="3774"/>
      <c r="I2082" s="3775"/>
      <c r="J2082" s="3071" t="str">
        <f>$C$1438</f>
        <v>352750_2019_12_</v>
      </c>
      <c r="K2082" s="2703">
        <v>8.75</v>
      </c>
      <c r="L2082" s="945"/>
      <c r="M2082" s="2675" t="s">
        <v>3674</v>
      </c>
      <c r="N2082" s="157"/>
      <c r="O2082" s="277"/>
      <c r="P2082" s="937"/>
      <c r="Q2082" s="937"/>
      <c r="R2082" s="937"/>
      <c r="S2082" s="924"/>
      <c r="T2082" s="1407"/>
      <c r="U2082" s="157"/>
      <c r="V2082" s="3589"/>
      <c r="W2082" s="766">
        <v>8.6999999999999993</v>
      </c>
      <c r="X2082" s="766">
        <v>8.6999999999999993</v>
      </c>
      <c r="Y2082" s="766">
        <v>8.6999999999999993</v>
      </c>
      <c r="Z2082" s="2426">
        <v>8.6999999999999993</v>
      </c>
      <c r="AA2082" s="2426">
        <v>8.6999999999999993</v>
      </c>
      <c r="AB2082" s="2660">
        <v>8.75</v>
      </c>
      <c r="AC2082" s="766"/>
      <c r="AD2082" s="766"/>
      <c r="AE2082" s="766"/>
      <c r="AF2082" s="766"/>
      <c r="AG2082" s="766"/>
      <c r="BB2082" s="647"/>
      <c r="BC2082" s="648"/>
      <c r="BD2082" s="757"/>
      <c r="BE2082" s="659"/>
    </row>
    <row r="2083" spans="1:57" s="64" customFormat="1" ht="15" customHeight="1" outlineLevel="1" x14ac:dyDescent="0.25">
      <c r="A2083" s="2463"/>
      <c r="B2083" s="157"/>
      <c r="C2083" s="385"/>
      <c r="D2083" s="3589"/>
      <c r="E2083" s="3721"/>
      <c r="F2083" s="3773" t="str">
        <f>$E$1440</f>
        <v>ASHP SEER 15 MF ER replace Elec Resist Furnace: HVAC ER2</v>
      </c>
      <c r="G2083" s="3774"/>
      <c r="H2083" s="3774"/>
      <c r="I2083" s="3775"/>
      <c r="J2083" s="3071" t="str">
        <f>$C$1440</f>
        <v>352750_2019_12_</v>
      </c>
      <c r="K2083" s="2703">
        <f>K2082</f>
        <v>8.75</v>
      </c>
      <c r="L2083" s="945"/>
      <c r="M2083" s="2675" t="s">
        <v>3674</v>
      </c>
      <c r="N2083" s="157"/>
      <c r="O2083" s="277"/>
      <c r="P2083" s="937"/>
      <c r="Q2083" s="937"/>
      <c r="R2083" s="937"/>
      <c r="S2083" s="924"/>
      <c r="T2083" s="1407"/>
      <c r="U2083" s="157"/>
      <c r="V2083" s="3589"/>
      <c r="W2083" s="766">
        <v>8.6999999999999993</v>
      </c>
      <c r="X2083" s="766">
        <v>8.6999999999999993</v>
      </c>
      <c r="Y2083" s="766">
        <v>8.6999999999999993</v>
      </c>
      <c r="Z2083" s="2426">
        <v>8.6999999999999993</v>
      </c>
      <c r="AA2083" s="2426">
        <v>8.6999999999999993</v>
      </c>
      <c r="AB2083" s="2660">
        <v>8.75</v>
      </c>
      <c r="AC2083" s="766"/>
      <c r="AD2083" s="766"/>
      <c r="AE2083" s="766"/>
      <c r="AF2083" s="766"/>
      <c r="AG2083" s="766"/>
      <c r="BB2083" s="647"/>
      <c r="BC2083" s="648"/>
      <c r="BD2083" s="757"/>
      <c r="BE2083" s="659"/>
    </row>
    <row r="2084" spans="1:57" s="64" customFormat="1" ht="15" customHeight="1" outlineLevel="1" x14ac:dyDescent="0.25">
      <c r="A2084" s="2463"/>
      <c r="B2084" s="157"/>
      <c r="C2084" s="385"/>
      <c r="D2084" s="3589"/>
      <c r="E2084" s="3721"/>
      <c r="F2084" s="3773" t="str">
        <f>$E$1442</f>
        <v>ASHP SEER 15 MF ER replace Elec Resist Furnace: HVAC ER1_CompE</v>
      </c>
      <c r="G2084" s="3774"/>
      <c r="H2084" s="3774"/>
      <c r="I2084" s="3775"/>
      <c r="J2084" s="3071" t="str">
        <f>$C$1442</f>
        <v>352751_2019_12_</v>
      </c>
      <c r="K2084" s="2703">
        <f>K2082</f>
        <v>8.75</v>
      </c>
      <c r="L2084" s="945"/>
      <c r="M2084" s="2675" t="s">
        <v>3652</v>
      </c>
      <c r="N2084" s="157"/>
      <c r="O2084" s="277"/>
      <c r="P2084" s="937"/>
      <c r="Q2084" s="937"/>
      <c r="R2084" s="937"/>
      <c r="S2084" s="924"/>
      <c r="T2084" s="1407"/>
      <c r="U2084" s="157"/>
      <c r="V2084" s="3589"/>
      <c r="W2084" s="766"/>
      <c r="X2084" s="766"/>
      <c r="Y2084" s="765">
        <v>8.6999999999999993</v>
      </c>
      <c r="Z2084" s="2426">
        <v>8.6999999999999993</v>
      </c>
      <c r="AA2084" s="2426">
        <v>8.6999999999999993</v>
      </c>
      <c r="AB2084" s="2660">
        <v>8.75</v>
      </c>
      <c r="AC2084" s="766"/>
      <c r="AD2084" s="766"/>
      <c r="AE2084" s="766"/>
      <c r="AF2084" s="766"/>
      <c r="AG2084" s="766"/>
      <c r="BB2084" s="647"/>
      <c r="BC2084" s="648"/>
      <c r="BD2084" s="757"/>
      <c r="BE2084" s="659"/>
    </row>
    <row r="2085" spans="1:57" s="64" customFormat="1" ht="15" customHeight="1" outlineLevel="1" x14ac:dyDescent="0.25">
      <c r="A2085" s="2463"/>
      <c r="B2085" s="157"/>
      <c r="C2085" s="385"/>
      <c r="D2085" s="3589"/>
      <c r="E2085" s="3721"/>
      <c r="F2085" s="3773" t="str">
        <f>$E$1444</f>
        <v>ASHP SEER 15 MF ER replace Elec Resist Furnace: HVAC ER2_CompE</v>
      </c>
      <c r="G2085" s="3774"/>
      <c r="H2085" s="3774"/>
      <c r="I2085" s="3775"/>
      <c r="J2085" s="3071" t="str">
        <f>$C$1444</f>
        <v>352751_2019_12_</v>
      </c>
      <c r="K2085" s="2703">
        <f>K2083</f>
        <v>8.75</v>
      </c>
      <c r="L2085" s="945"/>
      <c r="M2085" s="2675" t="s">
        <v>3652</v>
      </c>
      <c r="N2085" s="157"/>
      <c r="O2085" s="277"/>
      <c r="P2085" s="937"/>
      <c r="Q2085" s="937"/>
      <c r="R2085" s="937"/>
      <c r="S2085" s="924"/>
      <c r="T2085" s="1407"/>
      <c r="U2085" s="157"/>
      <c r="V2085" s="3589"/>
      <c r="W2085" s="766"/>
      <c r="X2085" s="766"/>
      <c r="Y2085" s="765">
        <v>8.6999999999999993</v>
      </c>
      <c r="Z2085" s="2426">
        <v>8.6999999999999993</v>
      </c>
      <c r="AA2085" s="2426">
        <v>8.6999999999999993</v>
      </c>
      <c r="AB2085" s="2660">
        <v>8.75</v>
      </c>
      <c r="AC2085" s="766"/>
      <c r="AD2085" s="766"/>
      <c r="AE2085" s="766"/>
      <c r="AF2085" s="766"/>
      <c r="AG2085" s="766"/>
      <c r="BB2085" s="647"/>
      <c r="BC2085" s="648"/>
      <c r="BD2085" s="757"/>
      <c r="BE2085" s="659"/>
    </row>
    <row r="2086" spans="1:57" s="64" customFormat="1" ht="15" customHeight="1" outlineLevel="1" x14ac:dyDescent="0.25">
      <c r="A2086" s="2463"/>
      <c r="B2086" s="157"/>
      <c r="C2086" s="385"/>
      <c r="D2086" s="3589"/>
      <c r="E2086" s="3721"/>
      <c r="F2086" s="3773" t="str">
        <f>$E$1446</f>
        <v>ASHP SEER 15 MF replace at Fail Elec Resist Furnace: HVAC</v>
      </c>
      <c r="G2086" s="3774"/>
      <c r="H2086" s="3774"/>
      <c r="I2086" s="3775"/>
      <c r="J2086" s="3071" t="str">
        <f>$C$1446</f>
        <v>352800_2019_12_</v>
      </c>
      <c r="K2086" s="2703">
        <v>8.6</v>
      </c>
      <c r="L2086" s="945"/>
      <c r="M2086" s="2718" t="s">
        <v>1286</v>
      </c>
      <c r="N2086" s="157"/>
      <c r="O2086" s="277"/>
      <c r="P2086" s="937"/>
      <c r="Q2086" s="937"/>
      <c r="R2086" s="937"/>
      <c r="S2086" s="924"/>
      <c r="T2086" s="1407"/>
      <c r="U2086" s="157"/>
      <c r="V2086" s="3589"/>
      <c r="W2086" s="766">
        <v>8.6</v>
      </c>
      <c r="X2086" s="766">
        <v>8.6</v>
      </c>
      <c r="Y2086" s="766">
        <v>8.6</v>
      </c>
      <c r="Z2086" s="2426">
        <v>8.6</v>
      </c>
      <c r="AA2086" s="2426">
        <v>8.6</v>
      </c>
      <c r="AB2086" s="2703">
        <v>8.6</v>
      </c>
      <c r="AC2086" s="766"/>
      <c r="AD2086" s="766"/>
      <c r="AE2086" s="766"/>
      <c r="AF2086" s="766"/>
      <c r="AG2086" s="766"/>
      <c r="BB2086" s="647"/>
      <c r="BC2086" s="648"/>
      <c r="BD2086" s="757"/>
      <c r="BE2086" s="659"/>
    </row>
    <row r="2087" spans="1:57" s="64" customFormat="1" ht="15" customHeight="1" outlineLevel="1" x14ac:dyDescent="0.25">
      <c r="A2087" s="2463"/>
      <c r="B2087" s="157"/>
      <c r="C2087" s="385"/>
      <c r="D2087" s="3589"/>
      <c r="E2087" s="3721"/>
      <c r="F2087" s="3773" t="str">
        <f>$E$1448</f>
        <v>ASHP SEER 15 MF replace at Fail Elec Resist Furnace: HVAC_CompE</v>
      </c>
      <c r="G2087" s="3774"/>
      <c r="H2087" s="3774"/>
      <c r="I2087" s="3775"/>
      <c r="J2087" s="3071" t="str">
        <f>$C$1448</f>
        <v>352801_2019_12_</v>
      </c>
      <c r="K2087" s="2703">
        <v>8.6</v>
      </c>
      <c r="L2087" s="945"/>
      <c r="M2087" s="2718"/>
      <c r="N2087" s="157"/>
      <c r="O2087" s="277"/>
      <c r="P2087" s="937"/>
      <c r="Q2087" s="937"/>
      <c r="R2087" s="937"/>
      <c r="S2087" s="924"/>
      <c r="T2087" s="1407"/>
      <c r="U2087" s="157"/>
      <c r="V2087" s="3589"/>
      <c r="W2087" s="766"/>
      <c r="X2087" s="766"/>
      <c r="Y2087" s="765">
        <v>8.6</v>
      </c>
      <c r="Z2087" s="2426">
        <v>8.6</v>
      </c>
      <c r="AA2087" s="2426">
        <v>8.6</v>
      </c>
      <c r="AB2087" s="2703">
        <v>8.6</v>
      </c>
      <c r="AC2087" s="766"/>
      <c r="AD2087" s="766"/>
      <c r="AE2087" s="766"/>
      <c r="AF2087" s="766"/>
      <c r="AG2087" s="766"/>
      <c r="BB2087" s="647"/>
      <c r="BC2087" s="648"/>
      <c r="BD2087" s="757"/>
      <c r="BE2087" s="659"/>
    </row>
    <row r="2088" spans="1:57" s="64" customFormat="1" ht="15" customHeight="1" outlineLevel="1" x14ac:dyDescent="0.25">
      <c r="A2088" s="2463"/>
      <c r="B2088" s="157"/>
      <c r="C2088" s="385"/>
      <c r="D2088" s="3589"/>
      <c r="E2088" s="3721"/>
      <c r="F2088" s="3773" t="str">
        <f>$E$1450</f>
        <v>ASHP SEER 16 MF ER replace ASHP: HVAC ER1</v>
      </c>
      <c r="G2088" s="3774"/>
      <c r="H2088" s="3774"/>
      <c r="I2088" s="3775"/>
      <c r="J2088" s="3071" t="str">
        <f>$C$1450</f>
        <v>352850_2019_12_</v>
      </c>
      <c r="K2088" s="2703">
        <v>9.5</v>
      </c>
      <c r="L2088" s="945"/>
      <c r="M2088" s="2718" t="s">
        <v>1286</v>
      </c>
      <c r="N2088" s="157"/>
      <c r="O2088" s="277"/>
      <c r="P2088" s="937"/>
      <c r="Q2088" s="937"/>
      <c r="R2088" s="937"/>
      <c r="S2088" s="924"/>
      <c r="T2088" s="1407"/>
      <c r="U2088" s="157"/>
      <c r="V2088" s="3589"/>
      <c r="W2088" s="766">
        <v>9.5</v>
      </c>
      <c r="X2088" s="766">
        <v>9.5</v>
      </c>
      <c r="Y2088" s="766">
        <v>9.5</v>
      </c>
      <c r="Z2088" s="2426">
        <v>9.5</v>
      </c>
      <c r="AA2088" s="2426">
        <v>9.5</v>
      </c>
      <c r="AB2088" s="2703">
        <v>9.5</v>
      </c>
      <c r="AC2088" s="766"/>
      <c r="AD2088" s="766"/>
      <c r="AE2088" s="766"/>
      <c r="AF2088" s="766"/>
      <c r="AG2088" s="766"/>
      <c r="BB2088" s="647"/>
      <c r="BC2088" s="648"/>
      <c r="BD2088" s="757"/>
      <c r="BE2088" s="659"/>
    </row>
    <row r="2089" spans="1:57" s="64" customFormat="1" ht="15" customHeight="1" outlineLevel="1" x14ac:dyDescent="0.25">
      <c r="A2089" s="2463"/>
      <c r="B2089" s="157"/>
      <c r="C2089" s="385"/>
      <c r="D2089" s="3589"/>
      <c r="E2089" s="3721"/>
      <c r="F2089" s="3773" t="str">
        <f>$E$1452</f>
        <v>ASHP SEER 16 MF ER replace ASHP: HVAC ER2</v>
      </c>
      <c r="G2089" s="3774"/>
      <c r="H2089" s="3774"/>
      <c r="I2089" s="3775"/>
      <c r="J2089" s="3071" t="str">
        <f>$C$1452</f>
        <v>352850_2019_12_</v>
      </c>
      <c r="K2089" s="2703">
        <v>9.5</v>
      </c>
      <c r="L2089" s="945"/>
      <c r="M2089" s="2718" t="s">
        <v>1286</v>
      </c>
      <c r="N2089" s="157"/>
      <c r="O2089" s="277"/>
      <c r="P2089" s="937"/>
      <c r="Q2089" s="937"/>
      <c r="R2089" s="937"/>
      <c r="S2089" s="924"/>
      <c r="T2089" s="1407"/>
      <c r="U2089" s="157"/>
      <c r="V2089" s="3589"/>
      <c r="W2089" s="766">
        <v>9.5</v>
      </c>
      <c r="X2089" s="766">
        <v>9.5</v>
      </c>
      <c r="Y2089" s="766">
        <v>9.5</v>
      </c>
      <c r="Z2089" s="2426">
        <v>9.5</v>
      </c>
      <c r="AA2089" s="2426">
        <v>9.5</v>
      </c>
      <c r="AB2089" s="2703">
        <v>9.5</v>
      </c>
      <c r="AC2089" s="766"/>
      <c r="AD2089" s="766"/>
      <c r="AE2089" s="766"/>
      <c r="AF2089" s="766"/>
      <c r="AG2089" s="766"/>
      <c r="BB2089" s="647"/>
      <c r="BC2089" s="648"/>
      <c r="BD2089" s="757"/>
      <c r="BE2089" s="659"/>
    </row>
    <row r="2090" spans="1:57" s="64" customFormat="1" ht="15" customHeight="1" outlineLevel="1" x14ac:dyDescent="0.25">
      <c r="A2090" s="2463"/>
      <c r="B2090" s="157"/>
      <c r="C2090" s="385"/>
      <c r="D2090" s="3589"/>
      <c r="E2090" s="3721"/>
      <c r="F2090" s="3773" t="str">
        <f>$E$1454</f>
        <v>ASHP SEER 16 MF ER replace ASHP: HVAC ER1_CompE</v>
      </c>
      <c r="G2090" s="3774"/>
      <c r="H2090" s="3774"/>
      <c r="I2090" s="3775"/>
      <c r="J2090" s="3071" t="str">
        <f>$C$1454</f>
        <v>352851_2019_12_</v>
      </c>
      <c r="K2090" s="2703">
        <v>9.5</v>
      </c>
      <c r="L2090" s="945"/>
      <c r="M2090" s="2718"/>
      <c r="N2090" s="157"/>
      <c r="O2090" s="277"/>
      <c r="P2090" s="937"/>
      <c r="Q2090" s="937"/>
      <c r="R2090" s="937"/>
      <c r="S2090" s="924"/>
      <c r="T2090" s="1407"/>
      <c r="U2090" s="157"/>
      <c r="V2090" s="3589"/>
      <c r="W2090" s="766"/>
      <c r="X2090" s="766"/>
      <c r="Y2090" s="765">
        <v>9.5</v>
      </c>
      <c r="Z2090" s="2426">
        <v>9.5</v>
      </c>
      <c r="AA2090" s="2426">
        <v>9.5</v>
      </c>
      <c r="AB2090" s="2703">
        <v>9.5</v>
      </c>
      <c r="AC2090" s="766"/>
      <c r="AD2090" s="766"/>
      <c r="AE2090" s="766"/>
      <c r="AF2090" s="766"/>
      <c r="AG2090" s="766"/>
      <c r="BB2090" s="647"/>
      <c r="BC2090" s="648"/>
      <c r="BD2090" s="757"/>
      <c r="BE2090" s="659"/>
    </row>
    <row r="2091" spans="1:57" s="64" customFormat="1" ht="15" customHeight="1" outlineLevel="1" x14ac:dyDescent="0.25">
      <c r="A2091" s="2463"/>
      <c r="B2091" s="157"/>
      <c r="C2091" s="385"/>
      <c r="D2091" s="3589"/>
      <c r="E2091" s="3721"/>
      <c r="F2091" s="3773" t="str">
        <f>$E$1456</f>
        <v>ASHP SEER 16 MF ER replace ASHP: HVAC ER2_CompE</v>
      </c>
      <c r="G2091" s="3774"/>
      <c r="H2091" s="3774"/>
      <c r="I2091" s="3775"/>
      <c r="J2091" s="3071" t="str">
        <f>$C$1456</f>
        <v>352851_2019_12_</v>
      </c>
      <c r="K2091" s="2703">
        <v>9.5</v>
      </c>
      <c r="L2091" s="945"/>
      <c r="M2091" s="2718"/>
      <c r="N2091" s="157"/>
      <c r="O2091" s="277"/>
      <c r="P2091" s="937"/>
      <c r="Q2091" s="937"/>
      <c r="R2091" s="937"/>
      <c r="S2091" s="924"/>
      <c r="T2091" s="1407"/>
      <c r="U2091" s="157"/>
      <c r="V2091" s="3589"/>
      <c r="W2091" s="766"/>
      <c r="X2091" s="766"/>
      <c r="Y2091" s="765">
        <v>9.5</v>
      </c>
      <c r="Z2091" s="2426">
        <v>9.5</v>
      </c>
      <c r="AA2091" s="2426">
        <v>9.5</v>
      </c>
      <c r="AB2091" s="2703">
        <v>9.5</v>
      </c>
      <c r="AC2091" s="766"/>
      <c r="AD2091" s="766"/>
      <c r="AE2091" s="766"/>
      <c r="AF2091" s="766"/>
      <c r="AG2091" s="766"/>
      <c r="BB2091" s="647"/>
      <c r="BC2091" s="648"/>
      <c r="BD2091" s="757"/>
      <c r="BE2091" s="659"/>
    </row>
    <row r="2092" spans="1:57" s="64" customFormat="1" ht="15" customHeight="1" outlineLevel="1" x14ac:dyDescent="0.25">
      <c r="A2092" s="2463"/>
      <c r="B2092" s="157"/>
      <c r="C2092" s="385"/>
      <c r="D2092" s="3589"/>
      <c r="E2092" s="3721"/>
      <c r="F2092" s="3773" t="str">
        <f>$E$1458</f>
        <v>ASHP - SEER 16 - replace on fail MF</v>
      </c>
      <c r="G2092" s="3774"/>
      <c r="H2092" s="3774"/>
      <c r="I2092" s="3775"/>
      <c r="J2092" s="3071" t="str">
        <f>$C$1458</f>
        <v>352900_2019_12_</v>
      </c>
      <c r="K2092" s="2703">
        <v>9.8000000000000007</v>
      </c>
      <c r="L2092" s="945"/>
      <c r="M2092" s="2718" t="s">
        <v>1286</v>
      </c>
      <c r="N2092" s="157"/>
      <c r="O2092" s="277"/>
      <c r="P2092" s="937"/>
      <c r="Q2092" s="937"/>
      <c r="R2092" s="937"/>
      <c r="S2092" s="924"/>
      <c r="T2092" s="1407"/>
      <c r="U2092" s="157"/>
      <c r="V2092" s="3589"/>
      <c r="W2092" s="766">
        <v>9.8000000000000007</v>
      </c>
      <c r="X2092" s="766">
        <v>9.8000000000000007</v>
      </c>
      <c r="Y2092" s="766">
        <v>9.8000000000000007</v>
      </c>
      <c r="Z2092" s="2426">
        <v>9.8000000000000007</v>
      </c>
      <c r="AA2092" s="2426">
        <v>9.8000000000000007</v>
      </c>
      <c r="AB2092" s="2703">
        <v>9.8000000000000007</v>
      </c>
      <c r="AC2092" s="766"/>
      <c r="AD2092" s="766"/>
      <c r="AE2092" s="766"/>
      <c r="AF2092" s="766"/>
      <c r="AG2092" s="766"/>
      <c r="BB2092" s="647"/>
      <c r="BC2092" s="648"/>
      <c r="BD2092" s="757"/>
      <c r="BE2092" s="659"/>
    </row>
    <row r="2093" spans="1:57" s="64" customFormat="1" ht="15" customHeight="1" outlineLevel="1" x14ac:dyDescent="0.25">
      <c r="A2093" s="2463"/>
      <c r="B2093" s="157"/>
      <c r="C2093" s="385"/>
      <c r="D2093" s="3589"/>
      <c r="E2093" s="3721"/>
      <c r="F2093" s="3773" t="str">
        <f>$E$1460</f>
        <v>ASHP - SEER 16 - replace on fail MF_CompE</v>
      </c>
      <c r="G2093" s="3774"/>
      <c r="H2093" s="3774"/>
      <c r="I2093" s="3775"/>
      <c r="J2093" s="3071" t="str">
        <f>$C$1460</f>
        <v>352901_2019_12_</v>
      </c>
      <c r="K2093" s="2703">
        <v>9.8000000000000007</v>
      </c>
      <c r="L2093" s="945"/>
      <c r="M2093" s="2718"/>
      <c r="N2093" s="157"/>
      <c r="O2093" s="277"/>
      <c r="P2093" s="937"/>
      <c r="Q2093" s="937"/>
      <c r="R2093" s="937"/>
      <c r="S2093" s="924"/>
      <c r="T2093" s="1407"/>
      <c r="U2093" s="157"/>
      <c r="V2093" s="3589"/>
      <c r="W2093" s="766"/>
      <c r="X2093" s="766"/>
      <c r="Y2093" s="765">
        <v>9.8000000000000007</v>
      </c>
      <c r="Z2093" s="2426">
        <v>9.8000000000000007</v>
      </c>
      <c r="AA2093" s="2426">
        <v>9.8000000000000007</v>
      </c>
      <c r="AB2093" s="2703">
        <v>9.8000000000000007</v>
      </c>
      <c r="AC2093" s="766"/>
      <c r="AD2093" s="766"/>
      <c r="AE2093" s="766"/>
      <c r="AF2093" s="766"/>
      <c r="AG2093" s="766"/>
      <c r="BB2093" s="647"/>
      <c r="BC2093" s="648"/>
      <c r="BD2093" s="757"/>
      <c r="BE2093" s="659"/>
    </row>
    <row r="2094" spans="1:57" s="64" customFormat="1" ht="15" customHeight="1" outlineLevel="1" x14ac:dyDescent="0.25">
      <c r="A2094" s="2463"/>
      <c r="B2094" s="157"/>
      <c r="C2094" s="385"/>
      <c r="D2094" s="3589"/>
      <c r="E2094" s="3721"/>
      <c r="F2094" s="3773" t="str">
        <f>$E$1462</f>
        <v>ASHP - SEER 16 - replace electric furnace / CAC MF</v>
      </c>
      <c r="G2094" s="3774"/>
      <c r="H2094" s="3774"/>
      <c r="I2094" s="3775"/>
      <c r="J2094" s="3071" t="str">
        <f>$C$1462</f>
        <v>352950_2019_12_</v>
      </c>
      <c r="K2094" s="2703">
        <v>9.1999999999999993</v>
      </c>
      <c r="L2094" s="945"/>
      <c r="M2094" s="2675" t="s">
        <v>3674</v>
      </c>
      <c r="N2094" s="157"/>
      <c r="O2094" s="277"/>
      <c r="P2094" s="937"/>
      <c r="Q2094" s="937"/>
      <c r="R2094" s="937"/>
      <c r="S2094" s="924"/>
      <c r="T2094" s="1407"/>
      <c r="U2094" s="157"/>
      <c r="V2094" s="3589"/>
      <c r="W2094" s="766">
        <v>9.6999999999999993</v>
      </c>
      <c r="X2094" s="766">
        <v>9.6999999999999993</v>
      </c>
      <c r="Y2094" s="766">
        <v>9.6999999999999993</v>
      </c>
      <c r="Z2094" s="2426">
        <v>9.6999999999999993</v>
      </c>
      <c r="AA2094" s="2426">
        <v>9.6999999999999993</v>
      </c>
      <c r="AB2094" s="2660">
        <v>9.1999999999999993</v>
      </c>
      <c r="AC2094" s="766"/>
      <c r="AD2094" s="766"/>
      <c r="AE2094" s="766"/>
      <c r="AF2094" s="766"/>
      <c r="AG2094" s="766"/>
      <c r="BB2094" s="647"/>
      <c r="BC2094" s="648"/>
      <c r="BD2094" s="757"/>
      <c r="BE2094" s="659"/>
    </row>
    <row r="2095" spans="1:57" s="64" customFormat="1" ht="15" customHeight="1" outlineLevel="1" x14ac:dyDescent="0.25">
      <c r="A2095" s="2463"/>
      <c r="B2095" s="157"/>
      <c r="C2095" s="385"/>
      <c r="D2095" s="3589"/>
      <c r="E2095" s="3721"/>
      <c r="F2095" s="3773" t="str">
        <f>$E$1464</f>
        <v>ASHP - SEER 16 - replace electric furnace / CAC MF_CompE</v>
      </c>
      <c r="G2095" s="3774"/>
      <c r="H2095" s="3774"/>
      <c r="I2095" s="3775"/>
      <c r="J2095" s="3071" t="str">
        <f>$C$1464</f>
        <v>352951_2019_12_</v>
      </c>
      <c r="K2095" s="2703">
        <f>K2094</f>
        <v>9.1999999999999993</v>
      </c>
      <c r="L2095" s="945"/>
      <c r="M2095" s="2675" t="s">
        <v>3674</v>
      </c>
      <c r="N2095" s="157"/>
      <c r="O2095" s="277"/>
      <c r="P2095" s="937"/>
      <c r="Q2095" s="937"/>
      <c r="R2095" s="937"/>
      <c r="S2095" s="924"/>
      <c r="T2095" s="1407"/>
      <c r="U2095" s="157"/>
      <c r="V2095" s="3589"/>
      <c r="W2095" s="766"/>
      <c r="X2095" s="766"/>
      <c r="Y2095" s="765">
        <v>9.6999999999999993</v>
      </c>
      <c r="Z2095" s="2426">
        <v>9.6999999999999993</v>
      </c>
      <c r="AA2095" s="2426">
        <v>9.6999999999999993</v>
      </c>
      <c r="AB2095" s="2660">
        <v>9.1999999999999993</v>
      </c>
      <c r="AC2095" s="766"/>
      <c r="AD2095" s="766"/>
      <c r="AE2095" s="766"/>
      <c r="AF2095" s="766"/>
      <c r="AG2095" s="766"/>
      <c r="BB2095" s="647"/>
      <c r="BC2095" s="648"/>
      <c r="BD2095" s="757"/>
      <c r="BE2095" s="659"/>
    </row>
    <row r="2096" spans="1:57" s="64" customFormat="1" ht="15" customHeight="1" outlineLevel="1" x14ac:dyDescent="0.25">
      <c r="A2096" s="2463"/>
      <c r="B2096" s="157"/>
      <c r="C2096" s="385"/>
      <c r="D2096" s="3589"/>
      <c r="E2096" s="3721"/>
      <c r="F2096" s="3773" t="str">
        <f>$E$1466</f>
        <v>ASHP - SEER 16 - replace electric furnace / CAC - early replacement MF ER1</v>
      </c>
      <c r="G2096" s="3774"/>
      <c r="H2096" s="3774"/>
      <c r="I2096" s="3775"/>
      <c r="J2096" s="3071" t="str">
        <f>$C$1466</f>
        <v>353000_2019_12_</v>
      </c>
      <c r="K2096" s="2703">
        <v>7.42</v>
      </c>
      <c r="L2096" s="945"/>
      <c r="M2096" s="2675" t="s">
        <v>3674</v>
      </c>
      <c r="N2096" s="157"/>
      <c r="O2096" s="277"/>
      <c r="P2096" s="937"/>
      <c r="Q2096" s="937"/>
      <c r="R2096" s="937"/>
      <c r="S2096" s="924"/>
      <c r="T2096" s="1407"/>
      <c r="U2096" s="157"/>
      <c r="V2096" s="3589"/>
      <c r="W2096" s="766">
        <v>9.4</v>
      </c>
      <c r="X2096" s="766">
        <v>9.4</v>
      </c>
      <c r="Y2096" s="766">
        <v>9.4</v>
      </c>
      <c r="Z2096" s="2426">
        <v>9.4</v>
      </c>
      <c r="AA2096" s="2426">
        <v>9.4</v>
      </c>
      <c r="AB2096" s="2660">
        <v>7.42</v>
      </c>
      <c r="AC2096" s="766"/>
      <c r="AD2096" s="766"/>
      <c r="AE2096" s="766"/>
      <c r="AF2096" s="766"/>
      <c r="AG2096" s="766"/>
      <c r="BB2096" s="647"/>
      <c r="BC2096" s="648"/>
      <c r="BD2096" s="757"/>
      <c r="BE2096" s="659"/>
    </row>
    <row r="2097" spans="1:57" s="64" customFormat="1" ht="15" customHeight="1" outlineLevel="1" x14ac:dyDescent="0.25">
      <c r="A2097" s="2463"/>
      <c r="B2097" s="157"/>
      <c r="C2097" s="385"/>
      <c r="D2097" s="3589"/>
      <c r="E2097" s="3721"/>
      <c r="F2097" s="3773" t="str">
        <f>$E$1468</f>
        <v>ASHP - SEER 16 - replace electric furnace / CAC - early replacement MF ER2</v>
      </c>
      <c r="G2097" s="3774"/>
      <c r="H2097" s="3774"/>
      <c r="I2097" s="3775"/>
      <c r="J2097" s="3071" t="str">
        <f>$C$1468</f>
        <v>353000_2019_12_</v>
      </c>
      <c r="K2097" s="2703">
        <v>7.42</v>
      </c>
      <c r="L2097" s="945"/>
      <c r="M2097" s="2675" t="s">
        <v>3674</v>
      </c>
      <c r="N2097" s="157"/>
      <c r="O2097" s="277"/>
      <c r="P2097" s="937"/>
      <c r="Q2097" s="937"/>
      <c r="R2097" s="937"/>
      <c r="S2097" s="924"/>
      <c r="T2097" s="1407"/>
      <c r="U2097" s="157"/>
      <c r="V2097" s="3589"/>
      <c r="W2097" s="766">
        <v>9.4</v>
      </c>
      <c r="X2097" s="766">
        <v>9.4</v>
      </c>
      <c r="Y2097" s="766">
        <v>9.4</v>
      </c>
      <c r="Z2097" s="2426">
        <v>9.4</v>
      </c>
      <c r="AA2097" s="2426">
        <v>9.4</v>
      </c>
      <c r="AB2097" s="2660">
        <v>7.42</v>
      </c>
      <c r="AC2097" s="766"/>
      <c r="AD2097" s="766"/>
      <c r="AE2097" s="766"/>
      <c r="AF2097" s="766"/>
      <c r="AG2097" s="766"/>
      <c r="BB2097" s="647"/>
      <c r="BC2097" s="648"/>
      <c r="BD2097" s="757"/>
      <c r="BE2097" s="659"/>
    </row>
    <row r="2098" spans="1:57" s="64" customFormat="1" ht="15" customHeight="1" outlineLevel="1" x14ac:dyDescent="0.25">
      <c r="A2098" s="2463"/>
      <c r="B2098" s="157"/>
      <c r="C2098" s="385"/>
      <c r="D2098" s="3589"/>
      <c r="E2098" s="3721"/>
      <c r="F2098" s="3773" t="str">
        <f>$E$1470</f>
        <v>ASHP - SEER 16 - replace electric furnace / CAC - early replacement MF ER1_CompE</v>
      </c>
      <c r="G2098" s="3774"/>
      <c r="H2098" s="3774"/>
      <c r="I2098" s="3775"/>
      <c r="J2098" s="3071" t="str">
        <f>$C$1470</f>
        <v>353001_2019_12_</v>
      </c>
      <c r="K2098" s="2703">
        <v>7.42</v>
      </c>
      <c r="L2098" s="945"/>
      <c r="M2098" s="2675" t="s">
        <v>3652</v>
      </c>
      <c r="N2098" s="157"/>
      <c r="O2098" s="277"/>
      <c r="P2098" s="937"/>
      <c r="Q2098" s="937"/>
      <c r="R2098" s="937"/>
      <c r="S2098" s="924"/>
      <c r="T2098" s="1407"/>
      <c r="U2098" s="157"/>
      <c r="V2098" s="3589"/>
      <c r="W2098" s="766"/>
      <c r="X2098" s="766"/>
      <c r="Y2098" s="765">
        <v>9.4</v>
      </c>
      <c r="Z2098" s="2426">
        <v>9.4</v>
      </c>
      <c r="AA2098" s="2426">
        <v>9.4</v>
      </c>
      <c r="AB2098" s="2660">
        <v>7.42</v>
      </c>
      <c r="AC2098" s="766"/>
      <c r="AD2098" s="766"/>
      <c r="AE2098" s="766"/>
      <c r="AF2098" s="766"/>
      <c r="AG2098" s="766"/>
      <c r="BB2098" s="647"/>
      <c r="BC2098" s="648"/>
      <c r="BD2098" s="757"/>
      <c r="BE2098" s="659"/>
    </row>
    <row r="2099" spans="1:57" s="64" customFormat="1" ht="15" customHeight="1" outlineLevel="1" x14ac:dyDescent="0.25">
      <c r="A2099" s="2463"/>
      <c r="B2099" s="157"/>
      <c r="C2099" s="385"/>
      <c r="D2099" s="3589"/>
      <c r="E2099" s="3721"/>
      <c r="F2099" s="3773" t="str">
        <f>$E$1472</f>
        <v>ASHP - SEER 16 - replace electric furnace / CAC - early replacement MF ER2_CompE</v>
      </c>
      <c r="G2099" s="3774"/>
      <c r="H2099" s="3774"/>
      <c r="I2099" s="3775"/>
      <c r="J2099" s="3071" t="str">
        <f>$C$1472</f>
        <v>353001_2019_12_</v>
      </c>
      <c r="K2099" s="2703">
        <v>7.42</v>
      </c>
      <c r="L2099" s="945"/>
      <c r="M2099" s="2675" t="s">
        <v>3652</v>
      </c>
      <c r="N2099" s="157"/>
      <c r="O2099" s="277"/>
      <c r="P2099" s="937"/>
      <c r="Q2099" s="937"/>
      <c r="R2099" s="937"/>
      <c r="S2099" s="924"/>
      <c r="T2099" s="1407"/>
      <c r="U2099" s="157"/>
      <c r="V2099" s="3589"/>
      <c r="W2099" s="766"/>
      <c r="X2099" s="766"/>
      <c r="Y2099" s="765">
        <v>9.4</v>
      </c>
      <c r="Z2099" s="2426">
        <v>9.4</v>
      </c>
      <c r="AA2099" s="2426">
        <v>9.4</v>
      </c>
      <c r="AB2099" s="2660">
        <v>7.42</v>
      </c>
      <c r="AC2099" s="766"/>
      <c r="AD2099" s="766"/>
      <c r="AE2099" s="766"/>
      <c r="AF2099" s="766"/>
      <c r="AG2099" s="766"/>
      <c r="BB2099" s="647"/>
      <c r="BC2099" s="648"/>
      <c r="BD2099" s="757"/>
      <c r="BE2099" s="659"/>
    </row>
    <row r="2100" spans="1:57" s="64" customFormat="1" ht="15" customHeight="1" outlineLevel="1" x14ac:dyDescent="0.25">
      <c r="A2100" s="2463"/>
      <c r="B2100" s="157"/>
      <c r="C2100" s="385"/>
      <c r="D2100" s="3589"/>
      <c r="E2100" s="3721"/>
      <c r="F2100" s="3776" t="str">
        <f>$E$1474</f>
        <v xml:space="preserve">ASHP SEER 15 - replace on Fail MF </v>
      </c>
      <c r="G2100" s="3777"/>
      <c r="H2100" s="3777"/>
      <c r="I2100" s="3778"/>
      <c r="J2100" s="3072" t="str">
        <f>$C$1474</f>
        <v>353050_2019_12_</v>
      </c>
      <c r="K2100" s="2703">
        <v>8.6999999999999993</v>
      </c>
      <c r="L2100" s="945"/>
      <c r="M2100" s="2718" t="s">
        <v>1286</v>
      </c>
      <c r="N2100" s="157"/>
      <c r="O2100" s="277"/>
      <c r="P2100" s="937"/>
      <c r="Q2100" s="937"/>
      <c r="R2100" s="937"/>
      <c r="S2100" s="924"/>
      <c r="T2100" s="1407"/>
      <c r="U2100" s="157"/>
      <c r="V2100" s="3589"/>
      <c r="W2100" s="766">
        <v>8.6999999999999993</v>
      </c>
      <c r="X2100" s="766">
        <v>8.6999999999999993</v>
      </c>
      <c r="Y2100" s="766">
        <v>8.6999999999999993</v>
      </c>
      <c r="Z2100" s="2426">
        <v>8.6999999999999993</v>
      </c>
      <c r="AA2100" s="2426">
        <v>8.6999999999999993</v>
      </c>
      <c r="AB2100" s="2703">
        <v>8.6999999999999993</v>
      </c>
      <c r="AC2100" s="766"/>
      <c r="AD2100" s="766"/>
      <c r="AE2100" s="766"/>
      <c r="AF2100" s="766"/>
      <c r="AG2100" s="766"/>
      <c r="BB2100" s="647"/>
      <c r="BC2100" s="648"/>
      <c r="BD2100" s="757"/>
      <c r="BE2100" s="659"/>
    </row>
    <row r="2101" spans="1:57" s="64" customFormat="1" ht="15" customHeight="1" outlineLevel="1" x14ac:dyDescent="0.25">
      <c r="A2101" s="2463"/>
      <c r="B2101" s="157"/>
      <c r="C2101" s="385"/>
      <c r="D2101" s="3589"/>
      <c r="E2101" s="3721"/>
      <c r="F2101" s="3776" t="str">
        <f>$E$1476</f>
        <v>ASHP SEER 15 - replace on Fail MF _CompE</v>
      </c>
      <c r="G2101" s="3777"/>
      <c r="H2101" s="3777"/>
      <c r="I2101" s="3778"/>
      <c r="J2101" s="3072" t="str">
        <f>$C$1476</f>
        <v>353051_2019_12_</v>
      </c>
      <c r="K2101" s="2703">
        <v>8.6999999999999993</v>
      </c>
      <c r="L2101" s="945"/>
      <c r="M2101" s="2718"/>
      <c r="N2101" s="157"/>
      <c r="O2101" s="277"/>
      <c r="P2101" s="937"/>
      <c r="Q2101" s="937"/>
      <c r="R2101" s="937"/>
      <c r="S2101" s="924"/>
      <c r="T2101" s="1407"/>
      <c r="U2101" s="157"/>
      <c r="V2101" s="3589"/>
      <c r="W2101" s="766"/>
      <c r="X2101" s="766"/>
      <c r="Y2101" s="765">
        <v>8.6999999999999993</v>
      </c>
      <c r="Z2101" s="2426">
        <v>8.6999999999999993</v>
      </c>
      <c r="AA2101" s="2426">
        <v>8.6999999999999993</v>
      </c>
      <c r="AB2101" s="2703">
        <v>8.6999999999999993</v>
      </c>
      <c r="AC2101" s="766"/>
      <c r="AD2101" s="766"/>
      <c r="AE2101" s="766"/>
      <c r="AF2101" s="766"/>
      <c r="AG2101" s="766"/>
      <c r="BB2101" s="647"/>
      <c r="BC2101" s="648"/>
      <c r="BD2101" s="757"/>
      <c r="BE2101" s="659"/>
    </row>
    <row r="2102" spans="1:57" s="64" customFormat="1" ht="15" customHeight="1" outlineLevel="1" x14ac:dyDescent="0.25">
      <c r="A2102" s="2463"/>
      <c r="B2102" s="157"/>
      <c r="C2102" s="385"/>
      <c r="D2102" s="3589"/>
      <c r="E2102" s="3721"/>
      <c r="F2102" s="3773" t="str">
        <f>$E$1478</f>
        <v>ASHP - SEER 17 - replace electric furnace / CAC SF</v>
      </c>
      <c r="G2102" s="3774"/>
      <c r="H2102" s="3774"/>
      <c r="I2102" s="3775"/>
      <c r="J2102" s="3071" t="str">
        <f>$C$1478</f>
        <v>353100_2019_12_</v>
      </c>
      <c r="K2102" s="2703">
        <v>9.6999999999999993</v>
      </c>
      <c r="L2102" s="945"/>
      <c r="M2102" s="2718" t="s">
        <v>1503</v>
      </c>
      <c r="N2102" s="157"/>
      <c r="O2102" s="277"/>
      <c r="P2102" s="937"/>
      <c r="Q2102" s="937"/>
      <c r="R2102" s="937"/>
      <c r="S2102" s="924"/>
      <c r="T2102" s="1407"/>
      <c r="U2102" s="157"/>
      <c r="V2102" s="3589"/>
      <c r="W2102" s="766">
        <v>9.6999999999999993</v>
      </c>
      <c r="X2102" s="766">
        <v>9.6999999999999993</v>
      </c>
      <c r="Y2102" s="766">
        <v>9.6999999999999993</v>
      </c>
      <c r="Z2102" s="2426">
        <v>9.6999999999999993</v>
      </c>
      <c r="AA2102" s="2426">
        <v>9.6999999999999993</v>
      </c>
      <c r="AB2102" s="2703">
        <v>9.6999999999999993</v>
      </c>
      <c r="AC2102" s="766"/>
      <c r="AD2102" s="766"/>
      <c r="AE2102" s="766"/>
      <c r="AF2102" s="766"/>
      <c r="AG2102" s="766"/>
      <c r="BB2102" s="647"/>
      <c r="BC2102" s="648"/>
      <c r="BD2102" s="757"/>
      <c r="BE2102" s="659"/>
    </row>
    <row r="2103" spans="1:57" s="64" customFormat="1" ht="15" customHeight="1" outlineLevel="1" x14ac:dyDescent="0.25">
      <c r="A2103" s="2463"/>
      <c r="B2103" s="157"/>
      <c r="C2103" s="385"/>
      <c r="D2103" s="3589"/>
      <c r="E2103" s="3721"/>
      <c r="F2103" s="3773" t="str">
        <f>$E$1480</f>
        <v>ASHP - SEER 17 - replace electric furnace / CAC MF</v>
      </c>
      <c r="G2103" s="3774"/>
      <c r="H2103" s="3774"/>
      <c r="I2103" s="3775"/>
      <c r="J2103" s="3071" t="str">
        <f>$C$1480</f>
        <v>353150_2019_12_</v>
      </c>
      <c r="K2103" s="2703">
        <v>9.6999999999999993</v>
      </c>
      <c r="L2103" s="945"/>
      <c r="M2103" s="2718" t="s">
        <v>1503</v>
      </c>
      <c r="N2103" s="157"/>
      <c r="O2103" s="277"/>
      <c r="P2103" s="937"/>
      <c r="Q2103" s="937"/>
      <c r="R2103" s="937"/>
      <c r="S2103" s="924"/>
      <c r="T2103" s="1407"/>
      <c r="U2103" s="157"/>
      <c r="V2103" s="3589"/>
      <c r="W2103" s="766">
        <v>9.6999999999999993</v>
      </c>
      <c r="X2103" s="766">
        <v>9.6999999999999993</v>
      </c>
      <c r="Y2103" s="766">
        <v>9.6999999999999993</v>
      </c>
      <c r="Z2103" s="2426">
        <v>9.6999999999999993</v>
      </c>
      <c r="AA2103" s="2426">
        <v>9.6999999999999993</v>
      </c>
      <c r="AB2103" s="2703">
        <v>9.6999999999999993</v>
      </c>
      <c r="AC2103" s="766"/>
      <c r="AD2103" s="766"/>
      <c r="AE2103" s="766"/>
      <c r="AF2103" s="766"/>
      <c r="AG2103" s="766"/>
      <c r="BB2103" s="647"/>
      <c r="BC2103" s="648"/>
      <c r="BD2103" s="757"/>
      <c r="BE2103" s="659"/>
    </row>
    <row r="2104" spans="1:57" s="64" customFormat="1" ht="15" customHeight="1" outlineLevel="1" x14ac:dyDescent="0.25">
      <c r="A2104" s="2463"/>
      <c r="B2104" s="157"/>
      <c r="C2104" s="385"/>
      <c r="D2104" s="3589"/>
      <c r="E2104" s="3721"/>
      <c r="F2104" s="3773" t="str">
        <f>$E$1482</f>
        <v>ASHP - SEER 17 - replace electric furnace / CAC MF_CompE</v>
      </c>
      <c r="G2104" s="3774"/>
      <c r="H2104" s="3774"/>
      <c r="I2104" s="3775"/>
      <c r="J2104" s="3071" t="str">
        <f>$C$1482</f>
        <v>353151_2019_12_</v>
      </c>
      <c r="K2104" s="2703">
        <v>9.6999999999999993</v>
      </c>
      <c r="L2104" s="945"/>
      <c r="M2104" s="2718"/>
      <c r="N2104" s="157"/>
      <c r="O2104" s="277"/>
      <c r="P2104" s="937"/>
      <c r="Q2104" s="937"/>
      <c r="R2104" s="937"/>
      <c r="S2104" s="924"/>
      <c r="T2104" s="1407"/>
      <c r="U2104" s="157"/>
      <c r="V2104" s="3589"/>
      <c r="W2104" s="766"/>
      <c r="X2104" s="766"/>
      <c r="Y2104" s="765">
        <v>9.6999999999999993</v>
      </c>
      <c r="Z2104" s="2426">
        <v>9.6999999999999993</v>
      </c>
      <c r="AA2104" s="2426">
        <v>9.6999999999999993</v>
      </c>
      <c r="AB2104" s="2703">
        <v>9.6999999999999993</v>
      </c>
      <c r="AC2104" s="766"/>
      <c r="AD2104" s="766"/>
      <c r="AE2104" s="766"/>
      <c r="AF2104" s="766"/>
      <c r="AG2104" s="766"/>
      <c r="BB2104" s="647"/>
      <c r="BC2104" s="648"/>
      <c r="BD2104" s="757"/>
      <c r="BE2104" s="659"/>
    </row>
    <row r="2105" spans="1:57" s="64" customFormat="1" ht="15" customHeight="1" outlineLevel="1" x14ac:dyDescent="0.25">
      <c r="A2105" s="2463"/>
      <c r="B2105" s="157"/>
      <c r="C2105" s="385"/>
      <c r="D2105" s="3589"/>
      <c r="E2105" s="3721"/>
      <c r="F2105" s="3773" t="str">
        <f>$E$1484</f>
        <v>ASHP - SEER 18 - replace electric furnace / CAC SF</v>
      </c>
      <c r="G2105" s="3774"/>
      <c r="H2105" s="3774"/>
      <c r="I2105" s="3775"/>
      <c r="J2105" s="3071" t="str">
        <f>$C$1484</f>
        <v>353200_2019_12_</v>
      </c>
      <c r="K2105" s="2703">
        <v>10.5</v>
      </c>
      <c r="L2105" s="945"/>
      <c r="M2105" s="2675" t="s">
        <v>3674</v>
      </c>
      <c r="N2105" s="157"/>
      <c r="O2105" s="277"/>
      <c r="P2105" s="937"/>
      <c r="Q2105" s="937"/>
      <c r="R2105" s="937"/>
      <c r="S2105" s="924"/>
      <c r="T2105" s="1407"/>
      <c r="U2105" s="157"/>
      <c r="V2105" s="3589"/>
      <c r="W2105" s="766">
        <v>9.6999999999999993</v>
      </c>
      <c r="X2105" s="766">
        <v>9.6999999999999993</v>
      </c>
      <c r="Y2105" s="766">
        <v>9.6999999999999993</v>
      </c>
      <c r="Z2105" s="2426">
        <v>9.6999999999999993</v>
      </c>
      <c r="AA2105" s="2426">
        <v>9.6999999999999993</v>
      </c>
      <c r="AB2105" s="2660">
        <v>10.5</v>
      </c>
      <c r="AC2105" s="766"/>
      <c r="AD2105" s="766"/>
      <c r="AE2105" s="766"/>
      <c r="AF2105" s="766"/>
      <c r="AG2105" s="766"/>
      <c r="BB2105" s="647"/>
      <c r="BC2105" s="648"/>
      <c r="BD2105" s="757"/>
      <c r="BE2105" s="659"/>
    </row>
    <row r="2106" spans="1:57" s="64" customFormat="1" ht="15" customHeight="1" outlineLevel="1" x14ac:dyDescent="0.25">
      <c r="A2106" s="2463"/>
      <c r="B2106" s="157"/>
      <c r="C2106" s="385"/>
      <c r="D2106" s="3589"/>
      <c r="E2106" s="3721"/>
      <c r="F2106" s="3773" t="str">
        <f>$E$1486</f>
        <v>ASHP - SEER 18 - replace electric furnace / CAC MF</v>
      </c>
      <c r="G2106" s="3774"/>
      <c r="H2106" s="3774"/>
      <c r="I2106" s="3775"/>
      <c r="J2106" s="3071" t="str">
        <f>$C$1486</f>
        <v>353250_2019_12_</v>
      </c>
      <c r="K2106" s="2703">
        <v>10</v>
      </c>
      <c r="L2106" s="945"/>
      <c r="M2106" s="2675" t="s">
        <v>3674</v>
      </c>
      <c r="N2106" s="157"/>
      <c r="O2106" s="277"/>
      <c r="P2106" s="937"/>
      <c r="Q2106" s="937"/>
      <c r="R2106" s="937"/>
      <c r="S2106" s="924"/>
      <c r="T2106" s="1407"/>
      <c r="U2106" s="157"/>
      <c r="V2106" s="3589"/>
      <c r="W2106" s="766">
        <v>9.6999999999999993</v>
      </c>
      <c r="X2106" s="766">
        <v>9.6999999999999993</v>
      </c>
      <c r="Y2106" s="766">
        <v>9.6999999999999993</v>
      </c>
      <c r="Z2106" s="2426">
        <v>9.6999999999999993</v>
      </c>
      <c r="AA2106" s="2426">
        <v>9.6999999999999993</v>
      </c>
      <c r="AB2106" s="2660">
        <v>10</v>
      </c>
      <c r="AC2106" s="766"/>
      <c r="AD2106" s="766"/>
      <c r="AE2106" s="766"/>
      <c r="AF2106" s="766"/>
      <c r="AG2106" s="766"/>
      <c r="BB2106" s="647"/>
      <c r="BC2106" s="648"/>
      <c r="BD2106" s="757"/>
      <c r="BE2106" s="659"/>
    </row>
    <row r="2107" spans="1:57" s="64" customFormat="1" ht="15" customHeight="1" outlineLevel="1" x14ac:dyDescent="0.25">
      <c r="A2107" s="2463"/>
      <c r="B2107" s="157"/>
      <c r="C2107" s="385"/>
      <c r="D2107" s="3589"/>
      <c r="E2107" s="3721"/>
      <c r="F2107" s="3773" t="str">
        <f>$E$1488</f>
        <v>ASHP - SEER 18 - replace electric furnace / CAC MF_CompE</v>
      </c>
      <c r="G2107" s="3774"/>
      <c r="H2107" s="3774"/>
      <c r="I2107" s="3775"/>
      <c r="J2107" s="3071" t="str">
        <f>$C$1488</f>
        <v>353251_2019_12_</v>
      </c>
      <c r="K2107" s="2703">
        <f>K2106</f>
        <v>10</v>
      </c>
      <c r="L2107" s="945"/>
      <c r="M2107" s="2675" t="s">
        <v>3652</v>
      </c>
      <c r="N2107" s="157"/>
      <c r="O2107" s="277"/>
      <c r="P2107" s="937"/>
      <c r="Q2107" s="937"/>
      <c r="R2107" s="937"/>
      <c r="S2107" s="924"/>
      <c r="T2107" s="1407"/>
      <c r="U2107" s="157"/>
      <c r="V2107" s="3589"/>
      <c r="W2107" s="766"/>
      <c r="X2107" s="766"/>
      <c r="Y2107" s="765">
        <v>9.6999999999999993</v>
      </c>
      <c r="Z2107" s="2426">
        <v>9.6999999999999993</v>
      </c>
      <c r="AA2107" s="2426">
        <v>9.6999999999999993</v>
      </c>
      <c r="AB2107" s="2660">
        <v>10</v>
      </c>
      <c r="AC2107" s="766"/>
      <c r="AD2107" s="766"/>
      <c r="AE2107" s="766"/>
      <c r="AF2107" s="766"/>
      <c r="AG2107" s="766"/>
      <c r="BB2107" s="647"/>
      <c r="BC2107" s="648"/>
      <c r="BD2107" s="757"/>
      <c r="BE2107" s="659"/>
    </row>
    <row r="2108" spans="1:57" s="64" customFormat="1" ht="15" customHeight="1" outlineLevel="1" x14ac:dyDescent="0.25">
      <c r="A2108" s="2463"/>
      <c r="B2108" s="157"/>
      <c r="C2108" s="385"/>
      <c r="D2108" s="3589"/>
      <c r="E2108" s="3721"/>
      <c r="F2108" s="3773" t="str">
        <f>$E$1490</f>
        <v>ASHP - SEER 19 - replace electric furnace / CAC SF</v>
      </c>
      <c r="G2108" s="3774"/>
      <c r="H2108" s="3774"/>
      <c r="I2108" s="3775"/>
      <c r="J2108" s="3071" t="str">
        <f>$C$1490</f>
        <v>353300_2019_12_</v>
      </c>
      <c r="K2108" s="2703">
        <v>9.6999999999999993</v>
      </c>
      <c r="L2108" s="945"/>
      <c r="M2108" s="2718" t="s">
        <v>1503</v>
      </c>
      <c r="N2108" s="157"/>
      <c r="O2108" s="277"/>
      <c r="P2108" s="937"/>
      <c r="Q2108" s="937"/>
      <c r="R2108" s="937"/>
      <c r="S2108" s="924"/>
      <c r="T2108" s="1407"/>
      <c r="U2108" s="157"/>
      <c r="V2108" s="3589"/>
      <c r="W2108" s="766">
        <v>9.6999999999999993</v>
      </c>
      <c r="X2108" s="766">
        <v>9.6999999999999993</v>
      </c>
      <c r="Y2108" s="766">
        <v>9.6999999999999993</v>
      </c>
      <c r="Z2108" s="2426">
        <v>9.6999999999999993</v>
      </c>
      <c r="AA2108" s="2426">
        <v>9.6999999999999993</v>
      </c>
      <c r="AB2108" s="2703">
        <v>9.6999999999999993</v>
      </c>
      <c r="AC2108" s="766"/>
      <c r="AD2108" s="766"/>
      <c r="AE2108" s="766"/>
      <c r="AF2108" s="766"/>
      <c r="AG2108" s="766"/>
      <c r="BB2108" s="647"/>
      <c r="BC2108" s="648"/>
      <c r="BD2108" s="757"/>
      <c r="BE2108" s="659"/>
    </row>
    <row r="2109" spans="1:57" s="64" customFormat="1" ht="15" customHeight="1" outlineLevel="1" x14ac:dyDescent="0.25">
      <c r="A2109" s="2463"/>
      <c r="B2109" s="157"/>
      <c r="C2109" s="385"/>
      <c r="D2109" s="3589"/>
      <c r="E2109" s="3721"/>
      <c r="F2109" s="3773" t="str">
        <f>$E$1492</f>
        <v>ASHP - SEER 19 - replace electric furnace / CAC MF</v>
      </c>
      <c r="G2109" s="3774"/>
      <c r="H2109" s="3774"/>
      <c r="I2109" s="3775"/>
      <c r="J2109" s="3071" t="str">
        <f>$C$1492</f>
        <v>353350_2019_12_</v>
      </c>
      <c r="K2109" s="2703">
        <v>9.6999999999999993</v>
      </c>
      <c r="L2109" s="945"/>
      <c r="M2109" s="2718" t="s">
        <v>1503</v>
      </c>
      <c r="N2109" s="157"/>
      <c r="O2109" s="277"/>
      <c r="P2109" s="937"/>
      <c r="Q2109" s="937"/>
      <c r="R2109" s="937"/>
      <c r="S2109" s="924"/>
      <c r="T2109" s="1407"/>
      <c r="U2109" s="157"/>
      <c r="V2109" s="3589"/>
      <c r="W2109" s="766">
        <v>9.6999999999999993</v>
      </c>
      <c r="X2109" s="766">
        <v>9.6999999999999993</v>
      </c>
      <c r="Y2109" s="766">
        <v>9.6999999999999993</v>
      </c>
      <c r="Z2109" s="2426">
        <v>9.6999999999999993</v>
      </c>
      <c r="AA2109" s="2426">
        <v>9.6999999999999993</v>
      </c>
      <c r="AB2109" s="2703">
        <v>9.6999999999999993</v>
      </c>
      <c r="AC2109" s="766"/>
      <c r="AD2109" s="766"/>
      <c r="AE2109" s="766"/>
      <c r="AF2109" s="766"/>
      <c r="AG2109" s="766"/>
      <c r="BB2109" s="647"/>
      <c r="BC2109" s="648"/>
      <c r="BD2109" s="757"/>
      <c r="BE2109" s="659"/>
    </row>
    <row r="2110" spans="1:57" s="64" customFormat="1" ht="15" customHeight="1" outlineLevel="1" x14ac:dyDescent="0.25">
      <c r="A2110" s="2463"/>
      <c r="B2110" s="157"/>
      <c r="C2110" s="385"/>
      <c r="D2110" s="3589"/>
      <c r="E2110" s="3721"/>
      <c r="F2110" s="3773" t="str">
        <f>$E$1494</f>
        <v>ASHP - SEER 19 - replace electric furnace / CAC MF_CompE</v>
      </c>
      <c r="G2110" s="3774"/>
      <c r="H2110" s="3774"/>
      <c r="I2110" s="3775"/>
      <c r="J2110" s="3071" t="str">
        <f>$C$1494</f>
        <v>353351_2019_12_</v>
      </c>
      <c r="K2110" s="2703">
        <v>9.6999999999999993</v>
      </c>
      <c r="L2110" s="945"/>
      <c r="M2110" s="2718"/>
      <c r="N2110" s="157"/>
      <c r="O2110" s="277"/>
      <c r="P2110" s="937"/>
      <c r="Q2110" s="937"/>
      <c r="R2110" s="937"/>
      <c r="S2110" s="924"/>
      <c r="T2110" s="1407"/>
      <c r="U2110" s="157"/>
      <c r="V2110" s="3589"/>
      <c r="W2110" s="766"/>
      <c r="X2110" s="766"/>
      <c r="Y2110" s="765">
        <v>9.6999999999999993</v>
      </c>
      <c r="Z2110" s="2426">
        <v>9.6999999999999993</v>
      </c>
      <c r="AA2110" s="2426">
        <v>9.6999999999999993</v>
      </c>
      <c r="AB2110" s="2703">
        <v>9.6999999999999993</v>
      </c>
      <c r="AC2110" s="766"/>
      <c r="AD2110" s="766"/>
      <c r="AE2110" s="766"/>
      <c r="AF2110" s="766"/>
      <c r="AG2110" s="766"/>
      <c r="BB2110" s="647"/>
      <c r="BC2110" s="648"/>
      <c r="BD2110" s="757"/>
      <c r="BE2110" s="659"/>
    </row>
    <row r="2111" spans="1:57" s="64" customFormat="1" ht="15" customHeight="1" outlineLevel="1" x14ac:dyDescent="0.25">
      <c r="A2111" s="2463"/>
      <c r="B2111" s="157"/>
      <c r="C2111" s="385"/>
      <c r="D2111" s="3589"/>
      <c r="E2111" s="3721"/>
      <c r="F2111" s="3773" t="str">
        <f>$E$1496</f>
        <v>ASHP - SEER 20 - replace electric furnace / CAC - early replacement SF ER1</v>
      </c>
      <c r="G2111" s="3774"/>
      <c r="H2111" s="3774"/>
      <c r="I2111" s="3775"/>
      <c r="J2111" s="3071" t="str">
        <f>$C$1496</f>
        <v>353400_2019_12_</v>
      </c>
      <c r="K2111" s="2703">
        <v>9.4</v>
      </c>
      <c r="L2111" s="945"/>
      <c r="M2111" s="2718" t="s">
        <v>1503</v>
      </c>
      <c r="N2111" s="157"/>
      <c r="O2111" s="277"/>
      <c r="P2111" s="937"/>
      <c r="Q2111" s="937"/>
      <c r="R2111" s="937"/>
      <c r="S2111" s="924"/>
      <c r="T2111" s="1407"/>
      <c r="U2111" s="157"/>
      <c r="V2111" s="3589"/>
      <c r="W2111" s="766">
        <v>9.4</v>
      </c>
      <c r="X2111" s="766">
        <v>9.4</v>
      </c>
      <c r="Y2111" s="766">
        <v>9.4</v>
      </c>
      <c r="Z2111" s="2426">
        <v>9.4</v>
      </c>
      <c r="AA2111" s="2426">
        <v>9.4</v>
      </c>
      <c r="AB2111" s="2703">
        <v>9.4</v>
      </c>
      <c r="AC2111" s="766"/>
      <c r="AD2111" s="766"/>
      <c r="AE2111" s="766"/>
      <c r="AF2111" s="766"/>
      <c r="AG2111" s="766"/>
      <c r="BB2111" s="647"/>
      <c r="BC2111" s="648"/>
      <c r="BD2111" s="757"/>
      <c r="BE2111" s="659"/>
    </row>
    <row r="2112" spans="1:57" s="64" customFormat="1" ht="15" customHeight="1" outlineLevel="1" x14ac:dyDescent="0.25">
      <c r="A2112" s="2463"/>
      <c r="B2112" s="157"/>
      <c r="C2112" s="385"/>
      <c r="D2112" s="3589"/>
      <c r="E2112" s="3721"/>
      <c r="F2112" s="3773" t="str">
        <f>$E$1498</f>
        <v>ASHP - SEER 20 - replace electric furnace / CAC - early replacement SF ER2</v>
      </c>
      <c r="G2112" s="3774"/>
      <c r="H2112" s="3774"/>
      <c r="I2112" s="3775"/>
      <c r="J2112" s="3071" t="str">
        <f>$C$1498</f>
        <v>353400_2019_12_</v>
      </c>
      <c r="K2112" s="2703">
        <v>9.4</v>
      </c>
      <c r="L2112" s="945"/>
      <c r="M2112" s="2718" t="s">
        <v>1503</v>
      </c>
      <c r="N2112" s="157"/>
      <c r="O2112" s="277"/>
      <c r="P2112" s="937"/>
      <c r="Q2112" s="937"/>
      <c r="R2112" s="937"/>
      <c r="S2112" s="924"/>
      <c r="T2112" s="1407"/>
      <c r="U2112" s="157"/>
      <c r="V2112" s="3589"/>
      <c r="W2112" s="766">
        <v>9.4</v>
      </c>
      <c r="X2112" s="766">
        <v>9.4</v>
      </c>
      <c r="Y2112" s="766">
        <v>9.4</v>
      </c>
      <c r="Z2112" s="2426">
        <v>9.4</v>
      </c>
      <c r="AA2112" s="2426">
        <v>9.4</v>
      </c>
      <c r="AB2112" s="2703">
        <v>9.4</v>
      </c>
      <c r="AC2112" s="766"/>
      <c r="AD2112" s="766"/>
      <c r="AE2112" s="766"/>
      <c r="AF2112" s="766"/>
      <c r="AG2112" s="766"/>
      <c r="BB2112" s="647"/>
      <c r="BC2112" s="648"/>
      <c r="BD2112" s="757"/>
      <c r="BE2112" s="659"/>
    </row>
    <row r="2113" spans="1:57" s="64" customFormat="1" ht="15" customHeight="1" outlineLevel="1" x14ac:dyDescent="0.25">
      <c r="A2113" s="2463"/>
      <c r="B2113" s="157"/>
      <c r="C2113" s="385"/>
      <c r="D2113" s="3589"/>
      <c r="E2113" s="3721"/>
      <c r="F2113" s="3773" t="str">
        <f>$E$1500</f>
        <v>ASHP - SEER 20 - replace electric furnace / CAC SF</v>
      </c>
      <c r="G2113" s="3774"/>
      <c r="H2113" s="3774"/>
      <c r="I2113" s="3775"/>
      <c r="J2113" s="3071" t="str">
        <f>$C$1500</f>
        <v>353450_2019_12_</v>
      </c>
      <c r="K2113" s="2703">
        <v>9.6999999999999993</v>
      </c>
      <c r="L2113" s="945"/>
      <c r="M2113" s="2718" t="s">
        <v>1503</v>
      </c>
      <c r="N2113" s="157"/>
      <c r="O2113" s="277"/>
      <c r="P2113" s="937"/>
      <c r="Q2113" s="937"/>
      <c r="R2113" s="937"/>
      <c r="S2113" s="924"/>
      <c r="T2113" s="1407"/>
      <c r="U2113" s="157"/>
      <c r="V2113" s="3589"/>
      <c r="W2113" s="766">
        <v>9.6999999999999993</v>
      </c>
      <c r="X2113" s="766">
        <v>9.6999999999999993</v>
      </c>
      <c r="Y2113" s="766">
        <v>9.6999999999999993</v>
      </c>
      <c r="Z2113" s="2426">
        <v>9.6999999999999993</v>
      </c>
      <c r="AA2113" s="2426">
        <v>9.6999999999999993</v>
      </c>
      <c r="AB2113" s="2703">
        <v>9.6999999999999993</v>
      </c>
      <c r="AC2113" s="766"/>
      <c r="AD2113" s="766"/>
      <c r="AE2113" s="766"/>
      <c r="AF2113" s="766"/>
      <c r="AG2113" s="766"/>
      <c r="BB2113" s="647"/>
      <c r="BC2113" s="648"/>
      <c r="BD2113" s="757"/>
      <c r="BE2113" s="659"/>
    </row>
    <row r="2114" spans="1:57" s="64" customFormat="1" ht="15" customHeight="1" outlineLevel="1" x14ac:dyDescent="0.25">
      <c r="A2114" s="2463"/>
      <c r="B2114" s="157"/>
      <c r="C2114" s="385"/>
      <c r="D2114" s="3589"/>
      <c r="E2114" s="3721"/>
      <c r="F2114" s="3773" t="str">
        <f>$E$1502</f>
        <v>ASHP - SEER 20 - replace electric furnace / CAC MF</v>
      </c>
      <c r="G2114" s="3774"/>
      <c r="H2114" s="3774"/>
      <c r="I2114" s="3775"/>
      <c r="J2114" s="3071" t="str">
        <f>$C$1502</f>
        <v>353500_2019_12_</v>
      </c>
      <c r="K2114" s="2703">
        <v>9.6999999999999993</v>
      </c>
      <c r="L2114" s="945"/>
      <c r="M2114" s="2718" t="s">
        <v>1503</v>
      </c>
      <c r="N2114" s="157"/>
      <c r="O2114" s="277"/>
      <c r="P2114" s="937"/>
      <c r="Q2114" s="938"/>
      <c r="R2114" s="937"/>
      <c r="S2114" s="924"/>
      <c r="T2114" s="1407"/>
      <c r="U2114" s="157"/>
      <c r="V2114" s="3589"/>
      <c r="W2114" s="766">
        <v>9.6999999999999993</v>
      </c>
      <c r="X2114" s="766">
        <v>9.6999999999999993</v>
      </c>
      <c r="Y2114" s="766">
        <v>9.6999999999999993</v>
      </c>
      <c r="Z2114" s="2426">
        <v>9.6999999999999993</v>
      </c>
      <c r="AA2114" s="2426">
        <v>9.6999999999999993</v>
      </c>
      <c r="AB2114" s="2703">
        <v>9.6999999999999993</v>
      </c>
      <c r="AC2114" s="766"/>
      <c r="AD2114" s="766"/>
      <c r="AE2114" s="766"/>
      <c r="AF2114" s="766"/>
      <c r="AG2114" s="766"/>
      <c r="BB2114" s="647"/>
      <c r="BC2114" s="648"/>
      <c r="BD2114" s="757"/>
      <c r="BE2114" s="659"/>
    </row>
    <row r="2115" spans="1:57" s="64" customFormat="1" ht="15" customHeight="1" outlineLevel="1" x14ac:dyDescent="0.25">
      <c r="A2115" s="2463"/>
      <c r="B2115" s="157"/>
      <c r="C2115" s="385"/>
      <c r="D2115" s="3589"/>
      <c r="E2115" s="3721"/>
      <c r="F2115" s="3773" t="str">
        <f>$E$1504</f>
        <v>ASHP - SEER 20 - replace electric furnace / CAC MF_CompE</v>
      </c>
      <c r="G2115" s="3774"/>
      <c r="H2115" s="3774"/>
      <c r="I2115" s="3775"/>
      <c r="J2115" s="3071" t="str">
        <f>$C$1504</f>
        <v>353501_2019_12_</v>
      </c>
      <c r="K2115" s="2703">
        <v>9.6999999999999993</v>
      </c>
      <c r="L2115" s="945"/>
      <c r="M2115" s="2718"/>
      <c r="N2115" s="157"/>
      <c r="O2115" s="277"/>
      <c r="P2115" s="937"/>
      <c r="Q2115" s="938"/>
      <c r="R2115" s="937"/>
      <c r="S2115" s="924"/>
      <c r="T2115" s="1407"/>
      <c r="U2115" s="157"/>
      <c r="V2115" s="3589"/>
      <c r="W2115" s="766"/>
      <c r="X2115" s="766"/>
      <c r="Y2115" s="765">
        <v>9.6999999999999993</v>
      </c>
      <c r="Z2115" s="2426">
        <v>9.6999999999999993</v>
      </c>
      <c r="AA2115" s="2426">
        <v>9.6999999999999993</v>
      </c>
      <c r="AB2115" s="2703">
        <v>9.6999999999999993</v>
      </c>
      <c r="AC2115" s="766"/>
      <c r="AD2115" s="766"/>
      <c r="AE2115" s="766"/>
      <c r="AF2115" s="766"/>
      <c r="AG2115" s="766"/>
      <c r="BB2115" s="647"/>
      <c r="BC2115" s="648"/>
      <c r="BD2115" s="757"/>
      <c r="BE2115" s="659"/>
    </row>
    <row r="2116" spans="1:57" s="64" customFormat="1" ht="15" customHeight="1" outlineLevel="1" x14ac:dyDescent="0.25">
      <c r="A2116" s="2463"/>
      <c r="B2116" s="157"/>
      <c r="C2116" s="385"/>
      <c r="D2116" s="3589"/>
      <c r="E2116" s="3721"/>
      <c r="F2116" s="3773" t="str">
        <f>$E$1506</f>
        <v>ASHP - SEER 21 - replace electric furnace / CAC - early replacement SF ER1</v>
      </c>
      <c r="G2116" s="3774"/>
      <c r="H2116" s="3774"/>
      <c r="I2116" s="3775"/>
      <c r="J2116" s="3071" t="str">
        <f>$C$1506</f>
        <v>353550_2019_12_</v>
      </c>
      <c r="K2116" s="2703">
        <v>9.4</v>
      </c>
      <c r="L2116" s="945"/>
      <c r="M2116" s="2718" t="s">
        <v>1503</v>
      </c>
      <c r="N2116" s="157"/>
      <c r="O2116" s="277"/>
      <c r="P2116" s="937"/>
      <c r="Q2116" s="938"/>
      <c r="R2116" s="937"/>
      <c r="S2116" s="924"/>
      <c r="T2116" s="1407"/>
      <c r="U2116" s="157"/>
      <c r="V2116" s="3589"/>
      <c r="W2116" s="766">
        <v>9.4</v>
      </c>
      <c r="X2116" s="766">
        <v>9.4</v>
      </c>
      <c r="Y2116" s="766">
        <v>9.4</v>
      </c>
      <c r="Z2116" s="2426">
        <v>9.4</v>
      </c>
      <c r="AA2116" s="2426">
        <v>9.4</v>
      </c>
      <c r="AB2116" s="2703">
        <v>9.4</v>
      </c>
      <c r="AC2116" s="766"/>
      <c r="AD2116" s="766"/>
      <c r="AE2116" s="766"/>
      <c r="AF2116" s="766"/>
      <c r="AG2116" s="766"/>
      <c r="BB2116" s="647"/>
      <c r="BC2116" s="648"/>
      <c r="BD2116" s="757"/>
      <c r="BE2116" s="659"/>
    </row>
    <row r="2117" spans="1:57" s="64" customFormat="1" ht="15" customHeight="1" outlineLevel="1" x14ac:dyDescent="0.25">
      <c r="A2117" s="2463"/>
      <c r="B2117" s="157"/>
      <c r="C2117" s="385"/>
      <c r="D2117" s="3589"/>
      <c r="E2117" s="3721"/>
      <c r="F2117" s="3773" t="str">
        <f>$E$1508</f>
        <v>ASHP - SEER 21 - replace electric furnace / CAC - early replacement SF ER2</v>
      </c>
      <c r="G2117" s="3774"/>
      <c r="H2117" s="3774"/>
      <c r="I2117" s="3775"/>
      <c r="J2117" s="3071" t="str">
        <f>$C$1508</f>
        <v>353550_2019_12_</v>
      </c>
      <c r="K2117" s="2703">
        <v>9.4</v>
      </c>
      <c r="L2117" s="945"/>
      <c r="M2117" s="2718" t="s">
        <v>1503</v>
      </c>
      <c r="N2117" s="157"/>
      <c r="O2117" s="277"/>
      <c r="P2117" s="937"/>
      <c r="Q2117" s="938"/>
      <c r="R2117" s="937"/>
      <c r="S2117" s="924"/>
      <c r="T2117" s="1407"/>
      <c r="U2117" s="157"/>
      <c r="V2117" s="3589"/>
      <c r="W2117" s="766">
        <v>9.4</v>
      </c>
      <c r="X2117" s="766">
        <v>9.4</v>
      </c>
      <c r="Y2117" s="766">
        <v>9.4</v>
      </c>
      <c r="Z2117" s="2426">
        <v>9.4</v>
      </c>
      <c r="AA2117" s="2426">
        <v>9.4</v>
      </c>
      <c r="AB2117" s="2703">
        <v>9.4</v>
      </c>
      <c r="AC2117" s="766"/>
      <c r="AD2117" s="766"/>
      <c r="AE2117" s="766"/>
      <c r="AF2117" s="766"/>
      <c r="AG2117" s="766"/>
      <c r="BB2117" s="647"/>
      <c r="BC2117" s="648"/>
      <c r="BD2117" s="757"/>
      <c r="BE2117" s="659"/>
    </row>
    <row r="2118" spans="1:57" s="64" customFormat="1" ht="15" customHeight="1" outlineLevel="1" x14ac:dyDescent="0.25">
      <c r="A2118" s="2463"/>
      <c r="B2118" s="157"/>
      <c r="C2118" s="385"/>
      <c r="D2118" s="3589"/>
      <c r="E2118" s="3721"/>
      <c r="F2118" s="3773" t="str">
        <f>$E$1510</f>
        <v>ASHP - SEER 21 - replace electric furnace / CAC - early replacement MF ER1</v>
      </c>
      <c r="G2118" s="3774"/>
      <c r="H2118" s="3774"/>
      <c r="I2118" s="3775"/>
      <c r="J2118" s="3071" t="str">
        <f>$C$1510</f>
        <v>353600_2019_12_</v>
      </c>
      <c r="K2118" s="2703">
        <v>9.4</v>
      </c>
      <c r="L2118" s="945"/>
      <c r="M2118" s="2718" t="s">
        <v>1503</v>
      </c>
      <c r="N2118" s="157"/>
      <c r="O2118" s="277"/>
      <c r="P2118" s="937"/>
      <c r="Q2118" s="938"/>
      <c r="R2118" s="937"/>
      <c r="S2118" s="924"/>
      <c r="T2118" s="1407"/>
      <c r="U2118" s="157"/>
      <c r="V2118" s="3589"/>
      <c r="W2118" s="766">
        <v>9.4</v>
      </c>
      <c r="X2118" s="766">
        <v>9.4</v>
      </c>
      <c r="Y2118" s="766">
        <v>9.4</v>
      </c>
      <c r="Z2118" s="2426">
        <v>9.4</v>
      </c>
      <c r="AA2118" s="2426">
        <v>9.4</v>
      </c>
      <c r="AB2118" s="2703">
        <v>9.4</v>
      </c>
      <c r="AC2118" s="766"/>
      <c r="AD2118" s="766"/>
      <c r="AE2118" s="766"/>
      <c r="AF2118" s="766"/>
      <c r="AG2118" s="766"/>
      <c r="BB2118" s="647"/>
      <c r="BC2118" s="648"/>
      <c r="BD2118" s="757"/>
      <c r="BE2118" s="659"/>
    </row>
    <row r="2119" spans="1:57" s="64" customFormat="1" ht="15" customHeight="1" outlineLevel="1" x14ac:dyDescent="0.25">
      <c r="A2119" s="2463"/>
      <c r="B2119" s="157"/>
      <c r="C2119" s="385"/>
      <c r="D2119" s="3589"/>
      <c r="E2119" s="3721"/>
      <c r="F2119" s="3773" t="str">
        <f>$E$1512</f>
        <v>ASHP - SEER 21 - replace electric furnace / CAC - early replacement MF ER2</v>
      </c>
      <c r="G2119" s="3774"/>
      <c r="H2119" s="3774"/>
      <c r="I2119" s="3775"/>
      <c r="J2119" s="3071" t="str">
        <f>$C$1512</f>
        <v>353600_2019_12_</v>
      </c>
      <c r="K2119" s="2703">
        <v>9.4</v>
      </c>
      <c r="L2119" s="945"/>
      <c r="M2119" s="2718" t="s">
        <v>1503</v>
      </c>
      <c r="N2119" s="157"/>
      <c r="O2119" s="277"/>
      <c r="P2119" s="937"/>
      <c r="Q2119" s="938"/>
      <c r="R2119" s="937"/>
      <c r="S2119" s="924"/>
      <c r="T2119" s="1407"/>
      <c r="U2119" s="157"/>
      <c r="V2119" s="3589"/>
      <c r="W2119" s="766">
        <v>9.4</v>
      </c>
      <c r="X2119" s="766">
        <v>9.4</v>
      </c>
      <c r="Y2119" s="766">
        <v>9.4</v>
      </c>
      <c r="Z2119" s="2426">
        <v>9.4</v>
      </c>
      <c r="AA2119" s="2426">
        <v>9.4</v>
      </c>
      <c r="AB2119" s="2703">
        <v>9.4</v>
      </c>
      <c r="AC2119" s="766"/>
      <c r="AD2119" s="766"/>
      <c r="AE2119" s="766"/>
      <c r="AF2119" s="766"/>
      <c r="AG2119" s="766"/>
      <c r="BB2119" s="647"/>
      <c r="BC2119" s="648"/>
      <c r="BD2119" s="757"/>
      <c r="BE2119" s="659"/>
    </row>
    <row r="2120" spans="1:57" s="64" customFormat="1" ht="15" customHeight="1" outlineLevel="1" x14ac:dyDescent="0.25">
      <c r="A2120" s="2463"/>
      <c r="B2120" s="157"/>
      <c r="C2120" s="385"/>
      <c r="D2120" s="3589"/>
      <c r="E2120" s="3721"/>
      <c r="F2120" s="3773" t="str">
        <f>$E$1514</f>
        <v>ASHP - SEER 21 - replace electric furnace / CAC - early replacement MF ER1_CompE</v>
      </c>
      <c r="G2120" s="3774"/>
      <c r="H2120" s="3774"/>
      <c r="I2120" s="3775"/>
      <c r="J2120" s="3071" t="str">
        <f>$C$1514</f>
        <v>353601_2019_12_</v>
      </c>
      <c r="K2120" s="2703">
        <v>9.4</v>
      </c>
      <c r="L2120" s="945"/>
      <c r="M2120" s="2718"/>
      <c r="N2120" s="157"/>
      <c r="O2120" s="277"/>
      <c r="P2120" s="937"/>
      <c r="Q2120" s="938"/>
      <c r="R2120" s="937"/>
      <c r="S2120" s="924"/>
      <c r="T2120" s="1407"/>
      <c r="U2120" s="157"/>
      <c r="V2120" s="3589"/>
      <c r="W2120" s="766"/>
      <c r="X2120" s="766"/>
      <c r="Y2120" s="765">
        <v>9.4</v>
      </c>
      <c r="Z2120" s="2426">
        <v>9.4</v>
      </c>
      <c r="AA2120" s="2426">
        <v>9.4</v>
      </c>
      <c r="AB2120" s="2703">
        <v>9.4</v>
      </c>
      <c r="AC2120" s="766"/>
      <c r="AD2120" s="766"/>
      <c r="AE2120" s="766"/>
      <c r="AF2120" s="766"/>
      <c r="AG2120" s="766"/>
      <c r="BB2120" s="647"/>
      <c r="BC2120" s="648"/>
      <c r="BD2120" s="757"/>
      <c r="BE2120" s="659"/>
    </row>
    <row r="2121" spans="1:57" s="64" customFormat="1" ht="15" customHeight="1" outlineLevel="1" x14ac:dyDescent="0.25">
      <c r="A2121" s="2463"/>
      <c r="B2121" s="157"/>
      <c r="C2121" s="385"/>
      <c r="D2121" s="3589"/>
      <c r="E2121" s="3721"/>
      <c r="F2121" s="3773" t="str">
        <f>$E$1516</f>
        <v>ASHP - SEER 21 - replace electric furnace / CAC - early replacement MF ER2_CompE</v>
      </c>
      <c r="G2121" s="3774"/>
      <c r="H2121" s="3774"/>
      <c r="I2121" s="3775"/>
      <c r="J2121" s="3071" t="str">
        <f>$C$1516</f>
        <v>353601_2019_12_</v>
      </c>
      <c r="K2121" s="2703">
        <v>9.4</v>
      </c>
      <c r="L2121" s="945"/>
      <c r="M2121" s="2718"/>
      <c r="N2121" s="157"/>
      <c r="O2121" s="277"/>
      <c r="P2121" s="937"/>
      <c r="Q2121" s="938"/>
      <c r="R2121" s="937"/>
      <c r="S2121" s="924"/>
      <c r="T2121" s="1407"/>
      <c r="U2121" s="157"/>
      <c r="V2121" s="3589"/>
      <c r="W2121" s="766"/>
      <c r="X2121" s="766"/>
      <c r="Y2121" s="765">
        <v>9.4</v>
      </c>
      <c r="Z2121" s="2426">
        <v>9.4</v>
      </c>
      <c r="AA2121" s="2426">
        <v>9.4</v>
      </c>
      <c r="AB2121" s="2703">
        <v>9.4</v>
      </c>
      <c r="AC2121" s="766"/>
      <c r="AD2121" s="766"/>
      <c r="AE2121" s="766"/>
      <c r="AF2121" s="766"/>
      <c r="AG2121" s="766"/>
      <c r="BB2121" s="647"/>
      <c r="BC2121" s="648"/>
      <c r="BD2121" s="757"/>
      <c r="BE2121" s="659"/>
    </row>
    <row r="2122" spans="1:57" s="64" customFormat="1" ht="15" customHeight="1" outlineLevel="1" x14ac:dyDescent="0.25">
      <c r="A2122" s="2463"/>
      <c r="B2122" s="157"/>
      <c r="C2122" s="385"/>
      <c r="D2122" s="3589"/>
      <c r="E2122" s="3721"/>
      <c r="F2122" s="3773" t="str">
        <f>$E$1518</f>
        <v>ASHP - SEER 21 - replace electric furnace / CAC SF</v>
      </c>
      <c r="G2122" s="3774"/>
      <c r="H2122" s="3774"/>
      <c r="I2122" s="3775"/>
      <c r="J2122" s="3071" t="str">
        <f>$C$1518</f>
        <v>353650_2019_12_</v>
      </c>
      <c r="K2122" s="2703">
        <v>9.6999999999999993</v>
      </c>
      <c r="L2122" s="945"/>
      <c r="M2122" s="2718" t="s">
        <v>1503</v>
      </c>
      <c r="N2122" s="157"/>
      <c r="O2122" s="277"/>
      <c r="P2122" s="937"/>
      <c r="Q2122" s="938"/>
      <c r="R2122" s="937"/>
      <c r="S2122" s="924"/>
      <c r="T2122" s="1407"/>
      <c r="U2122" s="157"/>
      <c r="V2122" s="3589"/>
      <c r="W2122" s="766">
        <v>9.6999999999999993</v>
      </c>
      <c r="X2122" s="766">
        <v>9.6999999999999993</v>
      </c>
      <c r="Y2122" s="766">
        <v>9.6999999999999993</v>
      </c>
      <c r="Z2122" s="2426">
        <v>9.6999999999999993</v>
      </c>
      <c r="AA2122" s="2426">
        <v>9.6999999999999993</v>
      </c>
      <c r="AB2122" s="2703">
        <v>9.6999999999999993</v>
      </c>
      <c r="AC2122" s="766"/>
      <c r="AD2122" s="766"/>
      <c r="AE2122" s="766"/>
      <c r="AF2122" s="766"/>
      <c r="AG2122" s="766"/>
      <c r="BB2122" s="647"/>
      <c r="BC2122" s="648"/>
      <c r="BD2122" s="757"/>
      <c r="BE2122" s="659"/>
    </row>
    <row r="2123" spans="1:57" s="64" customFormat="1" ht="15" customHeight="1" outlineLevel="1" x14ac:dyDescent="0.25">
      <c r="A2123" s="1393"/>
      <c r="B2123" s="157"/>
      <c r="C2123" s="385"/>
      <c r="D2123" s="3589"/>
      <c r="E2123" s="3721"/>
      <c r="F2123" s="3773" t="str">
        <f>$E$1520</f>
        <v>ASHP-  SEER 21+ replace at Fail Elec Resist Furnace MF</v>
      </c>
      <c r="G2123" s="3774"/>
      <c r="H2123" s="3774"/>
      <c r="I2123" s="3775"/>
      <c r="J2123" s="3071" t="str">
        <f>$C$1520</f>
        <v>353700_2019_12_</v>
      </c>
      <c r="K2123" s="2703">
        <v>9.6999999999999993</v>
      </c>
      <c r="L2123" s="945"/>
      <c r="M2123" s="2718" t="s">
        <v>1503</v>
      </c>
      <c r="N2123" s="157"/>
      <c r="O2123" s="277"/>
      <c r="P2123" s="277"/>
      <c r="Q2123" s="277"/>
      <c r="R2123" s="277"/>
      <c r="S2123" s="157"/>
      <c r="T2123" s="157"/>
      <c r="U2123" s="157"/>
      <c r="V2123" s="3589"/>
      <c r="W2123" s="766">
        <v>9.6999999999999993</v>
      </c>
      <c r="X2123" s="766">
        <v>9.6999999999999993</v>
      </c>
      <c r="Y2123" s="766">
        <v>9.6999999999999993</v>
      </c>
      <c r="Z2123" s="2426">
        <v>9.6999999999999993</v>
      </c>
      <c r="AA2123" s="2426">
        <v>9.6999999999999993</v>
      </c>
      <c r="AB2123" s="2703">
        <v>9.6999999999999993</v>
      </c>
      <c r="AC2123" s="766"/>
      <c r="AD2123" s="766"/>
      <c r="AE2123" s="766"/>
      <c r="AF2123" s="766"/>
      <c r="AG2123" s="766"/>
      <c r="BB2123" s="647"/>
      <c r="BC2123" s="648"/>
      <c r="BD2123" s="757"/>
      <c r="BE2123" s="659"/>
    </row>
    <row r="2124" spans="1:57" s="64" customFormat="1" ht="15" customHeight="1" outlineLevel="1" x14ac:dyDescent="0.25">
      <c r="A2124" s="1393"/>
      <c r="B2124" s="157"/>
      <c r="C2124" s="385"/>
      <c r="D2124" s="3589"/>
      <c r="E2124" s="3721"/>
      <c r="F2124" s="3773" t="str">
        <f>$E$1522</f>
        <v>ASHP-  SEER 21+ replace at Fail Elec Resist Furnace MF_CompE</v>
      </c>
      <c r="G2124" s="3774"/>
      <c r="H2124" s="3774"/>
      <c r="I2124" s="3775"/>
      <c r="J2124" s="3071" t="str">
        <f>$C$1522</f>
        <v>353701_2019_12_</v>
      </c>
      <c r="K2124" s="2703">
        <v>9.6999999999999993</v>
      </c>
      <c r="L2124" s="945"/>
      <c r="M2124" s="2718"/>
      <c r="N2124" s="157"/>
      <c r="O2124" s="277"/>
      <c r="P2124" s="277"/>
      <c r="Q2124" s="277"/>
      <c r="R2124" s="277"/>
      <c r="S2124" s="157"/>
      <c r="T2124" s="157"/>
      <c r="U2124" s="157"/>
      <c r="V2124" s="3589"/>
      <c r="W2124" s="766"/>
      <c r="X2124" s="766"/>
      <c r="Y2124" s="765">
        <v>9.6999999999999993</v>
      </c>
      <c r="Z2124" s="2426">
        <v>9.6999999999999993</v>
      </c>
      <c r="AA2124" s="2426">
        <v>9.6999999999999993</v>
      </c>
      <c r="AB2124" s="2703">
        <v>9.6999999999999993</v>
      </c>
      <c r="AC2124" s="766"/>
      <c r="AD2124" s="766"/>
      <c r="AE2124" s="766"/>
      <c r="AF2124" s="766"/>
      <c r="AG2124" s="766"/>
      <c r="BB2124" s="647"/>
      <c r="BC2124" s="648"/>
      <c r="BD2124" s="757"/>
      <c r="BE2124" s="659"/>
    </row>
    <row r="2125" spans="1:57" s="64" customFormat="1" ht="15" customHeight="1" outlineLevel="1" x14ac:dyDescent="0.25">
      <c r="A2125" s="2463"/>
      <c r="B2125" s="157"/>
      <c r="C2125" s="385"/>
      <c r="D2125" s="3589"/>
      <c r="E2125" s="3721"/>
      <c r="F2125" s="3773" t="str">
        <f>$E$1524</f>
        <v>ASHP SEER 17 replace ASHP - early replacement SF ER1</v>
      </c>
      <c r="G2125" s="3774"/>
      <c r="H2125" s="3774"/>
      <c r="I2125" s="3775"/>
      <c r="J2125" s="3071" t="str">
        <f>$C$1524</f>
        <v>353750_2019_12_</v>
      </c>
      <c r="K2125" s="2703">
        <v>9.5</v>
      </c>
      <c r="L2125" s="945"/>
      <c r="M2125" s="2718" t="s">
        <v>1503</v>
      </c>
      <c r="N2125" s="157"/>
      <c r="O2125" s="277"/>
      <c r="P2125" s="937"/>
      <c r="Q2125" s="938"/>
      <c r="R2125" s="937"/>
      <c r="S2125" s="924"/>
      <c r="T2125" s="1407"/>
      <c r="U2125" s="157"/>
      <c r="V2125" s="3589"/>
      <c r="W2125" s="766">
        <v>9.5</v>
      </c>
      <c r="X2125" s="766">
        <v>9.5</v>
      </c>
      <c r="Y2125" s="766">
        <v>9.5</v>
      </c>
      <c r="Z2125" s="2426">
        <v>9.5</v>
      </c>
      <c r="AA2125" s="2426">
        <v>9.5</v>
      </c>
      <c r="AB2125" s="2703">
        <v>9.5</v>
      </c>
      <c r="AC2125" s="766"/>
      <c r="AD2125" s="766"/>
      <c r="AE2125" s="766"/>
      <c r="AF2125" s="766"/>
      <c r="AG2125" s="766"/>
      <c r="BB2125" s="647"/>
      <c r="BC2125" s="648"/>
      <c r="BD2125" s="757"/>
      <c r="BE2125" s="659"/>
    </row>
    <row r="2126" spans="1:57" s="64" customFormat="1" ht="15" customHeight="1" outlineLevel="1" x14ac:dyDescent="0.25">
      <c r="A2126" s="1393"/>
      <c r="B2126" s="157"/>
      <c r="C2126" s="385"/>
      <c r="D2126" s="3589"/>
      <c r="E2126" s="3721"/>
      <c r="F2126" s="3773" t="str">
        <f>$E$1526</f>
        <v>ASHP SEER 17 replace ASHP - early replacement SF ER2</v>
      </c>
      <c r="G2126" s="3774"/>
      <c r="H2126" s="3774"/>
      <c r="I2126" s="3775"/>
      <c r="J2126" s="3071" t="str">
        <f>$C$1526</f>
        <v>353750_2019_12_</v>
      </c>
      <c r="K2126" s="2703">
        <v>9.5</v>
      </c>
      <c r="L2126" s="945"/>
      <c r="M2126" s="2718" t="s">
        <v>1503</v>
      </c>
      <c r="N2126" s="157"/>
      <c r="O2126" s="277"/>
      <c r="P2126" s="277"/>
      <c r="Q2126" s="277"/>
      <c r="R2126" s="277"/>
      <c r="S2126" s="157"/>
      <c r="T2126" s="157"/>
      <c r="U2126" s="157"/>
      <c r="V2126" s="3589"/>
      <c r="W2126" s="766">
        <v>9.5</v>
      </c>
      <c r="X2126" s="766">
        <v>9.5</v>
      </c>
      <c r="Y2126" s="766">
        <v>9.5</v>
      </c>
      <c r="Z2126" s="2426">
        <v>9.5</v>
      </c>
      <c r="AA2126" s="2426">
        <v>9.5</v>
      </c>
      <c r="AB2126" s="2703">
        <v>9.5</v>
      </c>
      <c r="AC2126" s="766"/>
      <c r="AD2126" s="766"/>
      <c r="AE2126" s="766"/>
      <c r="AF2126" s="766"/>
      <c r="AG2126" s="766"/>
      <c r="BB2126" s="647"/>
      <c r="BC2126" s="648"/>
      <c r="BD2126" s="757"/>
      <c r="BE2126" s="659"/>
    </row>
    <row r="2127" spans="1:57" s="64" customFormat="1" ht="15" customHeight="1" outlineLevel="1" x14ac:dyDescent="0.25">
      <c r="A2127" s="2463"/>
      <c r="B2127" s="157"/>
      <c r="C2127" s="385"/>
      <c r="D2127" s="3589"/>
      <c r="E2127" s="3721"/>
      <c r="F2127" s="3773" t="str">
        <f>$E$1528</f>
        <v>ASHP SEER 17 replace ASHP - replace on fail SF</v>
      </c>
      <c r="G2127" s="3774"/>
      <c r="H2127" s="3774"/>
      <c r="I2127" s="3775"/>
      <c r="J2127" s="3071" t="str">
        <f>$C$1528</f>
        <v>353800_2019_12_</v>
      </c>
      <c r="K2127" s="2703">
        <v>9.8000000000000007</v>
      </c>
      <c r="L2127" s="945"/>
      <c r="M2127" s="2718" t="s">
        <v>1503</v>
      </c>
      <c r="N2127" s="157"/>
      <c r="O2127" s="277"/>
      <c r="P2127" s="937"/>
      <c r="Q2127" s="938"/>
      <c r="R2127" s="937"/>
      <c r="S2127" s="924"/>
      <c r="T2127" s="1407"/>
      <c r="U2127" s="157"/>
      <c r="V2127" s="3589"/>
      <c r="W2127" s="766">
        <v>9.8000000000000007</v>
      </c>
      <c r="X2127" s="766">
        <v>9.8000000000000007</v>
      </c>
      <c r="Y2127" s="766">
        <v>9.8000000000000007</v>
      </c>
      <c r="Z2127" s="2426">
        <v>9.8000000000000007</v>
      </c>
      <c r="AA2127" s="2426">
        <v>9.8000000000000007</v>
      </c>
      <c r="AB2127" s="2703">
        <v>9.8000000000000007</v>
      </c>
      <c r="AC2127" s="766"/>
      <c r="AD2127" s="766"/>
      <c r="AE2127" s="766"/>
      <c r="AF2127" s="766"/>
      <c r="AG2127" s="766"/>
      <c r="BB2127" s="647"/>
      <c r="BC2127" s="648"/>
      <c r="BD2127" s="757"/>
      <c r="BE2127" s="659"/>
    </row>
    <row r="2128" spans="1:57" s="64" customFormat="1" ht="15" customHeight="1" outlineLevel="1" x14ac:dyDescent="0.25">
      <c r="A2128" s="1393"/>
      <c r="B2128" s="157"/>
      <c r="C2128" s="385"/>
      <c r="D2128" s="3589"/>
      <c r="E2128" s="3721"/>
      <c r="F2128" s="3773" t="str">
        <f>$E$1530</f>
        <v>ASHP SEER 18 replace ASHP - early replacement SF ER1</v>
      </c>
      <c r="G2128" s="3774"/>
      <c r="H2128" s="3774"/>
      <c r="I2128" s="3775"/>
      <c r="J2128" s="3071" t="str">
        <f>$C$1530</f>
        <v>353850_2019_12_</v>
      </c>
      <c r="K2128" s="3254">
        <v>9.6830769230769231</v>
      </c>
      <c r="L2128" s="945"/>
      <c r="M2128" s="2675" t="s">
        <v>3674</v>
      </c>
      <c r="N2128" s="157"/>
      <c r="O2128" s="277"/>
      <c r="P2128" s="277"/>
      <c r="Q2128" s="277"/>
      <c r="R2128" s="277"/>
      <c r="S2128" s="157"/>
      <c r="T2128" s="157"/>
      <c r="U2128" s="157"/>
      <c r="V2128" s="3589"/>
      <c r="W2128" s="766">
        <v>9.5</v>
      </c>
      <c r="X2128" s="766">
        <v>9.5</v>
      </c>
      <c r="Y2128" s="766">
        <v>9.5</v>
      </c>
      <c r="Z2128" s="2426">
        <v>9.5</v>
      </c>
      <c r="AA2128" s="2426">
        <v>9.5</v>
      </c>
      <c r="AB2128" s="2705">
        <v>9.6830769230769231</v>
      </c>
      <c r="AC2128" s="766"/>
      <c r="AD2128" s="766"/>
      <c r="AE2128" s="766"/>
      <c r="AF2128" s="766"/>
      <c r="AG2128" s="766"/>
      <c r="BB2128" s="647"/>
      <c r="BC2128" s="648"/>
      <c r="BD2128" s="757"/>
      <c r="BE2128" s="659"/>
    </row>
    <row r="2129" spans="1:57" s="64" customFormat="1" ht="15" customHeight="1" outlineLevel="1" x14ac:dyDescent="0.25">
      <c r="A2129" s="1393"/>
      <c r="B2129" s="157"/>
      <c r="C2129" s="385"/>
      <c r="D2129" s="3589"/>
      <c r="E2129" s="3721"/>
      <c r="F2129" s="3773" t="str">
        <f>$E$1532</f>
        <v>ASHP SEER 18 replace ASHP - early replacement SF ER2</v>
      </c>
      <c r="G2129" s="3774"/>
      <c r="H2129" s="3774"/>
      <c r="I2129" s="3775"/>
      <c r="J2129" s="3071" t="str">
        <f>$C$1532</f>
        <v>353850_2019_12_</v>
      </c>
      <c r="K2129" s="3254">
        <f>K2128</f>
        <v>9.6830769230769231</v>
      </c>
      <c r="L2129" s="945"/>
      <c r="M2129" s="2675" t="s">
        <v>3674</v>
      </c>
      <c r="N2129" s="157"/>
      <c r="O2129" s="277"/>
      <c r="P2129" s="277"/>
      <c r="Q2129" s="277"/>
      <c r="R2129" s="277"/>
      <c r="S2129" s="157"/>
      <c r="T2129" s="157"/>
      <c r="U2129" s="157"/>
      <c r="V2129" s="3589"/>
      <c r="W2129" s="766">
        <v>9.5</v>
      </c>
      <c r="X2129" s="766">
        <v>9.5</v>
      </c>
      <c r="Y2129" s="766">
        <v>9.5</v>
      </c>
      <c r="Z2129" s="2426">
        <v>9.5</v>
      </c>
      <c r="AA2129" s="2426">
        <v>9.5</v>
      </c>
      <c r="AB2129" s="2705">
        <v>9.6830769230769231</v>
      </c>
      <c r="AC2129" s="766"/>
      <c r="AD2129" s="766"/>
      <c r="AE2129" s="766"/>
      <c r="AF2129" s="766"/>
      <c r="AG2129" s="766"/>
      <c r="BB2129" s="647"/>
      <c r="BC2129" s="648"/>
      <c r="BD2129" s="757"/>
      <c r="BE2129" s="659"/>
    </row>
    <row r="2130" spans="1:57" s="64" customFormat="1" ht="15" customHeight="1" outlineLevel="1" x14ac:dyDescent="0.25">
      <c r="A2130" s="2463"/>
      <c r="B2130" s="157"/>
      <c r="C2130" s="385"/>
      <c r="D2130" s="3589"/>
      <c r="E2130" s="3721"/>
      <c r="F2130" s="3773" t="str">
        <f>$E$1534</f>
        <v>ASHP - SEER 18 - replace on fail SF</v>
      </c>
      <c r="G2130" s="3774"/>
      <c r="H2130" s="3774"/>
      <c r="I2130" s="3775"/>
      <c r="J2130" s="3071" t="str">
        <f>$C$1534</f>
        <v>353950_2019_12_</v>
      </c>
      <c r="K2130" s="2703">
        <v>9.8000000000000007</v>
      </c>
      <c r="L2130" s="945"/>
      <c r="M2130" s="2718" t="s">
        <v>1503</v>
      </c>
      <c r="N2130" s="157"/>
      <c r="O2130" s="277"/>
      <c r="P2130" s="937"/>
      <c r="Q2130" s="938"/>
      <c r="R2130" s="937"/>
      <c r="S2130" s="924"/>
      <c r="T2130" s="1407"/>
      <c r="U2130" s="157"/>
      <c r="V2130" s="3589"/>
      <c r="W2130" s="766">
        <v>9.8000000000000007</v>
      </c>
      <c r="X2130" s="766">
        <v>9.8000000000000007</v>
      </c>
      <c r="Y2130" s="766">
        <v>9.8000000000000007</v>
      </c>
      <c r="Z2130" s="2426">
        <v>9.8000000000000007</v>
      </c>
      <c r="AA2130" s="2426">
        <v>9.8000000000000007</v>
      </c>
      <c r="AB2130" s="2703">
        <v>9.8000000000000007</v>
      </c>
      <c r="AC2130" s="766"/>
      <c r="AD2130" s="766"/>
      <c r="AE2130" s="766"/>
      <c r="AF2130" s="766"/>
      <c r="AG2130" s="766"/>
      <c r="BB2130" s="647"/>
      <c r="BC2130" s="648"/>
      <c r="BD2130" s="757"/>
      <c r="BE2130" s="659"/>
    </row>
    <row r="2131" spans="1:57" s="64" customFormat="1" ht="15" customHeight="1" outlineLevel="1" x14ac:dyDescent="0.25">
      <c r="A2131" s="1393"/>
      <c r="B2131" s="157"/>
      <c r="C2131" s="385"/>
      <c r="D2131" s="3589"/>
      <c r="E2131" s="3721"/>
      <c r="F2131" s="3773" t="str">
        <f>$E$1536</f>
        <v>ASHP SEER 19 replace ASHP - early replacement SF ER1</v>
      </c>
      <c r="G2131" s="3774"/>
      <c r="H2131" s="3774"/>
      <c r="I2131" s="3775"/>
      <c r="J2131" s="3071" t="str">
        <f>$C$1536</f>
        <v>354000_2019_12_</v>
      </c>
      <c r="K2131" s="2703">
        <v>9.5</v>
      </c>
      <c r="L2131" s="945"/>
      <c r="M2131" s="2718" t="s">
        <v>1503</v>
      </c>
      <c r="N2131" s="157"/>
      <c r="O2131" s="277"/>
      <c r="P2131" s="277"/>
      <c r="Q2131" s="277"/>
      <c r="R2131" s="277"/>
      <c r="S2131" s="157"/>
      <c r="T2131" s="157"/>
      <c r="U2131" s="157"/>
      <c r="V2131" s="3589"/>
      <c r="W2131" s="766">
        <v>9.5</v>
      </c>
      <c r="X2131" s="766">
        <v>9.5</v>
      </c>
      <c r="Y2131" s="766">
        <v>9.5</v>
      </c>
      <c r="Z2131" s="2426">
        <v>9.5</v>
      </c>
      <c r="AA2131" s="2426">
        <v>9.5</v>
      </c>
      <c r="AB2131" s="2703">
        <v>9.5</v>
      </c>
      <c r="AC2131" s="766"/>
      <c r="AD2131" s="766"/>
      <c r="AE2131" s="766"/>
      <c r="AF2131" s="766"/>
      <c r="AG2131" s="766"/>
      <c r="BB2131" s="647"/>
      <c r="BC2131" s="648"/>
      <c r="BD2131" s="757"/>
      <c r="BE2131" s="659"/>
    </row>
    <row r="2132" spans="1:57" s="64" customFormat="1" ht="15" customHeight="1" outlineLevel="1" x14ac:dyDescent="0.25">
      <c r="A2132" s="1393"/>
      <c r="B2132" s="157"/>
      <c r="C2132" s="385"/>
      <c r="D2132" s="3589"/>
      <c r="E2132" s="3721"/>
      <c r="F2132" s="3773" t="str">
        <f>$E$1538</f>
        <v>ASHP SEER 19 replace ASHP - early replacement SF ER2</v>
      </c>
      <c r="G2132" s="3774"/>
      <c r="H2132" s="3774"/>
      <c r="I2132" s="3775"/>
      <c r="J2132" s="3071" t="str">
        <f>$C$1538</f>
        <v>354000_2019_12_</v>
      </c>
      <c r="K2132" s="2703">
        <v>9.5</v>
      </c>
      <c r="L2132" s="945"/>
      <c r="M2132" s="2718" t="s">
        <v>1503</v>
      </c>
      <c r="N2132" s="157"/>
      <c r="O2132" s="277"/>
      <c r="P2132" s="277"/>
      <c r="Q2132" s="277"/>
      <c r="R2132" s="277"/>
      <c r="S2132" s="157"/>
      <c r="T2132" s="157"/>
      <c r="U2132" s="157"/>
      <c r="V2132" s="3589"/>
      <c r="W2132" s="766">
        <v>9.5</v>
      </c>
      <c r="X2132" s="766">
        <v>9.5</v>
      </c>
      <c r="Y2132" s="766">
        <v>9.5</v>
      </c>
      <c r="Z2132" s="2426">
        <v>9.5</v>
      </c>
      <c r="AA2132" s="2426">
        <v>9.5</v>
      </c>
      <c r="AB2132" s="2703">
        <v>9.5</v>
      </c>
      <c r="AC2132" s="766"/>
      <c r="AD2132" s="766"/>
      <c r="AE2132" s="766"/>
      <c r="AF2132" s="766"/>
      <c r="AG2132" s="766"/>
      <c r="BB2132" s="647"/>
      <c r="BC2132" s="648"/>
      <c r="BD2132" s="757"/>
      <c r="BE2132" s="659"/>
    </row>
    <row r="2133" spans="1:57" s="64" customFormat="1" ht="15" customHeight="1" outlineLevel="1" x14ac:dyDescent="0.25">
      <c r="A2133" s="2463"/>
      <c r="B2133" s="157"/>
      <c r="C2133" s="385"/>
      <c r="D2133" s="3589"/>
      <c r="E2133" s="3721"/>
      <c r="F2133" s="3773" t="str">
        <f>$E$1540</f>
        <v>ASHP SEER 19 replace ASHP - replace on fail SF</v>
      </c>
      <c r="G2133" s="3774"/>
      <c r="H2133" s="3774"/>
      <c r="I2133" s="3775"/>
      <c r="J2133" s="3071" t="str">
        <f>$C$1540</f>
        <v>354050_2019_12_</v>
      </c>
      <c r="K2133" s="2703">
        <v>9.8000000000000007</v>
      </c>
      <c r="L2133" s="945"/>
      <c r="M2133" s="2718" t="s">
        <v>1503</v>
      </c>
      <c r="N2133" s="157"/>
      <c r="O2133" s="277"/>
      <c r="P2133" s="937"/>
      <c r="Q2133" s="938"/>
      <c r="R2133" s="937"/>
      <c r="S2133" s="924"/>
      <c r="T2133" s="1407"/>
      <c r="U2133" s="157"/>
      <c r="V2133" s="3589"/>
      <c r="W2133" s="766">
        <v>9.8000000000000007</v>
      </c>
      <c r="X2133" s="766">
        <v>9.8000000000000007</v>
      </c>
      <c r="Y2133" s="766">
        <v>9.8000000000000007</v>
      </c>
      <c r="Z2133" s="2426">
        <v>9.8000000000000007</v>
      </c>
      <c r="AA2133" s="2426">
        <v>9.8000000000000007</v>
      </c>
      <c r="AB2133" s="2703">
        <v>9.8000000000000007</v>
      </c>
      <c r="AC2133" s="766"/>
      <c r="AD2133" s="766"/>
      <c r="AE2133" s="766"/>
      <c r="AF2133" s="766"/>
      <c r="AG2133" s="766"/>
      <c r="BB2133" s="647"/>
      <c r="BC2133" s="648"/>
      <c r="BD2133" s="757"/>
      <c r="BE2133" s="659"/>
    </row>
    <row r="2134" spans="1:57" s="64" customFormat="1" ht="15" customHeight="1" outlineLevel="1" x14ac:dyDescent="0.25">
      <c r="A2134" s="2463"/>
      <c r="B2134" s="157"/>
      <c r="C2134" s="385"/>
      <c r="D2134" s="3589"/>
      <c r="E2134" s="3721"/>
      <c r="F2134" s="3773" t="str">
        <f>$E$1542</f>
        <v>ASHP - SEER 17 - replace electric furnace / CAC - early replacement SF ER1</v>
      </c>
      <c r="G2134" s="3774"/>
      <c r="H2134" s="3774"/>
      <c r="I2134" s="3775"/>
      <c r="J2134" s="3071" t="str">
        <f>$C$1542</f>
        <v>354100_2019_12_</v>
      </c>
      <c r="K2134" s="2703">
        <v>9.4</v>
      </c>
      <c r="L2134" s="945"/>
      <c r="M2134" s="2718"/>
      <c r="N2134" s="157"/>
      <c r="O2134" s="277"/>
      <c r="P2134" s="937"/>
      <c r="Q2134" s="938"/>
      <c r="R2134" s="937"/>
      <c r="S2134" s="924"/>
      <c r="T2134" s="1407"/>
      <c r="U2134" s="157"/>
      <c r="V2134" s="3589"/>
      <c r="W2134" s="766">
        <v>9.4</v>
      </c>
      <c r="X2134" s="766">
        <v>9.4</v>
      </c>
      <c r="Y2134" s="766">
        <v>9.4</v>
      </c>
      <c r="Z2134" s="2426">
        <v>9.4</v>
      </c>
      <c r="AA2134" s="2426">
        <v>9.4</v>
      </c>
      <c r="AB2134" s="2703">
        <v>9.4</v>
      </c>
      <c r="AC2134" s="766"/>
      <c r="AD2134" s="766"/>
      <c r="AE2134" s="766"/>
      <c r="AF2134" s="766"/>
      <c r="AG2134" s="766"/>
      <c r="BB2134" s="647"/>
      <c r="BC2134" s="648"/>
      <c r="BD2134" s="757"/>
      <c r="BE2134" s="659"/>
    </row>
    <row r="2135" spans="1:57" s="64" customFormat="1" ht="15" customHeight="1" outlineLevel="1" x14ac:dyDescent="0.25">
      <c r="A2135" s="2463"/>
      <c r="B2135" s="157"/>
      <c r="C2135" s="385"/>
      <c r="D2135" s="3589"/>
      <c r="E2135" s="3721"/>
      <c r="F2135" s="3773" t="str">
        <f>$E$1544</f>
        <v>ASHP - SEER 17 - replace electric furnace / CAC - early replacement SF ER2</v>
      </c>
      <c r="G2135" s="3774"/>
      <c r="H2135" s="3774"/>
      <c r="I2135" s="3775"/>
      <c r="J2135" s="3071" t="str">
        <f>$C$1544</f>
        <v>354100_2019_12_</v>
      </c>
      <c r="K2135" s="2703">
        <v>9.4</v>
      </c>
      <c r="L2135" s="945"/>
      <c r="M2135" s="2718"/>
      <c r="N2135" s="157"/>
      <c r="O2135" s="277"/>
      <c r="P2135" s="937"/>
      <c r="Q2135" s="938"/>
      <c r="R2135" s="937"/>
      <c r="S2135" s="924"/>
      <c r="T2135" s="1407"/>
      <c r="U2135" s="157"/>
      <c r="V2135" s="3589"/>
      <c r="W2135" s="766">
        <v>9.4</v>
      </c>
      <c r="X2135" s="766">
        <v>9.4</v>
      </c>
      <c r="Y2135" s="766">
        <v>9.4</v>
      </c>
      <c r="Z2135" s="2426">
        <v>9.4</v>
      </c>
      <c r="AA2135" s="2426">
        <v>9.4</v>
      </c>
      <c r="AB2135" s="2703">
        <v>9.4</v>
      </c>
      <c r="AC2135" s="766"/>
      <c r="AD2135" s="766"/>
      <c r="AE2135" s="766"/>
      <c r="AF2135" s="766"/>
      <c r="AG2135" s="766"/>
      <c r="BB2135" s="647"/>
      <c r="BC2135" s="648"/>
      <c r="BD2135" s="757"/>
      <c r="BE2135" s="659"/>
    </row>
    <row r="2136" spans="1:57" s="64" customFormat="1" ht="15" customHeight="1" outlineLevel="1" x14ac:dyDescent="0.25">
      <c r="A2136" s="2463"/>
      <c r="B2136" s="157"/>
      <c r="C2136" s="385"/>
      <c r="D2136" s="3589"/>
      <c r="E2136" s="3721"/>
      <c r="F2136" s="3773" t="str">
        <f>$E$1546</f>
        <v>ASHP - SEER 17 - replace electric furnace / CAC - early replacement MF ER1</v>
      </c>
      <c r="G2136" s="3774"/>
      <c r="H2136" s="3774"/>
      <c r="I2136" s="3775"/>
      <c r="J2136" s="3071" t="str">
        <f>$C$1546</f>
        <v>354150_2019_12_</v>
      </c>
      <c r="K2136" s="2703">
        <v>9.4</v>
      </c>
      <c r="L2136" s="945"/>
      <c r="M2136" s="2718"/>
      <c r="N2136" s="157"/>
      <c r="O2136" s="277"/>
      <c r="P2136" s="937"/>
      <c r="Q2136" s="938"/>
      <c r="R2136" s="937"/>
      <c r="S2136" s="924"/>
      <c r="T2136" s="1407"/>
      <c r="U2136" s="157"/>
      <c r="V2136" s="3589"/>
      <c r="W2136" s="766">
        <v>9.4</v>
      </c>
      <c r="X2136" s="766">
        <v>9.4</v>
      </c>
      <c r="Y2136" s="766">
        <v>9.4</v>
      </c>
      <c r="Z2136" s="2426">
        <v>9.4</v>
      </c>
      <c r="AA2136" s="2426">
        <v>9.4</v>
      </c>
      <c r="AB2136" s="2703">
        <v>9.4</v>
      </c>
      <c r="AC2136" s="766"/>
      <c r="AD2136" s="766"/>
      <c r="AE2136" s="766"/>
      <c r="AF2136" s="766"/>
      <c r="AG2136" s="766"/>
      <c r="BB2136" s="647"/>
      <c r="BC2136" s="648"/>
      <c r="BD2136" s="757"/>
      <c r="BE2136" s="659"/>
    </row>
    <row r="2137" spans="1:57" s="64" customFormat="1" ht="15" customHeight="1" outlineLevel="1" x14ac:dyDescent="0.25">
      <c r="A2137" s="2463"/>
      <c r="B2137" s="157"/>
      <c r="C2137" s="385"/>
      <c r="D2137" s="3589"/>
      <c r="E2137" s="3721"/>
      <c r="F2137" s="3773" t="str">
        <f>$E$1548</f>
        <v>ASHP - SEER 17 - replace electric furnace / CAC - early replacement MF ER2</v>
      </c>
      <c r="G2137" s="3774"/>
      <c r="H2137" s="3774"/>
      <c r="I2137" s="3775"/>
      <c r="J2137" s="3071" t="str">
        <f>$C$1548</f>
        <v>354150_2019_12_</v>
      </c>
      <c r="K2137" s="2703">
        <v>9.4</v>
      </c>
      <c r="L2137" s="945"/>
      <c r="M2137" s="2718"/>
      <c r="N2137" s="157"/>
      <c r="O2137" s="277"/>
      <c r="P2137" s="937"/>
      <c r="Q2137" s="938"/>
      <c r="R2137" s="937"/>
      <c r="S2137" s="924"/>
      <c r="T2137" s="1407"/>
      <c r="U2137" s="157"/>
      <c r="V2137" s="3589"/>
      <c r="W2137" s="766">
        <v>9.4</v>
      </c>
      <c r="X2137" s="766">
        <v>9.4</v>
      </c>
      <c r="Y2137" s="766">
        <v>9.4</v>
      </c>
      <c r="Z2137" s="2426">
        <v>9.4</v>
      </c>
      <c r="AA2137" s="2426">
        <v>9.4</v>
      </c>
      <c r="AB2137" s="2703">
        <v>9.4</v>
      </c>
      <c r="AC2137" s="766"/>
      <c r="AD2137" s="766"/>
      <c r="AE2137" s="766"/>
      <c r="AF2137" s="766"/>
      <c r="AG2137" s="766"/>
      <c r="BB2137" s="647"/>
      <c r="BC2137" s="648"/>
      <c r="BD2137" s="757"/>
      <c r="BE2137" s="659"/>
    </row>
    <row r="2138" spans="1:57" s="64" customFormat="1" ht="15" customHeight="1" outlineLevel="1" x14ac:dyDescent="0.25">
      <c r="A2138" s="2463"/>
      <c r="B2138" s="157"/>
      <c r="C2138" s="385"/>
      <c r="D2138" s="3589"/>
      <c r="E2138" s="3721"/>
      <c r="F2138" s="3773" t="str">
        <f>$E$1550</f>
        <v>ASHP - SEER 17 - replace electric furnace / CAC - early replacement MF ER1_CompE</v>
      </c>
      <c r="G2138" s="3774"/>
      <c r="H2138" s="3774"/>
      <c r="I2138" s="3775"/>
      <c r="J2138" s="3071" t="str">
        <f>$C$1550</f>
        <v>354151_2019_12_</v>
      </c>
      <c r="K2138" s="2703">
        <v>9.4</v>
      </c>
      <c r="L2138" s="945"/>
      <c r="M2138" s="2718"/>
      <c r="N2138" s="157"/>
      <c r="O2138" s="277"/>
      <c r="P2138" s="937"/>
      <c r="Q2138" s="938"/>
      <c r="R2138" s="937"/>
      <c r="S2138" s="924"/>
      <c r="T2138" s="1407"/>
      <c r="U2138" s="157"/>
      <c r="V2138" s="3589"/>
      <c r="W2138" s="766"/>
      <c r="X2138" s="766"/>
      <c r="Y2138" s="765">
        <v>9.4</v>
      </c>
      <c r="Z2138" s="2426">
        <v>9.4</v>
      </c>
      <c r="AA2138" s="2426">
        <v>9.4</v>
      </c>
      <c r="AB2138" s="2703">
        <v>9.4</v>
      </c>
      <c r="AC2138" s="766"/>
      <c r="AD2138" s="766"/>
      <c r="AE2138" s="766"/>
      <c r="AF2138" s="766"/>
      <c r="AG2138" s="766"/>
      <c r="BB2138" s="647"/>
      <c r="BC2138" s="648"/>
      <c r="BD2138" s="757"/>
      <c r="BE2138" s="659"/>
    </row>
    <row r="2139" spans="1:57" s="64" customFormat="1" ht="15" customHeight="1" outlineLevel="1" x14ac:dyDescent="0.25">
      <c r="A2139" s="2463"/>
      <c r="B2139" s="157"/>
      <c r="C2139" s="385"/>
      <c r="D2139" s="3589"/>
      <c r="E2139" s="3721"/>
      <c r="F2139" s="3773" t="str">
        <f>$E$1552</f>
        <v>ASHP - SEER 17 - replace electric furnace / CAC - early replacement MF ER2_CompE</v>
      </c>
      <c r="G2139" s="3774"/>
      <c r="H2139" s="3774"/>
      <c r="I2139" s="3775"/>
      <c r="J2139" s="3071" t="str">
        <f>$C$1552</f>
        <v>354151_2019_12_</v>
      </c>
      <c r="K2139" s="2703">
        <v>9.4</v>
      </c>
      <c r="L2139" s="945"/>
      <c r="M2139" s="2718"/>
      <c r="N2139" s="157"/>
      <c r="O2139" s="277"/>
      <c r="P2139" s="937"/>
      <c r="Q2139" s="938"/>
      <c r="R2139" s="937"/>
      <c r="S2139" s="924"/>
      <c r="T2139" s="1407"/>
      <c r="U2139" s="157"/>
      <c r="V2139" s="3589"/>
      <c r="W2139" s="766"/>
      <c r="X2139" s="766"/>
      <c r="Y2139" s="765">
        <v>9.4</v>
      </c>
      <c r="Z2139" s="2426">
        <v>9.4</v>
      </c>
      <c r="AA2139" s="2426">
        <v>9.4</v>
      </c>
      <c r="AB2139" s="2703">
        <v>9.4</v>
      </c>
      <c r="AC2139" s="766"/>
      <c r="AD2139" s="766"/>
      <c r="AE2139" s="766"/>
      <c r="AF2139" s="766"/>
      <c r="AG2139" s="766"/>
      <c r="BB2139" s="647"/>
      <c r="BC2139" s="648"/>
      <c r="BD2139" s="757"/>
      <c r="BE2139" s="659"/>
    </row>
    <row r="2140" spans="1:57" s="64" customFormat="1" ht="15" customHeight="1" outlineLevel="1" x14ac:dyDescent="0.25">
      <c r="A2140" s="2463"/>
      <c r="B2140" s="157"/>
      <c r="C2140" s="385"/>
      <c r="D2140" s="3589"/>
      <c r="E2140" s="3721"/>
      <c r="F2140" s="3773" t="str">
        <f>$E$1554</f>
        <v>ASHP SEER 17 replace ASHP - early replacement MF ER1</v>
      </c>
      <c r="G2140" s="3774"/>
      <c r="H2140" s="3774"/>
      <c r="I2140" s="3775"/>
      <c r="J2140" s="3071" t="str">
        <f>$C$1554</f>
        <v>354200_2019_12_</v>
      </c>
      <c r="K2140" s="2703">
        <v>9.5</v>
      </c>
      <c r="L2140" s="945"/>
      <c r="M2140" s="2718"/>
      <c r="N2140" s="157"/>
      <c r="O2140" s="277"/>
      <c r="P2140" s="937"/>
      <c r="Q2140" s="938"/>
      <c r="R2140" s="937"/>
      <c r="S2140" s="924"/>
      <c r="T2140" s="1407"/>
      <c r="U2140" s="157"/>
      <c r="V2140" s="3589"/>
      <c r="W2140" s="766">
        <v>9.5</v>
      </c>
      <c r="X2140" s="766">
        <v>9.5</v>
      </c>
      <c r="Y2140" s="766">
        <v>9.5</v>
      </c>
      <c r="Z2140" s="2426">
        <v>9.5</v>
      </c>
      <c r="AA2140" s="2426">
        <v>9.5</v>
      </c>
      <c r="AB2140" s="2703">
        <v>9.5</v>
      </c>
      <c r="AC2140" s="766"/>
      <c r="AD2140" s="766"/>
      <c r="AE2140" s="766"/>
      <c r="AF2140" s="766"/>
      <c r="AG2140" s="766"/>
      <c r="BB2140" s="647"/>
      <c r="BC2140" s="648"/>
      <c r="BD2140" s="757"/>
      <c r="BE2140" s="659"/>
    </row>
    <row r="2141" spans="1:57" s="64" customFormat="1" ht="15" customHeight="1" outlineLevel="1" x14ac:dyDescent="0.25">
      <c r="A2141" s="2463"/>
      <c r="B2141" s="157"/>
      <c r="C2141" s="385"/>
      <c r="D2141" s="3589"/>
      <c r="E2141" s="3721"/>
      <c r="F2141" s="3773" t="str">
        <f>$E$1556</f>
        <v>ASHP SEER 17 replace ASHP - early replacement MF ER2</v>
      </c>
      <c r="G2141" s="3774"/>
      <c r="H2141" s="3774"/>
      <c r="I2141" s="3775"/>
      <c r="J2141" s="3071" t="str">
        <f>$C$1556</f>
        <v>354200_2019_12_</v>
      </c>
      <c r="K2141" s="2703">
        <v>9.5</v>
      </c>
      <c r="L2141" s="945"/>
      <c r="M2141" s="2718"/>
      <c r="N2141" s="157"/>
      <c r="O2141" s="277"/>
      <c r="P2141" s="937"/>
      <c r="Q2141" s="938"/>
      <c r="R2141" s="937"/>
      <c r="S2141" s="924"/>
      <c r="T2141" s="1407"/>
      <c r="U2141" s="157"/>
      <c r="V2141" s="3589"/>
      <c r="W2141" s="766">
        <v>9.5</v>
      </c>
      <c r="X2141" s="766">
        <v>9.5</v>
      </c>
      <c r="Y2141" s="766">
        <v>9.5</v>
      </c>
      <c r="Z2141" s="2426">
        <v>9.5</v>
      </c>
      <c r="AA2141" s="2426">
        <v>9.5</v>
      </c>
      <c r="AB2141" s="2703">
        <v>9.5</v>
      </c>
      <c r="AC2141" s="766"/>
      <c r="AD2141" s="766"/>
      <c r="AE2141" s="766"/>
      <c r="AF2141" s="766"/>
      <c r="AG2141" s="766"/>
      <c r="BB2141" s="647"/>
      <c r="BC2141" s="648"/>
      <c r="BD2141" s="757"/>
      <c r="BE2141" s="659"/>
    </row>
    <row r="2142" spans="1:57" s="64" customFormat="1" ht="15" customHeight="1" outlineLevel="1" x14ac:dyDescent="0.25">
      <c r="A2142" s="2463"/>
      <c r="B2142" s="157"/>
      <c r="C2142" s="385"/>
      <c r="D2142" s="3589"/>
      <c r="E2142" s="3721"/>
      <c r="F2142" s="3773" t="str">
        <f>$E$1558</f>
        <v>ASHP SEER 17 replace ASHP - early replacement MF ER1_CompE</v>
      </c>
      <c r="G2142" s="3774"/>
      <c r="H2142" s="3774"/>
      <c r="I2142" s="3775"/>
      <c r="J2142" s="3071" t="str">
        <f>$C$1558</f>
        <v>354201_2019_12_</v>
      </c>
      <c r="K2142" s="2703">
        <v>9.5</v>
      </c>
      <c r="L2142" s="945"/>
      <c r="M2142" s="2718"/>
      <c r="N2142" s="157"/>
      <c r="O2142" s="277"/>
      <c r="P2142" s="937"/>
      <c r="Q2142" s="938"/>
      <c r="R2142" s="937"/>
      <c r="S2142" s="924"/>
      <c r="T2142" s="1407"/>
      <c r="U2142" s="157"/>
      <c r="V2142" s="3589"/>
      <c r="W2142" s="766"/>
      <c r="X2142" s="766"/>
      <c r="Y2142" s="765">
        <v>9.5</v>
      </c>
      <c r="Z2142" s="2426">
        <v>9.5</v>
      </c>
      <c r="AA2142" s="2426">
        <v>9.5</v>
      </c>
      <c r="AB2142" s="2703">
        <v>9.5</v>
      </c>
      <c r="AC2142" s="766"/>
      <c r="AD2142" s="766"/>
      <c r="AE2142" s="766"/>
      <c r="AF2142" s="766"/>
      <c r="AG2142" s="766"/>
      <c r="BB2142" s="647"/>
      <c r="BC2142" s="648"/>
      <c r="BD2142" s="757"/>
      <c r="BE2142" s="659"/>
    </row>
    <row r="2143" spans="1:57" s="64" customFormat="1" ht="15" customHeight="1" outlineLevel="1" x14ac:dyDescent="0.25">
      <c r="A2143" s="2463"/>
      <c r="B2143" s="157"/>
      <c r="C2143" s="385"/>
      <c r="D2143" s="3589"/>
      <c r="E2143" s="3721"/>
      <c r="F2143" s="3773" t="str">
        <f>$E$1560</f>
        <v>ASHP SEER 17 replace ASHP - early replacement MF ER2_CompE</v>
      </c>
      <c r="G2143" s="3774"/>
      <c r="H2143" s="3774"/>
      <c r="I2143" s="3775"/>
      <c r="J2143" s="3071" t="str">
        <f>$C$1560</f>
        <v>354201_2019_12_</v>
      </c>
      <c r="K2143" s="2703">
        <v>9.5</v>
      </c>
      <c r="L2143" s="945"/>
      <c r="M2143" s="2718"/>
      <c r="N2143" s="157"/>
      <c r="O2143" s="277"/>
      <c r="P2143" s="937"/>
      <c r="Q2143" s="938"/>
      <c r="R2143" s="937"/>
      <c r="S2143" s="924"/>
      <c r="T2143" s="1407"/>
      <c r="U2143" s="157"/>
      <c r="V2143" s="3589"/>
      <c r="W2143" s="766"/>
      <c r="X2143" s="766"/>
      <c r="Y2143" s="765">
        <v>9.5</v>
      </c>
      <c r="Z2143" s="2426">
        <v>9.5</v>
      </c>
      <c r="AA2143" s="2426">
        <v>9.5</v>
      </c>
      <c r="AB2143" s="2703">
        <v>9.5</v>
      </c>
      <c r="AC2143" s="766"/>
      <c r="AD2143" s="766"/>
      <c r="AE2143" s="766"/>
      <c r="AF2143" s="766"/>
      <c r="AG2143" s="766"/>
      <c r="BB2143" s="647"/>
      <c r="BC2143" s="648"/>
      <c r="BD2143" s="757"/>
      <c r="BE2143" s="659"/>
    </row>
    <row r="2144" spans="1:57" s="64" customFormat="1" ht="15" customHeight="1" outlineLevel="1" x14ac:dyDescent="0.25">
      <c r="A2144" s="2463"/>
      <c r="B2144" s="157"/>
      <c r="C2144" s="385"/>
      <c r="D2144" s="3589"/>
      <c r="E2144" s="3721"/>
      <c r="F2144" s="3773" t="str">
        <f>$E$1562</f>
        <v>ASHP - SEER 18 - replace electric furnace / CAC - early replacement SF ER1</v>
      </c>
      <c r="G2144" s="3774"/>
      <c r="H2144" s="3774"/>
      <c r="I2144" s="3775"/>
      <c r="J2144" s="3071" t="str">
        <f>$C$1562</f>
        <v>354250_2019_12_</v>
      </c>
      <c r="K2144" s="3254">
        <v>9.8885057471264393</v>
      </c>
      <c r="L2144" s="945"/>
      <c r="M2144" s="2675" t="s">
        <v>3674</v>
      </c>
      <c r="N2144" s="157"/>
      <c r="O2144" s="277"/>
      <c r="P2144" s="937"/>
      <c r="Q2144" s="938"/>
      <c r="R2144" s="937"/>
      <c r="S2144" s="924"/>
      <c r="T2144" s="1407"/>
      <c r="U2144" s="157"/>
      <c r="V2144" s="3589"/>
      <c r="W2144" s="766">
        <v>9.4</v>
      </c>
      <c r="X2144" s="766">
        <v>9.4</v>
      </c>
      <c r="Y2144" s="766">
        <v>9.4</v>
      </c>
      <c r="Z2144" s="2426">
        <v>9.4</v>
      </c>
      <c r="AA2144" s="2426">
        <v>9.4</v>
      </c>
      <c r="AB2144" s="2705">
        <v>9.8885057471264393</v>
      </c>
      <c r="AC2144" s="766"/>
      <c r="AD2144" s="766"/>
      <c r="AE2144" s="766"/>
      <c r="AF2144" s="766"/>
      <c r="AG2144" s="766"/>
      <c r="BB2144" s="647"/>
      <c r="BC2144" s="648"/>
      <c r="BD2144" s="757"/>
      <c r="BE2144" s="659"/>
    </row>
    <row r="2145" spans="1:57" s="64" customFormat="1" ht="15" customHeight="1" outlineLevel="1" x14ac:dyDescent="0.25">
      <c r="A2145" s="2463"/>
      <c r="B2145" s="157"/>
      <c r="C2145" s="385"/>
      <c r="D2145" s="3589"/>
      <c r="E2145" s="3721"/>
      <c r="F2145" s="3773" t="str">
        <f>$E$1564</f>
        <v>ASHP - SEER 18 - replace electric furnace / CAC - early replacement SF ER2</v>
      </c>
      <c r="G2145" s="3774"/>
      <c r="H2145" s="3774"/>
      <c r="I2145" s="3775"/>
      <c r="J2145" s="3071" t="str">
        <f>$C$1564</f>
        <v>354250_2019_12_</v>
      </c>
      <c r="K2145" s="3254">
        <f>K2144</f>
        <v>9.8885057471264393</v>
      </c>
      <c r="L2145" s="945"/>
      <c r="M2145" s="2675" t="s">
        <v>3674</v>
      </c>
      <c r="N2145" s="157"/>
      <c r="O2145" s="277"/>
      <c r="P2145" s="937"/>
      <c r="Q2145" s="938"/>
      <c r="R2145" s="937"/>
      <c r="S2145" s="924"/>
      <c r="T2145" s="1407"/>
      <c r="U2145" s="157"/>
      <c r="V2145" s="3589"/>
      <c r="W2145" s="766">
        <v>9.4</v>
      </c>
      <c r="X2145" s="766">
        <v>9.4</v>
      </c>
      <c r="Y2145" s="766">
        <v>9.4</v>
      </c>
      <c r="Z2145" s="2426">
        <v>9.4</v>
      </c>
      <c r="AA2145" s="2426">
        <v>9.4</v>
      </c>
      <c r="AB2145" s="2705">
        <v>9.8885057471264393</v>
      </c>
      <c r="AC2145" s="766"/>
      <c r="AD2145" s="766"/>
      <c r="AE2145" s="766"/>
      <c r="AF2145" s="766"/>
      <c r="AG2145" s="766"/>
      <c r="BB2145" s="647"/>
      <c r="BC2145" s="648"/>
      <c r="BD2145" s="757"/>
      <c r="BE2145" s="659"/>
    </row>
    <row r="2146" spans="1:57" s="64" customFormat="1" ht="15" customHeight="1" outlineLevel="1" x14ac:dyDescent="0.25">
      <c r="A2146" s="2463"/>
      <c r="B2146" s="157"/>
      <c r="C2146" s="385"/>
      <c r="D2146" s="3589"/>
      <c r="E2146" s="3721"/>
      <c r="F2146" s="3773" t="str">
        <f>$E$1566</f>
        <v>ASHP - SEER 18 - replace electric furnace / CAC - early replacement MF ER1</v>
      </c>
      <c r="G2146" s="3774"/>
      <c r="H2146" s="3774"/>
      <c r="I2146" s="3775"/>
      <c r="J2146" s="3071" t="str">
        <f>$C$1566</f>
        <v>354300_2019_12_</v>
      </c>
      <c r="K2146" s="3254">
        <v>10</v>
      </c>
      <c r="L2146" s="945"/>
      <c r="M2146" s="2675" t="s">
        <v>3674</v>
      </c>
      <c r="N2146" s="157"/>
      <c r="O2146" s="277"/>
      <c r="P2146" s="937"/>
      <c r="Q2146" s="938"/>
      <c r="R2146" s="937"/>
      <c r="S2146" s="924"/>
      <c r="T2146" s="1407"/>
      <c r="U2146" s="157"/>
      <c r="V2146" s="3589"/>
      <c r="W2146" s="766">
        <v>9.4</v>
      </c>
      <c r="X2146" s="766">
        <v>9.4</v>
      </c>
      <c r="Y2146" s="766">
        <v>9.4</v>
      </c>
      <c r="Z2146" s="2426">
        <v>9.4</v>
      </c>
      <c r="AA2146" s="2426">
        <v>9.4</v>
      </c>
      <c r="AB2146" s="2705">
        <v>10</v>
      </c>
      <c r="AC2146" s="766"/>
      <c r="AD2146" s="766"/>
      <c r="AE2146" s="766"/>
      <c r="AF2146" s="766"/>
      <c r="AG2146" s="766"/>
      <c r="BB2146" s="647"/>
      <c r="BC2146" s="648"/>
      <c r="BD2146" s="757"/>
      <c r="BE2146" s="659"/>
    </row>
    <row r="2147" spans="1:57" s="64" customFormat="1" ht="15" customHeight="1" outlineLevel="1" x14ac:dyDescent="0.25">
      <c r="A2147" s="2463"/>
      <c r="B2147" s="157"/>
      <c r="C2147" s="385"/>
      <c r="D2147" s="3589"/>
      <c r="E2147" s="3721"/>
      <c r="F2147" s="3773" t="str">
        <f>$E$1568</f>
        <v>ASHP - SEER 18 - replace electric furnace / CAC - early replacement MF ER2</v>
      </c>
      <c r="G2147" s="3774"/>
      <c r="H2147" s="3774"/>
      <c r="I2147" s="3775"/>
      <c r="J2147" s="3071" t="str">
        <f>$C$1568</f>
        <v>354300_2019_12_</v>
      </c>
      <c r="K2147" s="3254">
        <f>K2146</f>
        <v>10</v>
      </c>
      <c r="L2147" s="945"/>
      <c r="M2147" s="2675" t="s">
        <v>3674</v>
      </c>
      <c r="N2147" s="157"/>
      <c r="O2147" s="277"/>
      <c r="P2147" s="937"/>
      <c r="Q2147" s="938"/>
      <c r="R2147" s="937"/>
      <c r="S2147" s="924"/>
      <c r="T2147" s="1407"/>
      <c r="U2147" s="157"/>
      <c r="V2147" s="3589"/>
      <c r="W2147" s="766">
        <v>9.4</v>
      </c>
      <c r="X2147" s="766">
        <v>9.4</v>
      </c>
      <c r="Y2147" s="766">
        <v>9.4</v>
      </c>
      <c r="Z2147" s="2426">
        <v>9.4</v>
      </c>
      <c r="AA2147" s="2426">
        <v>9.4</v>
      </c>
      <c r="AB2147" s="2705">
        <v>10</v>
      </c>
      <c r="AC2147" s="766"/>
      <c r="AD2147" s="766"/>
      <c r="AE2147" s="766"/>
      <c r="AF2147" s="766"/>
      <c r="AG2147" s="766"/>
      <c r="BB2147" s="647"/>
      <c r="BC2147" s="648"/>
      <c r="BD2147" s="757"/>
      <c r="BE2147" s="659"/>
    </row>
    <row r="2148" spans="1:57" s="64" customFormat="1" ht="15" customHeight="1" outlineLevel="1" x14ac:dyDescent="0.25">
      <c r="A2148" s="2463"/>
      <c r="B2148" s="157"/>
      <c r="C2148" s="385"/>
      <c r="D2148" s="3589"/>
      <c r="E2148" s="3721"/>
      <c r="F2148" s="3773" t="str">
        <f>$E$1570</f>
        <v>ASHP - SEER 18 - replace electric furnace / CAC - early replacement MF ER1_CompE</v>
      </c>
      <c r="G2148" s="3774"/>
      <c r="H2148" s="3774"/>
      <c r="I2148" s="3775"/>
      <c r="J2148" s="3071" t="str">
        <f>$C$1570</f>
        <v>354301_2019_12_</v>
      </c>
      <c r="K2148" s="3254">
        <f>K2146</f>
        <v>10</v>
      </c>
      <c r="L2148" s="945"/>
      <c r="M2148" s="2675" t="s">
        <v>3652</v>
      </c>
      <c r="N2148" s="157"/>
      <c r="O2148" s="277"/>
      <c r="P2148" s="937"/>
      <c r="Q2148" s="938"/>
      <c r="R2148" s="937"/>
      <c r="S2148" s="924"/>
      <c r="T2148" s="1407"/>
      <c r="U2148" s="157"/>
      <c r="V2148" s="3589"/>
      <c r="W2148" s="766"/>
      <c r="X2148" s="766"/>
      <c r="Y2148" s="765">
        <v>9.4</v>
      </c>
      <c r="Z2148" s="2426">
        <v>9.4</v>
      </c>
      <c r="AA2148" s="2426">
        <v>9.4</v>
      </c>
      <c r="AB2148" s="2705">
        <v>10</v>
      </c>
      <c r="AC2148" s="766"/>
      <c r="AD2148" s="766"/>
      <c r="AE2148" s="766"/>
      <c r="AF2148" s="766"/>
      <c r="AG2148" s="766"/>
      <c r="BB2148" s="647"/>
      <c r="BC2148" s="648"/>
      <c r="BD2148" s="757"/>
      <c r="BE2148" s="659"/>
    </row>
    <row r="2149" spans="1:57" s="64" customFormat="1" ht="15" customHeight="1" outlineLevel="1" x14ac:dyDescent="0.25">
      <c r="A2149" s="2463"/>
      <c r="B2149" s="157"/>
      <c r="C2149" s="385"/>
      <c r="D2149" s="3589"/>
      <c r="E2149" s="3721"/>
      <c r="F2149" s="3773" t="str">
        <f>$E$1572</f>
        <v>ASHP - SEER 18 - replace electric furnace / CAC - early replacement MF ER2_CompE</v>
      </c>
      <c r="G2149" s="3774"/>
      <c r="H2149" s="3774"/>
      <c r="I2149" s="3775"/>
      <c r="J2149" s="3071" t="str">
        <f>$C$1572</f>
        <v>354301_2019_12_</v>
      </c>
      <c r="K2149" s="3254">
        <f>K2147</f>
        <v>10</v>
      </c>
      <c r="L2149" s="945"/>
      <c r="M2149" s="2675" t="s">
        <v>3652</v>
      </c>
      <c r="N2149" s="157"/>
      <c r="O2149" s="277"/>
      <c r="P2149" s="937"/>
      <c r="Q2149" s="938"/>
      <c r="R2149" s="937"/>
      <c r="S2149" s="924"/>
      <c r="T2149" s="1407"/>
      <c r="U2149" s="157"/>
      <c r="V2149" s="3589"/>
      <c r="W2149" s="766"/>
      <c r="X2149" s="766"/>
      <c r="Y2149" s="765">
        <v>9.4</v>
      </c>
      <c r="Z2149" s="2426">
        <v>9.4</v>
      </c>
      <c r="AA2149" s="2426">
        <v>9.4</v>
      </c>
      <c r="AB2149" s="2705">
        <v>10</v>
      </c>
      <c r="AC2149" s="766"/>
      <c r="AD2149" s="766"/>
      <c r="AE2149" s="766"/>
      <c r="AF2149" s="766"/>
      <c r="AG2149" s="766"/>
      <c r="BB2149" s="647"/>
      <c r="BC2149" s="648"/>
      <c r="BD2149" s="757"/>
      <c r="BE2149" s="659"/>
    </row>
    <row r="2150" spans="1:57" s="64" customFormat="1" ht="15" customHeight="1" outlineLevel="1" x14ac:dyDescent="0.25">
      <c r="A2150" s="2463"/>
      <c r="B2150" s="157"/>
      <c r="C2150" s="385"/>
      <c r="D2150" s="3589"/>
      <c r="E2150" s="3721"/>
      <c r="F2150" s="3773" t="str">
        <f>$E$1574</f>
        <v>ASHP SEER 18 replace ASHP - early replacement MF ER1</v>
      </c>
      <c r="G2150" s="3774"/>
      <c r="H2150" s="3774"/>
      <c r="I2150" s="3775"/>
      <c r="J2150" s="3071" t="str">
        <f>$C$1574</f>
        <v>354350_2019_12_</v>
      </c>
      <c r="K2150" s="2703">
        <v>9.5</v>
      </c>
      <c r="L2150" s="945"/>
      <c r="M2150" s="929"/>
      <c r="N2150" s="157"/>
      <c r="O2150" s="277"/>
      <c r="P2150" s="937"/>
      <c r="Q2150" s="938"/>
      <c r="R2150" s="937"/>
      <c r="S2150" s="924"/>
      <c r="T2150" s="1407"/>
      <c r="U2150" s="157"/>
      <c r="V2150" s="3589"/>
      <c r="W2150" s="766">
        <v>9.5</v>
      </c>
      <c r="X2150" s="766">
        <v>9.5</v>
      </c>
      <c r="Y2150" s="766">
        <v>9.5</v>
      </c>
      <c r="Z2150" s="2426">
        <v>9.5</v>
      </c>
      <c r="AA2150" s="2426">
        <v>9.5</v>
      </c>
      <c r="AB2150" s="2703">
        <v>9.5</v>
      </c>
      <c r="AC2150" s="766"/>
      <c r="AD2150" s="766"/>
      <c r="AE2150" s="766"/>
      <c r="AF2150" s="766"/>
      <c r="AG2150" s="766"/>
      <c r="BB2150" s="647"/>
      <c r="BC2150" s="648"/>
      <c r="BD2150" s="757"/>
      <c r="BE2150" s="659"/>
    </row>
    <row r="2151" spans="1:57" s="64" customFormat="1" ht="15" customHeight="1" outlineLevel="1" x14ac:dyDescent="0.25">
      <c r="A2151" s="2463"/>
      <c r="B2151" s="157"/>
      <c r="C2151" s="385"/>
      <c r="D2151" s="3589"/>
      <c r="E2151" s="3721"/>
      <c r="F2151" s="3773" t="str">
        <f>$E$1576</f>
        <v>ASHP SEER 18 replace ASHP - early replacement MF ER2</v>
      </c>
      <c r="G2151" s="3774"/>
      <c r="H2151" s="3774"/>
      <c r="I2151" s="3775"/>
      <c r="J2151" s="3071" t="str">
        <f>$C$1576</f>
        <v>354350_2019_12_</v>
      </c>
      <c r="K2151" s="2703">
        <v>9.5</v>
      </c>
      <c r="L2151" s="945"/>
      <c r="M2151" s="929"/>
      <c r="N2151" s="157"/>
      <c r="O2151" s="277"/>
      <c r="P2151" s="937"/>
      <c r="Q2151" s="938"/>
      <c r="R2151" s="937"/>
      <c r="S2151" s="924"/>
      <c r="T2151" s="1407"/>
      <c r="U2151" s="157"/>
      <c r="V2151" s="3589"/>
      <c r="W2151" s="766">
        <v>9.5</v>
      </c>
      <c r="X2151" s="766">
        <v>9.5</v>
      </c>
      <c r="Y2151" s="766">
        <v>9.5</v>
      </c>
      <c r="Z2151" s="2426">
        <v>9.5</v>
      </c>
      <c r="AA2151" s="2426">
        <v>9.5</v>
      </c>
      <c r="AB2151" s="2703">
        <v>9.5</v>
      </c>
      <c r="AC2151" s="766"/>
      <c r="AD2151" s="766"/>
      <c r="AE2151" s="766"/>
      <c r="AF2151" s="766"/>
      <c r="AG2151" s="766"/>
      <c r="BB2151" s="647"/>
      <c r="BC2151" s="648"/>
      <c r="BD2151" s="757"/>
      <c r="BE2151" s="659"/>
    </row>
    <row r="2152" spans="1:57" s="64" customFormat="1" ht="15" customHeight="1" outlineLevel="1" x14ac:dyDescent="0.25">
      <c r="A2152" s="2463"/>
      <c r="B2152" s="157"/>
      <c r="C2152" s="385"/>
      <c r="D2152" s="3589"/>
      <c r="E2152" s="3721"/>
      <c r="F2152" s="3773" t="str">
        <f>$E$1578</f>
        <v>ASHP SEER 18 replace ASHP - early replacement MF ER1_CompE</v>
      </c>
      <c r="G2152" s="3774"/>
      <c r="H2152" s="3774"/>
      <c r="I2152" s="3775"/>
      <c r="J2152" s="3071" t="str">
        <f>$C$1578</f>
        <v>354351_2019_12_</v>
      </c>
      <c r="K2152" s="2703">
        <v>9.5</v>
      </c>
      <c r="L2152" s="945"/>
      <c r="M2152" s="929"/>
      <c r="N2152" s="157"/>
      <c r="O2152" s="277"/>
      <c r="P2152" s="937"/>
      <c r="Q2152" s="938"/>
      <c r="R2152" s="937"/>
      <c r="S2152" s="924"/>
      <c r="T2152" s="1407"/>
      <c r="U2152" s="157"/>
      <c r="V2152" s="3589"/>
      <c r="W2152" s="766"/>
      <c r="X2152" s="766"/>
      <c r="Y2152" s="765">
        <v>9.5</v>
      </c>
      <c r="Z2152" s="2426">
        <v>9.5</v>
      </c>
      <c r="AA2152" s="2426">
        <v>9.5</v>
      </c>
      <c r="AB2152" s="2703">
        <v>9.5</v>
      </c>
      <c r="AC2152" s="766"/>
      <c r="AD2152" s="766"/>
      <c r="AE2152" s="766"/>
      <c r="AF2152" s="766"/>
      <c r="AG2152" s="766"/>
      <c r="BB2152" s="647"/>
      <c r="BC2152" s="648"/>
      <c r="BD2152" s="757"/>
      <c r="BE2152" s="659"/>
    </row>
    <row r="2153" spans="1:57" s="64" customFormat="1" ht="15" customHeight="1" outlineLevel="1" x14ac:dyDescent="0.25">
      <c r="A2153" s="2463"/>
      <c r="B2153" s="157"/>
      <c r="C2153" s="385"/>
      <c r="D2153" s="3589"/>
      <c r="E2153" s="3721"/>
      <c r="F2153" s="3773" t="str">
        <f>$E$1580</f>
        <v>ASHP SEER 18 replace ASHP - early replacement MF ER2_CompE</v>
      </c>
      <c r="G2153" s="3774"/>
      <c r="H2153" s="3774"/>
      <c r="I2153" s="3775"/>
      <c r="J2153" s="3071" t="str">
        <f>$C$1580</f>
        <v>354351_2019_12_</v>
      </c>
      <c r="K2153" s="2703">
        <v>9.5</v>
      </c>
      <c r="L2153" s="945"/>
      <c r="M2153" s="929"/>
      <c r="N2153" s="157"/>
      <c r="O2153" s="277"/>
      <c r="P2153" s="937"/>
      <c r="Q2153" s="938"/>
      <c r="R2153" s="937"/>
      <c r="S2153" s="924"/>
      <c r="T2153" s="1407"/>
      <c r="U2153" s="157"/>
      <c r="V2153" s="3589"/>
      <c r="W2153" s="766"/>
      <c r="X2153" s="766"/>
      <c r="Y2153" s="765">
        <v>9.5</v>
      </c>
      <c r="Z2153" s="2426">
        <v>9.5</v>
      </c>
      <c r="AA2153" s="2426">
        <v>9.5</v>
      </c>
      <c r="AB2153" s="2703">
        <v>9.5</v>
      </c>
      <c r="AC2153" s="766"/>
      <c r="AD2153" s="766"/>
      <c r="AE2153" s="766"/>
      <c r="AF2153" s="766"/>
      <c r="AG2153" s="766"/>
      <c r="BB2153" s="647"/>
      <c r="BC2153" s="648"/>
      <c r="BD2153" s="757"/>
      <c r="BE2153" s="659"/>
    </row>
    <row r="2154" spans="1:57" s="64" customFormat="1" ht="15" customHeight="1" outlineLevel="1" x14ac:dyDescent="0.25">
      <c r="A2154" s="2463"/>
      <c r="B2154" s="157"/>
      <c r="C2154" s="385"/>
      <c r="D2154" s="3589"/>
      <c r="E2154" s="3721"/>
      <c r="F2154" s="3773" t="str">
        <f>$E$1582</f>
        <v>ASHP - SEER 19 - replace electric furnace / CAC - early replacement SF ER1</v>
      </c>
      <c r="G2154" s="3774"/>
      <c r="H2154" s="3774"/>
      <c r="I2154" s="3775"/>
      <c r="J2154" s="3071" t="str">
        <f>$C$1582</f>
        <v>354400_2019_12_</v>
      </c>
      <c r="K2154" s="2703">
        <v>9.4</v>
      </c>
      <c r="L2154" s="945"/>
      <c r="M2154" s="929"/>
      <c r="N2154" s="157"/>
      <c r="O2154" s="277"/>
      <c r="P2154" s="937"/>
      <c r="Q2154" s="938"/>
      <c r="R2154" s="937"/>
      <c r="S2154" s="924"/>
      <c r="T2154" s="1407"/>
      <c r="U2154" s="157"/>
      <c r="V2154" s="3589"/>
      <c r="W2154" s="766">
        <v>9.4</v>
      </c>
      <c r="X2154" s="766">
        <v>9.4</v>
      </c>
      <c r="Y2154" s="766">
        <v>9.4</v>
      </c>
      <c r="Z2154" s="2426">
        <v>9.4</v>
      </c>
      <c r="AA2154" s="2426">
        <v>9.4</v>
      </c>
      <c r="AB2154" s="2703">
        <v>9.4</v>
      </c>
      <c r="AC2154" s="766"/>
      <c r="AD2154" s="766"/>
      <c r="AE2154" s="766"/>
      <c r="AF2154" s="766"/>
      <c r="AG2154" s="766"/>
      <c r="BB2154" s="647"/>
      <c r="BC2154" s="648"/>
      <c r="BD2154" s="757"/>
      <c r="BE2154" s="659"/>
    </row>
    <row r="2155" spans="1:57" s="64" customFormat="1" ht="15" customHeight="1" outlineLevel="1" x14ac:dyDescent="0.25">
      <c r="A2155" s="2463"/>
      <c r="B2155" s="157"/>
      <c r="C2155" s="385"/>
      <c r="D2155" s="3589"/>
      <c r="E2155" s="3721"/>
      <c r="F2155" s="3773" t="str">
        <f>$E$1584</f>
        <v>ASHP - SEER 19 - replace electric furnace / CAC - early replacement SF ER2</v>
      </c>
      <c r="G2155" s="3774"/>
      <c r="H2155" s="3774"/>
      <c r="I2155" s="3775"/>
      <c r="J2155" s="3071" t="str">
        <f>$C$1584</f>
        <v>354400_2019_12_</v>
      </c>
      <c r="K2155" s="2703">
        <v>9.4</v>
      </c>
      <c r="L2155" s="945"/>
      <c r="M2155" s="929"/>
      <c r="N2155" s="157"/>
      <c r="O2155" s="277"/>
      <c r="P2155" s="937"/>
      <c r="Q2155" s="938"/>
      <c r="R2155" s="937"/>
      <c r="S2155" s="924"/>
      <c r="T2155" s="1407"/>
      <c r="U2155" s="157"/>
      <c r="V2155" s="3589"/>
      <c r="W2155" s="766">
        <v>9.4</v>
      </c>
      <c r="X2155" s="766">
        <v>9.4</v>
      </c>
      <c r="Y2155" s="766">
        <v>9.4</v>
      </c>
      <c r="Z2155" s="2426">
        <v>9.4</v>
      </c>
      <c r="AA2155" s="2426">
        <v>9.4</v>
      </c>
      <c r="AB2155" s="2703">
        <v>9.4</v>
      </c>
      <c r="AC2155" s="766"/>
      <c r="AD2155" s="766"/>
      <c r="AE2155" s="766"/>
      <c r="AF2155" s="766"/>
      <c r="AG2155" s="766"/>
      <c r="BB2155" s="647"/>
      <c r="BC2155" s="648"/>
      <c r="BD2155" s="757"/>
      <c r="BE2155" s="659"/>
    </row>
    <row r="2156" spans="1:57" s="64" customFormat="1" ht="15" customHeight="1" outlineLevel="1" x14ac:dyDescent="0.25">
      <c r="A2156" s="2463"/>
      <c r="B2156" s="157"/>
      <c r="C2156" s="385"/>
      <c r="D2156" s="3589"/>
      <c r="E2156" s="3721"/>
      <c r="F2156" s="3773" t="str">
        <f>$E$1586</f>
        <v>ASHP - SEER 19 - replace electric furnace / CAC - early replacement MF ER1</v>
      </c>
      <c r="G2156" s="3774"/>
      <c r="H2156" s="3774"/>
      <c r="I2156" s="3775"/>
      <c r="J2156" s="3071" t="str">
        <f>$C$1586</f>
        <v>354450_2019_12_</v>
      </c>
      <c r="K2156" s="2703">
        <v>9.4</v>
      </c>
      <c r="L2156" s="945"/>
      <c r="M2156" s="929"/>
      <c r="N2156" s="157"/>
      <c r="O2156" s="277"/>
      <c r="P2156" s="937"/>
      <c r="Q2156" s="938"/>
      <c r="R2156" s="937"/>
      <c r="S2156" s="924"/>
      <c r="T2156" s="1407"/>
      <c r="U2156" s="157"/>
      <c r="V2156" s="3589"/>
      <c r="W2156" s="766">
        <v>9.4</v>
      </c>
      <c r="X2156" s="766">
        <v>9.4</v>
      </c>
      <c r="Y2156" s="766">
        <v>9.4</v>
      </c>
      <c r="Z2156" s="2426">
        <v>9.4</v>
      </c>
      <c r="AA2156" s="2426">
        <v>9.4</v>
      </c>
      <c r="AB2156" s="2703">
        <v>9.4</v>
      </c>
      <c r="AC2156" s="766"/>
      <c r="AD2156" s="766"/>
      <c r="AE2156" s="766"/>
      <c r="AF2156" s="766"/>
      <c r="AG2156" s="766"/>
      <c r="BB2156" s="647"/>
      <c r="BC2156" s="648"/>
      <c r="BD2156" s="757"/>
      <c r="BE2156" s="659"/>
    </row>
    <row r="2157" spans="1:57" s="64" customFormat="1" ht="15" customHeight="1" outlineLevel="1" x14ac:dyDescent="0.25">
      <c r="A2157" s="2463"/>
      <c r="B2157" s="157"/>
      <c r="C2157" s="385"/>
      <c r="D2157" s="3589"/>
      <c r="E2157" s="3721"/>
      <c r="F2157" s="3773" t="str">
        <f>$E$1588</f>
        <v>ASHP - SEER 19 - replace electric furnace / CAC - early replacement MF ER2</v>
      </c>
      <c r="G2157" s="3774"/>
      <c r="H2157" s="3774"/>
      <c r="I2157" s="3775"/>
      <c r="J2157" s="3071" t="str">
        <f>$C$1588</f>
        <v>354450_2019_12_</v>
      </c>
      <c r="K2157" s="2703">
        <v>9.4</v>
      </c>
      <c r="L2157" s="945"/>
      <c r="M2157" s="929"/>
      <c r="N2157" s="157"/>
      <c r="O2157" s="277"/>
      <c r="P2157" s="937"/>
      <c r="Q2157" s="938"/>
      <c r="R2157" s="937"/>
      <c r="S2157" s="924"/>
      <c r="T2157" s="1407"/>
      <c r="U2157" s="157"/>
      <c r="V2157" s="3589"/>
      <c r="W2157" s="766">
        <v>9.4</v>
      </c>
      <c r="X2157" s="766">
        <v>9.4</v>
      </c>
      <c r="Y2157" s="766">
        <v>9.4</v>
      </c>
      <c r="Z2157" s="2426">
        <v>9.4</v>
      </c>
      <c r="AA2157" s="2426">
        <v>9.4</v>
      </c>
      <c r="AB2157" s="2703">
        <v>9.4</v>
      </c>
      <c r="AC2157" s="766"/>
      <c r="AD2157" s="766"/>
      <c r="AE2157" s="766"/>
      <c r="AF2157" s="766"/>
      <c r="AG2157" s="766"/>
      <c r="BB2157" s="647"/>
      <c r="BC2157" s="648"/>
      <c r="BD2157" s="757"/>
      <c r="BE2157" s="659"/>
    </row>
    <row r="2158" spans="1:57" s="64" customFormat="1" ht="15" customHeight="1" outlineLevel="1" x14ac:dyDescent="0.25">
      <c r="A2158" s="2463"/>
      <c r="B2158" s="157"/>
      <c r="C2158" s="385"/>
      <c r="D2158" s="3589"/>
      <c r="E2158" s="3721"/>
      <c r="F2158" s="3773" t="str">
        <f>$E$1590</f>
        <v>ASHP - SEER 19 - replace electric furnace / CAC - early replacement MF ER1_CompE</v>
      </c>
      <c r="G2158" s="3774"/>
      <c r="H2158" s="3774"/>
      <c r="I2158" s="3775"/>
      <c r="J2158" s="3071" t="str">
        <f>$C$1590</f>
        <v>354451_2019_12_</v>
      </c>
      <c r="K2158" s="2703">
        <v>9.4</v>
      </c>
      <c r="L2158" s="945"/>
      <c r="M2158" s="929"/>
      <c r="N2158" s="157"/>
      <c r="O2158" s="277"/>
      <c r="P2158" s="937"/>
      <c r="Q2158" s="938"/>
      <c r="R2158" s="937"/>
      <c r="S2158" s="924"/>
      <c r="T2158" s="1407"/>
      <c r="U2158" s="157"/>
      <c r="V2158" s="3589"/>
      <c r="W2158" s="766"/>
      <c r="X2158" s="766"/>
      <c r="Y2158" s="765">
        <v>9.4</v>
      </c>
      <c r="Z2158" s="2426">
        <v>9.4</v>
      </c>
      <c r="AA2158" s="2426">
        <v>9.4</v>
      </c>
      <c r="AB2158" s="2703">
        <v>9.4</v>
      </c>
      <c r="AC2158" s="766"/>
      <c r="AD2158" s="766"/>
      <c r="AE2158" s="766"/>
      <c r="AF2158" s="766"/>
      <c r="AG2158" s="766"/>
      <c r="BB2158" s="647"/>
      <c r="BC2158" s="648"/>
      <c r="BD2158" s="757"/>
      <c r="BE2158" s="659"/>
    </row>
    <row r="2159" spans="1:57" s="64" customFormat="1" ht="15" customHeight="1" outlineLevel="1" x14ac:dyDescent="0.25">
      <c r="A2159" s="2463"/>
      <c r="B2159" s="157"/>
      <c r="C2159" s="385"/>
      <c r="D2159" s="3589"/>
      <c r="E2159" s="3721"/>
      <c r="F2159" s="3773" t="str">
        <f>$E$1592</f>
        <v>ASHP - SEER 19 - replace electric furnace / CAC - early replacement MF ER2_CompE</v>
      </c>
      <c r="G2159" s="3774"/>
      <c r="H2159" s="3774"/>
      <c r="I2159" s="3775"/>
      <c r="J2159" s="3071" t="str">
        <f>$C$1592</f>
        <v>354451_2019_12_</v>
      </c>
      <c r="K2159" s="2703">
        <v>9.4</v>
      </c>
      <c r="L2159" s="945"/>
      <c r="M2159" s="929"/>
      <c r="N2159" s="157"/>
      <c r="O2159" s="277"/>
      <c r="P2159" s="937"/>
      <c r="Q2159" s="938"/>
      <c r="R2159" s="937"/>
      <c r="S2159" s="924"/>
      <c r="T2159" s="1407"/>
      <c r="U2159" s="157"/>
      <c r="V2159" s="3589"/>
      <c r="W2159" s="766"/>
      <c r="X2159" s="766"/>
      <c r="Y2159" s="765">
        <v>9.4</v>
      </c>
      <c r="Z2159" s="2426">
        <v>9.4</v>
      </c>
      <c r="AA2159" s="2426">
        <v>9.4</v>
      </c>
      <c r="AB2159" s="2703">
        <v>9.4</v>
      </c>
      <c r="AC2159" s="766"/>
      <c r="AD2159" s="766"/>
      <c r="AE2159" s="766"/>
      <c r="AF2159" s="766"/>
      <c r="AG2159" s="766"/>
      <c r="BB2159" s="647"/>
      <c r="BC2159" s="648"/>
      <c r="BD2159" s="757"/>
      <c r="BE2159" s="659"/>
    </row>
    <row r="2160" spans="1:57" s="64" customFormat="1" ht="15" customHeight="1" outlineLevel="1" x14ac:dyDescent="0.25">
      <c r="A2160" s="2463"/>
      <c r="B2160" s="157"/>
      <c r="C2160" s="385"/>
      <c r="D2160" s="3589"/>
      <c r="E2160" s="3721"/>
      <c r="F2160" s="3773" t="str">
        <f>$E$1594</f>
        <v>ASHP SEER 19 replace ASHP - early replacement MF ER1</v>
      </c>
      <c r="G2160" s="3774"/>
      <c r="H2160" s="3774"/>
      <c r="I2160" s="3775"/>
      <c r="J2160" s="3071" t="str">
        <f>$C$1594</f>
        <v>354500_2019_12_</v>
      </c>
      <c r="K2160" s="2703">
        <v>9.5</v>
      </c>
      <c r="L2160" s="945"/>
      <c r="M2160" s="929"/>
      <c r="N2160" s="157"/>
      <c r="O2160" s="277"/>
      <c r="P2160" s="937"/>
      <c r="Q2160" s="938"/>
      <c r="R2160" s="937"/>
      <c r="S2160" s="924"/>
      <c r="T2160" s="1407"/>
      <c r="U2160" s="157"/>
      <c r="V2160" s="3589"/>
      <c r="W2160" s="766">
        <v>9.5</v>
      </c>
      <c r="X2160" s="766">
        <v>9.5</v>
      </c>
      <c r="Y2160" s="766">
        <v>9.5</v>
      </c>
      <c r="Z2160" s="2426">
        <v>9.5</v>
      </c>
      <c r="AA2160" s="2426">
        <v>9.5</v>
      </c>
      <c r="AB2160" s="2703">
        <v>9.5</v>
      </c>
      <c r="AC2160" s="766"/>
      <c r="AD2160" s="766"/>
      <c r="AE2160" s="766"/>
      <c r="AF2160" s="766"/>
      <c r="AG2160" s="766"/>
      <c r="BB2160" s="647"/>
      <c r="BC2160" s="648"/>
      <c r="BD2160" s="757"/>
      <c r="BE2160" s="659"/>
    </row>
    <row r="2161" spans="1:57" s="64" customFormat="1" ht="15" customHeight="1" outlineLevel="1" x14ac:dyDescent="0.25">
      <c r="A2161" s="2463"/>
      <c r="B2161" s="157"/>
      <c r="C2161" s="385"/>
      <c r="D2161" s="3589"/>
      <c r="E2161" s="3721"/>
      <c r="F2161" s="3773" t="str">
        <f>$E$1596</f>
        <v>ASHP SEER 19 replace ASHP - early replacement MF ER2</v>
      </c>
      <c r="G2161" s="3774"/>
      <c r="H2161" s="3774"/>
      <c r="I2161" s="3775"/>
      <c r="J2161" s="3071" t="str">
        <f>$C$1596</f>
        <v>354500_2019_12_</v>
      </c>
      <c r="K2161" s="2703">
        <v>9.5</v>
      </c>
      <c r="L2161" s="945"/>
      <c r="M2161" s="929"/>
      <c r="N2161" s="157"/>
      <c r="O2161" s="277"/>
      <c r="P2161" s="937"/>
      <c r="Q2161" s="938"/>
      <c r="R2161" s="937"/>
      <c r="S2161" s="924"/>
      <c r="T2161" s="1407"/>
      <c r="U2161" s="157"/>
      <c r="V2161" s="3589"/>
      <c r="W2161" s="766">
        <v>9.5</v>
      </c>
      <c r="X2161" s="766">
        <v>9.5</v>
      </c>
      <c r="Y2161" s="766">
        <v>9.5</v>
      </c>
      <c r="Z2161" s="2426">
        <v>9.5</v>
      </c>
      <c r="AA2161" s="2426">
        <v>9.5</v>
      </c>
      <c r="AB2161" s="2703">
        <v>9.5</v>
      </c>
      <c r="AC2161" s="766"/>
      <c r="AD2161" s="766"/>
      <c r="AE2161" s="766"/>
      <c r="AF2161" s="766"/>
      <c r="AG2161" s="766"/>
      <c r="BB2161" s="647"/>
      <c r="BC2161" s="648"/>
      <c r="BD2161" s="757"/>
      <c r="BE2161" s="659"/>
    </row>
    <row r="2162" spans="1:57" s="64" customFormat="1" ht="15" customHeight="1" outlineLevel="1" x14ac:dyDescent="0.25">
      <c r="A2162" s="2463"/>
      <c r="B2162" s="157"/>
      <c r="C2162" s="385"/>
      <c r="D2162" s="3589"/>
      <c r="E2162" s="3721"/>
      <c r="F2162" s="3773" t="str">
        <f>$E$1598</f>
        <v>ASHP SEER 19 replace ASHP - early replacement MF ER1_CompE</v>
      </c>
      <c r="G2162" s="3774"/>
      <c r="H2162" s="3774"/>
      <c r="I2162" s="3775"/>
      <c r="J2162" s="3071" t="str">
        <f>$C$1598</f>
        <v>354501_2019_12_</v>
      </c>
      <c r="K2162" s="2703">
        <v>9.5</v>
      </c>
      <c r="L2162" s="945"/>
      <c r="M2162" s="929"/>
      <c r="N2162" s="157"/>
      <c r="O2162" s="277"/>
      <c r="P2162" s="937"/>
      <c r="Q2162" s="938"/>
      <c r="R2162" s="937"/>
      <c r="S2162" s="924"/>
      <c r="T2162" s="1407"/>
      <c r="U2162" s="157"/>
      <c r="V2162" s="3589"/>
      <c r="W2162" s="766"/>
      <c r="X2162" s="766"/>
      <c r="Y2162" s="765">
        <v>9.5</v>
      </c>
      <c r="Z2162" s="2426">
        <v>9.5</v>
      </c>
      <c r="AA2162" s="2426">
        <v>9.5</v>
      </c>
      <c r="AB2162" s="2703">
        <v>9.5</v>
      </c>
      <c r="AC2162" s="766"/>
      <c r="AD2162" s="766"/>
      <c r="AE2162" s="766"/>
      <c r="AF2162" s="766"/>
      <c r="AG2162" s="766"/>
      <c r="BB2162" s="647"/>
      <c r="BC2162" s="648"/>
      <c r="BD2162" s="757"/>
      <c r="BE2162" s="659"/>
    </row>
    <row r="2163" spans="1:57" s="64" customFormat="1" ht="15" customHeight="1" outlineLevel="1" x14ac:dyDescent="0.25">
      <c r="A2163" s="2463"/>
      <c r="B2163" s="157"/>
      <c r="C2163" s="385"/>
      <c r="D2163" s="3589"/>
      <c r="E2163" s="3721"/>
      <c r="F2163" s="3773" t="str">
        <f>$E$1600</f>
        <v>ASHP SEER 19 replace ASHP - early replacement MF ER2_CompE</v>
      </c>
      <c r="G2163" s="3774"/>
      <c r="H2163" s="3774"/>
      <c r="I2163" s="3775"/>
      <c r="J2163" s="3071" t="str">
        <f>$C$1600</f>
        <v>354501_2019_12_</v>
      </c>
      <c r="K2163" s="2703">
        <v>9.5</v>
      </c>
      <c r="L2163" s="945"/>
      <c r="M2163" s="929"/>
      <c r="N2163" s="157"/>
      <c r="O2163" s="277"/>
      <c r="P2163" s="937"/>
      <c r="Q2163" s="938"/>
      <c r="R2163" s="937"/>
      <c r="S2163" s="924"/>
      <c r="T2163" s="1407"/>
      <c r="U2163" s="157"/>
      <c r="V2163" s="3589"/>
      <c r="W2163" s="766"/>
      <c r="X2163" s="766"/>
      <c r="Y2163" s="765">
        <v>9.5</v>
      </c>
      <c r="Z2163" s="2426">
        <v>9.5</v>
      </c>
      <c r="AA2163" s="2426">
        <v>9.5</v>
      </c>
      <c r="AB2163" s="2703">
        <v>9.5</v>
      </c>
      <c r="AC2163" s="766"/>
      <c r="AD2163" s="766"/>
      <c r="AE2163" s="766"/>
      <c r="AF2163" s="766"/>
      <c r="AG2163" s="766"/>
      <c r="BB2163" s="647"/>
      <c r="BC2163" s="648"/>
      <c r="BD2163" s="757"/>
      <c r="BE2163" s="659"/>
    </row>
    <row r="2164" spans="1:57" s="64" customFormat="1" ht="15" customHeight="1" outlineLevel="1" x14ac:dyDescent="0.25">
      <c r="A2164" s="2463"/>
      <c r="B2164" s="157"/>
      <c r="C2164" s="385"/>
      <c r="D2164" s="3589"/>
      <c r="E2164" s="3721"/>
      <c r="F2164" s="3773" t="str">
        <f>$E$1602</f>
        <v>ASHP SEER 20 replace ASHP - early replacement SF ER1</v>
      </c>
      <c r="G2164" s="3774"/>
      <c r="H2164" s="3774"/>
      <c r="I2164" s="3775"/>
      <c r="J2164" s="3071" t="str">
        <f>$C$1602</f>
        <v>354550_2019_12_</v>
      </c>
      <c r="K2164" s="2703">
        <v>9.5</v>
      </c>
      <c r="L2164" s="945"/>
      <c r="M2164" s="929"/>
      <c r="N2164" s="157"/>
      <c r="O2164" s="277"/>
      <c r="P2164" s="937"/>
      <c r="Q2164" s="938"/>
      <c r="R2164" s="937"/>
      <c r="S2164" s="924"/>
      <c r="T2164" s="1407"/>
      <c r="U2164" s="157"/>
      <c r="V2164" s="3589"/>
      <c r="W2164" s="766">
        <v>9.5</v>
      </c>
      <c r="X2164" s="766">
        <v>9.5</v>
      </c>
      <c r="Y2164" s="766">
        <v>9.5</v>
      </c>
      <c r="Z2164" s="2426">
        <v>9.5</v>
      </c>
      <c r="AA2164" s="2426">
        <v>9.5</v>
      </c>
      <c r="AB2164" s="2703">
        <v>9.5</v>
      </c>
      <c r="AC2164" s="766"/>
      <c r="AD2164" s="766"/>
      <c r="AE2164" s="766"/>
      <c r="AF2164" s="766"/>
      <c r="AG2164" s="766"/>
      <c r="BB2164" s="647"/>
      <c r="BC2164" s="648"/>
      <c r="BD2164" s="757"/>
      <c r="BE2164" s="659"/>
    </row>
    <row r="2165" spans="1:57" s="64" customFormat="1" ht="15" customHeight="1" outlineLevel="1" x14ac:dyDescent="0.25">
      <c r="A2165" s="2463"/>
      <c r="B2165" s="157"/>
      <c r="C2165" s="385"/>
      <c r="D2165" s="3589"/>
      <c r="E2165" s="3721"/>
      <c r="F2165" s="3773" t="str">
        <f>$E$1604</f>
        <v>ASHP SEER 20 replace ASHP - early replacement SF ER2</v>
      </c>
      <c r="G2165" s="3774"/>
      <c r="H2165" s="3774"/>
      <c r="I2165" s="3775"/>
      <c r="J2165" s="3071" t="str">
        <f>$C$1604</f>
        <v>354550_2019_12_</v>
      </c>
      <c r="K2165" s="2703">
        <v>9.5</v>
      </c>
      <c r="L2165" s="945"/>
      <c r="M2165" s="929"/>
      <c r="N2165" s="157"/>
      <c r="O2165" s="277"/>
      <c r="P2165" s="937"/>
      <c r="Q2165" s="938"/>
      <c r="R2165" s="937"/>
      <c r="S2165" s="924"/>
      <c r="T2165" s="1407"/>
      <c r="U2165" s="157"/>
      <c r="V2165" s="3589"/>
      <c r="W2165" s="766">
        <v>9.5</v>
      </c>
      <c r="X2165" s="766">
        <v>9.5</v>
      </c>
      <c r="Y2165" s="766">
        <v>9.5</v>
      </c>
      <c r="Z2165" s="2426">
        <v>9.5</v>
      </c>
      <c r="AA2165" s="2426">
        <v>9.5</v>
      </c>
      <c r="AB2165" s="2703">
        <v>9.5</v>
      </c>
      <c r="AC2165" s="766"/>
      <c r="AD2165" s="766"/>
      <c r="AE2165" s="766"/>
      <c r="AF2165" s="766"/>
      <c r="AG2165" s="766"/>
      <c r="BB2165" s="647"/>
      <c r="BC2165" s="648"/>
      <c r="BD2165" s="757"/>
      <c r="BE2165" s="659"/>
    </row>
    <row r="2166" spans="1:57" s="64" customFormat="1" ht="15" customHeight="1" outlineLevel="1" x14ac:dyDescent="0.25">
      <c r="A2166" s="2463"/>
      <c r="B2166" s="157"/>
      <c r="C2166" s="385"/>
      <c r="D2166" s="3589"/>
      <c r="E2166" s="3721"/>
      <c r="F2166" s="3773" t="str">
        <f>$E$1606</f>
        <v>ASHP SEER 20 replace ASHP - replace on fail SF</v>
      </c>
      <c r="G2166" s="3774"/>
      <c r="H2166" s="3774"/>
      <c r="I2166" s="3775"/>
      <c r="J2166" s="3071" t="str">
        <f>$C$1606</f>
        <v>354600_2019_12_</v>
      </c>
      <c r="K2166" s="2703">
        <v>9.8000000000000007</v>
      </c>
      <c r="L2166" s="945"/>
      <c r="M2166" s="929"/>
      <c r="N2166" s="157"/>
      <c r="O2166" s="277"/>
      <c r="P2166" s="937"/>
      <c r="Q2166" s="938"/>
      <c r="R2166" s="937"/>
      <c r="S2166" s="924"/>
      <c r="T2166" s="1407"/>
      <c r="U2166" s="157"/>
      <c r="V2166" s="3589"/>
      <c r="W2166" s="766">
        <v>9.8000000000000007</v>
      </c>
      <c r="X2166" s="766">
        <v>9.8000000000000007</v>
      </c>
      <c r="Y2166" s="766">
        <v>9.8000000000000007</v>
      </c>
      <c r="Z2166" s="2426">
        <v>9.8000000000000007</v>
      </c>
      <c r="AA2166" s="2426">
        <v>9.8000000000000007</v>
      </c>
      <c r="AB2166" s="2703">
        <v>9.8000000000000007</v>
      </c>
      <c r="AC2166" s="766"/>
      <c r="AD2166" s="766"/>
      <c r="AE2166" s="766"/>
      <c r="AF2166" s="766"/>
      <c r="AG2166" s="766"/>
      <c r="BB2166" s="647"/>
      <c r="BC2166" s="648"/>
      <c r="BD2166" s="757"/>
      <c r="BE2166" s="659"/>
    </row>
    <row r="2167" spans="1:57" s="64" customFormat="1" ht="15" customHeight="1" outlineLevel="1" x14ac:dyDescent="0.25">
      <c r="A2167" s="2463"/>
      <c r="B2167" s="157"/>
      <c r="C2167" s="385"/>
      <c r="D2167" s="3589"/>
      <c r="E2167" s="3721"/>
      <c r="F2167" s="3773" t="str">
        <f>$E$1608</f>
        <v>ASHP - SEER 20 - replace electric furnace / CAC - early replacement MF ER1</v>
      </c>
      <c r="G2167" s="3774"/>
      <c r="H2167" s="3774"/>
      <c r="I2167" s="3775"/>
      <c r="J2167" s="3071" t="str">
        <f>$C$1608</f>
        <v>354650_2019_12_</v>
      </c>
      <c r="K2167" s="2703">
        <v>9.4</v>
      </c>
      <c r="L2167" s="945"/>
      <c r="M2167" s="929"/>
      <c r="N2167" s="157"/>
      <c r="O2167" s="277"/>
      <c r="P2167" s="937"/>
      <c r="Q2167" s="938"/>
      <c r="R2167" s="937"/>
      <c r="S2167" s="924"/>
      <c r="T2167" s="1407"/>
      <c r="U2167" s="157"/>
      <c r="V2167" s="3589"/>
      <c r="W2167" s="766">
        <v>9.4</v>
      </c>
      <c r="X2167" s="766">
        <v>9.4</v>
      </c>
      <c r="Y2167" s="766">
        <v>9.4</v>
      </c>
      <c r="Z2167" s="2426">
        <v>9.4</v>
      </c>
      <c r="AA2167" s="2426">
        <v>9.4</v>
      </c>
      <c r="AB2167" s="2703">
        <v>9.4</v>
      </c>
      <c r="AC2167" s="766"/>
      <c r="AD2167" s="766"/>
      <c r="AE2167" s="766"/>
      <c r="AF2167" s="766"/>
      <c r="AG2167" s="766"/>
      <c r="BB2167" s="647"/>
      <c r="BC2167" s="648"/>
      <c r="BD2167" s="757"/>
      <c r="BE2167" s="659"/>
    </row>
    <row r="2168" spans="1:57" s="64" customFormat="1" ht="15" customHeight="1" outlineLevel="1" x14ac:dyDescent="0.25">
      <c r="A2168" s="2463"/>
      <c r="B2168" s="157"/>
      <c r="C2168" s="385"/>
      <c r="D2168" s="3589"/>
      <c r="E2168" s="3721"/>
      <c r="F2168" s="3773" t="str">
        <f>$E$1610</f>
        <v>ASHP - SEER 20 - replace electric furnace / CAC - early replacement MF ER2</v>
      </c>
      <c r="G2168" s="3774"/>
      <c r="H2168" s="3774"/>
      <c r="I2168" s="3775"/>
      <c r="J2168" s="3071" t="str">
        <f>$C$1610</f>
        <v>354650_2019_12_</v>
      </c>
      <c r="K2168" s="2703">
        <v>9.4</v>
      </c>
      <c r="L2168" s="945"/>
      <c r="M2168" s="929"/>
      <c r="N2168" s="157"/>
      <c r="O2168" s="277"/>
      <c r="P2168" s="937"/>
      <c r="Q2168" s="938"/>
      <c r="R2168" s="937"/>
      <c r="S2168" s="924"/>
      <c r="T2168" s="1407"/>
      <c r="U2168" s="157"/>
      <c r="V2168" s="3589"/>
      <c r="W2168" s="766">
        <v>9.4</v>
      </c>
      <c r="X2168" s="766">
        <v>9.4</v>
      </c>
      <c r="Y2168" s="766">
        <v>9.4</v>
      </c>
      <c r="Z2168" s="2426">
        <v>9.4</v>
      </c>
      <c r="AA2168" s="2426">
        <v>9.4</v>
      </c>
      <c r="AB2168" s="2703">
        <v>9.4</v>
      </c>
      <c r="AC2168" s="766"/>
      <c r="AD2168" s="766"/>
      <c r="AE2168" s="766"/>
      <c r="AF2168" s="766"/>
      <c r="AG2168" s="766"/>
      <c r="BB2168" s="647"/>
      <c r="BC2168" s="648"/>
      <c r="BD2168" s="757"/>
      <c r="BE2168" s="659"/>
    </row>
    <row r="2169" spans="1:57" s="64" customFormat="1" ht="15" customHeight="1" outlineLevel="1" x14ac:dyDescent="0.25">
      <c r="A2169" s="2463"/>
      <c r="B2169" s="157"/>
      <c r="C2169" s="385"/>
      <c r="D2169" s="3589"/>
      <c r="E2169" s="3721"/>
      <c r="F2169" s="3773" t="str">
        <f>$E$1612</f>
        <v>ASHP - SEER 20 - replace electric furnace / CAC - early replacement MF ER1_CompE</v>
      </c>
      <c r="G2169" s="3774"/>
      <c r="H2169" s="3774"/>
      <c r="I2169" s="3775"/>
      <c r="J2169" s="3071" t="str">
        <f>$C$1612</f>
        <v>354651_2019_12_</v>
      </c>
      <c r="K2169" s="2703">
        <v>9.4</v>
      </c>
      <c r="L2169" s="945"/>
      <c r="M2169" s="929"/>
      <c r="N2169" s="157"/>
      <c r="O2169" s="277"/>
      <c r="P2169" s="937"/>
      <c r="Q2169" s="938"/>
      <c r="R2169" s="937"/>
      <c r="S2169" s="924"/>
      <c r="T2169" s="1407"/>
      <c r="U2169" s="157"/>
      <c r="V2169" s="3589"/>
      <c r="W2169" s="766"/>
      <c r="X2169" s="766"/>
      <c r="Y2169" s="765">
        <v>9.4</v>
      </c>
      <c r="Z2169" s="2426">
        <v>9.4</v>
      </c>
      <c r="AA2169" s="2426">
        <v>9.4</v>
      </c>
      <c r="AB2169" s="2703">
        <v>9.4</v>
      </c>
      <c r="AC2169" s="766"/>
      <c r="AD2169" s="766"/>
      <c r="AE2169" s="766"/>
      <c r="AF2169" s="766"/>
      <c r="AG2169" s="766"/>
      <c r="BB2169" s="647"/>
      <c r="BC2169" s="648"/>
      <c r="BD2169" s="757"/>
      <c r="BE2169" s="659"/>
    </row>
    <row r="2170" spans="1:57" s="64" customFormat="1" ht="15" customHeight="1" outlineLevel="1" x14ac:dyDescent="0.25">
      <c r="A2170" s="2463"/>
      <c r="B2170" s="157"/>
      <c r="C2170" s="385"/>
      <c r="D2170" s="3589"/>
      <c r="E2170" s="3721"/>
      <c r="F2170" s="3773" t="str">
        <f>$E$1614</f>
        <v>ASHP - SEER 20 - replace electric furnace / CAC - early replacement MF ER2_CompE</v>
      </c>
      <c r="G2170" s="3774"/>
      <c r="H2170" s="3774"/>
      <c r="I2170" s="3775"/>
      <c r="J2170" s="3071" t="str">
        <f>$C$1614</f>
        <v>354651_2019_12_</v>
      </c>
      <c r="K2170" s="2703">
        <v>9.4</v>
      </c>
      <c r="L2170" s="945"/>
      <c r="M2170" s="929"/>
      <c r="N2170" s="157"/>
      <c r="O2170" s="277"/>
      <c r="P2170" s="937"/>
      <c r="Q2170" s="938"/>
      <c r="R2170" s="937"/>
      <c r="S2170" s="924"/>
      <c r="T2170" s="1407"/>
      <c r="U2170" s="157"/>
      <c r="V2170" s="3589"/>
      <c r="W2170" s="766"/>
      <c r="X2170" s="766"/>
      <c r="Y2170" s="765">
        <v>9.4</v>
      </c>
      <c r="Z2170" s="2426">
        <v>9.4</v>
      </c>
      <c r="AA2170" s="2426">
        <v>9.4</v>
      </c>
      <c r="AB2170" s="2703">
        <v>9.4</v>
      </c>
      <c r="AC2170" s="766"/>
      <c r="AD2170" s="766"/>
      <c r="AE2170" s="766"/>
      <c r="AF2170" s="766"/>
      <c r="AG2170" s="766"/>
      <c r="BB2170" s="647"/>
      <c r="BC2170" s="648"/>
      <c r="BD2170" s="757"/>
      <c r="BE2170" s="659"/>
    </row>
    <row r="2171" spans="1:57" s="64" customFormat="1" ht="15" customHeight="1" outlineLevel="1" x14ac:dyDescent="0.25">
      <c r="A2171" s="2463"/>
      <c r="B2171" s="157"/>
      <c r="C2171" s="385"/>
      <c r="D2171" s="3589"/>
      <c r="E2171" s="3721"/>
      <c r="F2171" s="3773" t="str">
        <f>$E$1616</f>
        <v>ASHP SEER 20 replace ASHP - early replacement MF ER1</v>
      </c>
      <c r="G2171" s="3774"/>
      <c r="H2171" s="3774"/>
      <c r="I2171" s="3775"/>
      <c r="J2171" s="3071" t="str">
        <f>$C$1616</f>
        <v>354700_2019_12_</v>
      </c>
      <c r="K2171" s="2703">
        <v>9.5</v>
      </c>
      <c r="L2171" s="945"/>
      <c r="M2171" s="929"/>
      <c r="N2171" s="157"/>
      <c r="O2171" s="277"/>
      <c r="P2171" s="937"/>
      <c r="Q2171" s="938"/>
      <c r="R2171" s="937"/>
      <c r="S2171" s="924"/>
      <c r="T2171" s="1407"/>
      <c r="U2171" s="157"/>
      <c r="V2171" s="3589"/>
      <c r="W2171" s="766">
        <v>9.5</v>
      </c>
      <c r="X2171" s="766">
        <v>9.5</v>
      </c>
      <c r="Y2171" s="766">
        <v>9.5</v>
      </c>
      <c r="Z2171" s="2426">
        <v>9.5</v>
      </c>
      <c r="AA2171" s="2426">
        <v>9.5</v>
      </c>
      <c r="AB2171" s="2703">
        <v>9.5</v>
      </c>
      <c r="AC2171" s="766"/>
      <c r="AD2171" s="766"/>
      <c r="AE2171" s="766"/>
      <c r="AF2171" s="766"/>
      <c r="AG2171" s="766"/>
      <c r="BB2171" s="647"/>
      <c r="BC2171" s="648"/>
      <c r="BD2171" s="757"/>
      <c r="BE2171" s="659"/>
    </row>
    <row r="2172" spans="1:57" s="64" customFormat="1" ht="15" customHeight="1" outlineLevel="1" x14ac:dyDescent="0.25">
      <c r="A2172" s="2463"/>
      <c r="B2172" s="157"/>
      <c r="C2172" s="385"/>
      <c r="D2172" s="3589"/>
      <c r="E2172" s="3721"/>
      <c r="F2172" s="3773" t="str">
        <f>$E$1618</f>
        <v>ASHP SEER 20 replace ASHP - early replacement MF ER2</v>
      </c>
      <c r="G2172" s="3774"/>
      <c r="H2172" s="3774"/>
      <c r="I2172" s="3775"/>
      <c r="J2172" s="3071" t="str">
        <f>$C$1618</f>
        <v>354700_2019_12_</v>
      </c>
      <c r="K2172" s="2703">
        <v>9.5</v>
      </c>
      <c r="L2172" s="945"/>
      <c r="M2172" s="929"/>
      <c r="N2172" s="157"/>
      <c r="O2172" s="277"/>
      <c r="P2172" s="937"/>
      <c r="Q2172" s="938"/>
      <c r="R2172" s="937"/>
      <c r="S2172" s="924"/>
      <c r="T2172" s="1407"/>
      <c r="U2172" s="157"/>
      <c r="V2172" s="3589"/>
      <c r="W2172" s="766">
        <v>9.5</v>
      </c>
      <c r="X2172" s="766">
        <v>9.5</v>
      </c>
      <c r="Y2172" s="766">
        <v>9.5</v>
      </c>
      <c r="Z2172" s="2426">
        <v>9.5</v>
      </c>
      <c r="AA2172" s="2426">
        <v>9.5</v>
      </c>
      <c r="AB2172" s="2703">
        <v>9.5</v>
      </c>
      <c r="AC2172" s="766"/>
      <c r="AD2172" s="766"/>
      <c r="AE2172" s="766"/>
      <c r="AF2172" s="766"/>
      <c r="AG2172" s="766"/>
      <c r="BB2172" s="647"/>
      <c r="BC2172" s="648"/>
      <c r="BD2172" s="757"/>
      <c r="BE2172" s="659"/>
    </row>
    <row r="2173" spans="1:57" s="64" customFormat="1" ht="15" customHeight="1" outlineLevel="1" x14ac:dyDescent="0.25">
      <c r="A2173" s="2463"/>
      <c r="B2173" s="157"/>
      <c r="C2173" s="385"/>
      <c r="D2173" s="3589"/>
      <c r="E2173" s="3721"/>
      <c r="F2173" s="3773" t="str">
        <f>$E$1620</f>
        <v>ASHP SEER 20 replace ASHP - early replacement MF ER1_CompE</v>
      </c>
      <c r="G2173" s="3774"/>
      <c r="H2173" s="3774"/>
      <c r="I2173" s="3775"/>
      <c r="J2173" s="3071" t="str">
        <f>$C$1620</f>
        <v>354701_2019_12_</v>
      </c>
      <c r="K2173" s="2703">
        <v>9.5</v>
      </c>
      <c r="L2173" s="945"/>
      <c r="M2173" s="929"/>
      <c r="N2173" s="157"/>
      <c r="O2173" s="277"/>
      <c r="P2173" s="937"/>
      <c r="Q2173" s="938"/>
      <c r="R2173" s="937"/>
      <c r="S2173" s="924"/>
      <c r="T2173" s="1407"/>
      <c r="U2173" s="157"/>
      <c r="V2173" s="3589"/>
      <c r="W2173" s="766"/>
      <c r="X2173" s="766"/>
      <c r="Y2173" s="765">
        <v>9.5</v>
      </c>
      <c r="Z2173" s="2426">
        <v>9.5</v>
      </c>
      <c r="AA2173" s="2426">
        <v>9.5</v>
      </c>
      <c r="AB2173" s="2703">
        <v>9.5</v>
      </c>
      <c r="AC2173" s="766"/>
      <c r="AD2173" s="766"/>
      <c r="AE2173" s="766"/>
      <c r="AF2173" s="766"/>
      <c r="AG2173" s="766"/>
      <c r="BB2173" s="647"/>
      <c r="BC2173" s="648"/>
      <c r="BD2173" s="757"/>
      <c r="BE2173" s="659"/>
    </row>
    <row r="2174" spans="1:57" s="64" customFormat="1" ht="15" customHeight="1" outlineLevel="1" x14ac:dyDescent="0.25">
      <c r="A2174" s="2463"/>
      <c r="B2174" s="157"/>
      <c r="C2174" s="385"/>
      <c r="D2174" s="3589"/>
      <c r="E2174" s="3721"/>
      <c r="F2174" s="3773" t="str">
        <f>$E$1622</f>
        <v>ASHP SEER 20 replace ASHP - early replacement MF ER2_CompE</v>
      </c>
      <c r="G2174" s="3774"/>
      <c r="H2174" s="3774"/>
      <c r="I2174" s="3775"/>
      <c r="J2174" s="3071" t="str">
        <f>$C$1622</f>
        <v>354701_2019_12_</v>
      </c>
      <c r="K2174" s="2703">
        <v>9.5</v>
      </c>
      <c r="L2174" s="945"/>
      <c r="M2174" s="929"/>
      <c r="N2174" s="157"/>
      <c r="O2174" s="277"/>
      <c r="P2174" s="937"/>
      <c r="Q2174" s="938"/>
      <c r="R2174" s="937"/>
      <c r="S2174" s="924"/>
      <c r="T2174" s="1407"/>
      <c r="U2174" s="157"/>
      <c r="V2174" s="3589"/>
      <c r="W2174" s="766"/>
      <c r="X2174" s="766"/>
      <c r="Y2174" s="765">
        <v>9.5</v>
      </c>
      <c r="Z2174" s="2426">
        <v>9.5</v>
      </c>
      <c r="AA2174" s="2426">
        <v>9.5</v>
      </c>
      <c r="AB2174" s="2703">
        <v>9.5</v>
      </c>
      <c r="AC2174" s="766"/>
      <c r="AD2174" s="766"/>
      <c r="AE2174" s="766"/>
      <c r="AF2174" s="766"/>
      <c r="AG2174" s="766"/>
      <c r="BB2174" s="647"/>
      <c r="BC2174" s="648"/>
      <c r="BD2174" s="757"/>
      <c r="BE2174" s="659"/>
    </row>
    <row r="2175" spans="1:57" s="64" customFormat="1" ht="15" customHeight="1" outlineLevel="1" x14ac:dyDescent="0.25">
      <c r="A2175" s="2463"/>
      <c r="B2175" s="157"/>
      <c r="C2175" s="385"/>
      <c r="D2175" s="3589"/>
      <c r="E2175" s="3721"/>
      <c r="F2175" s="3773" t="str">
        <f>$E$1624</f>
        <v>ASHP SEER 21 replace ASHP - early replacement SF ER1</v>
      </c>
      <c r="G2175" s="3774"/>
      <c r="H2175" s="3774"/>
      <c r="I2175" s="3775"/>
      <c r="J2175" s="3071" t="str">
        <f>$C$1624</f>
        <v>354750_2019_12_</v>
      </c>
      <c r="K2175" s="3056">
        <v>9.5</v>
      </c>
      <c r="L2175" s="945"/>
      <c r="M2175" s="929"/>
      <c r="N2175" s="157"/>
      <c r="O2175" s="277"/>
      <c r="P2175" s="937"/>
      <c r="Q2175" s="938"/>
      <c r="R2175" s="937"/>
      <c r="S2175" s="924"/>
      <c r="T2175" s="1407"/>
      <c r="U2175" s="157"/>
      <c r="V2175" s="3589"/>
      <c r="W2175" s="766">
        <v>9.5</v>
      </c>
      <c r="X2175" s="766">
        <v>9.5</v>
      </c>
      <c r="Y2175" s="766">
        <v>9.5</v>
      </c>
      <c r="Z2175" s="2426">
        <v>9.5</v>
      </c>
      <c r="AA2175" s="2426">
        <v>9.5</v>
      </c>
      <c r="AB2175" s="2426">
        <v>9.5</v>
      </c>
      <c r="AC2175" s="766"/>
      <c r="AD2175" s="766"/>
      <c r="AE2175" s="766"/>
      <c r="AF2175" s="766"/>
      <c r="AG2175" s="766"/>
      <c r="BB2175" s="647"/>
      <c r="BC2175" s="648"/>
      <c r="BD2175" s="757"/>
      <c r="BE2175" s="659"/>
    </row>
    <row r="2176" spans="1:57" s="64" customFormat="1" ht="15" customHeight="1" outlineLevel="1" x14ac:dyDescent="0.25">
      <c r="A2176" s="2463"/>
      <c r="B2176" s="157"/>
      <c r="C2176" s="385"/>
      <c r="D2176" s="3589"/>
      <c r="E2176" s="3721"/>
      <c r="F2176" s="3773" t="str">
        <f>$E$1626</f>
        <v>ASHP SEER 21 replace ASHP - early replacement SF ER2</v>
      </c>
      <c r="G2176" s="3774"/>
      <c r="H2176" s="3774"/>
      <c r="I2176" s="3775"/>
      <c r="J2176" s="3071" t="str">
        <f>$C$1626</f>
        <v>354750_2019_12_</v>
      </c>
      <c r="K2176" s="3056">
        <v>9.5</v>
      </c>
      <c r="L2176" s="945"/>
      <c r="M2176" s="929"/>
      <c r="N2176" s="157"/>
      <c r="O2176" s="277"/>
      <c r="P2176" s="937"/>
      <c r="Q2176" s="938"/>
      <c r="R2176" s="937"/>
      <c r="S2176" s="924"/>
      <c r="T2176" s="1407"/>
      <c r="U2176" s="157"/>
      <c r="V2176" s="3589"/>
      <c r="W2176" s="766">
        <v>9.5</v>
      </c>
      <c r="X2176" s="766">
        <v>9.5</v>
      </c>
      <c r="Y2176" s="766">
        <v>9.5</v>
      </c>
      <c r="Z2176" s="2426">
        <v>9.5</v>
      </c>
      <c r="AA2176" s="2426">
        <v>9.5</v>
      </c>
      <c r="AB2176" s="2426">
        <v>9.5</v>
      </c>
      <c r="AC2176" s="766"/>
      <c r="AD2176" s="766"/>
      <c r="AE2176" s="766"/>
      <c r="AF2176" s="766"/>
      <c r="AG2176" s="766"/>
      <c r="BB2176" s="647"/>
      <c r="BC2176" s="648"/>
      <c r="BD2176" s="757"/>
      <c r="BE2176" s="659"/>
    </row>
    <row r="2177" spans="1:57" s="64" customFormat="1" ht="15" customHeight="1" outlineLevel="1" x14ac:dyDescent="0.25">
      <c r="A2177" s="2463"/>
      <c r="B2177" s="157"/>
      <c r="C2177" s="385"/>
      <c r="D2177" s="3589"/>
      <c r="E2177" s="3721"/>
      <c r="F2177" s="3773" t="str">
        <f>$E$1628</f>
        <v>ASHP SEER 21 replace ASHP - replace on fail SF</v>
      </c>
      <c r="G2177" s="3774"/>
      <c r="H2177" s="3774"/>
      <c r="I2177" s="3775"/>
      <c r="J2177" s="3071" t="str">
        <f>$C$1628</f>
        <v>354800_2019_12_</v>
      </c>
      <c r="K2177" s="3056">
        <v>9.8000000000000007</v>
      </c>
      <c r="L2177" s="945"/>
      <c r="M2177" s="929"/>
      <c r="N2177" s="157"/>
      <c r="O2177" s="277"/>
      <c r="P2177" s="937"/>
      <c r="Q2177" s="938"/>
      <c r="R2177" s="937"/>
      <c r="S2177" s="924"/>
      <c r="T2177" s="1407"/>
      <c r="U2177" s="157"/>
      <c r="V2177" s="3589"/>
      <c r="W2177" s="766">
        <v>9.8000000000000007</v>
      </c>
      <c r="X2177" s="766">
        <v>9.8000000000000007</v>
      </c>
      <c r="Y2177" s="766">
        <v>9.8000000000000007</v>
      </c>
      <c r="Z2177" s="2426">
        <v>9.8000000000000007</v>
      </c>
      <c r="AA2177" s="2426">
        <v>9.8000000000000007</v>
      </c>
      <c r="AB2177" s="2426">
        <v>9.8000000000000007</v>
      </c>
      <c r="AC2177" s="766"/>
      <c r="AD2177" s="766"/>
      <c r="AE2177" s="766"/>
      <c r="AF2177" s="766"/>
      <c r="AG2177" s="766"/>
      <c r="BB2177" s="647"/>
      <c r="BC2177" s="648"/>
      <c r="BD2177" s="757"/>
      <c r="BE2177" s="659"/>
    </row>
    <row r="2178" spans="1:57" s="64" customFormat="1" ht="15" customHeight="1" outlineLevel="1" x14ac:dyDescent="0.25">
      <c r="A2178" s="2463"/>
      <c r="B2178" s="157"/>
      <c r="C2178" s="385"/>
      <c r="D2178" s="3589"/>
      <c r="E2178" s="3721"/>
      <c r="F2178" s="3773" t="str">
        <f>$E$1630</f>
        <v>ASHP - SEER 21 - replace electric furnace / CAC MF</v>
      </c>
      <c r="G2178" s="3774"/>
      <c r="H2178" s="3774"/>
      <c r="I2178" s="3775"/>
      <c r="J2178" s="3071" t="str">
        <f>$C$1630</f>
        <v>354850_2019_12_</v>
      </c>
      <c r="K2178" s="3056">
        <v>9.6999999999999993</v>
      </c>
      <c r="L2178" s="945"/>
      <c r="M2178" s="929"/>
      <c r="N2178" s="157"/>
      <c r="O2178" s="277"/>
      <c r="P2178" s="937"/>
      <c r="Q2178" s="938"/>
      <c r="R2178" s="937"/>
      <c r="S2178" s="924"/>
      <c r="T2178" s="1407"/>
      <c r="U2178" s="157"/>
      <c r="V2178" s="3589"/>
      <c r="W2178" s="766">
        <v>9.6999999999999993</v>
      </c>
      <c r="X2178" s="766">
        <v>9.6999999999999993</v>
      </c>
      <c r="Y2178" s="766">
        <v>9.6999999999999993</v>
      </c>
      <c r="Z2178" s="2426">
        <v>9.6999999999999993</v>
      </c>
      <c r="AA2178" s="2426">
        <v>9.6999999999999993</v>
      </c>
      <c r="AB2178" s="2426">
        <v>9.6999999999999993</v>
      </c>
      <c r="AC2178" s="766"/>
      <c r="AD2178" s="766"/>
      <c r="AE2178" s="766"/>
      <c r="AF2178" s="766"/>
      <c r="AG2178" s="766"/>
      <c r="BB2178" s="647"/>
      <c r="BC2178" s="648"/>
      <c r="BD2178" s="757"/>
      <c r="BE2178" s="659"/>
    </row>
    <row r="2179" spans="1:57" s="64" customFormat="1" ht="15" customHeight="1" outlineLevel="1" x14ac:dyDescent="0.25">
      <c r="A2179" s="2463"/>
      <c r="B2179" s="157"/>
      <c r="C2179" s="385"/>
      <c r="D2179" s="3589"/>
      <c r="E2179" s="3721"/>
      <c r="F2179" s="3773" t="str">
        <f>$E$1632</f>
        <v>ASHP - SEER 21 - replace electric furnace / CAC MF_CompE</v>
      </c>
      <c r="G2179" s="3774"/>
      <c r="H2179" s="3774"/>
      <c r="I2179" s="3775"/>
      <c r="J2179" s="3071" t="str">
        <f>$C$1632</f>
        <v>354851_2019_12_</v>
      </c>
      <c r="K2179" s="3056">
        <v>9.6999999999999993</v>
      </c>
      <c r="L2179" s="945"/>
      <c r="M2179" s="929"/>
      <c r="N2179" s="157"/>
      <c r="O2179" s="277"/>
      <c r="P2179" s="937"/>
      <c r="Q2179" s="938"/>
      <c r="R2179" s="937"/>
      <c r="S2179" s="924"/>
      <c r="T2179" s="1407"/>
      <c r="U2179" s="157"/>
      <c r="V2179" s="3589"/>
      <c r="W2179" s="766"/>
      <c r="X2179" s="766"/>
      <c r="Y2179" s="765">
        <v>9.6999999999999993</v>
      </c>
      <c r="Z2179" s="2426">
        <v>9.6999999999999993</v>
      </c>
      <c r="AA2179" s="2426">
        <v>9.6999999999999993</v>
      </c>
      <c r="AB2179" s="2426">
        <v>9.6999999999999993</v>
      </c>
      <c r="AC2179" s="766"/>
      <c r="AD2179" s="766"/>
      <c r="AE2179" s="766"/>
      <c r="AF2179" s="766"/>
      <c r="AG2179" s="766"/>
      <c r="BB2179" s="647"/>
      <c r="BC2179" s="648"/>
      <c r="BD2179" s="757"/>
      <c r="BE2179" s="659"/>
    </row>
    <row r="2180" spans="1:57" s="64" customFormat="1" ht="15" customHeight="1" outlineLevel="1" x14ac:dyDescent="0.25">
      <c r="A2180" s="2463"/>
      <c r="B2180" s="157"/>
      <c r="C2180" s="385"/>
      <c r="D2180" s="3589"/>
      <c r="E2180" s="3721"/>
      <c r="F2180" s="3773" t="str">
        <f>$E$1634</f>
        <v>ASHP SEER 21 replace ASHP - early replacement MF ER1</v>
      </c>
      <c r="G2180" s="3774"/>
      <c r="H2180" s="3774"/>
      <c r="I2180" s="3775"/>
      <c r="J2180" s="3071" t="str">
        <f>$C$1634</f>
        <v>354900_2019_12_</v>
      </c>
      <c r="K2180" s="3056">
        <v>9.5</v>
      </c>
      <c r="L2180" s="945"/>
      <c r="M2180" s="929"/>
      <c r="N2180" s="157"/>
      <c r="O2180" s="277"/>
      <c r="P2180" s="937"/>
      <c r="Q2180" s="938"/>
      <c r="R2180" s="937"/>
      <c r="S2180" s="924"/>
      <c r="T2180" s="1407"/>
      <c r="U2180" s="157"/>
      <c r="V2180" s="3589"/>
      <c r="W2180" s="766">
        <v>9.5</v>
      </c>
      <c r="X2180" s="766">
        <v>9.5</v>
      </c>
      <c r="Y2180" s="766">
        <v>9.5</v>
      </c>
      <c r="Z2180" s="2426">
        <v>9.5</v>
      </c>
      <c r="AA2180" s="2426">
        <v>9.5</v>
      </c>
      <c r="AB2180" s="2426">
        <v>9.5</v>
      </c>
      <c r="AC2180" s="766"/>
      <c r="AD2180" s="766"/>
      <c r="AE2180" s="766"/>
      <c r="AF2180" s="766"/>
      <c r="AG2180" s="766"/>
      <c r="BB2180" s="647"/>
      <c r="BC2180" s="648"/>
      <c r="BD2180" s="757"/>
      <c r="BE2180" s="659"/>
    </row>
    <row r="2181" spans="1:57" s="64" customFormat="1" ht="15" customHeight="1" outlineLevel="1" x14ac:dyDescent="0.25">
      <c r="A2181" s="2463"/>
      <c r="B2181" s="157"/>
      <c r="C2181" s="385"/>
      <c r="D2181" s="3589"/>
      <c r="E2181" s="3721"/>
      <c r="F2181" s="3773" t="str">
        <f>$E$1636</f>
        <v>ASHP SEER 21 replace ASHP - early replacement MF ER2</v>
      </c>
      <c r="G2181" s="3774"/>
      <c r="H2181" s="3774"/>
      <c r="I2181" s="3775"/>
      <c r="J2181" s="3071" t="str">
        <f>$C$1636</f>
        <v>354900_2019_12_</v>
      </c>
      <c r="K2181" s="3056">
        <v>9.5</v>
      </c>
      <c r="L2181" s="945"/>
      <c r="M2181" s="929"/>
      <c r="N2181" s="157"/>
      <c r="O2181" s="277"/>
      <c r="P2181" s="937"/>
      <c r="Q2181" s="938"/>
      <c r="R2181" s="937"/>
      <c r="S2181" s="924"/>
      <c r="T2181" s="1407"/>
      <c r="U2181" s="157"/>
      <c r="V2181" s="3589"/>
      <c r="W2181" s="766">
        <v>9.5</v>
      </c>
      <c r="X2181" s="766">
        <v>9.5</v>
      </c>
      <c r="Y2181" s="766">
        <v>9.5</v>
      </c>
      <c r="Z2181" s="2426">
        <v>9.5</v>
      </c>
      <c r="AA2181" s="2426">
        <v>9.5</v>
      </c>
      <c r="AB2181" s="2426">
        <v>9.5</v>
      </c>
      <c r="AC2181" s="766"/>
      <c r="AD2181" s="766"/>
      <c r="AE2181" s="766"/>
      <c r="AF2181" s="766"/>
      <c r="AG2181" s="766"/>
      <c r="BB2181" s="647"/>
      <c r="BC2181" s="648"/>
      <c r="BD2181" s="757"/>
      <c r="BE2181" s="659"/>
    </row>
    <row r="2182" spans="1:57" s="64" customFormat="1" ht="15" customHeight="1" outlineLevel="1" x14ac:dyDescent="0.25">
      <c r="A2182" s="2463"/>
      <c r="B2182" s="157"/>
      <c r="C2182" s="385"/>
      <c r="D2182" s="3589"/>
      <c r="E2182" s="3721"/>
      <c r="F2182" s="3773" t="str">
        <f>$E$1638</f>
        <v>ASHP SEER 21 replace ASHP - early replacement MF ER1_CompE</v>
      </c>
      <c r="G2182" s="3774"/>
      <c r="H2182" s="3774"/>
      <c r="I2182" s="3775"/>
      <c r="J2182" s="3071" t="str">
        <f>$C$1638</f>
        <v>354901_2019_12_</v>
      </c>
      <c r="K2182" s="3056">
        <v>9.5</v>
      </c>
      <c r="L2182" s="945"/>
      <c r="M2182" s="929"/>
      <c r="N2182" s="157"/>
      <c r="O2182" s="277"/>
      <c r="P2182" s="937"/>
      <c r="Q2182" s="938"/>
      <c r="R2182" s="937"/>
      <c r="S2182" s="924"/>
      <c r="T2182" s="1407"/>
      <c r="U2182" s="157"/>
      <c r="V2182" s="3589"/>
      <c r="W2182" s="766"/>
      <c r="X2182" s="766"/>
      <c r="Y2182" s="765">
        <v>9.5</v>
      </c>
      <c r="Z2182" s="2426">
        <v>9.5</v>
      </c>
      <c r="AA2182" s="2426">
        <v>9.5</v>
      </c>
      <c r="AB2182" s="2426">
        <v>9.5</v>
      </c>
      <c r="AC2182" s="766"/>
      <c r="AD2182" s="766"/>
      <c r="AE2182" s="766"/>
      <c r="AF2182" s="766"/>
      <c r="AG2182" s="766"/>
      <c r="BB2182" s="647"/>
      <c r="BC2182" s="648"/>
      <c r="BD2182" s="757"/>
      <c r="BE2182" s="659"/>
    </row>
    <row r="2183" spans="1:57" s="64" customFormat="1" ht="15" customHeight="1" outlineLevel="1" x14ac:dyDescent="0.25">
      <c r="A2183" s="2463"/>
      <c r="B2183" s="157"/>
      <c r="C2183" s="385"/>
      <c r="D2183" s="3589"/>
      <c r="E2183" s="3721"/>
      <c r="F2183" s="3773" t="str">
        <f>$E$1640</f>
        <v>ASHP SEER 21 replace ASHP - early replacement MF ER2_CompE</v>
      </c>
      <c r="G2183" s="3774"/>
      <c r="H2183" s="3774"/>
      <c r="I2183" s="3775"/>
      <c r="J2183" s="3071" t="str">
        <f>$C$1640</f>
        <v>354901_2019_12_</v>
      </c>
      <c r="K2183" s="3056">
        <v>9.5</v>
      </c>
      <c r="L2183" s="945"/>
      <c r="M2183" s="929"/>
      <c r="N2183" s="157"/>
      <c r="O2183" s="277"/>
      <c r="P2183" s="937"/>
      <c r="Q2183" s="938"/>
      <c r="R2183" s="937"/>
      <c r="S2183" s="924"/>
      <c r="T2183" s="1407"/>
      <c r="U2183" s="157"/>
      <c r="V2183" s="3589"/>
      <c r="W2183" s="766"/>
      <c r="X2183" s="766"/>
      <c r="Y2183" s="765">
        <v>9.5</v>
      </c>
      <c r="Z2183" s="2426">
        <v>9.5</v>
      </c>
      <c r="AA2183" s="2426">
        <v>9.5</v>
      </c>
      <c r="AB2183" s="2426">
        <v>9.5</v>
      </c>
      <c r="AC2183" s="766"/>
      <c r="AD2183" s="766"/>
      <c r="AE2183" s="766"/>
      <c r="AF2183" s="766"/>
      <c r="AG2183" s="766"/>
      <c r="BB2183" s="647"/>
      <c r="BC2183" s="648"/>
      <c r="BD2183" s="757"/>
      <c r="BE2183" s="659"/>
    </row>
    <row r="2184" spans="1:57" s="64" customFormat="1" ht="15" customHeight="1" outlineLevel="1" x14ac:dyDescent="0.25">
      <c r="A2184" s="2463"/>
      <c r="B2184" s="157"/>
      <c r="C2184" s="385"/>
      <c r="D2184" s="3589"/>
      <c r="E2184" s="3721"/>
      <c r="F2184" s="3773" t="str">
        <f>$E$1642</f>
        <v>ASHP - SEER 17 - replace on fail MF</v>
      </c>
      <c r="G2184" s="3774"/>
      <c r="H2184" s="3774"/>
      <c r="I2184" s="3775"/>
      <c r="J2184" s="3071" t="str">
        <f>$C$1642</f>
        <v>354950_2019_12_</v>
      </c>
      <c r="K2184" s="3056">
        <v>9.8000000000000007</v>
      </c>
      <c r="L2184" s="945"/>
      <c r="M2184" s="929" t="s">
        <v>1503</v>
      </c>
      <c r="N2184" s="157"/>
      <c r="O2184" s="277"/>
      <c r="P2184" s="937"/>
      <c r="Q2184" s="938"/>
      <c r="R2184" s="937"/>
      <c r="S2184" s="924"/>
      <c r="T2184" s="1407"/>
      <c r="U2184" s="157"/>
      <c r="V2184" s="3589"/>
      <c r="W2184" s="766">
        <v>9.8000000000000007</v>
      </c>
      <c r="X2184" s="766">
        <v>9.8000000000000007</v>
      </c>
      <c r="Y2184" s="766">
        <v>9.8000000000000007</v>
      </c>
      <c r="Z2184" s="2426">
        <v>9.8000000000000007</v>
      </c>
      <c r="AA2184" s="2426">
        <v>9.8000000000000007</v>
      </c>
      <c r="AB2184" s="2426">
        <v>9.8000000000000007</v>
      </c>
      <c r="AC2184" s="766"/>
      <c r="AD2184" s="766"/>
      <c r="AE2184" s="766"/>
      <c r="AF2184" s="766"/>
      <c r="AG2184" s="766"/>
      <c r="BB2184" s="647"/>
      <c r="BC2184" s="648"/>
      <c r="BD2184" s="757"/>
      <c r="BE2184" s="659"/>
    </row>
    <row r="2185" spans="1:57" s="64" customFormat="1" ht="15" customHeight="1" outlineLevel="1" x14ac:dyDescent="0.25">
      <c r="A2185" s="2463"/>
      <c r="B2185" s="157"/>
      <c r="C2185" s="385"/>
      <c r="D2185" s="3589"/>
      <c r="E2185" s="3721"/>
      <c r="F2185" s="3773" t="str">
        <f>$E$1644</f>
        <v>ASHP - SEER 17 - replace on fail MF_CompE</v>
      </c>
      <c r="G2185" s="3774"/>
      <c r="H2185" s="3774"/>
      <c r="I2185" s="3775"/>
      <c r="J2185" s="3071" t="str">
        <f>$C$1644</f>
        <v>354951_2019_12_</v>
      </c>
      <c r="K2185" s="3056">
        <v>9.8000000000000007</v>
      </c>
      <c r="L2185" s="945"/>
      <c r="M2185" s="929"/>
      <c r="N2185" s="157"/>
      <c r="O2185" s="277"/>
      <c r="P2185" s="937"/>
      <c r="Q2185" s="938"/>
      <c r="R2185" s="937"/>
      <c r="S2185" s="924"/>
      <c r="T2185" s="1407"/>
      <c r="U2185" s="157"/>
      <c r="V2185" s="3589"/>
      <c r="W2185" s="766"/>
      <c r="X2185" s="766"/>
      <c r="Y2185" s="765">
        <v>9.8000000000000007</v>
      </c>
      <c r="Z2185" s="2426">
        <v>9.8000000000000007</v>
      </c>
      <c r="AA2185" s="2426">
        <v>9.8000000000000007</v>
      </c>
      <c r="AB2185" s="2426">
        <v>9.8000000000000007</v>
      </c>
      <c r="AC2185" s="766"/>
      <c r="AD2185" s="766"/>
      <c r="AE2185" s="766"/>
      <c r="AF2185" s="766"/>
      <c r="AG2185" s="766"/>
      <c r="BB2185" s="647"/>
      <c r="BC2185" s="648"/>
      <c r="BD2185" s="757"/>
      <c r="BE2185" s="659"/>
    </row>
    <row r="2186" spans="1:57" s="64" customFormat="1" ht="15" customHeight="1" outlineLevel="1" x14ac:dyDescent="0.25">
      <c r="A2186" s="1393"/>
      <c r="B2186" s="157"/>
      <c r="C2186" s="385"/>
      <c r="D2186" s="3589"/>
      <c r="E2186" s="3721"/>
      <c r="F2186" s="3773" t="str">
        <f>$E$1646</f>
        <v>ASHP - SEER 18 - replace on fail MF</v>
      </c>
      <c r="G2186" s="3774"/>
      <c r="H2186" s="3774"/>
      <c r="I2186" s="3775"/>
      <c r="J2186" s="3071" t="str">
        <f>$C$1646</f>
        <v>355000_2019_12_</v>
      </c>
      <c r="K2186" s="3056">
        <v>9.8000000000000007</v>
      </c>
      <c r="L2186" s="945"/>
      <c r="M2186" s="929" t="s">
        <v>1503</v>
      </c>
      <c r="N2186" s="157"/>
      <c r="O2186" s="277"/>
      <c r="P2186" s="277"/>
      <c r="Q2186" s="277"/>
      <c r="R2186" s="277"/>
      <c r="S2186" s="157"/>
      <c r="T2186" s="157"/>
      <c r="U2186" s="157"/>
      <c r="V2186" s="3589"/>
      <c r="W2186" s="766">
        <v>9.8000000000000007</v>
      </c>
      <c r="X2186" s="766">
        <v>9.8000000000000007</v>
      </c>
      <c r="Y2186" s="766">
        <v>9.8000000000000007</v>
      </c>
      <c r="Z2186" s="2426">
        <v>9.8000000000000007</v>
      </c>
      <c r="AA2186" s="2426">
        <v>9.8000000000000007</v>
      </c>
      <c r="AB2186" s="2426">
        <v>9.8000000000000007</v>
      </c>
      <c r="AC2186" s="766"/>
      <c r="AD2186" s="766"/>
      <c r="AE2186" s="766"/>
      <c r="AF2186" s="766"/>
      <c r="AG2186" s="766"/>
      <c r="BB2186" s="647"/>
      <c r="BC2186" s="648"/>
      <c r="BD2186" s="757"/>
      <c r="BE2186" s="659"/>
    </row>
    <row r="2187" spans="1:57" s="64" customFormat="1" ht="15" customHeight="1" outlineLevel="1" x14ac:dyDescent="0.25">
      <c r="A2187" s="1393"/>
      <c r="B2187" s="157"/>
      <c r="C2187" s="385"/>
      <c r="D2187" s="3589"/>
      <c r="E2187" s="3721"/>
      <c r="F2187" s="3773" t="str">
        <f>$E$1648</f>
        <v>ASHP - SEER 18 - replace on fail MF_CompE</v>
      </c>
      <c r="G2187" s="3774"/>
      <c r="H2187" s="3774"/>
      <c r="I2187" s="3775"/>
      <c r="J2187" s="3071" t="str">
        <f>$C$1648</f>
        <v>355001_2019_12_</v>
      </c>
      <c r="K2187" s="3056">
        <v>9.8000000000000007</v>
      </c>
      <c r="L2187" s="945"/>
      <c r="M2187" s="929"/>
      <c r="N2187" s="157"/>
      <c r="O2187" s="277"/>
      <c r="P2187" s="277"/>
      <c r="Q2187" s="277"/>
      <c r="R2187" s="277"/>
      <c r="S2187" s="157"/>
      <c r="T2187" s="157"/>
      <c r="U2187" s="157"/>
      <c r="V2187" s="3589"/>
      <c r="W2187" s="766"/>
      <c r="X2187" s="766"/>
      <c r="Y2187" s="765">
        <v>9.8000000000000007</v>
      </c>
      <c r="Z2187" s="2426">
        <v>9.8000000000000007</v>
      </c>
      <c r="AA2187" s="2426">
        <v>9.8000000000000007</v>
      </c>
      <c r="AB2187" s="2426">
        <v>9.8000000000000007</v>
      </c>
      <c r="AC2187" s="766"/>
      <c r="AD2187" s="766"/>
      <c r="AE2187" s="766"/>
      <c r="AF2187" s="766"/>
      <c r="AG2187" s="766"/>
      <c r="BB2187" s="647"/>
      <c r="BC2187" s="648"/>
      <c r="BD2187" s="757"/>
      <c r="BE2187" s="659"/>
    </row>
    <row r="2188" spans="1:57" s="64" customFormat="1" ht="15" customHeight="1" outlineLevel="1" x14ac:dyDescent="0.25">
      <c r="A2188" s="1393"/>
      <c r="B2188" s="157"/>
      <c r="C2188" s="385"/>
      <c r="D2188" s="3589"/>
      <c r="E2188" s="3721"/>
      <c r="F2188" s="3773" t="str">
        <f>$E$1650</f>
        <v>ASHP - SEER 19 - replace on fail MF</v>
      </c>
      <c r="G2188" s="3774"/>
      <c r="H2188" s="3774"/>
      <c r="I2188" s="3775"/>
      <c r="J2188" s="3071" t="str">
        <f>$C$1650</f>
        <v>355050_2019_12_</v>
      </c>
      <c r="K2188" s="3056">
        <v>9.8000000000000007</v>
      </c>
      <c r="L2188" s="945"/>
      <c r="M2188" s="929" t="s">
        <v>1503</v>
      </c>
      <c r="N2188" s="157"/>
      <c r="O2188" s="277"/>
      <c r="P2188" s="277"/>
      <c r="Q2188" s="277"/>
      <c r="R2188" s="277"/>
      <c r="S2188" s="157"/>
      <c r="T2188" s="157"/>
      <c r="U2188" s="157"/>
      <c r="V2188" s="3589"/>
      <c r="W2188" s="766">
        <v>9.8000000000000007</v>
      </c>
      <c r="X2188" s="766">
        <v>9.8000000000000007</v>
      </c>
      <c r="Y2188" s="766">
        <v>9.8000000000000007</v>
      </c>
      <c r="Z2188" s="2426">
        <v>9.8000000000000007</v>
      </c>
      <c r="AA2188" s="2426">
        <v>9.8000000000000007</v>
      </c>
      <c r="AB2188" s="2426">
        <v>9.8000000000000007</v>
      </c>
      <c r="AC2188" s="766"/>
      <c r="AD2188" s="766"/>
      <c r="AE2188" s="766"/>
      <c r="AF2188" s="766"/>
      <c r="AG2188" s="766"/>
      <c r="BB2188" s="647"/>
      <c r="BC2188" s="648"/>
      <c r="BD2188" s="757"/>
      <c r="BE2188" s="659"/>
    </row>
    <row r="2189" spans="1:57" s="64" customFormat="1" ht="15" customHeight="1" outlineLevel="1" x14ac:dyDescent="0.25">
      <c r="A2189" s="1393"/>
      <c r="B2189" s="157"/>
      <c r="C2189" s="385"/>
      <c r="D2189" s="3589"/>
      <c r="E2189" s="3721"/>
      <c r="F2189" s="3773" t="str">
        <f>$E$1652</f>
        <v>ASHP - SEER 19 - replace on fail MF_CompE</v>
      </c>
      <c r="G2189" s="3774"/>
      <c r="H2189" s="3774"/>
      <c r="I2189" s="3775"/>
      <c r="J2189" s="3071" t="str">
        <f>$C$1652</f>
        <v>355051_2019_12_</v>
      </c>
      <c r="K2189" s="3056">
        <v>9.8000000000000007</v>
      </c>
      <c r="L2189" s="945"/>
      <c r="M2189" s="929"/>
      <c r="N2189" s="157"/>
      <c r="O2189" s="277"/>
      <c r="P2189" s="277"/>
      <c r="Q2189" s="277"/>
      <c r="R2189" s="277"/>
      <c r="S2189" s="157"/>
      <c r="T2189" s="157"/>
      <c r="U2189" s="157"/>
      <c r="V2189" s="3589"/>
      <c r="W2189" s="766"/>
      <c r="X2189" s="766"/>
      <c r="Y2189" s="765">
        <v>9.8000000000000007</v>
      </c>
      <c r="Z2189" s="2426">
        <v>9.8000000000000007</v>
      </c>
      <c r="AA2189" s="2426">
        <v>9.8000000000000007</v>
      </c>
      <c r="AB2189" s="2426">
        <v>9.8000000000000007</v>
      </c>
      <c r="AC2189" s="766"/>
      <c r="AD2189" s="766"/>
      <c r="AE2189" s="766"/>
      <c r="AF2189" s="766"/>
      <c r="AG2189" s="766"/>
      <c r="BB2189" s="647"/>
      <c r="BC2189" s="648"/>
      <c r="BD2189" s="757"/>
      <c r="BE2189" s="659"/>
    </row>
    <row r="2190" spans="1:57" s="64" customFormat="1" ht="15" customHeight="1" outlineLevel="1" x14ac:dyDescent="0.25">
      <c r="A2190" s="2463"/>
      <c r="B2190" s="157"/>
      <c r="C2190" s="385"/>
      <c r="D2190" s="3589"/>
      <c r="E2190" s="3721"/>
      <c r="F2190" s="3773" t="str">
        <f>$E$1654</f>
        <v>ASHP - SEER 20 - replace on fail MF</v>
      </c>
      <c r="G2190" s="3774"/>
      <c r="H2190" s="3774"/>
      <c r="I2190" s="3775"/>
      <c r="J2190" s="3071" t="str">
        <f>$C$1654</f>
        <v>355100_2019_12_</v>
      </c>
      <c r="K2190" s="3056">
        <v>9.8000000000000007</v>
      </c>
      <c r="L2190" s="945"/>
      <c r="M2190" s="929" t="s">
        <v>1503</v>
      </c>
      <c r="N2190" s="157"/>
      <c r="O2190" s="277"/>
      <c r="P2190" s="937"/>
      <c r="Q2190" s="938"/>
      <c r="R2190" s="937"/>
      <c r="S2190" s="924"/>
      <c r="T2190" s="1407"/>
      <c r="U2190" s="157"/>
      <c r="V2190" s="3589"/>
      <c r="W2190" s="766">
        <v>9.8000000000000007</v>
      </c>
      <c r="X2190" s="766">
        <v>9.8000000000000007</v>
      </c>
      <c r="Y2190" s="766">
        <v>9.8000000000000007</v>
      </c>
      <c r="Z2190" s="2426">
        <v>9.8000000000000007</v>
      </c>
      <c r="AA2190" s="2426">
        <v>9.8000000000000007</v>
      </c>
      <c r="AB2190" s="2426">
        <v>9.8000000000000007</v>
      </c>
      <c r="AC2190" s="766"/>
      <c r="AD2190" s="766"/>
      <c r="AE2190" s="766"/>
      <c r="AF2190" s="766"/>
      <c r="AG2190" s="766"/>
      <c r="BB2190" s="647"/>
      <c r="BC2190" s="648"/>
      <c r="BD2190" s="757"/>
      <c r="BE2190" s="659"/>
    </row>
    <row r="2191" spans="1:57" s="64" customFormat="1" ht="15" customHeight="1" outlineLevel="1" x14ac:dyDescent="0.25">
      <c r="A2191" s="2463"/>
      <c r="B2191" s="157"/>
      <c r="C2191" s="385"/>
      <c r="D2191" s="3589"/>
      <c r="E2191" s="3721"/>
      <c r="F2191" s="3773" t="str">
        <f>$E$1656</f>
        <v>ASHP - SEER 20 - replace on fail MF_CompE</v>
      </c>
      <c r="G2191" s="3774"/>
      <c r="H2191" s="3774"/>
      <c r="I2191" s="3775"/>
      <c r="J2191" s="3071" t="str">
        <f>$C$1656</f>
        <v>355101_2019_12_</v>
      </c>
      <c r="K2191" s="3056">
        <v>9.8000000000000007</v>
      </c>
      <c r="L2191" s="946"/>
      <c r="M2191" s="939"/>
      <c r="N2191" s="157"/>
      <c r="O2191" s="277"/>
      <c r="P2191" s="937"/>
      <c r="Q2191" s="938"/>
      <c r="R2191" s="937"/>
      <c r="S2191" s="924"/>
      <c r="T2191" s="1407"/>
      <c r="U2191" s="157"/>
      <c r="V2191" s="3589"/>
      <c r="W2191" s="778"/>
      <c r="X2191" s="778"/>
      <c r="Y2191" s="765">
        <v>9.8000000000000007</v>
      </c>
      <c r="Z2191" s="2426">
        <v>9.8000000000000007</v>
      </c>
      <c r="AA2191" s="2426">
        <v>9.8000000000000007</v>
      </c>
      <c r="AB2191" s="2426">
        <v>9.8000000000000007</v>
      </c>
      <c r="AC2191" s="778"/>
      <c r="AD2191" s="778"/>
      <c r="AE2191" s="778"/>
      <c r="AF2191" s="778"/>
      <c r="AG2191" s="778"/>
      <c r="BB2191" s="647"/>
      <c r="BC2191" s="648"/>
      <c r="BD2191" s="757"/>
      <c r="BE2191" s="659"/>
    </row>
    <row r="2192" spans="1:57" s="64" customFormat="1" ht="15.75" customHeight="1" outlineLevel="1" x14ac:dyDescent="0.25">
      <c r="A2192" s="2463"/>
      <c r="B2192" s="157"/>
      <c r="C2192" s="385"/>
      <c r="D2192" s="3589"/>
      <c r="E2192" s="3721"/>
      <c r="F2192" s="3773" t="str">
        <f>$E$1658</f>
        <v>ASHP - SEER 21 - replace on fail MF</v>
      </c>
      <c r="G2192" s="3774"/>
      <c r="H2192" s="3774"/>
      <c r="I2192" s="3775"/>
      <c r="J2192" s="3071" t="str">
        <f>$C$1658</f>
        <v>355150_2019_12_</v>
      </c>
      <c r="K2192" s="3056">
        <v>9.8000000000000007</v>
      </c>
      <c r="L2192" s="946"/>
      <c r="M2192" s="939" t="s">
        <v>1503</v>
      </c>
      <c r="N2192" s="157"/>
      <c r="O2192" s="277"/>
      <c r="P2192" s="937"/>
      <c r="Q2192" s="938"/>
      <c r="R2192" s="937"/>
      <c r="S2192" s="924"/>
      <c r="T2192" s="1407"/>
      <c r="U2192" s="157"/>
      <c r="V2192" s="3589"/>
      <c r="W2192" s="766">
        <v>9.8000000000000007</v>
      </c>
      <c r="X2192" s="766">
        <v>9.8000000000000007</v>
      </c>
      <c r="Y2192" s="766">
        <v>9.8000000000000007</v>
      </c>
      <c r="Z2192" s="2426">
        <v>9.8000000000000007</v>
      </c>
      <c r="AA2192" s="2426">
        <v>9.8000000000000007</v>
      </c>
      <c r="AB2192" s="2426">
        <v>9.8000000000000007</v>
      </c>
      <c r="AC2192" s="766"/>
      <c r="AD2192" s="766"/>
      <c r="AE2192" s="766"/>
      <c r="AF2192" s="766"/>
      <c r="AG2192" s="766"/>
      <c r="BB2192" s="647"/>
      <c r="BC2192" s="648"/>
      <c r="BD2192" s="757"/>
      <c r="BE2192" s="659"/>
    </row>
    <row r="2193" spans="1:57" s="64" customFormat="1" ht="15.75" customHeight="1" outlineLevel="1" thickBot="1" x14ac:dyDescent="0.3">
      <c r="A2193" s="2463"/>
      <c r="B2193" s="157"/>
      <c r="C2193" s="385"/>
      <c r="D2193" s="3591"/>
      <c r="E2193" s="3722"/>
      <c r="F2193" s="1807" t="str">
        <f>$E$1660</f>
        <v>ASHP - SEER 21 - replace on fail MF_CompE</v>
      </c>
      <c r="G2193" s="940"/>
      <c r="H2193" s="940"/>
      <c r="I2193" s="941"/>
      <c r="J2193" s="1807" t="str">
        <f>$C$1660</f>
        <v>355151_2019_12_</v>
      </c>
      <c r="K2193" s="949">
        <v>9.8000000000000007</v>
      </c>
      <c r="L2193" s="948"/>
      <c r="M2193" s="950"/>
      <c r="N2193" s="157"/>
      <c r="O2193" s="277"/>
      <c r="P2193" s="937"/>
      <c r="Q2193" s="938"/>
      <c r="R2193" s="937"/>
      <c r="S2193" s="924"/>
      <c r="T2193" s="1407"/>
      <c r="U2193" s="157"/>
      <c r="V2193" s="3057"/>
      <c r="W2193" s="780"/>
      <c r="X2193" s="780"/>
      <c r="Y2193" s="947">
        <v>9.8000000000000007</v>
      </c>
      <c r="Z2193" s="949">
        <v>9.8000000000000007</v>
      </c>
      <c r="AA2193" s="949">
        <v>9.8000000000000007</v>
      </c>
      <c r="AB2193" s="949">
        <v>9.8000000000000007</v>
      </c>
      <c r="AC2193" s="780"/>
      <c r="AD2193" s="780"/>
      <c r="AE2193" s="780"/>
      <c r="AF2193" s="780"/>
      <c r="AG2193" s="780"/>
      <c r="BB2193" s="647"/>
      <c r="BC2193" s="648"/>
      <c r="BD2193" s="757"/>
      <c r="BE2193" s="659"/>
    </row>
    <row r="2194" spans="1:57" s="64" customFormat="1" ht="15" customHeight="1" outlineLevel="1" x14ac:dyDescent="0.25">
      <c r="A2194" s="2463"/>
      <c r="B2194" s="157"/>
      <c r="C2194" s="385"/>
      <c r="D2194" s="3588" t="s">
        <v>1296</v>
      </c>
      <c r="E2194" s="3720" t="s">
        <v>1507</v>
      </c>
      <c r="F2194" s="3771" t="str">
        <f>$E$1406</f>
        <v>ASHP - SEER 15 ER Elec Resist Furnace: HVAC ER1</v>
      </c>
      <c r="G2194" s="3771"/>
      <c r="H2194" s="3771"/>
      <c r="I2194" s="3771"/>
      <c r="J2194" s="3070" t="str">
        <f>$C$1406</f>
        <v>352300_2019_12_</v>
      </c>
      <c r="K2194" s="3247">
        <f t="shared" ref="K2194:K2205" si="198">K1682</f>
        <v>34457.142857142855</v>
      </c>
      <c r="L2194" s="1810">
        <f>K2194/12000</f>
        <v>2.8714285714285714</v>
      </c>
      <c r="M2194" s="2679" t="s">
        <v>3674</v>
      </c>
      <c r="N2194" s="157"/>
      <c r="O2194" s="277"/>
      <c r="P2194" s="937"/>
      <c r="Q2194" s="937"/>
      <c r="R2194" s="937"/>
      <c r="S2194" s="924"/>
      <c r="T2194" s="1407"/>
      <c r="U2194" s="157"/>
      <c r="V2194" s="3588" t="s">
        <v>1296</v>
      </c>
      <c r="W2194" s="760">
        <v>33600</v>
      </c>
      <c r="X2194" s="759">
        <f>3.06*12000</f>
        <v>36720</v>
      </c>
      <c r="Y2194" s="759">
        <v>34800</v>
      </c>
      <c r="Z2194" s="2428">
        <v>34800</v>
      </c>
      <c r="AA2194" s="2428">
        <v>34800</v>
      </c>
      <c r="AB2194" s="2696">
        <v>34457.142857142855</v>
      </c>
      <c r="AC2194" s="760"/>
      <c r="AD2194" s="760"/>
      <c r="AE2194" s="760"/>
      <c r="AF2194" s="760"/>
      <c r="AG2194" s="760"/>
      <c r="BB2194" s="647"/>
      <c r="BC2194" s="648"/>
      <c r="BD2194" s="757"/>
      <c r="BE2194" s="659"/>
    </row>
    <row r="2195" spans="1:57" s="64" customFormat="1" ht="15" customHeight="1" outlineLevel="1" x14ac:dyDescent="0.25">
      <c r="A2195" s="2463"/>
      <c r="B2195" s="157"/>
      <c r="C2195" s="385"/>
      <c r="D2195" s="3589"/>
      <c r="E2195" s="3721"/>
      <c r="F2195" s="3773" t="str">
        <f>$E$1408</f>
        <v>ASHP - SEER 15 ER Elec Resist Furnace: HVAC ER2</v>
      </c>
      <c r="G2195" s="3774"/>
      <c r="H2195" s="3774"/>
      <c r="I2195" s="3775"/>
      <c r="J2195" s="3071" t="str">
        <f>$C$1408</f>
        <v>352300_2019_12_</v>
      </c>
      <c r="K2195" s="3182">
        <f>K1683</f>
        <v>34457.142857142855</v>
      </c>
      <c r="L2195" s="1811">
        <f>K2195/12000</f>
        <v>2.8714285714285714</v>
      </c>
      <c r="M2195" s="2675" t="s">
        <v>3674</v>
      </c>
      <c r="N2195" s="157"/>
      <c r="O2195" s="277"/>
      <c r="P2195" s="937"/>
      <c r="Q2195" s="937"/>
      <c r="R2195" s="937"/>
      <c r="S2195" s="924"/>
      <c r="T2195" s="1407"/>
      <c r="U2195" s="157"/>
      <c r="V2195" s="3589"/>
      <c r="W2195" s="766">
        <v>33600</v>
      </c>
      <c r="X2195" s="765">
        <f t="shared" ref="X2195:X2205" si="199">3.06*12000</f>
        <v>36720</v>
      </c>
      <c r="Y2195" s="765">
        <v>34800</v>
      </c>
      <c r="Z2195" s="2426">
        <v>34800</v>
      </c>
      <c r="AA2195" s="2426">
        <v>34800</v>
      </c>
      <c r="AB2195" s="2655">
        <v>34457.142857142855</v>
      </c>
      <c r="AC2195" s="766"/>
      <c r="AD2195" s="766"/>
      <c r="AE2195" s="766"/>
      <c r="AF2195" s="766"/>
      <c r="AG2195" s="766"/>
      <c r="BB2195" s="647"/>
      <c r="BC2195" s="648"/>
      <c r="BD2195" s="757"/>
      <c r="BE2195" s="659"/>
    </row>
    <row r="2196" spans="1:57" s="64" customFormat="1" ht="15" customHeight="1" outlineLevel="1" x14ac:dyDescent="0.25">
      <c r="A2196" s="2463"/>
      <c r="B2196" s="157"/>
      <c r="C2196" s="385"/>
      <c r="D2196" s="3589"/>
      <c r="E2196" s="3721"/>
      <c r="F2196" s="3773" t="str">
        <f>$E$1410</f>
        <v>ASHP - SEER 15 ER with ASHP: HVAC ER1</v>
      </c>
      <c r="G2196" s="3774"/>
      <c r="H2196" s="3774"/>
      <c r="I2196" s="3775"/>
      <c r="J2196" s="3071" t="str">
        <f>$C$1410</f>
        <v>352350_2019_12_</v>
      </c>
      <c r="K2196" s="3182">
        <f t="shared" si="198"/>
        <v>37222.222222222219</v>
      </c>
      <c r="L2196" s="1811">
        <f t="shared" ref="L2196:L2259" si="200">K2196/12000</f>
        <v>3.1018518518518516</v>
      </c>
      <c r="M2196" s="2675" t="s">
        <v>3674</v>
      </c>
      <c r="N2196" s="157"/>
      <c r="O2196" s="277"/>
      <c r="P2196" s="937"/>
      <c r="Q2196" s="937"/>
      <c r="R2196" s="937"/>
      <c r="S2196" s="924"/>
      <c r="T2196" s="1407"/>
      <c r="U2196" s="157"/>
      <c r="V2196" s="3589"/>
      <c r="W2196" s="766">
        <v>37200</v>
      </c>
      <c r="X2196" s="765">
        <f t="shared" si="199"/>
        <v>36720</v>
      </c>
      <c r="Y2196" s="765">
        <v>35160</v>
      </c>
      <c r="Z2196" s="2426">
        <v>35160</v>
      </c>
      <c r="AA2196" s="2426">
        <v>35160</v>
      </c>
      <c r="AB2196" s="2655">
        <v>37222.222222222219</v>
      </c>
      <c r="AC2196" s="766"/>
      <c r="AD2196" s="766"/>
      <c r="AE2196" s="766"/>
      <c r="AF2196" s="766"/>
      <c r="AG2196" s="766"/>
      <c r="BB2196" s="647"/>
      <c r="BC2196" s="648"/>
      <c r="BD2196" s="757"/>
      <c r="BE2196" s="659"/>
    </row>
    <row r="2197" spans="1:57" s="64" customFormat="1" ht="15" customHeight="1" outlineLevel="1" x14ac:dyDescent="0.25">
      <c r="A2197" s="2463"/>
      <c r="B2197" s="157"/>
      <c r="C2197" s="385"/>
      <c r="D2197" s="3589"/>
      <c r="E2197" s="3721"/>
      <c r="F2197" s="3773" t="str">
        <f>$E$1412</f>
        <v>ASHP - SEER 15 ER with ASHP: HVAC ER2</v>
      </c>
      <c r="G2197" s="3774"/>
      <c r="H2197" s="3774"/>
      <c r="I2197" s="3775"/>
      <c r="J2197" s="3071" t="str">
        <f>$C$1412</f>
        <v>352350_2019_12_</v>
      </c>
      <c r="K2197" s="3182">
        <f t="shared" si="198"/>
        <v>37222.222222222219</v>
      </c>
      <c r="L2197" s="1811">
        <f t="shared" si="200"/>
        <v>3.1018518518518516</v>
      </c>
      <c r="M2197" s="2675" t="s">
        <v>3674</v>
      </c>
      <c r="N2197" s="157"/>
      <c r="O2197" s="277"/>
      <c r="P2197" s="937"/>
      <c r="Q2197" s="937"/>
      <c r="R2197" s="937"/>
      <c r="S2197" s="924"/>
      <c r="T2197" s="1407"/>
      <c r="U2197" s="157"/>
      <c r="V2197" s="3589"/>
      <c r="W2197" s="766">
        <v>37200</v>
      </c>
      <c r="X2197" s="765">
        <f t="shared" si="199"/>
        <v>36720</v>
      </c>
      <c r="Y2197" s="765">
        <v>35160</v>
      </c>
      <c r="Z2197" s="2426">
        <v>35160</v>
      </c>
      <c r="AA2197" s="2426">
        <v>35160</v>
      </c>
      <c r="AB2197" s="2655">
        <v>37222.222222222219</v>
      </c>
      <c r="AC2197" s="766"/>
      <c r="AD2197" s="766"/>
      <c r="AE2197" s="766"/>
      <c r="AF2197" s="766"/>
      <c r="AG2197" s="766"/>
      <c r="BB2197" s="647"/>
      <c r="BC2197" s="648"/>
      <c r="BD2197" s="757"/>
      <c r="BE2197" s="659"/>
    </row>
    <row r="2198" spans="1:57" s="64" customFormat="1" ht="15" customHeight="1" outlineLevel="1" x14ac:dyDescent="0.25">
      <c r="A2198" s="2463"/>
      <c r="B2198" s="157"/>
      <c r="C2198" s="385"/>
      <c r="D2198" s="3589"/>
      <c r="E2198" s="3721"/>
      <c r="F2198" s="3773" t="str">
        <f>$E$1414</f>
        <v>ASHP-  SEER 15 Replace at Fail Elec Resist Furnace: HVAC</v>
      </c>
      <c r="G2198" s="3774"/>
      <c r="H2198" s="3774"/>
      <c r="I2198" s="3775"/>
      <c r="J2198" s="3071" t="str">
        <f>$C$1414</f>
        <v>352400_2019_12_</v>
      </c>
      <c r="K2198" s="3182">
        <f t="shared" si="198"/>
        <v>35872.340425531918</v>
      </c>
      <c r="L2198" s="1811">
        <f t="shared" si="200"/>
        <v>2.9893617021276597</v>
      </c>
      <c r="M2198" s="2675" t="s">
        <v>3674</v>
      </c>
      <c r="N2198" s="157"/>
      <c r="O2198" s="277"/>
      <c r="P2198" s="937"/>
      <c r="Q2198" s="937"/>
      <c r="R2198" s="937"/>
      <c r="S2198" s="924"/>
      <c r="T2198" s="1407"/>
      <c r="U2198" s="157"/>
      <c r="V2198" s="3589"/>
      <c r="W2198" s="766">
        <v>31200</v>
      </c>
      <c r="X2198" s="765">
        <f t="shared" si="199"/>
        <v>36720</v>
      </c>
      <c r="Y2198" s="765">
        <v>34320</v>
      </c>
      <c r="Z2198" s="2426">
        <v>34320</v>
      </c>
      <c r="AA2198" s="2426">
        <v>34320</v>
      </c>
      <c r="AB2198" s="2655">
        <v>35872.340425531918</v>
      </c>
      <c r="AC2198" s="766"/>
      <c r="AD2198" s="766"/>
      <c r="AE2198" s="766"/>
      <c r="AF2198" s="766"/>
      <c r="AG2198" s="766"/>
      <c r="BB2198" s="647"/>
      <c r="BC2198" s="648"/>
      <c r="BD2198" s="757"/>
      <c r="BE2198" s="659"/>
    </row>
    <row r="2199" spans="1:57" s="64" customFormat="1" ht="15" customHeight="1" outlineLevel="1" x14ac:dyDescent="0.25">
      <c r="A2199" s="2463"/>
      <c r="B2199" s="157"/>
      <c r="C2199" s="385"/>
      <c r="D2199" s="3589"/>
      <c r="E2199" s="3721"/>
      <c r="F2199" s="3773" t="str">
        <f>$E$1416</f>
        <v>ASHP - SEER 15 Replace at Fail with ASHP: HVAC</v>
      </c>
      <c r="G2199" s="3774"/>
      <c r="H2199" s="3774"/>
      <c r="I2199" s="3775"/>
      <c r="J2199" s="3071" t="str">
        <f>$C$1416</f>
        <v>352450_2019_12_</v>
      </c>
      <c r="K2199" s="2703">
        <f t="shared" si="198"/>
        <v>34680</v>
      </c>
      <c r="L2199" s="1811">
        <f t="shared" si="200"/>
        <v>2.89</v>
      </c>
      <c r="M2199" s="2675" t="s">
        <v>1191</v>
      </c>
      <c r="N2199" s="157"/>
      <c r="O2199" s="277"/>
      <c r="P2199" s="937"/>
      <c r="Q2199" s="937"/>
      <c r="R2199" s="937"/>
      <c r="S2199" s="924"/>
      <c r="T2199" s="1407"/>
      <c r="U2199" s="157"/>
      <c r="V2199" s="3589"/>
      <c r="W2199" s="766">
        <v>37200</v>
      </c>
      <c r="X2199" s="765">
        <f t="shared" si="199"/>
        <v>36720</v>
      </c>
      <c r="Y2199" s="765">
        <v>34680</v>
      </c>
      <c r="Z2199" s="2426">
        <v>34680</v>
      </c>
      <c r="AA2199" s="2426">
        <v>34680</v>
      </c>
      <c r="AB2199" s="2703">
        <v>34680</v>
      </c>
      <c r="AC2199" s="766"/>
      <c r="AD2199" s="766"/>
      <c r="AE2199" s="766"/>
      <c r="AF2199" s="766"/>
      <c r="AG2199" s="766"/>
      <c r="BB2199" s="647"/>
      <c r="BC2199" s="648"/>
      <c r="BD2199" s="757"/>
      <c r="BE2199" s="659"/>
    </row>
    <row r="2200" spans="1:57" s="64" customFormat="1" ht="15" customHeight="1" outlineLevel="1" x14ac:dyDescent="0.25">
      <c r="A2200" s="2463"/>
      <c r="B2200" s="157"/>
      <c r="C2200" s="385"/>
      <c r="D2200" s="3589"/>
      <c r="E2200" s="3721"/>
      <c r="F2200" s="3773" t="str">
        <f>$E$1418</f>
        <v>ASHP - SEER 16 - replace electric furnace / CAC - early replacement SF ER1</v>
      </c>
      <c r="G2200" s="3774"/>
      <c r="H2200" s="3774"/>
      <c r="I2200" s="3775"/>
      <c r="J2200" s="3071" t="str">
        <f>$C$1418</f>
        <v>352500_2019_12_</v>
      </c>
      <c r="K2200" s="3182">
        <f t="shared" si="198"/>
        <v>35375.776397515532</v>
      </c>
      <c r="L2200" s="1811">
        <f t="shared" si="200"/>
        <v>2.9479813664596275</v>
      </c>
      <c r="M2200" s="2675" t="s">
        <v>3674</v>
      </c>
      <c r="N2200" s="157"/>
      <c r="O2200" s="277"/>
      <c r="P2200" s="937"/>
      <c r="Q2200" s="937"/>
      <c r="R2200" s="937"/>
      <c r="S2200" s="924"/>
      <c r="T2200" s="1407"/>
      <c r="U2200" s="157"/>
      <c r="V2200" s="3589"/>
      <c r="W2200" s="766">
        <v>37200</v>
      </c>
      <c r="X2200" s="765">
        <f t="shared" si="199"/>
        <v>36720</v>
      </c>
      <c r="Y2200" s="765">
        <v>38160</v>
      </c>
      <c r="Z2200" s="2426">
        <v>38160</v>
      </c>
      <c r="AA2200" s="2426">
        <v>38160</v>
      </c>
      <c r="AB2200" s="2655">
        <v>35375.776397515532</v>
      </c>
      <c r="AC2200" s="766"/>
      <c r="AD2200" s="766"/>
      <c r="AE2200" s="766"/>
      <c r="AF2200" s="766"/>
      <c r="AG2200" s="766"/>
      <c r="BB2200" s="647"/>
      <c r="BC2200" s="648"/>
      <c r="BD2200" s="757"/>
      <c r="BE2200" s="659"/>
    </row>
    <row r="2201" spans="1:57" s="64" customFormat="1" ht="15" customHeight="1" outlineLevel="1" x14ac:dyDescent="0.25">
      <c r="A2201" s="2463"/>
      <c r="B2201" s="157"/>
      <c r="C2201" s="385"/>
      <c r="D2201" s="3589"/>
      <c r="E2201" s="3721"/>
      <c r="F2201" s="3773" t="str">
        <f>$E$1420</f>
        <v>ASHP - SEER 16 - replace electric furnace / CAC - early replacement SF ER2</v>
      </c>
      <c r="G2201" s="3774"/>
      <c r="H2201" s="3774"/>
      <c r="I2201" s="3775"/>
      <c r="J2201" s="3071" t="str">
        <f>$C$1420</f>
        <v>352500_2019_12_</v>
      </c>
      <c r="K2201" s="3182">
        <f t="shared" si="198"/>
        <v>35375.776397515532</v>
      </c>
      <c r="L2201" s="1811">
        <f t="shared" si="200"/>
        <v>2.9479813664596275</v>
      </c>
      <c r="M2201" s="2675" t="s">
        <v>3674</v>
      </c>
      <c r="N2201" s="157"/>
      <c r="O2201" s="277"/>
      <c r="P2201" s="937"/>
      <c r="Q2201" s="937"/>
      <c r="R2201" s="937"/>
      <c r="S2201" s="924"/>
      <c r="T2201" s="1407"/>
      <c r="U2201" s="157"/>
      <c r="V2201" s="3589"/>
      <c r="W2201" s="766">
        <v>37200</v>
      </c>
      <c r="X2201" s="765">
        <f t="shared" si="199"/>
        <v>36720</v>
      </c>
      <c r="Y2201" s="765">
        <v>38160</v>
      </c>
      <c r="Z2201" s="2426">
        <v>38160</v>
      </c>
      <c r="AA2201" s="2426">
        <v>38160</v>
      </c>
      <c r="AB2201" s="2655">
        <v>35375.776397515532</v>
      </c>
      <c r="AC2201" s="766"/>
      <c r="AD2201" s="766"/>
      <c r="AE2201" s="766"/>
      <c r="AF2201" s="766"/>
      <c r="AG2201" s="766"/>
      <c r="BB2201" s="647"/>
      <c r="BC2201" s="648"/>
      <c r="BD2201" s="757"/>
      <c r="BE2201" s="659"/>
    </row>
    <row r="2202" spans="1:57" s="64" customFormat="1" ht="15" customHeight="1" outlineLevel="1" x14ac:dyDescent="0.25">
      <c r="A2202" s="2463"/>
      <c r="B2202" s="157"/>
      <c r="C2202" s="385"/>
      <c r="D2202" s="3589"/>
      <c r="E2202" s="3721"/>
      <c r="F2202" s="3773" t="str">
        <f>$E$1422</f>
        <v>ASHP SEER 16 replace ASHP - early replacement SF ER1</v>
      </c>
      <c r="G2202" s="3774"/>
      <c r="H2202" s="3774"/>
      <c r="I2202" s="3775"/>
      <c r="J2202" s="3071" t="str">
        <f>$C$1422</f>
        <v>352550_2019_12_</v>
      </c>
      <c r="K2202" s="3182">
        <f t="shared" si="198"/>
        <v>37317.757009345798</v>
      </c>
      <c r="L2202" s="1811">
        <f t="shared" si="200"/>
        <v>3.1098130841121496</v>
      </c>
      <c r="M2202" s="2675" t="s">
        <v>3674</v>
      </c>
      <c r="N2202" s="157"/>
      <c r="O2202" s="277"/>
      <c r="P2202" s="937"/>
      <c r="Q2202" s="937"/>
      <c r="R2202" s="937"/>
      <c r="S2202" s="924"/>
      <c r="T2202" s="1407"/>
      <c r="U2202" s="157"/>
      <c r="V2202" s="3589"/>
      <c r="W2202" s="766">
        <v>39600</v>
      </c>
      <c r="X2202" s="765">
        <f t="shared" si="199"/>
        <v>36720</v>
      </c>
      <c r="Y2202" s="765">
        <v>37800</v>
      </c>
      <c r="Z2202" s="2426">
        <v>37800</v>
      </c>
      <c r="AA2202" s="2426">
        <v>37800</v>
      </c>
      <c r="AB2202" s="2655">
        <v>37317.757009345798</v>
      </c>
      <c r="AC2202" s="766"/>
      <c r="AD2202" s="766"/>
      <c r="AE2202" s="766"/>
      <c r="AF2202" s="766"/>
      <c r="AG2202" s="766"/>
      <c r="BB2202" s="647"/>
      <c r="BC2202" s="648"/>
      <c r="BD2202" s="757"/>
      <c r="BE2202" s="659"/>
    </row>
    <row r="2203" spans="1:57" s="64" customFormat="1" ht="15" customHeight="1" outlineLevel="1" x14ac:dyDescent="0.25">
      <c r="A2203" s="2463"/>
      <c r="B2203" s="157"/>
      <c r="C2203" s="385"/>
      <c r="D2203" s="3589"/>
      <c r="E2203" s="3721"/>
      <c r="F2203" s="3773" t="str">
        <f>$E$1424</f>
        <v>ASHP SEER 16 replace ASHP - early replacement SF ER2</v>
      </c>
      <c r="G2203" s="3774"/>
      <c r="H2203" s="3774"/>
      <c r="I2203" s="3775"/>
      <c r="J2203" s="3071" t="str">
        <f>$C$1424</f>
        <v>352550_2019_12_</v>
      </c>
      <c r="K2203" s="3182">
        <f t="shared" si="198"/>
        <v>37317.757009345798</v>
      </c>
      <c r="L2203" s="1811">
        <f t="shared" si="200"/>
        <v>3.1098130841121496</v>
      </c>
      <c r="M2203" s="2675" t="s">
        <v>3674</v>
      </c>
      <c r="N2203" s="157"/>
      <c r="O2203" s="277"/>
      <c r="P2203" s="937"/>
      <c r="Q2203" s="937"/>
      <c r="R2203" s="937"/>
      <c r="S2203" s="924"/>
      <c r="T2203" s="1407"/>
      <c r="U2203" s="157"/>
      <c r="V2203" s="3589"/>
      <c r="W2203" s="766">
        <v>39600</v>
      </c>
      <c r="X2203" s="786">
        <f t="shared" si="199"/>
        <v>36720</v>
      </c>
      <c r="Y2203" s="765">
        <v>37800</v>
      </c>
      <c r="Z2203" s="2426">
        <v>37800</v>
      </c>
      <c r="AA2203" s="2426">
        <v>37800</v>
      </c>
      <c r="AB2203" s="2655">
        <v>37317.757009345798</v>
      </c>
      <c r="AC2203" s="766"/>
      <c r="AD2203" s="766"/>
      <c r="AE2203" s="766"/>
      <c r="AF2203" s="766"/>
      <c r="AG2203" s="766"/>
      <c r="BB2203" s="647"/>
      <c r="BC2203" s="648"/>
      <c r="BD2203" s="757"/>
      <c r="BE2203" s="659"/>
    </row>
    <row r="2204" spans="1:57" s="64" customFormat="1" ht="15" customHeight="1" outlineLevel="1" x14ac:dyDescent="0.25">
      <c r="A2204" s="2463"/>
      <c r="B2204" s="157"/>
      <c r="C2204" s="385"/>
      <c r="D2204" s="3589"/>
      <c r="E2204" s="3721"/>
      <c r="F2204" s="3773" t="str">
        <f>$E$1426</f>
        <v>ASHP - SEER 16 - replace electric furnace / CAC SF</v>
      </c>
      <c r="G2204" s="3774"/>
      <c r="H2204" s="3774"/>
      <c r="I2204" s="3775"/>
      <c r="J2204" s="3071" t="str">
        <f>$C$1426</f>
        <v>352600_2019_12_</v>
      </c>
      <c r="K2204" s="3182">
        <f t="shared" si="198"/>
        <v>35428.571428571428</v>
      </c>
      <c r="L2204" s="1811">
        <f t="shared" si="200"/>
        <v>2.9523809523809521</v>
      </c>
      <c r="M2204" s="2675" t="s">
        <v>3674</v>
      </c>
      <c r="N2204" s="157"/>
      <c r="O2204" s="277"/>
      <c r="P2204" s="937"/>
      <c r="Q2204" s="937"/>
      <c r="R2204" s="937"/>
      <c r="S2204" s="924"/>
      <c r="T2204" s="1407"/>
      <c r="U2204" s="157"/>
      <c r="V2204" s="3589"/>
      <c r="W2204" s="766">
        <v>38400</v>
      </c>
      <c r="X2204" s="786">
        <f t="shared" si="199"/>
        <v>36720</v>
      </c>
      <c r="Y2204" s="765">
        <v>37320</v>
      </c>
      <c r="Z2204" s="2426">
        <v>37320</v>
      </c>
      <c r="AA2204" s="2426">
        <v>37320</v>
      </c>
      <c r="AB2204" s="2655">
        <v>35428.571428571428</v>
      </c>
      <c r="AC2204" s="766"/>
      <c r="AD2204" s="766"/>
      <c r="AE2204" s="766"/>
      <c r="AF2204" s="766"/>
      <c r="AG2204" s="766"/>
      <c r="BB2204" s="647"/>
      <c r="BC2204" s="648"/>
      <c r="BD2204" s="757"/>
      <c r="BE2204" s="659"/>
    </row>
    <row r="2205" spans="1:57" s="64" customFormat="1" ht="15" customHeight="1" outlineLevel="1" x14ac:dyDescent="0.25">
      <c r="A2205" s="2463"/>
      <c r="B2205" s="157"/>
      <c r="C2205" s="385"/>
      <c r="D2205" s="3589"/>
      <c r="E2205" s="3721"/>
      <c r="F2205" s="3773" t="str">
        <f>$E$1428</f>
        <v>ASHP SEER 16 replace ASHP - replace on fail SF</v>
      </c>
      <c r="G2205" s="3774"/>
      <c r="H2205" s="3774"/>
      <c r="I2205" s="3775"/>
      <c r="J2205" s="3071" t="str">
        <f>$C$1428</f>
        <v>352650_2019_12_</v>
      </c>
      <c r="K2205" s="2703">
        <f t="shared" si="198"/>
        <v>39000</v>
      </c>
      <c r="L2205" s="1811">
        <f t="shared" si="200"/>
        <v>3.25</v>
      </c>
      <c r="M2205" s="2675" t="s">
        <v>1191</v>
      </c>
      <c r="N2205" s="157"/>
      <c r="O2205" s="277"/>
      <c r="P2205" s="937"/>
      <c r="Q2205" s="937"/>
      <c r="R2205" s="937"/>
      <c r="S2205" s="924"/>
      <c r="T2205" s="1407"/>
      <c r="U2205" s="157"/>
      <c r="V2205" s="3589"/>
      <c r="W2205" s="766">
        <v>39600</v>
      </c>
      <c r="X2205" s="786">
        <f t="shared" si="199"/>
        <v>36720</v>
      </c>
      <c r="Y2205" s="765">
        <v>39000</v>
      </c>
      <c r="Z2205" s="2426">
        <v>39000</v>
      </c>
      <c r="AA2205" s="2426">
        <v>39000</v>
      </c>
      <c r="AB2205" s="2703">
        <v>39000</v>
      </c>
      <c r="AC2205" s="766"/>
      <c r="AD2205" s="766"/>
      <c r="AE2205" s="766"/>
      <c r="AF2205" s="766"/>
      <c r="AG2205" s="766"/>
      <c r="BB2205" s="647"/>
      <c r="BC2205" s="648"/>
      <c r="BD2205" s="757"/>
      <c r="BE2205" s="659"/>
    </row>
    <row r="2206" spans="1:57" s="64" customFormat="1" ht="15" customHeight="1" outlineLevel="1" x14ac:dyDescent="0.25">
      <c r="A2206" s="2463"/>
      <c r="B2206" s="157"/>
      <c r="C2206" s="385"/>
      <c r="D2206" s="3589"/>
      <c r="E2206" s="3721"/>
      <c r="F2206" s="3773" t="str">
        <f>$E$1430</f>
        <v>ASHP SEER 15 MF ER replace ASHP: HVAC ER1</v>
      </c>
      <c r="G2206" s="3774"/>
      <c r="H2206" s="3774"/>
      <c r="I2206" s="3775"/>
      <c r="J2206" s="3071" t="str">
        <f>$C$1430</f>
        <v>352700_2019_12_</v>
      </c>
      <c r="K2206" s="2703">
        <v>34500</v>
      </c>
      <c r="L2206" s="1811">
        <f t="shared" si="200"/>
        <v>2.875</v>
      </c>
      <c r="M2206" s="2675" t="s">
        <v>3674</v>
      </c>
      <c r="N2206" s="157"/>
      <c r="O2206" s="277"/>
      <c r="P2206" s="937"/>
      <c r="Q2206" s="937"/>
      <c r="R2206" s="937"/>
      <c r="S2206" s="924"/>
      <c r="T2206" s="1407"/>
      <c r="U2206" s="157"/>
      <c r="V2206" s="3589"/>
      <c r="W2206" s="766">
        <v>37200</v>
      </c>
      <c r="X2206" s="766">
        <v>37200</v>
      </c>
      <c r="Y2206" s="766">
        <v>37200</v>
      </c>
      <c r="Z2206" s="2426">
        <v>37200</v>
      </c>
      <c r="AA2206" s="2426">
        <v>37200</v>
      </c>
      <c r="AB2206" s="2660">
        <v>34500</v>
      </c>
      <c r="AC2206" s="766"/>
      <c r="AD2206" s="766"/>
      <c r="AE2206" s="766"/>
      <c r="AF2206" s="766"/>
      <c r="AG2206" s="766"/>
      <c r="BB2206" s="647"/>
      <c r="BC2206" s="648"/>
      <c r="BD2206" s="757"/>
      <c r="BE2206" s="659"/>
    </row>
    <row r="2207" spans="1:57" s="64" customFormat="1" ht="15" customHeight="1" outlineLevel="1" x14ac:dyDescent="0.25">
      <c r="A2207" s="2463"/>
      <c r="B2207" s="157"/>
      <c r="C2207" s="385"/>
      <c r="D2207" s="3589"/>
      <c r="E2207" s="3721"/>
      <c r="F2207" s="3773" t="str">
        <f>$E$1432</f>
        <v>ASHP SEER 15 MF ER replace ASHP: HVAC ER2</v>
      </c>
      <c r="G2207" s="3774"/>
      <c r="H2207" s="3774"/>
      <c r="I2207" s="3775"/>
      <c r="J2207" s="3071" t="str">
        <f>$C$1432</f>
        <v>352700_2019_12_</v>
      </c>
      <c r="K2207" s="2703">
        <v>34500</v>
      </c>
      <c r="L2207" s="1811">
        <f t="shared" si="200"/>
        <v>2.875</v>
      </c>
      <c r="M2207" s="2675" t="s">
        <v>3674</v>
      </c>
      <c r="N2207" s="157"/>
      <c r="O2207" s="277"/>
      <c r="P2207" s="937"/>
      <c r="Q2207" s="937"/>
      <c r="R2207" s="937"/>
      <c r="S2207" s="924"/>
      <c r="T2207" s="1407"/>
      <c r="U2207" s="157"/>
      <c r="V2207" s="3589"/>
      <c r="W2207" s="766">
        <v>37200</v>
      </c>
      <c r="X2207" s="766">
        <v>37200</v>
      </c>
      <c r="Y2207" s="766">
        <v>37200</v>
      </c>
      <c r="Z2207" s="2426">
        <v>37200</v>
      </c>
      <c r="AA2207" s="2426">
        <v>37200</v>
      </c>
      <c r="AB2207" s="2660">
        <v>34500</v>
      </c>
      <c r="AC2207" s="766"/>
      <c r="AD2207" s="766"/>
      <c r="AE2207" s="766"/>
      <c r="AF2207" s="766"/>
      <c r="AG2207" s="766"/>
      <c r="BB2207" s="647"/>
      <c r="BC2207" s="648"/>
      <c r="BD2207" s="757"/>
      <c r="BE2207" s="659"/>
    </row>
    <row r="2208" spans="1:57" s="64" customFormat="1" ht="15" customHeight="1" outlineLevel="1" x14ac:dyDescent="0.25">
      <c r="A2208" s="2463"/>
      <c r="B2208" s="157"/>
      <c r="C2208" s="385"/>
      <c r="D2208" s="3589"/>
      <c r="E2208" s="3721"/>
      <c r="F2208" s="3773" t="str">
        <f>$E$1434</f>
        <v>ASHP SEER 15 MF ER replace ASHP: HVAC ER1_CompE</v>
      </c>
      <c r="G2208" s="3774"/>
      <c r="H2208" s="3774"/>
      <c r="I2208" s="3775"/>
      <c r="J2208" s="3071" t="str">
        <f>$C$1434</f>
        <v>352701_2019_12_</v>
      </c>
      <c r="K2208" s="2703">
        <v>37200</v>
      </c>
      <c r="L2208" s="1811">
        <f t="shared" si="200"/>
        <v>3.1</v>
      </c>
      <c r="M2208" s="2675" t="s">
        <v>3674</v>
      </c>
      <c r="N2208" s="157"/>
      <c r="O2208" s="277"/>
      <c r="P2208" s="937"/>
      <c r="Q2208" s="937"/>
      <c r="R2208" s="937"/>
      <c r="S2208" s="924"/>
      <c r="T2208" s="1407"/>
      <c r="U2208" s="157"/>
      <c r="V2208" s="3589"/>
      <c r="W2208" s="766"/>
      <c r="X2208" s="766"/>
      <c r="Y2208" s="765">
        <v>37200</v>
      </c>
      <c r="Z2208" s="2426">
        <v>37200</v>
      </c>
      <c r="AA2208" s="2426">
        <v>37200</v>
      </c>
      <c r="AB2208" s="2660">
        <v>37200</v>
      </c>
      <c r="AC2208" s="766"/>
      <c r="AD2208" s="766"/>
      <c r="AE2208" s="766"/>
      <c r="AF2208" s="766"/>
      <c r="AG2208" s="766"/>
      <c r="BB2208" s="647"/>
      <c r="BC2208" s="648"/>
      <c r="BD2208" s="757"/>
      <c r="BE2208" s="659"/>
    </row>
    <row r="2209" spans="1:57" s="64" customFormat="1" ht="15" customHeight="1" outlineLevel="1" x14ac:dyDescent="0.25">
      <c r="A2209" s="2463"/>
      <c r="B2209" s="157"/>
      <c r="C2209" s="385"/>
      <c r="D2209" s="3589"/>
      <c r="E2209" s="3721"/>
      <c r="F2209" s="3773" t="str">
        <f>$E$1436</f>
        <v>ASHP SEER 15 MF ER replace ASHP: HVAC ER2_CompE</v>
      </c>
      <c r="G2209" s="3774"/>
      <c r="H2209" s="3774"/>
      <c r="I2209" s="3775"/>
      <c r="J2209" s="3071" t="str">
        <f>$C$1436</f>
        <v>352701_2019_12_</v>
      </c>
      <c r="K2209" s="2703">
        <v>37200</v>
      </c>
      <c r="L2209" s="1811">
        <f t="shared" si="200"/>
        <v>3.1</v>
      </c>
      <c r="M2209" s="2675" t="s">
        <v>3674</v>
      </c>
      <c r="N2209" s="157"/>
      <c r="O2209" s="277"/>
      <c r="P2209" s="937"/>
      <c r="Q2209" s="937"/>
      <c r="R2209" s="937"/>
      <c r="S2209" s="924"/>
      <c r="T2209" s="1407"/>
      <c r="U2209" s="157"/>
      <c r="V2209" s="3589"/>
      <c r="W2209" s="766"/>
      <c r="X2209" s="766"/>
      <c r="Y2209" s="765">
        <v>37200</v>
      </c>
      <c r="Z2209" s="2426">
        <v>37200</v>
      </c>
      <c r="AA2209" s="2426">
        <v>37200</v>
      </c>
      <c r="AB2209" s="2660">
        <v>37200</v>
      </c>
      <c r="AC2209" s="766"/>
      <c r="AD2209" s="766"/>
      <c r="AE2209" s="766"/>
      <c r="AF2209" s="766"/>
      <c r="AG2209" s="766"/>
      <c r="BB2209" s="647"/>
      <c r="BC2209" s="648"/>
      <c r="BD2209" s="757"/>
      <c r="BE2209" s="659"/>
    </row>
    <row r="2210" spans="1:57" s="64" customFormat="1" ht="15" customHeight="1" outlineLevel="1" x14ac:dyDescent="0.25">
      <c r="A2210" s="2463"/>
      <c r="B2210" s="157"/>
      <c r="C2210" s="385"/>
      <c r="D2210" s="3589"/>
      <c r="E2210" s="3721"/>
      <c r="F2210" s="3773" t="str">
        <f>$E$1438</f>
        <v>ASHP SEER 15 MF ER replace Elec Resist Furnace: HVAC ER1</v>
      </c>
      <c r="G2210" s="3774"/>
      <c r="H2210" s="3774"/>
      <c r="I2210" s="3775"/>
      <c r="J2210" s="3071" t="str">
        <f>$C$1438</f>
        <v>352750_2019_12_</v>
      </c>
      <c r="K2210" s="2703">
        <v>33000</v>
      </c>
      <c r="L2210" s="1811">
        <f t="shared" si="200"/>
        <v>2.75</v>
      </c>
      <c r="M2210" s="2675" t="s">
        <v>3674</v>
      </c>
      <c r="N2210" s="157"/>
      <c r="O2210" s="277"/>
      <c r="P2210" s="937"/>
      <c r="Q2210" s="937"/>
      <c r="R2210" s="937"/>
      <c r="S2210" s="924"/>
      <c r="T2210" s="1407"/>
      <c r="U2210" s="157"/>
      <c r="V2210" s="3589"/>
      <c r="W2210" s="766">
        <v>33600</v>
      </c>
      <c r="X2210" s="766">
        <v>33600</v>
      </c>
      <c r="Y2210" s="766">
        <v>33600</v>
      </c>
      <c r="Z2210" s="2426">
        <v>33600</v>
      </c>
      <c r="AA2210" s="2426">
        <v>33600</v>
      </c>
      <c r="AB2210" s="2660">
        <v>33000</v>
      </c>
      <c r="AC2210" s="766"/>
      <c r="AD2210" s="766"/>
      <c r="AE2210" s="766"/>
      <c r="AF2210" s="766"/>
      <c r="AG2210" s="766"/>
      <c r="BB2210" s="647"/>
      <c r="BC2210" s="648"/>
      <c r="BD2210" s="757"/>
      <c r="BE2210" s="659"/>
    </row>
    <row r="2211" spans="1:57" s="64" customFormat="1" ht="15" customHeight="1" outlineLevel="1" x14ac:dyDescent="0.25">
      <c r="A2211" s="2463"/>
      <c r="B2211" s="157"/>
      <c r="C2211" s="385"/>
      <c r="D2211" s="3589"/>
      <c r="E2211" s="3721"/>
      <c r="F2211" s="3773" t="str">
        <f>$E$1440</f>
        <v>ASHP SEER 15 MF ER replace Elec Resist Furnace: HVAC ER2</v>
      </c>
      <c r="G2211" s="3774"/>
      <c r="H2211" s="3774"/>
      <c r="I2211" s="3775"/>
      <c r="J2211" s="3071" t="str">
        <f>$C$1440</f>
        <v>352750_2019_12_</v>
      </c>
      <c r="K2211" s="2703">
        <f>K2210</f>
        <v>33000</v>
      </c>
      <c r="L2211" s="1811">
        <f t="shared" si="200"/>
        <v>2.75</v>
      </c>
      <c r="M2211" s="2675" t="s">
        <v>3674</v>
      </c>
      <c r="N2211" s="157"/>
      <c r="O2211" s="277"/>
      <c r="P2211" s="937"/>
      <c r="Q2211" s="937"/>
      <c r="R2211" s="937"/>
      <c r="S2211" s="924"/>
      <c r="T2211" s="1407"/>
      <c r="U2211" s="157"/>
      <c r="V2211" s="3589"/>
      <c r="W2211" s="766">
        <v>33600</v>
      </c>
      <c r="X2211" s="766">
        <v>33600</v>
      </c>
      <c r="Y2211" s="766">
        <v>33600</v>
      </c>
      <c r="Z2211" s="2426">
        <v>33600</v>
      </c>
      <c r="AA2211" s="2426">
        <v>33600</v>
      </c>
      <c r="AB2211" s="2660">
        <v>33000</v>
      </c>
      <c r="AC2211" s="766"/>
      <c r="AD2211" s="766"/>
      <c r="AE2211" s="766"/>
      <c r="AF2211" s="766"/>
      <c r="AG2211" s="766"/>
      <c r="BB2211" s="647"/>
      <c r="BC2211" s="648"/>
      <c r="BD2211" s="757"/>
      <c r="BE2211" s="659"/>
    </row>
    <row r="2212" spans="1:57" s="64" customFormat="1" ht="15" customHeight="1" outlineLevel="1" x14ac:dyDescent="0.25">
      <c r="A2212" s="2463"/>
      <c r="B2212" s="157"/>
      <c r="C2212" s="385"/>
      <c r="D2212" s="3589"/>
      <c r="E2212" s="3721"/>
      <c r="F2212" s="3773" t="str">
        <f>$E$1442</f>
        <v>ASHP SEER 15 MF ER replace Elec Resist Furnace: HVAC ER1_CompE</v>
      </c>
      <c r="G2212" s="3774"/>
      <c r="H2212" s="3774"/>
      <c r="I2212" s="3775"/>
      <c r="J2212" s="3071" t="str">
        <f>$C$1442</f>
        <v>352751_2019_12_</v>
      </c>
      <c r="K2212" s="2703">
        <f>K2211</f>
        <v>33000</v>
      </c>
      <c r="L2212" s="1811">
        <f t="shared" si="200"/>
        <v>2.75</v>
      </c>
      <c r="M2212" s="2675" t="s">
        <v>3652</v>
      </c>
      <c r="N2212" s="157"/>
      <c r="O2212" s="277"/>
      <c r="P2212" s="937"/>
      <c r="Q2212" s="937"/>
      <c r="R2212" s="937"/>
      <c r="S2212" s="924"/>
      <c r="T2212" s="1407"/>
      <c r="U2212" s="157"/>
      <c r="V2212" s="3589"/>
      <c r="W2212" s="766"/>
      <c r="X2212" s="766"/>
      <c r="Y2212" s="765">
        <v>33600</v>
      </c>
      <c r="Z2212" s="2426">
        <v>33600</v>
      </c>
      <c r="AA2212" s="2426">
        <v>33600</v>
      </c>
      <c r="AB2212" s="2660">
        <v>33000</v>
      </c>
      <c r="AC2212" s="766"/>
      <c r="AD2212" s="766"/>
      <c r="AE2212" s="766"/>
      <c r="AF2212" s="766"/>
      <c r="AG2212" s="766"/>
      <c r="BB2212" s="647"/>
      <c r="BC2212" s="648"/>
      <c r="BD2212" s="757"/>
      <c r="BE2212" s="659"/>
    </row>
    <row r="2213" spans="1:57" s="64" customFormat="1" ht="15" customHeight="1" outlineLevel="1" x14ac:dyDescent="0.25">
      <c r="A2213" s="2463"/>
      <c r="B2213" s="157"/>
      <c r="C2213" s="385"/>
      <c r="D2213" s="3589"/>
      <c r="E2213" s="3721"/>
      <c r="F2213" s="3773" t="str">
        <f>$E$1444</f>
        <v>ASHP SEER 15 MF ER replace Elec Resist Furnace: HVAC ER2_CompE</v>
      </c>
      <c r="G2213" s="3774"/>
      <c r="H2213" s="3774"/>
      <c r="I2213" s="3775"/>
      <c r="J2213" s="3071" t="str">
        <f>$C$1444</f>
        <v>352751_2019_12_</v>
      </c>
      <c r="K2213" s="2703">
        <f>K2212</f>
        <v>33000</v>
      </c>
      <c r="L2213" s="1811">
        <f t="shared" si="200"/>
        <v>2.75</v>
      </c>
      <c r="M2213" s="2675" t="s">
        <v>3652</v>
      </c>
      <c r="N2213" s="157"/>
      <c r="O2213" s="277"/>
      <c r="P2213" s="937"/>
      <c r="Q2213" s="937"/>
      <c r="R2213" s="937"/>
      <c r="S2213" s="924"/>
      <c r="T2213" s="1407"/>
      <c r="U2213" s="157"/>
      <c r="V2213" s="3589"/>
      <c r="W2213" s="766"/>
      <c r="X2213" s="766"/>
      <c r="Y2213" s="765">
        <v>33600</v>
      </c>
      <c r="Z2213" s="2426">
        <v>33600</v>
      </c>
      <c r="AA2213" s="2426">
        <v>33600</v>
      </c>
      <c r="AB2213" s="2660">
        <v>33000</v>
      </c>
      <c r="AC2213" s="766"/>
      <c r="AD2213" s="766"/>
      <c r="AE2213" s="766"/>
      <c r="AF2213" s="766"/>
      <c r="AG2213" s="766"/>
      <c r="BB2213" s="647"/>
      <c r="BC2213" s="648"/>
      <c r="BD2213" s="757"/>
      <c r="BE2213" s="659"/>
    </row>
    <row r="2214" spans="1:57" s="64" customFormat="1" ht="15" customHeight="1" outlineLevel="1" x14ac:dyDescent="0.25">
      <c r="A2214" s="2463"/>
      <c r="B2214" s="157"/>
      <c r="C2214" s="385"/>
      <c r="D2214" s="3589"/>
      <c r="E2214" s="3721"/>
      <c r="F2214" s="3773" t="str">
        <f>$E$1446</f>
        <v>ASHP SEER 15 MF replace at Fail Elec Resist Furnace: HVAC</v>
      </c>
      <c r="G2214" s="3774"/>
      <c r="H2214" s="3774"/>
      <c r="I2214" s="3775"/>
      <c r="J2214" s="3071" t="str">
        <f>$C$1446</f>
        <v>352800_2019_12_</v>
      </c>
      <c r="K2214" s="2703">
        <v>31200</v>
      </c>
      <c r="L2214" s="1811">
        <f t="shared" si="200"/>
        <v>2.6</v>
      </c>
      <c r="M2214" s="2718" t="s">
        <v>1286</v>
      </c>
      <c r="N2214" s="157"/>
      <c r="O2214" s="277"/>
      <c r="P2214" s="937"/>
      <c r="Q2214" s="937"/>
      <c r="R2214" s="937"/>
      <c r="S2214" s="924"/>
      <c r="T2214" s="1407"/>
      <c r="U2214" s="157"/>
      <c r="V2214" s="3589"/>
      <c r="W2214" s="766">
        <v>31200</v>
      </c>
      <c r="X2214" s="766">
        <v>31200</v>
      </c>
      <c r="Y2214" s="766">
        <v>31200</v>
      </c>
      <c r="Z2214" s="2426">
        <v>31200</v>
      </c>
      <c r="AA2214" s="2426">
        <v>31200</v>
      </c>
      <c r="AB2214" s="2703">
        <v>31200</v>
      </c>
      <c r="AC2214" s="766"/>
      <c r="AD2214" s="766"/>
      <c r="AE2214" s="766"/>
      <c r="AF2214" s="766"/>
      <c r="AG2214" s="766"/>
      <c r="BB2214" s="647"/>
      <c r="BC2214" s="648"/>
      <c r="BD2214" s="757"/>
      <c r="BE2214" s="659"/>
    </row>
    <row r="2215" spans="1:57" s="64" customFormat="1" ht="15" customHeight="1" outlineLevel="1" x14ac:dyDescent="0.25">
      <c r="A2215" s="2463"/>
      <c r="B2215" s="157"/>
      <c r="C2215" s="385"/>
      <c r="D2215" s="3589"/>
      <c r="E2215" s="3721"/>
      <c r="F2215" s="3773" t="str">
        <f>$E$1448</f>
        <v>ASHP SEER 15 MF replace at Fail Elec Resist Furnace: HVAC_CompE</v>
      </c>
      <c r="G2215" s="3774"/>
      <c r="H2215" s="3774"/>
      <c r="I2215" s="3775"/>
      <c r="J2215" s="3071" t="str">
        <f>$C$1448</f>
        <v>352801_2019_12_</v>
      </c>
      <c r="K2215" s="2703">
        <v>31200</v>
      </c>
      <c r="L2215" s="1811">
        <f t="shared" si="200"/>
        <v>2.6</v>
      </c>
      <c r="M2215" s="2718"/>
      <c r="N2215" s="157"/>
      <c r="O2215" s="277"/>
      <c r="P2215" s="937"/>
      <c r="Q2215" s="937"/>
      <c r="R2215" s="937"/>
      <c r="S2215" s="924"/>
      <c r="T2215" s="1407"/>
      <c r="U2215" s="157"/>
      <c r="V2215" s="3589"/>
      <c r="W2215" s="766"/>
      <c r="X2215" s="766"/>
      <c r="Y2215" s="765">
        <v>31200</v>
      </c>
      <c r="Z2215" s="2426">
        <v>31200</v>
      </c>
      <c r="AA2215" s="2426">
        <v>31200</v>
      </c>
      <c r="AB2215" s="2703">
        <v>31200</v>
      </c>
      <c r="AC2215" s="766"/>
      <c r="AD2215" s="766"/>
      <c r="AE2215" s="766"/>
      <c r="AF2215" s="766"/>
      <c r="AG2215" s="766"/>
      <c r="BB2215" s="647"/>
      <c r="BC2215" s="648"/>
      <c r="BD2215" s="757"/>
      <c r="BE2215" s="659"/>
    </row>
    <row r="2216" spans="1:57" s="64" customFormat="1" ht="15" customHeight="1" outlineLevel="1" x14ac:dyDescent="0.25">
      <c r="A2216" s="2463"/>
      <c r="B2216" s="157"/>
      <c r="C2216" s="385"/>
      <c r="D2216" s="3589"/>
      <c r="E2216" s="3721"/>
      <c r="F2216" s="3773" t="str">
        <f>$E$1450</f>
        <v>ASHP SEER 16 MF ER replace ASHP: HVAC ER1</v>
      </c>
      <c r="G2216" s="3774"/>
      <c r="H2216" s="3774"/>
      <c r="I2216" s="3775"/>
      <c r="J2216" s="3071" t="str">
        <f>$C$1450</f>
        <v>352850_2019_12_</v>
      </c>
      <c r="K2216" s="2703">
        <v>39600</v>
      </c>
      <c r="L2216" s="1811">
        <f t="shared" si="200"/>
        <v>3.3</v>
      </c>
      <c r="M2216" s="2718" t="s">
        <v>1286</v>
      </c>
      <c r="N2216" s="157"/>
      <c r="O2216" s="277"/>
      <c r="P2216" s="937"/>
      <c r="Q2216" s="937"/>
      <c r="R2216" s="937"/>
      <c r="S2216" s="924"/>
      <c r="T2216" s="1407"/>
      <c r="U2216" s="157"/>
      <c r="V2216" s="3589"/>
      <c r="W2216" s="766">
        <v>39600</v>
      </c>
      <c r="X2216" s="766">
        <v>39600</v>
      </c>
      <c r="Y2216" s="766">
        <v>39600</v>
      </c>
      <c r="Z2216" s="2426">
        <v>39600</v>
      </c>
      <c r="AA2216" s="2426">
        <v>39600</v>
      </c>
      <c r="AB2216" s="2703">
        <v>39600</v>
      </c>
      <c r="AC2216" s="766"/>
      <c r="AD2216" s="766"/>
      <c r="AE2216" s="766"/>
      <c r="AF2216" s="766"/>
      <c r="AG2216" s="766"/>
      <c r="BB2216" s="647"/>
      <c r="BC2216" s="648"/>
      <c r="BD2216" s="757"/>
      <c r="BE2216" s="659"/>
    </row>
    <row r="2217" spans="1:57" s="64" customFormat="1" ht="15" customHeight="1" outlineLevel="1" x14ac:dyDescent="0.25">
      <c r="A2217" s="2463"/>
      <c r="B2217" s="157"/>
      <c r="C2217" s="385"/>
      <c r="D2217" s="3589"/>
      <c r="E2217" s="3721"/>
      <c r="F2217" s="3773" t="str">
        <f>$E$1452</f>
        <v>ASHP SEER 16 MF ER replace ASHP: HVAC ER2</v>
      </c>
      <c r="G2217" s="3774"/>
      <c r="H2217" s="3774"/>
      <c r="I2217" s="3775"/>
      <c r="J2217" s="3071" t="str">
        <f>$C$1452</f>
        <v>352850_2019_12_</v>
      </c>
      <c r="K2217" s="2703">
        <v>39600</v>
      </c>
      <c r="L2217" s="1811">
        <f t="shared" si="200"/>
        <v>3.3</v>
      </c>
      <c r="M2217" s="2718" t="s">
        <v>1286</v>
      </c>
      <c r="N2217" s="157"/>
      <c r="O2217" s="277"/>
      <c r="P2217" s="937"/>
      <c r="Q2217" s="937"/>
      <c r="R2217" s="937"/>
      <c r="S2217" s="924"/>
      <c r="T2217" s="1407"/>
      <c r="U2217" s="157"/>
      <c r="V2217" s="3589"/>
      <c r="W2217" s="766">
        <v>39600</v>
      </c>
      <c r="X2217" s="766">
        <v>39600</v>
      </c>
      <c r="Y2217" s="766">
        <v>39600</v>
      </c>
      <c r="Z2217" s="2426">
        <v>39600</v>
      </c>
      <c r="AA2217" s="2426">
        <v>39600</v>
      </c>
      <c r="AB2217" s="2703">
        <v>39600</v>
      </c>
      <c r="AC2217" s="766"/>
      <c r="AD2217" s="766"/>
      <c r="AE2217" s="766"/>
      <c r="AF2217" s="766"/>
      <c r="AG2217" s="766"/>
      <c r="BB2217" s="647"/>
      <c r="BC2217" s="648"/>
      <c r="BD2217" s="757"/>
      <c r="BE2217" s="659"/>
    </row>
    <row r="2218" spans="1:57" s="64" customFormat="1" ht="15" customHeight="1" outlineLevel="1" x14ac:dyDescent="0.25">
      <c r="A2218" s="2463"/>
      <c r="B2218" s="157"/>
      <c r="C2218" s="385"/>
      <c r="D2218" s="3589"/>
      <c r="E2218" s="3721"/>
      <c r="F2218" s="3773" t="str">
        <f>$E$1454</f>
        <v>ASHP SEER 16 MF ER replace ASHP: HVAC ER1_CompE</v>
      </c>
      <c r="G2218" s="3774"/>
      <c r="H2218" s="3774"/>
      <c r="I2218" s="3775"/>
      <c r="J2218" s="3071" t="str">
        <f>$C$1454</f>
        <v>352851_2019_12_</v>
      </c>
      <c r="K2218" s="2703">
        <v>39600</v>
      </c>
      <c r="L2218" s="1811">
        <f t="shared" si="200"/>
        <v>3.3</v>
      </c>
      <c r="M2218" s="2718"/>
      <c r="N2218" s="157"/>
      <c r="O2218" s="277"/>
      <c r="P2218" s="937"/>
      <c r="Q2218" s="937"/>
      <c r="R2218" s="937"/>
      <c r="S2218" s="924"/>
      <c r="T2218" s="1407"/>
      <c r="U2218" s="157"/>
      <c r="V2218" s="3589"/>
      <c r="W2218" s="766"/>
      <c r="X2218" s="766"/>
      <c r="Y2218" s="765">
        <v>39600</v>
      </c>
      <c r="Z2218" s="2426">
        <v>39600</v>
      </c>
      <c r="AA2218" s="2426">
        <v>39600</v>
      </c>
      <c r="AB2218" s="2703">
        <v>39600</v>
      </c>
      <c r="AC2218" s="766"/>
      <c r="AD2218" s="766"/>
      <c r="AE2218" s="766"/>
      <c r="AF2218" s="766"/>
      <c r="AG2218" s="766"/>
      <c r="BB2218" s="647"/>
      <c r="BC2218" s="648"/>
      <c r="BD2218" s="757"/>
      <c r="BE2218" s="659"/>
    </row>
    <row r="2219" spans="1:57" s="64" customFormat="1" ht="15" customHeight="1" outlineLevel="1" x14ac:dyDescent="0.25">
      <c r="A2219" s="2463"/>
      <c r="B2219" s="157"/>
      <c r="C2219" s="385"/>
      <c r="D2219" s="3589"/>
      <c r="E2219" s="3721"/>
      <c r="F2219" s="3773" t="str">
        <f>$E$1456</f>
        <v>ASHP SEER 16 MF ER replace ASHP: HVAC ER2_CompE</v>
      </c>
      <c r="G2219" s="3774"/>
      <c r="H2219" s="3774"/>
      <c r="I2219" s="3775"/>
      <c r="J2219" s="3071" t="str">
        <f>$C$1456</f>
        <v>352851_2019_12_</v>
      </c>
      <c r="K2219" s="2703">
        <v>39600</v>
      </c>
      <c r="L2219" s="1811">
        <f t="shared" si="200"/>
        <v>3.3</v>
      </c>
      <c r="M2219" s="2718"/>
      <c r="N2219" s="157"/>
      <c r="O2219" s="277"/>
      <c r="P2219" s="937"/>
      <c r="Q2219" s="937"/>
      <c r="R2219" s="937"/>
      <c r="S2219" s="924"/>
      <c r="T2219" s="1407"/>
      <c r="U2219" s="157"/>
      <c r="V2219" s="3589"/>
      <c r="W2219" s="766"/>
      <c r="X2219" s="766"/>
      <c r="Y2219" s="765">
        <v>39600</v>
      </c>
      <c r="Z2219" s="2426">
        <v>39600</v>
      </c>
      <c r="AA2219" s="2426">
        <v>39600</v>
      </c>
      <c r="AB2219" s="2703">
        <v>39600</v>
      </c>
      <c r="AC2219" s="766"/>
      <c r="AD2219" s="766"/>
      <c r="AE2219" s="766"/>
      <c r="AF2219" s="766"/>
      <c r="AG2219" s="766"/>
      <c r="BB2219" s="647"/>
      <c r="BC2219" s="648"/>
      <c r="BD2219" s="757"/>
      <c r="BE2219" s="659"/>
    </row>
    <row r="2220" spans="1:57" s="64" customFormat="1" ht="15" customHeight="1" outlineLevel="1" x14ac:dyDescent="0.25">
      <c r="A2220" s="2463"/>
      <c r="B2220" s="157"/>
      <c r="C2220" s="385"/>
      <c r="D2220" s="3589"/>
      <c r="E2220" s="3721"/>
      <c r="F2220" s="3773" t="str">
        <f>$E$1458</f>
        <v>ASHP - SEER 16 - replace on fail MF</v>
      </c>
      <c r="G2220" s="3774"/>
      <c r="H2220" s="3774"/>
      <c r="I2220" s="3775"/>
      <c r="J2220" s="3071" t="str">
        <f>$C$1458</f>
        <v>352900_2019_12_</v>
      </c>
      <c r="K2220" s="2703">
        <v>39600</v>
      </c>
      <c r="L2220" s="1811">
        <f t="shared" si="200"/>
        <v>3.3</v>
      </c>
      <c r="M2220" s="2718" t="s">
        <v>1286</v>
      </c>
      <c r="N2220" s="157"/>
      <c r="O2220" s="277"/>
      <c r="P2220" s="937"/>
      <c r="Q2220" s="937"/>
      <c r="R2220" s="937"/>
      <c r="S2220" s="924"/>
      <c r="T2220" s="1407"/>
      <c r="U2220" s="157"/>
      <c r="V2220" s="3589"/>
      <c r="W2220" s="766">
        <v>39600</v>
      </c>
      <c r="X2220" s="766">
        <v>39600</v>
      </c>
      <c r="Y2220" s="766">
        <v>39600</v>
      </c>
      <c r="Z2220" s="2426">
        <v>39600</v>
      </c>
      <c r="AA2220" s="2426">
        <v>39600</v>
      </c>
      <c r="AB2220" s="2703">
        <v>39600</v>
      </c>
      <c r="AC2220" s="766"/>
      <c r="AD2220" s="766"/>
      <c r="AE2220" s="766"/>
      <c r="AF2220" s="766"/>
      <c r="AG2220" s="766"/>
      <c r="BB2220" s="647"/>
      <c r="BC2220" s="648"/>
      <c r="BD2220" s="757"/>
      <c r="BE2220" s="659"/>
    </row>
    <row r="2221" spans="1:57" s="64" customFormat="1" ht="15" customHeight="1" outlineLevel="1" x14ac:dyDescent="0.25">
      <c r="A2221" s="2463"/>
      <c r="B2221" s="157"/>
      <c r="C2221" s="385"/>
      <c r="D2221" s="3589"/>
      <c r="E2221" s="3721"/>
      <c r="F2221" s="3773" t="str">
        <f>$E$1460</f>
        <v>ASHP - SEER 16 - replace on fail MF_CompE</v>
      </c>
      <c r="G2221" s="3774"/>
      <c r="H2221" s="3774"/>
      <c r="I2221" s="3775"/>
      <c r="J2221" s="3071" t="str">
        <f>$C$1460</f>
        <v>352901_2019_12_</v>
      </c>
      <c r="K2221" s="2703">
        <v>39600</v>
      </c>
      <c r="L2221" s="1811">
        <f t="shared" si="200"/>
        <v>3.3</v>
      </c>
      <c r="M2221" s="2718"/>
      <c r="N2221" s="157"/>
      <c r="O2221" s="277"/>
      <c r="P2221" s="937"/>
      <c r="Q2221" s="937"/>
      <c r="R2221" s="937"/>
      <c r="S2221" s="924"/>
      <c r="T2221" s="1407"/>
      <c r="U2221" s="157"/>
      <c r="V2221" s="3589"/>
      <c r="W2221" s="766"/>
      <c r="X2221" s="766"/>
      <c r="Y2221" s="765">
        <v>39600</v>
      </c>
      <c r="Z2221" s="2426">
        <v>39600</v>
      </c>
      <c r="AA2221" s="2426">
        <v>39600</v>
      </c>
      <c r="AB2221" s="2703">
        <v>39600</v>
      </c>
      <c r="AC2221" s="766"/>
      <c r="AD2221" s="766"/>
      <c r="AE2221" s="766"/>
      <c r="AF2221" s="766"/>
      <c r="AG2221" s="766"/>
      <c r="BB2221" s="647"/>
      <c r="BC2221" s="648"/>
      <c r="BD2221" s="757"/>
      <c r="BE2221" s="659"/>
    </row>
    <row r="2222" spans="1:57" s="64" customFormat="1" ht="15" customHeight="1" outlineLevel="1" x14ac:dyDescent="0.25">
      <c r="A2222" s="2463"/>
      <c r="B2222" s="157"/>
      <c r="C2222" s="385"/>
      <c r="D2222" s="3589"/>
      <c r="E2222" s="3721"/>
      <c r="F2222" s="3773" t="str">
        <f>$E$1462</f>
        <v>ASHP - SEER 16 - replace electric furnace / CAC MF</v>
      </c>
      <c r="G2222" s="3774"/>
      <c r="H2222" s="3774"/>
      <c r="I2222" s="3775"/>
      <c r="J2222" s="3071" t="str">
        <f>$C$1462</f>
        <v>352950_2019_12_</v>
      </c>
      <c r="K2222" s="2703">
        <v>24000</v>
      </c>
      <c r="L2222" s="1811">
        <f t="shared" si="200"/>
        <v>2</v>
      </c>
      <c r="M2222" s="2675" t="s">
        <v>3674</v>
      </c>
      <c r="N2222" s="157"/>
      <c r="O2222" s="277"/>
      <c r="P2222" s="937"/>
      <c r="Q2222" s="937"/>
      <c r="R2222" s="937"/>
      <c r="S2222" s="924"/>
      <c r="T2222" s="1407"/>
      <c r="U2222" s="157"/>
      <c r="V2222" s="3589"/>
      <c r="W2222" s="766">
        <v>38400</v>
      </c>
      <c r="X2222" s="766">
        <v>38400</v>
      </c>
      <c r="Y2222" s="766">
        <v>38400</v>
      </c>
      <c r="Z2222" s="2426">
        <v>38400</v>
      </c>
      <c r="AA2222" s="2426">
        <v>38400</v>
      </c>
      <c r="AB2222" s="2660">
        <v>24000</v>
      </c>
      <c r="AC2222" s="766"/>
      <c r="AD2222" s="766"/>
      <c r="AE2222" s="766"/>
      <c r="AF2222" s="766"/>
      <c r="AG2222" s="766"/>
      <c r="BB2222" s="647"/>
      <c r="BC2222" s="648"/>
      <c r="BD2222" s="757"/>
      <c r="BE2222" s="659"/>
    </row>
    <row r="2223" spans="1:57" s="64" customFormat="1" ht="15" customHeight="1" outlineLevel="1" x14ac:dyDescent="0.25">
      <c r="A2223" s="2463"/>
      <c r="B2223" s="157"/>
      <c r="C2223" s="385"/>
      <c r="D2223" s="3589"/>
      <c r="E2223" s="3721"/>
      <c r="F2223" s="3773" t="str">
        <f>$E$1464</f>
        <v>ASHP - SEER 16 - replace electric furnace / CAC MF_CompE</v>
      </c>
      <c r="G2223" s="3774"/>
      <c r="H2223" s="3774"/>
      <c r="I2223" s="3775"/>
      <c r="J2223" s="3071" t="str">
        <f>$C$1464</f>
        <v>352951_2019_12_</v>
      </c>
      <c r="K2223" s="2703">
        <f>K2222</f>
        <v>24000</v>
      </c>
      <c r="L2223" s="1811">
        <f t="shared" si="200"/>
        <v>2</v>
      </c>
      <c r="M2223" s="2675" t="s">
        <v>3674</v>
      </c>
      <c r="N2223" s="157"/>
      <c r="O2223" s="277"/>
      <c r="P2223" s="937"/>
      <c r="Q2223" s="937"/>
      <c r="R2223" s="937"/>
      <c r="S2223" s="924"/>
      <c r="T2223" s="1407"/>
      <c r="U2223" s="157"/>
      <c r="V2223" s="3589"/>
      <c r="W2223" s="766"/>
      <c r="X2223" s="766"/>
      <c r="Y2223" s="765">
        <v>38400</v>
      </c>
      <c r="Z2223" s="2426">
        <v>38400</v>
      </c>
      <c r="AA2223" s="2426">
        <v>38400</v>
      </c>
      <c r="AB2223" s="2660">
        <v>24000</v>
      </c>
      <c r="AC2223" s="766"/>
      <c r="AD2223" s="766"/>
      <c r="AE2223" s="766"/>
      <c r="AF2223" s="766"/>
      <c r="AG2223" s="766"/>
      <c r="BB2223" s="647"/>
      <c r="BC2223" s="648"/>
      <c r="BD2223" s="757"/>
      <c r="BE2223" s="659"/>
    </row>
    <row r="2224" spans="1:57" s="64" customFormat="1" ht="15" customHeight="1" outlineLevel="1" x14ac:dyDescent="0.25">
      <c r="A2224" s="2463"/>
      <c r="B2224" s="157"/>
      <c r="C2224" s="385"/>
      <c r="D2224" s="3589"/>
      <c r="E2224" s="3721"/>
      <c r="F2224" s="3773" t="str">
        <f>$E$1466</f>
        <v>ASHP - SEER 16 - replace electric furnace / CAC - early replacement MF ER1</v>
      </c>
      <c r="G2224" s="3774"/>
      <c r="H2224" s="3774"/>
      <c r="I2224" s="3775"/>
      <c r="J2224" s="3071" t="str">
        <f>$C$1466</f>
        <v>353000_2019_12_</v>
      </c>
      <c r="K2224" s="2703">
        <v>39600</v>
      </c>
      <c r="L2224" s="1811">
        <f t="shared" si="200"/>
        <v>3.3</v>
      </c>
      <c r="M2224" s="2675" t="s">
        <v>3674</v>
      </c>
      <c r="N2224" s="157"/>
      <c r="O2224" s="277"/>
      <c r="P2224" s="937"/>
      <c r="Q2224" s="937"/>
      <c r="R2224" s="937"/>
      <c r="S2224" s="924"/>
      <c r="T2224" s="1407"/>
      <c r="U2224" s="157"/>
      <c r="V2224" s="3589"/>
      <c r="W2224" s="766">
        <v>37200</v>
      </c>
      <c r="X2224" s="766">
        <v>37200</v>
      </c>
      <c r="Y2224" s="766">
        <v>37200</v>
      </c>
      <c r="Z2224" s="2426">
        <v>37200</v>
      </c>
      <c r="AA2224" s="2426">
        <v>37200</v>
      </c>
      <c r="AB2224" s="2660">
        <v>39600</v>
      </c>
      <c r="AC2224" s="766"/>
      <c r="AD2224" s="766"/>
      <c r="AE2224" s="766"/>
      <c r="AF2224" s="766"/>
      <c r="AG2224" s="766"/>
      <c r="BB2224" s="647"/>
      <c r="BC2224" s="648"/>
      <c r="BD2224" s="757"/>
      <c r="BE2224" s="659"/>
    </row>
    <row r="2225" spans="1:57" s="64" customFormat="1" ht="15" customHeight="1" outlineLevel="1" x14ac:dyDescent="0.25">
      <c r="A2225" s="2463"/>
      <c r="B2225" s="157"/>
      <c r="C2225" s="385"/>
      <c r="D2225" s="3589"/>
      <c r="E2225" s="3721"/>
      <c r="F2225" s="3773" t="str">
        <f>$E$1468</f>
        <v>ASHP - SEER 16 - replace electric furnace / CAC - early replacement MF ER2</v>
      </c>
      <c r="G2225" s="3774"/>
      <c r="H2225" s="3774"/>
      <c r="I2225" s="3775"/>
      <c r="J2225" s="3071" t="str">
        <f>$C$1468</f>
        <v>353000_2019_12_</v>
      </c>
      <c r="K2225" s="2703">
        <f>K2224</f>
        <v>39600</v>
      </c>
      <c r="L2225" s="1811">
        <f t="shared" si="200"/>
        <v>3.3</v>
      </c>
      <c r="M2225" s="2675" t="s">
        <v>3674</v>
      </c>
      <c r="N2225" s="157"/>
      <c r="O2225" s="277"/>
      <c r="P2225" s="937"/>
      <c r="Q2225" s="937"/>
      <c r="R2225" s="937"/>
      <c r="S2225" s="924"/>
      <c r="T2225" s="1407"/>
      <c r="U2225" s="157"/>
      <c r="V2225" s="3589"/>
      <c r="W2225" s="766">
        <v>37200</v>
      </c>
      <c r="X2225" s="766">
        <v>37200</v>
      </c>
      <c r="Y2225" s="766">
        <v>37200</v>
      </c>
      <c r="Z2225" s="2426">
        <v>37200</v>
      </c>
      <c r="AA2225" s="2426">
        <v>37200</v>
      </c>
      <c r="AB2225" s="2660">
        <v>39600</v>
      </c>
      <c r="AC2225" s="766"/>
      <c r="AD2225" s="766"/>
      <c r="AE2225" s="766"/>
      <c r="AF2225" s="766"/>
      <c r="AG2225" s="766"/>
      <c r="BB2225" s="647"/>
      <c r="BC2225" s="648"/>
      <c r="BD2225" s="757"/>
      <c r="BE2225" s="659"/>
    </row>
    <row r="2226" spans="1:57" s="64" customFormat="1" ht="15" customHeight="1" outlineLevel="1" x14ac:dyDescent="0.25">
      <c r="A2226" s="2463"/>
      <c r="B2226" s="157"/>
      <c r="C2226" s="385"/>
      <c r="D2226" s="3589"/>
      <c r="E2226" s="3721"/>
      <c r="F2226" s="3773" t="str">
        <f>$E$1470</f>
        <v>ASHP - SEER 16 - replace electric furnace / CAC - early replacement MF ER1_CompE</v>
      </c>
      <c r="G2226" s="3774"/>
      <c r="H2226" s="3774"/>
      <c r="I2226" s="3775"/>
      <c r="J2226" s="3071" t="str">
        <f>$C$1470</f>
        <v>353001_2019_12_</v>
      </c>
      <c r="K2226" s="2703">
        <f>K2225</f>
        <v>39600</v>
      </c>
      <c r="L2226" s="1811">
        <f t="shared" si="200"/>
        <v>3.3</v>
      </c>
      <c r="M2226" s="2675" t="s">
        <v>3652</v>
      </c>
      <c r="N2226" s="157"/>
      <c r="O2226" s="277"/>
      <c r="P2226" s="937"/>
      <c r="Q2226" s="937"/>
      <c r="R2226" s="937"/>
      <c r="S2226" s="924"/>
      <c r="T2226" s="1407"/>
      <c r="U2226" s="157"/>
      <c r="V2226" s="3589"/>
      <c r="W2226" s="766"/>
      <c r="X2226" s="766"/>
      <c r="Y2226" s="765">
        <v>37200</v>
      </c>
      <c r="Z2226" s="2426">
        <v>37200</v>
      </c>
      <c r="AA2226" s="2426">
        <v>37200</v>
      </c>
      <c r="AB2226" s="2660">
        <v>39600</v>
      </c>
      <c r="AC2226" s="766"/>
      <c r="AD2226" s="766"/>
      <c r="AE2226" s="766"/>
      <c r="AF2226" s="766"/>
      <c r="AG2226" s="766"/>
      <c r="BB2226" s="647"/>
      <c r="BC2226" s="648"/>
      <c r="BD2226" s="757"/>
      <c r="BE2226" s="659"/>
    </row>
    <row r="2227" spans="1:57" s="64" customFormat="1" ht="15" customHeight="1" outlineLevel="1" x14ac:dyDescent="0.25">
      <c r="A2227" s="2463"/>
      <c r="B2227" s="157"/>
      <c r="C2227" s="385"/>
      <c r="D2227" s="3589"/>
      <c r="E2227" s="3721"/>
      <c r="F2227" s="3773" t="str">
        <f>$E$1472</f>
        <v>ASHP - SEER 16 - replace electric furnace / CAC - early replacement MF ER2_CompE</v>
      </c>
      <c r="G2227" s="3774"/>
      <c r="H2227" s="3774"/>
      <c r="I2227" s="3775"/>
      <c r="J2227" s="3071" t="str">
        <f>$C$1472</f>
        <v>353001_2019_12_</v>
      </c>
      <c r="K2227" s="2703">
        <f>K2226</f>
        <v>39600</v>
      </c>
      <c r="L2227" s="1811">
        <f t="shared" si="200"/>
        <v>3.3</v>
      </c>
      <c r="M2227" s="2675" t="s">
        <v>3652</v>
      </c>
      <c r="N2227" s="157"/>
      <c r="O2227" s="277"/>
      <c r="P2227" s="937"/>
      <c r="Q2227" s="937"/>
      <c r="R2227" s="937"/>
      <c r="S2227" s="924"/>
      <c r="T2227" s="1407"/>
      <c r="U2227" s="157"/>
      <c r="V2227" s="3589"/>
      <c r="W2227" s="766"/>
      <c r="X2227" s="766"/>
      <c r="Y2227" s="765">
        <v>37200</v>
      </c>
      <c r="Z2227" s="2426">
        <v>37200</v>
      </c>
      <c r="AA2227" s="2426">
        <v>37200</v>
      </c>
      <c r="AB2227" s="2660">
        <v>39600</v>
      </c>
      <c r="AC2227" s="766"/>
      <c r="AD2227" s="766"/>
      <c r="AE2227" s="766"/>
      <c r="AF2227" s="766"/>
      <c r="AG2227" s="766"/>
      <c r="BB2227" s="647"/>
      <c r="BC2227" s="648"/>
      <c r="BD2227" s="757"/>
      <c r="BE2227" s="659"/>
    </row>
    <row r="2228" spans="1:57" s="64" customFormat="1" ht="15" customHeight="1" outlineLevel="1" x14ac:dyDescent="0.25">
      <c r="A2228" s="2463"/>
      <c r="B2228" s="157"/>
      <c r="C2228" s="385"/>
      <c r="D2228" s="3589"/>
      <c r="E2228" s="3721"/>
      <c r="F2228" s="3776" t="str">
        <f>$E$1474</f>
        <v xml:space="preserve">ASHP SEER 15 - replace on Fail MF </v>
      </c>
      <c r="G2228" s="3777"/>
      <c r="H2228" s="3777"/>
      <c r="I2228" s="3778"/>
      <c r="J2228" s="3072" t="str">
        <f>$C$1474</f>
        <v>353050_2019_12_</v>
      </c>
      <c r="K2228" s="2703">
        <v>37200</v>
      </c>
      <c r="L2228" s="1811">
        <f t="shared" si="200"/>
        <v>3.1</v>
      </c>
      <c r="M2228" s="2718" t="s">
        <v>1286</v>
      </c>
      <c r="N2228" s="157"/>
      <c r="O2228" s="277"/>
      <c r="P2228" s="937"/>
      <c r="Q2228" s="937"/>
      <c r="R2228" s="937"/>
      <c r="S2228" s="924"/>
      <c r="T2228" s="1407"/>
      <c r="U2228" s="157"/>
      <c r="V2228" s="3589"/>
      <c r="W2228" s="766">
        <v>37200</v>
      </c>
      <c r="X2228" s="766">
        <v>37200</v>
      </c>
      <c r="Y2228" s="766">
        <v>37200</v>
      </c>
      <c r="Z2228" s="2426">
        <v>37200</v>
      </c>
      <c r="AA2228" s="2426">
        <v>37200</v>
      </c>
      <c r="AB2228" s="2703">
        <v>37200</v>
      </c>
      <c r="AC2228" s="766"/>
      <c r="AD2228" s="766"/>
      <c r="AE2228" s="766"/>
      <c r="AF2228" s="766"/>
      <c r="AG2228" s="766"/>
      <c r="BB2228" s="647"/>
      <c r="BC2228" s="648"/>
      <c r="BD2228" s="757"/>
      <c r="BE2228" s="659"/>
    </row>
    <row r="2229" spans="1:57" s="64" customFormat="1" ht="15" customHeight="1" outlineLevel="1" x14ac:dyDescent="0.25">
      <c r="A2229" s="2463"/>
      <c r="B2229" s="157"/>
      <c r="C2229" s="385"/>
      <c r="D2229" s="3589"/>
      <c r="E2229" s="3721"/>
      <c r="F2229" s="3776" t="str">
        <f>$E$1476</f>
        <v>ASHP SEER 15 - replace on Fail MF _CompE</v>
      </c>
      <c r="G2229" s="3777"/>
      <c r="H2229" s="3777"/>
      <c r="I2229" s="3778"/>
      <c r="J2229" s="3072" t="str">
        <f>$C$1476</f>
        <v>353051_2019_12_</v>
      </c>
      <c r="K2229" s="2703">
        <v>37200</v>
      </c>
      <c r="L2229" s="1811">
        <f t="shared" si="200"/>
        <v>3.1</v>
      </c>
      <c r="M2229" s="2718"/>
      <c r="N2229" s="157"/>
      <c r="O2229" s="277"/>
      <c r="P2229" s="937"/>
      <c r="Q2229" s="937"/>
      <c r="R2229" s="937"/>
      <c r="S2229" s="924"/>
      <c r="T2229" s="1407"/>
      <c r="U2229" s="157"/>
      <c r="V2229" s="3589"/>
      <c r="W2229" s="766"/>
      <c r="X2229" s="766"/>
      <c r="Y2229" s="765">
        <v>37200</v>
      </c>
      <c r="Z2229" s="2426">
        <v>37200</v>
      </c>
      <c r="AA2229" s="2426">
        <v>37200</v>
      </c>
      <c r="AB2229" s="2703">
        <v>37200</v>
      </c>
      <c r="AC2229" s="766"/>
      <c r="AD2229" s="766"/>
      <c r="AE2229" s="766"/>
      <c r="AF2229" s="766"/>
      <c r="AG2229" s="766"/>
      <c r="BB2229" s="647"/>
      <c r="BC2229" s="648"/>
      <c r="BD2229" s="757"/>
      <c r="BE2229" s="659"/>
    </row>
    <row r="2230" spans="1:57" s="64" customFormat="1" ht="15" customHeight="1" outlineLevel="1" x14ac:dyDescent="0.25">
      <c r="A2230" s="2463"/>
      <c r="B2230" s="157"/>
      <c r="C2230" s="385"/>
      <c r="D2230" s="3589"/>
      <c r="E2230" s="3721"/>
      <c r="F2230" s="3773" t="str">
        <f>$E$1478</f>
        <v>ASHP - SEER 17 - replace electric furnace / CAC SF</v>
      </c>
      <c r="G2230" s="3774"/>
      <c r="H2230" s="3774"/>
      <c r="I2230" s="3775"/>
      <c r="J2230" s="3071" t="str">
        <f>$C$1478</f>
        <v>353100_2019_12_</v>
      </c>
      <c r="K2230" s="2703">
        <v>33600</v>
      </c>
      <c r="L2230" s="1811">
        <f t="shared" si="200"/>
        <v>2.8</v>
      </c>
      <c r="M2230" s="2718" t="s">
        <v>1503</v>
      </c>
      <c r="N2230" s="157"/>
      <c r="O2230" s="277"/>
      <c r="P2230" s="937"/>
      <c r="Q2230" s="937"/>
      <c r="R2230" s="937"/>
      <c r="S2230" s="924"/>
      <c r="T2230" s="1407"/>
      <c r="U2230" s="157"/>
      <c r="V2230" s="3589"/>
      <c r="W2230" s="766">
        <v>33600</v>
      </c>
      <c r="X2230" s="766">
        <v>33600</v>
      </c>
      <c r="Y2230" s="766">
        <v>33600</v>
      </c>
      <c r="Z2230" s="2426">
        <v>33600</v>
      </c>
      <c r="AA2230" s="2426">
        <v>33600</v>
      </c>
      <c r="AB2230" s="2703">
        <v>33600</v>
      </c>
      <c r="AC2230" s="766"/>
      <c r="AD2230" s="766"/>
      <c r="AE2230" s="766"/>
      <c r="AF2230" s="766"/>
      <c r="AG2230" s="766"/>
      <c r="BB2230" s="647"/>
      <c r="BC2230" s="648"/>
      <c r="BD2230" s="757"/>
      <c r="BE2230" s="659"/>
    </row>
    <row r="2231" spans="1:57" s="64" customFormat="1" ht="15" customHeight="1" outlineLevel="1" x14ac:dyDescent="0.25">
      <c r="A2231" s="2463"/>
      <c r="B2231" s="157"/>
      <c r="C2231" s="385"/>
      <c r="D2231" s="3589"/>
      <c r="E2231" s="3721"/>
      <c r="F2231" s="3773" t="str">
        <f>$E$1480</f>
        <v>ASHP - SEER 17 - replace electric furnace / CAC MF</v>
      </c>
      <c r="G2231" s="3774"/>
      <c r="H2231" s="3774"/>
      <c r="I2231" s="3775"/>
      <c r="J2231" s="3071" t="str">
        <f>$C$1480</f>
        <v>353150_2019_12_</v>
      </c>
      <c r="K2231" s="2703">
        <v>33600</v>
      </c>
      <c r="L2231" s="1811">
        <f t="shared" si="200"/>
        <v>2.8</v>
      </c>
      <c r="M2231" s="2718" t="s">
        <v>1503</v>
      </c>
      <c r="N2231" s="157"/>
      <c r="O2231" s="277"/>
      <c r="P2231" s="937"/>
      <c r="Q2231" s="937"/>
      <c r="R2231" s="937"/>
      <c r="S2231" s="924"/>
      <c r="T2231" s="1407"/>
      <c r="U2231" s="157"/>
      <c r="V2231" s="3589"/>
      <c r="W2231" s="766">
        <v>33600</v>
      </c>
      <c r="X2231" s="766">
        <v>33600</v>
      </c>
      <c r="Y2231" s="766">
        <v>33600</v>
      </c>
      <c r="Z2231" s="2426">
        <v>33600</v>
      </c>
      <c r="AA2231" s="2426">
        <v>33600</v>
      </c>
      <c r="AB2231" s="2703">
        <v>33600</v>
      </c>
      <c r="AC2231" s="766"/>
      <c r="AD2231" s="766"/>
      <c r="AE2231" s="766"/>
      <c r="AF2231" s="766"/>
      <c r="AG2231" s="766"/>
      <c r="BB2231" s="647"/>
      <c r="BC2231" s="648"/>
      <c r="BD2231" s="757"/>
      <c r="BE2231" s="659"/>
    </row>
    <row r="2232" spans="1:57" s="64" customFormat="1" ht="15" customHeight="1" outlineLevel="1" x14ac:dyDescent="0.25">
      <c r="A2232" s="2463"/>
      <c r="B2232" s="157"/>
      <c r="C2232" s="385"/>
      <c r="D2232" s="3589"/>
      <c r="E2232" s="3721"/>
      <c r="F2232" s="3773" t="str">
        <f>$E$1482</f>
        <v>ASHP - SEER 17 - replace electric furnace / CAC MF_CompE</v>
      </c>
      <c r="G2232" s="3774"/>
      <c r="H2232" s="3774"/>
      <c r="I2232" s="3775"/>
      <c r="J2232" s="3071" t="str">
        <f>$C$1482</f>
        <v>353151_2019_12_</v>
      </c>
      <c r="K2232" s="2703">
        <v>33600</v>
      </c>
      <c r="L2232" s="1811">
        <f t="shared" si="200"/>
        <v>2.8</v>
      </c>
      <c r="M2232" s="2718"/>
      <c r="N2232" s="157"/>
      <c r="O2232" s="277"/>
      <c r="P2232" s="937"/>
      <c r="Q2232" s="937"/>
      <c r="R2232" s="937"/>
      <c r="S2232" s="924"/>
      <c r="T2232" s="1407"/>
      <c r="U2232" s="157"/>
      <c r="V2232" s="3589"/>
      <c r="W2232" s="766"/>
      <c r="X2232" s="766"/>
      <c r="Y2232" s="765">
        <v>33600</v>
      </c>
      <c r="Z2232" s="2426">
        <v>33600</v>
      </c>
      <c r="AA2232" s="2426">
        <v>33600</v>
      </c>
      <c r="AB2232" s="2703">
        <v>33600</v>
      </c>
      <c r="AC2232" s="766"/>
      <c r="AD2232" s="766"/>
      <c r="AE2232" s="766"/>
      <c r="AF2232" s="766"/>
      <c r="AG2232" s="766"/>
      <c r="BB2232" s="647"/>
      <c r="BC2232" s="648"/>
      <c r="BD2232" s="757"/>
      <c r="BE2232" s="659"/>
    </row>
    <row r="2233" spans="1:57" s="64" customFormat="1" ht="15" customHeight="1" outlineLevel="1" x14ac:dyDescent="0.25">
      <c r="A2233" s="2463"/>
      <c r="B2233" s="157"/>
      <c r="C2233" s="385"/>
      <c r="D2233" s="3589"/>
      <c r="E2233" s="3721"/>
      <c r="F2233" s="3773" t="str">
        <f>$E$1484</f>
        <v>ASHP - SEER 18 - replace electric furnace / CAC SF</v>
      </c>
      <c r="G2233" s="3774"/>
      <c r="H2233" s="3774"/>
      <c r="I2233" s="3775"/>
      <c r="J2233" s="3071" t="str">
        <f>$C$1484</f>
        <v>353200_2019_12_</v>
      </c>
      <c r="K2233" s="2703">
        <v>36000</v>
      </c>
      <c r="L2233" s="1811">
        <f t="shared" si="200"/>
        <v>3</v>
      </c>
      <c r="M2233" s="2675" t="s">
        <v>3674</v>
      </c>
      <c r="N2233" s="157"/>
      <c r="O2233" s="277"/>
      <c r="P2233" s="937"/>
      <c r="Q2233" s="937"/>
      <c r="R2233" s="937"/>
      <c r="S2233" s="924"/>
      <c r="T2233" s="1407"/>
      <c r="U2233" s="157"/>
      <c r="V2233" s="3589"/>
      <c r="W2233" s="766">
        <v>33600</v>
      </c>
      <c r="X2233" s="766">
        <v>33600</v>
      </c>
      <c r="Y2233" s="766">
        <v>33600</v>
      </c>
      <c r="Z2233" s="2426">
        <v>33600</v>
      </c>
      <c r="AA2233" s="2426">
        <v>33600</v>
      </c>
      <c r="AB2233" s="2660">
        <v>36000</v>
      </c>
      <c r="AC2233" s="766"/>
      <c r="AD2233" s="766"/>
      <c r="AE2233" s="766"/>
      <c r="AF2233" s="766"/>
      <c r="AG2233" s="766"/>
      <c r="BB2233" s="647"/>
      <c r="BC2233" s="648"/>
      <c r="BD2233" s="757"/>
      <c r="BE2233" s="659"/>
    </row>
    <row r="2234" spans="1:57" s="64" customFormat="1" ht="15" customHeight="1" outlineLevel="1" x14ac:dyDescent="0.25">
      <c r="A2234" s="2463"/>
      <c r="B2234" s="157"/>
      <c r="C2234" s="385"/>
      <c r="D2234" s="3589"/>
      <c r="E2234" s="3721"/>
      <c r="F2234" s="3773" t="str">
        <f>$E$1486</f>
        <v>ASHP - SEER 18 - replace electric furnace / CAC MF</v>
      </c>
      <c r="G2234" s="3774"/>
      <c r="H2234" s="3774"/>
      <c r="I2234" s="3775"/>
      <c r="J2234" s="3071" t="str">
        <f>$C$1486</f>
        <v>353250_2019_12_</v>
      </c>
      <c r="K2234" s="2703">
        <v>48000</v>
      </c>
      <c r="L2234" s="1811">
        <f t="shared" si="200"/>
        <v>4</v>
      </c>
      <c r="M2234" s="2675" t="s">
        <v>3674</v>
      </c>
      <c r="N2234" s="157"/>
      <c r="O2234" s="277"/>
      <c r="P2234" s="937"/>
      <c r="Q2234" s="937"/>
      <c r="R2234" s="937"/>
      <c r="S2234" s="924"/>
      <c r="T2234" s="1407"/>
      <c r="U2234" s="157"/>
      <c r="V2234" s="3589"/>
      <c r="W2234" s="766">
        <v>33600</v>
      </c>
      <c r="X2234" s="766">
        <v>33600</v>
      </c>
      <c r="Y2234" s="766">
        <v>33600</v>
      </c>
      <c r="Z2234" s="2426">
        <v>33600</v>
      </c>
      <c r="AA2234" s="2426">
        <v>33600</v>
      </c>
      <c r="AB2234" s="2660">
        <v>48000</v>
      </c>
      <c r="AC2234" s="766"/>
      <c r="AD2234" s="766"/>
      <c r="AE2234" s="766"/>
      <c r="AF2234" s="766"/>
      <c r="AG2234" s="766"/>
      <c r="BB2234" s="647"/>
      <c r="BC2234" s="648"/>
      <c r="BD2234" s="757"/>
      <c r="BE2234" s="659"/>
    </row>
    <row r="2235" spans="1:57" s="64" customFormat="1" ht="15" customHeight="1" outlineLevel="1" x14ac:dyDescent="0.25">
      <c r="A2235" s="2463"/>
      <c r="B2235" s="157"/>
      <c r="C2235" s="385"/>
      <c r="D2235" s="3589"/>
      <c r="E2235" s="3721"/>
      <c r="F2235" s="3773" t="str">
        <f>$E$1488</f>
        <v>ASHP - SEER 18 - replace electric furnace / CAC MF_CompE</v>
      </c>
      <c r="G2235" s="3774"/>
      <c r="H2235" s="3774"/>
      <c r="I2235" s="3775"/>
      <c r="J2235" s="3071" t="str">
        <f>$C$1488</f>
        <v>353251_2019_12_</v>
      </c>
      <c r="K2235" s="2703">
        <f>K2234</f>
        <v>48000</v>
      </c>
      <c r="L2235" s="1811">
        <f t="shared" si="200"/>
        <v>4</v>
      </c>
      <c r="M2235" s="2675" t="s">
        <v>3652</v>
      </c>
      <c r="N2235" s="157"/>
      <c r="O2235" s="277"/>
      <c r="P2235" s="937"/>
      <c r="Q2235" s="937"/>
      <c r="R2235" s="937"/>
      <c r="S2235" s="924"/>
      <c r="T2235" s="1407"/>
      <c r="U2235" s="157"/>
      <c r="V2235" s="3589"/>
      <c r="W2235" s="766"/>
      <c r="X2235" s="766"/>
      <c r="Y2235" s="765">
        <v>33600</v>
      </c>
      <c r="Z2235" s="2426">
        <v>33600</v>
      </c>
      <c r="AA2235" s="2426">
        <v>33600</v>
      </c>
      <c r="AB2235" s="2660">
        <v>48000</v>
      </c>
      <c r="AC2235" s="766"/>
      <c r="AD2235" s="766"/>
      <c r="AE2235" s="766"/>
      <c r="AF2235" s="766"/>
      <c r="AG2235" s="766"/>
      <c r="BB2235" s="647"/>
      <c r="BC2235" s="648"/>
      <c r="BD2235" s="757"/>
      <c r="BE2235" s="659"/>
    </row>
    <row r="2236" spans="1:57" s="64" customFormat="1" ht="15" customHeight="1" outlineLevel="1" x14ac:dyDescent="0.25">
      <c r="A2236" s="2463"/>
      <c r="B2236" s="157"/>
      <c r="C2236" s="385"/>
      <c r="D2236" s="3589"/>
      <c r="E2236" s="3721"/>
      <c r="F2236" s="3773" t="str">
        <f>$E$1490</f>
        <v>ASHP - SEER 19 - replace electric furnace / CAC SF</v>
      </c>
      <c r="G2236" s="3774"/>
      <c r="H2236" s="3774"/>
      <c r="I2236" s="3775"/>
      <c r="J2236" s="3071" t="str">
        <f>$C$1490</f>
        <v>353300_2019_12_</v>
      </c>
      <c r="K2236" s="2703">
        <v>33600</v>
      </c>
      <c r="L2236" s="1811">
        <f t="shared" si="200"/>
        <v>2.8</v>
      </c>
      <c r="M2236" s="2718" t="s">
        <v>1503</v>
      </c>
      <c r="N2236" s="157"/>
      <c r="O2236" s="277"/>
      <c r="P2236" s="937"/>
      <c r="Q2236" s="937"/>
      <c r="R2236" s="937"/>
      <c r="S2236" s="924"/>
      <c r="T2236" s="1407"/>
      <c r="U2236" s="157"/>
      <c r="V2236" s="3589"/>
      <c r="W2236" s="766">
        <v>33600</v>
      </c>
      <c r="X2236" s="766">
        <v>33600</v>
      </c>
      <c r="Y2236" s="766">
        <v>33600</v>
      </c>
      <c r="Z2236" s="2426">
        <v>33600</v>
      </c>
      <c r="AA2236" s="2426">
        <v>33600</v>
      </c>
      <c r="AB2236" s="2703">
        <v>33600</v>
      </c>
      <c r="AC2236" s="766"/>
      <c r="AD2236" s="766"/>
      <c r="AE2236" s="766"/>
      <c r="AF2236" s="766"/>
      <c r="AG2236" s="766"/>
      <c r="BB2236" s="647"/>
      <c r="BC2236" s="648"/>
      <c r="BD2236" s="757"/>
      <c r="BE2236" s="659"/>
    </row>
    <row r="2237" spans="1:57" s="64" customFormat="1" ht="15" customHeight="1" outlineLevel="1" x14ac:dyDescent="0.25">
      <c r="A2237" s="2463"/>
      <c r="B2237" s="157"/>
      <c r="C2237" s="385"/>
      <c r="D2237" s="3589"/>
      <c r="E2237" s="3721"/>
      <c r="F2237" s="3773" t="str">
        <f>$E$1492</f>
        <v>ASHP - SEER 19 - replace electric furnace / CAC MF</v>
      </c>
      <c r="G2237" s="3774"/>
      <c r="H2237" s="3774"/>
      <c r="I2237" s="3775"/>
      <c r="J2237" s="3071" t="str">
        <f>$C$1492</f>
        <v>353350_2019_12_</v>
      </c>
      <c r="K2237" s="2703">
        <v>33600</v>
      </c>
      <c r="L2237" s="1811">
        <f t="shared" si="200"/>
        <v>2.8</v>
      </c>
      <c r="M2237" s="2718" t="s">
        <v>1503</v>
      </c>
      <c r="N2237" s="157"/>
      <c r="O2237" s="277"/>
      <c r="P2237" s="937"/>
      <c r="Q2237" s="937"/>
      <c r="R2237" s="937"/>
      <c r="S2237" s="924"/>
      <c r="T2237" s="1407"/>
      <c r="U2237" s="157"/>
      <c r="V2237" s="3589"/>
      <c r="W2237" s="766">
        <v>33600</v>
      </c>
      <c r="X2237" s="766">
        <v>33600</v>
      </c>
      <c r="Y2237" s="766">
        <v>33600</v>
      </c>
      <c r="Z2237" s="2426">
        <v>33600</v>
      </c>
      <c r="AA2237" s="2426">
        <v>33600</v>
      </c>
      <c r="AB2237" s="2703">
        <v>33600</v>
      </c>
      <c r="AC2237" s="766"/>
      <c r="AD2237" s="766"/>
      <c r="AE2237" s="766"/>
      <c r="AF2237" s="766"/>
      <c r="AG2237" s="766"/>
      <c r="BB2237" s="647"/>
      <c r="BC2237" s="648"/>
      <c r="BD2237" s="757"/>
      <c r="BE2237" s="659"/>
    </row>
    <row r="2238" spans="1:57" s="64" customFormat="1" ht="15" customHeight="1" outlineLevel="1" x14ac:dyDescent="0.25">
      <c r="A2238" s="2463"/>
      <c r="B2238" s="157"/>
      <c r="C2238" s="385"/>
      <c r="D2238" s="3589"/>
      <c r="E2238" s="3721"/>
      <c r="F2238" s="3773" t="str">
        <f>$E$1494</f>
        <v>ASHP - SEER 19 - replace electric furnace / CAC MF_CompE</v>
      </c>
      <c r="G2238" s="3774"/>
      <c r="H2238" s="3774"/>
      <c r="I2238" s="3775"/>
      <c r="J2238" s="3071" t="str">
        <f>$C$1494</f>
        <v>353351_2019_12_</v>
      </c>
      <c r="K2238" s="2703">
        <v>33600</v>
      </c>
      <c r="L2238" s="1811">
        <f t="shared" si="200"/>
        <v>2.8</v>
      </c>
      <c r="M2238" s="2718"/>
      <c r="N2238" s="157"/>
      <c r="O2238" s="277"/>
      <c r="P2238" s="937"/>
      <c r="Q2238" s="937"/>
      <c r="R2238" s="937"/>
      <c r="S2238" s="924"/>
      <c r="T2238" s="1407"/>
      <c r="U2238" s="157"/>
      <c r="V2238" s="3589"/>
      <c r="W2238" s="766"/>
      <c r="X2238" s="766"/>
      <c r="Y2238" s="765">
        <v>33600</v>
      </c>
      <c r="Z2238" s="2426">
        <v>33600</v>
      </c>
      <c r="AA2238" s="2426">
        <v>33600</v>
      </c>
      <c r="AB2238" s="2703">
        <v>33600</v>
      </c>
      <c r="AC2238" s="766"/>
      <c r="AD2238" s="766"/>
      <c r="AE2238" s="766"/>
      <c r="AF2238" s="766"/>
      <c r="AG2238" s="766"/>
      <c r="BB2238" s="647"/>
      <c r="BC2238" s="648"/>
      <c r="BD2238" s="757"/>
      <c r="BE2238" s="659"/>
    </row>
    <row r="2239" spans="1:57" s="64" customFormat="1" ht="15" customHeight="1" outlineLevel="1" x14ac:dyDescent="0.25">
      <c r="A2239" s="2463"/>
      <c r="B2239" s="157"/>
      <c r="C2239" s="385"/>
      <c r="D2239" s="3589"/>
      <c r="E2239" s="3721"/>
      <c r="F2239" s="3773" t="str">
        <f>$E$1496</f>
        <v>ASHP - SEER 20 - replace electric furnace / CAC - early replacement SF ER1</v>
      </c>
      <c r="G2239" s="3774"/>
      <c r="H2239" s="3774"/>
      <c r="I2239" s="3775"/>
      <c r="J2239" s="3071" t="str">
        <f>$C$1496</f>
        <v>353400_2019_12_</v>
      </c>
      <c r="K2239" s="2703">
        <v>37200</v>
      </c>
      <c r="L2239" s="1811">
        <f t="shared" si="200"/>
        <v>3.1</v>
      </c>
      <c r="M2239" s="2718" t="s">
        <v>1503</v>
      </c>
      <c r="N2239" s="157"/>
      <c r="O2239" s="277"/>
      <c r="P2239" s="937"/>
      <c r="Q2239" s="937"/>
      <c r="R2239" s="937"/>
      <c r="S2239" s="924"/>
      <c r="T2239" s="1407"/>
      <c r="U2239" s="157"/>
      <c r="V2239" s="3589"/>
      <c r="W2239" s="766">
        <v>37200</v>
      </c>
      <c r="X2239" s="766">
        <v>37200</v>
      </c>
      <c r="Y2239" s="766">
        <v>37200</v>
      </c>
      <c r="Z2239" s="2426">
        <v>37200</v>
      </c>
      <c r="AA2239" s="2426">
        <v>37200</v>
      </c>
      <c r="AB2239" s="2703">
        <v>37200</v>
      </c>
      <c r="AC2239" s="766"/>
      <c r="AD2239" s="766"/>
      <c r="AE2239" s="766"/>
      <c r="AF2239" s="766"/>
      <c r="AG2239" s="766"/>
      <c r="BB2239" s="647"/>
      <c r="BC2239" s="648"/>
      <c r="BD2239" s="757"/>
      <c r="BE2239" s="659"/>
    </row>
    <row r="2240" spans="1:57" s="64" customFormat="1" ht="15" customHeight="1" outlineLevel="1" x14ac:dyDescent="0.25">
      <c r="A2240" s="2463"/>
      <c r="B2240" s="157"/>
      <c r="C2240" s="385"/>
      <c r="D2240" s="3589"/>
      <c r="E2240" s="3721"/>
      <c r="F2240" s="3773" t="str">
        <f>$E$1498</f>
        <v>ASHP - SEER 20 - replace electric furnace / CAC - early replacement SF ER2</v>
      </c>
      <c r="G2240" s="3774"/>
      <c r="H2240" s="3774"/>
      <c r="I2240" s="3775"/>
      <c r="J2240" s="3071" t="str">
        <f>$C$1498</f>
        <v>353400_2019_12_</v>
      </c>
      <c r="K2240" s="2703">
        <v>37200</v>
      </c>
      <c r="L2240" s="1811">
        <f t="shared" si="200"/>
        <v>3.1</v>
      </c>
      <c r="M2240" s="2718" t="s">
        <v>1503</v>
      </c>
      <c r="N2240" s="157"/>
      <c r="O2240" s="277"/>
      <c r="P2240" s="937"/>
      <c r="Q2240" s="937"/>
      <c r="R2240" s="937"/>
      <c r="S2240" s="924"/>
      <c r="T2240" s="1407"/>
      <c r="U2240" s="157"/>
      <c r="V2240" s="3589"/>
      <c r="W2240" s="766">
        <v>37200</v>
      </c>
      <c r="X2240" s="766">
        <v>37200</v>
      </c>
      <c r="Y2240" s="766">
        <v>37200</v>
      </c>
      <c r="Z2240" s="2426">
        <v>37200</v>
      </c>
      <c r="AA2240" s="2426">
        <v>37200</v>
      </c>
      <c r="AB2240" s="2703">
        <v>37200</v>
      </c>
      <c r="AC2240" s="766"/>
      <c r="AD2240" s="766"/>
      <c r="AE2240" s="766"/>
      <c r="AF2240" s="766"/>
      <c r="AG2240" s="766"/>
      <c r="BB2240" s="647"/>
      <c r="BC2240" s="648"/>
      <c r="BD2240" s="757"/>
      <c r="BE2240" s="659"/>
    </row>
    <row r="2241" spans="1:57" s="64" customFormat="1" ht="15" customHeight="1" outlineLevel="1" x14ac:dyDescent="0.25">
      <c r="A2241" s="2463"/>
      <c r="B2241" s="157"/>
      <c r="C2241" s="385"/>
      <c r="D2241" s="3589"/>
      <c r="E2241" s="3721"/>
      <c r="F2241" s="3773" t="str">
        <f>$E$1500</f>
        <v>ASHP - SEER 20 - replace electric furnace / CAC SF</v>
      </c>
      <c r="G2241" s="3774"/>
      <c r="H2241" s="3774"/>
      <c r="I2241" s="3775"/>
      <c r="J2241" s="3071" t="str">
        <f>$C$1500</f>
        <v>353450_2019_12_</v>
      </c>
      <c r="K2241" s="2703">
        <v>38400</v>
      </c>
      <c r="L2241" s="1811">
        <f t="shared" si="200"/>
        <v>3.2</v>
      </c>
      <c r="M2241" s="2718" t="s">
        <v>1503</v>
      </c>
      <c r="N2241" s="157"/>
      <c r="O2241" s="277"/>
      <c r="P2241" s="937"/>
      <c r="Q2241" s="937"/>
      <c r="R2241" s="937"/>
      <c r="S2241" s="924"/>
      <c r="T2241" s="1407"/>
      <c r="U2241" s="157"/>
      <c r="V2241" s="3589"/>
      <c r="W2241" s="766">
        <v>38400</v>
      </c>
      <c r="X2241" s="766">
        <v>38400</v>
      </c>
      <c r="Y2241" s="766">
        <v>38400</v>
      </c>
      <c r="Z2241" s="2426">
        <v>38400</v>
      </c>
      <c r="AA2241" s="2426">
        <v>38400</v>
      </c>
      <c r="AB2241" s="2703">
        <v>38400</v>
      </c>
      <c r="AC2241" s="766"/>
      <c r="AD2241" s="766"/>
      <c r="AE2241" s="766"/>
      <c r="AF2241" s="766"/>
      <c r="AG2241" s="766"/>
      <c r="BB2241" s="647"/>
      <c r="BC2241" s="648"/>
      <c r="BD2241" s="757"/>
      <c r="BE2241" s="659"/>
    </row>
    <row r="2242" spans="1:57" s="64" customFormat="1" ht="15" customHeight="1" outlineLevel="1" x14ac:dyDescent="0.25">
      <c r="A2242" s="2463"/>
      <c r="B2242" s="157"/>
      <c r="C2242" s="385"/>
      <c r="D2242" s="3589"/>
      <c r="E2242" s="3721"/>
      <c r="F2242" s="3773" t="str">
        <f>$E$1502</f>
        <v>ASHP - SEER 20 - replace electric furnace / CAC MF</v>
      </c>
      <c r="G2242" s="3774"/>
      <c r="H2242" s="3774"/>
      <c r="I2242" s="3775"/>
      <c r="J2242" s="3071" t="str">
        <f>$C$1502</f>
        <v>353500_2019_12_</v>
      </c>
      <c r="K2242" s="2703">
        <v>38400</v>
      </c>
      <c r="L2242" s="1811">
        <f t="shared" si="200"/>
        <v>3.2</v>
      </c>
      <c r="M2242" s="2718" t="s">
        <v>1503</v>
      </c>
      <c r="N2242" s="157"/>
      <c r="O2242" s="277"/>
      <c r="P2242" s="937"/>
      <c r="Q2242" s="937"/>
      <c r="R2242" s="937"/>
      <c r="S2242" s="924"/>
      <c r="T2242" s="1407"/>
      <c r="U2242" s="157"/>
      <c r="V2242" s="3589"/>
      <c r="W2242" s="766">
        <v>38400</v>
      </c>
      <c r="X2242" s="766">
        <v>38400</v>
      </c>
      <c r="Y2242" s="766">
        <v>38400</v>
      </c>
      <c r="Z2242" s="2426">
        <v>38400</v>
      </c>
      <c r="AA2242" s="2426">
        <v>38400</v>
      </c>
      <c r="AB2242" s="2703">
        <v>38400</v>
      </c>
      <c r="AC2242" s="766"/>
      <c r="AD2242" s="766"/>
      <c r="AE2242" s="766"/>
      <c r="AF2242" s="766"/>
      <c r="AG2242" s="766"/>
      <c r="BB2242" s="647"/>
      <c r="BC2242" s="648"/>
      <c r="BD2242" s="757"/>
      <c r="BE2242" s="659"/>
    </row>
    <row r="2243" spans="1:57" s="64" customFormat="1" ht="15" customHeight="1" outlineLevel="1" x14ac:dyDescent="0.25">
      <c r="A2243" s="2463"/>
      <c r="B2243" s="157"/>
      <c r="C2243" s="385"/>
      <c r="D2243" s="3589"/>
      <c r="E2243" s="3721"/>
      <c r="F2243" s="3773" t="str">
        <f>$E$1504</f>
        <v>ASHP - SEER 20 - replace electric furnace / CAC MF_CompE</v>
      </c>
      <c r="G2243" s="3774"/>
      <c r="H2243" s="3774"/>
      <c r="I2243" s="3775"/>
      <c r="J2243" s="3071" t="str">
        <f>$C$1504</f>
        <v>353501_2019_12_</v>
      </c>
      <c r="K2243" s="2703">
        <v>38400</v>
      </c>
      <c r="L2243" s="1811">
        <f t="shared" si="200"/>
        <v>3.2</v>
      </c>
      <c r="M2243" s="2718"/>
      <c r="N2243" s="157"/>
      <c r="O2243" s="277"/>
      <c r="P2243" s="937"/>
      <c r="Q2243" s="937"/>
      <c r="R2243" s="937"/>
      <c r="S2243" s="924"/>
      <c r="T2243" s="1407"/>
      <c r="U2243" s="157"/>
      <c r="V2243" s="3589"/>
      <c r="W2243" s="766"/>
      <c r="X2243" s="766"/>
      <c r="Y2243" s="765">
        <v>38400</v>
      </c>
      <c r="Z2243" s="2426">
        <v>38400</v>
      </c>
      <c r="AA2243" s="2426">
        <v>38400</v>
      </c>
      <c r="AB2243" s="2703">
        <v>38400</v>
      </c>
      <c r="AC2243" s="766"/>
      <c r="AD2243" s="766"/>
      <c r="AE2243" s="766"/>
      <c r="AF2243" s="766"/>
      <c r="AG2243" s="766"/>
      <c r="BB2243" s="647"/>
      <c r="BC2243" s="648"/>
      <c r="BD2243" s="757"/>
      <c r="BE2243" s="659"/>
    </row>
    <row r="2244" spans="1:57" s="64" customFormat="1" ht="15" customHeight="1" outlineLevel="1" x14ac:dyDescent="0.25">
      <c r="A2244" s="2463"/>
      <c r="B2244" s="157"/>
      <c r="C2244" s="385"/>
      <c r="D2244" s="3589"/>
      <c r="E2244" s="3721"/>
      <c r="F2244" s="3773" t="str">
        <f>$E$1506</f>
        <v>ASHP - SEER 21 - replace electric furnace / CAC - early replacement SF ER1</v>
      </c>
      <c r="G2244" s="3774"/>
      <c r="H2244" s="3774"/>
      <c r="I2244" s="3775"/>
      <c r="J2244" s="3071" t="str">
        <f>$C$1506</f>
        <v>353550_2019_12_</v>
      </c>
      <c r="K2244" s="2703">
        <v>37200</v>
      </c>
      <c r="L2244" s="1811">
        <f t="shared" si="200"/>
        <v>3.1</v>
      </c>
      <c r="M2244" s="2718" t="s">
        <v>1503</v>
      </c>
      <c r="N2244" s="157"/>
      <c r="O2244" s="277"/>
      <c r="P2244" s="937"/>
      <c r="Q2244" s="938"/>
      <c r="R2244" s="937"/>
      <c r="S2244" s="924"/>
      <c r="T2244" s="1407"/>
      <c r="U2244" s="157"/>
      <c r="V2244" s="3589"/>
      <c r="W2244" s="766">
        <v>37200</v>
      </c>
      <c r="X2244" s="766">
        <v>37200</v>
      </c>
      <c r="Y2244" s="766">
        <v>37200</v>
      </c>
      <c r="Z2244" s="2426">
        <v>37200</v>
      </c>
      <c r="AA2244" s="2426">
        <v>37200</v>
      </c>
      <c r="AB2244" s="2703">
        <v>37200</v>
      </c>
      <c r="AC2244" s="766"/>
      <c r="AD2244" s="766"/>
      <c r="AE2244" s="766"/>
      <c r="AF2244" s="766"/>
      <c r="AG2244" s="766"/>
      <c r="BB2244" s="647"/>
      <c r="BC2244" s="648"/>
      <c r="BD2244" s="757"/>
      <c r="BE2244" s="659"/>
    </row>
    <row r="2245" spans="1:57" s="64" customFormat="1" ht="15" customHeight="1" outlineLevel="1" x14ac:dyDescent="0.25">
      <c r="A2245" s="2463"/>
      <c r="B2245" s="157"/>
      <c r="C2245" s="385"/>
      <c r="D2245" s="3589"/>
      <c r="E2245" s="3721"/>
      <c r="F2245" s="3773" t="str">
        <f>$E$1508</f>
        <v>ASHP - SEER 21 - replace electric furnace / CAC - early replacement SF ER2</v>
      </c>
      <c r="G2245" s="3774"/>
      <c r="H2245" s="3774"/>
      <c r="I2245" s="3775"/>
      <c r="J2245" s="3071" t="str">
        <f>$C$1508</f>
        <v>353550_2019_12_</v>
      </c>
      <c r="K2245" s="2703">
        <v>37200</v>
      </c>
      <c r="L2245" s="1811">
        <f t="shared" si="200"/>
        <v>3.1</v>
      </c>
      <c r="M2245" s="2718" t="s">
        <v>1503</v>
      </c>
      <c r="N2245" s="157"/>
      <c r="O2245" s="277"/>
      <c r="P2245" s="937"/>
      <c r="Q2245" s="938"/>
      <c r="R2245" s="937"/>
      <c r="S2245" s="924"/>
      <c r="T2245" s="1407"/>
      <c r="U2245" s="157"/>
      <c r="V2245" s="3589"/>
      <c r="W2245" s="766">
        <v>37200</v>
      </c>
      <c r="X2245" s="766">
        <v>37200</v>
      </c>
      <c r="Y2245" s="766">
        <v>37200</v>
      </c>
      <c r="Z2245" s="2426">
        <v>37200</v>
      </c>
      <c r="AA2245" s="2426">
        <v>37200</v>
      </c>
      <c r="AB2245" s="2703">
        <v>37200</v>
      </c>
      <c r="AC2245" s="766"/>
      <c r="AD2245" s="766"/>
      <c r="AE2245" s="766"/>
      <c r="AF2245" s="766"/>
      <c r="AG2245" s="766"/>
      <c r="BB2245" s="647"/>
      <c r="BC2245" s="648"/>
      <c r="BD2245" s="757"/>
      <c r="BE2245" s="659"/>
    </row>
    <row r="2246" spans="1:57" s="64" customFormat="1" ht="15" customHeight="1" outlineLevel="1" x14ac:dyDescent="0.25">
      <c r="A2246" s="2463"/>
      <c r="B2246" s="157"/>
      <c r="C2246" s="385"/>
      <c r="D2246" s="3589"/>
      <c r="E2246" s="3721"/>
      <c r="F2246" s="3773" t="str">
        <f>$E$1510</f>
        <v>ASHP - SEER 21 - replace electric furnace / CAC - early replacement MF ER1</v>
      </c>
      <c r="G2246" s="3774"/>
      <c r="H2246" s="3774"/>
      <c r="I2246" s="3775"/>
      <c r="J2246" s="3071" t="str">
        <f>$C$1510</f>
        <v>353600_2019_12_</v>
      </c>
      <c r="K2246" s="2703">
        <v>37200</v>
      </c>
      <c r="L2246" s="1811">
        <f t="shared" si="200"/>
        <v>3.1</v>
      </c>
      <c r="M2246" s="2718" t="s">
        <v>1503</v>
      </c>
      <c r="N2246" s="157"/>
      <c r="O2246" s="277"/>
      <c r="P2246" s="937"/>
      <c r="Q2246" s="938"/>
      <c r="R2246" s="937"/>
      <c r="S2246" s="924"/>
      <c r="T2246" s="1407"/>
      <c r="U2246" s="157"/>
      <c r="V2246" s="3589"/>
      <c r="W2246" s="766">
        <v>37200</v>
      </c>
      <c r="X2246" s="766">
        <v>37200</v>
      </c>
      <c r="Y2246" s="766">
        <v>37200</v>
      </c>
      <c r="Z2246" s="2426">
        <v>37200</v>
      </c>
      <c r="AA2246" s="2426">
        <v>37200</v>
      </c>
      <c r="AB2246" s="2703">
        <v>37200</v>
      </c>
      <c r="AC2246" s="766"/>
      <c r="AD2246" s="766"/>
      <c r="AE2246" s="766"/>
      <c r="AF2246" s="766"/>
      <c r="AG2246" s="766"/>
      <c r="BB2246" s="647"/>
      <c r="BC2246" s="648"/>
      <c r="BD2246" s="757"/>
      <c r="BE2246" s="659"/>
    </row>
    <row r="2247" spans="1:57" s="64" customFormat="1" ht="15" customHeight="1" outlineLevel="1" x14ac:dyDescent="0.25">
      <c r="A2247" s="2463"/>
      <c r="B2247" s="157"/>
      <c r="C2247" s="385"/>
      <c r="D2247" s="3589"/>
      <c r="E2247" s="3721"/>
      <c r="F2247" s="3773" t="str">
        <f>$E$1512</f>
        <v>ASHP - SEER 21 - replace electric furnace / CAC - early replacement MF ER2</v>
      </c>
      <c r="G2247" s="3774"/>
      <c r="H2247" s="3774"/>
      <c r="I2247" s="3775"/>
      <c r="J2247" s="3071" t="str">
        <f>$C$1512</f>
        <v>353600_2019_12_</v>
      </c>
      <c r="K2247" s="2703">
        <v>37200</v>
      </c>
      <c r="L2247" s="1811">
        <f t="shared" si="200"/>
        <v>3.1</v>
      </c>
      <c r="M2247" s="2718" t="s">
        <v>1503</v>
      </c>
      <c r="N2247" s="157"/>
      <c r="O2247" s="277"/>
      <c r="P2247" s="937"/>
      <c r="Q2247" s="938"/>
      <c r="R2247" s="937"/>
      <c r="S2247" s="924"/>
      <c r="T2247" s="1407"/>
      <c r="U2247" s="157"/>
      <c r="V2247" s="3589"/>
      <c r="W2247" s="766">
        <v>37200</v>
      </c>
      <c r="X2247" s="766">
        <v>37200</v>
      </c>
      <c r="Y2247" s="766">
        <v>37200</v>
      </c>
      <c r="Z2247" s="2426">
        <v>37200</v>
      </c>
      <c r="AA2247" s="2426">
        <v>37200</v>
      </c>
      <c r="AB2247" s="2703">
        <v>37200</v>
      </c>
      <c r="AC2247" s="766"/>
      <c r="AD2247" s="766"/>
      <c r="AE2247" s="766"/>
      <c r="AF2247" s="766"/>
      <c r="AG2247" s="766"/>
      <c r="BB2247" s="647"/>
      <c r="BC2247" s="648"/>
      <c r="BD2247" s="757"/>
      <c r="BE2247" s="659"/>
    </row>
    <row r="2248" spans="1:57" s="64" customFormat="1" ht="15" customHeight="1" outlineLevel="1" x14ac:dyDescent="0.25">
      <c r="A2248" s="2463"/>
      <c r="B2248" s="157"/>
      <c r="C2248" s="385"/>
      <c r="D2248" s="3589"/>
      <c r="E2248" s="3721"/>
      <c r="F2248" s="3773" t="str">
        <f>$E$1514</f>
        <v>ASHP - SEER 21 - replace electric furnace / CAC - early replacement MF ER1_CompE</v>
      </c>
      <c r="G2248" s="3774"/>
      <c r="H2248" s="3774"/>
      <c r="I2248" s="3775"/>
      <c r="J2248" s="3071" t="str">
        <f>$C$1514</f>
        <v>353601_2019_12_</v>
      </c>
      <c r="K2248" s="2703">
        <v>37200</v>
      </c>
      <c r="L2248" s="1811">
        <f t="shared" si="200"/>
        <v>3.1</v>
      </c>
      <c r="M2248" s="2718"/>
      <c r="N2248" s="157"/>
      <c r="O2248" s="277"/>
      <c r="P2248" s="937"/>
      <c r="Q2248" s="938"/>
      <c r="R2248" s="937"/>
      <c r="S2248" s="924"/>
      <c r="T2248" s="1407"/>
      <c r="U2248" s="157"/>
      <c r="V2248" s="3589"/>
      <c r="W2248" s="766"/>
      <c r="X2248" s="766"/>
      <c r="Y2248" s="765">
        <v>37200</v>
      </c>
      <c r="Z2248" s="2426">
        <v>37200</v>
      </c>
      <c r="AA2248" s="2426">
        <v>37200</v>
      </c>
      <c r="AB2248" s="2703">
        <v>37200</v>
      </c>
      <c r="AC2248" s="766"/>
      <c r="AD2248" s="766"/>
      <c r="AE2248" s="766"/>
      <c r="AF2248" s="766"/>
      <c r="AG2248" s="766"/>
      <c r="BB2248" s="647"/>
      <c r="BC2248" s="648"/>
      <c r="BD2248" s="757"/>
      <c r="BE2248" s="659"/>
    </row>
    <row r="2249" spans="1:57" s="64" customFormat="1" ht="15" customHeight="1" outlineLevel="1" x14ac:dyDescent="0.25">
      <c r="A2249" s="2463"/>
      <c r="B2249" s="157"/>
      <c r="C2249" s="385"/>
      <c r="D2249" s="3589"/>
      <c r="E2249" s="3721"/>
      <c r="F2249" s="3773" t="str">
        <f>$E$1516</f>
        <v>ASHP - SEER 21 - replace electric furnace / CAC - early replacement MF ER2_CompE</v>
      </c>
      <c r="G2249" s="3774"/>
      <c r="H2249" s="3774"/>
      <c r="I2249" s="3775"/>
      <c r="J2249" s="3071" t="str">
        <f>$C$1516</f>
        <v>353601_2019_12_</v>
      </c>
      <c r="K2249" s="2703">
        <v>37200</v>
      </c>
      <c r="L2249" s="1811">
        <f t="shared" si="200"/>
        <v>3.1</v>
      </c>
      <c r="M2249" s="2718"/>
      <c r="N2249" s="157"/>
      <c r="O2249" s="277"/>
      <c r="P2249" s="937"/>
      <c r="Q2249" s="938"/>
      <c r="R2249" s="937"/>
      <c r="S2249" s="924"/>
      <c r="T2249" s="1407"/>
      <c r="U2249" s="157"/>
      <c r="V2249" s="3589"/>
      <c r="W2249" s="766"/>
      <c r="X2249" s="766"/>
      <c r="Y2249" s="765">
        <v>37200</v>
      </c>
      <c r="Z2249" s="2426">
        <v>37200</v>
      </c>
      <c r="AA2249" s="2426">
        <v>37200</v>
      </c>
      <c r="AB2249" s="2703">
        <v>37200</v>
      </c>
      <c r="AC2249" s="766"/>
      <c r="AD2249" s="766"/>
      <c r="AE2249" s="766"/>
      <c r="AF2249" s="766"/>
      <c r="AG2249" s="766"/>
      <c r="BB2249" s="647"/>
      <c r="BC2249" s="648"/>
      <c r="BD2249" s="757"/>
      <c r="BE2249" s="659"/>
    </row>
    <row r="2250" spans="1:57" s="64" customFormat="1" ht="15" customHeight="1" outlineLevel="1" x14ac:dyDescent="0.25">
      <c r="A2250" s="2463"/>
      <c r="B2250" s="157"/>
      <c r="C2250" s="385"/>
      <c r="D2250" s="3589"/>
      <c r="E2250" s="3721"/>
      <c r="F2250" s="3773" t="str">
        <f>$E$1518</f>
        <v>ASHP - SEER 21 - replace electric furnace / CAC SF</v>
      </c>
      <c r="G2250" s="3774"/>
      <c r="H2250" s="3774"/>
      <c r="I2250" s="3775"/>
      <c r="J2250" s="3071" t="str">
        <f>$C$1518</f>
        <v>353650_2019_12_</v>
      </c>
      <c r="K2250" s="2703">
        <v>38400</v>
      </c>
      <c r="L2250" s="1811">
        <f t="shared" si="200"/>
        <v>3.2</v>
      </c>
      <c r="M2250" s="2718" t="s">
        <v>1503</v>
      </c>
      <c r="N2250" s="157"/>
      <c r="O2250" s="277"/>
      <c r="P2250" s="937"/>
      <c r="Q2250" s="938"/>
      <c r="R2250" s="937"/>
      <c r="S2250" s="924"/>
      <c r="T2250" s="1407"/>
      <c r="U2250" s="157"/>
      <c r="V2250" s="3589"/>
      <c r="W2250" s="766">
        <v>38400</v>
      </c>
      <c r="X2250" s="766">
        <v>38400</v>
      </c>
      <c r="Y2250" s="766">
        <v>38400</v>
      </c>
      <c r="Z2250" s="2426">
        <v>38400</v>
      </c>
      <c r="AA2250" s="2426">
        <v>38400</v>
      </c>
      <c r="AB2250" s="2703">
        <v>38400</v>
      </c>
      <c r="AC2250" s="766"/>
      <c r="AD2250" s="766"/>
      <c r="AE2250" s="766"/>
      <c r="AF2250" s="766"/>
      <c r="AG2250" s="766"/>
      <c r="BB2250" s="647"/>
      <c r="BC2250" s="648"/>
      <c r="BD2250" s="757"/>
      <c r="BE2250" s="659"/>
    </row>
    <row r="2251" spans="1:57" s="64" customFormat="1" ht="15" customHeight="1" outlineLevel="1" x14ac:dyDescent="0.25">
      <c r="A2251" s="2463"/>
      <c r="B2251" s="157"/>
      <c r="C2251" s="385"/>
      <c r="D2251" s="3589"/>
      <c r="E2251" s="3721"/>
      <c r="F2251" s="3773" t="str">
        <f>$E$1520</f>
        <v>ASHP-  SEER 21+ replace at Fail Elec Resist Furnace MF</v>
      </c>
      <c r="G2251" s="3774"/>
      <c r="H2251" s="3774"/>
      <c r="I2251" s="3775"/>
      <c r="J2251" s="3071" t="str">
        <f>$C$1520</f>
        <v>353700_2019_12_</v>
      </c>
      <c r="K2251" s="2703">
        <v>38400</v>
      </c>
      <c r="L2251" s="1811">
        <f t="shared" si="200"/>
        <v>3.2</v>
      </c>
      <c r="M2251" s="2718" t="s">
        <v>1503</v>
      </c>
      <c r="N2251" s="157"/>
      <c r="O2251" s="277"/>
      <c r="P2251" s="937"/>
      <c r="Q2251" s="938"/>
      <c r="R2251" s="937"/>
      <c r="S2251" s="924"/>
      <c r="T2251" s="1407"/>
      <c r="U2251" s="157"/>
      <c r="V2251" s="3589"/>
      <c r="W2251" s="766">
        <v>38400</v>
      </c>
      <c r="X2251" s="766">
        <v>38400</v>
      </c>
      <c r="Y2251" s="766">
        <v>38400</v>
      </c>
      <c r="Z2251" s="2426">
        <v>38400</v>
      </c>
      <c r="AA2251" s="2426">
        <v>38400</v>
      </c>
      <c r="AB2251" s="2703">
        <v>38400</v>
      </c>
      <c r="AC2251" s="766"/>
      <c r="AD2251" s="766"/>
      <c r="AE2251" s="766"/>
      <c r="AF2251" s="766"/>
      <c r="AG2251" s="766"/>
      <c r="BB2251" s="647"/>
      <c r="BC2251" s="648"/>
      <c r="BD2251" s="757"/>
      <c r="BE2251" s="659"/>
    </row>
    <row r="2252" spans="1:57" s="64" customFormat="1" ht="15" customHeight="1" outlineLevel="1" x14ac:dyDescent="0.25">
      <c r="A2252" s="2463"/>
      <c r="B2252" s="157"/>
      <c r="C2252" s="385"/>
      <c r="D2252" s="3589"/>
      <c r="E2252" s="3721"/>
      <c r="F2252" s="3773" t="str">
        <f>$E$1522</f>
        <v>ASHP-  SEER 21+ replace at Fail Elec Resist Furnace MF_CompE</v>
      </c>
      <c r="G2252" s="3774"/>
      <c r="H2252" s="3774"/>
      <c r="I2252" s="3775"/>
      <c r="J2252" s="3071" t="str">
        <f>$C$1522</f>
        <v>353701_2019_12_</v>
      </c>
      <c r="K2252" s="2703">
        <v>38400</v>
      </c>
      <c r="L2252" s="1811">
        <f t="shared" si="200"/>
        <v>3.2</v>
      </c>
      <c r="M2252" s="2718"/>
      <c r="N2252" s="157"/>
      <c r="O2252" s="277"/>
      <c r="P2252" s="937"/>
      <c r="Q2252" s="938"/>
      <c r="R2252" s="937"/>
      <c r="S2252" s="924"/>
      <c r="T2252" s="1407"/>
      <c r="U2252" s="157"/>
      <c r="V2252" s="3589"/>
      <c r="W2252" s="766"/>
      <c r="X2252" s="766"/>
      <c r="Y2252" s="765">
        <v>38400</v>
      </c>
      <c r="Z2252" s="2426">
        <v>38400</v>
      </c>
      <c r="AA2252" s="2426">
        <v>38400</v>
      </c>
      <c r="AB2252" s="2703">
        <v>38400</v>
      </c>
      <c r="AC2252" s="766"/>
      <c r="AD2252" s="766"/>
      <c r="AE2252" s="766"/>
      <c r="AF2252" s="766"/>
      <c r="AG2252" s="766"/>
      <c r="BB2252" s="647"/>
      <c r="BC2252" s="648"/>
      <c r="BD2252" s="757"/>
      <c r="BE2252" s="659"/>
    </row>
    <row r="2253" spans="1:57" s="64" customFormat="1" ht="15" customHeight="1" outlineLevel="1" x14ac:dyDescent="0.25">
      <c r="A2253" s="1393"/>
      <c r="B2253" s="157"/>
      <c r="C2253" s="385"/>
      <c r="D2253" s="3589"/>
      <c r="E2253" s="3721"/>
      <c r="F2253" s="3773" t="str">
        <f>$E$1524</f>
        <v>ASHP SEER 17 replace ASHP - early replacement SF ER1</v>
      </c>
      <c r="G2253" s="3774"/>
      <c r="H2253" s="3774"/>
      <c r="I2253" s="3775"/>
      <c r="J2253" s="3071" t="str">
        <f>$C$1524</f>
        <v>353750_2019_12_</v>
      </c>
      <c r="K2253" s="2703">
        <v>39600</v>
      </c>
      <c r="L2253" s="1811">
        <f t="shared" si="200"/>
        <v>3.3</v>
      </c>
      <c r="M2253" s="2718" t="s">
        <v>1503</v>
      </c>
      <c r="N2253" s="157"/>
      <c r="O2253" s="277"/>
      <c r="P2253" s="277"/>
      <c r="Q2253" s="277"/>
      <c r="R2253" s="277"/>
      <c r="S2253" s="157"/>
      <c r="T2253" s="157"/>
      <c r="U2253" s="157"/>
      <c r="V2253" s="3589"/>
      <c r="W2253" s="766">
        <v>39600</v>
      </c>
      <c r="X2253" s="766">
        <v>39600</v>
      </c>
      <c r="Y2253" s="766">
        <v>39600</v>
      </c>
      <c r="Z2253" s="2426">
        <v>39600</v>
      </c>
      <c r="AA2253" s="2426">
        <v>39600</v>
      </c>
      <c r="AB2253" s="2703">
        <v>39600</v>
      </c>
      <c r="AC2253" s="766"/>
      <c r="AD2253" s="766"/>
      <c r="AE2253" s="766"/>
      <c r="AF2253" s="766"/>
      <c r="AG2253" s="766"/>
      <c r="BB2253" s="647"/>
      <c r="BC2253" s="648"/>
      <c r="BD2253" s="757"/>
      <c r="BE2253" s="659"/>
    </row>
    <row r="2254" spans="1:57" s="64" customFormat="1" ht="15" customHeight="1" outlineLevel="1" x14ac:dyDescent="0.25">
      <c r="A2254" s="2463"/>
      <c r="B2254" s="157"/>
      <c r="C2254" s="385"/>
      <c r="D2254" s="3589"/>
      <c r="E2254" s="3721"/>
      <c r="F2254" s="3773" t="str">
        <f>$E$1526</f>
        <v>ASHP SEER 17 replace ASHP - early replacement SF ER2</v>
      </c>
      <c r="G2254" s="3774"/>
      <c r="H2254" s="3774"/>
      <c r="I2254" s="3775"/>
      <c r="J2254" s="3071" t="str">
        <f>$C$1526</f>
        <v>353750_2019_12_</v>
      </c>
      <c r="K2254" s="2703">
        <v>39600</v>
      </c>
      <c r="L2254" s="1811">
        <f t="shared" si="200"/>
        <v>3.3</v>
      </c>
      <c r="M2254" s="2718" t="s">
        <v>1503</v>
      </c>
      <c r="N2254" s="157"/>
      <c r="O2254" s="277"/>
      <c r="P2254" s="937"/>
      <c r="Q2254" s="938"/>
      <c r="R2254" s="937"/>
      <c r="S2254" s="924"/>
      <c r="T2254" s="1407"/>
      <c r="U2254" s="157"/>
      <c r="V2254" s="3589"/>
      <c r="W2254" s="766">
        <v>39600</v>
      </c>
      <c r="X2254" s="766">
        <v>39600</v>
      </c>
      <c r="Y2254" s="766">
        <v>39600</v>
      </c>
      <c r="Z2254" s="2426">
        <v>39600</v>
      </c>
      <c r="AA2254" s="2426">
        <v>39600</v>
      </c>
      <c r="AB2254" s="2703">
        <v>39600</v>
      </c>
      <c r="AC2254" s="766"/>
      <c r="AD2254" s="766"/>
      <c r="AE2254" s="766"/>
      <c r="AF2254" s="766"/>
      <c r="AG2254" s="766"/>
      <c r="BB2254" s="647"/>
      <c r="BC2254" s="648"/>
      <c r="BD2254" s="757"/>
      <c r="BE2254" s="659"/>
    </row>
    <row r="2255" spans="1:57" s="64" customFormat="1" ht="15" customHeight="1" outlineLevel="1" x14ac:dyDescent="0.25">
      <c r="A2255" s="1393"/>
      <c r="B2255" s="157"/>
      <c r="C2255" s="385"/>
      <c r="D2255" s="3589"/>
      <c r="E2255" s="3721"/>
      <c r="F2255" s="3773" t="str">
        <f>$E$1528</f>
        <v>ASHP SEER 17 replace ASHP - replace on fail SF</v>
      </c>
      <c r="G2255" s="3774"/>
      <c r="H2255" s="3774"/>
      <c r="I2255" s="3775"/>
      <c r="J2255" s="3071" t="str">
        <f>$C$1528</f>
        <v>353800_2019_12_</v>
      </c>
      <c r="K2255" s="2703">
        <v>39600</v>
      </c>
      <c r="L2255" s="1811">
        <f t="shared" si="200"/>
        <v>3.3</v>
      </c>
      <c r="M2255" s="2718" t="s">
        <v>1503</v>
      </c>
      <c r="N2255" s="157"/>
      <c r="O2255" s="277"/>
      <c r="P2255" s="277"/>
      <c r="Q2255" s="277"/>
      <c r="R2255" s="277"/>
      <c r="S2255" s="157"/>
      <c r="T2255" s="157"/>
      <c r="U2255" s="157"/>
      <c r="V2255" s="3589"/>
      <c r="W2255" s="766">
        <v>39600</v>
      </c>
      <c r="X2255" s="766">
        <v>39600</v>
      </c>
      <c r="Y2255" s="766">
        <v>39600</v>
      </c>
      <c r="Z2255" s="2426">
        <v>39600</v>
      </c>
      <c r="AA2255" s="2426">
        <v>39600</v>
      </c>
      <c r="AB2255" s="2703">
        <v>39600</v>
      </c>
      <c r="AC2255" s="766"/>
      <c r="AD2255" s="766"/>
      <c r="AE2255" s="766"/>
      <c r="AF2255" s="766"/>
      <c r="AG2255" s="766"/>
      <c r="BB2255" s="647"/>
      <c r="BC2255" s="648"/>
      <c r="BD2255" s="757"/>
      <c r="BE2255" s="659"/>
    </row>
    <row r="2256" spans="1:57" s="64" customFormat="1" ht="15" customHeight="1" outlineLevel="1" x14ac:dyDescent="0.25">
      <c r="A2256" s="2463"/>
      <c r="B2256" s="157"/>
      <c r="C2256" s="385"/>
      <c r="D2256" s="3589"/>
      <c r="E2256" s="3721"/>
      <c r="F2256" s="3773" t="str">
        <f>$E$1530</f>
        <v>ASHP SEER 18 replace ASHP - early replacement SF ER1</v>
      </c>
      <c r="G2256" s="3774"/>
      <c r="H2256" s="3774"/>
      <c r="I2256" s="3775"/>
      <c r="J2256" s="3071" t="str">
        <f>$C$1530</f>
        <v>353850_2019_12_</v>
      </c>
      <c r="K2256" s="2703">
        <v>42600</v>
      </c>
      <c r="L2256" s="1811">
        <f t="shared" si="200"/>
        <v>3.55</v>
      </c>
      <c r="M2256" s="2675" t="s">
        <v>3674</v>
      </c>
      <c r="N2256" s="157"/>
      <c r="O2256" s="277"/>
      <c r="P2256" s="937"/>
      <c r="Q2256" s="938"/>
      <c r="R2256" s="937"/>
      <c r="S2256" s="924"/>
      <c r="T2256" s="1407"/>
      <c r="U2256" s="157"/>
      <c r="V2256" s="3589"/>
      <c r="W2256" s="766">
        <v>39600</v>
      </c>
      <c r="X2256" s="766">
        <v>39600</v>
      </c>
      <c r="Y2256" s="766">
        <v>39600</v>
      </c>
      <c r="Z2256" s="2426">
        <v>39600</v>
      </c>
      <c r="AA2256" s="2426">
        <v>39600</v>
      </c>
      <c r="AB2256" s="2660">
        <v>42600</v>
      </c>
      <c r="AC2256" s="766"/>
      <c r="AD2256" s="766"/>
      <c r="AE2256" s="766"/>
      <c r="AF2256" s="766"/>
      <c r="AG2256" s="766"/>
      <c r="BB2256" s="647"/>
      <c r="BC2256" s="648"/>
      <c r="BD2256" s="757"/>
      <c r="BE2256" s="659"/>
    </row>
    <row r="2257" spans="1:57" s="64" customFormat="1" ht="15" customHeight="1" outlineLevel="1" x14ac:dyDescent="0.25">
      <c r="A2257" s="1393"/>
      <c r="B2257" s="157"/>
      <c r="C2257" s="385"/>
      <c r="D2257" s="3589"/>
      <c r="E2257" s="3721"/>
      <c r="F2257" s="3773" t="str">
        <f>$E$1532</f>
        <v>ASHP SEER 18 replace ASHP - early replacement SF ER2</v>
      </c>
      <c r="G2257" s="3774"/>
      <c r="H2257" s="3774"/>
      <c r="I2257" s="3775"/>
      <c r="J2257" s="3071" t="str">
        <f>$C$1532</f>
        <v>353850_2019_12_</v>
      </c>
      <c r="K2257" s="2703">
        <f>K2256</f>
        <v>42600</v>
      </c>
      <c r="L2257" s="1811">
        <f t="shared" si="200"/>
        <v>3.55</v>
      </c>
      <c r="M2257" s="2675" t="s">
        <v>3674</v>
      </c>
      <c r="N2257" s="157"/>
      <c r="O2257" s="277"/>
      <c r="P2257" s="277"/>
      <c r="Q2257" s="277"/>
      <c r="R2257" s="277"/>
      <c r="S2257" s="157"/>
      <c r="T2257" s="157"/>
      <c r="U2257" s="157"/>
      <c r="V2257" s="3589"/>
      <c r="W2257" s="766">
        <v>39600</v>
      </c>
      <c r="X2257" s="766">
        <v>39600</v>
      </c>
      <c r="Y2257" s="766">
        <v>39600</v>
      </c>
      <c r="Z2257" s="2426">
        <v>39600</v>
      </c>
      <c r="AA2257" s="2426">
        <v>39600</v>
      </c>
      <c r="AB2257" s="2660">
        <v>42600</v>
      </c>
      <c r="AC2257" s="766"/>
      <c r="AD2257" s="766"/>
      <c r="AE2257" s="766"/>
      <c r="AF2257" s="766"/>
      <c r="AG2257" s="766"/>
      <c r="BB2257" s="647"/>
      <c r="BC2257" s="648"/>
      <c r="BD2257" s="757"/>
      <c r="BE2257" s="659"/>
    </row>
    <row r="2258" spans="1:57" s="64" customFormat="1" ht="15" customHeight="1" outlineLevel="1" x14ac:dyDescent="0.25">
      <c r="A2258" s="2463"/>
      <c r="B2258" s="157"/>
      <c r="C2258" s="385"/>
      <c r="D2258" s="3589"/>
      <c r="E2258" s="3721"/>
      <c r="F2258" s="3773" t="str">
        <f>$E$1534</f>
        <v>ASHP - SEER 18 - replace on fail SF</v>
      </c>
      <c r="G2258" s="3774"/>
      <c r="H2258" s="3774"/>
      <c r="I2258" s="3775"/>
      <c r="J2258" s="3071" t="str">
        <f>$C$1534</f>
        <v>353950_2019_12_</v>
      </c>
      <c r="K2258" s="2703">
        <v>39600</v>
      </c>
      <c r="L2258" s="1811">
        <f t="shared" si="200"/>
        <v>3.3</v>
      </c>
      <c r="M2258" s="2718" t="s">
        <v>1503</v>
      </c>
      <c r="N2258" s="157"/>
      <c r="O2258" s="277"/>
      <c r="P2258" s="937"/>
      <c r="Q2258" s="938"/>
      <c r="R2258" s="937"/>
      <c r="S2258" s="924"/>
      <c r="T2258" s="1407"/>
      <c r="U2258" s="157"/>
      <c r="V2258" s="3589"/>
      <c r="W2258" s="766">
        <v>39600</v>
      </c>
      <c r="X2258" s="766">
        <v>39600</v>
      </c>
      <c r="Y2258" s="766">
        <v>39600</v>
      </c>
      <c r="Z2258" s="2426">
        <v>39600</v>
      </c>
      <c r="AA2258" s="2426">
        <v>39600</v>
      </c>
      <c r="AB2258" s="2703">
        <v>39600</v>
      </c>
      <c r="AC2258" s="766"/>
      <c r="AD2258" s="766"/>
      <c r="AE2258" s="766"/>
      <c r="AF2258" s="766"/>
      <c r="AG2258" s="766"/>
      <c r="BB2258" s="647"/>
      <c r="BC2258" s="648"/>
      <c r="BD2258" s="757"/>
      <c r="BE2258" s="659"/>
    </row>
    <row r="2259" spans="1:57" s="64" customFormat="1" ht="15" customHeight="1" outlineLevel="1" x14ac:dyDescent="0.25">
      <c r="A2259" s="2463"/>
      <c r="B2259" s="157"/>
      <c r="C2259" s="385"/>
      <c r="D2259" s="3589"/>
      <c r="E2259" s="3721"/>
      <c r="F2259" s="3773" t="str">
        <f>$E$1536</f>
        <v>ASHP SEER 19 replace ASHP - early replacement SF ER1</v>
      </c>
      <c r="G2259" s="3774"/>
      <c r="H2259" s="3774"/>
      <c r="I2259" s="3775"/>
      <c r="J2259" s="3071" t="str">
        <f>$C$1536</f>
        <v>354000_2019_12_</v>
      </c>
      <c r="K2259" s="2703">
        <v>39600</v>
      </c>
      <c r="L2259" s="1811">
        <f t="shared" si="200"/>
        <v>3.3</v>
      </c>
      <c r="M2259" s="2718" t="s">
        <v>1503</v>
      </c>
      <c r="N2259" s="157"/>
      <c r="O2259" s="277"/>
      <c r="P2259" s="937"/>
      <c r="Q2259" s="938"/>
      <c r="R2259" s="937"/>
      <c r="S2259" s="924"/>
      <c r="T2259" s="1407"/>
      <c r="U2259" s="157"/>
      <c r="V2259" s="3589"/>
      <c r="W2259" s="766">
        <v>39600</v>
      </c>
      <c r="X2259" s="766">
        <v>39600</v>
      </c>
      <c r="Y2259" s="766">
        <v>39600</v>
      </c>
      <c r="Z2259" s="2426">
        <v>39600</v>
      </c>
      <c r="AA2259" s="2426">
        <v>39600</v>
      </c>
      <c r="AB2259" s="2703">
        <v>39600</v>
      </c>
      <c r="AC2259" s="766"/>
      <c r="AD2259" s="766"/>
      <c r="AE2259" s="766"/>
      <c r="AF2259" s="766"/>
      <c r="AG2259" s="766"/>
      <c r="BB2259" s="647"/>
      <c r="BC2259" s="648"/>
      <c r="BD2259" s="757"/>
      <c r="BE2259" s="659"/>
    </row>
    <row r="2260" spans="1:57" s="64" customFormat="1" ht="15" customHeight="1" outlineLevel="1" x14ac:dyDescent="0.25">
      <c r="A2260" s="1393"/>
      <c r="B2260" s="157"/>
      <c r="C2260" s="385"/>
      <c r="D2260" s="3589"/>
      <c r="E2260" s="3721"/>
      <c r="F2260" s="3773" t="str">
        <f>$E$1538</f>
        <v>ASHP SEER 19 replace ASHP - early replacement SF ER2</v>
      </c>
      <c r="G2260" s="3774"/>
      <c r="H2260" s="3774"/>
      <c r="I2260" s="3775"/>
      <c r="J2260" s="3071" t="str">
        <f>$C$1538</f>
        <v>354000_2019_12_</v>
      </c>
      <c r="K2260" s="2703">
        <v>39600</v>
      </c>
      <c r="L2260" s="1811">
        <f t="shared" ref="L2260:L2320" si="201">K2260/12000</f>
        <v>3.3</v>
      </c>
      <c r="M2260" s="2718" t="s">
        <v>1503</v>
      </c>
      <c r="N2260" s="157"/>
      <c r="O2260" s="277"/>
      <c r="P2260" s="277"/>
      <c r="Q2260" s="277"/>
      <c r="R2260" s="277"/>
      <c r="S2260" s="157"/>
      <c r="T2260" s="157"/>
      <c r="U2260" s="157"/>
      <c r="V2260" s="3589"/>
      <c r="W2260" s="766">
        <v>39600</v>
      </c>
      <c r="X2260" s="766">
        <v>39600</v>
      </c>
      <c r="Y2260" s="766">
        <v>39600</v>
      </c>
      <c r="Z2260" s="2426">
        <v>39600</v>
      </c>
      <c r="AA2260" s="2426">
        <v>39600</v>
      </c>
      <c r="AB2260" s="2703">
        <v>39600</v>
      </c>
      <c r="AC2260" s="766"/>
      <c r="AD2260" s="766"/>
      <c r="AE2260" s="766"/>
      <c r="AF2260" s="766"/>
      <c r="AG2260" s="766"/>
      <c r="BB2260" s="647"/>
      <c r="BC2260" s="648"/>
      <c r="BD2260" s="757"/>
      <c r="BE2260" s="659"/>
    </row>
    <row r="2261" spans="1:57" s="64" customFormat="1" ht="15" customHeight="1" outlineLevel="1" x14ac:dyDescent="0.25">
      <c r="A2261" s="1393"/>
      <c r="B2261" s="157"/>
      <c r="C2261" s="385"/>
      <c r="D2261" s="3589"/>
      <c r="E2261" s="3721"/>
      <c r="F2261" s="3773" t="str">
        <f>$E$1540</f>
        <v>ASHP SEER 19 replace ASHP - replace on fail SF</v>
      </c>
      <c r="G2261" s="3774"/>
      <c r="H2261" s="3774"/>
      <c r="I2261" s="3775"/>
      <c r="J2261" s="3071" t="str">
        <f>$C$1540</f>
        <v>354050_2019_12_</v>
      </c>
      <c r="K2261" s="2703">
        <v>39600</v>
      </c>
      <c r="L2261" s="1811">
        <f t="shared" si="201"/>
        <v>3.3</v>
      </c>
      <c r="M2261" s="2718" t="s">
        <v>1503</v>
      </c>
      <c r="N2261" s="157"/>
      <c r="O2261" s="277"/>
      <c r="P2261" s="277"/>
      <c r="Q2261" s="277"/>
      <c r="R2261" s="277"/>
      <c r="S2261" s="157"/>
      <c r="T2261" s="157"/>
      <c r="U2261" s="157"/>
      <c r="V2261" s="3589"/>
      <c r="W2261" s="766">
        <v>39600</v>
      </c>
      <c r="X2261" s="766">
        <v>39600</v>
      </c>
      <c r="Y2261" s="766">
        <v>39600</v>
      </c>
      <c r="Z2261" s="2426">
        <v>39600</v>
      </c>
      <c r="AA2261" s="2426">
        <v>39600</v>
      </c>
      <c r="AB2261" s="2703">
        <v>39600</v>
      </c>
      <c r="AC2261" s="766"/>
      <c r="AD2261" s="766"/>
      <c r="AE2261" s="766"/>
      <c r="AF2261" s="766"/>
      <c r="AG2261" s="766"/>
      <c r="BB2261" s="647"/>
      <c r="BC2261" s="648"/>
      <c r="BD2261" s="757"/>
      <c r="BE2261" s="659"/>
    </row>
    <row r="2262" spans="1:57" s="64" customFormat="1" ht="15" customHeight="1" outlineLevel="1" x14ac:dyDescent="0.25">
      <c r="A2262" s="1393"/>
      <c r="B2262" s="157"/>
      <c r="C2262" s="385"/>
      <c r="D2262" s="3589"/>
      <c r="E2262" s="3721"/>
      <c r="F2262" s="3773" t="str">
        <f>$E$1542</f>
        <v>ASHP - SEER 17 - replace electric furnace / CAC - early replacement SF ER1</v>
      </c>
      <c r="G2262" s="3774"/>
      <c r="H2262" s="3774"/>
      <c r="I2262" s="3775"/>
      <c r="J2262" s="3071" t="str">
        <f>$C$1542</f>
        <v>354100_2019_12_</v>
      </c>
      <c r="K2262" s="2703">
        <v>37200</v>
      </c>
      <c r="L2262" s="1811">
        <f t="shared" si="201"/>
        <v>3.1</v>
      </c>
      <c r="M2262" s="2718"/>
      <c r="N2262" s="157"/>
      <c r="O2262" s="277"/>
      <c r="P2262" s="277"/>
      <c r="Q2262" s="277"/>
      <c r="R2262" s="277"/>
      <c r="S2262" s="157"/>
      <c r="T2262" s="157"/>
      <c r="U2262" s="157"/>
      <c r="V2262" s="3589"/>
      <c r="W2262" s="766">
        <v>37200</v>
      </c>
      <c r="X2262" s="766">
        <v>37200</v>
      </c>
      <c r="Y2262" s="766">
        <v>37200</v>
      </c>
      <c r="Z2262" s="2426">
        <v>37200</v>
      </c>
      <c r="AA2262" s="2426">
        <v>37200</v>
      </c>
      <c r="AB2262" s="2703">
        <v>37200</v>
      </c>
      <c r="AC2262" s="766"/>
      <c r="AD2262" s="766"/>
      <c r="AE2262" s="766"/>
      <c r="AF2262" s="766"/>
      <c r="AG2262" s="766"/>
      <c r="BB2262" s="647"/>
      <c r="BC2262" s="648"/>
      <c r="BD2262" s="757"/>
      <c r="BE2262" s="659"/>
    </row>
    <row r="2263" spans="1:57" s="64" customFormat="1" ht="15" customHeight="1" outlineLevel="1" x14ac:dyDescent="0.25">
      <c r="A2263" s="1393"/>
      <c r="B2263" s="157"/>
      <c r="C2263" s="385"/>
      <c r="D2263" s="3589"/>
      <c r="E2263" s="3721"/>
      <c r="F2263" s="3773" t="str">
        <f>$E$1544</f>
        <v>ASHP - SEER 17 - replace electric furnace / CAC - early replacement SF ER2</v>
      </c>
      <c r="G2263" s="3774"/>
      <c r="H2263" s="3774"/>
      <c r="I2263" s="3775"/>
      <c r="J2263" s="3071" t="str">
        <f>$C$1544</f>
        <v>354100_2019_12_</v>
      </c>
      <c r="K2263" s="2703">
        <v>37200</v>
      </c>
      <c r="L2263" s="1811">
        <f t="shared" si="201"/>
        <v>3.1</v>
      </c>
      <c r="M2263" s="2718"/>
      <c r="N2263" s="157"/>
      <c r="O2263" s="277"/>
      <c r="P2263" s="277"/>
      <c r="Q2263" s="277"/>
      <c r="R2263" s="277"/>
      <c r="S2263" s="157"/>
      <c r="T2263" s="157"/>
      <c r="U2263" s="157"/>
      <c r="V2263" s="3589"/>
      <c r="W2263" s="766">
        <v>37200</v>
      </c>
      <c r="X2263" s="766">
        <v>37200</v>
      </c>
      <c r="Y2263" s="766">
        <v>37200</v>
      </c>
      <c r="Z2263" s="2426">
        <v>37200</v>
      </c>
      <c r="AA2263" s="2426">
        <v>37200</v>
      </c>
      <c r="AB2263" s="2703">
        <v>37200</v>
      </c>
      <c r="AC2263" s="766"/>
      <c r="AD2263" s="766"/>
      <c r="AE2263" s="766"/>
      <c r="AF2263" s="766"/>
      <c r="AG2263" s="766"/>
      <c r="BB2263" s="647"/>
      <c r="BC2263" s="648"/>
      <c r="BD2263" s="757"/>
      <c r="BE2263" s="659"/>
    </row>
    <row r="2264" spans="1:57" s="64" customFormat="1" ht="15" customHeight="1" outlineLevel="1" x14ac:dyDescent="0.25">
      <c r="A2264" s="1393"/>
      <c r="B2264" s="157"/>
      <c r="C2264" s="385"/>
      <c r="D2264" s="3589"/>
      <c r="E2264" s="3721"/>
      <c r="F2264" s="3773" t="str">
        <f>$E$1546</f>
        <v>ASHP - SEER 17 - replace electric furnace / CAC - early replacement MF ER1</v>
      </c>
      <c r="G2264" s="3774"/>
      <c r="H2264" s="3774"/>
      <c r="I2264" s="3775"/>
      <c r="J2264" s="3071" t="str">
        <f>$C$1546</f>
        <v>354150_2019_12_</v>
      </c>
      <c r="K2264" s="2703">
        <v>37200</v>
      </c>
      <c r="L2264" s="1811">
        <f t="shared" si="201"/>
        <v>3.1</v>
      </c>
      <c r="M2264" s="2718"/>
      <c r="N2264" s="157"/>
      <c r="O2264" s="277"/>
      <c r="P2264" s="277"/>
      <c r="Q2264" s="277"/>
      <c r="R2264" s="277"/>
      <c r="S2264" s="157"/>
      <c r="T2264" s="157"/>
      <c r="U2264" s="157"/>
      <c r="V2264" s="3589"/>
      <c r="W2264" s="766">
        <v>37200</v>
      </c>
      <c r="X2264" s="766">
        <v>37200</v>
      </c>
      <c r="Y2264" s="766">
        <v>37200</v>
      </c>
      <c r="Z2264" s="2426">
        <v>37200</v>
      </c>
      <c r="AA2264" s="2426">
        <v>37200</v>
      </c>
      <c r="AB2264" s="2703">
        <v>37200</v>
      </c>
      <c r="AC2264" s="766"/>
      <c r="AD2264" s="766"/>
      <c r="AE2264" s="766"/>
      <c r="AF2264" s="766"/>
      <c r="AG2264" s="766"/>
      <c r="BB2264" s="647"/>
      <c r="BC2264" s="648"/>
      <c r="BD2264" s="757"/>
      <c r="BE2264" s="659"/>
    </row>
    <row r="2265" spans="1:57" s="64" customFormat="1" ht="15" customHeight="1" outlineLevel="1" x14ac:dyDescent="0.25">
      <c r="A2265" s="1393"/>
      <c r="B2265" s="157"/>
      <c r="C2265" s="385"/>
      <c r="D2265" s="3589"/>
      <c r="E2265" s="3721"/>
      <c r="F2265" s="3773" t="str">
        <f>$E$1548</f>
        <v>ASHP - SEER 17 - replace electric furnace / CAC - early replacement MF ER2</v>
      </c>
      <c r="G2265" s="3774"/>
      <c r="H2265" s="3774"/>
      <c r="I2265" s="3775"/>
      <c r="J2265" s="3071" t="str">
        <f>$C$1548</f>
        <v>354150_2019_12_</v>
      </c>
      <c r="K2265" s="2703">
        <v>37200</v>
      </c>
      <c r="L2265" s="1811">
        <f t="shared" si="201"/>
        <v>3.1</v>
      </c>
      <c r="M2265" s="2718"/>
      <c r="N2265" s="157"/>
      <c r="O2265" s="277"/>
      <c r="P2265" s="277"/>
      <c r="Q2265" s="277"/>
      <c r="R2265" s="277"/>
      <c r="S2265" s="157"/>
      <c r="T2265" s="157"/>
      <c r="U2265" s="157"/>
      <c r="V2265" s="3589"/>
      <c r="W2265" s="766">
        <v>37200</v>
      </c>
      <c r="X2265" s="766">
        <v>37200</v>
      </c>
      <c r="Y2265" s="766">
        <v>37200</v>
      </c>
      <c r="Z2265" s="2426">
        <v>37200</v>
      </c>
      <c r="AA2265" s="2426">
        <v>37200</v>
      </c>
      <c r="AB2265" s="2703">
        <v>37200</v>
      </c>
      <c r="AC2265" s="766"/>
      <c r="AD2265" s="766"/>
      <c r="AE2265" s="766"/>
      <c r="AF2265" s="766"/>
      <c r="AG2265" s="766"/>
      <c r="BB2265" s="647"/>
      <c r="BC2265" s="648"/>
      <c r="BD2265" s="757"/>
      <c r="BE2265" s="659"/>
    </row>
    <row r="2266" spans="1:57" s="64" customFormat="1" ht="15" customHeight="1" outlineLevel="1" x14ac:dyDescent="0.25">
      <c r="A2266" s="1393"/>
      <c r="B2266" s="157"/>
      <c r="C2266" s="385"/>
      <c r="D2266" s="3589"/>
      <c r="E2266" s="3721"/>
      <c r="F2266" s="3773" t="str">
        <f>$E$1550</f>
        <v>ASHP - SEER 17 - replace electric furnace / CAC - early replacement MF ER1_CompE</v>
      </c>
      <c r="G2266" s="3774"/>
      <c r="H2266" s="3774"/>
      <c r="I2266" s="3775"/>
      <c r="J2266" s="3071" t="str">
        <f>$C$1550</f>
        <v>354151_2019_12_</v>
      </c>
      <c r="K2266" s="2703">
        <v>37200</v>
      </c>
      <c r="L2266" s="1811">
        <f t="shared" si="201"/>
        <v>3.1</v>
      </c>
      <c r="M2266" s="2718"/>
      <c r="N2266" s="157"/>
      <c r="O2266" s="277"/>
      <c r="P2266" s="277"/>
      <c r="Q2266" s="277"/>
      <c r="R2266" s="277"/>
      <c r="S2266" s="157"/>
      <c r="T2266" s="157"/>
      <c r="U2266" s="157"/>
      <c r="V2266" s="3589"/>
      <c r="W2266" s="766"/>
      <c r="X2266" s="766"/>
      <c r="Y2266" s="765">
        <v>37200</v>
      </c>
      <c r="Z2266" s="2426">
        <v>37200</v>
      </c>
      <c r="AA2266" s="2426">
        <v>37200</v>
      </c>
      <c r="AB2266" s="2703">
        <v>37200</v>
      </c>
      <c r="AC2266" s="766"/>
      <c r="AD2266" s="766"/>
      <c r="AE2266" s="766"/>
      <c r="AF2266" s="766"/>
      <c r="AG2266" s="766"/>
      <c r="BB2266" s="647"/>
      <c r="BC2266" s="648"/>
      <c r="BD2266" s="757"/>
      <c r="BE2266" s="659"/>
    </row>
    <row r="2267" spans="1:57" s="64" customFormat="1" ht="15" customHeight="1" outlineLevel="1" x14ac:dyDescent="0.25">
      <c r="A2267" s="1393"/>
      <c r="B2267" s="157"/>
      <c r="C2267" s="385"/>
      <c r="D2267" s="3589"/>
      <c r="E2267" s="3721"/>
      <c r="F2267" s="3773" t="str">
        <f>$E$1552</f>
        <v>ASHP - SEER 17 - replace electric furnace / CAC - early replacement MF ER2_CompE</v>
      </c>
      <c r="G2267" s="3774"/>
      <c r="H2267" s="3774"/>
      <c r="I2267" s="3775"/>
      <c r="J2267" s="3071" t="str">
        <f>$C$1552</f>
        <v>354151_2019_12_</v>
      </c>
      <c r="K2267" s="2703">
        <v>37200</v>
      </c>
      <c r="L2267" s="1811">
        <f t="shared" si="201"/>
        <v>3.1</v>
      </c>
      <c r="M2267" s="2718"/>
      <c r="N2267" s="157"/>
      <c r="O2267" s="277"/>
      <c r="P2267" s="277"/>
      <c r="Q2267" s="277"/>
      <c r="R2267" s="277"/>
      <c r="S2267" s="157"/>
      <c r="T2267" s="157"/>
      <c r="U2267" s="157"/>
      <c r="V2267" s="3589"/>
      <c r="W2267" s="766"/>
      <c r="X2267" s="766"/>
      <c r="Y2267" s="765">
        <v>37200</v>
      </c>
      <c r="Z2267" s="2426">
        <v>37200</v>
      </c>
      <c r="AA2267" s="2426">
        <v>37200</v>
      </c>
      <c r="AB2267" s="2703">
        <v>37200</v>
      </c>
      <c r="AC2267" s="766"/>
      <c r="AD2267" s="766"/>
      <c r="AE2267" s="766"/>
      <c r="AF2267" s="766"/>
      <c r="AG2267" s="766"/>
      <c r="BB2267" s="647"/>
      <c r="BC2267" s="648"/>
      <c r="BD2267" s="757"/>
      <c r="BE2267" s="659"/>
    </row>
    <row r="2268" spans="1:57" s="64" customFormat="1" ht="15" customHeight="1" outlineLevel="1" x14ac:dyDescent="0.25">
      <c r="A2268" s="1393"/>
      <c r="B2268" s="157"/>
      <c r="C2268" s="385"/>
      <c r="D2268" s="3589"/>
      <c r="E2268" s="3721"/>
      <c r="F2268" s="3773" t="str">
        <f>$E$1554</f>
        <v>ASHP SEER 17 replace ASHP - early replacement MF ER1</v>
      </c>
      <c r="G2268" s="3774"/>
      <c r="H2268" s="3774"/>
      <c r="I2268" s="3775"/>
      <c r="J2268" s="3071" t="str">
        <f>$C$1554</f>
        <v>354200_2019_12_</v>
      </c>
      <c r="K2268" s="2703">
        <v>39600</v>
      </c>
      <c r="L2268" s="1811">
        <f t="shared" si="201"/>
        <v>3.3</v>
      </c>
      <c r="M2268" s="2718"/>
      <c r="N2268" s="157"/>
      <c r="O2268" s="277"/>
      <c r="P2268" s="277"/>
      <c r="Q2268" s="277"/>
      <c r="R2268" s="277"/>
      <c r="S2268" s="157"/>
      <c r="T2268" s="157"/>
      <c r="U2268" s="157"/>
      <c r="V2268" s="3589"/>
      <c r="W2268" s="766">
        <v>39600</v>
      </c>
      <c r="X2268" s="766">
        <v>39600</v>
      </c>
      <c r="Y2268" s="766">
        <v>39600</v>
      </c>
      <c r="Z2268" s="2426">
        <v>39600</v>
      </c>
      <c r="AA2268" s="2426">
        <v>39600</v>
      </c>
      <c r="AB2268" s="2703">
        <v>39600</v>
      </c>
      <c r="AC2268" s="766"/>
      <c r="AD2268" s="766"/>
      <c r="AE2268" s="766"/>
      <c r="AF2268" s="766"/>
      <c r="AG2268" s="766"/>
      <c r="BB2268" s="647"/>
      <c r="BC2268" s="648"/>
      <c r="BD2268" s="757"/>
      <c r="BE2268" s="659"/>
    </row>
    <row r="2269" spans="1:57" s="64" customFormat="1" ht="15" customHeight="1" outlineLevel="1" x14ac:dyDescent="0.25">
      <c r="A2269" s="1393"/>
      <c r="B2269" s="157"/>
      <c r="C2269" s="385"/>
      <c r="D2269" s="3589"/>
      <c r="E2269" s="3721"/>
      <c r="F2269" s="3773" t="str">
        <f>$E$1556</f>
        <v>ASHP SEER 17 replace ASHP - early replacement MF ER2</v>
      </c>
      <c r="G2269" s="3774"/>
      <c r="H2269" s="3774"/>
      <c r="I2269" s="3775"/>
      <c r="J2269" s="3071" t="str">
        <f>$C$1556</f>
        <v>354200_2019_12_</v>
      </c>
      <c r="K2269" s="2703">
        <v>39600</v>
      </c>
      <c r="L2269" s="1811">
        <f t="shared" si="201"/>
        <v>3.3</v>
      </c>
      <c r="M2269" s="2718"/>
      <c r="N2269" s="157"/>
      <c r="O2269" s="277"/>
      <c r="P2269" s="277"/>
      <c r="Q2269" s="277"/>
      <c r="R2269" s="277"/>
      <c r="S2269" s="157"/>
      <c r="T2269" s="157"/>
      <c r="U2269" s="157"/>
      <c r="V2269" s="3589"/>
      <c r="W2269" s="766">
        <v>39600</v>
      </c>
      <c r="X2269" s="766">
        <v>39600</v>
      </c>
      <c r="Y2269" s="766">
        <v>39600</v>
      </c>
      <c r="Z2269" s="2426">
        <v>39600</v>
      </c>
      <c r="AA2269" s="2426">
        <v>39600</v>
      </c>
      <c r="AB2269" s="2703">
        <v>39600</v>
      </c>
      <c r="AC2269" s="766"/>
      <c r="AD2269" s="766"/>
      <c r="AE2269" s="766"/>
      <c r="AF2269" s="766"/>
      <c r="AG2269" s="766"/>
      <c r="BB2269" s="647"/>
      <c r="BC2269" s="648"/>
      <c r="BD2269" s="757"/>
      <c r="BE2269" s="659"/>
    </row>
    <row r="2270" spans="1:57" s="64" customFormat="1" ht="15" customHeight="1" outlineLevel="1" x14ac:dyDescent="0.25">
      <c r="A2270" s="1393"/>
      <c r="B2270" s="157"/>
      <c r="C2270" s="385"/>
      <c r="D2270" s="3589"/>
      <c r="E2270" s="3721"/>
      <c r="F2270" s="3773" t="str">
        <f>$E$1558</f>
        <v>ASHP SEER 17 replace ASHP - early replacement MF ER1_CompE</v>
      </c>
      <c r="G2270" s="3774"/>
      <c r="H2270" s="3774"/>
      <c r="I2270" s="3775"/>
      <c r="J2270" s="3071" t="str">
        <f>$C$1558</f>
        <v>354201_2019_12_</v>
      </c>
      <c r="K2270" s="2703">
        <v>39600</v>
      </c>
      <c r="L2270" s="1811">
        <f t="shared" si="201"/>
        <v>3.3</v>
      </c>
      <c r="M2270" s="2718"/>
      <c r="N2270" s="157"/>
      <c r="O2270" s="277"/>
      <c r="P2270" s="277"/>
      <c r="Q2270" s="277"/>
      <c r="R2270" s="277"/>
      <c r="S2270" s="157"/>
      <c r="T2270" s="157"/>
      <c r="U2270" s="157"/>
      <c r="V2270" s="3589"/>
      <c r="W2270" s="766"/>
      <c r="X2270" s="766"/>
      <c r="Y2270" s="765">
        <v>39600</v>
      </c>
      <c r="Z2270" s="2426">
        <v>39600</v>
      </c>
      <c r="AA2270" s="2426">
        <v>39600</v>
      </c>
      <c r="AB2270" s="2703">
        <v>39600</v>
      </c>
      <c r="AC2270" s="766"/>
      <c r="AD2270" s="766"/>
      <c r="AE2270" s="766"/>
      <c r="AF2270" s="766"/>
      <c r="AG2270" s="766"/>
      <c r="BB2270" s="647"/>
      <c r="BC2270" s="648"/>
      <c r="BD2270" s="757"/>
      <c r="BE2270" s="659"/>
    </row>
    <row r="2271" spans="1:57" s="64" customFormat="1" ht="15" customHeight="1" outlineLevel="1" x14ac:dyDescent="0.25">
      <c r="A2271" s="1393"/>
      <c r="B2271" s="157"/>
      <c r="C2271" s="385"/>
      <c r="D2271" s="3589"/>
      <c r="E2271" s="3721"/>
      <c r="F2271" s="3773" t="str">
        <f>$E$1560</f>
        <v>ASHP SEER 17 replace ASHP - early replacement MF ER2_CompE</v>
      </c>
      <c r="G2271" s="3774"/>
      <c r="H2271" s="3774"/>
      <c r="I2271" s="3775"/>
      <c r="J2271" s="3071" t="str">
        <f>$C$1560</f>
        <v>354201_2019_12_</v>
      </c>
      <c r="K2271" s="2703">
        <v>39600</v>
      </c>
      <c r="L2271" s="1811">
        <f t="shared" si="201"/>
        <v>3.3</v>
      </c>
      <c r="M2271" s="2718"/>
      <c r="N2271" s="157"/>
      <c r="O2271" s="277"/>
      <c r="P2271" s="277"/>
      <c r="Q2271" s="277"/>
      <c r="R2271" s="277"/>
      <c r="S2271" s="157"/>
      <c r="T2271" s="157"/>
      <c r="U2271" s="157"/>
      <c r="V2271" s="3589"/>
      <c r="W2271" s="766"/>
      <c r="X2271" s="766"/>
      <c r="Y2271" s="765">
        <v>39600</v>
      </c>
      <c r="Z2271" s="2426">
        <v>39600</v>
      </c>
      <c r="AA2271" s="2426">
        <v>39600</v>
      </c>
      <c r="AB2271" s="2703">
        <v>39600</v>
      </c>
      <c r="AC2271" s="766"/>
      <c r="AD2271" s="766"/>
      <c r="AE2271" s="766"/>
      <c r="AF2271" s="766"/>
      <c r="AG2271" s="766"/>
      <c r="BB2271" s="647"/>
      <c r="BC2271" s="648"/>
      <c r="BD2271" s="757"/>
      <c r="BE2271" s="659"/>
    </row>
    <row r="2272" spans="1:57" s="64" customFormat="1" ht="15" customHeight="1" outlineLevel="1" x14ac:dyDescent="0.25">
      <c r="A2272" s="1393"/>
      <c r="B2272" s="157"/>
      <c r="C2272" s="385"/>
      <c r="D2272" s="3589"/>
      <c r="E2272" s="3721"/>
      <c r="F2272" s="3773" t="str">
        <f>$E$1562</f>
        <v>ASHP - SEER 18 - replace electric furnace / CAC - early replacement SF ER1</v>
      </c>
      <c r="G2272" s="3774"/>
      <c r="H2272" s="3774"/>
      <c r="I2272" s="3775"/>
      <c r="J2272" s="3071" t="str">
        <f>$C$1562</f>
        <v>354250_2019_12_</v>
      </c>
      <c r="K2272" s="3182">
        <v>40965.517241379312</v>
      </c>
      <c r="L2272" s="1811">
        <f t="shared" si="201"/>
        <v>3.4137931034482758</v>
      </c>
      <c r="M2272" s="2675" t="s">
        <v>3674</v>
      </c>
      <c r="N2272" s="157"/>
      <c r="O2272" s="277"/>
      <c r="P2272" s="277"/>
      <c r="Q2272" s="277"/>
      <c r="R2272" s="277"/>
      <c r="S2272" s="157"/>
      <c r="T2272" s="157"/>
      <c r="U2272" s="157"/>
      <c r="V2272" s="3589"/>
      <c r="W2272" s="766">
        <v>37200</v>
      </c>
      <c r="X2272" s="766">
        <v>37200</v>
      </c>
      <c r="Y2272" s="766">
        <v>37200</v>
      </c>
      <c r="Z2272" s="2426">
        <v>37200</v>
      </c>
      <c r="AA2272" s="2426">
        <v>37200</v>
      </c>
      <c r="AB2272" s="2655">
        <v>40965.517241379312</v>
      </c>
      <c r="AC2272" s="766"/>
      <c r="AD2272" s="766"/>
      <c r="AE2272" s="766"/>
      <c r="AF2272" s="766"/>
      <c r="AG2272" s="766"/>
      <c r="BB2272" s="647"/>
      <c r="BC2272" s="648"/>
      <c r="BD2272" s="757"/>
      <c r="BE2272" s="659"/>
    </row>
    <row r="2273" spans="1:57" s="64" customFormat="1" ht="15" customHeight="1" outlineLevel="1" x14ac:dyDescent="0.25">
      <c r="A2273" s="1393"/>
      <c r="B2273" s="157"/>
      <c r="C2273" s="385"/>
      <c r="D2273" s="3589"/>
      <c r="E2273" s="3721"/>
      <c r="F2273" s="3773" t="str">
        <f>$E$1564</f>
        <v>ASHP - SEER 18 - replace electric furnace / CAC - early replacement SF ER2</v>
      </c>
      <c r="G2273" s="3774"/>
      <c r="H2273" s="3774"/>
      <c r="I2273" s="3775"/>
      <c r="J2273" s="3071" t="str">
        <f>$C$1564</f>
        <v>354250_2019_12_</v>
      </c>
      <c r="K2273" s="3182">
        <f>K2272</f>
        <v>40965.517241379312</v>
      </c>
      <c r="L2273" s="1811">
        <f t="shared" si="201"/>
        <v>3.4137931034482758</v>
      </c>
      <c r="M2273" s="2675" t="s">
        <v>3674</v>
      </c>
      <c r="N2273" s="157"/>
      <c r="O2273" s="277"/>
      <c r="P2273" s="277"/>
      <c r="Q2273" s="277"/>
      <c r="R2273" s="277"/>
      <c r="S2273" s="157"/>
      <c r="T2273" s="157"/>
      <c r="U2273" s="157"/>
      <c r="V2273" s="3589"/>
      <c r="W2273" s="766">
        <v>37200</v>
      </c>
      <c r="X2273" s="766">
        <v>37200</v>
      </c>
      <c r="Y2273" s="766">
        <v>37200</v>
      </c>
      <c r="Z2273" s="2426">
        <v>37200</v>
      </c>
      <c r="AA2273" s="2426">
        <v>37200</v>
      </c>
      <c r="AB2273" s="2655">
        <v>40965.517241379312</v>
      </c>
      <c r="AC2273" s="766"/>
      <c r="AD2273" s="766"/>
      <c r="AE2273" s="766"/>
      <c r="AF2273" s="766"/>
      <c r="AG2273" s="766"/>
      <c r="BB2273" s="647"/>
      <c r="BC2273" s="648"/>
      <c r="BD2273" s="757"/>
      <c r="BE2273" s="659"/>
    </row>
    <row r="2274" spans="1:57" s="64" customFormat="1" ht="15" customHeight="1" outlineLevel="1" x14ac:dyDescent="0.25">
      <c r="A2274" s="1393"/>
      <c r="B2274" s="157"/>
      <c r="C2274" s="385"/>
      <c r="D2274" s="3589"/>
      <c r="E2274" s="3721"/>
      <c r="F2274" s="3773" t="str">
        <f>$E$1566</f>
        <v>ASHP - SEER 18 - replace electric furnace / CAC - early replacement MF ER1</v>
      </c>
      <c r="G2274" s="3774"/>
      <c r="H2274" s="3774"/>
      <c r="I2274" s="3775"/>
      <c r="J2274" s="3071" t="str">
        <f>$C$1566</f>
        <v>354300_2019_12_</v>
      </c>
      <c r="K2274" s="3182">
        <v>48000</v>
      </c>
      <c r="L2274" s="1811">
        <f t="shared" si="201"/>
        <v>4</v>
      </c>
      <c r="M2274" s="2675" t="s">
        <v>3674</v>
      </c>
      <c r="N2274" s="157"/>
      <c r="O2274" s="277"/>
      <c r="P2274" s="277"/>
      <c r="Q2274" s="277"/>
      <c r="R2274" s="277"/>
      <c r="S2274" s="157"/>
      <c r="T2274" s="157"/>
      <c r="U2274" s="157"/>
      <c r="V2274" s="3589"/>
      <c r="W2274" s="766">
        <v>37200</v>
      </c>
      <c r="X2274" s="766">
        <v>37200</v>
      </c>
      <c r="Y2274" s="766">
        <v>37200</v>
      </c>
      <c r="Z2274" s="2426">
        <v>37200</v>
      </c>
      <c r="AA2274" s="2426">
        <v>37200</v>
      </c>
      <c r="AB2274" s="2655">
        <v>48000</v>
      </c>
      <c r="AC2274" s="766"/>
      <c r="AD2274" s="766"/>
      <c r="AE2274" s="766"/>
      <c r="AF2274" s="766"/>
      <c r="AG2274" s="766"/>
      <c r="BB2274" s="647"/>
      <c r="BC2274" s="648"/>
      <c r="BD2274" s="757"/>
      <c r="BE2274" s="659"/>
    </row>
    <row r="2275" spans="1:57" s="64" customFormat="1" ht="15" customHeight="1" outlineLevel="1" x14ac:dyDescent="0.25">
      <c r="A2275" s="1393"/>
      <c r="B2275" s="157"/>
      <c r="C2275" s="385"/>
      <c r="D2275" s="3589"/>
      <c r="E2275" s="3721"/>
      <c r="F2275" s="3773" t="str">
        <f>$E$1568</f>
        <v>ASHP - SEER 18 - replace electric furnace / CAC - early replacement MF ER2</v>
      </c>
      <c r="G2275" s="3774"/>
      <c r="H2275" s="3774"/>
      <c r="I2275" s="3775"/>
      <c r="J2275" s="3071" t="str">
        <f>$C$1568</f>
        <v>354300_2019_12_</v>
      </c>
      <c r="K2275" s="3182">
        <f>K2274</f>
        <v>48000</v>
      </c>
      <c r="L2275" s="1811">
        <f t="shared" si="201"/>
        <v>4</v>
      </c>
      <c r="M2275" s="2675" t="s">
        <v>3674</v>
      </c>
      <c r="N2275" s="157"/>
      <c r="O2275" s="277"/>
      <c r="P2275" s="277"/>
      <c r="Q2275" s="277"/>
      <c r="R2275" s="277"/>
      <c r="S2275" s="157"/>
      <c r="T2275" s="157"/>
      <c r="U2275" s="157"/>
      <c r="V2275" s="3589"/>
      <c r="W2275" s="766">
        <v>37200</v>
      </c>
      <c r="X2275" s="766">
        <v>37200</v>
      </c>
      <c r="Y2275" s="766">
        <v>37200</v>
      </c>
      <c r="Z2275" s="2426">
        <v>37200</v>
      </c>
      <c r="AA2275" s="2426">
        <v>37200</v>
      </c>
      <c r="AB2275" s="2655">
        <v>48000</v>
      </c>
      <c r="AC2275" s="766"/>
      <c r="AD2275" s="766"/>
      <c r="AE2275" s="766"/>
      <c r="AF2275" s="766"/>
      <c r="AG2275" s="766"/>
      <c r="BB2275" s="647"/>
      <c r="BC2275" s="648"/>
      <c r="BD2275" s="757"/>
      <c r="BE2275" s="659"/>
    </row>
    <row r="2276" spans="1:57" s="64" customFormat="1" ht="15" customHeight="1" outlineLevel="1" x14ac:dyDescent="0.25">
      <c r="A2276" s="1393"/>
      <c r="B2276" s="157"/>
      <c r="C2276" s="385"/>
      <c r="D2276" s="3589"/>
      <c r="E2276" s="3721"/>
      <c r="F2276" s="3773" t="str">
        <f>$E$1570</f>
        <v>ASHP - SEER 18 - replace electric furnace / CAC - early replacement MF ER1_CompE</v>
      </c>
      <c r="G2276" s="3774"/>
      <c r="H2276" s="3774"/>
      <c r="I2276" s="3775"/>
      <c r="J2276" s="3071" t="str">
        <f>$C$1570</f>
        <v>354301_2019_12_</v>
      </c>
      <c r="K2276" s="3182">
        <f>K2275</f>
        <v>48000</v>
      </c>
      <c r="L2276" s="1811">
        <f t="shared" si="201"/>
        <v>4</v>
      </c>
      <c r="M2276" s="2675" t="s">
        <v>3652</v>
      </c>
      <c r="N2276" s="157"/>
      <c r="O2276" s="277"/>
      <c r="P2276" s="277"/>
      <c r="Q2276" s="277"/>
      <c r="R2276" s="277"/>
      <c r="S2276" s="157"/>
      <c r="T2276" s="157"/>
      <c r="U2276" s="157"/>
      <c r="V2276" s="3589"/>
      <c r="W2276" s="766"/>
      <c r="X2276" s="766"/>
      <c r="Y2276" s="765">
        <v>37200</v>
      </c>
      <c r="Z2276" s="2426">
        <v>37200</v>
      </c>
      <c r="AA2276" s="2426">
        <v>37200</v>
      </c>
      <c r="AB2276" s="2655">
        <v>48000</v>
      </c>
      <c r="AC2276" s="766"/>
      <c r="AD2276" s="766"/>
      <c r="AE2276" s="766"/>
      <c r="AF2276" s="766"/>
      <c r="AG2276" s="766"/>
      <c r="BB2276" s="647"/>
      <c r="BC2276" s="648"/>
      <c r="BD2276" s="757"/>
      <c r="BE2276" s="659"/>
    </row>
    <row r="2277" spans="1:57" s="64" customFormat="1" ht="15" customHeight="1" outlineLevel="1" x14ac:dyDescent="0.25">
      <c r="A2277" s="1393"/>
      <c r="B2277" s="157"/>
      <c r="C2277" s="385"/>
      <c r="D2277" s="3589"/>
      <c r="E2277" s="3721"/>
      <c r="F2277" s="3773" t="str">
        <f>$E$1572</f>
        <v>ASHP - SEER 18 - replace electric furnace / CAC - early replacement MF ER2_CompE</v>
      </c>
      <c r="G2277" s="3774"/>
      <c r="H2277" s="3774"/>
      <c r="I2277" s="3775"/>
      <c r="J2277" s="3071" t="str">
        <f>$C$1572</f>
        <v>354301_2019_12_</v>
      </c>
      <c r="K2277" s="3182">
        <f>K2276</f>
        <v>48000</v>
      </c>
      <c r="L2277" s="1811">
        <f t="shared" si="201"/>
        <v>4</v>
      </c>
      <c r="M2277" s="2675" t="s">
        <v>3652</v>
      </c>
      <c r="N2277" s="157"/>
      <c r="O2277" s="277"/>
      <c r="P2277" s="277"/>
      <c r="Q2277" s="277"/>
      <c r="R2277" s="277"/>
      <c r="S2277" s="157"/>
      <c r="T2277" s="157"/>
      <c r="U2277" s="157"/>
      <c r="V2277" s="3589"/>
      <c r="W2277" s="766"/>
      <c r="X2277" s="766"/>
      <c r="Y2277" s="765">
        <v>37200</v>
      </c>
      <c r="Z2277" s="2426">
        <v>37200</v>
      </c>
      <c r="AA2277" s="2426">
        <v>37200</v>
      </c>
      <c r="AB2277" s="2655">
        <v>48000</v>
      </c>
      <c r="AC2277" s="766"/>
      <c r="AD2277" s="766"/>
      <c r="AE2277" s="766"/>
      <c r="AF2277" s="766"/>
      <c r="AG2277" s="766"/>
      <c r="BB2277" s="647"/>
      <c r="BC2277" s="648"/>
      <c r="BD2277" s="757"/>
      <c r="BE2277" s="659"/>
    </row>
    <row r="2278" spans="1:57" s="64" customFormat="1" ht="15" customHeight="1" outlineLevel="1" x14ac:dyDescent="0.25">
      <c r="A2278" s="1393"/>
      <c r="B2278" s="157"/>
      <c r="C2278" s="385"/>
      <c r="D2278" s="3589"/>
      <c r="E2278" s="3721"/>
      <c r="F2278" s="3773" t="str">
        <f>$E$1574</f>
        <v>ASHP SEER 18 replace ASHP - early replacement MF ER1</v>
      </c>
      <c r="G2278" s="3774"/>
      <c r="H2278" s="3774"/>
      <c r="I2278" s="3775"/>
      <c r="J2278" s="3071" t="str">
        <f>$C$1574</f>
        <v>354350_2019_12_</v>
      </c>
      <c r="K2278" s="2703">
        <v>39600</v>
      </c>
      <c r="L2278" s="1811">
        <f t="shared" si="201"/>
        <v>3.3</v>
      </c>
      <c r="M2278" s="2718"/>
      <c r="N2278" s="157"/>
      <c r="O2278" s="277"/>
      <c r="P2278" s="277"/>
      <c r="Q2278" s="277"/>
      <c r="R2278" s="277"/>
      <c r="S2278" s="157"/>
      <c r="T2278" s="157"/>
      <c r="U2278" s="157"/>
      <c r="V2278" s="3589"/>
      <c r="W2278" s="766">
        <v>39600</v>
      </c>
      <c r="X2278" s="766">
        <v>39600</v>
      </c>
      <c r="Y2278" s="766">
        <v>39600</v>
      </c>
      <c r="Z2278" s="2426">
        <v>39600</v>
      </c>
      <c r="AA2278" s="2426">
        <v>39600</v>
      </c>
      <c r="AB2278" s="2703">
        <v>39600</v>
      </c>
      <c r="AC2278" s="766"/>
      <c r="AD2278" s="766"/>
      <c r="AE2278" s="766"/>
      <c r="AF2278" s="766"/>
      <c r="AG2278" s="766"/>
      <c r="BB2278" s="647"/>
      <c r="BC2278" s="648"/>
      <c r="BD2278" s="757"/>
      <c r="BE2278" s="659"/>
    </row>
    <row r="2279" spans="1:57" s="64" customFormat="1" ht="15" customHeight="1" outlineLevel="1" x14ac:dyDescent="0.25">
      <c r="A2279" s="1393"/>
      <c r="B2279" s="157"/>
      <c r="C2279" s="385"/>
      <c r="D2279" s="3589"/>
      <c r="E2279" s="3721"/>
      <c r="F2279" s="3773" t="str">
        <f>$E$1576</f>
        <v>ASHP SEER 18 replace ASHP - early replacement MF ER2</v>
      </c>
      <c r="G2279" s="3774"/>
      <c r="H2279" s="3774"/>
      <c r="I2279" s="3775"/>
      <c r="J2279" s="3071" t="str">
        <f>$C$1576</f>
        <v>354350_2019_12_</v>
      </c>
      <c r="K2279" s="2703">
        <v>39600</v>
      </c>
      <c r="L2279" s="1811">
        <f t="shared" si="201"/>
        <v>3.3</v>
      </c>
      <c r="M2279" s="2718"/>
      <c r="N2279" s="157"/>
      <c r="O2279" s="277"/>
      <c r="P2279" s="277"/>
      <c r="Q2279" s="277"/>
      <c r="R2279" s="277"/>
      <c r="S2279" s="157"/>
      <c r="T2279" s="157"/>
      <c r="U2279" s="157"/>
      <c r="V2279" s="3589"/>
      <c r="W2279" s="766">
        <v>39600</v>
      </c>
      <c r="X2279" s="766">
        <v>39600</v>
      </c>
      <c r="Y2279" s="766">
        <v>39600</v>
      </c>
      <c r="Z2279" s="2426">
        <v>39600</v>
      </c>
      <c r="AA2279" s="2426">
        <v>39600</v>
      </c>
      <c r="AB2279" s="2703">
        <v>39600</v>
      </c>
      <c r="AC2279" s="766"/>
      <c r="AD2279" s="766"/>
      <c r="AE2279" s="766"/>
      <c r="AF2279" s="766"/>
      <c r="AG2279" s="766"/>
      <c r="BB2279" s="647"/>
      <c r="BC2279" s="648"/>
      <c r="BD2279" s="757"/>
      <c r="BE2279" s="659"/>
    </row>
    <row r="2280" spans="1:57" s="64" customFormat="1" ht="15" customHeight="1" outlineLevel="1" x14ac:dyDescent="0.25">
      <c r="A2280" s="1393"/>
      <c r="B2280" s="157"/>
      <c r="C2280" s="385"/>
      <c r="D2280" s="3589"/>
      <c r="E2280" s="3721"/>
      <c r="F2280" s="3773" t="str">
        <f>$E$1578</f>
        <v>ASHP SEER 18 replace ASHP - early replacement MF ER1_CompE</v>
      </c>
      <c r="G2280" s="3774"/>
      <c r="H2280" s="3774"/>
      <c r="I2280" s="3775"/>
      <c r="J2280" s="3071" t="str">
        <f>$C$1578</f>
        <v>354351_2019_12_</v>
      </c>
      <c r="K2280" s="2703">
        <v>39600</v>
      </c>
      <c r="L2280" s="1811">
        <f t="shared" si="201"/>
        <v>3.3</v>
      </c>
      <c r="M2280" s="2718"/>
      <c r="N2280" s="157"/>
      <c r="O2280" s="277"/>
      <c r="P2280" s="277"/>
      <c r="Q2280" s="277"/>
      <c r="R2280" s="277"/>
      <c r="S2280" s="157"/>
      <c r="T2280" s="157"/>
      <c r="U2280" s="157"/>
      <c r="V2280" s="3589"/>
      <c r="W2280" s="766"/>
      <c r="X2280" s="766"/>
      <c r="Y2280" s="765">
        <v>39600</v>
      </c>
      <c r="Z2280" s="2426">
        <v>39600</v>
      </c>
      <c r="AA2280" s="2426">
        <v>39600</v>
      </c>
      <c r="AB2280" s="2703">
        <v>39600</v>
      </c>
      <c r="AC2280" s="766"/>
      <c r="AD2280" s="766"/>
      <c r="AE2280" s="766"/>
      <c r="AF2280" s="766"/>
      <c r="AG2280" s="766"/>
      <c r="BB2280" s="647"/>
      <c r="BC2280" s="648"/>
      <c r="BD2280" s="757"/>
      <c r="BE2280" s="659"/>
    </row>
    <row r="2281" spans="1:57" s="64" customFormat="1" ht="15" customHeight="1" outlineLevel="1" x14ac:dyDescent="0.25">
      <c r="A2281" s="1393"/>
      <c r="B2281" s="157"/>
      <c r="C2281" s="385"/>
      <c r="D2281" s="3589"/>
      <c r="E2281" s="3721"/>
      <c r="F2281" s="3773" t="str">
        <f>$E$1580</f>
        <v>ASHP SEER 18 replace ASHP - early replacement MF ER2_CompE</v>
      </c>
      <c r="G2281" s="3774"/>
      <c r="H2281" s="3774"/>
      <c r="I2281" s="3775"/>
      <c r="J2281" s="3071" t="str">
        <f>$C$1580</f>
        <v>354351_2019_12_</v>
      </c>
      <c r="K2281" s="2703">
        <v>39600</v>
      </c>
      <c r="L2281" s="1811">
        <f t="shared" si="201"/>
        <v>3.3</v>
      </c>
      <c r="M2281" s="2718"/>
      <c r="N2281" s="157"/>
      <c r="O2281" s="277"/>
      <c r="P2281" s="277"/>
      <c r="Q2281" s="277"/>
      <c r="R2281" s="277"/>
      <c r="S2281" s="157"/>
      <c r="T2281" s="157"/>
      <c r="U2281" s="157"/>
      <c r="V2281" s="3589"/>
      <c r="W2281" s="766"/>
      <c r="X2281" s="766"/>
      <c r="Y2281" s="765">
        <v>39600</v>
      </c>
      <c r="Z2281" s="2426">
        <v>39600</v>
      </c>
      <c r="AA2281" s="2426">
        <v>39600</v>
      </c>
      <c r="AB2281" s="2703">
        <v>39600</v>
      </c>
      <c r="AC2281" s="766"/>
      <c r="AD2281" s="766"/>
      <c r="AE2281" s="766"/>
      <c r="AF2281" s="766"/>
      <c r="AG2281" s="766"/>
      <c r="BB2281" s="647"/>
      <c r="BC2281" s="648"/>
      <c r="BD2281" s="757"/>
      <c r="BE2281" s="659"/>
    </row>
    <row r="2282" spans="1:57" s="64" customFormat="1" ht="15" customHeight="1" outlineLevel="1" x14ac:dyDescent="0.25">
      <c r="A2282" s="1393"/>
      <c r="B2282" s="157"/>
      <c r="C2282" s="385"/>
      <c r="D2282" s="3589"/>
      <c r="E2282" s="3721"/>
      <c r="F2282" s="3773" t="str">
        <f>$E$1582</f>
        <v>ASHP - SEER 19 - replace electric furnace / CAC - early replacement SF ER1</v>
      </c>
      <c r="G2282" s="3774"/>
      <c r="H2282" s="3774"/>
      <c r="I2282" s="3775"/>
      <c r="J2282" s="3071" t="str">
        <f>$C$1582</f>
        <v>354400_2019_12_</v>
      </c>
      <c r="K2282" s="2703">
        <v>37200</v>
      </c>
      <c r="L2282" s="1811">
        <f t="shared" si="201"/>
        <v>3.1</v>
      </c>
      <c r="M2282" s="2718"/>
      <c r="N2282" s="157"/>
      <c r="O2282" s="277"/>
      <c r="P2282" s="277"/>
      <c r="Q2282" s="277"/>
      <c r="R2282" s="277"/>
      <c r="S2282" s="157"/>
      <c r="T2282" s="157"/>
      <c r="U2282" s="157"/>
      <c r="V2282" s="3589"/>
      <c r="W2282" s="766">
        <v>37200</v>
      </c>
      <c r="X2282" s="766">
        <v>37200</v>
      </c>
      <c r="Y2282" s="766">
        <v>37200</v>
      </c>
      <c r="Z2282" s="2426">
        <v>37200</v>
      </c>
      <c r="AA2282" s="2426">
        <v>37200</v>
      </c>
      <c r="AB2282" s="2703">
        <v>37200</v>
      </c>
      <c r="AC2282" s="766"/>
      <c r="AD2282" s="766"/>
      <c r="AE2282" s="766"/>
      <c r="AF2282" s="766"/>
      <c r="AG2282" s="766"/>
      <c r="BB2282" s="647"/>
      <c r="BC2282" s="648"/>
      <c r="BD2282" s="757"/>
      <c r="BE2282" s="659"/>
    </row>
    <row r="2283" spans="1:57" s="64" customFormat="1" ht="15" customHeight="1" outlineLevel="1" x14ac:dyDescent="0.25">
      <c r="A2283" s="1393"/>
      <c r="B2283" s="157"/>
      <c r="C2283" s="385"/>
      <c r="D2283" s="3589"/>
      <c r="E2283" s="3721"/>
      <c r="F2283" s="3773" t="str">
        <f>$E$1584</f>
        <v>ASHP - SEER 19 - replace electric furnace / CAC - early replacement SF ER2</v>
      </c>
      <c r="G2283" s="3774"/>
      <c r="H2283" s="3774"/>
      <c r="I2283" s="3775"/>
      <c r="J2283" s="3071" t="str">
        <f>$C$1584</f>
        <v>354400_2019_12_</v>
      </c>
      <c r="K2283" s="2703">
        <v>37200</v>
      </c>
      <c r="L2283" s="1811">
        <f t="shared" si="201"/>
        <v>3.1</v>
      </c>
      <c r="M2283" s="2718"/>
      <c r="N2283" s="157"/>
      <c r="O2283" s="277"/>
      <c r="P2283" s="277"/>
      <c r="Q2283" s="277"/>
      <c r="R2283" s="277"/>
      <c r="S2283" s="157"/>
      <c r="T2283" s="157"/>
      <c r="U2283" s="157"/>
      <c r="V2283" s="3589"/>
      <c r="W2283" s="766">
        <v>37200</v>
      </c>
      <c r="X2283" s="766">
        <v>37200</v>
      </c>
      <c r="Y2283" s="766">
        <v>37200</v>
      </c>
      <c r="Z2283" s="2426">
        <v>37200</v>
      </c>
      <c r="AA2283" s="2426">
        <v>37200</v>
      </c>
      <c r="AB2283" s="2703">
        <v>37200</v>
      </c>
      <c r="AC2283" s="766"/>
      <c r="AD2283" s="766"/>
      <c r="AE2283" s="766"/>
      <c r="AF2283" s="766"/>
      <c r="AG2283" s="766"/>
      <c r="BB2283" s="647"/>
      <c r="BC2283" s="648"/>
      <c r="BD2283" s="757"/>
      <c r="BE2283" s="659"/>
    </row>
    <row r="2284" spans="1:57" s="64" customFormat="1" ht="15" customHeight="1" outlineLevel="1" x14ac:dyDescent="0.25">
      <c r="A2284" s="1393"/>
      <c r="B2284" s="157"/>
      <c r="C2284" s="385"/>
      <c r="D2284" s="3589"/>
      <c r="E2284" s="3721"/>
      <c r="F2284" s="3773" t="str">
        <f>$E$1586</f>
        <v>ASHP - SEER 19 - replace electric furnace / CAC - early replacement MF ER1</v>
      </c>
      <c r="G2284" s="3774"/>
      <c r="H2284" s="3774"/>
      <c r="I2284" s="3775"/>
      <c r="J2284" s="3071" t="str">
        <f>$C$1586</f>
        <v>354450_2019_12_</v>
      </c>
      <c r="K2284" s="2703">
        <v>37200</v>
      </c>
      <c r="L2284" s="1811">
        <f t="shared" si="201"/>
        <v>3.1</v>
      </c>
      <c r="M2284" s="2718"/>
      <c r="N2284" s="157"/>
      <c r="O2284" s="277"/>
      <c r="P2284" s="277"/>
      <c r="Q2284" s="277"/>
      <c r="R2284" s="277"/>
      <c r="S2284" s="157"/>
      <c r="T2284" s="157"/>
      <c r="U2284" s="157"/>
      <c r="V2284" s="3589"/>
      <c r="W2284" s="766">
        <v>37200</v>
      </c>
      <c r="X2284" s="766">
        <v>37200</v>
      </c>
      <c r="Y2284" s="766">
        <v>37200</v>
      </c>
      <c r="Z2284" s="2426">
        <v>37200</v>
      </c>
      <c r="AA2284" s="2426">
        <v>37200</v>
      </c>
      <c r="AB2284" s="2703">
        <v>37200</v>
      </c>
      <c r="AC2284" s="766"/>
      <c r="AD2284" s="766"/>
      <c r="AE2284" s="766"/>
      <c r="AF2284" s="766"/>
      <c r="AG2284" s="766"/>
      <c r="BB2284" s="647"/>
      <c r="BC2284" s="648"/>
      <c r="BD2284" s="757"/>
      <c r="BE2284" s="659"/>
    </row>
    <row r="2285" spans="1:57" s="64" customFormat="1" ht="15" customHeight="1" outlineLevel="1" x14ac:dyDescent="0.25">
      <c r="A2285" s="1393"/>
      <c r="B2285" s="157"/>
      <c r="C2285" s="385"/>
      <c r="D2285" s="3589"/>
      <c r="E2285" s="3721"/>
      <c r="F2285" s="3773" t="str">
        <f>$E$1588</f>
        <v>ASHP - SEER 19 - replace electric furnace / CAC - early replacement MF ER2</v>
      </c>
      <c r="G2285" s="3774"/>
      <c r="H2285" s="3774"/>
      <c r="I2285" s="3775"/>
      <c r="J2285" s="3071" t="str">
        <f>$C$1588</f>
        <v>354450_2019_12_</v>
      </c>
      <c r="K2285" s="2703">
        <v>37200</v>
      </c>
      <c r="L2285" s="1811">
        <f t="shared" si="201"/>
        <v>3.1</v>
      </c>
      <c r="M2285" s="2718"/>
      <c r="N2285" s="157"/>
      <c r="O2285" s="277"/>
      <c r="P2285" s="277"/>
      <c r="Q2285" s="277"/>
      <c r="R2285" s="277"/>
      <c r="S2285" s="157"/>
      <c r="T2285" s="157"/>
      <c r="U2285" s="157"/>
      <c r="V2285" s="3589"/>
      <c r="W2285" s="766">
        <v>37200</v>
      </c>
      <c r="X2285" s="766">
        <v>37200</v>
      </c>
      <c r="Y2285" s="766">
        <v>37200</v>
      </c>
      <c r="Z2285" s="2426">
        <v>37200</v>
      </c>
      <c r="AA2285" s="2426">
        <v>37200</v>
      </c>
      <c r="AB2285" s="2703">
        <v>37200</v>
      </c>
      <c r="AC2285" s="766"/>
      <c r="AD2285" s="766"/>
      <c r="AE2285" s="766"/>
      <c r="AF2285" s="766"/>
      <c r="AG2285" s="766"/>
      <c r="BB2285" s="647"/>
      <c r="BC2285" s="648"/>
      <c r="BD2285" s="757"/>
      <c r="BE2285" s="659"/>
    </row>
    <row r="2286" spans="1:57" s="64" customFormat="1" ht="15" customHeight="1" outlineLevel="1" x14ac:dyDescent="0.25">
      <c r="A2286" s="1393"/>
      <c r="B2286" s="157"/>
      <c r="C2286" s="385"/>
      <c r="D2286" s="3589"/>
      <c r="E2286" s="3721"/>
      <c r="F2286" s="3773" t="str">
        <f>$E$1590</f>
        <v>ASHP - SEER 19 - replace electric furnace / CAC - early replacement MF ER1_CompE</v>
      </c>
      <c r="G2286" s="3774"/>
      <c r="H2286" s="3774"/>
      <c r="I2286" s="3775"/>
      <c r="J2286" s="3071" t="str">
        <f>$C$1590</f>
        <v>354451_2019_12_</v>
      </c>
      <c r="K2286" s="2703">
        <v>37200</v>
      </c>
      <c r="L2286" s="1811">
        <f t="shared" si="201"/>
        <v>3.1</v>
      </c>
      <c r="M2286" s="2718"/>
      <c r="N2286" s="157"/>
      <c r="O2286" s="277"/>
      <c r="P2286" s="277"/>
      <c r="Q2286" s="277"/>
      <c r="R2286" s="277"/>
      <c r="S2286" s="157"/>
      <c r="T2286" s="157"/>
      <c r="U2286" s="157"/>
      <c r="V2286" s="3589"/>
      <c r="W2286" s="766"/>
      <c r="X2286" s="766"/>
      <c r="Y2286" s="765">
        <v>37200</v>
      </c>
      <c r="Z2286" s="2426">
        <v>37200</v>
      </c>
      <c r="AA2286" s="2426">
        <v>37200</v>
      </c>
      <c r="AB2286" s="2703">
        <v>37200</v>
      </c>
      <c r="AC2286" s="766"/>
      <c r="AD2286" s="766"/>
      <c r="AE2286" s="766"/>
      <c r="AF2286" s="766"/>
      <c r="AG2286" s="766"/>
      <c r="BB2286" s="647"/>
      <c r="BC2286" s="648"/>
      <c r="BD2286" s="757"/>
      <c r="BE2286" s="659"/>
    </row>
    <row r="2287" spans="1:57" s="64" customFormat="1" ht="15" customHeight="1" outlineLevel="1" x14ac:dyDescent="0.25">
      <c r="A2287" s="1393"/>
      <c r="B2287" s="157"/>
      <c r="C2287" s="385"/>
      <c r="D2287" s="3589"/>
      <c r="E2287" s="3721"/>
      <c r="F2287" s="3773" t="str">
        <f>$E$1592</f>
        <v>ASHP - SEER 19 - replace electric furnace / CAC - early replacement MF ER2_CompE</v>
      </c>
      <c r="G2287" s="3774"/>
      <c r="H2287" s="3774"/>
      <c r="I2287" s="3775"/>
      <c r="J2287" s="3071" t="str">
        <f>$C$1592</f>
        <v>354451_2019_12_</v>
      </c>
      <c r="K2287" s="2703">
        <v>37200</v>
      </c>
      <c r="L2287" s="1811">
        <f t="shared" si="201"/>
        <v>3.1</v>
      </c>
      <c r="M2287" s="2718"/>
      <c r="N2287" s="157"/>
      <c r="O2287" s="277"/>
      <c r="P2287" s="277"/>
      <c r="Q2287" s="277"/>
      <c r="R2287" s="277"/>
      <c r="S2287" s="157"/>
      <c r="T2287" s="157"/>
      <c r="U2287" s="157"/>
      <c r="V2287" s="3589"/>
      <c r="W2287" s="766"/>
      <c r="X2287" s="766"/>
      <c r="Y2287" s="765">
        <v>37200</v>
      </c>
      <c r="Z2287" s="2426">
        <v>37200</v>
      </c>
      <c r="AA2287" s="2426">
        <v>37200</v>
      </c>
      <c r="AB2287" s="2703">
        <v>37200</v>
      </c>
      <c r="AC2287" s="766"/>
      <c r="AD2287" s="766"/>
      <c r="AE2287" s="766"/>
      <c r="AF2287" s="766"/>
      <c r="AG2287" s="766"/>
      <c r="BB2287" s="647"/>
      <c r="BC2287" s="648"/>
      <c r="BD2287" s="757"/>
      <c r="BE2287" s="659"/>
    </row>
    <row r="2288" spans="1:57" s="64" customFormat="1" ht="15" customHeight="1" outlineLevel="1" x14ac:dyDescent="0.25">
      <c r="A2288" s="1393"/>
      <c r="B2288" s="157"/>
      <c r="C2288" s="385"/>
      <c r="D2288" s="3589"/>
      <c r="E2288" s="3721"/>
      <c r="F2288" s="3773" t="str">
        <f>$E$1594</f>
        <v>ASHP SEER 19 replace ASHP - early replacement MF ER1</v>
      </c>
      <c r="G2288" s="3774"/>
      <c r="H2288" s="3774"/>
      <c r="I2288" s="3775"/>
      <c r="J2288" s="3071" t="str">
        <f>$C$1594</f>
        <v>354500_2019_12_</v>
      </c>
      <c r="K2288" s="2703">
        <v>39600</v>
      </c>
      <c r="L2288" s="1811">
        <f t="shared" si="201"/>
        <v>3.3</v>
      </c>
      <c r="M2288" s="2718"/>
      <c r="N2288" s="157"/>
      <c r="O2288" s="277"/>
      <c r="P2288" s="277"/>
      <c r="Q2288" s="277"/>
      <c r="R2288" s="277"/>
      <c r="S2288" s="157"/>
      <c r="T2288" s="157"/>
      <c r="U2288" s="157"/>
      <c r="V2288" s="3589"/>
      <c r="W2288" s="766">
        <v>39600</v>
      </c>
      <c r="X2288" s="766">
        <v>39600</v>
      </c>
      <c r="Y2288" s="766">
        <v>39600</v>
      </c>
      <c r="Z2288" s="2426">
        <v>39600</v>
      </c>
      <c r="AA2288" s="2426">
        <v>39600</v>
      </c>
      <c r="AB2288" s="2703">
        <v>39600</v>
      </c>
      <c r="AC2288" s="766"/>
      <c r="AD2288" s="766"/>
      <c r="AE2288" s="766"/>
      <c r="AF2288" s="766"/>
      <c r="AG2288" s="766"/>
      <c r="BB2288" s="647"/>
      <c r="BC2288" s="648"/>
      <c r="BD2288" s="757"/>
      <c r="BE2288" s="659"/>
    </row>
    <row r="2289" spans="1:57" s="64" customFormat="1" ht="15" customHeight="1" outlineLevel="1" x14ac:dyDescent="0.25">
      <c r="A2289" s="1393"/>
      <c r="B2289" s="157"/>
      <c r="C2289" s="385"/>
      <c r="D2289" s="3589"/>
      <c r="E2289" s="3721"/>
      <c r="F2289" s="3773" t="str">
        <f>$E$1596</f>
        <v>ASHP SEER 19 replace ASHP - early replacement MF ER2</v>
      </c>
      <c r="G2289" s="3774"/>
      <c r="H2289" s="3774"/>
      <c r="I2289" s="3775"/>
      <c r="J2289" s="3071" t="str">
        <f>$C$1596</f>
        <v>354500_2019_12_</v>
      </c>
      <c r="K2289" s="2703">
        <v>39600</v>
      </c>
      <c r="L2289" s="1811">
        <f t="shared" si="201"/>
        <v>3.3</v>
      </c>
      <c r="M2289" s="2718"/>
      <c r="N2289" s="157"/>
      <c r="O2289" s="277"/>
      <c r="P2289" s="277"/>
      <c r="Q2289" s="277"/>
      <c r="R2289" s="277"/>
      <c r="S2289" s="157"/>
      <c r="T2289" s="157"/>
      <c r="U2289" s="157"/>
      <c r="V2289" s="3589"/>
      <c r="W2289" s="766">
        <v>39600</v>
      </c>
      <c r="X2289" s="766">
        <v>39600</v>
      </c>
      <c r="Y2289" s="766">
        <v>39600</v>
      </c>
      <c r="Z2289" s="2426">
        <v>39600</v>
      </c>
      <c r="AA2289" s="2426">
        <v>39600</v>
      </c>
      <c r="AB2289" s="2703">
        <v>39600</v>
      </c>
      <c r="AC2289" s="766"/>
      <c r="AD2289" s="766"/>
      <c r="AE2289" s="766"/>
      <c r="AF2289" s="766"/>
      <c r="AG2289" s="766"/>
      <c r="BB2289" s="647"/>
      <c r="BC2289" s="648"/>
      <c r="BD2289" s="757"/>
      <c r="BE2289" s="659"/>
    </row>
    <row r="2290" spans="1:57" s="64" customFormat="1" ht="15" customHeight="1" outlineLevel="1" x14ac:dyDescent="0.25">
      <c r="A2290" s="1393"/>
      <c r="B2290" s="157"/>
      <c r="C2290" s="385"/>
      <c r="D2290" s="3589"/>
      <c r="E2290" s="3721"/>
      <c r="F2290" s="3773" t="str">
        <f>$E$1598</f>
        <v>ASHP SEER 19 replace ASHP - early replacement MF ER1_CompE</v>
      </c>
      <c r="G2290" s="3774"/>
      <c r="H2290" s="3774"/>
      <c r="I2290" s="3775"/>
      <c r="J2290" s="3071" t="str">
        <f>$C$1598</f>
        <v>354501_2019_12_</v>
      </c>
      <c r="K2290" s="2703">
        <v>39600</v>
      </c>
      <c r="L2290" s="1811">
        <f t="shared" si="201"/>
        <v>3.3</v>
      </c>
      <c r="M2290" s="2718"/>
      <c r="N2290" s="157"/>
      <c r="O2290" s="277"/>
      <c r="P2290" s="277"/>
      <c r="Q2290" s="277"/>
      <c r="R2290" s="277"/>
      <c r="S2290" s="157"/>
      <c r="T2290" s="157"/>
      <c r="U2290" s="157"/>
      <c r="V2290" s="3589"/>
      <c r="W2290" s="766"/>
      <c r="X2290" s="766"/>
      <c r="Y2290" s="765">
        <v>39600</v>
      </c>
      <c r="Z2290" s="2426">
        <v>39600</v>
      </c>
      <c r="AA2290" s="2426">
        <v>39600</v>
      </c>
      <c r="AB2290" s="2703">
        <v>39600</v>
      </c>
      <c r="AC2290" s="766"/>
      <c r="AD2290" s="766"/>
      <c r="AE2290" s="766"/>
      <c r="AF2290" s="766"/>
      <c r="AG2290" s="766"/>
      <c r="BB2290" s="647"/>
      <c r="BC2290" s="648"/>
      <c r="BD2290" s="757"/>
      <c r="BE2290" s="659"/>
    </row>
    <row r="2291" spans="1:57" s="64" customFormat="1" ht="15" customHeight="1" outlineLevel="1" x14ac:dyDescent="0.25">
      <c r="A2291" s="1393"/>
      <c r="B2291" s="157"/>
      <c r="C2291" s="385"/>
      <c r="D2291" s="3589"/>
      <c r="E2291" s="3721"/>
      <c r="F2291" s="3773" t="str">
        <f>$E$1600</f>
        <v>ASHP SEER 19 replace ASHP - early replacement MF ER2_CompE</v>
      </c>
      <c r="G2291" s="3774"/>
      <c r="H2291" s="3774"/>
      <c r="I2291" s="3775"/>
      <c r="J2291" s="3071" t="str">
        <f>$C$1600</f>
        <v>354501_2019_12_</v>
      </c>
      <c r="K2291" s="2703">
        <v>39600</v>
      </c>
      <c r="L2291" s="1811">
        <f t="shared" si="201"/>
        <v>3.3</v>
      </c>
      <c r="M2291" s="2718"/>
      <c r="N2291" s="157"/>
      <c r="O2291" s="277"/>
      <c r="P2291" s="277"/>
      <c r="Q2291" s="277"/>
      <c r="R2291" s="277"/>
      <c r="S2291" s="157"/>
      <c r="T2291" s="157"/>
      <c r="U2291" s="157"/>
      <c r="V2291" s="3589"/>
      <c r="W2291" s="766"/>
      <c r="X2291" s="766"/>
      <c r="Y2291" s="765">
        <v>39600</v>
      </c>
      <c r="Z2291" s="2426">
        <v>39600</v>
      </c>
      <c r="AA2291" s="2426">
        <v>39600</v>
      </c>
      <c r="AB2291" s="2703">
        <v>39600</v>
      </c>
      <c r="AC2291" s="766"/>
      <c r="AD2291" s="766"/>
      <c r="AE2291" s="766"/>
      <c r="AF2291" s="766"/>
      <c r="AG2291" s="766"/>
      <c r="BB2291" s="647"/>
      <c r="BC2291" s="648"/>
      <c r="BD2291" s="757"/>
      <c r="BE2291" s="659"/>
    </row>
    <row r="2292" spans="1:57" s="64" customFormat="1" ht="15" customHeight="1" outlineLevel="1" x14ac:dyDescent="0.25">
      <c r="A2292" s="1393"/>
      <c r="B2292" s="157"/>
      <c r="C2292" s="385"/>
      <c r="D2292" s="3589"/>
      <c r="E2292" s="3721"/>
      <c r="F2292" s="3773" t="str">
        <f>$E$1602</f>
        <v>ASHP SEER 20 replace ASHP - early replacement SF ER1</v>
      </c>
      <c r="G2292" s="3774"/>
      <c r="H2292" s="3774"/>
      <c r="I2292" s="3775"/>
      <c r="J2292" s="3071" t="str">
        <f>$C$1602</f>
        <v>354550_2019_12_</v>
      </c>
      <c r="K2292" s="2703">
        <v>39600</v>
      </c>
      <c r="L2292" s="1811">
        <f t="shared" si="201"/>
        <v>3.3</v>
      </c>
      <c r="M2292" s="2718"/>
      <c r="N2292" s="157"/>
      <c r="O2292" s="277"/>
      <c r="P2292" s="277"/>
      <c r="Q2292" s="277"/>
      <c r="R2292" s="277"/>
      <c r="S2292" s="157"/>
      <c r="T2292" s="157"/>
      <c r="U2292" s="157"/>
      <c r="V2292" s="3589"/>
      <c r="W2292" s="766">
        <v>39600</v>
      </c>
      <c r="X2292" s="766">
        <v>39600</v>
      </c>
      <c r="Y2292" s="766">
        <v>39600</v>
      </c>
      <c r="Z2292" s="2426">
        <v>39600</v>
      </c>
      <c r="AA2292" s="2426">
        <v>39600</v>
      </c>
      <c r="AB2292" s="2703">
        <v>39600</v>
      </c>
      <c r="AC2292" s="766"/>
      <c r="AD2292" s="766"/>
      <c r="AE2292" s="766"/>
      <c r="AF2292" s="766"/>
      <c r="AG2292" s="766"/>
      <c r="BB2292" s="647"/>
      <c r="BC2292" s="648"/>
      <c r="BD2292" s="757"/>
      <c r="BE2292" s="659"/>
    </row>
    <row r="2293" spans="1:57" s="64" customFormat="1" ht="15" customHeight="1" outlineLevel="1" x14ac:dyDescent="0.25">
      <c r="A2293" s="1393"/>
      <c r="B2293" s="157"/>
      <c r="C2293" s="385"/>
      <c r="D2293" s="3589"/>
      <c r="E2293" s="3721"/>
      <c r="F2293" s="3773" t="str">
        <f>$E$1604</f>
        <v>ASHP SEER 20 replace ASHP - early replacement SF ER2</v>
      </c>
      <c r="G2293" s="3774"/>
      <c r="H2293" s="3774"/>
      <c r="I2293" s="3775"/>
      <c r="J2293" s="3071" t="str">
        <f>$C$1604</f>
        <v>354550_2019_12_</v>
      </c>
      <c r="K2293" s="2703">
        <v>39600</v>
      </c>
      <c r="L2293" s="1811">
        <f t="shared" si="201"/>
        <v>3.3</v>
      </c>
      <c r="M2293" s="2718"/>
      <c r="N2293" s="157"/>
      <c r="O2293" s="277"/>
      <c r="P2293" s="277"/>
      <c r="Q2293" s="277"/>
      <c r="R2293" s="277"/>
      <c r="S2293" s="157"/>
      <c r="T2293" s="157"/>
      <c r="U2293" s="157"/>
      <c r="V2293" s="3589"/>
      <c r="W2293" s="766">
        <v>39600</v>
      </c>
      <c r="X2293" s="766">
        <v>39600</v>
      </c>
      <c r="Y2293" s="766">
        <v>39600</v>
      </c>
      <c r="Z2293" s="2426">
        <v>39600</v>
      </c>
      <c r="AA2293" s="2426">
        <v>39600</v>
      </c>
      <c r="AB2293" s="2703">
        <v>39600</v>
      </c>
      <c r="AC2293" s="766"/>
      <c r="AD2293" s="766"/>
      <c r="AE2293" s="766"/>
      <c r="AF2293" s="766"/>
      <c r="AG2293" s="766"/>
      <c r="BB2293" s="647"/>
      <c r="BC2293" s="648"/>
      <c r="BD2293" s="757"/>
      <c r="BE2293" s="659"/>
    </row>
    <row r="2294" spans="1:57" s="64" customFormat="1" ht="15" customHeight="1" outlineLevel="1" x14ac:dyDescent="0.25">
      <c r="A2294" s="1393"/>
      <c r="B2294" s="157"/>
      <c r="C2294" s="385"/>
      <c r="D2294" s="3589"/>
      <c r="E2294" s="3721"/>
      <c r="F2294" s="3773" t="str">
        <f>$E$1606</f>
        <v>ASHP SEER 20 replace ASHP - replace on fail SF</v>
      </c>
      <c r="G2294" s="3774"/>
      <c r="H2294" s="3774"/>
      <c r="I2294" s="3775"/>
      <c r="J2294" s="3071" t="str">
        <f>$C$1606</f>
        <v>354600_2019_12_</v>
      </c>
      <c r="K2294" s="2703">
        <v>39600</v>
      </c>
      <c r="L2294" s="1811">
        <f t="shared" si="201"/>
        <v>3.3</v>
      </c>
      <c r="M2294" s="2718"/>
      <c r="N2294" s="157"/>
      <c r="O2294" s="277"/>
      <c r="P2294" s="277"/>
      <c r="Q2294" s="277"/>
      <c r="R2294" s="277"/>
      <c r="S2294" s="157"/>
      <c r="T2294" s="157"/>
      <c r="U2294" s="157"/>
      <c r="V2294" s="3589"/>
      <c r="W2294" s="766">
        <v>39600</v>
      </c>
      <c r="X2294" s="766">
        <v>39600</v>
      </c>
      <c r="Y2294" s="766">
        <v>39600</v>
      </c>
      <c r="Z2294" s="2426">
        <v>39600</v>
      </c>
      <c r="AA2294" s="2426">
        <v>39600</v>
      </c>
      <c r="AB2294" s="2703">
        <v>39600</v>
      </c>
      <c r="AC2294" s="766"/>
      <c r="AD2294" s="766"/>
      <c r="AE2294" s="766"/>
      <c r="AF2294" s="766"/>
      <c r="AG2294" s="766"/>
      <c r="BB2294" s="647"/>
      <c r="BC2294" s="648"/>
      <c r="BD2294" s="757"/>
      <c r="BE2294" s="659"/>
    </row>
    <row r="2295" spans="1:57" s="64" customFormat="1" ht="15" customHeight="1" outlineLevel="1" x14ac:dyDescent="0.25">
      <c r="A2295" s="1393"/>
      <c r="B2295" s="157"/>
      <c r="C2295" s="385"/>
      <c r="D2295" s="3589"/>
      <c r="E2295" s="3721"/>
      <c r="F2295" s="3773" t="str">
        <f>$E$1608</f>
        <v>ASHP - SEER 20 - replace electric furnace / CAC - early replacement MF ER1</v>
      </c>
      <c r="G2295" s="3774"/>
      <c r="H2295" s="3774"/>
      <c r="I2295" s="3775"/>
      <c r="J2295" s="3071" t="str">
        <f>$C$1608</f>
        <v>354650_2019_12_</v>
      </c>
      <c r="K2295" s="2703">
        <v>37200</v>
      </c>
      <c r="L2295" s="1811">
        <f t="shared" si="201"/>
        <v>3.1</v>
      </c>
      <c r="M2295" s="2718"/>
      <c r="N2295" s="157"/>
      <c r="O2295" s="277"/>
      <c r="P2295" s="277"/>
      <c r="Q2295" s="277"/>
      <c r="R2295" s="277"/>
      <c r="S2295" s="157"/>
      <c r="T2295" s="157"/>
      <c r="U2295" s="157"/>
      <c r="V2295" s="3589"/>
      <c r="W2295" s="766">
        <v>37200</v>
      </c>
      <c r="X2295" s="766">
        <v>37200</v>
      </c>
      <c r="Y2295" s="766">
        <v>37200</v>
      </c>
      <c r="Z2295" s="2426">
        <v>37200</v>
      </c>
      <c r="AA2295" s="2426">
        <v>37200</v>
      </c>
      <c r="AB2295" s="2703">
        <v>37200</v>
      </c>
      <c r="AC2295" s="766"/>
      <c r="AD2295" s="766"/>
      <c r="AE2295" s="766"/>
      <c r="AF2295" s="766"/>
      <c r="AG2295" s="766"/>
      <c r="BB2295" s="647"/>
      <c r="BC2295" s="648"/>
      <c r="BD2295" s="757"/>
      <c r="BE2295" s="659"/>
    </row>
    <row r="2296" spans="1:57" s="64" customFormat="1" ht="15" customHeight="1" outlineLevel="1" x14ac:dyDescent="0.25">
      <c r="A2296" s="1393"/>
      <c r="B2296" s="157"/>
      <c r="C2296" s="385"/>
      <c r="D2296" s="3589"/>
      <c r="E2296" s="3721"/>
      <c r="F2296" s="3773" t="str">
        <f>$E$1610</f>
        <v>ASHP - SEER 20 - replace electric furnace / CAC - early replacement MF ER2</v>
      </c>
      <c r="G2296" s="3774"/>
      <c r="H2296" s="3774"/>
      <c r="I2296" s="3775"/>
      <c r="J2296" s="3071" t="str">
        <f>$C$1610</f>
        <v>354650_2019_12_</v>
      </c>
      <c r="K2296" s="2703">
        <v>37200</v>
      </c>
      <c r="L2296" s="1811">
        <f t="shared" si="201"/>
        <v>3.1</v>
      </c>
      <c r="M2296" s="929"/>
      <c r="N2296" s="157"/>
      <c r="O2296" s="277"/>
      <c r="P2296" s="277"/>
      <c r="Q2296" s="277"/>
      <c r="R2296" s="277"/>
      <c r="S2296" s="157"/>
      <c r="T2296" s="157"/>
      <c r="U2296" s="157"/>
      <c r="V2296" s="3589"/>
      <c r="W2296" s="766">
        <v>37200</v>
      </c>
      <c r="X2296" s="766">
        <v>37200</v>
      </c>
      <c r="Y2296" s="766">
        <v>37200</v>
      </c>
      <c r="Z2296" s="2426">
        <v>37200</v>
      </c>
      <c r="AA2296" s="2426">
        <v>37200</v>
      </c>
      <c r="AB2296" s="2703">
        <v>37200</v>
      </c>
      <c r="AC2296" s="766"/>
      <c r="AD2296" s="766"/>
      <c r="AE2296" s="766"/>
      <c r="AF2296" s="766"/>
      <c r="AG2296" s="766"/>
      <c r="BB2296" s="647"/>
      <c r="BC2296" s="648"/>
      <c r="BD2296" s="757"/>
      <c r="BE2296" s="659"/>
    </row>
    <row r="2297" spans="1:57" s="64" customFormat="1" ht="15" customHeight="1" outlineLevel="1" x14ac:dyDescent="0.25">
      <c r="A2297" s="1393"/>
      <c r="B2297" s="157"/>
      <c r="C2297" s="385"/>
      <c r="D2297" s="3589"/>
      <c r="E2297" s="3721"/>
      <c r="F2297" s="3773" t="str">
        <f>$E$1612</f>
        <v>ASHP - SEER 20 - replace electric furnace / CAC - early replacement MF ER1_CompE</v>
      </c>
      <c r="G2297" s="3774"/>
      <c r="H2297" s="3774"/>
      <c r="I2297" s="3775"/>
      <c r="J2297" s="3071" t="str">
        <f>$C$1612</f>
        <v>354651_2019_12_</v>
      </c>
      <c r="K2297" s="2703">
        <v>37200</v>
      </c>
      <c r="L2297" s="1811">
        <f t="shared" si="201"/>
        <v>3.1</v>
      </c>
      <c r="M2297" s="929"/>
      <c r="N2297" s="157"/>
      <c r="O2297" s="277"/>
      <c r="P2297" s="277"/>
      <c r="Q2297" s="277"/>
      <c r="R2297" s="277"/>
      <c r="S2297" s="157"/>
      <c r="T2297" s="157"/>
      <c r="U2297" s="157"/>
      <c r="V2297" s="3589"/>
      <c r="W2297" s="766"/>
      <c r="X2297" s="766"/>
      <c r="Y2297" s="765">
        <v>37200</v>
      </c>
      <c r="Z2297" s="2426">
        <v>37200</v>
      </c>
      <c r="AA2297" s="2426">
        <v>37200</v>
      </c>
      <c r="AB2297" s="2703">
        <v>37200</v>
      </c>
      <c r="AC2297" s="766"/>
      <c r="AD2297" s="766"/>
      <c r="AE2297" s="766"/>
      <c r="AF2297" s="766"/>
      <c r="AG2297" s="766"/>
      <c r="BB2297" s="647"/>
      <c r="BC2297" s="648"/>
      <c r="BD2297" s="757"/>
      <c r="BE2297" s="659"/>
    </row>
    <row r="2298" spans="1:57" s="64" customFormat="1" ht="15" customHeight="1" outlineLevel="1" x14ac:dyDescent="0.25">
      <c r="A2298" s="1393"/>
      <c r="B2298" s="157"/>
      <c r="C2298" s="385"/>
      <c r="D2298" s="3589"/>
      <c r="E2298" s="3721"/>
      <c r="F2298" s="3773" t="str">
        <f>$E$1614</f>
        <v>ASHP - SEER 20 - replace electric furnace / CAC - early replacement MF ER2_CompE</v>
      </c>
      <c r="G2298" s="3774"/>
      <c r="H2298" s="3774"/>
      <c r="I2298" s="3775"/>
      <c r="J2298" s="3071" t="str">
        <f>$C$1614</f>
        <v>354651_2019_12_</v>
      </c>
      <c r="K2298" s="2703">
        <v>37200</v>
      </c>
      <c r="L2298" s="1811">
        <f t="shared" si="201"/>
        <v>3.1</v>
      </c>
      <c r="M2298" s="929"/>
      <c r="N2298" s="157"/>
      <c r="O2298" s="277"/>
      <c r="P2298" s="277"/>
      <c r="Q2298" s="277"/>
      <c r="R2298" s="277"/>
      <c r="S2298" s="157"/>
      <c r="T2298" s="157"/>
      <c r="U2298" s="157"/>
      <c r="V2298" s="3589"/>
      <c r="W2298" s="766"/>
      <c r="X2298" s="766"/>
      <c r="Y2298" s="765">
        <v>37200</v>
      </c>
      <c r="Z2298" s="2426">
        <v>37200</v>
      </c>
      <c r="AA2298" s="2426">
        <v>37200</v>
      </c>
      <c r="AB2298" s="2703">
        <v>37200</v>
      </c>
      <c r="AC2298" s="766"/>
      <c r="AD2298" s="766"/>
      <c r="AE2298" s="766"/>
      <c r="AF2298" s="766"/>
      <c r="AG2298" s="766"/>
      <c r="BB2298" s="647"/>
      <c r="BC2298" s="648"/>
      <c r="BD2298" s="757"/>
      <c r="BE2298" s="659"/>
    </row>
    <row r="2299" spans="1:57" s="64" customFormat="1" ht="15" customHeight="1" outlineLevel="1" x14ac:dyDescent="0.25">
      <c r="A2299" s="1393"/>
      <c r="B2299" s="157"/>
      <c r="C2299" s="385"/>
      <c r="D2299" s="3589"/>
      <c r="E2299" s="3721"/>
      <c r="F2299" s="3773" t="str">
        <f>$E$1616</f>
        <v>ASHP SEER 20 replace ASHP - early replacement MF ER1</v>
      </c>
      <c r="G2299" s="3774"/>
      <c r="H2299" s="3774"/>
      <c r="I2299" s="3775"/>
      <c r="J2299" s="3071" t="str">
        <f>$C$1616</f>
        <v>354700_2019_12_</v>
      </c>
      <c r="K2299" s="2703">
        <v>39600</v>
      </c>
      <c r="L2299" s="1811">
        <f t="shared" si="201"/>
        <v>3.3</v>
      </c>
      <c r="M2299" s="929"/>
      <c r="N2299" s="157"/>
      <c r="O2299" s="277"/>
      <c r="P2299" s="277"/>
      <c r="Q2299" s="277"/>
      <c r="R2299" s="277"/>
      <c r="S2299" s="157"/>
      <c r="T2299" s="157"/>
      <c r="U2299" s="157"/>
      <c r="V2299" s="3589"/>
      <c r="W2299" s="766">
        <v>39600</v>
      </c>
      <c r="X2299" s="766">
        <v>39600</v>
      </c>
      <c r="Y2299" s="766">
        <v>39600</v>
      </c>
      <c r="Z2299" s="2426">
        <v>39600</v>
      </c>
      <c r="AA2299" s="2426">
        <v>39600</v>
      </c>
      <c r="AB2299" s="2703">
        <v>39600</v>
      </c>
      <c r="AC2299" s="766"/>
      <c r="AD2299" s="766"/>
      <c r="AE2299" s="766"/>
      <c r="AF2299" s="766"/>
      <c r="AG2299" s="766"/>
      <c r="BB2299" s="647"/>
      <c r="BC2299" s="648"/>
      <c r="BD2299" s="757"/>
      <c r="BE2299" s="659"/>
    </row>
    <row r="2300" spans="1:57" s="64" customFormat="1" ht="15" customHeight="1" outlineLevel="1" x14ac:dyDescent="0.25">
      <c r="A2300" s="1393"/>
      <c r="B2300" s="157"/>
      <c r="C2300" s="385"/>
      <c r="D2300" s="3589"/>
      <c r="E2300" s="3721"/>
      <c r="F2300" s="3773" t="str">
        <f>$E$1618</f>
        <v>ASHP SEER 20 replace ASHP - early replacement MF ER2</v>
      </c>
      <c r="G2300" s="3774"/>
      <c r="H2300" s="3774"/>
      <c r="I2300" s="3775"/>
      <c r="J2300" s="3071" t="str">
        <f>$C$1618</f>
        <v>354700_2019_12_</v>
      </c>
      <c r="K2300" s="2703">
        <v>39600</v>
      </c>
      <c r="L2300" s="1811">
        <f t="shared" si="201"/>
        <v>3.3</v>
      </c>
      <c r="M2300" s="929"/>
      <c r="N2300" s="157"/>
      <c r="O2300" s="277"/>
      <c r="P2300" s="277"/>
      <c r="Q2300" s="277"/>
      <c r="R2300" s="277"/>
      <c r="S2300" s="157"/>
      <c r="T2300" s="157"/>
      <c r="U2300" s="157"/>
      <c r="V2300" s="3589"/>
      <c r="W2300" s="766">
        <v>39600</v>
      </c>
      <c r="X2300" s="766">
        <v>39600</v>
      </c>
      <c r="Y2300" s="766">
        <v>39600</v>
      </c>
      <c r="Z2300" s="2426">
        <v>39600</v>
      </c>
      <c r="AA2300" s="2426">
        <v>39600</v>
      </c>
      <c r="AB2300" s="2703">
        <v>39600</v>
      </c>
      <c r="AC2300" s="766"/>
      <c r="AD2300" s="766"/>
      <c r="AE2300" s="766"/>
      <c r="AF2300" s="766"/>
      <c r="AG2300" s="766"/>
      <c r="BB2300" s="647"/>
      <c r="BC2300" s="648"/>
      <c r="BD2300" s="757"/>
      <c r="BE2300" s="659"/>
    </row>
    <row r="2301" spans="1:57" s="64" customFormat="1" ht="15" customHeight="1" outlineLevel="1" x14ac:dyDescent="0.25">
      <c r="A2301" s="1393"/>
      <c r="B2301" s="157"/>
      <c r="C2301" s="385"/>
      <c r="D2301" s="3589"/>
      <c r="E2301" s="3721"/>
      <c r="F2301" s="3773" t="str">
        <f>$E$1620</f>
        <v>ASHP SEER 20 replace ASHP - early replacement MF ER1_CompE</v>
      </c>
      <c r="G2301" s="3774"/>
      <c r="H2301" s="3774"/>
      <c r="I2301" s="3775"/>
      <c r="J2301" s="3071" t="str">
        <f>$C$1620</f>
        <v>354701_2019_12_</v>
      </c>
      <c r="K2301" s="2703">
        <v>39600</v>
      </c>
      <c r="L2301" s="1811">
        <f t="shared" si="201"/>
        <v>3.3</v>
      </c>
      <c r="M2301" s="929"/>
      <c r="N2301" s="157"/>
      <c r="O2301" s="277"/>
      <c r="P2301" s="277"/>
      <c r="Q2301" s="277"/>
      <c r="R2301" s="277"/>
      <c r="S2301" s="157"/>
      <c r="T2301" s="157"/>
      <c r="U2301" s="157"/>
      <c r="V2301" s="3589"/>
      <c r="W2301" s="766"/>
      <c r="X2301" s="766"/>
      <c r="Y2301" s="765">
        <v>39600</v>
      </c>
      <c r="Z2301" s="2426">
        <v>39600</v>
      </c>
      <c r="AA2301" s="2426">
        <v>39600</v>
      </c>
      <c r="AB2301" s="2703">
        <v>39600</v>
      </c>
      <c r="AC2301" s="766"/>
      <c r="AD2301" s="766"/>
      <c r="AE2301" s="766"/>
      <c r="AF2301" s="766"/>
      <c r="AG2301" s="766"/>
      <c r="BB2301" s="647"/>
      <c r="BC2301" s="648"/>
      <c r="BD2301" s="757"/>
      <c r="BE2301" s="659"/>
    </row>
    <row r="2302" spans="1:57" s="64" customFormat="1" ht="15" customHeight="1" outlineLevel="1" x14ac:dyDescent="0.25">
      <c r="A2302" s="1393"/>
      <c r="B2302" s="157"/>
      <c r="C2302" s="385"/>
      <c r="D2302" s="3589"/>
      <c r="E2302" s="3721"/>
      <c r="F2302" s="3773" t="str">
        <f>$E$1622</f>
        <v>ASHP SEER 20 replace ASHP - early replacement MF ER2_CompE</v>
      </c>
      <c r="G2302" s="3774"/>
      <c r="H2302" s="3774"/>
      <c r="I2302" s="3775"/>
      <c r="J2302" s="3071" t="str">
        <f>$C$1622</f>
        <v>354701_2019_12_</v>
      </c>
      <c r="K2302" s="2703">
        <v>39600</v>
      </c>
      <c r="L2302" s="1811">
        <f t="shared" si="201"/>
        <v>3.3</v>
      </c>
      <c r="M2302" s="929"/>
      <c r="N2302" s="157"/>
      <c r="O2302" s="277"/>
      <c r="P2302" s="277"/>
      <c r="Q2302" s="277"/>
      <c r="R2302" s="277"/>
      <c r="S2302" s="157"/>
      <c r="T2302" s="157"/>
      <c r="U2302" s="157"/>
      <c r="V2302" s="3589"/>
      <c r="W2302" s="766"/>
      <c r="X2302" s="766"/>
      <c r="Y2302" s="765">
        <v>39600</v>
      </c>
      <c r="Z2302" s="2426">
        <v>39600</v>
      </c>
      <c r="AA2302" s="2426">
        <v>39600</v>
      </c>
      <c r="AB2302" s="2703">
        <v>39600</v>
      </c>
      <c r="AC2302" s="766"/>
      <c r="AD2302" s="766"/>
      <c r="AE2302" s="766"/>
      <c r="AF2302" s="766"/>
      <c r="AG2302" s="766"/>
      <c r="BB2302" s="647"/>
      <c r="BC2302" s="648"/>
      <c r="BD2302" s="757"/>
      <c r="BE2302" s="659"/>
    </row>
    <row r="2303" spans="1:57" s="64" customFormat="1" ht="15" customHeight="1" outlineLevel="1" x14ac:dyDescent="0.25">
      <c r="A2303" s="1393"/>
      <c r="B2303" s="157"/>
      <c r="C2303" s="385"/>
      <c r="D2303" s="3589"/>
      <c r="E2303" s="3721"/>
      <c r="F2303" s="3773" t="str">
        <f>$E$1624</f>
        <v>ASHP SEER 21 replace ASHP - early replacement SF ER1</v>
      </c>
      <c r="G2303" s="3774"/>
      <c r="H2303" s="3774"/>
      <c r="I2303" s="3775"/>
      <c r="J2303" s="3071" t="str">
        <f>$C$1624</f>
        <v>354750_2019_12_</v>
      </c>
      <c r="K2303" s="2703">
        <v>39600</v>
      </c>
      <c r="L2303" s="1811">
        <f t="shared" si="201"/>
        <v>3.3</v>
      </c>
      <c r="M2303" s="929"/>
      <c r="N2303" s="157"/>
      <c r="O2303" s="277"/>
      <c r="P2303" s="277"/>
      <c r="Q2303" s="277"/>
      <c r="R2303" s="277"/>
      <c r="S2303" s="157"/>
      <c r="T2303" s="157"/>
      <c r="U2303" s="157"/>
      <c r="V2303" s="3589"/>
      <c r="W2303" s="766">
        <v>39600</v>
      </c>
      <c r="X2303" s="766">
        <v>39600</v>
      </c>
      <c r="Y2303" s="766">
        <v>39600</v>
      </c>
      <c r="Z2303" s="2426">
        <v>39600</v>
      </c>
      <c r="AA2303" s="2426">
        <v>39600</v>
      </c>
      <c r="AB2303" s="2703">
        <v>39600</v>
      </c>
      <c r="AC2303" s="766"/>
      <c r="AD2303" s="766"/>
      <c r="AE2303" s="766"/>
      <c r="AF2303" s="766"/>
      <c r="AG2303" s="766"/>
      <c r="BB2303" s="647"/>
      <c r="BC2303" s="648"/>
      <c r="BD2303" s="757"/>
      <c r="BE2303" s="659"/>
    </row>
    <row r="2304" spans="1:57" s="64" customFormat="1" ht="15" customHeight="1" outlineLevel="1" x14ac:dyDescent="0.25">
      <c r="A2304" s="1393"/>
      <c r="B2304" s="157"/>
      <c r="C2304" s="385"/>
      <c r="D2304" s="3589"/>
      <c r="E2304" s="3721"/>
      <c r="F2304" s="3773" t="str">
        <f>$E$1626</f>
        <v>ASHP SEER 21 replace ASHP - early replacement SF ER2</v>
      </c>
      <c r="G2304" s="3774"/>
      <c r="H2304" s="3774"/>
      <c r="I2304" s="3775"/>
      <c r="J2304" s="3071" t="str">
        <f>$C$1626</f>
        <v>354750_2019_12_</v>
      </c>
      <c r="K2304" s="2703">
        <v>39600</v>
      </c>
      <c r="L2304" s="1811">
        <f t="shared" si="201"/>
        <v>3.3</v>
      </c>
      <c r="M2304" s="929"/>
      <c r="N2304" s="157"/>
      <c r="O2304" s="277"/>
      <c r="P2304" s="277"/>
      <c r="Q2304" s="277"/>
      <c r="R2304" s="277"/>
      <c r="S2304" s="157"/>
      <c r="T2304" s="157"/>
      <c r="U2304" s="157"/>
      <c r="V2304" s="3589"/>
      <c r="W2304" s="766">
        <v>39600</v>
      </c>
      <c r="X2304" s="766">
        <v>39600</v>
      </c>
      <c r="Y2304" s="766">
        <v>39600</v>
      </c>
      <c r="Z2304" s="2426">
        <v>39600</v>
      </c>
      <c r="AA2304" s="2426">
        <v>39600</v>
      </c>
      <c r="AB2304" s="2703">
        <v>39600</v>
      </c>
      <c r="AC2304" s="766"/>
      <c r="AD2304" s="766"/>
      <c r="AE2304" s="766"/>
      <c r="AF2304" s="766"/>
      <c r="AG2304" s="766"/>
      <c r="BB2304" s="647"/>
      <c r="BC2304" s="648"/>
      <c r="BD2304" s="757"/>
      <c r="BE2304" s="659"/>
    </row>
    <row r="2305" spans="1:57" s="64" customFormat="1" ht="15" customHeight="1" outlineLevel="1" x14ac:dyDescent="0.25">
      <c r="A2305" s="1393"/>
      <c r="B2305" s="157"/>
      <c r="C2305" s="385"/>
      <c r="D2305" s="3589"/>
      <c r="E2305" s="3721"/>
      <c r="F2305" s="3773" t="str">
        <f>$E$1628</f>
        <v>ASHP SEER 21 replace ASHP - replace on fail SF</v>
      </c>
      <c r="G2305" s="3774"/>
      <c r="H2305" s="3774"/>
      <c r="I2305" s="3775"/>
      <c r="J2305" s="3071" t="str">
        <f>$C$1628</f>
        <v>354800_2019_12_</v>
      </c>
      <c r="K2305" s="2703">
        <v>39600</v>
      </c>
      <c r="L2305" s="1811">
        <f t="shared" si="201"/>
        <v>3.3</v>
      </c>
      <c r="M2305" s="929"/>
      <c r="N2305" s="157"/>
      <c r="O2305" s="277"/>
      <c r="P2305" s="277"/>
      <c r="Q2305" s="277"/>
      <c r="R2305" s="277"/>
      <c r="S2305" s="157"/>
      <c r="T2305" s="157"/>
      <c r="U2305" s="157"/>
      <c r="V2305" s="3589"/>
      <c r="W2305" s="766">
        <v>39600</v>
      </c>
      <c r="X2305" s="766">
        <v>39600</v>
      </c>
      <c r="Y2305" s="766">
        <v>39600</v>
      </c>
      <c r="Z2305" s="2426">
        <v>39600</v>
      </c>
      <c r="AA2305" s="2426">
        <v>39600</v>
      </c>
      <c r="AB2305" s="2703">
        <v>39600</v>
      </c>
      <c r="AC2305" s="766"/>
      <c r="AD2305" s="766"/>
      <c r="AE2305" s="766"/>
      <c r="AF2305" s="766"/>
      <c r="AG2305" s="766"/>
      <c r="BB2305" s="647"/>
      <c r="BC2305" s="648"/>
      <c r="BD2305" s="757"/>
      <c r="BE2305" s="659"/>
    </row>
    <row r="2306" spans="1:57" s="64" customFormat="1" ht="15" customHeight="1" outlineLevel="1" x14ac:dyDescent="0.25">
      <c r="A2306" s="1393"/>
      <c r="B2306" s="157"/>
      <c r="C2306" s="385"/>
      <c r="D2306" s="3589"/>
      <c r="E2306" s="3721"/>
      <c r="F2306" s="3773" t="str">
        <f>$E$1630</f>
        <v>ASHP - SEER 21 - replace electric furnace / CAC MF</v>
      </c>
      <c r="G2306" s="3774"/>
      <c r="H2306" s="3774"/>
      <c r="I2306" s="3775"/>
      <c r="J2306" s="3071" t="str">
        <f>$C$1630</f>
        <v>354850_2019_12_</v>
      </c>
      <c r="K2306" s="2703">
        <v>33600</v>
      </c>
      <c r="L2306" s="1811">
        <f t="shared" si="201"/>
        <v>2.8</v>
      </c>
      <c r="M2306" s="929"/>
      <c r="N2306" s="157"/>
      <c r="O2306" s="277"/>
      <c r="P2306" s="277"/>
      <c r="Q2306" s="277"/>
      <c r="R2306" s="277"/>
      <c r="S2306" s="157"/>
      <c r="T2306" s="157"/>
      <c r="U2306" s="157"/>
      <c r="V2306" s="3589"/>
      <c r="W2306" s="766">
        <v>33600</v>
      </c>
      <c r="X2306" s="766">
        <v>33600</v>
      </c>
      <c r="Y2306" s="766">
        <v>33600</v>
      </c>
      <c r="Z2306" s="2426">
        <v>33600</v>
      </c>
      <c r="AA2306" s="2426">
        <v>33600</v>
      </c>
      <c r="AB2306" s="2703">
        <v>33600</v>
      </c>
      <c r="AC2306" s="766"/>
      <c r="AD2306" s="766"/>
      <c r="AE2306" s="766"/>
      <c r="AF2306" s="766"/>
      <c r="AG2306" s="766"/>
      <c r="BB2306" s="647"/>
      <c r="BC2306" s="648"/>
      <c r="BD2306" s="757"/>
      <c r="BE2306" s="659"/>
    </row>
    <row r="2307" spans="1:57" s="64" customFormat="1" ht="15" customHeight="1" outlineLevel="1" x14ac:dyDescent="0.25">
      <c r="A2307" s="1393"/>
      <c r="B2307" s="157"/>
      <c r="C2307" s="385"/>
      <c r="D2307" s="3589"/>
      <c r="E2307" s="3721"/>
      <c r="F2307" s="3773" t="str">
        <f>$E$1632</f>
        <v>ASHP - SEER 21 - replace electric furnace / CAC MF_CompE</v>
      </c>
      <c r="G2307" s="3774"/>
      <c r="H2307" s="3774"/>
      <c r="I2307" s="3775"/>
      <c r="J2307" s="3071" t="str">
        <f>$C$1632</f>
        <v>354851_2019_12_</v>
      </c>
      <c r="K2307" s="2703">
        <v>33600</v>
      </c>
      <c r="L2307" s="1811">
        <f t="shared" si="201"/>
        <v>2.8</v>
      </c>
      <c r="M2307" s="929"/>
      <c r="N2307" s="157"/>
      <c r="O2307" s="277"/>
      <c r="P2307" s="277"/>
      <c r="Q2307" s="277"/>
      <c r="R2307" s="277"/>
      <c r="S2307" s="157"/>
      <c r="T2307" s="157"/>
      <c r="U2307" s="157"/>
      <c r="V2307" s="3589"/>
      <c r="W2307" s="766"/>
      <c r="X2307" s="766"/>
      <c r="Y2307" s="765">
        <v>33600</v>
      </c>
      <c r="Z2307" s="2426">
        <v>33600</v>
      </c>
      <c r="AA2307" s="2426">
        <v>33600</v>
      </c>
      <c r="AB2307" s="2703">
        <v>33600</v>
      </c>
      <c r="AC2307" s="766"/>
      <c r="AD2307" s="766"/>
      <c r="AE2307" s="766"/>
      <c r="AF2307" s="766"/>
      <c r="AG2307" s="766"/>
      <c r="BB2307" s="647"/>
      <c r="BC2307" s="648"/>
      <c r="BD2307" s="757"/>
      <c r="BE2307" s="659"/>
    </row>
    <row r="2308" spans="1:57" s="64" customFormat="1" ht="15" customHeight="1" outlineLevel="1" x14ac:dyDescent="0.25">
      <c r="A2308" s="1393"/>
      <c r="B2308" s="157"/>
      <c r="C2308" s="385"/>
      <c r="D2308" s="3589"/>
      <c r="E2308" s="3721"/>
      <c r="F2308" s="3773" t="str">
        <f>$E$1634</f>
        <v>ASHP SEER 21 replace ASHP - early replacement MF ER1</v>
      </c>
      <c r="G2308" s="3774"/>
      <c r="H2308" s="3774"/>
      <c r="I2308" s="3775"/>
      <c r="J2308" s="3071" t="str">
        <f>$C$1634</f>
        <v>354900_2019_12_</v>
      </c>
      <c r="K2308" s="3056">
        <v>39600</v>
      </c>
      <c r="L2308" s="1811">
        <f t="shared" si="201"/>
        <v>3.3</v>
      </c>
      <c r="M2308" s="929"/>
      <c r="N2308" s="157"/>
      <c r="O2308" s="277"/>
      <c r="P2308" s="277"/>
      <c r="Q2308" s="277"/>
      <c r="R2308" s="277"/>
      <c r="S2308" s="157"/>
      <c r="T2308" s="157"/>
      <c r="U2308" s="157"/>
      <c r="V2308" s="3589"/>
      <c r="W2308" s="766">
        <v>39600</v>
      </c>
      <c r="X2308" s="766">
        <v>39600</v>
      </c>
      <c r="Y2308" s="766">
        <v>39600</v>
      </c>
      <c r="Z2308" s="2426">
        <v>39600</v>
      </c>
      <c r="AA2308" s="2426">
        <v>39600</v>
      </c>
      <c r="AB2308" s="2426">
        <v>39600</v>
      </c>
      <c r="AC2308" s="766"/>
      <c r="AD2308" s="766"/>
      <c r="AE2308" s="766"/>
      <c r="AF2308" s="766"/>
      <c r="AG2308" s="766"/>
      <c r="BB2308" s="647"/>
      <c r="BC2308" s="648"/>
      <c r="BD2308" s="757"/>
      <c r="BE2308" s="659"/>
    </row>
    <row r="2309" spans="1:57" s="64" customFormat="1" ht="15" customHeight="1" outlineLevel="1" x14ac:dyDescent="0.25">
      <c r="A2309" s="1393"/>
      <c r="B2309" s="157"/>
      <c r="C2309" s="385"/>
      <c r="D2309" s="3589"/>
      <c r="E2309" s="3721"/>
      <c r="F2309" s="3773" t="str">
        <f>$E$1636</f>
        <v>ASHP SEER 21 replace ASHP - early replacement MF ER2</v>
      </c>
      <c r="G2309" s="3774"/>
      <c r="H2309" s="3774"/>
      <c r="I2309" s="3775"/>
      <c r="J2309" s="3071" t="str">
        <f>$C$1636</f>
        <v>354900_2019_12_</v>
      </c>
      <c r="K2309" s="3056">
        <v>39600</v>
      </c>
      <c r="L2309" s="1811">
        <f t="shared" si="201"/>
        <v>3.3</v>
      </c>
      <c r="M2309" s="929"/>
      <c r="N2309" s="157"/>
      <c r="O2309" s="277"/>
      <c r="P2309" s="277"/>
      <c r="Q2309" s="277"/>
      <c r="R2309" s="277"/>
      <c r="S2309" s="157"/>
      <c r="T2309" s="157"/>
      <c r="U2309" s="157"/>
      <c r="V2309" s="3589"/>
      <c r="W2309" s="766">
        <v>39600</v>
      </c>
      <c r="X2309" s="766">
        <v>39600</v>
      </c>
      <c r="Y2309" s="766">
        <v>39600</v>
      </c>
      <c r="Z2309" s="2426">
        <v>39600</v>
      </c>
      <c r="AA2309" s="2426">
        <v>39600</v>
      </c>
      <c r="AB2309" s="2426">
        <v>39600</v>
      </c>
      <c r="AC2309" s="766"/>
      <c r="AD2309" s="766"/>
      <c r="AE2309" s="766"/>
      <c r="AF2309" s="766"/>
      <c r="AG2309" s="766"/>
      <c r="BB2309" s="647"/>
      <c r="BC2309" s="648"/>
      <c r="BD2309" s="757"/>
      <c r="BE2309" s="659"/>
    </row>
    <row r="2310" spans="1:57" s="64" customFormat="1" ht="15" customHeight="1" outlineLevel="1" x14ac:dyDescent="0.25">
      <c r="A2310" s="1393"/>
      <c r="B2310" s="157"/>
      <c r="C2310" s="385"/>
      <c r="D2310" s="3589"/>
      <c r="E2310" s="3721"/>
      <c r="F2310" s="3773" t="str">
        <f>$E$1638</f>
        <v>ASHP SEER 21 replace ASHP - early replacement MF ER1_CompE</v>
      </c>
      <c r="G2310" s="3774"/>
      <c r="H2310" s="3774"/>
      <c r="I2310" s="3775"/>
      <c r="J2310" s="3071" t="str">
        <f>$C$1638</f>
        <v>354901_2019_12_</v>
      </c>
      <c r="K2310" s="3056">
        <v>39600</v>
      </c>
      <c r="L2310" s="1811">
        <f t="shared" si="201"/>
        <v>3.3</v>
      </c>
      <c r="M2310" s="929"/>
      <c r="N2310" s="157"/>
      <c r="O2310" s="277"/>
      <c r="P2310" s="277"/>
      <c r="Q2310" s="277"/>
      <c r="R2310" s="277"/>
      <c r="S2310" s="157"/>
      <c r="T2310" s="157"/>
      <c r="U2310" s="157"/>
      <c r="V2310" s="3589"/>
      <c r="W2310" s="766"/>
      <c r="X2310" s="766"/>
      <c r="Y2310" s="765">
        <v>39600</v>
      </c>
      <c r="Z2310" s="2426">
        <v>39600</v>
      </c>
      <c r="AA2310" s="2426">
        <v>39600</v>
      </c>
      <c r="AB2310" s="2426">
        <v>39600</v>
      </c>
      <c r="AC2310" s="766"/>
      <c r="AD2310" s="766"/>
      <c r="AE2310" s="766"/>
      <c r="AF2310" s="766"/>
      <c r="AG2310" s="766"/>
      <c r="BB2310" s="647"/>
      <c r="BC2310" s="648"/>
      <c r="BD2310" s="757"/>
      <c r="BE2310" s="659"/>
    </row>
    <row r="2311" spans="1:57" s="64" customFormat="1" ht="15" customHeight="1" outlineLevel="1" x14ac:dyDescent="0.25">
      <c r="A2311" s="1393"/>
      <c r="B2311" s="157"/>
      <c r="C2311" s="385"/>
      <c r="D2311" s="3589"/>
      <c r="E2311" s="3721"/>
      <c r="F2311" s="3773" t="str">
        <f>$E$1640</f>
        <v>ASHP SEER 21 replace ASHP - early replacement MF ER2_CompE</v>
      </c>
      <c r="G2311" s="3774"/>
      <c r="H2311" s="3774"/>
      <c r="I2311" s="3775"/>
      <c r="J2311" s="3071" t="str">
        <f>$C$1640</f>
        <v>354901_2019_12_</v>
      </c>
      <c r="K2311" s="3056">
        <v>39600</v>
      </c>
      <c r="L2311" s="1811">
        <f t="shared" si="201"/>
        <v>3.3</v>
      </c>
      <c r="M2311" s="929"/>
      <c r="N2311" s="157"/>
      <c r="O2311" s="277"/>
      <c r="P2311" s="277"/>
      <c r="Q2311" s="277"/>
      <c r="R2311" s="277"/>
      <c r="S2311" s="157"/>
      <c r="T2311" s="157"/>
      <c r="U2311" s="157"/>
      <c r="V2311" s="3589"/>
      <c r="W2311" s="766"/>
      <c r="X2311" s="766"/>
      <c r="Y2311" s="765">
        <v>39600</v>
      </c>
      <c r="Z2311" s="2426">
        <v>39600</v>
      </c>
      <c r="AA2311" s="2426">
        <v>39600</v>
      </c>
      <c r="AB2311" s="2426">
        <v>39600</v>
      </c>
      <c r="AC2311" s="766"/>
      <c r="AD2311" s="766"/>
      <c r="AE2311" s="766"/>
      <c r="AF2311" s="766"/>
      <c r="AG2311" s="766"/>
      <c r="BB2311" s="647"/>
      <c r="BC2311" s="648"/>
      <c r="BD2311" s="757"/>
      <c r="BE2311" s="659"/>
    </row>
    <row r="2312" spans="1:57" s="64" customFormat="1" ht="15" customHeight="1" outlineLevel="1" x14ac:dyDescent="0.25">
      <c r="A2312" s="2463"/>
      <c r="B2312" s="157"/>
      <c r="C2312" s="385"/>
      <c r="D2312" s="3589"/>
      <c r="E2312" s="3721"/>
      <c r="F2312" s="3773" t="str">
        <f>$E$1642</f>
        <v>ASHP - SEER 17 - replace on fail MF</v>
      </c>
      <c r="G2312" s="3774"/>
      <c r="H2312" s="3774"/>
      <c r="I2312" s="3775"/>
      <c r="J2312" s="3071" t="str">
        <f>$C$1642</f>
        <v>354950_2019_12_</v>
      </c>
      <c r="K2312" s="3056">
        <v>39600</v>
      </c>
      <c r="L2312" s="1811">
        <f t="shared" si="201"/>
        <v>3.3</v>
      </c>
      <c r="M2312" s="929" t="s">
        <v>1503</v>
      </c>
      <c r="N2312" s="157"/>
      <c r="O2312" s="277"/>
      <c r="P2312" s="937"/>
      <c r="Q2312" s="938"/>
      <c r="R2312" s="937"/>
      <c r="S2312" s="924"/>
      <c r="T2312" s="1407"/>
      <c r="U2312" s="157"/>
      <c r="V2312" s="3589"/>
      <c r="W2312" s="766">
        <v>39600</v>
      </c>
      <c r="X2312" s="766">
        <v>39600</v>
      </c>
      <c r="Y2312" s="766">
        <v>39600</v>
      </c>
      <c r="Z2312" s="2426">
        <v>39600</v>
      </c>
      <c r="AA2312" s="2426">
        <v>39600</v>
      </c>
      <c r="AB2312" s="2426">
        <v>39600</v>
      </c>
      <c r="AC2312" s="766"/>
      <c r="AD2312" s="766"/>
      <c r="AE2312" s="766"/>
      <c r="AF2312" s="766"/>
      <c r="AG2312" s="766"/>
      <c r="BB2312" s="647"/>
      <c r="BC2312" s="648"/>
      <c r="BD2312" s="757"/>
      <c r="BE2312" s="659"/>
    </row>
    <row r="2313" spans="1:57" s="64" customFormat="1" ht="15" customHeight="1" outlineLevel="1" x14ac:dyDescent="0.25">
      <c r="A2313" s="2463"/>
      <c r="B2313" s="157"/>
      <c r="C2313" s="385"/>
      <c r="D2313" s="3589"/>
      <c r="E2313" s="3721"/>
      <c r="F2313" s="3773" t="str">
        <f>$E$1644</f>
        <v>ASHP - SEER 17 - replace on fail MF_CompE</v>
      </c>
      <c r="G2313" s="3774"/>
      <c r="H2313" s="3774"/>
      <c r="I2313" s="3775"/>
      <c r="J2313" s="3071" t="str">
        <f>$C$1644</f>
        <v>354951_2019_12_</v>
      </c>
      <c r="K2313" s="3056">
        <v>39600</v>
      </c>
      <c r="L2313" s="1811">
        <f t="shared" si="201"/>
        <v>3.3</v>
      </c>
      <c r="M2313" s="929"/>
      <c r="N2313" s="157"/>
      <c r="O2313" s="277"/>
      <c r="P2313" s="937"/>
      <c r="Q2313" s="938"/>
      <c r="R2313" s="937"/>
      <c r="S2313" s="924"/>
      <c r="T2313" s="1407"/>
      <c r="U2313" s="157"/>
      <c r="V2313" s="3589"/>
      <c r="W2313" s="766"/>
      <c r="X2313" s="766"/>
      <c r="Y2313" s="765">
        <v>39600</v>
      </c>
      <c r="Z2313" s="2426">
        <v>39600</v>
      </c>
      <c r="AA2313" s="2426">
        <v>39600</v>
      </c>
      <c r="AB2313" s="2426">
        <v>39600</v>
      </c>
      <c r="AC2313" s="766"/>
      <c r="AD2313" s="766"/>
      <c r="AE2313" s="766"/>
      <c r="AF2313" s="766"/>
      <c r="AG2313" s="766"/>
      <c r="BB2313" s="647"/>
      <c r="BC2313" s="648"/>
      <c r="BD2313" s="757"/>
      <c r="BE2313" s="659"/>
    </row>
    <row r="2314" spans="1:57" s="64" customFormat="1" ht="15" customHeight="1" outlineLevel="1" x14ac:dyDescent="0.25">
      <c r="A2314" s="2463"/>
      <c r="B2314" s="157"/>
      <c r="C2314" s="385"/>
      <c r="D2314" s="3589"/>
      <c r="E2314" s="3721"/>
      <c r="F2314" s="3773" t="str">
        <f>$E$1646</f>
        <v>ASHP - SEER 18 - replace on fail MF</v>
      </c>
      <c r="G2314" s="3774"/>
      <c r="H2314" s="3774"/>
      <c r="I2314" s="3775"/>
      <c r="J2314" s="3071" t="str">
        <f>$C$1646</f>
        <v>355000_2019_12_</v>
      </c>
      <c r="K2314" s="3056">
        <v>39600</v>
      </c>
      <c r="L2314" s="1811">
        <f t="shared" si="201"/>
        <v>3.3</v>
      </c>
      <c r="M2314" s="929" t="s">
        <v>1503</v>
      </c>
      <c r="N2314" s="157"/>
      <c r="O2314" s="277"/>
      <c r="P2314" s="937"/>
      <c r="Q2314" s="938"/>
      <c r="R2314" s="937"/>
      <c r="S2314" s="924"/>
      <c r="T2314" s="1407"/>
      <c r="U2314" s="157"/>
      <c r="V2314" s="3589"/>
      <c r="W2314" s="766">
        <v>39600</v>
      </c>
      <c r="X2314" s="766">
        <v>39600</v>
      </c>
      <c r="Y2314" s="766">
        <v>39600</v>
      </c>
      <c r="Z2314" s="2426">
        <v>39600</v>
      </c>
      <c r="AA2314" s="2426">
        <v>39600</v>
      </c>
      <c r="AB2314" s="2426">
        <v>39600</v>
      </c>
      <c r="AC2314" s="766"/>
      <c r="AD2314" s="766"/>
      <c r="AE2314" s="766"/>
      <c r="AF2314" s="766"/>
      <c r="AG2314" s="766"/>
      <c r="BB2314" s="647"/>
      <c r="BC2314" s="648"/>
      <c r="BD2314" s="757"/>
      <c r="BE2314" s="659"/>
    </row>
    <row r="2315" spans="1:57" s="64" customFormat="1" ht="15" customHeight="1" outlineLevel="1" x14ac:dyDescent="0.25">
      <c r="A2315" s="2463"/>
      <c r="B2315" s="157"/>
      <c r="C2315" s="385"/>
      <c r="D2315" s="3589"/>
      <c r="E2315" s="3721"/>
      <c r="F2315" s="3773" t="str">
        <f>$E$1648</f>
        <v>ASHP - SEER 18 - replace on fail MF_CompE</v>
      </c>
      <c r="G2315" s="3774"/>
      <c r="H2315" s="3774"/>
      <c r="I2315" s="3775"/>
      <c r="J2315" s="3071" t="str">
        <f>$C$1648</f>
        <v>355001_2019_12_</v>
      </c>
      <c r="K2315" s="3056">
        <v>39600</v>
      </c>
      <c r="L2315" s="1811">
        <f t="shared" si="201"/>
        <v>3.3</v>
      </c>
      <c r="M2315" s="929"/>
      <c r="N2315" s="157"/>
      <c r="O2315" s="277"/>
      <c r="P2315" s="937"/>
      <c r="Q2315" s="938"/>
      <c r="R2315" s="937"/>
      <c r="S2315" s="924"/>
      <c r="T2315" s="1407"/>
      <c r="U2315" s="157"/>
      <c r="V2315" s="3589"/>
      <c r="W2315" s="766"/>
      <c r="X2315" s="766"/>
      <c r="Y2315" s="765">
        <v>39600</v>
      </c>
      <c r="Z2315" s="2426">
        <v>39600</v>
      </c>
      <c r="AA2315" s="2426">
        <v>39600</v>
      </c>
      <c r="AB2315" s="2426">
        <v>39600</v>
      </c>
      <c r="AC2315" s="766"/>
      <c r="AD2315" s="766"/>
      <c r="AE2315" s="766"/>
      <c r="AF2315" s="766"/>
      <c r="AG2315" s="766"/>
      <c r="BB2315" s="647"/>
      <c r="BC2315" s="648"/>
      <c r="BD2315" s="757"/>
      <c r="BE2315" s="659"/>
    </row>
    <row r="2316" spans="1:57" s="64" customFormat="1" ht="15" customHeight="1" outlineLevel="1" x14ac:dyDescent="0.25">
      <c r="A2316" s="1393"/>
      <c r="B2316" s="157"/>
      <c r="C2316" s="385"/>
      <c r="D2316" s="3589"/>
      <c r="E2316" s="3721"/>
      <c r="F2316" s="3773" t="str">
        <f>$E$1650</f>
        <v>ASHP - SEER 19 - replace on fail MF</v>
      </c>
      <c r="G2316" s="3774"/>
      <c r="H2316" s="3774"/>
      <c r="I2316" s="3775"/>
      <c r="J2316" s="3071" t="str">
        <f>$C$1650</f>
        <v>355050_2019_12_</v>
      </c>
      <c r="K2316" s="3056">
        <v>39600</v>
      </c>
      <c r="L2316" s="1811">
        <f t="shared" si="201"/>
        <v>3.3</v>
      </c>
      <c r="M2316" s="929" t="s">
        <v>1503</v>
      </c>
      <c r="N2316" s="157"/>
      <c r="O2316" s="277"/>
      <c r="P2316" s="277"/>
      <c r="Q2316" s="277"/>
      <c r="R2316" s="277"/>
      <c r="S2316" s="157"/>
      <c r="T2316" s="157"/>
      <c r="U2316" s="157"/>
      <c r="V2316" s="3589"/>
      <c r="W2316" s="766">
        <v>39600</v>
      </c>
      <c r="X2316" s="766">
        <v>39600</v>
      </c>
      <c r="Y2316" s="766">
        <v>39600</v>
      </c>
      <c r="Z2316" s="2426">
        <v>39600</v>
      </c>
      <c r="AA2316" s="2426">
        <v>39600</v>
      </c>
      <c r="AB2316" s="2426">
        <v>39600</v>
      </c>
      <c r="AC2316" s="766"/>
      <c r="AD2316" s="766"/>
      <c r="AE2316" s="766"/>
      <c r="AF2316" s="766"/>
      <c r="AG2316" s="766"/>
      <c r="BB2316" s="647"/>
      <c r="BC2316" s="648"/>
      <c r="BD2316" s="757"/>
      <c r="BE2316" s="659"/>
    </row>
    <row r="2317" spans="1:57" s="64" customFormat="1" ht="15" customHeight="1" outlineLevel="1" x14ac:dyDescent="0.25">
      <c r="A2317" s="1393"/>
      <c r="B2317" s="157"/>
      <c r="C2317" s="385"/>
      <c r="D2317" s="3589"/>
      <c r="E2317" s="3721"/>
      <c r="F2317" s="3773" t="str">
        <f>$E$1652</f>
        <v>ASHP - SEER 19 - replace on fail MF_CompE</v>
      </c>
      <c r="G2317" s="3774"/>
      <c r="H2317" s="3774"/>
      <c r="I2317" s="3775"/>
      <c r="J2317" s="3071" t="str">
        <f>$C$1652</f>
        <v>355051_2019_12_</v>
      </c>
      <c r="K2317" s="3056">
        <v>39600</v>
      </c>
      <c r="L2317" s="1811">
        <f t="shared" si="201"/>
        <v>3.3</v>
      </c>
      <c r="M2317" s="929"/>
      <c r="N2317" s="157"/>
      <c r="O2317" s="277"/>
      <c r="P2317" s="277"/>
      <c r="Q2317" s="277"/>
      <c r="R2317" s="277"/>
      <c r="S2317" s="157"/>
      <c r="T2317" s="157"/>
      <c r="U2317" s="157"/>
      <c r="V2317" s="3589"/>
      <c r="W2317" s="766"/>
      <c r="X2317" s="766"/>
      <c r="Y2317" s="765">
        <v>39600</v>
      </c>
      <c r="Z2317" s="2426">
        <v>39600</v>
      </c>
      <c r="AA2317" s="2426">
        <v>39600</v>
      </c>
      <c r="AB2317" s="2426">
        <v>39600</v>
      </c>
      <c r="AC2317" s="766"/>
      <c r="AD2317" s="766"/>
      <c r="AE2317" s="766"/>
      <c r="AF2317" s="766"/>
      <c r="AG2317" s="766"/>
      <c r="BB2317" s="647"/>
      <c r="BC2317" s="648"/>
      <c r="BD2317" s="757"/>
      <c r="BE2317" s="659"/>
    </row>
    <row r="2318" spans="1:57" s="64" customFormat="1" ht="15" customHeight="1" outlineLevel="1" x14ac:dyDescent="0.25">
      <c r="A2318" s="1393"/>
      <c r="B2318" s="157"/>
      <c r="C2318" s="385"/>
      <c r="D2318" s="3589"/>
      <c r="E2318" s="3721"/>
      <c r="F2318" s="3773" t="str">
        <f>$E$1654</f>
        <v>ASHP - SEER 20 - replace on fail MF</v>
      </c>
      <c r="G2318" s="3774"/>
      <c r="H2318" s="3774"/>
      <c r="I2318" s="3775"/>
      <c r="J2318" s="3071" t="str">
        <f>$C$1654</f>
        <v>355100_2019_12_</v>
      </c>
      <c r="K2318" s="3056">
        <v>39600</v>
      </c>
      <c r="L2318" s="1811">
        <f t="shared" si="201"/>
        <v>3.3</v>
      </c>
      <c r="M2318" s="929" t="s">
        <v>1503</v>
      </c>
      <c r="N2318" s="157"/>
      <c r="O2318" s="277"/>
      <c r="P2318" s="277"/>
      <c r="Q2318" s="277"/>
      <c r="R2318" s="277"/>
      <c r="S2318" s="157"/>
      <c r="T2318" s="157"/>
      <c r="U2318" s="157"/>
      <c r="V2318" s="3589"/>
      <c r="W2318" s="766">
        <v>39600</v>
      </c>
      <c r="X2318" s="766">
        <v>39600</v>
      </c>
      <c r="Y2318" s="766">
        <v>39600</v>
      </c>
      <c r="Z2318" s="2426">
        <v>39600</v>
      </c>
      <c r="AA2318" s="2426">
        <v>39600</v>
      </c>
      <c r="AB2318" s="2426">
        <v>39600</v>
      </c>
      <c r="AC2318" s="766"/>
      <c r="AD2318" s="766"/>
      <c r="AE2318" s="766"/>
      <c r="AF2318" s="766"/>
      <c r="AG2318" s="766"/>
      <c r="BB2318" s="647"/>
      <c r="BC2318" s="648"/>
      <c r="BD2318" s="757"/>
      <c r="BE2318" s="659"/>
    </row>
    <row r="2319" spans="1:57" s="64" customFormat="1" ht="15" customHeight="1" outlineLevel="1" x14ac:dyDescent="0.25">
      <c r="A2319" s="1393"/>
      <c r="B2319" s="157"/>
      <c r="C2319" s="385"/>
      <c r="D2319" s="3589"/>
      <c r="E2319" s="3721"/>
      <c r="F2319" s="3773" t="str">
        <f>$E$1656</f>
        <v>ASHP - SEER 20 - replace on fail MF_CompE</v>
      </c>
      <c r="G2319" s="3774"/>
      <c r="H2319" s="3774"/>
      <c r="I2319" s="3775"/>
      <c r="J2319" s="3071" t="str">
        <f>$C$1656</f>
        <v>355101_2019_12_</v>
      </c>
      <c r="K2319" s="3056">
        <v>39600</v>
      </c>
      <c r="L2319" s="1811">
        <f t="shared" si="201"/>
        <v>3.3</v>
      </c>
      <c r="M2319" s="939"/>
      <c r="N2319" s="157"/>
      <c r="O2319" s="277"/>
      <c r="P2319" s="277"/>
      <c r="Q2319" s="277"/>
      <c r="R2319" s="277"/>
      <c r="S2319" s="157"/>
      <c r="T2319" s="157"/>
      <c r="U2319" s="157"/>
      <c r="V2319" s="3589"/>
      <c r="W2319" s="778"/>
      <c r="X2319" s="778"/>
      <c r="Y2319" s="765">
        <v>39600</v>
      </c>
      <c r="Z2319" s="2426">
        <v>39600</v>
      </c>
      <c r="AA2319" s="2426">
        <v>39600</v>
      </c>
      <c r="AB2319" s="2426">
        <v>39600</v>
      </c>
      <c r="AC2319" s="778"/>
      <c r="AD2319" s="778"/>
      <c r="AE2319" s="778"/>
      <c r="AF2319" s="778"/>
      <c r="AG2319" s="778"/>
      <c r="BB2319" s="647"/>
      <c r="BC2319" s="648"/>
      <c r="BD2319" s="757"/>
      <c r="BE2319" s="659"/>
    </row>
    <row r="2320" spans="1:57" s="64" customFormat="1" ht="15.75" customHeight="1" outlineLevel="1" x14ac:dyDescent="0.25">
      <c r="A2320" s="2463"/>
      <c r="B2320" s="157"/>
      <c r="C2320" s="385"/>
      <c r="D2320" s="3589"/>
      <c r="E2320" s="3721"/>
      <c r="F2320" s="3773" t="str">
        <f>$E$1658</f>
        <v>ASHP - SEER 21 - replace on fail MF</v>
      </c>
      <c r="G2320" s="3774"/>
      <c r="H2320" s="3774"/>
      <c r="I2320" s="3775"/>
      <c r="J2320" s="3071" t="str">
        <f>$C$1658</f>
        <v>355150_2019_12_</v>
      </c>
      <c r="K2320" s="3056">
        <v>39600</v>
      </c>
      <c r="L2320" s="1811">
        <f t="shared" si="201"/>
        <v>3.3</v>
      </c>
      <c r="M2320" s="929" t="s">
        <v>1503</v>
      </c>
      <c r="N2320" s="157"/>
      <c r="O2320" s="277"/>
      <c r="P2320" s="937"/>
      <c r="Q2320" s="938"/>
      <c r="R2320" s="937"/>
      <c r="S2320" s="924"/>
      <c r="T2320" s="1407"/>
      <c r="U2320" s="157"/>
      <c r="V2320" s="3589"/>
      <c r="W2320" s="778">
        <v>39600</v>
      </c>
      <c r="X2320" s="778">
        <v>39600</v>
      </c>
      <c r="Y2320" s="766">
        <v>39600</v>
      </c>
      <c r="Z2320" s="2426">
        <v>39600</v>
      </c>
      <c r="AA2320" s="2426">
        <v>39600</v>
      </c>
      <c r="AB2320" s="2426">
        <v>39600</v>
      </c>
      <c r="AC2320" s="778"/>
      <c r="AD2320" s="778"/>
      <c r="AE2320" s="778"/>
      <c r="AF2320" s="778"/>
      <c r="AG2320" s="778"/>
      <c r="BB2320" s="647"/>
      <c r="BC2320" s="648"/>
      <c r="BD2320" s="757"/>
      <c r="BE2320" s="659"/>
    </row>
    <row r="2321" spans="1:57" s="64" customFormat="1" ht="15.75" customHeight="1" outlineLevel="1" thickBot="1" x14ac:dyDescent="0.3">
      <c r="A2321" s="2463"/>
      <c r="B2321" s="157"/>
      <c r="C2321" s="385"/>
      <c r="D2321" s="3591"/>
      <c r="E2321" s="3722"/>
      <c r="F2321" s="1807" t="str">
        <f>$E$1660</f>
        <v>ASHP - SEER 21 - replace on fail MF_CompE</v>
      </c>
      <c r="G2321" s="940"/>
      <c r="H2321" s="940"/>
      <c r="I2321" s="941"/>
      <c r="J2321" s="1807" t="str">
        <f>$C$1660</f>
        <v>355151_2019_12_</v>
      </c>
      <c r="K2321" s="949">
        <v>39600</v>
      </c>
      <c r="L2321" s="1812">
        <f>K2321/12000</f>
        <v>3.3</v>
      </c>
      <c r="M2321" s="951"/>
      <c r="N2321" s="157"/>
      <c r="O2321" s="277"/>
      <c r="P2321" s="937"/>
      <c r="Q2321" s="938"/>
      <c r="R2321" s="937"/>
      <c r="S2321" s="924"/>
      <c r="T2321" s="1407"/>
      <c r="U2321" s="157"/>
      <c r="V2321" s="3591"/>
      <c r="W2321" s="792"/>
      <c r="X2321" s="792"/>
      <c r="Y2321" s="947">
        <v>39600</v>
      </c>
      <c r="Z2321" s="949">
        <v>39600</v>
      </c>
      <c r="AA2321" s="949">
        <v>39600</v>
      </c>
      <c r="AB2321" s="949">
        <v>39600</v>
      </c>
      <c r="AC2321" s="792"/>
      <c r="AD2321" s="792"/>
      <c r="AE2321" s="792"/>
      <c r="AF2321" s="792"/>
      <c r="AG2321" s="792"/>
      <c r="BB2321" s="647"/>
      <c r="BC2321" s="648"/>
      <c r="BD2321" s="757"/>
      <c r="BE2321" s="659"/>
    </row>
    <row r="2322" spans="1:57" s="64" customFormat="1" ht="15" customHeight="1" outlineLevel="1" x14ac:dyDescent="0.25">
      <c r="A2322" s="2463"/>
      <c r="B2322" s="157"/>
      <c r="C2322" s="385"/>
      <c r="D2322" s="3588" t="s">
        <v>1298</v>
      </c>
      <c r="E2322" s="3720" t="s">
        <v>1299</v>
      </c>
      <c r="F2322" s="3771" t="str">
        <f>$E$1406</f>
        <v>ASHP - SEER 15 ER Elec Resist Furnace: HVAC ER1</v>
      </c>
      <c r="G2322" s="3771"/>
      <c r="H2322" s="3771"/>
      <c r="I2322" s="3771"/>
      <c r="J2322" s="3070" t="str">
        <f>$C$1406</f>
        <v>352300_2019_12_</v>
      </c>
      <c r="K2322" s="3065">
        <v>869</v>
      </c>
      <c r="L2322" s="833"/>
      <c r="M2322" s="952" t="s">
        <v>1198</v>
      </c>
      <c r="N2322" s="157"/>
      <c r="O2322" s="277"/>
      <c r="P2322" s="937"/>
      <c r="Q2322" s="937"/>
      <c r="R2322" s="937"/>
      <c r="S2322" s="924"/>
      <c r="T2322" s="1407"/>
      <c r="U2322" s="157"/>
      <c r="V2322" s="3588" t="s">
        <v>1298</v>
      </c>
      <c r="W2322" s="781">
        <v>869</v>
      </c>
      <c r="X2322" s="781">
        <v>869</v>
      </c>
      <c r="Y2322" s="781">
        <v>869</v>
      </c>
      <c r="Z2322" s="781">
        <v>869</v>
      </c>
      <c r="AA2322" s="781">
        <v>869</v>
      </c>
      <c r="AB2322" s="2428">
        <v>869</v>
      </c>
      <c r="AC2322" s="781"/>
      <c r="AD2322" s="781"/>
      <c r="AE2322" s="781"/>
      <c r="AF2322" s="781"/>
      <c r="AG2322" s="781"/>
      <c r="BB2322" s="647"/>
      <c r="BC2322" s="648"/>
      <c r="BD2322" s="757"/>
      <c r="BE2322" s="659"/>
    </row>
    <row r="2323" spans="1:57" s="64" customFormat="1" ht="15" customHeight="1" outlineLevel="1" x14ac:dyDescent="0.25">
      <c r="A2323" s="2463"/>
      <c r="B2323" s="157"/>
      <c r="C2323" s="385"/>
      <c r="D2323" s="3589"/>
      <c r="E2323" s="3721"/>
      <c r="F2323" s="3773" t="str">
        <f>$E$1408</f>
        <v>ASHP - SEER 15 ER Elec Resist Furnace: HVAC ER2</v>
      </c>
      <c r="G2323" s="3774"/>
      <c r="H2323" s="3774"/>
      <c r="I2323" s="3775"/>
      <c r="J2323" s="3071" t="str">
        <f>$C$1408</f>
        <v>352300_2019_12_</v>
      </c>
      <c r="K2323" s="781">
        <v>869</v>
      </c>
      <c r="L2323" s="944"/>
      <c r="M2323" s="783" t="s">
        <v>1198</v>
      </c>
      <c r="N2323" s="157"/>
      <c r="O2323" s="277"/>
      <c r="P2323" s="937"/>
      <c r="Q2323" s="937"/>
      <c r="R2323" s="937"/>
      <c r="S2323" s="924"/>
      <c r="T2323" s="1407"/>
      <c r="U2323" s="157"/>
      <c r="V2323" s="3589"/>
      <c r="W2323" s="766">
        <v>869</v>
      </c>
      <c r="X2323" s="766">
        <v>869</v>
      </c>
      <c r="Y2323" s="781">
        <v>869</v>
      </c>
      <c r="Z2323" s="781">
        <v>869</v>
      </c>
      <c r="AA2323" s="781">
        <v>869</v>
      </c>
      <c r="AB2323" s="781">
        <v>869</v>
      </c>
      <c r="AC2323" s="766"/>
      <c r="AD2323" s="766"/>
      <c r="AE2323" s="766"/>
      <c r="AF2323" s="766"/>
      <c r="AG2323" s="766"/>
      <c r="BB2323" s="647"/>
      <c r="BC2323" s="648"/>
      <c r="BD2323" s="757"/>
      <c r="BE2323" s="659"/>
    </row>
    <row r="2324" spans="1:57" s="64" customFormat="1" ht="15" customHeight="1" outlineLevel="1" x14ac:dyDescent="0.25">
      <c r="A2324" s="2463"/>
      <c r="B2324" s="157"/>
      <c r="C2324" s="385"/>
      <c r="D2324" s="3589"/>
      <c r="E2324" s="3721"/>
      <c r="F2324" s="3773" t="str">
        <f>$E$1410</f>
        <v>ASHP - SEER 15 ER with ASHP: HVAC ER1</v>
      </c>
      <c r="G2324" s="3774"/>
      <c r="H2324" s="3774"/>
      <c r="I2324" s="3775"/>
      <c r="J2324" s="3071" t="str">
        <f>$C$1410</f>
        <v>352350_2019_12_</v>
      </c>
      <c r="K2324" s="781">
        <v>869</v>
      </c>
      <c r="L2324" s="944"/>
      <c r="M2324" s="783" t="s">
        <v>1198</v>
      </c>
      <c r="N2324" s="157"/>
      <c r="O2324" s="277"/>
      <c r="P2324" s="937"/>
      <c r="Q2324" s="937"/>
      <c r="R2324" s="937"/>
      <c r="S2324" s="924"/>
      <c r="T2324" s="1407"/>
      <c r="U2324" s="157"/>
      <c r="V2324" s="3589"/>
      <c r="W2324" s="766">
        <v>869</v>
      </c>
      <c r="X2324" s="766">
        <v>869</v>
      </c>
      <c r="Y2324" s="781">
        <v>869</v>
      </c>
      <c r="Z2324" s="781">
        <v>869</v>
      </c>
      <c r="AA2324" s="781">
        <v>869</v>
      </c>
      <c r="AB2324" s="781">
        <v>869</v>
      </c>
      <c r="AC2324" s="766"/>
      <c r="AD2324" s="766"/>
      <c r="AE2324" s="766"/>
      <c r="AF2324" s="766"/>
      <c r="AG2324" s="766"/>
      <c r="BB2324" s="647"/>
      <c r="BC2324" s="648"/>
      <c r="BD2324" s="757"/>
      <c r="BE2324" s="659"/>
    </row>
    <row r="2325" spans="1:57" s="64" customFormat="1" ht="15" customHeight="1" outlineLevel="1" x14ac:dyDescent="0.25">
      <c r="A2325" s="2463"/>
      <c r="B2325" s="157"/>
      <c r="C2325" s="385"/>
      <c r="D2325" s="3589"/>
      <c r="E2325" s="3721"/>
      <c r="F2325" s="3773" t="str">
        <f>$E$1412</f>
        <v>ASHP - SEER 15 ER with ASHP: HVAC ER2</v>
      </c>
      <c r="G2325" s="3774"/>
      <c r="H2325" s="3774"/>
      <c r="I2325" s="3775"/>
      <c r="J2325" s="3071" t="str">
        <f>$C$1412</f>
        <v>352350_2019_12_</v>
      </c>
      <c r="K2325" s="781">
        <v>869</v>
      </c>
      <c r="L2325" s="944"/>
      <c r="M2325" s="783" t="s">
        <v>1198</v>
      </c>
      <c r="N2325" s="157"/>
      <c r="O2325" s="277"/>
      <c r="P2325" s="937"/>
      <c r="Q2325" s="937"/>
      <c r="R2325" s="937"/>
      <c r="S2325" s="924"/>
      <c r="T2325" s="1407"/>
      <c r="U2325" s="157"/>
      <c r="V2325" s="3589"/>
      <c r="W2325" s="766">
        <v>869</v>
      </c>
      <c r="X2325" s="766">
        <v>869</v>
      </c>
      <c r="Y2325" s="781">
        <v>869</v>
      </c>
      <c r="Z2325" s="781">
        <v>869</v>
      </c>
      <c r="AA2325" s="781">
        <v>869</v>
      </c>
      <c r="AB2325" s="781">
        <v>869</v>
      </c>
      <c r="AC2325" s="766"/>
      <c r="AD2325" s="766"/>
      <c r="AE2325" s="766"/>
      <c r="AF2325" s="766"/>
      <c r="AG2325" s="766"/>
      <c r="BB2325" s="647"/>
      <c r="BC2325" s="648"/>
      <c r="BD2325" s="757"/>
      <c r="BE2325" s="659"/>
    </row>
    <row r="2326" spans="1:57" s="64" customFormat="1" ht="15" customHeight="1" outlineLevel="1" x14ac:dyDescent="0.25">
      <c r="A2326" s="2463"/>
      <c r="B2326" s="157"/>
      <c r="C2326" s="385"/>
      <c r="D2326" s="3589"/>
      <c r="E2326" s="3721"/>
      <c r="F2326" s="3773" t="str">
        <f>$E$1414</f>
        <v>ASHP-  SEER 15 Replace at Fail Elec Resist Furnace: HVAC</v>
      </c>
      <c r="G2326" s="3774"/>
      <c r="H2326" s="3774"/>
      <c r="I2326" s="3775"/>
      <c r="J2326" s="3071" t="str">
        <f>$C$1414</f>
        <v>352400_2019_12_</v>
      </c>
      <c r="K2326" s="781">
        <v>869</v>
      </c>
      <c r="L2326" s="944"/>
      <c r="M2326" s="783" t="s">
        <v>1198</v>
      </c>
      <c r="N2326" s="157"/>
      <c r="O2326" s="277"/>
      <c r="P2326" s="937"/>
      <c r="Q2326" s="937"/>
      <c r="R2326" s="937"/>
      <c r="S2326" s="924"/>
      <c r="T2326" s="1407"/>
      <c r="U2326" s="157"/>
      <c r="V2326" s="3589"/>
      <c r="W2326" s="766">
        <v>869</v>
      </c>
      <c r="X2326" s="766">
        <v>869</v>
      </c>
      <c r="Y2326" s="781">
        <v>869</v>
      </c>
      <c r="Z2326" s="781">
        <v>869</v>
      </c>
      <c r="AA2326" s="781">
        <v>869</v>
      </c>
      <c r="AB2326" s="781">
        <v>869</v>
      </c>
      <c r="AC2326" s="766"/>
      <c r="AD2326" s="766"/>
      <c r="AE2326" s="766"/>
      <c r="AF2326" s="766"/>
      <c r="AG2326" s="766"/>
      <c r="BB2326" s="647"/>
      <c r="BC2326" s="648"/>
      <c r="BD2326" s="757"/>
      <c r="BE2326" s="659"/>
    </row>
    <row r="2327" spans="1:57" s="64" customFormat="1" ht="15" customHeight="1" outlineLevel="1" x14ac:dyDescent="0.25">
      <c r="A2327" s="2463"/>
      <c r="B2327" s="157"/>
      <c r="C2327" s="385"/>
      <c r="D2327" s="3589"/>
      <c r="E2327" s="3721"/>
      <c r="F2327" s="3773" t="str">
        <f>$E$1416</f>
        <v>ASHP - SEER 15 Replace at Fail with ASHP: HVAC</v>
      </c>
      <c r="G2327" s="3774"/>
      <c r="H2327" s="3774"/>
      <c r="I2327" s="3775"/>
      <c r="J2327" s="3071" t="str">
        <f>$C$1416</f>
        <v>352450_2019_12_</v>
      </c>
      <c r="K2327" s="781">
        <v>869</v>
      </c>
      <c r="L2327" s="944"/>
      <c r="M2327" s="783" t="s">
        <v>1198</v>
      </c>
      <c r="N2327" s="157"/>
      <c r="O2327" s="277"/>
      <c r="P2327" s="937"/>
      <c r="Q2327" s="937"/>
      <c r="R2327" s="937"/>
      <c r="S2327" s="924"/>
      <c r="T2327" s="1407"/>
      <c r="U2327" s="157"/>
      <c r="V2327" s="3589"/>
      <c r="W2327" s="766">
        <v>869</v>
      </c>
      <c r="X2327" s="766">
        <v>869</v>
      </c>
      <c r="Y2327" s="781">
        <v>869</v>
      </c>
      <c r="Z2327" s="781">
        <v>869</v>
      </c>
      <c r="AA2327" s="781">
        <v>869</v>
      </c>
      <c r="AB2327" s="781">
        <v>869</v>
      </c>
      <c r="AC2327" s="766"/>
      <c r="AD2327" s="766"/>
      <c r="AE2327" s="766"/>
      <c r="AF2327" s="766"/>
      <c r="AG2327" s="766"/>
      <c r="BB2327" s="647"/>
      <c r="BC2327" s="648"/>
      <c r="BD2327" s="757"/>
      <c r="BE2327" s="659"/>
    </row>
    <row r="2328" spans="1:57" s="64" customFormat="1" ht="15" customHeight="1" outlineLevel="1" x14ac:dyDescent="0.25">
      <c r="A2328" s="2463"/>
      <c r="B2328" s="157"/>
      <c r="C2328" s="385"/>
      <c r="D2328" s="3589"/>
      <c r="E2328" s="3721"/>
      <c r="F2328" s="3773" t="str">
        <f>$E$1418</f>
        <v>ASHP - SEER 16 - replace electric furnace / CAC - early replacement SF ER1</v>
      </c>
      <c r="G2328" s="3774"/>
      <c r="H2328" s="3774"/>
      <c r="I2328" s="3775"/>
      <c r="J2328" s="3071" t="str">
        <f>$C$1418</f>
        <v>352500_2019_12_</v>
      </c>
      <c r="K2328" s="781">
        <v>869</v>
      </c>
      <c r="L2328" s="944"/>
      <c r="M2328" s="783" t="s">
        <v>1198</v>
      </c>
      <c r="N2328" s="157"/>
      <c r="O2328" s="277"/>
      <c r="P2328" s="937"/>
      <c r="Q2328" s="937"/>
      <c r="R2328" s="937"/>
      <c r="S2328" s="924"/>
      <c r="T2328" s="1407"/>
      <c r="U2328" s="157"/>
      <c r="V2328" s="3589"/>
      <c r="W2328" s="766">
        <v>869</v>
      </c>
      <c r="X2328" s="766">
        <v>869</v>
      </c>
      <c r="Y2328" s="781">
        <v>869</v>
      </c>
      <c r="Z2328" s="781">
        <v>869</v>
      </c>
      <c r="AA2328" s="781">
        <v>869</v>
      </c>
      <c r="AB2328" s="781">
        <v>869</v>
      </c>
      <c r="AC2328" s="766"/>
      <c r="AD2328" s="766"/>
      <c r="AE2328" s="766"/>
      <c r="AF2328" s="766"/>
      <c r="AG2328" s="766"/>
      <c r="BB2328" s="647"/>
      <c r="BC2328" s="648"/>
      <c r="BD2328" s="757"/>
      <c r="BE2328" s="659"/>
    </row>
    <row r="2329" spans="1:57" s="64" customFormat="1" ht="15" customHeight="1" outlineLevel="1" x14ac:dyDescent="0.25">
      <c r="A2329" s="2463"/>
      <c r="B2329" s="157"/>
      <c r="C2329" s="385"/>
      <c r="D2329" s="3589"/>
      <c r="E2329" s="3721"/>
      <c r="F2329" s="3773" t="str">
        <f>$E$1420</f>
        <v>ASHP - SEER 16 - replace electric furnace / CAC - early replacement SF ER2</v>
      </c>
      <c r="G2329" s="3774"/>
      <c r="H2329" s="3774"/>
      <c r="I2329" s="3775"/>
      <c r="J2329" s="3071" t="str">
        <f>$C$1420</f>
        <v>352500_2019_12_</v>
      </c>
      <c r="K2329" s="781">
        <v>869</v>
      </c>
      <c r="L2329" s="944"/>
      <c r="M2329" s="783" t="s">
        <v>1198</v>
      </c>
      <c r="N2329" s="157"/>
      <c r="O2329" s="277"/>
      <c r="P2329" s="937"/>
      <c r="Q2329" s="937"/>
      <c r="R2329" s="937"/>
      <c r="S2329" s="924"/>
      <c r="T2329" s="1407"/>
      <c r="U2329" s="157"/>
      <c r="V2329" s="3589"/>
      <c r="W2329" s="766">
        <v>869</v>
      </c>
      <c r="X2329" s="766">
        <v>869</v>
      </c>
      <c r="Y2329" s="781">
        <v>869</v>
      </c>
      <c r="Z2329" s="781">
        <v>869</v>
      </c>
      <c r="AA2329" s="781">
        <v>869</v>
      </c>
      <c r="AB2329" s="781">
        <v>869</v>
      </c>
      <c r="AC2329" s="766"/>
      <c r="AD2329" s="766"/>
      <c r="AE2329" s="766"/>
      <c r="AF2329" s="766"/>
      <c r="AG2329" s="766"/>
      <c r="BB2329" s="647"/>
      <c r="BC2329" s="648"/>
      <c r="BD2329" s="757"/>
      <c r="BE2329" s="659"/>
    </row>
    <row r="2330" spans="1:57" s="64" customFormat="1" ht="15" customHeight="1" outlineLevel="1" x14ac:dyDescent="0.25">
      <c r="A2330" s="2463"/>
      <c r="B2330" s="157"/>
      <c r="C2330" s="385"/>
      <c r="D2330" s="3589"/>
      <c r="E2330" s="3721"/>
      <c r="F2330" s="3773" t="str">
        <f>$E$1422</f>
        <v>ASHP SEER 16 replace ASHP - early replacement SF ER1</v>
      </c>
      <c r="G2330" s="3774"/>
      <c r="H2330" s="3774"/>
      <c r="I2330" s="3775"/>
      <c r="J2330" s="3071" t="str">
        <f>$C$1422</f>
        <v>352550_2019_12_</v>
      </c>
      <c r="K2330" s="781">
        <v>869</v>
      </c>
      <c r="L2330" s="944"/>
      <c r="M2330" s="783" t="s">
        <v>1198</v>
      </c>
      <c r="N2330" s="157"/>
      <c r="O2330" s="277"/>
      <c r="P2330" s="937"/>
      <c r="Q2330" s="937"/>
      <c r="R2330" s="937"/>
      <c r="S2330" s="924"/>
      <c r="T2330" s="1407"/>
      <c r="U2330" s="157"/>
      <c r="V2330" s="3589"/>
      <c r="W2330" s="766">
        <v>869</v>
      </c>
      <c r="X2330" s="766">
        <v>869</v>
      </c>
      <c r="Y2330" s="781">
        <v>869</v>
      </c>
      <c r="Z2330" s="781">
        <v>869</v>
      </c>
      <c r="AA2330" s="781">
        <v>869</v>
      </c>
      <c r="AB2330" s="781">
        <v>869</v>
      </c>
      <c r="AC2330" s="766"/>
      <c r="AD2330" s="766"/>
      <c r="AE2330" s="766"/>
      <c r="AF2330" s="766"/>
      <c r="AG2330" s="766"/>
      <c r="BB2330" s="647"/>
      <c r="BC2330" s="648"/>
      <c r="BD2330" s="757"/>
      <c r="BE2330" s="659"/>
    </row>
    <row r="2331" spans="1:57" s="64" customFormat="1" ht="15" customHeight="1" outlineLevel="1" x14ac:dyDescent="0.25">
      <c r="A2331" s="2463"/>
      <c r="B2331" s="157"/>
      <c r="C2331" s="385"/>
      <c r="D2331" s="3589"/>
      <c r="E2331" s="3721"/>
      <c r="F2331" s="3773" t="str">
        <f>$E$1424</f>
        <v>ASHP SEER 16 replace ASHP - early replacement SF ER2</v>
      </c>
      <c r="G2331" s="3774"/>
      <c r="H2331" s="3774"/>
      <c r="I2331" s="3775"/>
      <c r="J2331" s="3071" t="str">
        <f>$C$1424</f>
        <v>352550_2019_12_</v>
      </c>
      <c r="K2331" s="781">
        <v>869</v>
      </c>
      <c r="L2331" s="945"/>
      <c r="M2331" s="783" t="s">
        <v>1198</v>
      </c>
      <c r="N2331" s="157"/>
      <c r="O2331" s="277"/>
      <c r="P2331" s="937"/>
      <c r="Q2331" s="937"/>
      <c r="R2331" s="937"/>
      <c r="S2331" s="924"/>
      <c r="T2331" s="1407"/>
      <c r="U2331" s="157"/>
      <c r="V2331" s="3589"/>
      <c r="W2331" s="766">
        <v>869</v>
      </c>
      <c r="X2331" s="766">
        <v>869</v>
      </c>
      <c r="Y2331" s="781">
        <v>869</v>
      </c>
      <c r="Z2331" s="781">
        <v>869</v>
      </c>
      <c r="AA2331" s="781">
        <v>869</v>
      </c>
      <c r="AB2331" s="781">
        <v>869</v>
      </c>
      <c r="AC2331" s="766"/>
      <c r="AD2331" s="766"/>
      <c r="AE2331" s="766"/>
      <c r="AF2331" s="766"/>
      <c r="AG2331" s="766"/>
      <c r="BB2331" s="647"/>
      <c r="BC2331" s="648"/>
      <c r="BD2331" s="757"/>
      <c r="BE2331" s="659"/>
    </row>
    <row r="2332" spans="1:57" s="64" customFormat="1" ht="15" customHeight="1" outlineLevel="1" x14ac:dyDescent="0.25">
      <c r="A2332" s="2463"/>
      <c r="B2332" s="157"/>
      <c r="C2332" s="385"/>
      <c r="D2332" s="3589"/>
      <c r="E2332" s="3721"/>
      <c r="F2332" s="3773" t="str">
        <f>$E$1426</f>
        <v>ASHP - SEER 16 - replace electric furnace / CAC SF</v>
      </c>
      <c r="G2332" s="3774"/>
      <c r="H2332" s="3774"/>
      <c r="I2332" s="3775"/>
      <c r="J2332" s="3071" t="str">
        <f>$C$1426</f>
        <v>352600_2019_12_</v>
      </c>
      <c r="K2332" s="781">
        <v>869</v>
      </c>
      <c r="L2332" s="945"/>
      <c r="M2332" s="783" t="s">
        <v>1198</v>
      </c>
      <c r="N2332" s="157"/>
      <c r="O2332" s="277"/>
      <c r="P2332" s="937"/>
      <c r="Q2332" s="937"/>
      <c r="R2332" s="937"/>
      <c r="S2332" s="924"/>
      <c r="T2332" s="1407"/>
      <c r="U2332" s="157"/>
      <c r="V2332" s="3589"/>
      <c r="W2332" s="766">
        <v>869</v>
      </c>
      <c r="X2332" s="766">
        <v>869</v>
      </c>
      <c r="Y2332" s="781">
        <v>869</v>
      </c>
      <c r="Z2332" s="781">
        <v>869</v>
      </c>
      <c r="AA2332" s="781">
        <v>869</v>
      </c>
      <c r="AB2332" s="781">
        <v>869</v>
      </c>
      <c r="AC2332" s="766"/>
      <c r="AD2332" s="766"/>
      <c r="AE2332" s="766"/>
      <c r="AF2332" s="766"/>
      <c r="AG2332" s="766"/>
      <c r="BB2332" s="647"/>
      <c r="BC2332" s="648"/>
      <c r="BD2332" s="757"/>
      <c r="BE2332" s="659"/>
    </row>
    <row r="2333" spans="1:57" s="64" customFormat="1" ht="15" customHeight="1" outlineLevel="1" x14ac:dyDescent="0.25">
      <c r="A2333" s="2463"/>
      <c r="B2333" s="157"/>
      <c r="C2333" s="385"/>
      <c r="D2333" s="3589"/>
      <c r="E2333" s="3721"/>
      <c r="F2333" s="3773" t="str">
        <f>$E$1428</f>
        <v>ASHP SEER 16 replace ASHP - replace on fail SF</v>
      </c>
      <c r="G2333" s="3774"/>
      <c r="H2333" s="3774"/>
      <c r="I2333" s="3775"/>
      <c r="J2333" s="3071" t="str">
        <f>$C$1428</f>
        <v>352650_2019_12_</v>
      </c>
      <c r="K2333" s="781">
        <v>869</v>
      </c>
      <c r="L2333" s="945"/>
      <c r="M2333" s="783" t="s">
        <v>1198</v>
      </c>
      <c r="N2333" s="157"/>
      <c r="O2333" s="277"/>
      <c r="P2333" s="937"/>
      <c r="Q2333" s="937"/>
      <c r="R2333" s="937"/>
      <c r="S2333" s="924"/>
      <c r="T2333" s="1407"/>
      <c r="U2333" s="157"/>
      <c r="V2333" s="3589"/>
      <c r="W2333" s="766">
        <v>869</v>
      </c>
      <c r="X2333" s="766">
        <v>869</v>
      </c>
      <c r="Y2333" s="781">
        <v>869</v>
      </c>
      <c r="Z2333" s="781">
        <v>869</v>
      </c>
      <c r="AA2333" s="781">
        <v>869</v>
      </c>
      <c r="AB2333" s="781">
        <v>869</v>
      </c>
      <c r="AC2333" s="766"/>
      <c r="AD2333" s="766"/>
      <c r="AE2333" s="766"/>
      <c r="AF2333" s="766"/>
      <c r="AG2333" s="766"/>
      <c r="BB2333" s="647"/>
      <c r="BC2333" s="648"/>
      <c r="BD2333" s="757"/>
      <c r="BE2333" s="659"/>
    </row>
    <row r="2334" spans="1:57" s="64" customFormat="1" ht="15" customHeight="1" outlineLevel="1" x14ac:dyDescent="0.25">
      <c r="A2334" s="2463"/>
      <c r="B2334" s="157"/>
      <c r="C2334" s="385"/>
      <c r="D2334" s="3589"/>
      <c r="E2334" s="3721"/>
      <c r="F2334" s="3773" t="str">
        <f>$E$1430</f>
        <v>ASHP SEER 15 MF ER replace ASHP: HVAC ER1</v>
      </c>
      <c r="G2334" s="3774"/>
      <c r="H2334" s="3774"/>
      <c r="I2334" s="3775"/>
      <c r="J2334" s="3071" t="str">
        <f>$C$1430</f>
        <v>352700_2019_12_</v>
      </c>
      <c r="K2334" s="781">
        <v>869</v>
      </c>
      <c r="L2334" s="945"/>
      <c r="M2334" s="783" t="s">
        <v>1198</v>
      </c>
      <c r="N2334" s="157"/>
      <c r="O2334" s="277"/>
      <c r="P2334" s="937"/>
      <c r="Q2334" s="937"/>
      <c r="R2334" s="937"/>
      <c r="S2334" s="924"/>
      <c r="T2334" s="1407"/>
      <c r="U2334" s="157"/>
      <c r="V2334" s="3589"/>
      <c r="W2334" s="766">
        <v>869</v>
      </c>
      <c r="X2334" s="766">
        <v>869</v>
      </c>
      <c r="Y2334" s="781">
        <v>869</v>
      </c>
      <c r="Z2334" s="781">
        <v>869</v>
      </c>
      <c r="AA2334" s="781">
        <v>869</v>
      </c>
      <c r="AB2334" s="781">
        <v>869</v>
      </c>
      <c r="AC2334" s="766"/>
      <c r="AD2334" s="766"/>
      <c r="AE2334" s="766"/>
      <c r="AF2334" s="766"/>
      <c r="AG2334" s="766"/>
      <c r="BB2334" s="647"/>
      <c r="BC2334" s="648"/>
      <c r="BD2334" s="757"/>
      <c r="BE2334" s="659"/>
    </row>
    <row r="2335" spans="1:57" s="64" customFormat="1" ht="15" customHeight="1" outlineLevel="1" x14ac:dyDescent="0.25">
      <c r="A2335" s="2463"/>
      <c r="B2335" s="157"/>
      <c r="C2335" s="385"/>
      <c r="D2335" s="3589"/>
      <c r="E2335" s="3721"/>
      <c r="F2335" s="3773" t="str">
        <f>$E$1432</f>
        <v>ASHP SEER 15 MF ER replace ASHP: HVAC ER2</v>
      </c>
      <c r="G2335" s="3774"/>
      <c r="H2335" s="3774"/>
      <c r="I2335" s="3775"/>
      <c r="J2335" s="3071" t="str">
        <f>$C$1432</f>
        <v>352700_2019_12_</v>
      </c>
      <c r="K2335" s="781">
        <v>869</v>
      </c>
      <c r="L2335" s="945"/>
      <c r="M2335" s="783" t="s">
        <v>1198</v>
      </c>
      <c r="N2335" s="157"/>
      <c r="O2335" s="277"/>
      <c r="P2335" s="937"/>
      <c r="Q2335" s="937"/>
      <c r="R2335" s="937"/>
      <c r="S2335" s="924"/>
      <c r="T2335" s="1407"/>
      <c r="U2335" s="157"/>
      <c r="V2335" s="3589"/>
      <c r="W2335" s="766">
        <v>869</v>
      </c>
      <c r="X2335" s="766">
        <v>869</v>
      </c>
      <c r="Y2335" s="781">
        <v>869</v>
      </c>
      <c r="Z2335" s="781">
        <v>869</v>
      </c>
      <c r="AA2335" s="781">
        <v>869</v>
      </c>
      <c r="AB2335" s="781">
        <v>869</v>
      </c>
      <c r="AC2335" s="766"/>
      <c r="AD2335" s="766"/>
      <c r="AE2335" s="766"/>
      <c r="AF2335" s="766"/>
      <c r="AG2335" s="766"/>
      <c r="BB2335" s="647"/>
      <c r="BC2335" s="648"/>
      <c r="BD2335" s="757"/>
      <c r="BE2335" s="659"/>
    </row>
    <row r="2336" spans="1:57" s="64" customFormat="1" ht="15" customHeight="1" outlineLevel="1" x14ac:dyDescent="0.25">
      <c r="A2336" s="2463"/>
      <c r="B2336" s="157"/>
      <c r="C2336" s="385"/>
      <c r="D2336" s="3589"/>
      <c r="E2336" s="3721"/>
      <c r="F2336" s="3773" t="str">
        <f>$E$1434</f>
        <v>ASHP SEER 15 MF ER replace ASHP: HVAC ER1_CompE</v>
      </c>
      <c r="G2336" s="3774"/>
      <c r="H2336" s="3774"/>
      <c r="I2336" s="3775"/>
      <c r="J2336" s="3071" t="str">
        <f>$C$1434</f>
        <v>352701_2019_12_</v>
      </c>
      <c r="K2336" s="781">
        <v>632</v>
      </c>
      <c r="L2336" s="945"/>
      <c r="M2336" s="877" t="s">
        <v>889</v>
      </c>
      <c r="N2336" s="157"/>
      <c r="O2336" s="277"/>
      <c r="P2336" s="937"/>
      <c r="Q2336" s="937"/>
      <c r="R2336" s="937"/>
      <c r="S2336" s="924"/>
      <c r="T2336" s="1407"/>
      <c r="U2336" s="157"/>
      <c r="V2336" s="3589"/>
      <c r="W2336" s="766"/>
      <c r="X2336" s="766"/>
      <c r="Y2336" s="786">
        <v>632</v>
      </c>
      <c r="Z2336" s="781">
        <v>632</v>
      </c>
      <c r="AA2336" s="781">
        <v>632</v>
      </c>
      <c r="AB2336" s="781">
        <v>632</v>
      </c>
      <c r="AC2336" s="766"/>
      <c r="AD2336" s="766"/>
      <c r="AE2336" s="766"/>
      <c r="AF2336" s="766"/>
      <c r="AG2336" s="766"/>
      <c r="BB2336" s="647"/>
      <c r="BC2336" s="648"/>
      <c r="BD2336" s="757"/>
      <c r="BE2336" s="659"/>
    </row>
    <row r="2337" spans="1:57" s="64" customFormat="1" ht="15" customHeight="1" outlineLevel="1" x14ac:dyDescent="0.25">
      <c r="A2337" s="2463"/>
      <c r="B2337" s="157"/>
      <c r="C2337" s="385"/>
      <c r="D2337" s="3589"/>
      <c r="E2337" s="3721"/>
      <c r="F2337" s="3773" t="str">
        <f>$E$1436</f>
        <v>ASHP SEER 15 MF ER replace ASHP: HVAC ER2_CompE</v>
      </c>
      <c r="G2337" s="3774"/>
      <c r="H2337" s="3774"/>
      <c r="I2337" s="3775"/>
      <c r="J2337" s="3071" t="str">
        <f>$C$1436</f>
        <v>352701_2019_12_</v>
      </c>
      <c r="K2337" s="781">
        <f>$K$2336</f>
        <v>632</v>
      </c>
      <c r="L2337" s="945"/>
      <c r="M2337" s="877" t="s">
        <v>889</v>
      </c>
      <c r="N2337" s="157"/>
      <c r="O2337" s="277"/>
      <c r="P2337" s="937"/>
      <c r="Q2337" s="937"/>
      <c r="R2337" s="937"/>
      <c r="S2337" s="924"/>
      <c r="T2337" s="1407"/>
      <c r="U2337" s="157"/>
      <c r="V2337" s="3589"/>
      <c r="W2337" s="766"/>
      <c r="X2337" s="766"/>
      <c r="Y2337" s="786">
        <f>$K$2336</f>
        <v>632</v>
      </c>
      <c r="Z2337" s="781">
        <f t="shared" ref="Z2337:AA2337" si="202">$K$2336</f>
        <v>632</v>
      </c>
      <c r="AA2337" s="781">
        <f t="shared" si="202"/>
        <v>632</v>
      </c>
      <c r="AB2337" s="781">
        <v>632</v>
      </c>
      <c r="AC2337" s="766"/>
      <c r="AD2337" s="766"/>
      <c r="AE2337" s="766"/>
      <c r="AF2337" s="766"/>
      <c r="AG2337" s="766"/>
      <c r="BB2337" s="647"/>
      <c r="BC2337" s="648"/>
      <c r="BD2337" s="757"/>
      <c r="BE2337" s="659"/>
    </row>
    <row r="2338" spans="1:57" s="64" customFormat="1" ht="15" customHeight="1" outlineLevel="1" x14ac:dyDescent="0.25">
      <c r="A2338" s="2463"/>
      <c r="B2338" s="157"/>
      <c r="C2338" s="385"/>
      <c r="D2338" s="3589"/>
      <c r="E2338" s="3721"/>
      <c r="F2338" s="3773" t="str">
        <f>$E$1438</f>
        <v>ASHP SEER 15 MF ER replace Elec Resist Furnace: HVAC ER1</v>
      </c>
      <c r="G2338" s="3774"/>
      <c r="H2338" s="3774"/>
      <c r="I2338" s="3775"/>
      <c r="J2338" s="3071" t="str">
        <f>$C$1438</f>
        <v>352750_2019_12_</v>
      </c>
      <c r="K2338" s="781">
        <v>869</v>
      </c>
      <c r="L2338" s="945"/>
      <c r="M2338" s="783" t="s">
        <v>1198</v>
      </c>
      <c r="N2338" s="157"/>
      <c r="O2338" s="277"/>
      <c r="P2338" s="937"/>
      <c r="Q2338" s="937"/>
      <c r="R2338" s="937"/>
      <c r="S2338" s="924"/>
      <c r="T2338" s="1407"/>
      <c r="U2338" s="157"/>
      <c r="V2338" s="3589"/>
      <c r="W2338" s="766">
        <v>869</v>
      </c>
      <c r="X2338" s="766">
        <v>869</v>
      </c>
      <c r="Y2338" s="781">
        <v>869</v>
      </c>
      <c r="Z2338" s="781">
        <v>869</v>
      </c>
      <c r="AA2338" s="781">
        <v>869</v>
      </c>
      <c r="AB2338" s="781">
        <v>869</v>
      </c>
      <c r="AC2338" s="766"/>
      <c r="AD2338" s="766"/>
      <c r="AE2338" s="766"/>
      <c r="AF2338" s="766"/>
      <c r="AG2338" s="766"/>
      <c r="BB2338" s="647"/>
      <c r="BC2338" s="648"/>
      <c r="BD2338" s="757"/>
      <c r="BE2338" s="659"/>
    </row>
    <row r="2339" spans="1:57" s="64" customFormat="1" ht="15" customHeight="1" outlineLevel="1" x14ac:dyDescent="0.25">
      <c r="A2339" s="2463"/>
      <c r="B2339" s="157"/>
      <c r="C2339" s="385"/>
      <c r="D2339" s="3589"/>
      <c r="E2339" s="3721"/>
      <c r="F2339" s="3773" t="str">
        <f>$E$1440</f>
        <v>ASHP SEER 15 MF ER replace Elec Resist Furnace: HVAC ER2</v>
      </c>
      <c r="G2339" s="3774"/>
      <c r="H2339" s="3774"/>
      <c r="I2339" s="3775"/>
      <c r="J2339" s="3071" t="str">
        <f>$C$1440</f>
        <v>352750_2019_12_</v>
      </c>
      <c r="K2339" s="781">
        <v>869</v>
      </c>
      <c r="L2339" s="945"/>
      <c r="M2339" s="783" t="s">
        <v>1198</v>
      </c>
      <c r="N2339" s="157"/>
      <c r="O2339" s="277"/>
      <c r="P2339" s="937"/>
      <c r="Q2339" s="937"/>
      <c r="R2339" s="937"/>
      <c r="S2339" s="924"/>
      <c r="T2339" s="1407"/>
      <c r="U2339" s="157"/>
      <c r="V2339" s="3589"/>
      <c r="W2339" s="766">
        <v>869</v>
      </c>
      <c r="X2339" s="766">
        <v>869</v>
      </c>
      <c r="Y2339" s="781">
        <v>869</v>
      </c>
      <c r="Z2339" s="781">
        <v>869</v>
      </c>
      <c r="AA2339" s="781">
        <v>869</v>
      </c>
      <c r="AB2339" s="781">
        <v>869</v>
      </c>
      <c r="AC2339" s="766"/>
      <c r="AD2339" s="766"/>
      <c r="AE2339" s="766"/>
      <c r="AF2339" s="766"/>
      <c r="AG2339" s="766"/>
      <c r="BB2339" s="647"/>
      <c r="BC2339" s="648"/>
      <c r="BD2339" s="757"/>
      <c r="BE2339" s="659"/>
    </row>
    <row r="2340" spans="1:57" s="64" customFormat="1" ht="15" customHeight="1" outlineLevel="1" x14ac:dyDescent="0.25">
      <c r="A2340" s="2463"/>
      <c r="B2340" s="157"/>
      <c r="C2340" s="385"/>
      <c r="D2340" s="3589"/>
      <c r="E2340" s="3721"/>
      <c r="F2340" s="3773" t="str">
        <f>$E$1442</f>
        <v>ASHP SEER 15 MF ER replace Elec Resist Furnace: HVAC ER1_CompE</v>
      </c>
      <c r="G2340" s="3774"/>
      <c r="H2340" s="3774"/>
      <c r="I2340" s="3775"/>
      <c r="J2340" s="3071" t="str">
        <f>$C$1442</f>
        <v>352751_2019_12_</v>
      </c>
      <c r="K2340" s="781">
        <f>$K$2336</f>
        <v>632</v>
      </c>
      <c r="L2340" s="945"/>
      <c r="M2340" s="877" t="s">
        <v>889</v>
      </c>
      <c r="N2340" s="157"/>
      <c r="O2340" s="277"/>
      <c r="P2340" s="937"/>
      <c r="Q2340" s="937"/>
      <c r="R2340" s="937"/>
      <c r="S2340" s="924"/>
      <c r="T2340" s="1407"/>
      <c r="U2340" s="157"/>
      <c r="V2340" s="3589"/>
      <c r="W2340" s="766"/>
      <c r="X2340" s="766"/>
      <c r="Y2340" s="786">
        <f>$K$2336</f>
        <v>632</v>
      </c>
      <c r="Z2340" s="781">
        <f t="shared" ref="Z2340:AA2341" si="203">$K$2336</f>
        <v>632</v>
      </c>
      <c r="AA2340" s="781">
        <f t="shared" si="203"/>
        <v>632</v>
      </c>
      <c r="AB2340" s="781">
        <v>632</v>
      </c>
      <c r="AC2340" s="766"/>
      <c r="AD2340" s="766"/>
      <c r="AE2340" s="766"/>
      <c r="AF2340" s="766"/>
      <c r="AG2340" s="766"/>
      <c r="BB2340" s="647"/>
      <c r="BC2340" s="648"/>
      <c r="BD2340" s="757"/>
      <c r="BE2340" s="659"/>
    </row>
    <row r="2341" spans="1:57" s="64" customFormat="1" ht="15" customHeight="1" outlineLevel="1" x14ac:dyDescent="0.25">
      <c r="A2341" s="2463"/>
      <c r="B2341" s="157"/>
      <c r="C2341" s="385"/>
      <c r="D2341" s="3589"/>
      <c r="E2341" s="3721"/>
      <c r="F2341" s="3773" t="str">
        <f>$E$1444</f>
        <v>ASHP SEER 15 MF ER replace Elec Resist Furnace: HVAC ER2_CompE</v>
      </c>
      <c r="G2341" s="3774"/>
      <c r="H2341" s="3774"/>
      <c r="I2341" s="3775"/>
      <c r="J2341" s="3071" t="str">
        <f>$C$1444</f>
        <v>352751_2019_12_</v>
      </c>
      <c r="K2341" s="781">
        <f>$K$2336</f>
        <v>632</v>
      </c>
      <c r="L2341" s="945"/>
      <c r="M2341" s="877" t="s">
        <v>889</v>
      </c>
      <c r="N2341" s="157"/>
      <c r="O2341" s="277"/>
      <c r="P2341" s="937"/>
      <c r="Q2341" s="937"/>
      <c r="R2341" s="937"/>
      <c r="S2341" s="924"/>
      <c r="T2341" s="1407"/>
      <c r="U2341" s="157"/>
      <c r="V2341" s="3589"/>
      <c r="W2341" s="766"/>
      <c r="X2341" s="766"/>
      <c r="Y2341" s="786">
        <f>$K$2336</f>
        <v>632</v>
      </c>
      <c r="Z2341" s="781">
        <f t="shared" si="203"/>
        <v>632</v>
      </c>
      <c r="AA2341" s="781">
        <f t="shared" si="203"/>
        <v>632</v>
      </c>
      <c r="AB2341" s="781">
        <v>632</v>
      </c>
      <c r="AC2341" s="766"/>
      <c r="AD2341" s="766"/>
      <c r="AE2341" s="766"/>
      <c r="AF2341" s="766"/>
      <c r="AG2341" s="766"/>
      <c r="BB2341" s="647"/>
      <c r="BC2341" s="648"/>
      <c r="BD2341" s="757"/>
      <c r="BE2341" s="659"/>
    </row>
    <row r="2342" spans="1:57" s="64" customFormat="1" ht="15" customHeight="1" outlineLevel="1" x14ac:dyDescent="0.25">
      <c r="A2342" s="2463"/>
      <c r="B2342" s="157"/>
      <c r="C2342" s="385"/>
      <c r="D2342" s="3589"/>
      <c r="E2342" s="3721"/>
      <c r="F2342" s="3773" t="str">
        <f>$E$1446</f>
        <v>ASHP SEER 15 MF replace at Fail Elec Resist Furnace: HVAC</v>
      </c>
      <c r="G2342" s="3774"/>
      <c r="H2342" s="3774"/>
      <c r="I2342" s="3775"/>
      <c r="J2342" s="3071" t="str">
        <f>$C$1446</f>
        <v>352800_2019_12_</v>
      </c>
      <c r="K2342" s="781">
        <v>869</v>
      </c>
      <c r="L2342" s="945"/>
      <c r="M2342" s="783" t="s">
        <v>1198</v>
      </c>
      <c r="N2342" s="157"/>
      <c r="O2342" s="277"/>
      <c r="P2342" s="937"/>
      <c r="Q2342" s="937"/>
      <c r="R2342" s="937"/>
      <c r="S2342" s="924"/>
      <c r="T2342" s="1407"/>
      <c r="U2342" s="157"/>
      <c r="V2342" s="3589"/>
      <c r="W2342" s="766">
        <v>869</v>
      </c>
      <c r="X2342" s="766">
        <v>869</v>
      </c>
      <c r="Y2342" s="781">
        <v>869</v>
      </c>
      <c r="Z2342" s="781">
        <v>869</v>
      </c>
      <c r="AA2342" s="781">
        <v>869</v>
      </c>
      <c r="AB2342" s="781">
        <v>869</v>
      </c>
      <c r="AC2342" s="766"/>
      <c r="AD2342" s="766"/>
      <c r="AE2342" s="766"/>
      <c r="AF2342" s="766"/>
      <c r="AG2342" s="766"/>
      <c r="BB2342" s="647"/>
      <c r="BC2342" s="648"/>
      <c r="BD2342" s="757"/>
      <c r="BE2342" s="659"/>
    </row>
    <row r="2343" spans="1:57" s="64" customFormat="1" ht="15" customHeight="1" outlineLevel="1" x14ac:dyDescent="0.25">
      <c r="A2343" s="2463"/>
      <c r="B2343" s="157"/>
      <c r="C2343" s="385"/>
      <c r="D2343" s="3589"/>
      <c r="E2343" s="3721"/>
      <c r="F2343" s="3773" t="str">
        <f>$E$1448</f>
        <v>ASHP SEER 15 MF replace at Fail Elec Resist Furnace: HVAC_CompE</v>
      </c>
      <c r="G2343" s="3774"/>
      <c r="H2343" s="3774"/>
      <c r="I2343" s="3775"/>
      <c r="J2343" s="3071" t="str">
        <f>$C$1448</f>
        <v>352801_2019_12_</v>
      </c>
      <c r="K2343" s="781">
        <f>$K$2336</f>
        <v>632</v>
      </c>
      <c r="L2343" s="945"/>
      <c r="M2343" s="877" t="s">
        <v>889</v>
      </c>
      <c r="N2343" s="157"/>
      <c r="O2343" s="277"/>
      <c r="P2343" s="937"/>
      <c r="Q2343" s="937"/>
      <c r="R2343" s="937"/>
      <c r="S2343" s="924"/>
      <c r="T2343" s="1407"/>
      <c r="U2343" s="157"/>
      <c r="V2343" s="3589"/>
      <c r="W2343" s="766"/>
      <c r="X2343" s="766"/>
      <c r="Y2343" s="786">
        <f>$K$2336</f>
        <v>632</v>
      </c>
      <c r="Z2343" s="781">
        <f t="shared" ref="Z2343:AA2343" si="204">$K$2336</f>
        <v>632</v>
      </c>
      <c r="AA2343" s="781">
        <f t="shared" si="204"/>
        <v>632</v>
      </c>
      <c r="AB2343" s="781">
        <v>632</v>
      </c>
      <c r="AC2343" s="766"/>
      <c r="AD2343" s="766"/>
      <c r="AE2343" s="766"/>
      <c r="AF2343" s="766"/>
      <c r="AG2343" s="766"/>
      <c r="BB2343" s="647"/>
      <c r="BC2343" s="648"/>
      <c r="BD2343" s="757"/>
      <c r="BE2343" s="659"/>
    </row>
    <row r="2344" spans="1:57" s="64" customFormat="1" ht="15" customHeight="1" outlineLevel="1" x14ac:dyDescent="0.25">
      <c r="A2344" s="2463"/>
      <c r="B2344" s="157"/>
      <c r="C2344" s="385"/>
      <c r="D2344" s="3589"/>
      <c r="E2344" s="3721"/>
      <c r="F2344" s="3773" t="str">
        <f>$E$1450</f>
        <v>ASHP SEER 16 MF ER replace ASHP: HVAC ER1</v>
      </c>
      <c r="G2344" s="3774"/>
      <c r="H2344" s="3774"/>
      <c r="I2344" s="3775"/>
      <c r="J2344" s="3071" t="str">
        <f>$C$1450</f>
        <v>352850_2019_12_</v>
      </c>
      <c r="K2344" s="781">
        <v>869</v>
      </c>
      <c r="L2344" s="945"/>
      <c r="M2344" s="783" t="s">
        <v>1198</v>
      </c>
      <c r="N2344" s="157"/>
      <c r="O2344" s="277"/>
      <c r="P2344" s="937"/>
      <c r="Q2344" s="937"/>
      <c r="R2344" s="937"/>
      <c r="S2344" s="924"/>
      <c r="T2344" s="1407"/>
      <c r="U2344" s="157"/>
      <c r="V2344" s="3589"/>
      <c r="W2344" s="766">
        <v>869</v>
      </c>
      <c r="X2344" s="766">
        <v>869</v>
      </c>
      <c r="Y2344" s="781">
        <v>869</v>
      </c>
      <c r="Z2344" s="781">
        <v>869</v>
      </c>
      <c r="AA2344" s="781">
        <v>869</v>
      </c>
      <c r="AB2344" s="781">
        <v>869</v>
      </c>
      <c r="AC2344" s="766"/>
      <c r="AD2344" s="766"/>
      <c r="AE2344" s="766"/>
      <c r="AF2344" s="766"/>
      <c r="AG2344" s="766"/>
      <c r="BB2344" s="647"/>
      <c r="BC2344" s="648"/>
      <c r="BD2344" s="757"/>
      <c r="BE2344" s="659"/>
    </row>
    <row r="2345" spans="1:57" s="64" customFormat="1" ht="15" customHeight="1" outlineLevel="1" x14ac:dyDescent="0.25">
      <c r="A2345" s="2463"/>
      <c r="B2345" s="157"/>
      <c r="C2345" s="385"/>
      <c r="D2345" s="3589"/>
      <c r="E2345" s="3721"/>
      <c r="F2345" s="3773" t="str">
        <f>$E$1452</f>
        <v>ASHP SEER 16 MF ER replace ASHP: HVAC ER2</v>
      </c>
      <c r="G2345" s="3774"/>
      <c r="H2345" s="3774"/>
      <c r="I2345" s="3775"/>
      <c r="J2345" s="3071" t="str">
        <f>$C$1452</f>
        <v>352850_2019_12_</v>
      </c>
      <c r="K2345" s="781">
        <v>869</v>
      </c>
      <c r="L2345" s="945"/>
      <c r="M2345" s="783" t="s">
        <v>1198</v>
      </c>
      <c r="N2345" s="157"/>
      <c r="O2345" s="277"/>
      <c r="P2345" s="937"/>
      <c r="Q2345" s="937"/>
      <c r="R2345" s="937"/>
      <c r="S2345" s="924"/>
      <c r="T2345" s="1407"/>
      <c r="U2345" s="157"/>
      <c r="V2345" s="3589"/>
      <c r="W2345" s="766">
        <v>869</v>
      </c>
      <c r="X2345" s="766">
        <v>869</v>
      </c>
      <c r="Y2345" s="781">
        <v>869</v>
      </c>
      <c r="Z2345" s="781">
        <v>869</v>
      </c>
      <c r="AA2345" s="781">
        <v>869</v>
      </c>
      <c r="AB2345" s="781">
        <v>869</v>
      </c>
      <c r="AC2345" s="766"/>
      <c r="AD2345" s="766"/>
      <c r="AE2345" s="766"/>
      <c r="AF2345" s="766"/>
      <c r="AG2345" s="766"/>
      <c r="BB2345" s="647"/>
      <c r="BC2345" s="648"/>
      <c r="BD2345" s="757"/>
      <c r="BE2345" s="659"/>
    </row>
    <row r="2346" spans="1:57" s="64" customFormat="1" ht="15" customHeight="1" outlineLevel="1" x14ac:dyDescent="0.25">
      <c r="A2346" s="2463"/>
      <c r="B2346" s="157"/>
      <c r="C2346" s="385"/>
      <c r="D2346" s="3589"/>
      <c r="E2346" s="3721"/>
      <c r="F2346" s="3773" t="str">
        <f>$E$1454</f>
        <v>ASHP SEER 16 MF ER replace ASHP: HVAC ER1_CompE</v>
      </c>
      <c r="G2346" s="3774"/>
      <c r="H2346" s="3774"/>
      <c r="I2346" s="3775"/>
      <c r="J2346" s="3071" t="str">
        <f>$C$1454</f>
        <v>352851_2019_12_</v>
      </c>
      <c r="K2346" s="781">
        <f>$K$2336</f>
        <v>632</v>
      </c>
      <c r="L2346" s="945"/>
      <c r="M2346" s="877" t="s">
        <v>889</v>
      </c>
      <c r="N2346" s="157"/>
      <c r="O2346" s="277"/>
      <c r="P2346" s="937"/>
      <c r="Q2346" s="937"/>
      <c r="R2346" s="937"/>
      <c r="S2346" s="924"/>
      <c r="T2346" s="1407"/>
      <c r="U2346" s="157"/>
      <c r="V2346" s="3589"/>
      <c r="W2346" s="766"/>
      <c r="X2346" s="766"/>
      <c r="Y2346" s="786">
        <f>$K$2336</f>
        <v>632</v>
      </c>
      <c r="Z2346" s="781">
        <f t="shared" ref="Z2346:AA2347" si="205">$K$2336</f>
        <v>632</v>
      </c>
      <c r="AA2346" s="781">
        <f t="shared" si="205"/>
        <v>632</v>
      </c>
      <c r="AB2346" s="781">
        <v>632</v>
      </c>
      <c r="AC2346" s="766"/>
      <c r="AD2346" s="766"/>
      <c r="AE2346" s="766"/>
      <c r="AF2346" s="766"/>
      <c r="AG2346" s="766"/>
      <c r="BB2346" s="647"/>
      <c r="BC2346" s="648"/>
      <c r="BD2346" s="757"/>
      <c r="BE2346" s="659"/>
    </row>
    <row r="2347" spans="1:57" s="64" customFormat="1" ht="15" customHeight="1" outlineLevel="1" x14ac:dyDescent="0.25">
      <c r="A2347" s="2463"/>
      <c r="B2347" s="157"/>
      <c r="C2347" s="385"/>
      <c r="D2347" s="3589"/>
      <c r="E2347" s="3721"/>
      <c r="F2347" s="3773" t="str">
        <f>$E$1456</f>
        <v>ASHP SEER 16 MF ER replace ASHP: HVAC ER2_CompE</v>
      </c>
      <c r="G2347" s="3774"/>
      <c r="H2347" s="3774"/>
      <c r="I2347" s="3775"/>
      <c r="J2347" s="3071" t="str">
        <f>$C$1456</f>
        <v>352851_2019_12_</v>
      </c>
      <c r="K2347" s="781">
        <f>$K$2336</f>
        <v>632</v>
      </c>
      <c r="L2347" s="945"/>
      <c r="M2347" s="877" t="s">
        <v>889</v>
      </c>
      <c r="N2347" s="157"/>
      <c r="O2347" s="277"/>
      <c r="P2347" s="937"/>
      <c r="Q2347" s="937"/>
      <c r="R2347" s="937"/>
      <c r="S2347" s="924"/>
      <c r="T2347" s="1407"/>
      <c r="U2347" s="157"/>
      <c r="V2347" s="3589"/>
      <c r="W2347" s="766"/>
      <c r="X2347" s="766"/>
      <c r="Y2347" s="786">
        <f>$K$2336</f>
        <v>632</v>
      </c>
      <c r="Z2347" s="781">
        <f t="shared" si="205"/>
        <v>632</v>
      </c>
      <c r="AA2347" s="781">
        <f t="shared" si="205"/>
        <v>632</v>
      </c>
      <c r="AB2347" s="781">
        <v>632</v>
      </c>
      <c r="AC2347" s="766"/>
      <c r="AD2347" s="766"/>
      <c r="AE2347" s="766"/>
      <c r="AF2347" s="766"/>
      <c r="AG2347" s="766"/>
      <c r="BB2347" s="647"/>
      <c r="BC2347" s="648"/>
      <c r="BD2347" s="757"/>
      <c r="BE2347" s="659"/>
    </row>
    <row r="2348" spans="1:57" s="64" customFormat="1" ht="15" customHeight="1" outlineLevel="1" x14ac:dyDescent="0.25">
      <c r="A2348" s="2463"/>
      <c r="B2348" s="157"/>
      <c r="C2348" s="385"/>
      <c r="D2348" s="3589"/>
      <c r="E2348" s="3721"/>
      <c r="F2348" s="3773" t="str">
        <f>$E$1458</f>
        <v>ASHP - SEER 16 - replace on fail MF</v>
      </c>
      <c r="G2348" s="3774"/>
      <c r="H2348" s="3774"/>
      <c r="I2348" s="3775"/>
      <c r="J2348" s="3071" t="str">
        <f>$C$1458</f>
        <v>352900_2019_12_</v>
      </c>
      <c r="K2348" s="781">
        <v>869</v>
      </c>
      <c r="L2348" s="945"/>
      <c r="M2348" s="783" t="s">
        <v>1198</v>
      </c>
      <c r="N2348" s="157"/>
      <c r="O2348" s="277"/>
      <c r="P2348" s="937"/>
      <c r="Q2348" s="937"/>
      <c r="R2348" s="937"/>
      <c r="S2348" s="924"/>
      <c r="T2348" s="1407"/>
      <c r="U2348" s="157"/>
      <c r="V2348" s="3589"/>
      <c r="W2348" s="766">
        <v>869</v>
      </c>
      <c r="X2348" s="766">
        <v>869</v>
      </c>
      <c r="Y2348" s="781">
        <v>869</v>
      </c>
      <c r="Z2348" s="781">
        <v>869</v>
      </c>
      <c r="AA2348" s="781">
        <v>869</v>
      </c>
      <c r="AB2348" s="781">
        <v>869</v>
      </c>
      <c r="AC2348" s="766"/>
      <c r="AD2348" s="766"/>
      <c r="AE2348" s="766"/>
      <c r="AF2348" s="766"/>
      <c r="AG2348" s="766"/>
      <c r="BB2348" s="647"/>
      <c r="BC2348" s="648"/>
      <c r="BD2348" s="757"/>
      <c r="BE2348" s="659"/>
    </row>
    <row r="2349" spans="1:57" s="64" customFormat="1" ht="15" customHeight="1" outlineLevel="1" x14ac:dyDescent="0.25">
      <c r="A2349" s="2463"/>
      <c r="B2349" s="157"/>
      <c r="C2349" s="385"/>
      <c r="D2349" s="3589"/>
      <c r="E2349" s="3721"/>
      <c r="F2349" s="3773" t="str">
        <f>$E$1460</f>
        <v>ASHP - SEER 16 - replace on fail MF_CompE</v>
      </c>
      <c r="G2349" s="3774"/>
      <c r="H2349" s="3774"/>
      <c r="I2349" s="3775"/>
      <c r="J2349" s="3071" t="str">
        <f>$C$1460</f>
        <v>352901_2019_12_</v>
      </c>
      <c r="K2349" s="781">
        <f>$K$2336</f>
        <v>632</v>
      </c>
      <c r="L2349" s="945"/>
      <c r="M2349" s="877" t="s">
        <v>889</v>
      </c>
      <c r="N2349" s="157"/>
      <c r="O2349" s="277"/>
      <c r="P2349" s="937"/>
      <c r="Q2349" s="937"/>
      <c r="R2349" s="937"/>
      <c r="S2349" s="924"/>
      <c r="T2349" s="1407"/>
      <c r="U2349" s="157"/>
      <c r="V2349" s="3589"/>
      <c r="W2349" s="766"/>
      <c r="X2349" s="766"/>
      <c r="Y2349" s="786">
        <f>$K$2336</f>
        <v>632</v>
      </c>
      <c r="Z2349" s="781">
        <f t="shared" ref="Z2349:AA2349" si="206">$K$2336</f>
        <v>632</v>
      </c>
      <c r="AA2349" s="781">
        <f t="shared" si="206"/>
        <v>632</v>
      </c>
      <c r="AB2349" s="781">
        <v>632</v>
      </c>
      <c r="AC2349" s="766"/>
      <c r="AD2349" s="766"/>
      <c r="AE2349" s="766"/>
      <c r="AF2349" s="766"/>
      <c r="AG2349" s="766"/>
      <c r="BB2349" s="647"/>
      <c r="BC2349" s="648"/>
      <c r="BD2349" s="757"/>
      <c r="BE2349" s="659"/>
    </row>
    <row r="2350" spans="1:57" s="64" customFormat="1" ht="15" customHeight="1" outlineLevel="1" x14ac:dyDescent="0.25">
      <c r="A2350" s="2463"/>
      <c r="B2350" s="157"/>
      <c r="C2350" s="385"/>
      <c r="D2350" s="3589"/>
      <c r="E2350" s="3721"/>
      <c r="F2350" s="3773" t="str">
        <f>$E$1462</f>
        <v>ASHP - SEER 16 - replace electric furnace / CAC MF</v>
      </c>
      <c r="G2350" s="3774"/>
      <c r="H2350" s="3774"/>
      <c r="I2350" s="3775"/>
      <c r="J2350" s="3071" t="str">
        <f>$C$1462</f>
        <v>352950_2019_12_</v>
      </c>
      <c r="K2350" s="781">
        <v>869</v>
      </c>
      <c r="L2350" s="945"/>
      <c r="M2350" s="783" t="s">
        <v>1198</v>
      </c>
      <c r="N2350" s="157"/>
      <c r="O2350" s="277"/>
      <c r="P2350" s="937"/>
      <c r="Q2350" s="937"/>
      <c r="R2350" s="937"/>
      <c r="S2350" s="924"/>
      <c r="T2350" s="1407"/>
      <c r="U2350" s="157"/>
      <c r="V2350" s="3589"/>
      <c r="W2350" s="766">
        <v>869</v>
      </c>
      <c r="X2350" s="766">
        <v>869</v>
      </c>
      <c r="Y2350" s="781">
        <v>869</v>
      </c>
      <c r="Z2350" s="781">
        <v>869</v>
      </c>
      <c r="AA2350" s="781">
        <v>869</v>
      </c>
      <c r="AB2350" s="781">
        <v>869</v>
      </c>
      <c r="AC2350" s="766"/>
      <c r="AD2350" s="766"/>
      <c r="AE2350" s="766"/>
      <c r="AF2350" s="766"/>
      <c r="AG2350" s="766"/>
      <c r="BB2350" s="647"/>
      <c r="BC2350" s="648"/>
      <c r="BD2350" s="757"/>
      <c r="BE2350" s="659"/>
    </row>
    <row r="2351" spans="1:57" s="64" customFormat="1" ht="15" customHeight="1" outlineLevel="1" x14ac:dyDescent="0.25">
      <c r="A2351" s="2463"/>
      <c r="B2351" s="157"/>
      <c r="C2351" s="385"/>
      <c r="D2351" s="3589"/>
      <c r="E2351" s="3721"/>
      <c r="F2351" s="3773" t="str">
        <f>$E$1464</f>
        <v>ASHP - SEER 16 - replace electric furnace / CAC MF_CompE</v>
      </c>
      <c r="G2351" s="3774"/>
      <c r="H2351" s="3774"/>
      <c r="I2351" s="3775"/>
      <c r="J2351" s="3071" t="str">
        <f>$C$1464</f>
        <v>352951_2019_12_</v>
      </c>
      <c r="K2351" s="781">
        <f>$K$2336</f>
        <v>632</v>
      </c>
      <c r="L2351" s="945"/>
      <c r="M2351" s="877" t="s">
        <v>889</v>
      </c>
      <c r="N2351" s="157"/>
      <c r="O2351" s="277"/>
      <c r="P2351" s="937"/>
      <c r="Q2351" s="937"/>
      <c r="R2351" s="937"/>
      <c r="S2351" s="924"/>
      <c r="T2351" s="1407"/>
      <c r="U2351" s="157"/>
      <c r="V2351" s="3589"/>
      <c r="W2351" s="766"/>
      <c r="X2351" s="766"/>
      <c r="Y2351" s="786">
        <f>$K$2336</f>
        <v>632</v>
      </c>
      <c r="Z2351" s="781">
        <f t="shared" ref="Z2351:AA2351" si="207">$K$2336</f>
        <v>632</v>
      </c>
      <c r="AA2351" s="781">
        <f t="shared" si="207"/>
        <v>632</v>
      </c>
      <c r="AB2351" s="781">
        <v>632</v>
      </c>
      <c r="AC2351" s="766"/>
      <c r="AD2351" s="766"/>
      <c r="AE2351" s="766"/>
      <c r="AF2351" s="766"/>
      <c r="AG2351" s="766"/>
      <c r="BB2351" s="647"/>
      <c r="BC2351" s="648"/>
      <c r="BD2351" s="757"/>
      <c r="BE2351" s="659"/>
    </row>
    <row r="2352" spans="1:57" s="64" customFormat="1" ht="15" customHeight="1" outlineLevel="1" x14ac:dyDescent="0.25">
      <c r="A2352" s="2463"/>
      <c r="B2352" s="157"/>
      <c r="C2352" s="385"/>
      <c r="D2352" s="3589"/>
      <c r="E2352" s="3721"/>
      <c r="F2352" s="3773" t="str">
        <f>$E$1466</f>
        <v>ASHP - SEER 16 - replace electric furnace / CAC - early replacement MF ER1</v>
      </c>
      <c r="G2352" s="3774"/>
      <c r="H2352" s="3774"/>
      <c r="I2352" s="3775"/>
      <c r="J2352" s="3071" t="str">
        <f>$C$1466</f>
        <v>353000_2019_12_</v>
      </c>
      <c r="K2352" s="781">
        <v>869</v>
      </c>
      <c r="L2352" s="945"/>
      <c r="M2352" s="783" t="s">
        <v>1198</v>
      </c>
      <c r="N2352" s="157"/>
      <c r="O2352" s="277"/>
      <c r="P2352" s="937"/>
      <c r="Q2352" s="937"/>
      <c r="R2352" s="937"/>
      <c r="S2352" s="924"/>
      <c r="T2352" s="1407"/>
      <c r="U2352" s="157"/>
      <c r="V2352" s="3589"/>
      <c r="W2352" s="766">
        <v>869</v>
      </c>
      <c r="X2352" s="766">
        <v>869</v>
      </c>
      <c r="Y2352" s="781">
        <v>869</v>
      </c>
      <c r="Z2352" s="781">
        <v>869</v>
      </c>
      <c r="AA2352" s="781">
        <v>869</v>
      </c>
      <c r="AB2352" s="781">
        <v>869</v>
      </c>
      <c r="AC2352" s="766"/>
      <c r="AD2352" s="766"/>
      <c r="AE2352" s="766"/>
      <c r="AF2352" s="766"/>
      <c r="AG2352" s="766"/>
      <c r="BB2352" s="647"/>
      <c r="BC2352" s="648"/>
      <c r="BD2352" s="757"/>
      <c r="BE2352" s="659"/>
    </row>
    <row r="2353" spans="1:57" s="64" customFormat="1" ht="15" customHeight="1" outlineLevel="1" x14ac:dyDescent="0.25">
      <c r="A2353" s="2463"/>
      <c r="B2353" s="157"/>
      <c r="C2353" s="385"/>
      <c r="D2353" s="3589"/>
      <c r="E2353" s="3721"/>
      <c r="F2353" s="3773" t="str">
        <f>$E$1468</f>
        <v>ASHP - SEER 16 - replace electric furnace / CAC - early replacement MF ER2</v>
      </c>
      <c r="G2353" s="3774"/>
      <c r="H2353" s="3774"/>
      <c r="I2353" s="3775"/>
      <c r="J2353" s="3071" t="str">
        <f>$C$1468</f>
        <v>353000_2019_12_</v>
      </c>
      <c r="K2353" s="781">
        <v>869</v>
      </c>
      <c r="L2353" s="945"/>
      <c r="M2353" s="783" t="s">
        <v>1198</v>
      </c>
      <c r="N2353" s="157"/>
      <c r="O2353" s="277"/>
      <c r="P2353" s="937"/>
      <c r="Q2353" s="937"/>
      <c r="R2353" s="937"/>
      <c r="S2353" s="924"/>
      <c r="T2353" s="1407"/>
      <c r="U2353" s="157"/>
      <c r="V2353" s="3589"/>
      <c r="W2353" s="766">
        <v>869</v>
      </c>
      <c r="X2353" s="766">
        <v>869</v>
      </c>
      <c r="Y2353" s="781">
        <v>869</v>
      </c>
      <c r="Z2353" s="781">
        <v>869</v>
      </c>
      <c r="AA2353" s="781">
        <v>869</v>
      </c>
      <c r="AB2353" s="781">
        <v>869</v>
      </c>
      <c r="AC2353" s="766"/>
      <c r="AD2353" s="766"/>
      <c r="AE2353" s="766"/>
      <c r="AF2353" s="766"/>
      <c r="AG2353" s="766"/>
      <c r="BB2353" s="647"/>
      <c r="BC2353" s="648"/>
      <c r="BD2353" s="757"/>
      <c r="BE2353" s="659"/>
    </row>
    <row r="2354" spans="1:57" s="64" customFormat="1" ht="15" customHeight="1" outlineLevel="1" x14ac:dyDescent="0.25">
      <c r="A2354" s="2463"/>
      <c r="B2354" s="157"/>
      <c r="C2354" s="385"/>
      <c r="D2354" s="3589"/>
      <c r="E2354" s="3721"/>
      <c r="F2354" s="3773" t="str">
        <f>$E$1470</f>
        <v>ASHP - SEER 16 - replace electric furnace / CAC - early replacement MF ER1_CompE</v>
      </c>
      <c r="G2354" s="3774"/>
      <c r="H2354" s="3774"/>
      <c r="I2354" s="3775"/>
      <c r="J2354" s="3071" t="str">
        <f>$C$1470</f>
        <v>353001_2019_12_</v>
      </c>
      <c r="K2354" s="781">
        <f>$K$2336</f>
        <v>632</v>
      </c>
      <c r="L2354" s="945"/>
      <c r="M2354" s="877" t="s">
        <v>889</v>
      </c>
      <c r="N2354" s="157"/>
      <c r="O2354" s="277"/>
      <c r="P2354" s="937"/>
      <c r="Q2354" s="937"/>
      <c r="R2354" s="937"/>
      <c r="S2354" s="924"/>
      <c r="T2354" s="1407"/>
      <c r="U2354" s="157"/>
      <c r="V2354" s="3589"/>
      <c r="W2354" s="766"/>
      <c r="X2354" s="766"/>
      <c r="Y2354" s="786">
        <f>$K$2336</f>
        <v>632</v>
      </c>
      <c r="Z2354" s="781">
        <f t="shared" ref="Z2354:AA2355" si="208">$K$2336</f>
        <v>632</v>
      </c>
      <c r="AA2354" s="781">
        <f t="shared" si="208"/>
        <v>632</v>
      </c>
      <c r="AB2354" s="781">
        <v>632</v>
      </c>
      <c r="AC2354" s="766"/>
      <c r="AD2354" s="766"/>
      <c r="AE2354" s="766"/>
      <c r="AF2354" s="766"/>
      <c r="AG2354" s="766"/>
      <c r="BB2354" s="647"/>
      <c r="BC2354" s="648"/>
      <c r="BD2354" s="757"/>
      <c r="BE2354" s="659"/>
    </row>
    <row r="2355" spans="1:57" s="64" customFormat="1" ht="15" customHeight="1" outlineLevel="1" x14ac:dyDescent="0.25">
      <c r="A2355" s="2463"/>
      <c r="B2355" s="157"/>
      <c r="C2355" s="385"/>
      <c r="D2355" s="3589"/>
      <c r="E2355" s="3721"/>
      <c r="F2355" s="3773" t="str">
        <f>$E$1472</f>
        <v>ASHP - SEER 16 - replace electric furnace / CAC - early replacement MF ER2_CompE</v>
      </c>
      <c r="G2355" s="3774"/>
      <c r="H2355" s="3774"/>
      <c r="I2355" s="3775"/>
      <c r="J2355" s="3071" t="str">
        <f>$C$1472</f>
        <v>353001_2019_12_</v>
      </c>
      <c r="K2355" s="781">
        <f>$K$2336</f>
        <v>632</v>
      </c>
      <c r="L2355" s="945"/>
      <c r="M2355" s="877" t="s">
        <v>889</v>
      </c>
      <c r="N2355" s="157"/>
      <c r="O2355" s="277"/>
      <c r="P2355" s="937"/>
      <c r="Q2355" s="937"/>
      <c r="R2355" s="937"/>
      <c r="S2355" s="924"/>
      <c r="T2355" s="1407"/>
      <c r="U2355" s="157"/>
      <c r="V2355" s="3589"/>
      <c r="W2355" s="766"/>
      <c r="X2355" s="766"/>
      <c r="Y2355" s="786">
        <f>$K$2336</f>
        <v>632</v>
      </c>
      <c r="Z2355" s="781">
        <f t="shared" si="208"/>
        <v>632</v>
      </c>
      <c r="AA2355" s="781">
        <f t="shared" si="208"/>
        <v>632</v>
      </c>
      <c r="AB2355" s="781">
        <v>632</v>
      </c>
      <c r="AC2355" s="766"/>
      <c r="AD2355" s="766"/>
      <c r="AE2355" s="766"/>
      <c r="AF2355" s="766"/>
      <c r="AG2355" s="766"/>
      <c r="BB2355" s="647"/>
      <c r="BC2355" s="648"/>
      <c r="BD2355" s="757"/>
      <c r="BE2355" s="659"/>
    </row>
    <row r="2356" spans="1:57" s="64" customFormat="1" ht="15" customHeight="1" outlineLevel="1" x14ac:dyDescent="0.25">
      <c r="A2356" s="2463"/>
      <c r="B2356" s="157"/>
      <c r="C2356" s="385"/>
      <c r="D2356" s="3589"/>
      <c r="E2356" s="3721"/>
      <c r="F2356" s="3776" t="str">
        <f>$E$1474</f>
        <v xml:space="preserve">ASHP SEER 15 - replace on Fail MF </v>
      </c>
      <c r="G2356" s="3777"/>
      <c r="H2356" s="3777"/>
      <c r="I2356" s="3778"/>
      <c r="J2356" s="3072" t="str">
        <f>$C$1474</f>
        <v>353050_2019_12_</v>
      </c>
      <c r="K2356" s="781">
        <v>869</v>
      </c>
      <c r="L2356" s="945"/>
      <c r="M2356" s="783" t="s">
        <v>1198</v>
      </c>
      <c r="N2356" s="157"/>
      <c r="O2356" s="277"/>
      <c r="P2356" s="937"/>
      <c r="Q2356" s="937"/>
      <c r="R2356" s="937"/>
      <c r="S2356" s="924"/>
      <c r="T2356" s="1407"/>
      <c r="U2356" s="157"/>
      <c r="V2356" s="3589"/>
      <c r="W2356" s="766">
        <v>869</v>
      </c>
      <c r="X2356" s="766">
        <v>869</v>
      </c>
      <c r="Y2356" s="781">
        <v>869</v>
      </c>
      <c r="Z2356" s="781">
        <v>869</v>
      </c>
      <c r="AA2356" s="781">
        <v>869</v>
      </c>
      <c r="AB2356" s="781">
        <v>869</v>
      </c>
      <c r="AC2356" s="766"/>
      <c r="AD2356" s="766"/>
      <c r="AE2356" s="766"/>
      <c r="AF2356" s="766"/>
      <c r="AG2356" s="766"/>
      <c r="BB2356" s="647"/>
      <c r="BC2356" s="648"/>
      <c r="BD2356" s="757"/>
      <c r="BE2356" s="659"/>
    </row>
    <row r="2357" spans="1:57" s="64" customFormat="1" ht="15" customHeight="1" outlineLevel="1" x14ac:dyDescent="0.25">
      <c r="A2357" s="2463"/>
      <c r="B2357" s="157"/>
      <c r="C2357" s="385"/>
      <c r="D2357" s="3589"/>
      <c r="E2357" s="3721"/>
      <c r="F2357" s="3776" t="str">
        <f>$E$1476</f>
        <v>ASHP SEER 15 - replace on Fail MF _CompE</v>
      </c>
      <c r="G2357" s="3777"/>
      <c r="H2357" s="3777"/>
      <c r="I2357" s="3778"/>
      <c r="J2357" s="3072" t="str">
        <f>$C$1476</f>
        <v>353051_2019_12_</v>
      </c>
      <c r="K2357" s="781">
        <f>$K$2336</f>
        <v>632</v>
      </c>
      <c r="L2357" s="945"/>
      <c r="M2357" s="877" t="s">
        <v>889</v>
      </c>
      <c r="N2357" s="157"/>
      <c r="O2357" s="277"/>
      <c r="P2357" s="937"/>
      <c r="Q2357" s="937"/>
      <c r="R2357" s="937"/>
      <c r="S2357" s="924"/>
      <c r="T2357" s="1407"/>
      <c r="U2357" s="157"/>
      <c r="V2357" s="3589"/>
      <c r="W2357" s="766"/>
      <c r="X2357" s="766"/>
      <c r="Y2357" s="786">
        <f>$K$2336</f>
        <v>632</v>
      </c>
      <c r="Z2357" s="781">
        <f t="shared" ref="Z2357:AA2357" si="209">$K$2336</f>
        <v>632</v>
      </c>
      <c r="AA2357" s="781">
        <f t="shared" si="209"/>
        <v>632</v>
      </c>
      <c r="AB2357" s="781">
        <v>632</v>
      </c>
      <c r="AC2357" s="766"/>
      <c r="AD2357" s="766"/>
      <c r="AE2357" s="766"/>
      <c r="AF2357" s="766"/>
      <c r="AG2357" s="766"/>
      <c r="BB2357" s="647"/>
      <c r="BC2357" s="648"/>
      <c r="BD2357" s="757"/>
      <c r="BE2357" s="659"/>
    </row>
    <row r="2358" spans="1:57" s="64" customFormat="1" ht="15" customHeight="1" outlineLevel="1" x14ac:dyDescent="0.25">
      <c r="A2358" s="2463"/>
      <c r="B2358" s="157"/>
      <c r="C2358" s="385"/>
      <c r="D2358" s="3589"/>
      <c r="E2358" s="3721"/>
      <c r="F2358" s="3773" t="str">
        <f>$E$1478</f>
        <v>ASHP - SEER 17 - replace electric furnace / CAC SF</v>
      </c>
      <c r="G2358" s="3774"/>
      <c r="H2358" s="3774"/>
      <c r="I2358" s="3775"/>
      <c r="J2358" s="3071" t="str">
        <f>$C$1478</f>
        <v>353100_2019_12_</v>
      </c>
      <c r="K2358" s="781">
        <v>869</v>
      </c>
      <c r="L2358" s="945"/>
      <c r="M2358" s="783" t="s">
        <v>1198</v>
      </c>
      <c r="N2358" s="157"/>
      <c r="O2358" s="277"/>
      <c r="P2358" s="937"/>
      <c r="Q2358" s="937"/>
      <c r="R2358" s="937"/>
      <c r="S2358" s="924"/>
      <c r="T2358" s="1407"/>
      <c r="U2358" s="157"/>
      <c r="V2358" s="3589"/>
      <c r="W2358" s="766">
        <v>869</v>
      </c>
      <c r="X2358" s="766">
        <v>869</v>
      </c>
      <c r="Y2358" s="781">
        <v>869</v>
      </c>
      <c r="Z2358" s="781">
        <v>869</v>
      </c>
      <c r="AA2358" s="781">
        <v>869</v>
      </c>
      <c r="AB2358" s="781">
        <v>869</v>
      </c>
      <c r="AC2358" s="766"/>
      <c r="AD2358" s="766"/>
      <c r="AE2358" s="766"/>
      <c r="AF2358" s="766"/>
      <c r="AG2358" s="766"/>
      <c r="BB2358" s="647"/>
      <c r="BC2358" s="648"/>
      <c r="BD2358" s="757"/>
      <c r="BE2358" s="659"/>
    </row>
    <row r="2359" spans="1:57" s="64" customFormat="1" ht="15" customHeight="1" outlineLevel="1" x14ac:dyDescent="0.25">
      <c r="A2359" s="2463"/>
      <c r="B2359" s="157"/>
      <c r="C2359" s="385"/>
      <c r="D2359" s="3589"/>
      <c r="E2359" s="3721"/>
      <c r="F2359" s="3773" t="str">
        <f>$E$1480</f>
        <v>ASHP - SEER 17 - replace electric furnace / CAC MF</v>
      </c>
      <c r="G2359" s="3774"/>
      <c r="H2359" s="3774"/>
      <c r="I2359" s="3775"/>
      <c r="J2359" s="3071" t="str">
        <f>$C$1480</f>
        <v>353150_2019_12_</v>
      </c>
      <c r="K2359" s="781">
        <v>869</v>
      </c>
      <c r="L2359" s="945"/>
      <c r="M2359" s="783" t="s">
        <v>1198</v>
      </c>
      <c r="N2359" s="157"/>
      <c r="O2359" s="277"/>
      <c r="P2359" s="937"/>
      <c r="Q2359" s="937"/>
      <c r="R2359" s="937"/>
      <c r="S2359" s="924"/>
      <c r="T2359" s="1407"/>
      <c r="U2359" s="157"/>
      <c r="V2359" s="3589"/>
      <c r="W2359" s="766">
        <v>869</v>
      </c>
      <c r="X2359" s="766">
        <v>869</v>
      </c>
      <c r="Y2359" s="781">
        <v>869</v>
      </c>
      <c r="Z2359" s="781">
        <v>869</v>
      </c>
      <c r="AA2359" s="781">
        <v>869</v>
      </c>
      <c r="AB2359" s="781">
        <v>869</v>
      </c>
      <c r="AC2359" s="766"/>
      <c r="AD2359" s="766"/>
      <c r="AE2359" s="766"/>
      <c r="AF2359" s="766"/>
      <c r="AG2359" s="766"/>
      <c r="BB2359" s="647"/>
      <c r="BC2359" s="648"/>
      <c r="BD2359" s="757"/>
      <c r="BE2359" s="659"/>
    </row>
    <row r="2360" spans="1:57" s="64" customFormat="1" ht="15" customHeight="1" outlineLevel="1" x14ac:dyDescent="0.25">
      <c r="A2360" s="2463"/>
      <c r="B2360" s="157"/>
      <c r="C2360" s="385"/>
      <c r="D2360" s="3589"/>
      <c r="E2360" s="3721"/>
      <c r="F2360" s="3773" t="str">
        <f>$E$1482</f>
        <v>ASHP - SEER 17 - replace electric furnace / CAC MF_CompE</v>
      </c>
      <c r="G2360" s="3774"/>
      <c r="H2360" s="3774"/>
      <c r="I2360" s="3775"/>
      <c r="J2360" s="3071" t="str">
        <f>$C$1482</f>
        <v>353151_2019_12_</v>
      </c>
      <c r="K2360" s="781">
        <f>$K$2336</f>
        <v>632</v>
      </c>
      <c r="L2360" s="945"/>
      <c r="M2360" s="877" t="s">
        <v>889</v>
      </c>
      <c r="N2360" s="157"/>
      <c r="O2360" s="277"/>
      <c r="P2360" s="937"/>
      <c r="Q2360" s="937"/>
      <c r="R2360" s="937"/>
      <c r="S2360" s="924"/>
      <c r="T2360" s="1407"/>
      <c r="U2360" s="157"/>
      <c r="V2360" s="3589"/>
      <c r="W2360" s="766"/>
      <c r="X2360" s="766"/>
      <c r="Y2360" s="786">
        <f>$K$2336</f>
        <v>632</v>
      </c>
      <c r="Z2360" s="781">
        <f t="shared" ref="Z2360:AA2360" si="210">$K$2336</f>
        <v>632</v>
      </c>
      <c r="AA2360" s="781">
        <f t="shared" si="210"/>
        <v>632</v>
      </c>
      <c r="AB2360" s="781">
        <v>632</v>
      </c>
      <c r="AC2360" s="766"/>
      <c r="AD2360" s="766"/>
      <c r="AE2360" s="766"/>
      <c r="AF2360" s="766"/>
      <c r="AG2360" s="766"/>
      <c r="BB2360" s="647"/>
      <c r="BC2360" s="648"/>
      <c r="BD2360" s="757"/>
      <c r="BE2360" s="659"/>
    </row>
    <row r="2361" spans="1:57" s="64" customFormat="1" ht="15" customHeight="1" outlineLevel="1" x14ac:dyDescent="0.25">
      <c r="A2361" s="2463"/>
      <c r="B2361" s="157"/>
      <c r="C2361" s="385"/>
      <c r="D2361" s="3589"/>
      <c r="E2361" s="3721"/>
      <c r="F2361" s="3773" t="str">
        <f>$E$1484</f>
        <v>ASHP - SEER 18 - replace electric furnace / CAC SF</v>
      </c>
      <c r="G2361" s="3774"/>
      <c r="H2361" s="3774"/>
      <c r="I2361" s="3775"/>
      <c r="J2361" s="3071" t="str">
        <f>$C$1484</f>
        <v>353200_2019_12_</v>
      </c>
      <c r="K2361" s="781">
        <v>869</v>
      </c>
      <c r="L2361" s="945"/>
      <c r="M2361" s="783" t="s">
        <v>1198</v>
      </c>
      <c r="N2361" s="157"/>
      <c r="O2361" s="277"/>
      <c r="P2361" s="937"/>
      <c r="Q2361" s="937"/>
      <c r="R2361" s="937"/>
      <c r="S2361" s="924"/>
      <c r="T2361" s="1407"/>
      <c r="U2361" s="157"/>
      <c r="V2361" s="3589"/>
      <c r="W2361" s="766">
        <v>869</v>
      </c>
      <c r="X2361" s="766">
        <v>869</v>
      </c>
      <c r="Y2361" s="781">
        <v>869</v>
      </c>
      <c r="Z2361" s="781">
        <v>869</v>
      </c>
      <c r="AA2361" s="781">
        <v>869</v>
      </c>
      <c r="AB2361" s="781">
        <v>869</v>
      </c>
      <c r="AC2361" s="766"/>
      <c r="AD2361" s="766"/>
      <c r="AE2361" s="766"/>
      <c r="AF2361" s="766"/>
      <c r="AG2361" s="766"/>
      <c r="BB2361" s="647"/>
      <c r="BC2361" s="648"/>
      <c r="BD2361" s="757"/>
      <c r="BE2361" s="659"/>
    </row>
    <row r="2362" spans="1:57" s="64" customFormat="1" ht="15" customHeight="1" outlineLevel="1" x14ac:dyDescent="0.25">
      <c r="A2362" s="2463"/>
      <c r="B2362" s="157"/>
      <c r="C2362" s="385"/>
      <c r="D2362" s="3589"/>
      <c r="E2362" s="3721"/>
      <c r="F2362" s="3773" t="str">
        <f>$E$1486</f>
        <v>ASHP - SEER 18 - replace electric furnace / CAC MF</v>
      </c>
      <c r="G2362" s="3774"/>
      <c r="H2362" s="3774"/>
      <c r="I2362" s="3775"/>
      <c r="J2362" s="3071" t="str">
        <f>$C$1486</f>
        <v>353250_2019_12_</v>
      </c>
      <c r="K2362" s="781">
        <v>869</v>
      </c>
      <c r="L2362" s="945"/>
      <c r="M2362" s="783" t="s">
        <v>1198</v>
      </c>
      <c r="N2362" s="157"/>
      <c r="O2362" s="277"/>
      <c r="P2362" s="937"/>
      <c r="Q2362" s="937"/>
      <c r="R2362" s="937"/>
      <c r="S2362" s="924"/>
      <c r="T2362" s="1407"/>
      <c r="U2362" s="157"/>
      <c r="V2362" s="3589"/>
      <c r="W2362" s="766">
        <v>869</v>
      </c>
      <c r="X2362" s="766">
        <v>869</v>
      </c>
      <c r="Y2362" s="781">
        <v>869</v>
      </c>
      <c r="Z2362" s="781">
        <v>869</v>
      </c>
      <c r="AA2362" s="781">
        <v>869</v>
      </c>
      <c r="AB2362" s="781">
        <v>869</v>
      </c>
      <c r="AC2362" s="766"/>
      <c r="AD2362" s="766"/>
      <c r="AE2362" s="766"/>
      <c r="AF2362" s="766"/>
      <c r="AG2362" s="766"/>
      <c r="BB2362" s="647"/>
      <c r="BC2362" s="648"/>
      <c r="BD2362" s="757"/>
      <c r="BE2362" s="659"/>
    </row>
    <row r="2363" spans="1:57" s="64" customFormat="1" ht="15" customHeight="1" outlineLevel="1" x14ac:dyDescent="0.25">
      <c r="A2363" s="2463"/>
      <c r="B2363" s="157"/>
      <c r="C2363" s="385"/>
      <c r="D2363" s="3589"/>
      <c r="E2363" s="3721"/>
      <c r="F2363" s="3773" t="str">
        <f>$E$1488</f>
        <v>ASHP - SEER 18 - replace electric furnace / CAC MF_CompE</v>
      </c>
      <c r="G2363" s="3774"/>
      <c r="H2363" s="3774"/>
      <c r="I2363" s="3775"/>
      <c r="J2363" s="3071" t="str">
        <f>$C$1488</f>
        <v>353251_2019_12_</v>
      </c>
      <c r="K2363" s="781">
        <f>$K$2336</f>
        <v>632</v>
      </c>
      <c r="L2363" s="945"/>
      <c r="M2363" s="877" t="s">
        <v>889</v>
      </c>
      <c r="N2363" s="157"/>
      <c r="O2363" s="277"/>
      <c r="P2363" s="937"/>
      <c r="Q2363" s="937"/>
      <c r="R2363" s="937"/>
      <c r="S2363" s="924"/>
      <c r="T2363" s="1407"/>
      <c r="U2363" s="157"/>
      <c r="V2363" s="3589"/>
      <c r="W2363" s="766"/>
      <c r="X2363" s="766"/>
      <c r="Y2363" s="786">
        <f>$K$2336</f>
        <v>632</v>
      </c>
      <c r="Z2363" s="781">
        <f t="shared" ref="Z2363:AA2363" si="211">$K$2336</f>
        <v>632</v>
      </c>
      <c r="AA2363" s="781">
        <f t="shared" si="211"/>
        <v>632</v>
      </c>
      <c r="AB2363" s="781">
        <v>632</v>
      </c>
      <c r="AC2363" s="766"/>
      <c r="AD2363" s="766"/>
      <c r="AE2363" s="766"/>
      <c r="AF2363" s="766"/>
      <c r="AG2363" s="766"/>
      <c r="BB2363" s="647"/>
      <c r="BC2363" s="648"/>
      <c r="BD2363" s="757"/>
      <c r="BE2363" s="659"/>
    </row>
    <row r="2364" spans="1:57" s="64" customFormat="1" ht="15" customHeight="1" outlineLevel="1" x14ac:dyDescent="0.25">
      <c r="A2364" s="2463"/>
      <c r="B2364" s="157"/>
      <c r="C2364" s="385"/>
      <c r="D2364" s="3589"/>
      <c r="E2364" s="3721"/>
      <c r="F2364" s="3773" t="str">
        <f>$E$1490</f>
        <v>ASHP - SEER 19 - replace electric furnace / CAC SF</v>
      </c>
      <c r="G2364" s="3774"/>
      <c r="H2364" s="3774"/>
      <c r="I2364" s="3775"/>
      <c r="J2364" s="3071" t="str">
        <f>$C$1490</f>
        <v>353300_2019_12_</v>
      </c>
      <c r="K2364" s="781">
        <v>869</v>
      </c>
      <c r="L2364" s="945"/>
      <c r="M2364" s="783" t="s">
        <v>1198</v>
      </c>
      <c r="N2364" s="157"/>
      <c r="O2364" s="277"/>
      <c r="P2364" s="937"/>
      <c r="Q2364" s="937"/>
      <c r="R2364" s="937"/>
      <c r="S2364" s="924"/>
      <c r="T2364" s="1407"/>
      <c r="U2364" s="157"/>
      <c r="V2364" s="3589"/>
      <c r="W2364" s="766">
        <v>869</v>
      </c>
      <c r="X2364" s="766">
        <v>869</v>
      </c>
      <c r="Y2364" s="781">
        <v>869</v>
      </c>
      <c r="Z2364" s="781">
        <v>869</v>
      </c>
      <c r="AA2364" s="781">
        <v>869</v>
      </c>
      <c r="AB2364" s="781">
        <v>869</v>
      </c>
      <c r="AC2364" s="766"/>
      <c r="AD2364" s="766"/>
      <c r="AE2364" s="766"/>
      <c r="AF2364" s="766"/>
      <c r="AG2364" s="766"/>
      <c r="BB2364" s="647"/>
      <c r="BC2364" s="648"/>
      <c r="BD2364" s="757"/>
      <c r="BE2364" s="659"/>
    </row>
    <row r="2365" spans="1:57" s="64" customFormat="1" ht="15" customHeight="1" outlineLevel="1" x14ac:dyDescent="0.25">
      <c r="A2365" s="2463"/>
      <c r="B2365" s="157"/>
      <c r="C2365" s="385"/>
      <c r="D2365" s="3589"/>
      <c r="E2365" s="3721"/>
      <c r="F2365" s="3773" t="str">
        <f>$E$1492</f>
        <v>ASHP - SEER 19 - replace electric furnace / CAC MF</v>
      </c>
      <c r="G2365" s="3774"/>
      <c r="H2365" s="3774"/>
      <c r="I2365" s="3775"/>
      <c r="J2365" s="3071" t="str">
        <f>$C$1492</f>
        <v>353350_2019_12_</v>
      </c>
      <c r="K2365" s="781">
        <v>869</v>
      </c>
      <c r="L2365" s="945"/>
      <c r="M2365" s="783" t="s">
        <v>1198</v>
      </c>
      <c r="N2365" s="157"/>
      <c r="O2365" s="277"/>
      <c r="P2365" s="937"/>
      <c r="Q2365" s="937"/>
      <c r="R2365" s="937"/>
      <c r="S2365" s="924"/>
      <c r="T2365" s="1407"/>
      <c r="U2365" s="157"/>
      <c r="V2365" s="3589"/>
      <c r="W2365" s="766">
        <v>869</v>
      </c>
      <c r="X2365" s="766">
        <v>869</v>
      </c>
      <c r="Y2365" s="781">
        <v>869</v>
      </c>
      <c r="Z2365" s="781">
        <v>869</v>
      </c>
      <c r="AA2365" s="781">
        <v>869</v>
      </c>
      <c r="AB2365" s="781">
        <v>869</v>
      </c>
      <c r="AC2365" s="766"/>
      <c r="AD2365" s="766"/>
      <c r="AE2365" s="766"/>
      <c r="AF2365" s="766"/>
      <c r="AG2365" s="766"/>
      <c r="BB2365" s="647"/>
      <c r="BC2365" s="648"/>
      <c r="BD2365" s="757"/>
      <c r="BE2365" s="659"/>
    </row>
    <row r="2366" spans="1:57" s="64" customFormat="1" ht="15" customHeight="1" outlineLevel="1" x14ac:dyDescent="0.25">
      <c r="A2366" s="2463"/>
      <c r="B2366" s="157"/>
      <c r="C2366" s="385"/>
      <c r="D2366" s="3589"/>
      <c r="E2366" s="3721"/>
      <c r="F2366" s="3773" t="str">
        <f>$E$1494</f>
        <v>ASHP - SEER 19 - replace electric furnace / CAC MF_CompE</v>
      </c>
      <c r="G2366" s="3774"/>
      <c r="H2366" s="3774"/>
      <c r="I2366" s="3775"/>
      <c r="J2366" s="3071" t="str">
        <f>$C$1494</f>
        <v>353351_2019_12_</v>
      </c>
      <c r="K2366" s="781">
        <f>$K$2336</f>
        <v>632</v>
      </c>
      <c r="L2366" s="945"/>
      <c r="M2366" s="783"/>
      <c r="N2366" s="157"/>
      <c r="O2366" s="277"/>
      <c r="P2366" s="937"/>
      <c r="Q2366" s="937"/>
      <c r="R2366" s="937"/>
      <c r="S2366" s="924"/>
      <c r="T2366" s="1407"/>
      <c r="U2366" s="157"/>
      <c r="V2366" s="3589"/>
      <c r="W2366" s="766"/>
      <c r="X2366" s="766"/>
      <c r="Y2366" s="786">
        <f>$K$2336</f>
        <v>632</v>
      </c>
      <c r="Z2366" s="781">
        <f t="shared" ref="Z2366:AA2366" si="212">$K$2336</f>
        <v>632</v>
      </c>
      <c r="AA2366" s="781">
        <f t="shared" si="212"/>
        <v>632</v>
      </c>
      <c r="AB2366" s="781">
        <v>632</v>
      </c>
      <c r="AC2366" s="766"/>
      <c r="AD2366" s="766"/>
      <c r="AE2366" s="766"/>
      <c r="AF2366" s="766"/>
      <c r="AG2366" s="766"/>
      <c r="BB2366" s="647"/>
      <c r="BC2366" s="648"/>
      <c r="BD2366" s="757"/>
      <c r="BE2366" s="659"/>
    </row>
    <row r="2367" spans="1:57" s="64" customFormat="1" ht="15" customHeight="1" outlineLevel="1" x14ac:dyDescent="0.25">
      <c r="A2367" s="2463"/>
      <c r="B2367" s="157"/>
      <c r="C2367" s="385"/>
      <c r="D2367" s="3589"/>
      <c r="E2367" s="3721"/>
      <c r="F2367" s="3773" t="str">
        <f>$E$1496</f>
        <v>ASHP - SEER 20 - replace electric furnace / CAC - early replacement SF ER1</v>
      </c>
      <c r="G2367" s="3774"/>
      <c r="H2367" s="3774"/>
      <c r="I2367" s="3775"/>
      <c r="J2367" s="3071" t="str">
        <f>$C$1496</f>
        <v>353400_2019_12_</v>
      </c>
      <c r="K2367" s="781">
        <v>869</v>
      </c>
      <c r="L2367" s="945"/>
      <c r="M2367" s="783" t="s">
        <v>1198</v>
      </c>
      <c r="N2367" s="157"/>
      <c r="O2367" s="277"/>
      <c r="P2367" s="937"/>
      <c r="Q2367" s="937"/>
      <c r="R2367" s="937"/>
      <c r="S2367" s="924"/>
      <c r="T2367" s="1407"/>
      <c r="U2367" s="157"/>
      <c r="V2367" s="3589"/>
      <c r="W2367" s="766">
        <v>869</v>
      </c>
      <c r="X2367" s="766">
        <v>869</v>
      </c>
      <c r="Y2367" s="781">
        <v>869</v>
      </c>
      <c r="Z2367" s="781">
        <v>869</v>
      </c>
      <c r="AA2367" s="781">
        <v>869</v>
      </c>
      <c r="AB2367" s="781">
        <v>869</v>
      </c>
      <c r="AC2367" s="766"/>
      <c r="AD2367" s="766"/>
      <c r="AE2367" s="766"/>
      <c r="AF2367" s="766"/>
      <c r="AG2367" s="766"/>
      <c r="BB2367" s="647"/>
      <c r="BC2367" s="648"/>
      <c r="BD2367" s="757"/>
      <c r="BE2367" s="659"/>
    </row>
    <row r="2368" spans="1:57" s="64" customFormat="1" ht="15" customHeight="1" outlineLevel="1" x14ac:dyDescent="0.25">
      <c r="A2368" s="2463"/>
      <c r="B2368" s="157"/>
      <c r="C2368" s="385"/>
      <c r="D2368" s="3589"/>
      <c r="E2368" s="3721"/>
      <c r="F2368" s="3773" t="str">
        <f>$E$1498</f>
        <v>ASHP - SEER 20 - replace electric furnace / CAC - early replacement SF ER2</v>
      </c>
      <c r="G2368" s="3774"/>
      <c r="H2368" s="3774"/>
      <c r="I2368" s="3775"/>
      <c r="J2368" s="3071" t="str">
        <f>$C$1498</f>
        <v>353400_2019_12_</v>
      </c>
      <c r="K2368" s="781">
        <v>869</v>
      </c>
      <c r="L2368" s="945"/>
      <c r="M2368" s="783" t="s">
        <v>1198</v>
      </c>
      <c r="N2368" s="157"/>
      <c r="O2368" s="277"/>
      <c r="P2368" s="937"/>
      <c r="Q2368" s="937"/>
      <c r="R2368" s="937"/>
      <c r="S2368" s="924"/>
      <c r="T2368" s="1407"/>
      <c r="U2368" s="157"/>
      <c r="V2368" s="3589"/>
      <c r="W2368" s="766">
        <v>869</v>
      </c>
      <c r="X2368" s="766">
        <v>869</v>
      </c>
      <c r="Y2368" s="781">
        <v>869</v>
      </c>
      <c r="Z2368" s="781">
        <v>869</v>
      </c>
      <c r="AA2368" s="781">
        <v>869</v>
      </c>
      <c r="AB2368" s="781">
        <v>869</v>
      </c>
      <c r="AC2368" s="766"/>
      <c r="AD2368" s="766"/>
      <c r="AE2368" s="766"/>
      <c r="AF2368" s="766"/>
      <c r="AG2368" s="766"/>
      <c r="BB2368" s="647"/>
      <c r="BC2368" s="648"/>
      <c r="BD2368" s="757"/>
      <c r="BE2368" s="659"/>
    </row>
    <row r="2369" spans="1:57" s="64" customFormat="1" ht="15" customHeight="1" outlineLevel="1" x14ac:dyDescent="0.25">
      <c r="A2369" s="2463"/>
      <c r="B2369" s="157"/>
      <c r="C2369" s="385"/>
      <c r="D2369" s="3589"/>
      <c r="E2369" s="3721"/>
      <c r="F2369" s="3773" t="str">
        <f>$E$1500</f>
        <v>ASHP - SEER 20 - replace electric furnace / CAC SF</v>
      </c>
      <c r="G2369" s="3774"/>
      <c r="H2369" s="3774"/>
      <c r="I2369" s="3775"/>
      <c r="J2369" s="3071" t="str">
        <f>$C$1500</f>
        <v>353450_2019_12_</v>
      </c>
      <c r="K2369" s="781">
        <v>869</v>
      </c>
      <c r="L2369" s="945"/>
      <c r="M2369" s="783" t="s">
        <v>1198</v>
      </c>
      <c r="N2369" s="157"/>
      <c r="O2369" s="277"/>
      <c r="P2369" s="937"/>
      <c r="Q2369" s="937"/>
      <c r="R2369" s="937"/>
      <c r="S2369" s="924"/>
      <c r="T2369" s="1407"/>
      <c r="U2369" s="157"/>
      <c r="V2369" s="3589"/>
      <c r="W2369" s="766">
        <v>869</v>
      </c>
      <c r="X2369" s="766">
        <v>869</v>
      </c>
      <c r="Y2369" s="781">
        <v>869</v>
      </c>
      <c r="Z2369" s="781">
        <v>869</v>
      </c>
      <c r="AA2369" s="781">
        <v>869</v>
      </c>
      <c r="AB2369" s="781">
        <v>869</v>
      </c>
      <c r="AC2369" s="766"/>
      <c r="AD2369" s="766"/>
      <c r="AE2369" s="766"/>
      <c r="AF2369" s="766"/>
      <c r="AG2369" s="766"/>
      <c r="BB2369" s="647"/>
      <c r="BC2369" s="648"/>
      <c r="BD2369" s="757"/>
      <c r="BE2369" s="659"/>
    </row>
    <row r="2370" spans="1:57" s="64" customFormat="1" ht="15" customHeight="1" outlineLevel="1" x14ac:dyDescent="0.25">
      <c r="A2370" s="2463"/>
      <c r="B2370" s="157"/>
      <c r="C2370" s="385"/>
      <c r="D2370" s="3589"/>
      <c r="E2370" s="3721"/>
      <c r="F2370" s="3773" t="str">
        <f>$E$1502</f>
        <v>ASHP - SEER 20 - replace electric furnace / CAC MF</v>
      </c>
      <c r="G2370" s="3774"/>
      <c r="H2370" s="3774"/>
      <c r="I2370" s="3775"/>
      <c r="J2370" s="3071" t="str">
        <f>$C$1502</f>
        <v>353500_2019_12_</v>
      </c>
      <c r="K2370" s="781">
        <v>869</v>
      </c>
      <c r="L2370" s="945"/>
      <c r="M2370" s="783" t="s">
        <v>1198</v>
      </c>
      <c r="N2370" s="157"/>
      <c r="O2370" s="277"/>
      <c r="P2370" s="937"/>
      <c r="Q2370" s="938"/>
      <c r="R2370" s="937"/>
      <c r="S2370" s="924"/>
      <c r="T2370" s="1407"/>
      <c r="U2370" s="157"/>
      <c r="V2370" s="3589"/>
      <c r="W2370" s="766">
        <v>869</v>
      </c>
      <c r="X2370" s="766">
        <v>869</v>
      </c>
      <c r="Y2370" s="781">
        <v>869</v>
      </c>
      <c r="Z2370" s="781">
        <v>869</v>
      </c>
      <c r="AA2370" s="781">
        <v>869</v>
      </c>
      <c r="AB2370" s="781">
        <v>869</v>
      </c>
      <c r="AC2370" s="766"/>
      <c r="AD2370" s="766"/>
      <c r="AE2370" s="766"/>
      <c r="AF2370" s="766"/>
      <c r="AG2370" s="766"/>
      <c r="BB2370" s="647"/>
      <c r="BC2370" s="648"/>
      <c r="BD2370" s="757"/>
      <c r="BE2370" s="659"/>
    </row>
    <row r="2371" spans="1:57" s="64" customFormat="1" ht="15" customHeight="1" outlineLevel="1" x14ac:dyDescent="0.25">
      <c r="A2371" s="2463"/>
      <c r="B2371" s="157"/>
      <c r="C2371" s="385"/>
      <c r="D2371" s="3589"/>
      <c r="E2371" s="3721"/>
      <c r="F2371" s="3773" t="str">
        <f>$E$1504</f>
        <v>ASHP - SEER 20 - replace electric furnace / CAC MF_CompE</v>
      </c>
      <c r="G2371" s="3774"/>
      <c r="H2371" s="3774"/>
      <c r="I2371" s="3775"/>
      <c r="J2371" s="3071" t="str">
        <f>$C$1504</f>
        <v>353501_2019_12_</v>
      </c>
      <c r="K2371" s="781">
        <f>$K$2336</f>
        <v>632</v>
      </c>
      <c r="L2371" s="945"/>
      <c r="M2371" s="877" t="s">
        <v>889</v>
      </c>
      <c r="N2371" s="157"/>
      <c r="O2371" s="277"/>
      <c r="P2371" s="937"/>
      <c r="Q2371" s="938"/>
      <c r="R2371" s="937"/>
      <c r="S2371" s="924"/>
      <c r="T2371" s="1407"/>
      <c r="U2371" s="157"/>
      <c r="V2371" s="3589"/>
      <c r="W2371" s="766"/>
      <c r="X2371" s="766"/>
      <c r="Y2371" s="786">
        <f>$K$2336</f>
        <v>632</v>
      </c>
      <c r="Z2371" s="781">
        <f t="shared" ref="Z2371:AA2371" si="213">$K$2336</f>
        <v>632</v>
      </c>
      <c r="AA2371" s="781">
        <f t="shared" si="213"/>
        <v>632</v>
      </c>
      <c r="AB2371" s="781">
        <v>632</v>
      </c>
      <c r="AC2371" s="766"/>
      <c r="AD2371" s="766"/>
      <c r="AE2371" s="766"/>
      <c r="AF2371" s="766"/>
      <c r="AG2371" s="766"/>
      <c r="BB2371" s="647"/>
      <c r="BC2371" s="648"/>
      <c r="BD2371" s="757"/>
      <c r="BE2371" s="659"/>
    </row>
    <row r="2372" spans="1:57" s="64" customFormat="1" ht="15" customHeight="1" outlineLevel="1" x14ac:dyDescent="0.25">
      <c r="A2372" s="2463"/>
      <c r="B2372" s="157"/>
      <c r="C2372" s="385"/>
      <c r="D2372" s="3589"/>
      <c r="E2372" s="3721"/>
      <c r="F2372" s="3773" t="str">
        <f>$E$1506</f>
        <v>ASHP - SEER 21 - replace electric furnace / CAC - early replacement SF ER1</v>
      </c>
      <c r="G2372" s="3774"/>
      <c r="H2372" s="3774"/>
      <c r="I2372" s="3775"/>
      <c r="J2372" s="3071" t="str">
        <f>$C$1506</f>
        <v>353550_2019_12_</v>
      </c>
      <c r="K2372" s="781">
        <v>869</v>
      </c>
      <c r="L2372" s="945"/>
      <c r="M2372" s="783" t="s">
        <v>1198</v>
      </c>
      <c r="N2372" s="157"/>
      <c r="O2372" s="277"/>
      <c r="P2372" s="937"/>
      <c r="Q2372" s="938"/>
      <c r="R2372" s="937"/>
      <c r="S2372" s="924"/>
      <c r="T2372" s="1407"/>
      <c r="U2372" s="157"/>
      <c r="V2372" s="3589"/>
      <c r="W2372" s="766">
        <v>869</v>
      </c>
      <c r="X2372" s="766">
        <v>869</v>
      </c>
      <c r="Y2372" s="781">
        <v>869</v>
      </c>
      <c r="Z2372" s="781">
        <v>869</v>
      </c>
      <c r="AA2372" s="781">
        <v>869</v>
      </c>
      <c r="AB2372" s="781">
        <v>869</v>
      </c>
      <c r="AC2372" s="766"/>
      <c r="AD2372" s="766"/>
      <c r="AE2372" s="766"/>
      <c r="AF2372" s="766"/>
      <c r="AG2372" s="766"/>
      <c r="BB2372" s="647"/>
      <c r="BC2372" s="648"/>
      <c r="BD2372" s="757"/>
      <c r="BE2372" s="659"/>
    </row>
    <row r="2373" spans="1:57" s="64" customFormat="1" ht="15" customHeight="1" outlineLevel="1" x14ac:dyDescent="0.25">
      <c r="A2373" s="2463"/>
      <c r="B2373" s="157"/>
      <c r="C2373" s="385"/>
      <c r="D2373" s="3589"/>
      <c r="E2373" s="3721"/>
      <c r="F2373" s="3773" t="str">
        <f>$E$1508</f>
        <v>ASHP - SEER 21 - replace electric furnace / CAC - early replacement SF ER2</v>
      </c>
      <c r="G2373" s="3774"/>
      <c r="H2373" s="3774"/>
      <c r="I2373" s="3775"/>
      <c r="J2373" s="3071" t="str">
        <f>$C$1508</f>
        <v>353550_2019_12_</v>
      </c>
      <c r="K2373" s="781">
        <v>869</v>
      </c>
      <c r="L2373" s="945"/>
      <c r="M2373" s="783" t="s">
        <v>1198</v>
      </c>
      <c r="N2373" s="157"/>
      <c r="O2373" s="277"/>
      <c r="P2373" s="937"/>
      <c r="Q2373" s="938"/>
      <c r="R2373" s="937"/>
      <c r="S2373" s="924"/>
      <c r="T2373" s="1407"/>
      <c r="U2373" s="157"/>
      <c r="V2373" s="3589"/>
      <c r="W2373" s="766">
        <v>869</v>
      </c>
      <c r="X2373" s="766">
        <v>869</v>
      </c>
      <c r="Y2373" s="781">
        <v>869</v>
      </c>
      <c r="Z2373" s="781">
        <v>869</v>
      </c>
      <c r="AA2373" s="781">
        <v>869</v>
      </c>
      <c r="AB2373" s="781">
        <v>869</v>
      </c>
      <c r="AC2373" s="766"/>
      <c r="AD2373" s="766"/>
      <c r="AE2373" s="766"/>
      <c r="AF2373" s="766"/>
      <c r="AG2373" s="766"/>
      <c r="BB2373" s="647"/>
      <c r="BC2373" s="648"/>
      <c r="BD2373" s="757"/>
      <c r="BE2373" s="659"/>
    </row>
    <row r="2374" spans="1:57" s="64" customFormat="1" ht="15" customHeight="1" outlineLevel="1" x14ac:dyDescent="0.25">
      <c r="A2374" s="2463"/>
      <c r="B2374" s="157"/>
      <c r="C2374" s="385"/>
      <c r="D2374" s="3589"/>
      <c r="E2374" s="3721"/>
      <c r="F2374" s="3773" t="str">
        <f>$E$1510</f>
        <v>ASHP - SEER 21 - replace electric furnace / CAC - early replacement MF ER1</v>
      </c>
      <c r="G2374" s="3774"/>
      <c r="H2374" s="3774"/>
      <c r="I2374" s="3775"/>
      <c r="J2374" s="3071" t="str">
        <f>$C$1510</f>
        <v>353600_2019_12_</v>
      </c>
      <c r="K2374" s="781">
        <v>869</v>
      </c>
      <c r="L2374" s="945"/>
      <c r="M2374" s="783" t="s">
        <v>1198</v>
      </c>
      <c r="N2374" s="157"/>
      <c r="O2374" s="277"/>
      <c r="P2374" s="937"/>
      <c r="Q2374" s="938"/>
      <c r="R2374" s="937"/>
      <c r="S2374" s="924"/>
      <c r="T2374" s="1407"/>
      <c r="U2374" s="157"/>
      <c r="V2374" s="3589"/>
      <c r="W2374" s="766">
        <v>869</v>
      </c>
      <c r="X2374" s="766">
        <v>869</v>
      </c>
      <c r="Y2374" s="781">
        <v>869</v>
      </c>
      <c r="Z2374" s="781">
        <v>869</v>
      </c>
      <c r="AA2374" s="781">
        <v>869</v>
      </c>
      <c r="AB2374" s="781">
        <v>869</v>
      </c>
      <c r="AC2374" s="766"/>
      <c r="AD2374" s="766"/>
      <c r="AE2374" s="766"/>
      <c r="AF2374" s="766"/>
      <c r="AG2374" s="766"/>
      <c r="BB2374" s="647"/>
      <c r="BC2374" s="648"/>
      <c r="BD2374" s="757"/>
      <c r="BE2374" s="659"/>
    </row>
    <row r="2375" spans="1:57" s="64" customFormat="1" ht="15" customHeight="1" outlineLevel="1" x14ac:dyDescent="0.25">
      <c r="A2375" s="2463"/>
      <c r="B2375" s="157"/>
      <c r="C2375" s="385"/>
      <c r="D2375" s="3589"/>
      <c r="E2375" s="3721"/>
      <c r="F2375" s="3773" t="str">
        <f>$E$1512</f>
        <v>ASHP - SEER 21 - replace electric furnace / CAC - early replacement MF ER2</v>
      </c>
      <c r="G2375" s="3774"/>
      <c r="H2375" s="3774"/>
      <c r="I2375" s="3775"/>
      <c r="J2375" s="3071" t="str">
        <f>$C$1512</f>
        <v>353600_2019_12_</v>
      </c>
      <c r="K2375" s="781">
        <v>869</v>
      </c>
      <c r="L2375" s="945"/>
      <c r="M2375" s="783" t="s">
        <v>1198</v>
      </c>
      <c r="N2375" s="157"/>
      <c r="O2375" s="277"/>
      <c r="P2375" s="937"/>
      <c r="Q2375" s="938"/>
      <c r="R2375" s="937"/>
      <c r="S2375" s="924"/>
      <c r="T2375" s="1407"/>
      <c r="U2375" s="157"/>
      <c r="V2375" s="3589"/>
      <c r="W2375" s="766">
        <v>869</v>
      </c>
      <c r="X2375" s="766">
        <v>869</v>
      </c>
      <c r="Y2375" s="781">
        <v>869</v>
      </c>
      <c r="Z2375" s="781">
        <v>869</v>
      </c>
      <c r="AA2375" s="781">
        <v>869</v>
      </c>
      <c r="AB2375" s="781">
        <v>869</v>
      </c>
      <c r="AC2375" s="766"/>
      <c r="AD2375" s="766"/>
      <c r="AE2375" s="766"/>
      <c r="AF2375" s="766"/>
      <c r="AG2375" s="766"/>
      <c r="BB2375" s="647"/>
      <c r="BC2375" s="648"/>
      <c r="BD2375" s="757"/>
      <c r="BE2375" s="659"/>
    </row>
    <row r="2376" spans="1:57" s="64" customFormat="1" ht="15" customHeight="1" outlineLevel="1" x14ac:dyDescent="0.25">
      <c r="A2376" s="2463"/>
      <c r="B2376" s="157"/>
      <c r="C2376" s="385"/>
      <c r="D2376" s="3589"/>
      <c r="E2376" s="3721"/>
      <c r="F2376" s="3773" t="str">
        <f>$E$1514</f>
        <v>ASHP - SEER 21 - replace electric furnace / CAC - early replacement MF ER1_CompE</v>
      </c>
      <c r="G2376" s="3774"/>
      <c r="H2376" s="3774"/>
      <c r="I2376" s="3775"/>
      <c r="J2376" s="3071" t="str">
        <f>$C$1514</f>
        <v>353601_2019_12_</v>
      </c>
      <c r="K2376" s="781">
        <f>$K$2336</f>
        <v>632</v>
      </c>
      <c r="L2376" s="945"/>
      <c r="M2376" s="877" t="s">
        <v>889</v>
      </c>
      <c r="N2376" s="157"/>
      <c r="O2376" s="277"/>
      <c r="P2376" s="937"/>
      <c r="Q2376" s="938"/>
      <c r="R2376" s="937"/>
      <c r="S2376" s="924"/>
      <c r="T2376" s="1407"/>
      <c r="U2376" s="157"/>
      <c r="V2376" s="3589"/>
      <c r="W2376" s="766"/>
      <c r="X2376" s="766"/>
      <c r="Y2376" s="786">
        <f>$K$2336</f>
        <v>632</v>
      </c>
      <c r="Z2376" s="781">
        <f t="shared" ref="Z2376:AA2377" si="214">$K$2336</f>
        <v>632</v>
      </c>
      <c r="AA2376" s="781">
        <f t="shared" si="214"/>
        <v>632</v>
      </c>
      <c r="AB2376" s="781">
        <v>632</v>
      </c>
      <c r="AC2376" s="766"/>
      <c r="AD2376" s="766"/>
      <c r="AE2376" s="766"/>
      <c r="AF2376" s="766"/>
      <c r="AG2376" s="766"/>
      <c r="BB2376" s="647"/>
      <c r="BC2376" s="648"/>
      <c r="BD2376" s="757"/>
      <c r="BE2376" s="659"/>
    </row>
    <row r="2377" spans="1:57" s="64" customFormat="1" ht="15" customHeight="1" outlineLevel="1" x14ac:dyDescent="0.25">
      <c r="A2377" s="2463"/>
      <c r="B2377" s="157"/>
      <c r="C2377" s="385"/>
      <c r="D2377" s="3589"/>
      <c r="E2377" s="3721"/>
      <c r="F2377" s="3773" t="str">
        <f>$E$1516</f>
        <v>ASHP - SEER 21 - replace electric furnace / CAC - early replacement MF ER2_CompE</v>
      </c>
      <c r="G2377" s="3774"/>
      <c r="H2377" s="3774"/>
      <c r="I2377" s="3775"/>
      <c r="J2377" s="3071" t="str">
        <f>$C$1516</f>
        <v>353601_2019_12_</v>
      </c>
      <c r="K2377" s="781">
        <f>$K$2336</f>
        <v>632</v>
      </c>
      <c r="L2377" s="945"/>
      <c r="M2377" s="877" t="s">
        <v>889</v>
      </c>
      <c r="N2377" s="157"/>
      <c r="O2377" s="277"/>
      <c r="P2377" s="937"/>
      <c r="Q2377" s="938"/>
      <c r="R2377" s="937"/>
      <c r="S2377" s="924"/>
      <c r="T2377" s="1407"/>
      <c r="U2377" s="157"/>
      <c r="V2377" s="3589"/>
      <c r="W2377" s="766"/>
      <c r="X2377" s="766"/>
      <c r="Y2377" s="786">
        <f>$K$2336</f>
        <v>632</v>
      </c>
      <c r="Z2377" s="781">
        <f t="shared" si="214"/>
        <v>632</v>
      </c>
      <c r="AA2377" s="781">
        <f t="shared" si="214"/>
        <v>632</v>
      </c>
      <c r="AB2377" s="781">
        <v>632</v>
      </c>
      <c r="AC2377" s="766"/>
      <c r="AD2377" s="766"/>
      <c r="AE2377" s="766"/>
      <c r="AF2377" s="766"/>
      <c r="AG2377" s="766"/>
      <c r="BB2377" s="647"/>
      <c r="BC2377" s="648"/>
      <c r="BD2377" s="757"/>
      <c r="BE2377" s="659"/>
    </row>
    <row r="2378" spans="1:57" s="64" customFormat="1" ht="15" customHeight="1" outlineLevel="1" x14ac:dyDescent="0.25">
      <c r="A2378" s="2463"/>
      <c r="B2378" s="157"/>
      <c r="C2378" s="385"/>
      <c r="D2378" s="3589"/>
      <c r="E2378" s="3721"/>
      <c r="F2378" s="3773" t="str">
        <f>$E$1518</f>
        <v>ASHP - SEER 21 - replace electric furnace / CAC SF</v>
      </c>
      <c r="G2378" s="3774"/>
      <c r="H2378" s="3774"/>
      <c r="I2378" s="3775"/>
      <c r="J2378" s="3071" t="str">
        <f>$C$1518</f>
        <v>353650_2019_12_</v>
      </c>
      <c r="K2378" s="781">
        <v>869</v>
      </c>
      <c r="L2378" s="945"/>
      <c r="M2378" s="783" t="s">
        <v>1198</v>
      </c>
      <c r="N2378" s="157"/>
      <c r="O2378" s="277"/>
      <c r="P2378" s="937"/>
      <c r="Q2378" s="938"/>
      <c r="R2378" s="937"/>
      <c r="S2378" s="924"/>
      <c r="T2378" s="1407"/>
      <c r="U2378" s="157"/>
      <c r="V2378" s="3589"/>
      <c r="W2378" s="766">
        <v>869</v>
      </c>
      <c r="X2378" s="766">
        <v>869</v>
      </c>
      <c r="Y2378" s="781">
        <v>869</v>
      </c>
      <c r="Z2378" s="781">
        <v>869</v>
      </c>
      <c r="AA2378" s="781">
        <v>869</v>
      </c>
      <c r="AB2378" s="781">
        <v>869</v>
      </c>
      <c r="AC2378" s="766"/>
      <c r="AD2378" s="766"/>
      <c r="AE2378" s="766"/>
      <c r="AF2378" s="766"/>
      <c r="AG2378" s="766"/>
      <c r="BB2378" s="647"/>
      <c r="BC2378" s="648"/>
      <c r="BD2378" s="757"/>
      <c r="BE2378" s="659"/>
    </row>
    <row r="2379" spans="1:57" s="64" customFormat="1" ht="15" customHeight="1" outlineLevel="1" x14ac:dyDescent="0.25">
      <c r="A2379" s="1393"/>
      <c r="B2379" s="157"/>
      <c r="C2379" s="385"/>
      <c r="D2379" s="3589"/>
      <c r="E2379" s="3721"/>
      <c r="F2379" s="3773" t="str">
        <f>$E$1520</f>
        <v>ASHP-  SEER 21+ replace at Fail Elec Resist Furnace MF</v>
      </c>
      <c r="G2379" s="3774"/>
      <c r="H2379" s="3774"/>
      <c r="I2379" s="3775"/>
      <c r="J2379" s="3071" t="str">
        <f>$C$1520</f>
        <v>353700_2019_12_</v>
      </c>
      <c r="K2379" s="781">
        <v>869</v>
      </c>
      <c r="L2379" s="945"/>
      <c r="M2379" s="783" t="s">
        <v>1198</v>
      </c>
      <c r="N2379" s="157"/>
      <c r="O2379" s="277"/>
      <c r="P2379" s="277"/>
      <c r="Q2379" s="277"/>
      <c r="R2379" s="277"/>
      <c r="S2379" s="157"/>
      <c r="T2379" s="157"/>
      <c r="U2379" s="157"/>
      <c r="V2379" s="3589"/>
      <c r="W2379" s="766">
        <v>869</v>
      </c>
      <c r="X2379" s="766">
        <v>869</v>
      </c>
      <c r="Y2379" s="781">
        <v>869</v>
      </c>
      <c r="Z2379" s="781">
        <v>869</v>
      </c>
      <c r="AA2379" s="781">
        <v>869</v>
      </c>
      <c r="AB2379" s="781">
        <v>869</v>
      </c>
      <c r="AC2379" s="766"/>
      <c r="AD2379" s="766"/>
      <c r="AE2379" s="766"/>
      <c r="AF2379" s="766"/>
      <c r="AG2379" s="766"/>
      <c r="BB2379" s="647"/>
      <c r="BC2379" s="648"/>
      <c r="BD2379" s="757"/>
      <c r="BE2379" s="659"/>
    </row>
    <row r="2380" spans="1:57" s="64" customFormat="1" ht="15" customHeight="1" outlineLevel="1" x14ac:dyDescent="0.25">
      <c r="A2380" s="1393"/>
      <c r="B2380" s="157"/>
      <c r="C2380" s="385"/>
      <c r="D2380" s="3589"/>
      <c r="E2380" s="3721"/>
      <c r="F2380" s="3773" t="str">
        <f>$E$1522</f>
        <v>ASHP-  SEER 21+ replace at Fail Elec Resist Furnace MF_CompE</v>
      </c>
      <c r="G2380" s="3774"/>
      <c r="H2380" s="3774"/>
      <c r="I2380" s="3775"/>
      <c r="J2380" s="3071" t="str">
        <f>$C$1522</f>
        <v>353701_2019_12_</v>
      </c>
      <c r="K2380" s="781">
        <v>632</v>
      </c>
      <c r="L2380" s="945"/>
      <c r="M2380" s="783" t="s">
        <v>1198</v>
      </c>
      <c r="N2380" s="157"/>
      <c r="O2380" s="277"/>
      <c r="P2380" s="277"/>
      <c r="Q2380" s="277"/>
      <c r="R2380" s="277"/>
      <c r="S2380" s="157"/>
      <c r="T2380" s="157"/>
      <c r="U2380" s="157"/>
      <c r="V2380" s="3589"/>
      <c r="W2380" s="766"/>
      <c r="X2380" s="766"/>
      <c r="Y2380" s="786">
        <v>632</v>
      </c>
      <c r="Z2380" s="781">
        <v>632</v>
      </c>
      <c r="AA2380" s="781">
        <v>632</v>
      </c>
      <c r="AB2380" s="781">
        <v>632</v>
      </c>
      <c r="AC2380" s="766"/>
      <c r="AD2380" s="766"/>
      <c r="AE2380" s="766"/>
      <c r="AF2380" s="766"/>
      <c r="AG2380" s="766"/>
      <c r="BB2380" s="647"/>
      <c r="BC2380" s="648"/>
      <c r="BD2380" s="757"/>
      <c r="BE2380" s="659"/>
    </row>
    <row r="2381" spans="1:57" s="64" customFormat="1" ht="15" customHeight="1" outlineLevel="1" x14ac:dyDescent="0.25">
      <c r="A2381" s="2463"/>
      <c r="B2381" s="157"/>
      <c r="C2381" s="385"/>
      <c r="D2381" s="3589"/>
      <c r="E2381" s="3721"/>
      <c r="F2381" s="3773" t="str">
        <f>$E$1524</f>
        <v>ASHP SEER 17 replace ASHP - early replacement SF ER1</v>
      </c>
      <c r="G2381" s="3774"/>
      <c r="H2381" s="3774"/>
      <c r="I2381" s="3775"/>
      <c r="J2381" s="3071" t="str">
        <f>$C$1524</f>
        <v>353750_2019_12_</v>
      </c>
      <c r="K2381" s="781">
        <v>869</v>
      </c>
      <c r="L2381" s="945"/>
      <c r="M2381" s="783" t="s">
        <v>1198</v>
      </c>
      <c r="N2381" s="157"/>
      <c r="O2381" s="277"/>
      <c r="P2381" s="937"/>
      <c r="Q2381" s="938"/>
      <c r="R2381" s="937"/>
      <c r="S2381" s="924"/>
      <c r="T2381" s="1407"/>
      <c r="U2381" s="157"/>
      <c r="V2381" s="3589"/>
      <c r="W2381" s="766">
        <v>869</v>
      </c>
      <c r="X2381" s="766">
        <v>869</v>
      </c>
      <c r="Y2381" s="781">
        <v>869</v>
      </c>
      <c r="Z2381" s="781">
        <v>869</v>
      </c>
      <c r="AA2381" s="781">
        <v>869</v>
      </c>
      <c r="AB2381" s="781">
        <v>869</v>
      </c>
      <c r="AC2381" s="766"/>
      <c r="AD2381" s="766"/>
      <c r="AE2381" s="766"/>
      <c r="AF2381" s="766"/>
      <c r="AG2381" s="766"/>
      <c r="BB2381" s="647"/>
      <c r="BC2381" s="648"/>
      <c r="BD2381" s="757"/>
      <c r="BE2381" s="659"/>
    </row>
    <row r="2382" spans="1:57" s="64" customFormat="1" ht="15" customHeight="1" outlineLevel="1" x14ac:dyDescent="0.25">
      <c r="A2382" s="1393"/>
      <c r="B2382" s="157"/>
      <c r="C2382" s="385"/>
      <c r="D2382" s="3589"/>
      <c r="E2382" s="3721"/>
      <c r="F2382" s="3773" t="str">
        <f>$E$1526</f>
        <v>ASHP SEER 17 replace ASHP - early replacement SF ER2</v>
      </c>
      <c r="G2382" s="3774"/>
      <c r="H2382" s="3774"/>
      <c r="I2382" s="3775"/>
      <c r="J2382" s="3071" t="str">
        <f>$C$1526</f>
        <v>353750_2019_12_</v>
      </c>
      <c r="K2382" s="781">
        <v>869</v>
      </c>
      <c r="L2382" s="945"/>
      <c r="M2382" s="783" t="s">
        <v>1198</v>
      </c>
      <c r="N2382" s="157"/>
      <c r="O2382" s="277"/>
      <c r="P2382" s="277"/>
      <c r="Q2382" s="277"/>
      <c r="R2382" s="277"/>
      <c r="S2382" s="157"/>
      <c r="T2382" s="157"/>
      <c r="U2382" s="157"/>
      <c r="V2382" s="3589"/>
      <c r="W2382" s="766">
        <v>869</v>
      </c>
      <c r="X2382" s="766">
        <v>869</v>
      </c>
      <c r="Y2382" s="781">
        <v>869</v>
      </c>
      <c r="Z2382" s="781">
        <v>869</v>
      </c>
      <c r="AA2382" s="781">
        <v>869</v>
      </c>
      <c r="AB2382" s="781">
        <v>869</v>
      </c>
      <c r="AC2382" s="766"/>
      <c r="AD2382" s="766"/>
      <c r="AE2382" s="766"/>
      <c r="AF2382" s="766"/>
      <c r="AG2382" s="766"/>
      <c r="BB2382" s="647"/>
      <c r="BC2382" s="648"/>
      <c r="BD2382" s="757"/>
      <c r="BE2382" s="659"/>
    </row>
    <row r="2383" spans="1:57" s="64" customFormat="1" ht="15" customHeight="1" outlineLevel="1" x14ac:dyDescent="0.25">
      <c r="A2383" s="2463"/>
      <c r="B2383" s="157"/>
      <c r="C2383" s="385"/>
      <c r="D2383" s="3589"/>
      <c r="E2383" s="3721"/>
      <c r="F2383" s="3773" t="str">
        <f>$E$1528</f>
        <v>ASHP SEER 17 replace ASHP - replace on fail SF</v>
      </c>
      <c r="G2383" s="3774"/>
      <c r="H2383" s="3774"/>
      <c r="I2383" s="3775"/>
      <c r="J2383" s="3071" t="str">
        <f>$C$1528</f>
        <v>353800_2019_12_</v>
      </c>
      <c r="K2383" s="781">
        <v>869</v>
      </c>
      <c r="L2383" s="945"/>
      <c r="M2383" s="783" t="s">
        <v>1198</v>
      </c>
      <c r="N2383" s="157"/>
      <c r="O2383" s="277"/>
      <c r="P2383" s="937"/>
      <c r="Q2383" s="938"/>
      <c r="R2383" s="937"/>
      <c r="S2383" s="924"/>
      <c r="T2383" s="1407"/>
      <c r="U2383" s="157"/>
      <c r="V2383" s="3589"/>
      <c r="W2383" s="766">
        <v>869</v>
      </c>
      <c r="X2383" s="766">
        <v>869</v>
      </c>
      <c r="Y2383" s="781">
        <v>869</v>
      </c>
      <c r="Z2383" s="781">
        <v>869</v>
      </c>
      <c r="AA2383" s="781">
        <v>869</v>
      </c>
      <c r="AB2383" s="781">
        <v>869</v>
      </c>
      <c r="AC2383" s="766"/>
      <c r="AD2383" s="766"/>
      <c r="AE2383" s="766"/>
      <c r="AF2383" s="766"/>
      <c r="AG2383" s="766"/>
      <c r="BB2383" s="647"/>
      <c r="BC2383" s="648"/>
      <c r="BD2383" s="757"/>
      <c r="BE2383" s="659"/>
    </row>
    <row r="2384" spans="1:57" s="64" customFormat="1" ht="15" customHeight="1" outlineLevel="1" x14ac:dyDescent="0.25">
      <c r="A2384" s="1393"/>
      <c r="B2384" s="157"/>
      <c r="C2384" s="385"/>
      <c r="D2384" s="3589"/>
      <c r="E2384" s="3721"/>
      <c r="F2384" s="3773" t="str">
        <f>$E$1530</f>
        <v>ASHP SEER 18 replace ASHP - early replacement SF ER1</v>
      </c>
      <c r="G2384" s="3774"/>
      <c r="H2384" s="3774"/>
      <c r="I2384" s="3775"/>
      <c r="J2384" s="3071" t="str">
        <f>$C$1530</f>
        <v>353850_2019_12_</v>
      </c>
      <c r="K2384" s="781">
        <v>869</v>
      </c>
      <c r="L2384" s="945"/>
      <c r="M2384" s="783" t="s">
        <v>1198</v>
      </c>
      <c r="N2384" s="157"/>
      <c r="O2384" s="277"/>
      <c r="P2384" s="277"/>
      <c r="Q2384" s="277"/>
      <c r="R2384" s="277"/>
      <c r="S2384" s="157"/>
      <c r="T2384" s="157"/>
      <c r="U2384" s="157"/>
      <c r="V2384" s="3589"/>
      <c r="W2384" s="766">
        <v>869</v>
      </c>
      <c r="X2384" s="766">
        <v>869</v>
      </c>
      <c r="Y2384" s="781">
        <v>869</v>
      </c>
      <c r="Z2384" s="781">
        <v>869</v>
      </c>
      <c r="AA2384" s="781">
        <v>869</v>
      </c>
      <c r="AB2384" s="781">
        <v>869</v>
      </c>
      <c r="AC2384" s="766"/>
      <c r="AD2384" s="766"/>
      <c r="AE2384" s="766"/>
      <c r="AF2384" s="766"/>
      <c r="AG2384" s="766"/>
      <c r="BB2384" s="647"/>
      <c r="BC2384" s="648"/>
      <c r="BD2384" s="757"/>
      <c r="BE2384" s="659"/>
    </row>
    <row r="2385" spans="1:57" s="64" customFormat="1" ht="15" customHeight="1" outlineLevel="1" x14ac:dyDescent="0.25">
      <c r="A2385" s="1393"/>
      <c r="B2385" s="157"/>
      <c r="C2385" s="385"/>
      <c r="D2385" s="3589"/>
      <c r="E2385" s="3721"/>
      <c r="F2385" s="3773" t="str">
        <f>$E$1532</f>
        <v>ASHP SEER 18 replace ASHP - early replacement SF ER2</v>
      </c>
      <c r="G2385" s="3774"/>
      <c r="H2385" s="3774"/>
      <c r="I2385" s="3775"/>
      <c r="J2385" s="3071" t="str">
        <f>$C$1532</f>
        <v>353850_2019_12_</v>
      </c>
      <c r="K2385" s="781">
        <v>869</v>
      </c>
      <c r="L2385" s="945"/>
      <c r="M2385" s="783" t="s">
        <v>1198</v>
      </c>
      <c r="N2385" s="157"/>
      <c r="O2385" s="277"/>
      <c r="P2385" s="277"/>
      <c r="Q2385" s="277"/>
      <c r="R2385" s="277"/>
      <c r="S2385" s="157"/>
      <c r="T2385" s="157"/>
      <c r="U2385" s="157"/>
      <c r="V2385" s="3589"/>
      <c r="W2385" s="766">
        <v>869</v>
      </c>
      <c r="X2385" s="766">
        <v>869</v>
      </c>
      <c r="Y2385" s="781">
        <v>869</v>
      </c>
      <c r="Z2385" s="781">
        <v>869</v>
      </c>
      <c r="AA2385" s="781">
        <v>869</v>
      </c>
      <c r="AB2385" s="781">
        <v>869</v>
      </c>
      <c r="AC2385" s="766"/>
      <c r="AD2385" s="766"/>
      <c r="AE2385" s="766"/>
      <c r="AF2385" s="766"/>
      <c r="AG2385" s="766"/>
      <c r="BB2385" s="647"/>
      <c r="BC2385" s="648"/>
      <c r="BD2385" s="757"/>
      <c r="BE2385" s="659"/>
    </row>
    <row r="2386" spans="1:57" s="64" customFormat="1" ht="15" customHeight="1" outlineLevel="1" x14ac:dyDescent="0.25">
      <c r="A2386" s="2463"/>
      <c r="B2386" s="157"/>
      <c r="C2386" s="385"/>
      <c r="D2386" s="3589"/>
      <c r="E2386" s="3721"/>
      <c r="F2386" s="3773" t="str">
        <f>$E$1534</f>
        <v>ASHP - SEER 18 - replace on fail SF</v>
      </c>
      <c r="G2386" s="3774"/>
      <c r="H2386" s="3774"/>
      <c r="I2386" s="3775"/>
      <c r="J2386" s="3071" t="str">
        <f>$C$1534</f>
        <v>353950_2019_12_</v>
      </c>
      <c r="K2386" s="781">
        <v>869</v>
      </c>
      <c r="L2386" s="945"/>
      <c r="M2386" s="783" t="s">
        <v>1198</v>
      </c>
      <c r="N2386" s="157"/>
      <c r="O2386" s="277"/>
      <c r="P2386" s="937"/>
      <c r="Q2386" s="938"/>
      <c r="R2386" s="937"/>
      <c r="S2386" s="924"/>
      <c r="T2386" s="1407"/>
      <c r="U2386" s="157"/>
      <c r="V2386" s="3589"/>
      <c r="W2386" s="766">
        <v>869</v>
      </c>
      <c r="X2386" s="766">
        <v>869</v>
      </c>
      <c r="Y2386" s="781">
        <v>869</v>
      </c>
      <c r="Z2386" s="781">
        <v>869</v>
      </c>
      <c r="AA2386" s="781">
        <v>869</v>
      </c>
      <c r="AB2386" s="781">
        <v>869</v>
      </c>
      <c r="AC2386" s="766"/>
      <c r="AD2386" s="766"/>
      <c r="AE2386" s="766"/>
      <c r="AF2386" s="766"/>
      <c r="AG2386" s="766"/>
      <c r="BB2386" s="647"/>
      <c r="BC2386" s="648"/>
      <c r="BD2386" s="757"/>
      <c r="BE2386" s="659"/>
    </row>
    <row r="2387" spans="1:57" s="64" customFormat="1" ht="15" customHeight="1" outlineLevel="1" x14ac:dyDescent="0.25">
      <c r="A2387" s="1393"/>
      <c r="B2387" s="157"/>
      <c r="C2387" s="385"/>
      <c r="D2387" s="3589"/>
      <c r="E2387" s="3721"/>
      <c r="F2387" s="3773" t="str">
        <f>$E$1536</f>
        <v>ASHP SEER 19 replace ASHP - early replacement SF ER1</v>
      </c>
      <c r="G2387" s="3774"/>
      <c r="H2387" s="3774"/>
      <c r="I2387" s="3775"/>
      <c r="J2387" s="3071" t="str">
        <f>$C$1536</f>
        <v>354000_2019_12_</v>
      </c>
      <c r="K2387" s="781">
        <v>869</v>
      </c>
      <c r="L2387" s="945"/>
      <c r="M2387" s="783" t="s">
        <v>1198</v>
      </c>
      <c r="N2387" s="157"/>
      <c r="O2387" s="277"/>
      <c r="P2387" s="277"/>
      <c r="Q2387" s="277"/>
      <c r="R2387" s="277"/>
      <c r="S2387" s="157"/>
      <c r="T2387" s="157"/>
      <c r="U2387" s="157"/>
      <c r="V2387" s="3589"/>
      <c r="W2387" s="766">
        <v>869</v>
      </c>
      <c r="X2387" s="766">
        <v>869</v>
      </c>
      <c r="Y2387" s="781">
        <v>869</v>
      </c>
      <c r="Z2387" s="781">
        <v>869</v>
      </c>
      <c r="AA2387" s="781">
        <v>869</v>
      </c>
      <c r="AB2387" s="781">
        <v>869</v>
      </c>
      <c r="AC2387" s="766"/>
      <c r="AD2387" s="766"/>
      <c r="AE2387" s="766"/>
      <c r="AF2387" s="766"/>
      <c r="AG2387" s="766"/>
      <c r="BB2387" s="647"/>
      <c r="BC2387" s="648"/>
      <c r="BD2387" s="757"/>
      <c r="BE2387" s="659"/>
    </row>
    <row r="2388" spans="1:57" s="64" customFormat="1" ht="15" customHeight="1" outlineLevel="1" x14ac:dyDescent="0.25">
      <c r="A2388" s="1393"/>
      <c r="B2388" s="157"/>
      <c r="C2388" s="385"/>
      <c r="D2388" s="3589"/>
      <c r="E2388" s="3721"/>
      <c r="F2388" s="3773" t="str">
        <f>$E$1538</f>
        <v>ASHP SEER 19 replace ASHP - early replacement SF ER2</v>
      </c>
      <c r="G2388" s="3774"/>
      <c r="H2388" s="3774"/>
      <c r="I2388" s="3775"/>
      <c r="J2388" s="3071" t="str">
        <f>$C$1538</f>
        <v>354000_2019_12_</v>
      </c>
      <c r="K2388" s="781">
        <v>869</v>
      </c>
      <c r="L2388" s="945"/>
      <c r="M2388" s="783" t="s">
        <v>1198</v>
      </c>
      <c r="N2388" s="157"/>
      <c r="O2388" s="277"/>
      <c r="P2388" s="277"/>
      <c r="Q2388" s="277"/>
      <c r="R2388" s="277"/>
      <c r="S2388" s="157"/>
      <c r="T2388" s="157"/>
      <c r="U2388" s="157"/>
      <c r="V2388" s="3589"/>
      <c r="W2388" s="766">
        <v>869</v>
      </c>
      <c r="X2388" s="766">
        <v>869</v>
      </c>
      <c r="Y2388" s="781">
        <v>869</v>
      </c>
      <c r="Z2388" s="781">
        <v>869</v>
      </c>
      <c r="AA2388" s="781">
        <v>869</v>
      </c>
      <c r="AB2388" s="781">
        <v>869</v>
      </c>
      <c r="AC2388" s="766"/>
      <c r="AD2388" s="766"/>
      <c r="AE2388" s="766"/>
      <c r="AF2388" s="766"/>
      <c r="AG2388" s="766"/>
      <c r="BB2388" s="647"/>
      <c r="BC2388" s="648"/>
      <c r="BD2388" s="757"/>
      <c r="BE2388" s="659"/>
    </row>
    <row r="2389" spans="1:57" s="64" customFormat="1" ht="15" customHeight="1" outlineLevel="1" x14ac:dyDescent="0.25">
      <c r="A2389" s="2463"/>
      <c r="B2389" s="157"/>
      <c r="C2389" s="385"/>
      <c r="D2389" s="3589"/>
      <c r="E2389" s="3721"/>
      <c r="F2389" s="3773" t="str">
        <f>$E$1540</f>
        <v>ASHP SEER 19 replace ASHP - replace on fail SF</v>
      </c>
      <c r="G2389" s="3774"/>
      <c r="H2389" s="3774"/>
      <c r="I2389" s="3775"/>
      <c r="J2389" s="3071" t="str">
        <f>$C$1540</f>
        <v>354050_2019_12_</v>
      </c>
      <c r="K2389" s="781">
        <v>869</v>
      </c>
      <c r="L2389" s="945"/>
      <c r="M2389" s="783" t="s">
        <v>1198</v>
      </c>
      <c r="N2389" s="157"/>
      <c r="O2389" s="277"/>
      <c r="P2389" s="937"/>
      <c r="Q2389" s="938"/>
      <c r="R2389" s="937"/>
      <c r="S2389" s="924"/>
      <c r="T2389" s="1407"/>
      <c r="U2389" s="157"/>
      <c r="V2389" s="3589"/>
      <c r="W2389" s="766">
        <v>869</v>
      </c>
      <c r="X2389" s="766">
        <v>869</v>
      </c>
      <c r="Y2389" s="781">
        <v>869</v>
      </c>
      <c r="Z2389" s="781">
        <v>869</v>
      </c>
      <c r="AA2389" s="781">
        <v>869</v>
      </c>
      <c r="AB2389" s="781">
        <v>869</v>
      </c>
      <c r="AC2389" s="766"/>
      <c r="AD2389" s="766"/>
      <c r="AE2389" s="766"/>
      <c r="AF2389" s="766"/>
      <c r="AG2389" s="766"/>
      <c r="BB2389" s="647"/>
      <c r="BC2389" s="648"/>
      <c r="BD2389" s="757"/>
      <c r="BE2389" s="659"/>
    </row>
    <row r="2390" spans="1:57" s="64" customFormat="1" ht="15" customHeight="1" outlineLevel="1" x14ac:dyDescent="0.25">
      <c r="A2390" s="2463"/>
      <c r="B2390" s="157"/>
      <c r="C2390" s="385"/>
      <c r="D2390" s="3589"/>
      <c r="E2390" s="3721"/>
      <c r="F2390" s="3773" t="str">
        <f>$E$1542</f>
        <v>ASHP - SEER 17 - replace electric furnace / CAC - early replacement SF ER1</v>
      </c>
      <c r="G2390" s="3774"/>
      <c r="H2390" s="3774"/>
      <c r="I2390" s="3775"/>
      <c r="J2390" s="3071" t="str">
        <f>$C$1542</f>
        <v>354100_2019_12_</v>
      </c>
      <c r="K2390" s="781">
        <v>869</v>
      </c>
      <c r="L2390" s="945"/>
      <c r="M2390" s="783"/>
      <c r="N2390" s="157"/>
      <c r="O2390" s="277"/>
      <c r="P2390" s="937"/>
      <c r="Q2390" s="938"/>
      <c r="R2390" s="937"/>
      <c r="S2390" s="924"/>
      <c r="T2390" s="1407"/>
      <c r="U2390" s="157"/>
      <c r="V2390" s="3589"/>
      <c r="W2390" s="766">
        <v>869</v>
      </c>
      <c r="X2390" s="766">
        <v>869</v>
      </c>
      <c r="Y2390" s="781">
        <v>869</v>
      </c>
      <c r="Z2390" s="781">
        <v>869</v>
      </c>
      <c r="AA2390" s="781">
        <v>869</v>
      </c>
      <c r="AB2390" s="781">
        <v>869</v>
      </c>
      <c r="AC2390" s="766"/>
      <c r="AD2390" s="766"/>
      <c r="AE2390" s="766"/>
      <c r="AF2390" s="766"/>
      <c r="AG2390" s="766"/>
      <c r="BB2390" s="647"/>
      <c r="BC2390" s="648"/>
      <c r="BD2390" s="757"/>
      <c r="BE2390" s="659"/>
    </row>
    <row r="2391" spans="1:57" s="64" customFormat="1" ht="15" customHeight="1" outlineLevel="1" x14ac:dyDescent="0.25">
      <c r="A2391" s="2463"/>
      <c r="B2391" s="157"/>
      <c r="C2391" s="385"/>
      <c r="D2391" s="3589"/>
      <c r="E2391" s="3721"/>
      <c r="F2391" s="3773" t="str">
        <f>$E$1544</f>
        <v>ASHP - SEER 17 - replace electric furnace / CAC - early replacement SF ER2</v>
      </c>
      <c r="G2391" s="3774"/>
      <c r="H2391" s="3774"/>
      <c r="I2391" s="3775"/>
      <c r="J2391" s="3071" t="str">
        <f>$C$1544</f>
        <v>354100_2019_12_</v>
      </c>
      <c r="K2391" s="781">
        <v>869</v>
      </c>
      <c r="L2391" s="945"/>
      <c r="M2391" s="783"/>
      <c r="N2391" s="157"/>
      <c r="O2391" s="277"/>
      <c r="P2391" s="937"/>
      <c r="Q2391" s="938"/>
      <c r="R2391" s="937"/>
      <c r="S2391" s="924"/>
      <c r="T2391" s="1407"/>
      <c r="U2391" s="157"/>
      <c r="V2391" s="3589"/>
      <c r="W2391" s="766">
        <v>869</v>
      </c>
      <c r="X2391" s="766">
        <v>869</v>
      </c>
      <c r="Y2391" s="781">
        <v>869</v>
      </c>
      <c r="Z2391" s="781">
        <v>869</v>
      </c>
      <c r="AA2391" s="781">
        <v>869</v>
      </c>
      <c r="AB2391" s="781">
        <v>869</v>
      </c>
      <c r="AC2391" s="766"/>
      <c r="AD2391" s="766"/>
      <c r="AE2391" s="766"/>
      <c r="AF2391" s="766"/>
      <c r="AG2391" s="766"/>
      <c r="BB2391" s="647"/>
      <c r="BC2391" s="648"/>
      <c r="BD2391" s="757"/>
      <c r="BE2391" s="659"/>
    </row>
    <row r="2392" spans="1:57" s="64" customFormat="1" ht="15" customHeight="1" outlineLevel="1" x14ac:dyDescent="0.25">
      <c r="A2392" s="2463"/>
      <c r="B2392" s="157"/>
      <c r="C2392" s="385"/>
      <c r="D2392" s="3589"/>
      <c r="E2392" s="3721"/>
      <c r="F2392" s="3773" t="str">
        <f>$E$1546</f>
        <v>ASHP - SEER 17 - replace electric furnace / CAC - early replacement MF ER1</v>
      </c>
      <c r="G2392" s="3774"/>
      <c r="H2392" s="3774"/>
      <c r="I2392" s="3775"/>
      <c r="J2392" s="3071" t="str">
        <f>$C$1546</f>
        <v>354150_2019_12_</v>
      </c>
      <c r="K2392" s="781">
        <v>869</v>
      </c>
      <c r="L2392" s="945"/>
      <c r="M2392" s="783"/>
      <c r="N2392" s="157"/>
      <c r="O2392" s="277"/>
      <c r="P2392" s="937"/>
      <c r="Q2392" s="938"/>
      <c r="R2392" s="937"/>
      <c r="S2392" s="924"/>
      <c r="T2392" s="1407"/>
      <c r="U2392" s="157"/>
      <c r="V2392" s="3589"/>
      <c r="W2392" s="766">
        <v>869</v>
      </c>
      <c r="X2392" s="766">
        <v>869</v>
      </c>
      <c r="Y2392" s="781">
        <v>869</v>
      </c>
      <c r="Z2392" s="781">
        <v>869</v>
      </c>
      <c r="AA2392" s="781">
        <v>869</v>
      </c>
      <c r="AB2392" s="781">
        <v>869</v>
      </c>
      <c r="AC2392" s="766"/>
      <c r="AD2392" s="766"/>
      <c r="AE2392" s="766"/>
      <c r="AF2392" s="766"/>
      <c r="AG2392" s="766"/>
      <c r="BB2392" s="647"/>
      <c r="BC2392" s="648"/>
      <c r="BD2392" s="757"/>
      <c r="BE2392" s="659"/>
    </row>
    <row r="2393" spans="1:57" s="64" customFormat="1" ht="15" customHeight="1" outlineLevel="1" x14ac:dyDescent="0.25">
      <c r="A2393" s="2463"/>
      <c r="B2393" s="157"/>
      <c r="C2393" s="385"/>
      <c r="D2393" s="3589"/>
      <c r="E2393" s="3721"/>
      <c r="F2393" s="3773" t="str">
        <f>$E$1548</f>
        <v>ASHP - SEER 17 - replace electric furnace / CAC - early replacement MF ER2</v>
      </c>
      <c r="G2393" s="3774"/>
      <c r="H2393" s="3774"/>
      <c r="I2393" s="3775"/>
      <c r="J2393" s="3071" t="str">
        <f>$C$1548</f>
        <v>354150_2019_12_</v>
      </c>
      <c r="K2393" s="781">
        <v>869</v>
      </c>
      <c r="L2393" s="945"/>
      <c r="M2393" s="953"/>
      <c r="N2393" s="157"/>
      <c r="O2393" s="277"/>
      <c r="P2393" s="937"/>
      <c r="Q2393" s="938"/>
      <c r="R2393" s="937"/>
      <c r="S2393" s="924"/>
      <c r="T2393" s="1407"/>
      <c r="U2393" s="157"/>
      <c r="V2393" s="3589"/>
      <c r="W2393" s="766">
        <v>869</v>
      </c>
      <c r="X2393" s="766">
        <v>869</v>
      </c>
      <c r="Y2393" s="781">
        <v>869</v>
      </c>
      <c r="Z2393" s="781">
        <v>869</v>
      </c>
      <c r="AA2393" s="781">
        <v>869</v>
      </c>
      <c r="AB2393" s="781">
        <v>869</v>
      </c>
      <c r="AC2393" s="766"/>
      <c r="AD2393" s="766"/>
      <c r="AE2393" s="766"/>
      <c r="AF2393" s="766"/>
      <c r="AG2393" s="766"/>
      <c r="BB2393" s="647"/>
      <c r="BC2393" s="648"/>
      <c r="BD2393" s="757"/>
      <c r="BE2393" s="659"/>
    </row>
    <row r="2394" spans="1:57" s="64" customFormat="1" ht="15" customHeight="1" outlineLevel="1" x14ac:dyDescent="0.25">
      <c r="A2394" s="2463"/>
      <c r="B2394" s="157"/>
      <c r="C2394" s="385"/>
      <c r="D2394" s="3589"/>
      <c r="E2394" s="3721"/>
      <c r="F2394" s="3773" t="str">
        <f>$E$1550</f>
        <v>ASHP - SEER 17 - replace electric furnace / CAC - early replacement MF ER1_CompE</v>
      </c>
      <c r="G2394" s="3774"/>
      <c r="H2394" s="3774"/>
      <c r="I2394" s="3775"/>
      <c r="J2394" s="3071" t="str">
        <f>$C$1550</f>
        <v>354151_2019_12_</v>
      </c>
      <c r="K2394" s="781">
        <f>$K$2336</f>
        <v>632</v>
      </c>
      <c r="L2394" s="945"/>
      <c r="M2394" s="877" t="s">
        <v>889</v>
      </c>
      <c r="N2394" s="157"/>
      <c r="O2394" s="277"/>
      <c r="P2394" s="937"/>
      <c r="Q2394" s="938"/>
      <c r="R2394" s="937"/>
      <c r="S2394" s="924"/>
      <c r="T2394" s="1407"/>
      <c r="U2394" s="157"/>
      <c r="V2394" s="3589"/>
      <c r="W2394" s="766"/>
      <c r="X2394" s="766"/>
      <c r="Y2394" s="786">
        <f>$K$2336</f>
        <v>632</v>
      </c>
      <c r="Z2394" s="781">
        <f t="shared" ref="Z2394:AA2395" si="215">$K$2336</f>
        <v>632</v>
      </c>
      <c r="AA2394" s="781">
        <f t="shared" si="215"/>
        <v>632</v>
      </c>
      <c r="AB2394" s="781">
        <v>632</v>
      </c>
      <c r="AC2394" s="766"/>
      <c r="AD2394" s="766"/>
      <c r="AE2394" s="766"/>
      <c r="AF2394" s="766"/>
      <c r="AG2394" s="766"/>
      <c r="BB2394" s="647"/>
      <c r="BC2394" s="648"/>
      <c r="BD2394" s="757"/>
      <c r="BE2394" s="659"/>
    </row>
    <row r="2395" spans="1:57" s="64" customFormat="1" ht="15" customHeight="1" outlineLevel="1" x14ac:dyDescent="0.25">
      <c r="A2395" s="2463"/>
      <c r="B2395" s="157"/>
      <c r="C2395" s="385"/>
      <c r="D2395" s="3589"/>
      <c r="E2395" s="3721"/>
      <c r="F2395" s="3773" t="str">
        <f>$E$1552</f>
        <v>ASHP - SEER 17 - replace electric furnace / CAC - early replacement MF ER2_CompE</v>
      </c>
      <c r="G2395" s="3774"/>
      <c r="H2395" s="3774"/>
      <c r="I2395" s="3775"/>
      <c r="J2395" s="3071" t="str">
        <f>$C$1552</f>
        <v>354151_2019_12_</v>
      </c>
      <c r="K2395" s="781">
        <f>$K$2336</f>
        <v>632</v>
      </c>
      <c r="L2395" s="945"/>
      <c r="M2395" s="877" t="s">
        <v>889</v>
      </c>
      <c r="N2395" s="157"/>
      <c r="O2395" s="277"/>
      <c r="P2395" s="937"/>
      <c r="Q2395" s="938"/>
      <c r="R2395" s="937"/>
      <c r="S2395" s="924"/>
      <c r="T2395" s="1407"/>
      <c r="U2395" s="157"/>
      <c r="V2395" s="3589"/>
      <c r="W2395" s="766"/>
      <c r="X2395" s="766"/>
      <c r="Y2395" s="786">
        <f>$K$2336</f>
        <v>632</v>
      </c>
      <c r="Z2395" s="781">
        <f t="shared" si="215"/>
        <v>632</v>
      </c>
      <c r="AA2395" s="781">
        <f t="shared" si="215"/>
        <v>632</v>
      </c>
      <c r="AB2395" s="781">
        <v>632</v>
      </c>
      <c r="AC2395" s="766"/>
      <c r="AD2395" s="766"/>
      <c r="AE2395" s="766"/>
      <c r="AF2395" s="766"/>
      <c r="AG2395" s="766"/>
      <c r="BB2395" s="647"/>
      <c r="BC2395" s="648"/>
      <c r="BD2395" s="757"/>
      <c r="BE2395" s="659"/>
    </row>
    <row r="2396" spans="1:57" s="64" customFormat="1" ht="15" customHeight="1" outlineLevel="1" x14ac:dyDescent="0.25">
      <c r="A2396" s="2463"/>
      <c r="B2396" s="157"/>
      <c r="C2396" s="385"/>
      <c r="D2396" s="3589"/>
      <c r="E2396" s="3721"/>
      <c r="F2396" s="3773" t="str">
        <f>$E$1554</f>
        <v>ASHP SEER 17 replace ASHP - early replacement MF ER1</v>
      </c>
      <c r="G2396" s="3774"/>
      <c r="H2396" s="3774"/>
      <c r="I2396" s="3775"/>
      <c r="J2396" s="3071" t="str">
        <f>$C$1554</f>
        <v>354200_2019_12_</v>
      </c>
      <c r="K2396" s="781">
        <v>869</v>
      </c>
      <c r="L2396" s="945"/>
      <c r="M2396" s="953"/>
      <c r="N2396" s="157"/>
      <c r="O2396" s="277"/>
      <c r="P2396" s="937"/>
      <c r="Q2396" s="938"/>
      <c r="R2396" s="937"/>
      <c r="S2396" s="924"/>
      <c r="T2396" s="1407"/>
      <c r="U2396" s="157"/>
      <c r="V2396" s="3589"/>
      <c r="W2396" s="766">
        <v>869</v>
      </c>
      <c r="X2396" s="766">
        <v>869</v>
      </c>
      <c r="Y2396" s="781">
        <v>869</v>
      </c>
      <c r="Z2396" s="781">
        <v>869</v>
      </c>
      <c r="AA2396" s="781">
        <v>869</v>
      </c>
      <c r="AB2396" s="781">
        <v>869</v>
      </c>
      <c r="AC2396" s="766"/>
      <c r="AD2396" s="766"/>
      <c r="AE2396" s="766"/>
      <c r="AF2396" s="766"/>
      <c r="AG2396" s="766"/>
      <c r="BB2396" s="647"/>
      <c r="BC2396" s="648"/>
      <c r="BD2396" s="757"/>
      <c r="BE2396" s="659"/>
    </row>
    <row r="2397" spans="1:57" s="64" customFormat="1" ht="15" customHeight="1" outlineLevel="1" x14ac:dyDescent="0.25">
      <c r="A2397" s="2463"/>
      <c r="B2397" s="157"/>
      <c r="C2397" s="385"/>
      <c r="D2397" s="3589"/>
      <c r="E2397" s="3721"/>
      <c r="F2397" s="3773" t="str">
        <f>$E$1556</f>
        <v>ASHP SEER 17 replace ASHP - early replacement MF ER2</v>
      </c>
      <c r="G2397" s="3774"/>
      <c r="H2397" s="3774"/>
      <c r="I2397" s="3775"/>
      <c r="J2397" s="3071" t="str">
        <f>$C$1556</f>
        <v>354200_2019_12_</v>
      </c>
      <c r="K2397" s="781">
        <v>869</v>
      </c>
      <c r="L2397" s="945"/>
      <c r="M2397" s="953"/>
      <c r="N2397" s="157"/>
      <c r="O2397" s="277"/>
      <c r="P2397" s="937"/>
      <c r="Q2397" s="938"/>
      <c r="R2397" s="937"/>
      <c r="S2397" s="924"/>
      <c r="T2397" s="1407"/>
      <c r="U2397" s="157"/>
      <c r="V2397" s="3589"/>
      <c r="W2397" s="766">
        <v>869</v>
      </c>
      <c r="X2397" s="766">
        <v>869</v>
      </c>
      <c r="Y2397" s="781">
        <v>869</v>
      </c>
      <c r="Z2397" s="781">
        <v>869</v>
      </c>
      <c r="AA2397" s="781">
        <v>869</v>
      </c>
      <c r="AB2397" s="781">
        <v>869</v>
      </c>
      <c r="AC2397" s="766"/>
      <c r="AD2397" s="766"/>
      <c r="AE2397" s="766"/>
      <c r="AF2397" s="766"/>
      <c r="AG2397" s="766"/>
      <c r="BB2397" s="647"/>
      <c r="BC2397" s="648"/>
      <c r="BD2397" s="757"/>
      <c r="BE2397" s="659"/>
    </row>
    <row r="2398" spans="1:57" s="64" customFormat="1" ht="15" customHeight="1" outlineLevel="1" x14ac:dyDescent="0.25">
      <c r="A2398" s="2463"/>
      <c r="B2398" s="157"/>
      <c r="C2398" s="385"/>
      <c r="D2398" s="3589"/>
      <c r="E2398" s="3721"/>
      <c r="F2398" s="3773" t="str">
        <f>$E$1558</f>
        <v>ASHP SEER 17 replace ASHP - early replacement MF ER1_CompE</v>
      </c>
      <c r="G2398" s="3774"/>
      <c r="H2398" s="3774"/>
      <c r="I2398" s="3775"/>
      <c r="J2398" s="3071" t="str">
        <f>$C$1558</f>
        <v>354201_2019_12_</v>
      </c>
      <c r="K2398" s="781">
        <f>$K$2336</f>
        <v>632</v>
      </c>
      <c r="L2398" s="945"/>
      <c r="M2398" s="877" t="s">
        <v>889</v>
      </c>
      <c r="N2398" s="157"/>
      <c r="O2398" s="277"/>
      <c r="P2398" s="937"/>
      <c r="Q2398" s="938"/>
      <c r="R2398" s="937"/>
      <c r="S2398" s="924"/>
      <c r="T2398" s="1407"/>
      <c r="U2398" s="157"/>
      <c r="V2398" s="3589"/>
      <c r="W2398" s="766"/>
      <c r="X2398" s="766"/>
      <c r="Y2398" s="786">
        <f>$K$2336</f>
        <v>632</v>
      </c>
      <c r="Z2398" s="781">
        <f t="shared" ref="Z2398:AA2399" si="216">$K$2336</f>
        <v>632</v>
      </c>
      <c r="AA2398" s="781">
        <f t="shared" si="216"/>
        <v>632</v>
      </c>
      <c r="AB2398" s="781">
        <v>632</v>
      </c>
      <c r="AC2398" s="766"/>
      <c r="AD2398" s="766"/>
      <c r="AE2398" s="766"/>
      <c r="AF2398" s="766"/>
      <c r="AG2398" s="766"/>
      <c r="BB2398" s="647"/>
      <c r="BC2398" s="648"/>
      <c r="BD2398" s="757"/>
      <c r="BE2398" s="659"/>
    </row>
    <row r="2399" spans="1:57" s="64" customFormat="1" ht="15" customHeight="1" outlineLevel="1" x14ac:dyDescent="0.25">
      <c r="A2399" s="2463"/>
      <c r="B2399" s="157"/>
      <c r="C2399" s="385"/>
      <c r="D2399" s="3589"/>
      <c r="E2399" s="3721"/>
      <c r="F2399" s="3773" t="str">
        <f>$E$1560</f>
        <v>ASHP SEER 17 replace ASHP - early replacement MF ER2_CompE</v>
      </c>
      <c r="G2399" s="3774"/>
      <c r="H2399" s="3774"/>
      <c r="I2399" s="3775"/>
      <c r="J2399" s="3071" t="str">
        <f>$C$1560</f>
        <v>354201_2019_12_</v>
      </c>
      <c r="K2399" s="781">
        <f>$K$2336</f>
        <v>632</v>
      </c>
      <c r="L2399" s="945"/>
      <c r="M2399" s="877" t="s">
        <v>889</v>
      </c>
      <c r="N2399" s="157"/>
      <c r="O2399" s="277"/>
      <c r="P2399" s="937"/>
      <c r="Q2399" s="938"/>
      <c r="R2399" s="937"/>
      <c r="S2399" s="924"/>
      <c r="T2399" s="1407"/>
      <c r="U2399" s="157"/>
      <c r="V2399" s="3589"/>
      <c r="W2399" s="766"/>
      <c r="X2399" s="766"/>
      <c r="Y2399" s="786">
        <f>$K$2336</f>
        <v>632</v>
      </c>
      <c r="Z2399" s="781">
        <f t="shared" si="216"/>
        <v>632</v>
      </c>
      <c r="AA2399" s="781">
        <f t="shared" si="216"/>
        <v>632</v>
      </c>
      <c r="AB2399" s="781">
        <v>632</v>
      </c>
      <c r="AC2399" s="766"/>
      <c r="AD2399" s="766"/>
      <c r="AE2399" s="766"/>
      <c r="AF2399" s="766"/>
      <c r="AG2399" s="766"/>
      <c r="BB2399" s="647"/>
      <c r="BC2399" s="648"/>
      <c r="BD2399" s="757"/>
      <c r="BE2399" s="659"/>
    </row>
    <row r="2400" spans="1:57" s="64" customFormat="1" ht="15" customHeight="1" outlineLevel="1" x14ac:dyDescent="0.25">
      <c r="A2400" s="2463"/>
      <c r="B2400" s="157"/>
      <c r="C2400" s="385"/>
      <c r="D2400" s="3589"/>
      <c r="E2400" s="3721"/>
      <c r="F2400" s="3773" t="str">
        <f>$E$1562</f>
        <v>ASHP - SEER 18 - replace electric furnace / CAC - early replacement SF ER1</v>
      </c>
      <c r="G2400" s="3774"/>
      <c r="H2400" s="3774"/>
      <c r="I2400" s="3775"/>
      <c r="J2400" s="3071" t="str">
        <f>$C$1562</f>
        <v>354250_2019_12_</v>
      </c>
      <c r="K2400" s="781">
        <v>869</v>
      </c>
      <c r="L2400" s="945"/>
      <c r="M2400" s="953"/>
      <c r="N2400" s="157"/>
      <c r="O2400" s="277"/>
      <c r="P2400" s="937"/>
      <c r="Q2400" s="938"/>
      <c r="R2400" s="937"/>
      <c r="S2400" s="924"/>
      <c r="T2400" s="1407"/>
      <c r="U2400" s="157"/>
      <c r="V2400" s="3589"/>
      <c r="W2400" s="766">
        <v>869</v>
      </c>
      <c r="X2400" s="766">
        <v>869</v>
      </c>
      <c r="Y2400" s="781">
        <v>869</v>
      </c>
      <c r="Z2400" s="781">
        <v>869</v>
      </c>
      <c r="AA2400" s="781">
        <v>869</v>
      </c>
      <c r="AB2400" s="781">
        <v>869</v>
      </c>
      <c r="AC2400" s="766"/>
      <c r="AD2400" s="766"/>
      <c r="AE2400" s="766"/>
      <c r="AF2400" s="766"/>
      <c r="AG2400" s="766"/>
      <c r="BB2400" s="647"/>
      <c r="BC2400" s="648"/>
      <c r="BD2400" s="757"/>
      <c r="BE2400" s="659"/>
    </row>
    <row r="2401" spans="1:57" s="64" customFormat="1" ht="15" customHeight="1" outlineLevel="1" x14ac:dyDescent="0.25">
      <c r="A2401" s="2463"/>
      <c r="B2401" s="157"/>
      <c r="C2401" s="385"/>
      <c r="D2401" s="3589"/>
      <c r="E2401" s="3721"/>
      <c r="F2401" s="3773" t="str">
        <f>$E$1564</f>
        <v>ASHP - SEER 18 - replace electric furnace / CAC - early replacement SF ER2</v>
      </c>
      <c r="G2401" s="3774"/>
      <c r="H2401" s="3774"/>
      <c r="I2401" s="3775"/>
      <c r="J2401" s="3071" t="str">
        <f>$C$1564</f>
        <v>354250_2019_12_</v>
      </c>
      <c r="K2401" s="781">
        <v>869</v>
      </c>
      <c r="L2401" s="945"/>
      <c r="M2401" s="953"/>
      <c r="N2401" s="157"/>
      <c r="O2401" s="277"/>
      <c r="P2401" s="937"/>
      <c r="Q2401" s="938"/>
      <c r="R2401" s="937"/>
      <c r="S2401" s="924"/>
      <c r="T2401" s="1407"/>
      <c r="U2401" s="157"/>
      <c r="V2401" s="3589"/>
      <c r="W2401" s="766">
        <v>869</v>
      </c>
      <c r="X2401" s="766">
        <v>869</v>
      </c>
      <c r="Y2401" s="781">
        <v>869</v>
      </c>
      <c r="Z2401" s="781">
        <v>869</v>
      </c>
      <c r="AA2401" s="781">
        <v>869</v>
      </c>
      <c r="AB2401" s="781">
        <v>869</v>
      </c>
      <c r="AC2401" s="766"/>
      <c r="AD2401" s="766"/>
      <c r="AE2401" s="766"/>
      <c r="AF2401" s="766"/>
      <c r="AG2401" s="766"/>
      <c r="BB2401" s="647"/>
      <c r="BC2401" s="648"/>
      <c r="BD2401" s="757"/>
      <c r="BE2401" s="659"/>
    </row>
    <row r="2402" spans="1:57" s="64" customFormat="1" ht="15" customHeight="1" outlineLevel="1" x14ac:dyDescent="0.25">
      <c r="A2402" s="2463"/>
      <c r="B2402" s="157"/>
      <c r="C2402" s="385"/>
      <c r="D2402" s="3589"/>
      <c r="E2402" s="3721"/>
      <c r="F2402" s="3773" t="str">
        <f>$E$1566</f>
        <v>ASHP - SEER 18 - replace electric furnace / CAC - early replacement MF ER1</v>
      </c>
      <c r="G2402" s="3774"/>
      <c r="H2402" s="3774"/>
      <c r="I2402" s="3775"/>
      <c r="J2402" s="3071" t="str">
        <f>$C$1566</f>
        <v>354300_2019_12_</v>
      </c>
      <c r="K2402" s="781">
        <v>869</v>
      </c>
      <c r="L2402" s="945"/>
      <c r="M2402" s="953"/>
      <c r="N2402" s="157"/>
      <c r="O2402" s="277"/>
      <c r="P2402" s="937"/>
      <c r="Q2402" s="938"/>
      <c r="R2402" s="937"/>
      <c r="S2402" s="924"/>
      <c r="T2402" s="1407"/>
      <c r="U2402" s="157"/>
      <c r="V2402" s="3589"/>
      <c r="W2402" s="766">
        <v>869</v>
      </c>
      <c r="X2402" s="766">
        <v>869</v>
      </c>
      <c r="Y2402" s="781">
        <v>869</v>
      </c>
      <c r="Z2402" s="781">
        <v>869</v>
      </c>
      <c r="AA2402" s="781">
        <v>869</v>
      </c>
      <c r="AB2402" s="781">
        <v>869</v>
      </c>
      <c r="AC2402" s="766"/>
      <c r="AD2402" s="766"/>
      <c r="AE2402" s="766"/>
      <c r="AF2402" s="766"/>
      <c r="AG2402" s="766"/>
      <c r="BB2402" s="647"/>
      <c r="BC2402" s="648"/>
      <c r="BD2402" s="757"/>
      <c r="BE2402" s="659"/>
    </row>
    <row r="2403" spans="1:57" s="64" customFormat="1" ht="15" customHeight="1" outlineLevel="1" x14ac:dyDescent="0.25">
      <c r="A2403" s="2463"/>
      <c r="B2403" s="157"/>
      <c r="C2403" s="385"/>
      <c r="D2403" s="3589"/>
      <c r="E2403" s="3721"/>
      <c r="F2403" s="3773" t="str">
        <f>$E$1568</f>
        <v>ASHP - SEER 18 - replace electric furnace / CAC - early replacement MF ER2</v>
      </c>
      <c r="G2403" s="3774"/>
      <c r="H2403" s="3774"/>
      <c r="I2403" s="3775"/>
      <c r="J2403" s="3071" t="str">
        <f>$C$1568</f>
        <v>354300_2019_12_</v>
      </c>
      <c r="K2403" s="781">
        <v>869</v>
      </c>
      <c r="L2403" s="945"/>
      <c r="M2403" s="953"/>
      <c r="N2403" s="157"/>
      <c r="O2403" s="277"/>
      <c r="P2403" s="937"/>
      <c r="Q2403" s="938"/>
      <c r="R2403" s="937"/>
      <c r="S2403" s="924"/>
      <c r="T2403" s="1407"/>
      <c r="U2403" s="157"/>
      <c r="V2403" s="3589"/>
      <c r="W2403" s="766">
        <v>869</v>
      </c>
      <c r="X2403" s="766">
        <v>869</v>
      </c>
      <c r="Y2403" s="781">
        <v>869</v>
      </c>
      <c r="Z2403" s="781">
        <v>869</v>
      </c>
      <c r="AA2403" s="781">
        <v>869</v>
      </c>
      <c r="AB2403" s="781">
        <v>869</v>
      </c>
      <c r="AC2403" s="766"/>
      <c r="AD2403" s="766"/>
      <c r="AE2403" s="766"/>
      <c r="AF2403" s="766"/>
      <c r="AG2403" s="766"/>
      <c r="BB2403" s="647"/>
      <c r="BC2403" s="648"/>
      <c r="BD2403" s="757"/>
      <c r="BE2403" s="659"/>
    </row>
    <row r="2404" spans="1:57" s="64" customFormat="1" ht="15" customHeight="1" outlineLevel="1" x14ac:dyDescent="0.25">
      <c r="A2404" s="2463"/>
      <c r="B2404" s="157"/>
      <c r="C2404" s="385"/>
      <c r="D2404" s="3589"/>
      <c r="E2404" s="3721"/>
      <c r="F2404" s="3773" t="str">
        <f>$E$1570</f>
        <v>ASHP - SEER 18 - replace electric furnace / CAC - early replacement MF ER1_CompE</v>
      </c>
      <c r="G2404" s="3774"/>
      <c r="H2404" s="3774"/>
      <c r="I2404" s="3775"/>
      <c r="J2404" s="3071" t="str">
        <f>$C$1570</f>
        <v>354301_2019_12_</v>
      </c>
      <c r="K2404" s="781">
        <f>$K$2336</f>
        <v>632</v>
      </c>
      <c r="L2404" s="945"/>
      <c r="M2404" s="877" t="s">
        <v>889</v>
      </c>
      <c r="N2404" s="157"/>
      <c r="O2404" s="277"/>
      <c r="P2404" s="937"/>
      <c r="Q2404" s="938"/>
      <c r="R2404" s="937"/>
      <c r="S2404" s="924"/>
      <c r="T2404" s="1407"/>
      <c r="U2404" s="157"/>
      <c r="V2404" s="3589"/>
      <c r="W2404" s="766"/>
      <c r="X2404" s="766"/>
      <c r="Y2404" s="786">
        <f>$K$2336</f>
        <v>632</v>
      </c>
      <c r="Z2404" s="781">
        <f t="shared" ref="Z2404:AA2405" si="217">$K$2336</f>
        <v>632</v>
      </c>
      <c r="AA2404" s="781">
        <f t="shared" si="217"/>
        <v>632</v>
      </c>
      <c r="AB2404" s="781">
        <v>632</v>
      </c>
      <c r="AC2404" s="766"/>
      <c r="AD2404" s="766"/>
      <c r="AE2404" s="766"/>
      <c r="AF2404" s="766"/>
      <c r="AG2404" s="766"/>
      <c r="BB2404" s="647"/>
      <c r="BC2404" s="648"/>
      <c r="BD2404" s="757"/>
      <c r="BE2404" s="659"/>
    </row>
    <row r="2405" spans="1:57" s="64" customFormat="1" ht="15" customHeight="1" outlineLevel="1" x14ac:dyDescent="0.25">
      <c r="A2405" s="2463"/>
      <c r="B2405" s="157"/>
      <c r="C2405" s="385"/>
      <c r="D2405" s="3589"/>
      <c r="E2405" s="3721"/>
      <c r="F2405" s="3773" t="str">
        <f>$E$1572</f>
        <v>ASHP - SEER 18 - replace electric furnace / CAC - early replacement MF ER2_CompE</v>
      </c>
      <c r="G2405" s="3774"/>
      <c r="H2405" s="3774"/>
      <c r="I2405" s="3775"/>
      <c r="J2405" s="3071" t="str">
        <f>$C$1572</f>
        <v>354301_2019_12_</v>
      </c>
      <c r="K2405" s="781">
        <f>$K$2336</f>
        <v>632</v>
      </c>
      <c r="L2405" s="945"/>
      <c r="M2405" s="877" t="s">
        <v>889</v>
      </c>
      <c r="N2405" s="157"/>
      <c r="O2405" s="277"/>
      <c r="P2405" s="937"/>
      <c r="Q2405" s="938"/>
      <c r="R2405" s="937"/>
      <c r="S2405" s="924"/>
      <c r="T2405" s="1407"/>
      <c r="U2405" s="157"/>
      <c r="V2405" s="3589"/>
      <c r="W2405" s="766"/>
      <c r="X2405" s="766"/>
      <c r="Y2405" s="786">
        <f>$K$2336</f>
        <v>632</v>
      </c>
      <c r="Z2405" s="781">
        <f t="shared" si="217"/>
        <v>632</v>
      </c>
      <c r="AA2405" s="781">
        <f t="shared" si="217"/>
        <v>632</v>
      </c>
      <c r="AB2405" s="781">
        <v>632</v>
      </c>
      <c r="AC2405" s="766"/>
      <c r="AD2405" s="766"/>
      <c r="AE2405" s="766"/>
      <c r="AF2405" s="766"/>
      <c r="AG2405" s="766"/>
      <c r="BB2405" s="647"/>
      <c r="BC2405" s="648"/>
      <c r="BD2405" s="757"/>
      <c r="BE2405" s="659"/>
    </row>
    <row r="2406" spans="1:57" s="64" customFormat="1" ht="15" customHeight="1" outlineLevel="1" x14ac:dyDescent="0.25">
      <c r="A2406" s="2463"/>
      <c r="B2406" s="157"/>
      <c r="C2406" s="385"/>
      <c r="D2406" s="3589"/>
      <c r="E2406" s="3721"/>
      <c r="F2406" s="3773" t="str">
        <f>$E$1574</f>
        <v>ASHP SEER 18 replace ASHP - early replacement MF ER1</v>
      </c>
      <c r="G2406" s="3774"/>
      <c r="H2406" s="3774"/>
      <c r="I2406" s="3775"/>
      <c r="J2406" s="3071" t="str">
        <f>$C$1574</f>
        <v>354350_2019_12_</v>
      </c>
      <c r="K2406" s="781">
        <v>869</v>
      </c>
      <c r="L2406" s="945"/>
      <c r="M2406" s="953"/>
      <c r="N2406" s="157"/>
      <c r="O2406" s="277"/>
      <c r="P2406" s="937"/>
      <c r="Q2406" s="938"/>
      <c r="R2406" s="937"/>
      <c r="S2406" s="924"/>
      <c r="T2406" s="1407"/>
      <c r="U2406" s="157"/>
      <c r="V2406" s="3589"/>
      <c r="W2406" s="766">
        <v>869</v>
      </c>
      <c r="X2406" s="766">
        <v>869</v>
      </c>
      <c r="Y2406" s="781">
        <v>869</v>
      </c>
      <c r="Z2406" s="781">
        <v>869</v>
      </c>
      <c r="AA2406" s="781">
        <v>869</v>
      </c>
      <c r="AB2406" s="781">
        <v>869</v>
      </c>
      <c r="AC2406" s="766"/>
      <c r="AD2406" s="766"/>
      <c r="AE2406" s="766"/>
      <c r="AF2406" s="766"/>
      <c r="AG2406" s="766"/>
      <c r="BB2406" s="647"/>
      <c r="BC2406" s="648"/>
      <c r="BD2406" s="757"/>
      <c r="BE2406" s="659"/>
    </row>
    <row r="2407" spans="1:57" s="64" customFormat="1" ht="15" customHeight="1" outlineLevel="1" x14ac:dyDescent="0.25">
      <c r="A2407" s="2463"/>
      <c r="B2407" s="157"/>
      <c r="C2407" s="385"/>
      <c r="D2407" s="3589"/>
      <c r="E2407" s="3721"/>
      <c r="F2407" s="3773" t="str">
        <f>$E$1576</f>
        <v>ASHP SEER 18 replace ASHP - early replacement MF ER2</v>
      </c>
      <c r="G2407" s="3774"/>
      <c r="H2407" s="3774"/>
      <c r="I2407" s="3775"/>
      <c r="J2407" s="3071" t="str">
        <f>$C$1576</f>
        <v>354350_2019_12_</v>
      </c>
      <c r="K2407" s="781">
        <v>869</v>
      </c>
      <c r="L2407" s="945"/>
      <c r="M2407" s="953"/>
      <c r="N2407" s="157"/>
      <c r="O2407" s="277"/>
      <c r="P2407" s="937"/>
      <c r="Q2407" s="938"/>
      <c r="R2407" s="937"/>
      <c r="S2407" s="924"/>
      <c r="T2407" s="1407"/>
      <c r="U2407" s="157"/>
      <c r="V2407" s="3589"/>
      <c r="W2407" s="766">
        <v>869</v>
      </c>
      <c r="X2407" s="766">
        <v>869</v>
      </c>
      <c r="Y2407" s="781">
        <v>869</v>
      </c>
      <c r="Z2407" s="781">
        <v>869</v>
      </c>
      <c r="AA2407" s="781">
        <v>869</v>
      </c>
      <c r="AB2407" s="781">
        <v>869</v>
      </c>
      <c r="AC2407" s="766"/>
      <c r="AD2407" s="766"/>
      <c r="AE2407" s="766"/>
      <c r="AF2407" s="766"/>
      <c r="AG2407" s="766"/>
      <c r="BB2407" s="647"/>
      <c r="BC2407" s="648"/>
      <c r="BD2407" s="757"/>
      <c r="BE2407" s="659"/>
    </row>
    <row r="2408" spans="1:57" s="64" customFormat="1" ht="15" customHeight="1" outlineLevel="1" x14ac:dyDescent="0.25">
      <c r="A2408" s="2463"/>
      <c r="B2408" s="157"/>
      <c r="C2408" s="385"/>
      <c r="D2408" s="3589"/>
      <c r="E2408" s="3721"/>
      <c r="F2408" s="3773" t="str">
        <f>$E$1578</f>
        <v>ASHP SEER 18 replace ASHP - early replacement MF ER1_CompE</v>
      </c>
      <c r="G2408" s="3774"/>
      <c r="H2408" s="3774"/>
      <c r="I2408" s="3775"/>
      <c r="J2408" s="3071" t="str">
        <f>$C$1578</f>
        <v>354351_2019_12_</v>
      </c>
      <c r="K2408" s="781">
        <f>$K$2336</f>
        <v>632</v>
      </c>
      <c r="L2408" s="945"/>
      <c r="M2408" s="877" t="s">
        <v>889</v>
      </c>
      <c r="N2408" s="157"/>
      <c r="O2408" s="277"/>
      <c r="P2408" s="937"/>
      <c r="Q2408" s="938"/>
      <c r="R2408" s="937"/>
      <c r="S2408" s="924"/>
      <c r="T2408" s="1407"/>
      <c r="U2408" s="157"/>
      <c r="V2408" s="3589"/>
      <c r="W2408" s="766"/>
      <c r="X2408" s="766"/>
      <c r="Y2408" s="786">
        <f>$K$2336</f>
        <v>632</v>
      </c>
      <c r="Z2408" s="781">
        <f t="shared" ref="Z2408:AA2409" si="218">$K$2336</f>
        <v>632</v>
      </c>
      <c r="AA2408" s="781">
        <f t="shared" si="218"/>
        <v>632</v>
      </c>
      <c r="AB2408" s="781">
        <v>632</v>
      </c>
      <c r="AC2408" s="766"/>
      <c r="AD2408" s="766"/>
      <c r="AE2408" s="766"/>
      <c r="AF2408" s="766"/>
      <c r="AG2408" s="766"/>
      <c r="BB2408" s="647"/>
      <c r="BC2408" s="648"/>
      <c r="BD2408" s="757"/>
      <c r="BE2408" s="659"/>
    </row>
    <row r="2409" spans="1:57" s="64" customFormat="1" ht="15" customHeight="1" outlineLevel="1" x14ac:dyDescent="0.25">
      <c r="A2409" s="2463"/>
      <c r="B2409" s="157"/>
      <c r="C2409" s="385"/>
      <c r="D2409" s="3589"/>
      <c r="E2409" s="3721"/>
      <c r="F2409" s="3773" t="str">
        <f>$E$1580</f>
        <v>ASHP SEER 18 replace ASHP - early replacement MF ER2_CompE</v>
      </c>
      <c r="G2409" s="3774"/>
      <c r="H2409" s="3774"/>
      <c r="I2409" s="3775"/>
      <c r="J2409" s="3071" t="str">
        <f>$C$1580</f>
        <v>354351_2019_12_</v>
      </c>
      <c r="K2409" s="781">
        <f>$K$2336</f>
        <v>632</v>
      </c>
      <c r="L2409" s="945"/>
      <c r="M2409" s="877" t="s">
        <v>889</v>
      </c>
      <c r="N2409" s="157"/>
      <c r="O2409" s="277"/>
      <c r="P2409" s="937"/>
      <c r="Q2409" s="938"/>
      <c r="R2409" s="937"/>
      <c r="S2409" s="924"/>
      <c r="T2409" s="1407"/>
      <c r="U2409" s="157"/>
      <c r="V2409" s="3589"/>
      <c r="W2409" s="766"/>
      <c r="X2409" s="766"/>
      <c r="Y2409" s="786">
        <f>$K$2336</f>
        <v>632</v>
      </c>
      <c r="Z2409" s="781">
        <f t="shared" si="218"/>
        <v>632</v>
      </c>
      <c r="AA2409" s="781">
        <f t="shared" si="218"/>
        <v>632</v>
      </c>
      <c r="AB2409" s="781">
        <v>632</v>
      </c>
      <c r="AC2409" s="766"/>
      <c r="AD2409" s="766"/>
      <c r="AE2409" s="766"/>
      <c r="AF2409" s="766"/>
      <c r="AG2409" s="766"/>
      <c r="BB2409" s="647"/>
      <c r="BC2409" s="648"/>
      <c r="BD2409" s="757"/>
      <c r="BE2409" s="659"/>
    </row>
    <row r="2410" spans="1:57" s="64" customFormat="1" ht="15" customHeight="1" outlineLevel="1" x14ac:dyDescent="0.25">
      <c r="A2410" s="2463"/>
      <c r="B2410" s="157"/>
      <c r="C2410" s="385"/>
      <c r="D2410" s="3589"/>
      <c r="E2410" s="3721"/>
      <c r="F2410" s="3773" t="str">
        <f>$E$1582</f>
        <v>ASHP - SEER 19 - replace electric furnace / CAC - early replacement SF ER1</v>
      </c>
      <c r="G2410" s="3774"/>
      <c r="H2410" s="3774"/>
      <c r="I2410" s="3775"/>
      <c r="J2410" s="3071" t="str">
        <f>$C$1582</f>
        <v>354400_2019_12_</v>
      </c>
      <c r="K2410" s="781">
        <v>869</v>
      </c>
      <c r="L2410" s="945"/>
      <c r="M2410" s="953"/>
      <c r="N2410" s="157"/>
      <c r="O2410" s="277"/>
      <c r="P2410" s="937"/>
      <c r="Q2410" s="938"/>
      <c r="R2410" s="937"/>
      <c r="S2410" s="924"/>
      <c r="T2410" s="1407"/>
      <c r="U2410" s="157"/>
      <c r="V2410" s="3589"/>
      <c r="W2410" s="766">
        <v>869</v>
      </c>
      <c r="X2410" s="766">
        <v>869</v>
      </c>
      <c r="Y2410" s="781">
        <v>869</v>
      </c>
      <c r="Z2410" s="781">
        <v>869</v>
      </c>
      <c r="AA2410" s="781">
        <v>869</v>
      </c>
      <c r="AB2410" s="781">
        <v>869</v>
      </c>
      <c r="AC2410" s="766"/>
      <c r="AD2410" s="766"/>
      <c r="AE2410" s="766"/>
      <c r="AF2410" s="766"/>
      <c r="AG2410" s="766"/>
      <c r="BB2410" s="647"/>
      <c r="BC2410" s="648"/>
      <c r="BD2410" s="757"/>
      <c r="BE2410" s="659"/>
    </row>
    <row r="2411" spans="1:57" s="64" customFormat="1" ht="15" customHeight="1" outlineLevel="1" x14ac:dyDescent="0.25">
      <c r="A2411" s="2463"/>
      <c r="B2411" s="157"/>
      <c r="C2411" s="385"/>
      <c r="D2411" s="3589"/>
      <c r="E2411" s="3721"/>
      <c r="F2411" s="3773" t="str">
        <f>$E$1584</f>
        <v>ASHP - SEER 19 - replace electric furnace / CAC - early replacement SF ER2</v>
      </c>
      <c r="G2411" s="3774"/>
      <c r="H2411" s="3774"/>
      <c r="I2411" s="3775"/>
      <c r="J2411" s="3071" t="str">
        <f>$C$1584</f>
        <v>354400_2019_12_</v>
      </c>
      <c r="K2411" s="781">
        <v>869</v>
      </c>
      <c r="L2411" s="945"/>
      <c r="M2411" s="953"/>
      <c r="N2411" s="157"/>
      <c r="O2411" s="277"/>
      <c r="P2411" s="937"/>
      <c r="Q2411" s="938"/>
      <c r="R2411" s="937"/>
      <c r="S2411" s="924"/>
      <c r="T2411" s="1407"/>
      <c r="U2411" s="157"/>
      <c r="V2411" s="3589"/>
      <c r="W2411" s="766">
        <v>869</v>
      </c>
      <c r="X2411" s="766">
        <v>869</v>
      </c>
      <c r="Y2411" s="781">
        <v>869</v>
      </c>
      <c r="Z2411" s="781">
        <v>869</v>
      </c>
      <c r="AA2411" s="781">
        <v>869</v>
      </c>
      <c r="AB2411" s="781">
        <v>869</v>
      </c>
      <c r="AC2411" s="766"/>
      <c r="AD2411" s="766"/>
      <c r="AE2411" s="766"/>
      <c r="AF2411" s="766"/>
      <c r="AG2411" s="766"/>
      <c r="BB2411" s="647"/>
      <c r="BC2411" s="648"/>
      <c r="BD2411" s="757"/>
      <c r="BE2411" s="659"/>
    </row>
    <row r="2412" spans="1:57" s="64" customFormat="1" ht="15" customHeight="1" outlineLevel="1" x14ac:dyDescent="0.25">
      <c r="A2412" s="2463"/>
      <c r="B2412" s="157"/>
      <c r="C2412" s="385"/>
      <c r="D2412" s="3589"/>
      <c r="E2412" s="3721"/>
      <c r="F2412" s="3773" t="str">
        <f>$E$1586</f>
        <v>ASHP - SEER 19 - replace electric furnace / CAC - early replacement MF ER1</v>
      </c>
      <c r="G2412" s="3774"/>
      <c r="H2412" s="3774"/>
      <c r="I2412" s="3775"/>
      <c r="J2412" s="3071" t="str">
        <f>$C$1586</f>
        <v>354450_2019_12_</v>
      </c>
      <c r="K2412" s="781">
        <v>869</v>
      </c>
      <c r="L2412" s="945"/>
      <c r="M2412" s="953"/>
      <c r="N2412" s="157"/>
      <c r="O2412" s="277"/>
      <c r="P2412" s="937"/>
      <c r="Q2412" s="938"/>
      <c r="R2412" s="937"/>
      <c r="S2412" s="924"/>
      <c r="T2412" s="1407"/>
      <c r="U2412" s="157"/>
      <c r="V2412" s="3589"/>
      <c r="W2412" s="766">
        <v>869</v>
      </c>
      <c r="X2412" s="766">
        <v>869</v>
      </c>
      <c r="Y2412" s="781">
        <v>869</v>
      </c>
      <c r="Z2412" s="781">
        <v>869</v>
      </c>
      <c r="AA2412" s="781">
        <v>869</v>
      </c>
      <c r="AB2412" s="781">
        <v>869</v>
      </c>
      <c r="AC2412" s="766"/>
      <c r="AD2412" s="766"/>
      <c r="AE2412" s="766"/>
      <c r="AF2412" s="766"/>
      <c r="AG2412" s="766"/>
      <c r="BB2412" s="647"/>
      <c r="BC2412" s="648"/>
      <c r="BD2412" s="757"/>
      <c r="BE2412" s="659"/>
    </row>
    <row r="2413" spans="1:57" s="64" customFormat="1" ht="15" customHeight="1" outlineLevel="1" x14ac:dyDescent="0.25">
      <c r="A2413" s="2463"/>
      <c r="B2413" s="157"/>
      <c r="C2413" s="385"/>
      <c r="D2413" s="3589"/>
      <c r="E2413" s="3721"/>
      <c r="F2413" s="3773" t="str">
        <f>$E$1588</f>
        <v>ASHP - SEER 19 - replace electric furnace / CAC - early replacement MF ER2</v>
      </c>
      <c r="G2413" s="3774"/>
      <c r="H2413" s="3774"/>
      <c r="I2413" s="3775"/>
      <c r="J2413" s="3071" t="str">
        <f>$C$1588</f>
        <v>354450_2019_12_</v>
      </c>
      <c r="K2413" s="781">
        <v>869</v>
      </c>
      <c r="L2413" s="945"/>
      <c r="M2413" s="953"/>
      <c r="N2413" s="157"/>
      <c r="O2413" s="277"/>
      <c r="P2413" s="937"/>
      <c r="Q2413" s="938"/>
      <c r="R2413" s="937"/>
      <c r="S2413" s="924"/>
      <c r="T2413" s="1407"/>
      <c r="U2413" s="157"/>
      <c r="V2413" s="3589"/>
      <c r="W2413" s="766">
        <v>869</v>
      </c>
      <c r="X2413" s="766">
        <v>869</v>
      </c>
      <c r="Y2413" s="781">
        <v>869</v>
      </c>
      <c r="Z2413" s="781">
        <v>869</v>
      </c>
      <c r="AA2413" s="781">
        <v>869</v>
      </c>
      <c r="AB2413" s="781">
        <v>869</v>
      </c>
      <c r="AC2413" s="766"/>
      <c r="AD2413" s="766"/>
      <c r="AE2413" s="766"/>
      <c r="AF2413" s="766"/>
      <c r="AG2413" s="766"/>
      <c r="BB2413" s="647"/>
      <c r="BC2413" s="648"/>
      <c r="BD2413" s="757"/>
      <c r="BE2413" s="659"/>
    </row>
    <row r="2414" spans="1:57" s="64" customFormat="1" ht="15" customHeight="1" outlineLevel="1" x14ac:dyDescent="0.25">
      <c r="A2414" s="2463"/>
      <c r="B2414" s="157"/>
      <c r="C2414" s="385"/>
      <c r="D2414" s="3589"/>
      <c r="E2414" s="3721"/>
      <c r="F2414" s="3773" t="str">
        <f>$E$1590</f>
        <v>ASHP - SEER 19 - replace electric furnace / CAC - early replacement MF ER1_CompE</v>
      </c>
      <c r="G2414" s="3774"/>
      <c r="H2414" s="3774"/>
      <c r="I2414" s="3775"/>
      <c r="J2414" s="3071" t="str">
        <f>$C$1590</f>
        <v>354451_2019_12_</v>
      </c>
      <c r="K2414" s="781">
        <f>$K$2336</f>
        <v>632</v>
      </c>
      <c r="L2414" s="945"/>
      <c r="M2414" s="877" t="s">
        <v>889</v>
      </c>
      <c r="N2414" s="157"/>
      <c r="O2414" s="277"/>
      <c r="P2414" s="937"/>
      <c r="Q2414" s="938"/>
      <c r="R2414" s="937"/>
      <c r="S2414" s="924"/>
      <c r="T2414" s="1407"/>
      <c r="U2414" s="157"/>
      <c r="V2414" s="3589"/>
      <c r="W2414" s="766"/>
      <c r="X2414" s="766"/>
      <c r="Y2414" s="786">
        <f>$K$2336</f>
        <v>632</v>
      </c>
      <c r="Z2414" s="781">
        <f t="shared" ref="Z2414:AA2415" si="219">$K$2336</f>
        <v>632</v>
      </c>
      <c r="AA2414" s="781">
        <f t="shared" si="219"/>
        <v>632</v>
      </c>
      <c r="AB2414" s="781">
        <v>632</v>
      </c>
      <c r="AC2414" s="766"/>
      <c r="AD2414" s="766"/>
      <c r="AE2414" s="766"/>
      <c r="AF2414" s="766"/>
      <c r="AG2414" s="766"/>
      <c r="BB2414" s="647"/>
      <c r="BC2414" s="648"/>
      <c r="BD2414" s="757"/>
      <c r="BE2414" s="659"/>
    </row>
    <row r="2415" spans="1:57" s="64" customFormat="1" ht="15" customHeight="1" outlineLevel="1" x14ac:dyDescent="0.25">
      <c r="A2415" s="2463"/>
      <c r="B2415" s="157"/>
      <c r="C2415" s="385"/>
      <c r="D2415" s="3589"/>
      <c r="E2415" s="3721"/>
      <c r="F2415" s="3773" t="str">
        <f>$E$1592</f>
        <v>ASHP - SEER 19 - replace electric furnace / CAC - early replacement MF ER2_CompE</v>
      </c>
      <c r="G2415" s="3774"/>
      <c r="H2415" s="3774"/>
      <c r="I2415" s="3775"/>
      <c r="J2415" s="3071" t="str">
        <f>$C$1592</f>
        <v>354451_2019_12_</v>
      </c>
      <c r="K2415" s="781">
        <f>$K$2336</f>
        <v>632</v>
      </c>
      <c r="L2415" s="945"/>
      <c r="M2415" s="877" t="s">
        <v>889</v>
      </c>
      <c r="N2415" s="157"/>
      <c r="O2415" s="277"/>
      <c r="P2415" s="937"/>
      <c r="Q2415" s="938"/>
      <c r="R2415" s="937"/>
      <c r="S2415" s="924"/>
      <c r="T2415" s="1407"/>
      <c r="U2415" s="157"/>
      <c r="V2415" s="3589"/>
      <c r="W2415" s="766"/>
      <c r="X2415" s="766"/>
      <c r="Y2415" s="786">
        <f>$K$2336</f>
        <v>632</v>
      </c>
      <c r="Z2415" s="781">
        <f t="shared" si="219"/>
        <v>632</v>
      </c>
      <c r="AA2415" s="781">
        <f t="shared" si="219"/>
        <v>632</v>
      </c>
      <c r="AB2415" s="781">
        <v>632</v>
      </c>
      <c r="AC2415" s="766"/>
      <c r="AD2415" s="766"/>
      <c r="AE2415" s="766"/>
      <c r="AF2415" s="766"/>
      <c r="AG2415" s="766"/>
      <c r="BB2415" s="647"/>
      <c r="BC2415" s="648"/>
      <c r="BD2415" s="757"/>
      <c r="BE2415" s="659"/>
    </row>
    <row r="2416" spans="1:57" s="64" customFormat="1" ht="15" customHeight="1" outlineLevel="1" x14ac:dyDescent="0.25">
      <c r="A2416" s="2463"/>
      <c r="B2416" s="157"/>
      <c r="C2416" s="385"/>
      <c r="D2416" s="3589"/>
      <c r="E2416" s="3721"/>
      <c r="F2416" s="3773" t="str">
        <f>$E$1594</f>
        <v>ASHP SEER 19 replace ASHP - early replacement MF ER1</v>
      </c>
      <c r="G2416" s="3774"/>
      <c r="H2416" s="3774"/>
      <c r="I2416" s="3775"/>
      <c r="J2416" s="3071" t="str">
        <f>$C$1594</f>
        <v>354500_2019_12_</v>
      </c>
      <c r="K2416" s="781">
        <v>869</v>
      </c>
      <c r="L2416" s="945"/>
      <c r="M2416" s="953"/>
      <c r="N2416" s="157"/>
      <c r="O2416" s="277"/>
      <c r="P2416" s="937"/>
      <c r="Q2416" s="938"/>
      <c r="R2416" s="937"/>
      <c r="S2416" s="924"/>
      <c r="T2416" s="1407"/>
      <c r="U2416" s="157"/>
      <c r="V2416" s="3589"/>
      <c r="W2416" s="766">
        <v>869</v>
      </c>
      <c r="X2416" s="766">
        <v>869</v>
      </c>
      <c r="Y2416" s="781">
        <v>869</v>
      </c>
      <c r="Z2416" s="781">
        <v>869</v>
      </c>
      <c r="AA2416" s="781">
        <v>869</v>
      </c>
      <c r="AB2416" s="781">
        <v>869</v>
      </c>
      <c r="AC2416" s="766"/>
      <c r="AD2416" s="766"/>
      <c r="AE2416" s="766"/>
      <c r="AF2416" s="766"/>
      <c r="AG2416" s="766"/>
      <c r="BB2416" s="647"/>
      <c r="BC2416" s="648"/>
      <c r="BD2416" s="757"/>
      <c r="BE2416" s="659"/>
    </row>
    <row r="2417" spans="1:57" s="64" customFormat="1" ht="15" customHeight="1" outlineLevel="1" x14ac:dyDescent="0.25">
      <c r="A2417" s="2463"/>
      <c r="B2417" s="157"/>
      <c r="C2417" s="385"/>
      <c r="D2417" s="3589"/>
      <c r="E2417" s="3721"/>
      <c r="F2417" s="3773" t="str">
        <f>$E$1596</f>
        <v>ASHP SEER 19 replace ASHP - early replacement MF ER2</v>
      </c>
      <c r="G2417" s="3774"/>
      <c r="H2417" s="3774"/>
      <c r="I2417" s="3775"/>
      <c r="J2417" s="3071" t="str">
        <f>$C$1596</f>
        <v>354500_2019_12_</v>
      </c>
      <c r="K2417" s="781">
        <v>869</v>
      </c>
      <c r="L2417" s="945"/>
      <c r="M2417" s="953"/>
      <c r="N2417" s="157"/>
      <c r="O2417" s="277"/>
      <c r="P2417" s="937"/>
      <c r="Q2417" s="938"/>
      <c r="R2417" s="937"/>
      <c r="S2417" s="924"/>
      <c r="T2417" s="1407"/>
      <c r="U2417" s="157"/>
      <c r="V2417" s="3589"/>
      <c r="W2417" s="766">
        <v>869</v>
      </c>
      <c r="X2417" s="766">
        <v>869</v>
      </c>
      <c r="Y2417" s="781">
        <v>869</v>
      </c>
      <c r="Z2417" s="781">
        <v>869</v>
      </c>
      <c r="AA2417" s="781">
        <v>869</v>
      </c>
      <c r="AB2417" s="781">
        <v>869</v>
      </c>
      <c r="AC2417" s="766"/>
      <c r="AD2417" s="766"/>
      <c r="AE2417" s="766"/>
      <c r="AF2417" s="766"/>
      <c r="AG2417" s="766"/>
      <c r="BB2417" s="647"/>
      <c r="BC2417" s="648"/>
      <c r="BD2417" s="757"/>
      <c r="BE2417" s="659"/>
    </row>
    <row r="2418" spans="1:57" s="64" customFormat="1" ht="15" customHeight="1" outlineLevel="1" x14ac:dyDescent="0.25">
      <c r="A2418" s="2463"/>
      <c r="B2418" s="157"/>
      <c r="C2418" s="385"/>
      <c r="D2418" s="3589"/>
      <c r="E2418" s="3721"/>
      <c r="F2418" s="3773" t="str">
        <f>$E$1598</f>
        <v>ASHP SEER 19 replace ASHP - early replacement MF ER1_CompE</v>
      </c>
      <c r="G2418" s="3774"/>
      <c r="H2418" s="3774"/>
      <c r="I2418" s="3775"/>
      <c r="J2418" s="3071" t="str">
        <f>$C$1598</f>
        <v>354501_2019_12_</v>
      </c>
      <c r="K2418" s="781">
        <f>$K$2336</f>
        <v>632</v>
      </c>
      <c r="L2418" s="945"/>
      <c r="M2418" s="877" t="s">
        <v>889</v>
      </c>
      <c r="N2418" s="157"/>
      <c r="O2418" s="277"/>
      <c r="P2418" s="937"/>
      <c r="Q2418" s="938"/>
      <c r="R2418" s="937"/>
      <c r="S2418" s="924"/>
      <c r="T2418" s="1407"/>
      <c r="U2418" s="157"/>
      <c r="V2418" s="3589"/>
      <c r="W2418" s="766"/>
      <c r="X2418" s="766"/>
      <c r="Y2418" s="786">
        <f>$K$2336</f>
        <v>632</v>
      </c>
      <c r="Z2418" s="781">
        <f t="shared" ref="Z2418:AA2419" si="220">$K$2336</f>
        <v>632</v>
      </c>
      <c r="AA2418" s="781">
        <f t="shared" si="220"/>
        <v>632</v>
      </c>
      <c r="AB2418" s="781">
        <v>632</v>
      </c>
      <c r="AC2418" s="766"/>
      <c r="AD2418" s="766"/>
      <c r="AE2418" s="766"/>
      <c r="AF2418" s="766"/>
      <c r="AG2418" s="766"/>
      <c r="BB2418" s="647"/>
      <c r="BC2418" s="648"/>
      <c r="BD2418" s="757"/>
      <c r="BE2418" s="659"/>
    </row>
    <row r="2419" spans="1:57" s="64" customFormat="1" ht="15" customHeight="1" outlineLevel="1" x14ac:dyDescent="0.25">
      <c r="A2419" s="2463"/>
      <c r="B2419" s="157"/>
      <c r="C2419" s="385"/>
      <c r="D2419" s="3589"/>
      <c r="E2419" s="3721"/>
      <c r="F2419" s="3773" t="str">
        <f>$E$1600</f>
        <v>ASHP SEER 19 replace ASHP - early replacement MF ER2_CompE</v>
      </c>
      <c r="G2419" s="3774"/>
      <c r="H2419" s="3774"/>
      <c r="I2419" s="3775"/>
      <c r="J2419" s="3071" t="str">
        <f>$C$1600</f>
        <v>354501_2019_12_</v>
      </c>
      <c r="K2419" s="781">
        <f>$K$2336</f>
        <v>632</v>
      </c>
      <c r="L2419" s="945"/>
      <c r="M2419" s="877" t="s">
        <v>889</v>
      </c>
      <c r="N2419" s="157"/>
      <c r="O2419" s="277"/>
      <c r="P2419" s="937"/>
      <c r="Q2419" s="938"/>
      <c r="R2419" s="937"/>
      <c r="S2419" s="924"/>
      <c r="T2419" s="1407"/>
      <c r="U2419" s="157"/>
      <c r="V2419" s="3589"/>
      <c r="W2419" s="766"/>
      <c r="X2419" s="766"/>
      <c r="Y2419" s="786">
        <f>$K$2336</f>
        <v>632</v>
      </c>
      <c r="Z2419" s="781">
        <f t="shared" si="220"/>
        <v>632</v>
      </c>
      <c r="AA2419" s="781">
        <f t="shared" si="220"/>
        <v>632</v>
      </c>
      <c r="AB2419" s="781">
        <v>632</v>
      </c>
      <c r="AC2419" s="766"/>
      <c r="AD2419" s="766"/>
      <c r="AE2419" s="766"/>
      <c r="AF2419" s="766"/>
      <c r="AG2419" s="766"/>
      <c r="BB2419" s="647"/>
      <c r="BC2419" s="648"/>
      <c r="BD2419" s="757"/>
      <c r="BE2419" s="659"/>
    </row>
    <row r="2420" spans="1:57" s="64" customFormat="1" ht="15" customHeight="1" outlineLevel="1" x14ac:dyDescent="0.25">
      <c r="A2420" s="2463"/>
      <c r="B2420" s="157"/>
      <c r="C2420" s="385"/>
      <c r="D2420" s="3589"/>
      <c r="E2420" s="3721"/>
      <c r="F2420" s="3773" t="str">
        <f>$E$1602</f>
        <v>ASHP SEER 20 replace ASHP - early replacement SF ER1</v>
      </c>
      <c r="G2420" s="3774"/>
      <c r="H2420" s="3774"/>
      <c r="I2420" s="3775"/>
      <c r="J2420" s="3071" t="str">
        <f>$C$1602</f>
        <v>354550_2019_12_</v>
      </c>
      <c r="K2420" s="781">
        <v>869</v>
      </c>
      <c r="L2420" s="945"/>
      <c r="M2420" s="953"/>
      <c r="N2420" s="157"/>
      <c r="O2420" s="277"/>
      <c r="P2420" s="937"/>
      <c r="Q2420" s="938"/>
      <c r="R2420" s="937"/>
      <c r="S2420" s="924"/>
      <c r="T2420" s="1407"/>
      <c r="U2420" s="157"/>
      <c r="V2420" s="3589"/>
      <c r="W2420" s="766">
        <v>869</v>
      </c>
      <c r="X2420" s="766">
        <v>869</v>
      </c>
      <c r="Y2420" s="781">
        <v>869</v>
      </c>
      <c r="Z2420" s="781">
        <v>869</v>
      </c>
      <c r="AA2420" s="781">
        <v>869</v>
      </c>
      <c r="AB2420" s="781">
        <v>869</v>
      </c>
      <c r="AC2420" s="766"/>
      <c r="AD2420" s="766"/>
      <c r="AE2420" s="766"/>
      <c r="AF2420" s="766"/>
      <c r="AG2420" s="766"/>
      <c r="BB2420" s="647"/>
      <c r="BC2420" s="648"/>
      <c r="BD2420" s="757"/>
      <c r="BE2420" s="659"/>
    </row>
    <row r="2421" spans="1:57" s="64" customFormat="1" ht="15" customHeight="1" outlineLevel="1" x14ac:dyDescent="0.25">
      <c r="A2421" s="2463"/>
      <c r="B2421" s="157"/>
      <c r="C2421" s="385"/>
      <c r="D2421" s="3589"/>
      <c r="E2421" s="3721"/>
      <c r="F2421" s="3773" t="str">
        <f>$E$1604</f>
        <v>ASHP SEER 20 replace ASHP - early replacement SF ER2</v>
      </c>
      <c r="G2421" s="3774"/>
      <c r="H2421" s="3774"/>
      <c r="I2421" s="3775"/>
      <c r="J2421" s="3071" t="str">
        <f>$C$1604</f>
        <v>354550_2019_12_</v>
      </c>
      <c r="K2421" s="781">
        <v>869</v>
      </c>
      <c r="L2421" s="945"/>
      <c r="M2421" s="953"/>
      <c r="N2421" s="157"/>
      <c r="O2421" s="277"/>
      <c r="P2421" s="937"/>
      <c r="Q2421" s="938"/>
      <c r="R2421" s="937"/>
      <c r="S2421" s="924"/>
      <c r="T2421" s="1407"/>
      <c r="U2421" s="157"/>
      <c r="V2421" s="3589"/>
      <c r="W2421" s="766">
        <v>869</v>
      </c>
      <c r="X2421" s="766">
        <v>869</v>
      </c>
      <c r="Y2421" s="781">
        <v>869</v>
      </c>
      <c r="Z2421" s="781">
        <v>869</v>
      </c>
      <c r="AA2421" s="781">
        <v>869</v>
      </c>
      <c r="AB2421" s="781">
        <v>869</v>
      </c>
      <c r="AC2421" s="766"/>
      <c r="AD2421" s="766"/>
      <c r="AE2421" s="766"/>
      <c r="AF2421" s="766"/>
      <c r="AG2421" s="766"/>
      <c r="BB2421" s="647"/>
      <c r="BC2421" s="648"/>
      <c r="BD2421" s="757"/>
      <c r="BE2421" s="659"/>
    </row>
    <row r="2422" spans="1:57" s="64" customFormat="1" ht="15" customHeight="1" outlineLevel="1" x14ac:dyDescent="0.25">
      <c r="A2422" s="2463"/>
      <c r="B2422" s="157"/>
      <c r="C2422" s="385"/>
      <c r="D2422" s="3589"/>
      <c r="E2422" s="3721"/>
      <c r="F2422" s="3773" t="str">
        <f>$E$1606</f>
        <v>ASHP SEER 20 replace ASHP - replace on fail SF</v>
      </c>
      <c r="G2422" s="3774"/>
      <c r="H2422" s="3774"/>
      <c r="I2422" s="3775"/>
      <c r="J2422" s="3071" t="str">
        <f>$C$1606</f>
        <v>354600_2019_12_</v>
      </c>
      <c r="K2422" s="781">
        <v>869</v>
      </c>
      <c r="L2422" s="945"/>
      <c r="M2422" s="953"/>
      <c r="N2422" s="157"/>
      <c r="O2422" s="277"/>
      <c r="P2422" s="937"/>
      <c r="Q2422" s="938"/>
      <c r="R2422" s="937"/>
      <c r="S2422" s="924"/>
      <c r="T2422" s="1407"/>
      <c r="U2422" s="157"/>
      <c r="V2422" s="3589"/>
      <c r="W2422" s="766">
        <v>869</v>
      </c>
      <c r="X2422" s="766">
        <v>869</v>
      </c>
      <c r="Y2422" s="781">
        <v>869</v>
      </c>
      <c r="Z2422" s="781">
        <v>869</v>
      </c>
      <c r="AA2422" s="781">
        <v>869</v>
      </c>
      <c r="AB2422" s="781">
        <v>869</v>
      </c>
      <c r="AC2422" s="766"/>
      <c r="AD2422" s="766"/>
      <c r="AE2422" s="766"/>
      <c r="AF2422" s="766"/>
      <c r="AG2422" s="766"/>
      <c r="BB2422" s="647"/>
      <c r="BC2422" s="648"/>
      <c r="BD2422" s="757"/>
      <c r="BE2422" s="659"/>
    </row>
    <row r="2423" spans="1:57" s="64" customFormat="1" ht="15" customHeight="1" outlineLevel="1" x14ac:dyDescent="0.25">
      <c r="A2423" s="2463"/>
      <c r="B2423" s="157"/>
      <c r="C2423" s="385"/>
      <c r="D2423" s="3589"/>
      <c r="E2423" s="3721"/>
      <c r="F2423" s="3773" t="str">
        <f>$E$1608</f>
        <v>ASHP - SEER 20 - replace electric furnace / CAC - early replacement MF ER1</v>
      </c>
      <c r="G2423" s="3774"/>
      <c r="H2423" s="3774"/>
      <c r="I2423" s="3775"/>
      <c r="J2423" s="3071" t="str">
        <f>$C$1608</f>
        <v>354650_2019_12_</v>
      </c>
      <c r="K2423" s="781">
        <v>869</v>
      </c>
      <c r="L2423" s="945"/>
      <c r="M2423" s="953"/>
      <c r="N2423" s="157"/>
      <c r="O2423" s="277"/>
      <c r="P2423" s="937"/>
      <c r="Q2423" s="938"/>
      <c r="R2423" s="937"/>
      <c r="S2423" s="924"/>
      <c r="T2423" s="1407"/>
      <c r="U2423" s="157"/>
      <c r="V2423" s="3589"/>
      <c r="W2423" s="766">
        <v>869</v>
      </c>
      <c r="X2423" s="766">
        <v>869</v>
      </c>
      <c r="Y2423" s="781">
        <v>869</v>
      </c>
      <c r="Z2423" s="781">
        <v>869</v>
      </c>
      <c r="AA2423" s="781">
        <v>869</v>
      </c>
      <c r="AB2423" s="781">
        <v>869</v>
      </c>
      <c r="AC2423" s="766"/>
      <c r="AD2423" s="766"/>
      <c r="AE2423" s="766"/>
      <c r="AF2423" s="766"/>
      <c r="AG2423" s="766"/>
      <c r="BB2423" s="647"/>
      <c r="BC2423" s="648"/>
      <c r="BD2423" s="757"/>
      <c r="BE2423" s="659"/>
    </row>
    <row r="2424" spans="1:57" s="64" customFormat="1" ht="15" customHeight="1" outlineLevel="1" x14ac:dyDescent="0.25">
      <c r="A2424" s="2463"/>
      <c r="B2424" s="157"/>
      <c r="C2424" s="385"/>
      <c r="D2424" s="3589"/>
      <c r="E2424" s="3721"/>
      <c r="F2424" s="3773" t="str">
        <f>$E$1610</f>
        <v>ASHP - SEER 20 - replace electric furnace / CAC - early replacement MF ER2</v>
      </c>
      <c r="G2424" s="3774"/>
      <c r="H2424" s="3774"/>
      <c r="I2424" s="3775"/>
      <c r="J2424" s="3071" t="str">
        <f>$C$1610</f>
        <v>354650_2019_12_</v>
      </c>
      <c r="K2424" s="781">
        <v>869</v>
      </c>
      <c r="L2424" s="945"/>
      <c r="M2424" s="953"/>
      <c r="N2424" s="157"/>
      <c r="O2424" s="277"/>
      <c r="P2424" s="937"/>
      <c r="Q2424" s="938"/>
      <c r="R2424" s="937"/>
      <c r="S2424" s="924"/>
      <c r="T2424" s="1407"/>
      <c r="U2424" s="157"/>
      <c r="V2424" s="3589"/>
      <c r="W2424" s="766">
        <v>869</v>
      </c>
      <c r="X2424" s="766">
        <v>869</v>
      </c>
      <c r="Y2424" s="781">
        <v>869</v>
      </c>
      <c r="Z2424" s="781">
        <v>869</v>
      </c>
      <c r="AA2424" s="781">
        <v>869</v>
      </c>
      <c r="AB2424" s="781">
        <v>869</v>
      </c>
      <c r="AC2424" s="766"/>
      <c r="AD2424" s="766"/>
      <c r="AE2424" s="766"/>
      <c r="AF2424" s="766"/>
      <c r="AG2424" s="766"/>
      <c r="BB2424" s="647"/>
      <c r="BC2424" s="648"/>
      <c r="BD2424" s="757"/>
      <c r="BE2424" s="659"/>
    </row>
    <row r="2425" spans="1:57" s="64" customFormat="1" ht="15" customHeight="1" outlineLevel="1" x14ac:dyDescent="0.25">
      <c r="A2425" s="2463"/>
      <c r="B2425" s="157"/>
      <c r="C2425" s="385"/>
      <c r="D2425" s="3589"/>
      <c r="E2425" s="3721"/>
      <c r="F2425" s="3773" t="str">
        <f>$E$1612</f>
        <v>ASHP - SEER 20 - replace electric furnace / CAC - early replacement MF ER1_CompE</v>
      </c>
      <c r="G2425" s="3774"/>
      <c r="H2425" s="3774"/>
      <c r="I2425" s="3775"/>
      <c r="J2425" s="3071" t="str">
        <f>$C$1612</f>
        <v>354651_2019_12_</v>
      </c>
      <c r="K2425" s="781">
        <f>$K$2336</f>
        <v>632</v>
      </c>
      <c r="L2425" s="945"/>
      <c r="M2425" s="877" t="s">
        <v>889</v>
      </c>
      <c r="N2425" s="157"/>
      <c r="O2425" s="277"/>
      <c r="P2425" s="937"/>
      <c r="Q2425" s="938"/>
      <c r="R2425" s="937"/>
      <c r="S2425" s="924"/>
      <c r="T2425" s="1407"/>
      <c r="U2425" s="157"/>
      <c r="V2425" s="3589"/>
      <c r="W2425" s="766"/>
      <c r="X2425" s="766"/>
      <c r="Y2425" s="786">
        <f>$K$2336</f>
        <v>632</v>
      </c>
      <c r="Z2425" s="781">
        <f t="shared" ref="Z2425:AA2426" si="221">$K$2336</f>
        <v>632</v>
      </c>
      <c r="AA2425" s="781">
        <f t="shared" si="221"/>
        <v>632</v>
      </c>
      <c r="AB2425" s="781">
        <v>632</v>
      </c>
      <c r="AC2425" s="766"/>
      <c r="AD2425" s="766"/>
      <c r="AE2425" s="766"/>
      <c r="AF2425" s="766"/>
      <c r="AG2425" s="766"/>
      <c r="BB2425" s="647"/>
      <c r="BC2425" s="648"/>
      <c r="BD2425" s="757"/>
      <c r="BE2425" s="659"/>
    </row>
    <row r="2426" spans="1:57" s="64" customFormat="1" ht="15" customHeight="1" outlineLevel="1" x14ac:dyDescent="0.25">
      <c r="A2426" s="2463"/>
      <c r="B2426" s="157"/>
      <c r="C2426" s="385"/>
      <c r="D2426" s="3589"/>
      <c r="E2426" s="3721"/>
      <c r="F2426" s="3773" t="str">
        <f>$E$1614</f>
        <v>ASHP - SEER 20 - replace electric furnace / CAC - early replacement MF ER2_CompE</v>
      </c>
      <c r="G2426" s="3774"/>
      <c r="H2426" s="3774"/>
      <c r="I2426" s="3775"/>
      <c r="J2426" s="3071" t="str">
        <f>$C$1614</f>
        <v>354651_2019_12_</v>
      </c>
      <c r="K2426" s="781">
        <f>$K$2336</f>
        <v>632</v>
      </c>
      <c r="L2426" s="945"/>
      <c r="M2426" s="877" t="s">
        <v>889</v>
      </c>
      <c r="N2426" s="157"/>
      <c r="O2426" s="277"/>
      <c r="P2426" s="937"/>
      <c r="Q2426" s="938"/>
      <c r="R2426" s="937"/>
      <c r="S2426" s="924"/>
      <c r="T2426" s="1407"/>
      <c r="U2426" s="157"/>
      <c r="V2426" s="3589"/>
      <c r="W2426" s="766"/>
      <c r="X2426" s="766"/>
      <c r="Y2426" s="786">
        <f>$K$2336</f>
        <v>632</v>
      </c>
      <c r="Z2426" s="781">
        <f t="shared" si="221"/>
        <v>632</v>
      </c>
      <c r="AA2426" s="781">
        <f t="shared" si="221"/>
        <v>632</v>
      </c>
      <c r="AB2426" s="781">
        <v>632</v>
      </c>
      <c r="AC2426" s="766"/>
      <c r="AD2426" s="766"/>
      <c r="AE2426" s="766"/>
      <c r="AF2426" s="766"/>
      <c r="AG2426" s="766"/>
      <c r="BB2426" s="647"/>
      <c r="BC2426" s="648"/>
      <c r="BD2426" s="757"/>
      <c r="BE2426" s="659"/>
    </row>
    <row r="2427" spans="1:57" s="64" customFormat="1" ht="15" customHeight="1" outlineLevel="1" x14ac:dyDescent="0.25">
      <c r="A2427" s="2463"/>
      <c r="B2427" s="157"/>
      <c r="C2427" s="385"/>
      <c r="D2427" s="3589"/>
      <c r="E2427" s="3721"/>
      <c r="F2427" s="3773" t="str">
        <f>$E$1616</f>
        <v>ASHP SEER 20 replace ASHP - early replacement MF ER1</v>
      </c>
      <c r="G2427" s="3774"/>
      <c r="H2427" s="3774"/>
      <c r="I2427" s="3775"/>
      <c r="J2427" s="3071" t="str">
        <f>$C$1616</f>
        <v>354700_2019_12_</v>
      </c>
      <c r="K2427" s="781">
        <v>869</v>
      </c>
      <c r="L2427" s="945"/>
      <c r="M2427" s="953"/>
      <c r="N2427" s="157"/>
      <c r="O2427" s="277"/>
      <c r="P2427" s="937"/>
      <c r="Q2427" s="938"/>
      <c r="R2427" s="937"/>
      <c r="S2427" s="924"/>
      <c r="T2427" s="1407"/>
      <c r="U2427" s="157"/>
      <c r="V2427" s="3589"/>
      <c r="W2427" s="766">
        <v>869</v>
      </c>
      <c r="X2427" s="766">
        <v>869</v>
      </c>
      <c r="Y2427" s="781">
        <v>869</v>
      </c>
      <c r="Z2427" s="781">
        <v>869</v>
      </c>
      <c r="AA2427" s="781">
        <v>869</v>
      </c>
      <c r="AB2427" s="781">
        <v>869</v>
      </c>
      <c r="AC2427" s="766"/>
      <c r="AD2427" s="766"/>
      <c r="AE2427" s="766"/>
      <c r="AF2427" s="766"/>
      <c r="AG2427" s="766"/>
      <c r="BB2427" s="647"/>
      <c r="BC2427" s="648"/>
      <c r="BD2427" s="757"/>
      <c r="BE2427" s="659"/>
    </row>
    <row r="2428" spans="1:57" s="64" customFormat="1" ht="15" customHeight="1" outlineLevel="1" x14ac:dyDescent="0.25">
      <c r="A2428" s="2463"/>
      <c r="B2428" s="157"/>
      <c r="C2428" s="385"/>
      <c r="D2428" s="3589"/>
      <c r="E2428" s="3721"/>
      <c r="F2428" s="3773" t="str">
        <f>$E$1618</f>
        <v>ASHP SEER 20 replace ASHP - early replacement MF ER2</v>
      </c>
      <c r="G2428" s="3774"/>
      <c r="H2428" s="3774"/>
      <c r="I2428" s="3775"/>
      <c r="J2428" s="3071" t="str">
        <f>$C$1618</f>
        <v>354700_2019_12_</v>
      </c>
      <c r="K2428" s="781">
        <v>869</v>
      </c>
      <c r="L2428" s="945"/>
      <c r="M2428" s="953"/>
      <c r="N2428" s="157"/>
      <c r="O2428" s="277"/>
      <c r="P2428" s="937"/>
      <c r="Q2428" s="938"/>
      <c r="R2428" s="937"/>
      <c r="S2428" s="924"/>
      <c r="T2428" s="1407"/>
      <c r="U2428" s="157"/>
      <c r="V2428" s="3589"/>
      <c r="W2428" s="766">
        <v>869</v>
      </c>
      <c r="X2428" s="766">
        <v>869</v>
      </c>
      <c r="Y2428" s="781">
        <v>869</v>
      </c>
      <c r="Z2428" s="781">
        <v>869</v>
      </c>
      <c r="AA2428" s="781">
        <v>869</v>
      </c>
      <c r="AB2428" s="781">
        <v>869</v>
      </c>
      <c r="AC2428" s="766"/>
      <c r="AD2428" s="766"/>
      <c r="AE2428" s="766"/>
      <c r="AF2428" s="766"/>
      <c r="AG2428" s="766"/>
      <c r="BB2428" s="647"/>
      <c r="BC2428" s="648"/>
      <c r="BD2428" s="757"/>
      <c r="BE2428" s="659"/>
    </row>
    <row r="2429" spans="1:57" s="64" customFormat="1" ht="15" customHeight="1" outlineLevel="1" x14ac:dyDescent="0.25">
      <c r="A2429" s="2463"/>
      <c r="B2429" s="157"/>
      <c r="C2429" s="385"/>
      <c r="D2429" s="3589"/>
      <c r="E2429" s="3721"/>
      <c r="F2429" s="3773" t="str">
        <f>$E$1620</f>
        <v>ASHP SEER 20 replace ASHP - early replacement MF ER1_CompE</v>
      </c>
      <c r="G2429" s="3774"/>
      <c r="H2429" s="3774"/>
      <c r="I2429" s="3775"/>
      <c r="J2429" s="3071" t="str">
        <f>$C$1620</f>
        <v>354701_2019_12_</v>
      </c>
      <c r="K2429" s="781">
        <f>$K$2336</f>
        <v>632</v>
      </c>
      <c r="L2429" s="945"/>
      <c r="M2429" s="877" t="s">
        <v>889</v>
      </c>
      <c r="N2429" s="157"/>
      <c r="O2429" s="277"/>
      <c r="P2429" s="937"/>
      <c r="Q2429" s="938"/>
      <c r="R2429" s="937"/>
      <c r="S2429" s="924"/>
      <c r="T2429" s="1407"/>
      <c r="U2429" s="157"/>
      <c r="V2429" s="3589"/>
      <c r="W2429" s="766"/>
      <c r="X2429" s="766"/>
      <c r="Y2429" s="786">
        <f>$K$2336</f>
        <v>632</v>
      </c>
      <c r="Z2429" s="781">
        <f t="shared" ref="Z2429:AA2430" si="222">$K$2336</f>
        <v>632</v>
      </c>
      <c r="AA2429" s="781">
        <f t="shared" si="222"/>
        <v>632</v>
      </c>
      <c r="AB2429" s="781">
        <v>632</v>
      </c>
      <c r="AC2429" s="766"/>
      <c r="AD2429" s="766"/>
      <c r="AE2429" s="766"/>
      <c r="AF2429" s="766"/>
      <c r="AG2429" s="766"/>
      <c r="BB2429" s="647"/>
      <c r="BC2429" s="648"/>
      <c r="BD2429" s="757"/>
      <c r="BE2429" s="659"/>
    </row>
    <row r="2430" spans="1:57" s="64" customFormat="1" ht="15" customHeight="1" outlineLevel="1" x14ac:dyDescent="0.25">
      <c r="A2430" s="2463"/>
      <c r="B2430" s="157"/>
      <c r="C2430" s="385"/>
      <c r="D2430" s="3589"/>
      <c r="E2430" s="3721"/>
      <c r="F2430" s="3773" t="str">
        <f>$E$1622</f>
        <v>ASHP SEER 20 replace ASHP - early replacement MF ER2_CompE</v>
      </c>
      <c r="G2430" s="3774"/>
      <c r="H2430" s="3774"/>
      <c r="I2430" s="3775"/>
      <c r="J2430" s="3071" t="str">
        <f>$C$1622</f>
        <v>354701_2019_12_</v>
      </c>
      <c r="K2430" s="781">
        <f>$K$2336</f>
        <v>632</v>
      </c>
      <c r="L2430" s="945"/>
      <c r="M2430" s="877" t="s">
        <v>889</v>
      </c>
      <c r="N2430" s="157"/>
      <c r="O2430" s="277"/>
      <c r="P2430" s="937"/>
      <c r="Q2430" s="938"/>
      <c r="R2430" s="937"/>
      <c r="S2430" s="924"/>
      <c r="T2430" s="1407"/>
      <c r="U2430" s="157"/>
      <c r="V2430" s="3589"/>
      <c r="W2430" s="766"/>
      <c r="X2430" s="766"/>
      <c r="Y2430" s="786">
        <f>$K$2336</f>
        <v>632</v>
      </c>
      <c r="Z2430" s="781">
        <f t="shared" si="222"/>
        <v>632</v>
      </c>
      <c r="AA2430" s="781">
        <f t="shared" si="222"/>
        <v>632</v>
      </c>
      <c r="AB2430" s="781">
        <v>632</v>
      </c>
      <c r="AC2430" s="766"/>
      <c r="AD2430" s="766"/>
      <c r="AE2430" s="766"/>
      <c r="AF2430" s="766"/>
      <c r="AG2430" s="766"/>
      <c r="BB2430" s="647"/>
      <c r="BC2430" s="648"/>
      <c r="BD2430" s="757"/>
      <c r="BE2430" s="659"/>
    </row>
    <row r="2431" spans="1:57" s="64" customFormat="1" ht="15" customHeight="1" outlineLevel="1" x14ac:dyDescent="0.25">
      <c r="A2431" s="2463"/>
      <c r="B2431" s="157"/>
      <c r="C2431" s="385"/>
      <c r="D2431" s="3589"/>
      <c r="E2431" s="3721"/>
      <c r="F2431" s="3773" t="str">
        <f>$E$1624</f>
        <v>ASHP SEER 21 replace ASHP - early replacement SF ER1</v>
      </c>
      <c r="G2431" s="3774"/>
      <c r="H2431" s="3774"/>
      <c r="I2431" s="3775"/>
      <c r="J2431" s="3071" t="str">
        <f>$C$1624</f>
        <v>354750_2019_12_</v>
      </c>
      <c r="K2431" s="781">
        <v>869</v>
      </c>
      <c r="L2431" s="945"/>
      <c r="M2431" s="953"/>
      <c r="N2431" s="157"/>
      <c r="O2431" s="277"/>
      <c r="P2431" s="937"/>
      <c r="Q2431" s="938"/>
      <c r="R2431" s="937"/>
      <c r="S2431" s="924"/>
      <c r="T2431" s="1407"/>
      <c r="U2431" s="157"/>
      <c r="V2431" s="3589"/>
      <c r="W2431" s="766">
        <v>869</v>
      </c>
      <c r="X2431" s="766">
        <v>869</v>
      </c>
      <c r="Y2431" s="781">
        <v>869</v>
      </c>
      <c r="Z2431" s="781">
        <v>869</v>
      </c>
      <c r="AA2431" s="781">
        <v>869</v>
      </c>
      <c r="AB2431" s="781">
        <v>869</v>
      </c>
      <c r="AC2431" s="766"/>
      <c r="AD2431" s="766"/>
      <c r="AE2431" s="766"/>
      <c r="AF2431" s="766"/>
      <c r="AG2431" s="766"/>
      <c r="BB2431" s="647"/>
      <c r="BC2431" s="648"/>
      <c r="BD2431" s="757"/>
      <c r="BE2431" s="659"/>
    </row>
    <row r="2432" spans="1:57" s="64" customFormat="1" ht="15" customHeight="1" outlineLevel="1" x14ac:dyDescent="0.25">
      <c r="A2432" s="2463"/>
      <c r="B2432" s="157"/>
      <c r="C2432" s="385"/>
      <c r="D2432" s="3589"/>
      <c r="E2432" s="3721"/>
      <c r="F2432" s="3773" t="str">
        <f>$E$1626</f>
        <v>ASHP SEER 21 replace ASHP - early replacement SF ER2</v>
      </c>
      <c r="G2432" s="3774"/>
      <c r="H2432" s="3774"/>
      <c r="I2432" s="3775"/>
      <c r="J2432" s="3071" t="str">
        <f>$C$1626</f>
        <v>354750_2019_12_</v>
      </c>
      <c r="K2432" s="781">
        <v>869</v>
      </c>
      <c r="L2432" s="945"/>
      <c r="M2432" s="953"/>
      <c r="N2432" s="157"/>
      <c r="O2432" s="277"/>
      <c r="P2432" s="937"/>
      <c r="Q2432" s="938"/>
      <c r="R2432" s="937"/>
      <c r="S2432" s="924"/>
      <c r="T2432" s="1407"/>
      <c r="U2432" s="157"/>
      <c r="V2432" s="3589"/>
      <c r="W2432" s="766">
        <v>869</v>
      </c>
      <c r="X2432" s="766">
        <v>869</v>
      </c>
      <c r="Y2432" s="781">
        <v>869</v>
      </c>
      <c r="Z2432" s="781">
        <v>869</v>
      </c>
      <c r="AA2432" s="781">
        <v>869</v>
      </c>
      <c r="AB2432" s="781">
        <v>869</v>
      </c>
      <c r="AC2432" s="766"/>
      <c r="AD2432" s="766"/>
      <c r="AE2432" s="766"/>
      <c r="AF2432" s="766"/>
      <c r="AG2432" s="766"/>
      <c r="BB2432" s="647"/>
      <c r="BC2432" s="648"/>
      <c r="BD2432" s="757"/>
      <c r="BE2432" s="659"/>
    </row>
    <row r="2433" spans="1:57" s="64" customFormat="1" ht="15" customHeight="1" outlineLevel="1" x14ac:dyDescent="0.25">
      <c r="A2433" s="2463"/>
      <c r="B2433" s="157"/>
      <c r="C2433" s="385"/>
      <c r="D2433" s="3589"/>
      <c r="E2433" s="3721"/>
      <c r="F2433" s="3773" t="str">
        <f>$E$1628</f>
        <v>ASHP SEER 21 replace ASHP - replace on fail SF</v>
      </c>
      <c r="G2433" s="3774"/>
      <c r="H2433" s="3774"/>
      <c r="I2433" s="3775"/>
      <c r="J2433" s="3071" t="str">
        <f>$C$1628</f>
        <v>354800_2019_12_</v>
      </c>
      <c r="K2433" s="781">
        <v>869</v>
      </c>
      <c r="L2433" s="945"/>
      <c r="M2433" s="953"/>
      <c r="N2433" s="157"/>
      <c r="O2433" s="277"/>
      <c r="P2433" s="937"/>
      <c r="Q2433" s="938"/>
      <c r="R2433" s="937"/>
      <c r="S2433" s="924"/>
      <c r="T2433" s="1407"/>
      <c r="U2433" s="157"/>
      <c r="V2433" s="3589"/>
      <c r="W2433" s="766">
        <v>869</v>
      </c>
      <c r="X2433" s="766">
        <v>869</v>
      </c>
      <c r="Y2433" s="781">
        <v>869</v>
      </c>
      <c r="Z2433" s="781">
        <v>869</v>
      </c>
      <c r="AA2433" s="781">
        <v>869</v>
      </c>
      <c r="AB2433" s="781">
        <v>869</v>
      </c>
      <c r="AC2433" s="766"/>
      <c r="AD2433" s="766"/>
      <c r="AE2433" s="766"/>
      <c r="AF2433" s="766"/>
      <c r="AG2433" s="766"/>
      <c r="BB2433" s="647"/>
      <c r="BC2433" s="648"/>
      <c r="BD2433" s="757"/>
      <c r="BE2433" s="659"/>
    </row>
    <row r="2434" spans="1:57" s="64" customFormat="1" ht="15" customHeight="1" outlineLevel="1" x14ac:dyDescent="0.25">
      <c r="A2434" s="2463"/>
      <c r="B2434" s="157"/>
      <c r="C2434" s="385"/>
      <c r="D2434" s="3589"/>
      <c r="E2434" s="3721"/>
      <c r="F2434" s="3773" t="str">
        <f>$E$1630</f>
        <v>ASHP - SEER 21 - replace electric furnace / CAC MF</v>
      </c>
      <c r="G2434" s="3774"/>
      <c r="H2434" s="3774"/>
      <c r="I2434" s="3775"/>
      <c r="J2434" s="3071" t="str">
        <f>$C$1630</f>
        <v>354850_2019_12_</v>
      </c>
      <c r="K2434" s="781">
        <v>869</v>
      </c>
      <c r="L2434" s="945"/>
      <c r="M2434" s="953"/>
      <c r="N2434" s="157"/>
      <c r="O2434" s="277"/>
      <c r="P2434" s="937"/>
      <c r="Q2434" s="938"/>
      <c r="R2434" s="937"/>
      <c r="S2434" s="924"/>
      <c r="T2434" s="1407"/>
      <c r="U2434" s="157"/>
      <c r="V2434" s="3589"/>
      <c r="W2434" s="766">
        <v>869</v>
      </c>
      <c r="X2434" s="766">
        <v>869</v>
      </c>
      <c r="Y2434" s="781">
        <v>869</v>
      </c>
      <c r="Z2434" s="781">
        <v>869</v>
      </c>
      <c r="AA2434" s="781">
        <v>869</v>
      </c>
      <c r="AB2434" s="781">
        <v>869</v>
      </c>
      <c r="AC2434" s="766"/>
      <c r="AD2434" s="766"/>
      <c r="AE2434" s="766"/>
      <c r="AF2434" s="766"/>
      <c r="AG2434" s="766"/>
      <c r="BB2434" s="647"/>
      <c r="BC2434" s="648"/>
      <c r="BD2434" s="757"/>
      <c r="BE2434" s="659"/>
    </row>
    <row r="2435" spans="1:57" s="64" customFormat="1" ht="15" customHeight="1" outlineLevel="1" x14ac:dyDescent="0.25">
      <c r="A2435" s="2463"/>
      <c r="B2435" s="157"/>
      <c r="C2435" s="385"/>
      <c r="D2435" s="3589"/>
      <c r="E2435" s="3721"/>
      <c r="F2435" s="3773" t="str">
        <f>$E$1632</f>
        <v>ASHP - SEER 21 - replace electric furnace / CAC MF_CompE</v>
      </c>
      <c r="G2435" s="3774"/>
      <c r="H2435" s="3774"/>
      <c r="I2435" s="3775"/>
      <c r="J2435" s="3071" t="str">
        <f>$C$1632</f>
        <v>354851_2019_12_</v>
      </c>
      <c r="K2435" s="781">
        <f>$K$2336</f>
        <v>632</v>
      </c>
      <c r="L2435" s="945"/>
      <c r="M2435" s="877" t="s">
        <v>889</v>
      </c>
      <c r="N2435" s="157"/>
      <c r="O2435" s="277"/>
      <c r="P2435" s="937"/>
      <c r="Q2435" s="938"/>
      <c r="R2435" s="937"/>
      <c r="S2435" s="924"/>
      <c r="T2435" s="1407"/>
      <c r="U2435" s="157"/>
      <c r="V2435" s="3589"/>
      <c r="W2435" s="766"/>
      <c r="X2435" s="766"/>
      <c r="Y2435" s="786">
        <f>$K$2336</f>
        <v>632</v>
      </c>
      <c r="Z2435" s="781">
        <f t="shared" ref="Z2435:AA2435" si="223">$K$2336</f>
        <v>632</v>
      </c>
      <c r="AA2435" s="781">
        <f t="shared" si="223"/>
        <v>632</v>
      </c>
      <c r="AB2435" s="781">
        <v>632</v>
      </c>
      <c r="AC2435" s="766"/>
      <c r="AD2435" s="766"/>
      <c r="AE2435" s="766"/>
      <c r="AF2435" s="766"/>
      <c r="AG2435" s="766"/>
      <c r="BB2435" s="647"/>
      <c r="BC2435" s="648"/>
      <c r="BD2435" s="757"/>
      <c r="BE2435" s="659"/>
    </row>
    <row r="2436" spans="1:57" s="64" customFormat="1" ht="15" customHeight="1" outlineLevel="1" x14ac:dyDescent="0.25">
      <c r="A2436" s="2463"/>
      <c r="B2436" s="157"/>
      <c r="C2436" s="385"/>
      <c r="D2436" s="3589"/>
      <c r="E2436" s="3721"/>
      <c r="F2436" s="3773" t="str">
        <f>$E$1634</f>
        <v>ASHP SEER 21 replace ASHP - early replacement MF ER1</v>
      </c>
      <c r="G2436" s="3774"/>
      <c r="H2436" s="3774"/>
      <c r="I2436" s="3775"/>
      <c r="J2436" s="3071" t="str">
        <f>$C$1634</f>
        <v>354900_2019_12_</v>
      </c>
      <c r="K2436" s="781">
        <v>869</v>
      </c>
      <c r="L2436" s="945"/>
      <c r="M2436" s="877" t="s">
        <v>889</v>
      </c>
      <c r="N2436" s="157"/>
      <c r="O2436" s="277"/>
      <c r="P2436" s="937"/>
      <c r="Q2436" s="938"/>
      <c r="R2436" s="937"/>
      <c r="S2436" s="924"/>
      <c r="T2436" s="1407"/>
      <c r="U2436" s="157"/>
      <c r="V2436" s="3589"/>
      <c r="W2436" s="766">
        <v>869</v>
      </c>
      <c r="X2436" s="766">
        <v>869</v>
      </c>
      <c r="Y2436" s="781">
        <v>869</v>
      </c>
      <c r="Z2436" s="781">
        <v>869</v>
      </c>
      <c r="AA2436" s="781">
        <v>869</v>
      </c>
      <c r="AB2436" s="781">
        <v>869</v>
      </c>
      <c r="AC2436" s="766"/>
      <c r="AD2436" s="766"/>
      <c r="AE2436" s="766"/>
      <c r="AF2436" s="766"/>
      <c r="AG2436" s="766"/>
      <c r="BB2436" s="647"/>
      <c r="BC2436" s="648"/>
      <c r="BD2436" s="757"/>
      <c r="BE2436" s="659"/>
    </row>
    <row r="2437" spans="1:57" s="64" customFormat="1" ht="15" customHeight="1" outlineLevel="1" x14ac:dyDescent="0.25">
      <c r="A2437" s="2463"/>
      <c r="B2437" s="157"/>
      <c r="C2437" s="385"/>
      <c r="D2437" s="3589"/>
      <c r="E2437" s="3721"/>
      <c r="F2437" s="3773" t="str">
        <f>$E$1636</f>
        <v>ASHP SEER 21 replace ASHP - early replacement MF ER2</v>
      </c>
      <c r="G2437" s="3774"/>
      <c r="H2437" s="3774"/>
      <c r="I2437" s="3775"/>
      <c r="J2437" s="3071" t="str">
        <f>$C$1636</f>
        <v>354900_2019_12_</v>
      </c>
      <c r="K2437" s="781">
        <v>869</v>
      </c>
      <c r="L2437" s="945"/>
      <c r="M2437" s="953"/>
      <c r="N2437" s="157"/>
      <c r="O2437" s="277"/>
      <c r="P2437" s="937"/>
      <c r="Q2437" s="938"/>
      <c r="R2437" s="937"/>
      <c r="S2437" s="924"/>
      <c r="T2437" s="1407"/>
      <c r="U2437" s="157"/>
      <c r="V2437" s="3589"/>
      <c r="W2437" s="766">
        <v>869</v>
      </c>
      <c r="X2437" s="766">
        <v>869</v>
      </c>
      <c r="Y2437" s="781">
        <v>869</v>
      </c>
      <c r="Z2437" s="781">
        <v>869</v>
      </c>
      <c r="AA2437" s="781">
        <v>869</v>
      </c>
      <c r="AB2437" s="781">
        <v>869</v>
      </c>
      <c r="AC2437" s="766"/>
      <c r="AD2437" s="766"/>
      <c r="AE2437" s="766"/>
      <c r="AF2437" s="766"/>
      <c r="AG2437" s="766"/>
      <c r="BB2437" s="647"/>
      <c r="BC2437" s="648"/>
      <c r="BD2437" s="757"/>
      <c r="BE2437" s="659"/>
    </row>
    <row r="2438" spans="1:57" s="64" customFormat="1" ht="15" customHeight="1" outlineLevel="1" x14ac:dyDescent="0.25">
      <c r="A2438" s="2463"/>
      <c r="B2438" s="157"/>
      <c r="C2438" s="385"/>
      <c r="D2438" s="3589"/>
      <c r="E2438" s="3721"/>
      <c r="F2438" s="3773" t="str">
        <f>$E$1638</f>
        <v>ASHP SEER 21 replace ASHP - early replacement MF ER1_CompE</v>
      </c>
      <c r="G2438" s="3774"/>
      <c r="H2438" s="3774"/>
      <c r="I2438" s="3775"/>
      <c r="J2438" s="3071" t="str">
        <f>$C$1638</f>
        <v>354901_2019_12_</v>
      </c>
      <c r="K2438" s="781">
        <f>$K$2336</f>
        <v>632</v>
      </c>
      <c r="L2438" s="945"/>
      <c r="M2438" s="877" t="s">
        <v>889</v>
      </c>
      <c r="N2438" s="157"/>
      <c r="O2438" s="277"/>
      <c r="P2438" s="937"/>
      <c r="Q2438" s="938"/>
      <c r="R2438" s="937"/>
      <c r="S2438" s="924"/>
      <c r="T2438" s="1407"/>
      <c r="U2438" s="157"/>
      <c r="V2438" s="3589"/>
      <c r="W2438" s="766"/>
      <c r="X2438" s="766"/>
      <c r="Y2438" s="786">
        <f>$K$2336</f>
        <v>632</v>
      </c>
      <c r="Z2438" s="781">
        <f t="shared" ref="Z2438:AA2439" si="224">$K$2336</f>
        <v>632</v>
      </c>
      <c r="AA2438" s="781">
        <f t="shared" si="224"/>
        <v>632</v>
      </c>
      <c r="AB2438" s="781">
        <v>632</v>
      </c>
      <c r="AC2438" s="766"/>
      <c r="AD2438" s="766"/>
      <c r="AE2438" s="766"/>
      <c r="AF2438" s="766"/>
      <c r="AG2438" s="766"/>
      <c r="BB2438" s="647"/>
      <c r="BC2438" s="648"/>
      <c r="BD2438" s="757"/>
      <c r="BE2438" s="659"/>
    </row>
    <row r="2439" spans="1:57" s="64" customFormat="1" ht="15" customHeight="1" outlineLevel="1" x14ac:dyDescent="0.25">
      <c r="A2439" s="2463"/>
      <c r="B2439" s="157"/>
      <c r="C2439" s="385"/>
      <c r="D2439" s="3589"/>
      <c r="E2439" s="3721"/>
      <c r="F2439" s="3773" t="str">
        <f>$E$1640</f>
        <v>ASHP SEER 21 replace ASHP - early replacement MF ER2_CompE</v>
      </c>
      <c r="G2439" s="3774"/>
      <c r="H2439" s="3774"/>
      <c r="I2439" s="3775"/>
      <c r="J2439" s="3071" t="str">
        <f>$C$1640</f>
        <v>354901_2019_12_</v>
      </c>
      <c r="K2439" s="781">
        <f>$K$2336</f>
        <v>632</v>
      </c>
      <c r="L2439" s="945"/>
      <c r="M2439" s="877" t="s">
        <v>889</v>
      </c>
      <c r="N2439" s="157"/>
      <c r="O2439" s="277"/>
      <c r="P2439" s="937"/>
      <c r="Q2439" s="938"/>
      <c r="R2439" s="937"/>
      <c r="S2439" s="924"/>
      <c r="T2439" s="1407"/>
      <c r="U2439" s="157"/>
      <c r="V2439" s="3589"/>
      <c r="W2439" s="766"/>
      <c r="X2439" s="766"/>
      <c r="Y2439" s="786">
        <f>$K$2336</f>
        <v>632</v>
      </c>
      <c r="Z2439" s="781">
        <f t="shared" si="224"/>
        <v>632</v>
      </c>
      <c r="AA2439" s="781">
        <f t="shared" si="224"/>
        <v>632</v>
      </c>
      <c r="AB2439" s="781">
        <v>632</v>
      </c>
      <c r="AC2439" s="766"/>
      <c r="AD2439" s="766"/>
      <c r="AE2439" s="766"/>
      <c r="AF2439" s="766"/>
      <c r="AG2439" s="766"/>
      <c r="BB2439" s="647"/>
      <c r="BC2439" s="648"/>
      <c r="BD2439" s="757"/>
      <c r="BE2439" s="659"/>
    </row>
    <row r="2440" spans="1:57" s="64" customFormat="1" ht="15" customHeight="1" outlineLevel="1" x14ac:dyDescent="0.25">
      <c r="A2440" s="2463"/>
      <c r="B2440" s="157"/>
      <c r="C2440" s="385"/>
      <c r="D2440" s="3589"/>
      <c r="E2440" s="3721"/>
      <c r="F2440" s="3773" t="str">
        <f>$E$1642</f>
        <v>ASHP - SEER 17 - replace on fail MF</v>
      </c>
      <c r="G2440" s="3774"/>
      <c r="H2440" s="3774"/>
      <c r="I2440" s="3775"/>
      <c r="J2440" s="3071" t="str">
        <f>$C$1642</f>
        <v>354950_2019_12_</v>
      </c>
      <c r="K2440" s="781">
        <v>869</v>
      </c>
      <c r="L2440" s="945"/>
      <c r="M2440" s="953" t="s">
        <v>1198</v>
      </c>
      <c r="N2440" s="157"/>
      <c r="O2440" s="277"/>
      <c r="P2440" s="937"/>
      <c r="Q2440" s="938"/>
      <c r="R2440" s="937"/>
      <c r="S2440" s="924"/>
      <c r="T2440" s="1407"/>
      <c r="U2440" s="157"/>
      <c r="V2440" s="3589"/>
      <c r="W2440" s="766">
        <v>869</v>
      </c>
      <c r="X2440" s="766">
        <v>869</v>
      </c>
      <c r="Y2440" s="781">
        <v>869</v>
      </c>
      <c r="Z2440" s="781">
        <v>869</v>
      </c>
      <c r="AA2440" s="781">
        <v>869</v>
      </c>
      <c r="AB2440" s="781">
        <v>869</v>
      </c>
      <c r="AC2440" s="766"/>
      <c r="AD2440" s="766"/>
      <c r="AE2440" s="766"/>
      <c r="AF2440" s="766"/>
      <c r="AG2440" s="766"/>
      <c r="BB2440" s="647"/>
      <c r="BC2440" s="648"/>
      <c r="BD2440" s="757"/>
      <c r="BE2440" s="659"/>
    </row>
    <row r="2441" spans="1:57" s="64" customFormat="1" ht="15" customHeight="1" outlineLevel="1" x14ac:dyDescent="0.25">
      <c r="A2441" s="2463"/>
      <c r="B2441" s="157"/>
      <c r="C2441" s="385"/>
      <c r="D2441" s="3589"/>
      <c r="E2441" s="3721"/>
      <c r="F2441" s="3773" t="str">
        <f>$E$1644</f>
        <v>ASHP - SEER 17 - replace on fail MF_CompE</v>
      </c>
      <c r="G2441" s="3774"/>
      <c r="H2441" s="3774"/>
      <c r="I2441" s="3775"/>
      <c r="J2441" s="3071" t="str">
        <f>$C$1644</f>
        <v>354951_2019_12_</v>
      </c>
      <c r="K2441" s="781">
        <f>$K$2336</f>
        <v>632</v>
      </c>
      <c r="L2441" s="945"/>
      <c r="M2441" s="877" t="s">
        <v>889</v>
      </c>
      <c r="N2441" s="157"/>
      <c r="O2441" s="277"/>
      <c r="P2441" s="937"/>
      <c r="Q2441" s="938"/>
      <c r="R2441" s="937"/>
      <c r="S2441" s="924"/>
      <c r="T2441" s="1407"/>
      <c r="U2441" s="157"/>
      <c r="V2441" s="3589"/>
      <c r="W2441" s="766"/>
      <c r="X2441" s="766"/>
      <c r="Y2441" s="786">
        <f>$K$2336</f>
        <v>632</v>
      </c>
      <c r="Z2441" s="781">
        <f t="shared" ref="Z2441:AA2441" si="225">$K$2336</f>
        <v>632</v>
      </c>
      <c r="AA2441" s="781">
        <f t="shared" si="225"/>
        <v>632</v>
      </c>
      <c r="AB2441" s="781">
        <v>632</v>
      </c>
      <c r="AC2441" s="766"/>
      <c r="AD2441" s="766"/>
      <c r="AE2441" s="766"/>
      <c r="AF2441" s="766"/>
      <c r="AG2441" s="766"/>
      <c r="BB2441" s="647"/>
      <c r="BC2441" s="648"/>
      <c r="BD2441" s="757"/>
      <c r="BE2441" s="659"/>
    </row>
    <row r="2442" spans="1:57" s="64" customFormat="1" ht="15" customHeight="1" outlineLevel="1" x14ac:dyDescent="0.25">
      <c r="A2442" s="1393"/>
      <c r="B2442" s="157"/>
      <c r="C2442" s="385"/>
      <c r="D2442" s="3589"/>
      <c r="E2442" s="3721"/>
      <c r="F2442" s="3773" t="str">
        <f>$E$1646</f>
        <v>ASHP - SEER 18 - replace on fail MF</v>
      </c>
      <c r="G2442" s="3774"/>
      <c r="H2442" s="3774"/>
      <c r="I2442" s="3775"/>
      <c r="J2442" s="3071" t="str">
        <f>$C$1646</f>
        <v>355000_2019_12_</v>
      </c>
      <c r="K2442" s="781">
        <v>869</v>
      </c>
      <c r="L2442" s="945"/>
      <c r="M2442" s="953" t="s">
        <v>1198</v>
      </c>
      <c r="N2442" s="157"/>
      <c r="O2442" s="277"/>
      <c r="P2442" s="277"/>
      <c r="Q2442" s="277"/>
      <c r="R2442" s="277"/>
      <c r="S2442" s="157"/>
      <c r="T2442" s="157"/>
      <c r="U2442" s="157"/>
      <c r="V2442" s="3589"/>
      <c r="W2442" s="766">
        <v>869</v>
      </c>
      <c r="X2442" s="766">
        <v>869</v>
      </c>
      <c r="Y2442" s="781">
        <v>869</v>
      </c>
      <c r="Z2442" s="781">
        <v>869</v>
      </c>
      <c r="AA2442" s="781">
        <v>869</v>
      </c>
      <c r="AB2442" s="781">
        <v>869</v>
      </c>
      <c r="AC2442" s="766"/>
      <c r="AD2442" s="766"/>
      <c r="AE2442" s="766"/>
      <c r="AF2442" s="766"/>
      <c r="AG2442" s="766"/>
      <c r="BB2442" s="647"/>
      <c r="BC2442" s="648"/>
      <c r="BD2442" s="757"/>
      <c r="BE2442" s="659"/>
    </row>
    <row r="2443" spans="1:57" s="64" customFormat="1" ht="15" customHeight="1" outlineLevel="1" x14ac:dyDescent="0.25">
      <c r="A2443" s="1393"/>
      <c r="B2443" s="157"/>
      <c r="C2443" s="385"/>
      <c r="D2443" s="3589"/>
      <c r="E2443" s="3721"/>
      <c r="F2443" s="3773" t="str">
        <f>$E$1648</f>
        <v>ASHP - SEER 18 - replace on fail MF_CompE</v>
      </c>
      <c r="G2443" s="3774"/>
      <c r="H2443" s="3774"/>
      <c r="I2443" s="3775"/>
      <c r="J2443" s="3071" t="str">
        <f>$C$1648</f>
        <v>355001_2019_12_</v>
      </c>
      <c r="K2443" s="781">
        <f>$K$2336</f>
        <v>632</v>
      </c>
      <c r="L2443" s="945"/>
      <c r="M2443" s="877" t="s">
        <v>889</v>
      </c>
      <c r="N2443" s="157"/>
      <c r="O2443" s="277"/>
      <c r="P2443" s="277"/>
      <c r="Q2443" s="277"/>
      <c r="R2443" s="277"/>
      <c r="S2443" s="157"/>
      <c r="T2443" s="157"/>
      <c r="U2443" s="157"/>
      <c r="V2443" s="3589"/>
      <c r="W2443" s="766"/>
      <c r="X2443" s="766"/>
      <c r="Y2443" s="786">
        <f>$K$2336</f>
        <v>632</v>
      </c>
      <c r="Z2443" s="781">
        <f t="shared" ref="Z2443:AA2443" si="226">$K$2336</f>
        <v>632</v>
      </c>
      <c r="AA2443" s="781">
        <f t="shared" si="226"/>
        <v>632</v>
      </c>
      <c r="AB2443" s="781">
        <v>632</v>
      </c>
      <c r="AC2443" s="766"/>
      <c r="AD2443" s="766"/>
      <c r="AE2443" s="766"/>
      <c r="AF2443" s="766"/>
      <c r="AG2443" s="766"/>
      <c r="BB2443" s="647"/>
      <c r="BC2443" s="648"/>
      <c r="BD2443" s="757"/>
      <c r="BE2443" s="659"/>
    </row>
    <row r="2444" spans="1:57" s="64" customFormat="1" ht="15" customHeight="1" outlineLevel="1" x14ac:dyDescent="0.25">
      <c r="A2444" s="1393"/>
      <c r="B2444" s="157"/>
      <c r="C2444" s="385"/>
      <c r="D2444" s="3589"/>
      <c r="E2444" s="3721"/>
      <c r="F2444" s="3773" t="str">
        <f>$E$1650</f>
        <v>ASHP - SEER 19 - replace on fail MF</v>
      </c>
      <c r="G2444" s="3774"/>
      <c r="H2444" s="3774"/>
      <c r="I2444" s="3775"/>
      <c r="J2444" s="3071" t="str">
        <f>$C$1650</f>
        <v>355050_2019_12_</v>
      </c>
      <c r="K2444" s="781">
        <v>869</v>
      </c>
      <c r="L2444" s="945"/>
      <c r="M2444" s="953" t="s">
        <v>1198</v>
      </c>
      <c r="N2444" s="157"/>
      <c r="O2444" s="277"/>
      <c r="P2444" s="277"/>
      <c r="Q2444" s="277"/>
      <c r="R2444" s="277"/>
      <c r="S2444" s="157"/>
      <c r="T2444" s="157"/>
      <c r="U2444" s="157"/>
      <c r="V2444" s="3589"/>
      <c r="W2444" s="766">
        <v>869</v>
      </c>
      <c r="X2444" s="766">
        <v>869</v>
      </c>
      <c r="Y2444" s="781">
        <v>869</v>
      </c>
      <c r="Z2444" s="781">
        <v>869</v>
      </c>
      <c r="AA2444" s="781">
        <v>869</v>
      </c>
      <c r="AB2444" s="781">
        <v>869</v>
      </c>
      <c r="AC2444" s="766"/>
      <c r="AD2444" s="766"/>
      <c r="AE2444" s="766"/>
      <c r="AF2444" s="766"/>
      <c r="AG2444" s="766"/>
      <c r="BB2444" s="647"/>
      <c r="BC2444" s="648"/>
      <c r="BD2444" s="757"/>
      <c r="BE2444" s="659"/>
    </row>
    <row r="2445" spans="1:57" s="64" customFormat="1" ht="15" customHeight="1" outlineLevel="1" x14ac:dyDescent="0.25">
      <c r="A2445" s="1393"/>
      <c r="B2445" s="157"/>
      <c r="C2445" s="385"/>
      <c r="D2445" s="3589"/>
      <c r="E2445" s="3721"/>
      <c r="F2445" s="3773" t="str">
        <f>$E$1652</f>
        <v>ASHP - SEER 19 - replace on fail MF_CompE</v>
      </c>
      <c r="G2445" s="3774"/>
      <c r="H2445" s="3774"/>
      <c r="I2445" s="3775"/>
      <c r="J2445" s="3071" t="str">
        <f>$C$1652</f>
        <v>355051_2019_12_</v>
      </c>
      <c r="K2445" s="781">
        <f>$K$2336</f>
        <v>632</v>
      </c>
      <c r="L2445" s="945"/>
      <c r="M2445" s="877" t="s">
        <v>889</v>
      </c>
      <c r="N2445" s="157"/>
      <c r="O2445" s="277"/>
      <c r="P2445" s="277"/>
      <c r="Q2445" s="277"/>
      <c r="R2445" s="277"/>
      <c r="S2445" s="157"/>
      <c r="T2445" s="157"/>
      <c r="U2445" s="157"/>
      <c r="V2445" s="3589"/>
      <c r="W2445" s="766"/>
      <c r="X2445" s="766"/>
      <c r="Y2445" s="786">
        <f>$K$2336</f>
        <v>632</v>
      </c>
      <c r="Z2445" s="781">
        <f t="shared" ref="Z2445:AA2445" si="227">$K$2336</f>
        <v>632</v>
      </c>
      <c r="AA2445" s="781">
        <f t="shared" si="227"/>
        <v>632</v>
      </c>
      <c r="AB2445" s="781">
        <v>632</v>
      </c>
      <c r="AC2445" s="766"/>
      <c r="AD2445" s="766"/>
      <c r="AE2445" s="766"/>
      <c r="AF2445" s="766"/>
      <c r="AG2445" s="766"/>
      <c r="BB2445" s="647"/>
      <c r="BC2445" s="648"/>
      <c r="BD2445" s="757"/>
      <c r="BE2445" s="659"/>
    </row>
    <row r="2446" spans="1:57" s="64" customFormat="1" ht="15" customHeight="1" outlineLevel="1" x14ac:dyDescent="0.25">
      <c r="A2446" s="2463"/>
      <c r="B2446" s="157"/>
      <c r="C2446" s="385"/>
      <c r="D2446" s="3589"/>
      <c r="E2446" s="3721"/>
      <c r="F2446" s="3773" t="str">
        <f>$E$1654</f>
        <v>ASHP - SEER 20 - replace on fail MF</v>
      </c>
      <c r="G2446" s="3774"/>
      <c r="H2446" s="3774"/>
      <c r="I2446" s="3775"/>
      <c r="J2446" s="3071" t="str">
        <f>$C$1654</f>
        <v>355100_2019_12_</v>
      </c>
      <c r="K2446" s="781">
        <v>869</v>
      </c>
      <c r="L2446" s="945"/>
      <c r="M2446" s="953" t="s">
        <v>1198</v>
      </c>
      <c r="N2446" s="157"/>
      <c r="O2446" s="277"/>
      <c r="P2446" s="937"/>
      <c r="Q2446" s="938"/>
      <c r="R2446" s="937"/>
      <c r="S2446" s="924"/>
      <c r="T2446" s="1407"/>
      <c r="U2446" s="157"/>
      <c r="V2446" s="3589"/>
      <c r="W2446" s="766">
        <v>869</v>
      </c>
      <c r="X2446" s="766">
        <v>869</v>
      </c>
      <c r="Y2446" s="781">
        <v>869</v>
      </c>
      <c r="Z2446" s="781">
        <v>869</v>
      </c>
      <c r="AA2446" s="781">
        <v>869</v>
      </c>
      <c r="AB2446" s="781">
        <v>869</v>
      </c>
      <c r="AC2446" s="766"/>
      <c r="AD2446" s="766"/>
      <c r="AE2446" s="766"/>
      <c r="AF2446" s="766"/>
      <c r="AG2446" s="766"/>
      <c r="BB2446" s="647"/>
      <c r="BC2446" s="648"/>
      <c r="BD2446" s="757"/>
      <c r="BE2446" s="659"/>
    </row>
    <row r="2447" spans="1:57" s="64" customFormat="1" ht="15" customHeight="1" outlineLevel="1" x14ac:dyDescent="0.25">
      <c r="A2447" s="2463"/>
      <c r="B2447" s="157"/>
      <c r="C2447" s="385"/>
      <c r="D2447" s="3589"/>
      <c r="E2447" s="3721"/>
      <c r="F2447" s="3773" t="str">
        <f>$E$1656</f>
        <v>ASHP - SEER 20 - replace on fail MF_CompE</v>
      </c>
      <c r="G2447" s="3774"/>
      <c r="H2447" s="3774"/>
      <c r="I2447" s="3775"/>
      <c r="J2447" s="3071" t="str">
        <f>$C$1656</f>
        <v>355101_2019_12_</v>
      </c>
      <c r="K2447" s="781">
        <f>$K$2336</f>
        <v>632</v>
      </c>
      <c r="L2447" s="946"/>
      <c r="M2447" s="877" t="s">
        <v>889</v>
      </c>
      <c r="N2447" s="157"/>
      <c r="O2447" s="277"/>
      <c r="P2447" s="937"/>
      <c r="Q2447" s="938"/>
      <c r="R2447" s="937"/>
      <c r="S2447" s="924"/>
      <c r="T2447" s="1407"/>
      <c r="U2447" s="157"/>
      <c r="V2447" s="3589"/>
      <c r="W2447" s="778"/>
      <c r="X2447" s="778"/>
      <c r="Y2447" s="786">
        <f>$K$2336</f>
        <v>632</v>
      </c>
      <c r="Z2447" s="781">
        <f t="shared" ref="Z2447:AA2447" si="228">$K$2336</f>
        <v>632</v>
      </c>
      <c r="AA2447" s="781">
        <f t="shared" si="228"/>
        <v>632</v>
      </c>
      <c r="AB2447" s="781">
        <v>632</v>
      </c>
      <c r="AC2447" s="778"/>
      <c r="AD2447" s="778"/>
      <c r="AE2447" s="778"/>
      <c r="AF2447" s="778"/>
      <c r="AG2447" s="778"/>
      <c r="BB2447" s="647"/>
      <c r="BC2447" s="648"/>
      <c r="BD2447" s="757"/>
      <c r="BE2447" s="659"/>
    </row>
    <row r="2448" spans="1:57" s="64" customFormat="1" ht="15.75" customHeight="1" outlineLevel="1" x14ac:dyDescent="0.25">
      <c r="A2448" s="2463"/>
      <c r="B2448" s="157"/>
      <c r="C2448" s="385"/>
      <c r="D2448" s="3589"/>
      <c r="E2448" s="3721"/>
      <c r="F2448" s="3773" t="str">
        <f>$E$1658</f>
        <v>ASHP - SEER 21 - replace on fail MF</v>
      </c>
      <c r="G2448" s="3774"/>
      <c r="H2448" s="3774"/>
      <c r="I2448" s="3775"/>
      <c r="J2448" s="3071" t="str">
        <f>$C$1658</f>
        <v>355150_2019_12_</v>
      </c>
      <c r="K2448" s="3056">
        <v>869</v>
      </c>
      <c r="L2448" s="945"/>
      <c r="M2448" s="953" t="s">
        <v>1198</v>
      </c>
      <c r="N2448" s="157"/>
      <c r="O2448" s="277"/>
      <c r="P2448" s="937"/>
      <c r="Q2448" s="938"/>
      <c r="R2448" s="937"/>
      <c r="S2448" s="924"/>
      <c r="T2448" s="1407"/>
      <c r="U2448" s="157"/>
      <c r="V2448" s="3589"/>
      <c r="W2448" s="778">
        <v>869</v>
      </c>
      <c r="X2448" s="778">
        <v>869</v>
      </c>
      <c r="Y2448" s="778">
        <v>869</v>
      </c>
      <c r="Z2448" s="778">
        <v>869</v>
      </c>
      <c r="AA2448" s="778">
        <v>869</v>
      </c>
      <c r="AB2448" s="2426">
        <v>869</v>
      </c>
      <c r="AC2448" s="778"/>
      <c r="AD2448" s="778"/>
      <c r="AE2448" s="778"/>
      <c r="AF2448" s="778"/>
      <c r="AG2448" s="778"/>
      <c r="BB2448" s="647"/>
      <c r="BC2448" s="648"/>
      <c r="BD2448" s="757"/>
      <c r="BE2448" s="659"/>
    </row>
    <row r="2449" spans="1:57" s="64" customFormat="1" ht="15.75" customHeight="1" outlineLevel="1" thickBot="1" x14ac:dyDescent="0.3">
      <c r="A2449" s="2463"/>
      <c r="B2449" s="157"/>
      <c r="C2449" s="385"/>
      <c r="D2449" s="3591"/>
      <c r="E2449" s="3722"/>
      <c r="F2449" s="1807" t="str">
        <f>$E$1660</f>
        <v>ASHP - SEER 21 - replace on fail MF_CompE</v>
      </c>
      <c r="G2449" s="940"/>
      <c r="H2449" s="940"/>
      <c r="I2449" s="941"/>
      <c r="J2449" s="1807" t="str">
        <f>$C$1660</f>
        <v>355151_2019_12_</v>
      </c>
      <c r="K2449" s="949">
        <f>$K$2336</f>
        <v>632</v>
      </c>
      <c r="L2449" s="948"/>
      <c r="M2449" s="1813" t="s">
        <v>889</v>
      </c>
      <c r="N2449" s="157"/>
      <c r="O2449" s="277"/>
      <c r="P2449" s="937"/>
      <c r="Q2449" s="938"/>
      <c r="R2449" s="937"/>
      <c r="S2449" s="924"/>
      <c r="T2449" s="1407"/>
      <c r="U2449" s="157"/>
      <c r="V2449" s="3591"/>
      <c r="W2449" s="792"/>
      <c r="X2449" s="792"/>
      <c r="Y2449" s="846">
        <f>$K$2336</f>
        <v>632</v>
      </c>
      <c r="Z2449" s="2429">
        <f t="shared" ref="Z2449:AA2449" si="229">$K$2336</f>
        <v>632</v>
      </c>
      <c r="AA2449" s="2429">
        <f t="shared" si="229"/>
        <v>632</v>
      </c>
      <c r="AB2449" s="949">
        <v>632</v>
      </c>
      <c r="AC2449" s="792"/>
      <c r="AD2449" s="792"/>
      <c r="AE2449" s="792"/>
      <c r="AF2449" s="792"/>
      <c r="AG2449" s="792"/>
      <c r="BB2449" s="647"/>
      <c r="BC2449" s="648"/>
      <c r="BD2449" s="757"/>
      <c r="BE2449" s="659"/>
    </row>
    <row r="2450" spans="1:57" s="64" customFormat="1" ht="15" customHeight="1" outlineLevel="1" x14ac:dyDescent="0.25">
      <c r="A2450" s="2463"/>
      <c r="B2450" s="157"/>
      <c r="C2450" s="385"/>
      <c r="D2450" s="3588" t="s">
        <v>1300</v>
      </c>
      <c r="E2450" s="3720" t="s">
        <v>1301</v>
      </c>
      <c r="F2450" s="3771" t="str">
        <f>$E$1406</f>
        <v>ASHP - SEER 15 ER Elec Resist Furnace: HVAC ER1</v>
      </c>
      <c r="G2450" s="3771"/>
      <c r="H2450" s="3771"/>
      <c r="I2450" s="3771"/>
      <c r="J2450" s="3070" t="str">
        <f>$C$1406</f>
        <v>352300_2019_12_</v>
      </c>
      <c r="K2450" s="3194">
        <v>7.2250895092808101</v>
      </c>
      <c r="L2450" s="833"/>
      <c r="M2450" s="3263" t="s">
        <v>3674</v>
      </c>
      <c r="N2450" s="157"/>
      <c r="O2450" s="277"/>
      <c r="P2450" s="937"/>
      <c r="Q2450" s="937"/>
      <c r="R2450" s="937"/>
      <c r="S2450" s="924"/>
      <c r="T2450" s="1407"/>
      <c r="U2450" s="157"/>
      <c r="V2450" s="3588" t="s">
        <v>1300</v>
      </c>
      <c r="W2450" s="760">
        <v>6.8</v>
      </c>
      <c r="X2450" s="759">
        <v>8.33</v>
      </c>
      <c r="Y2450" s="781">
        <v>8.33</v>
      </c>
      <c r="Z2450" s="781">
        <v>8.33</v>
      </c>
      <c r="AA2450" s="781">
        <v>8.33</v>
      </c>
      <c r="AB2450" s="2722">
        <v>7.2250895092808101</v>
      </c>
      <c r="AC2450" s="760"/>
      <c r="AD2450" s="760"/>
      <c r="AE2450" s="760"/>
      <c r="AF2450" s="760"/>
      <c r="AG2450" s="760"/>
      <c r="BB2450" s="647"/>
      <c r="BC2450" s="648"/>
      <c r="BD2450" s="757"/>
      <c r="BE2450" s="659"/>
    </row>
    <row r="2451" spans="1:57" s="64" customFormat="1" ht="15" customHeight="1" outlineLevel="1" x14ac:dyDescent="0.25">
      <c r="A2451" s="2463"/>
      <c r="B2451" s="157"/>
      <c r="C2451" s="385"/>
      <c r="D2451" s="3589"/>
      <c r="E2451" s="3721"/>
      <c r="F2451" s="3773" t="str">
        <f>$E$1408</f>
        <v>ASHP - SEER 15 ER Elec Resist Furnace: HVAC ER2</v>
      </c>
      <c r="G2451" s="3774"/>
      <c r="H2451" s="3774"/>
      <c r="I2451" s="3775"/>
      <c r="J2451" s="3071" t="str">
        <f>$C$1408</f>
        <v>352300_2019_12_</v>
      </c>
      <c r="K2451" s="2725">
        <v>13</v>
      </c>
      <c r="L2451" s="944"/>
      <c r="M2451" s="2727" t="s">
        <v>1508</v>
      </c>
      <c r="N2451" s="157"/>
      <c r="O2451" s="277"/>
      <c r="P2451" s="937"/>
      <c r="Q2451" s="937"/>
      <c r="R2451" s="937"/>
      <c r="S2451" s="924"/>
      <c r="T2451" s="1407"/>
      <c r="U2451" s="157"/>
      <c r="V2451" s="3589"/>
      <c r="W2451" s="766">
        <v>13</v>
      </c>
      <c r="X2451" s="766">
        <v>13</v>
      </c>
      <c r="Y2451" s="781">
        <v>13</v>
      </c>
      <c r="Z2451" s="781">
        <v>13</v>
      </c>
      <c r="AA2451" s="781">
        <v>13</v>
      </c>
      <c r="AB2451" s="2725">
        <v>13</v>
      </c>
      <c r="AC2451" s="766"/>
      <c r="AD2451" s="766"/>
      <c r="AE2451" s="766"/>
      <c r="AF2451" s="766"/>
      <c r="AG2451" s="766"/>
      <c r="BB2451" s="647"/>
      <c r="BC2451" s="648"/>
      <c r="BD2451" s="757"/>
      <c r="BE2451" s="659"/>
    </row>
    <row r="2452" spans="1:57" s="64" customFormat="1" ht="15" customHeight="1" outlineLevel="1" x14ac:dyDescent="0.25">
      <c r="A2452" s="2463"/>
      <c r="B2452" s="157"/>
      <c r="C2452" s="385"/>
      <c r="D2452" s="3589"/>
      <c r="E2452" s="3721"/>
      <c r="F2452" s="3773" t="str">
        <f>$E$1410</f>
        <v>ASHP - SEER 15 ER with ASHP: HVAC ER1</v>
      </c>
      <c r="G2452" s="3774"/>
      <c r="H2452" s="3774"/>
      <c r="I2452" s="3775"/>
      <c r="J2452" s="3071" t="str">
        <f>$C$1410</f>
        <v>352350_2019_12_</v>
      </c>
      <c r="K2452" s="2725">
        <v>7.4709062755842588</v>
      </c>
      <c r="L2452" s="944"/>
      <c r="M2452" s="2727" t="s">
        <v>3674</v>
      </c>
      <c r="N2452" s="157"/>
      <c r="O2452" s="277"/>
      <c r="P2452" s="937"/>
      <c r="Q2452" s="937"/>
      <c r="R2452" s="937"/>
      <c r="S2452" s="924"/>
      <c r="T2452" s="1407"/>
      <c r="U2452" s="157"/>
      <c r="V2452" s="3589"/>
      <c r="W2452" s="766">
        <v>7.2</v>
      </c>
      <c r="X2452" s="765">
        <v>8.33</v>
      </c>
      <c r="Y2452" s="781">
        <v>8.33</v>
      </c>
      <c r="Z2452" s="781">
        <v>8.33</v>
      </c>
      <c r="AA2452" s="781">
        <v>8.33</v>
      </c>
      <c r="AB2452" s="2658">
        <v>7.4709062755842588</v>
      </c>
      <c r="AC2452" s="766"/>
      <c r="AD2452" s="766"/>
      <c r="AE2452" s="766"/>
      <c r="AF2452" s="766"/>
      <c r="AG2452" s="766"/>
      <c r="BB2452" s="647"/>
      <c r="BC2452" s="648"/>
      <c r="BD2452" s="757"/>
      <c r="BE2452" s="659"/>
    </row>
    <row r="2453" spans="1:57" s="64" customFormat="1" ht="15" customHeight="1" outlineLevel="1" x14ac:dyDescent="0.25">
      <c r="A2453" s="2463"/>
      <c r="B2453" s="157"/>
      <c r="C2453" s="385"/>
      <c r="D2453" s="3589"/>
      <c r="E2453" s="3721"/>
      <c r="F2453" s="3773" t="str">
        <f>$E$1412</f>
        <v>ASHP - SEER 15 ER with ASHP: HVAC ER2</v>
      </c>
      <c r="G2453" s="3774"/>
      <c r="H2453" s="3774"/>
      <c r="I2453" s="3775"/>
      <c r="J2453" s="3071" t="str">
        <f>$C$1412</f>
        <v>352350_2019_12_</v>
      </c>
      <c r="K2453" s="2725">
        <v>14</v>
      </c>
      <c r="L2453" s="944"/>
      <c r="M2453" s="2727" t="s">
        <v>1508</v>
      </c>
      <c r="N2453" s="157"/>
      <c r="O2453" s="277"/>
      <c r="P2453" s="937"/>
      <c r="Q2453" s="937"/>
      <c r="R2453" s="937"/>
      <c r="S2453" s="924"/>
      <c r="T2453" s="1407"/>
      <c r="U2453" s="157"/>
      <c r="V2453" s="3589"/>
      <c r="W2453" s="766">
        <v>14</v>
      </c>
      <c r="X2453" s="766">
        <v>14</v>
      </c>
      <c r="Y2453" s="781">
        <v>14</v>
      </c>
      <c r="Z2453" s="781">
        <v>14</v>
      </c>
      <c r="AA2453" s="781">
        <v>14</v>
      </c>
      <c r="AB2453" s="2725">
        <v>14</v>
      </c>
      <c r="AC2453" s="766"/>
      <c r="AD2453" s="766"/>
      <c r="AE2453" s="766"/>
      <c r="AF2453" s="766"/>
      <c r="AG2453" s="766"/>
      <c r="BB2453" s="647"/>
      <c r="BC2453" s="648"/>
      <c r="BD2453" s="757"/>
      <c r="BE2453" s="659"/>
    </row>
    <row r="2454" spans="1:57" s="64" customFormat="1" ht="15" customHeight="1" outlineLevel="1" x14ac:dyDescent="0.25">
      <c r="A2454" s="2463"/>
      <c r="B2454" s="157"/>
      <c r="C2454" s="385"/>
      <c r="D2454" s="3589"/>
      <c r="E2454" s="3721"/>
      <c r="F2454" s="3773" t="str">
        <f>$E$1414</f>
        <v>ASHP-  SEER 15 Replace at Fail Elec Resist Furnace: HVAC</v>
      </c>
      <c r="G2454" s="3774"/>
      <c r="H2454" s="3774"/>
      <c r="I2454" s="3775"/>
      <c r="J2454" s="3071" t="str">
        <f>$C$1414</f>
        <v>352400_2019_12_</v>
      </c>
      <c r="K2454" s="2725">
        <v>13</v>
      </c>
      <c r="L2454" s="944"/>
      <c r="M2454" s="2727" t="s">
        <v>1508</v>
      </c>
      <c r="N2454" s="157"/>
      <c r="O2454" s="277"/>
      <c r="P2454" s="937"/>
      <c r="Q2454" s="937"/>
      <c r="R2454" s="937"/>
      <c r="S2454" s="924"/>
      <c r="T2454" s="1407"/>
      <c r="U2454" s="157"/>
      <c r="V2454" s="3589"/>
      <c r="W2454" s="766">
        <v>13</v>
      </c>
      <c r="X2454" s="766">
        <v>13</v>
      </c>
      <c r="Y2454" s="781">
        <v>13</v>
      </c>
      <c r="Z2454" s="781">
        <v>13</v>
      </c>
      <c r="AA2454" s="781">
        <v>13</v>
      </c>
      <c r="AB2454" s="2725">
        <v>13</v>
      </c>
      <c r="AC2454" s="766"/>
      <c r="AD2454" s="766"/>
      <c r="AE2454" s="766"/>
      <c r="AF2454" s="766"/>
      <c r="AG2454" s="766"/>
      <c r="BB2454" s="647"/>
      <c r="BC2454" s="648"/>
      <c r="BD2454" s="757"/>
      <c r="BE2454" s="659"/>
    </row>
    <row r="2455" spans="1:57" s="64" customFormat="1" ht="15" customHeight="1" outlineLevel="1" x14ac:dyDescent="0.25">
      <c r="A2455" s="2463"/>
      <c r="B2455" s="157"/>
      <c r="C2455" s="385"/>
      <c r="D2455" s="3589"/>
      <c r="E2455" s="3721"/>
      <c r="F2455" s="3773" t="str">
        <f>$E$1416</f>
        <v>ASHP - SEER 15 Replace at Fail with ASHP: HVAC</v>
      </c>
      <c r="G2455" s="3774"/>
      <c r="H2455" s="3774"/>
      <c r="I2455" s="3775"/>
      <c r="J2455" s="3071" t="str">
        <f>$C$1416</f>
        <v>352450_2019_12_</v>
      </c>
      <c r="K2455" s="2725">
        <v>14</v>
      </c>
      <c r="L2455" s="944"/>
      <c r="M2455" s="2727" t="s">
        <v>1508</v>
      </c>
      <c r="N2455" s="157"/>
      <c r="O2455" s="277"/>
      <c r="P2455" s="937"/>
      <c r="Q2455" s="937"/>
      <c r="R2455" s="937"/>
      <c r="S2455" s="924"/>
      <c r="T2455" s="1407"/>
      <c r="U2455" s="157"/>
      <c r="V2455" s="3589"/>
      <c r="W2455" s="766">
        <v>14</v>
      </c>
      <c r="X2455" s="766">
        <v>14</v>
      </c>
      <c r="Y2455" s="781">
        <v>14</v>
      </c>
      <c r="Z2455" s="781">
        <v>14</v>
      </c>
      <c r="AA2455" s="781">
        <v>14</v>
      </c>
      <c r="AB2455" s="2725">
        <v>14</v>
      </c>
      <c r="AC2455" s="766"/>
      <c r="AD2455" s="766"/>
      <c r="AE2455" s="766"/>
      <c r="AF2455" s="766"/>
      <c r="AG2455" s="766"/>
      <c r="BB2455" s="647"/>
      <c r="BC2455" s="648"/>
      <c r="BD2455" s="757"/>
      <c r="BE2455" s="659"/>
    </row>
    <row r="2456" spans="1:57" s="64" customFormat="1" ht="15" customHeight="1" outlineLevel="1" x14ac:dyDescent="0.25">
      <c r="A2456" s="2463"/>
      <c r="B2456" s="157"/>
      <c r="C2456" s="385"/>
      <c r="D2456" s="3589"/>
      <c r="E2456" s="3721"/>
      <c r="F2456" s="3773" t="str">
        <f>$E$1418</f>
        <v>ASHP - SEER 16 - replace electric furnace / CAC - early replacement SF ER1</v>
      </c>
      <c r="G2456" s="3774"/>
      <c r="H2456" s="3774"/>
      <c r="I2456" s="3775"/>
      <c r="J2456" s="3071" t="str">
        <f>$C$1418</f>
        <v>352500_2019_12_</v>
      </c>
      <c r="K2456" s="2725">
        <v>7.3736145314130352</v>
      </c>
      <c r="L2456" s="944"/>
      <c r="M2456" s="2727" t="s">
        <v>3674</v>
      </c>
      <c r="N2456" s="157"/>
      <c r="O2456" s="277"/>
      <c r="P2456" s="937"/>
      <c r="Q2456" s="937"/>
      <c r="R2456" s="937"/>
      <c r="S2456" s="924"/>
      <c r="T2456" s="1407"/>
      <c r="U2456" s="157"/>
      <c r="V2456" s="3589"/>
      <c r="W2456" s="766">
        <v>6.8</v>
      </c>
      <c r="X2456" s="765">
        <v>8.33</v>
      </c>
      <c r="Y2456" s="781">
        <v>8.33</v>
      </c>
      <c r="Z2456" s="781">
        <v>8.33</v>
      </c>
      <c r="AA2456" s="781">
        <v>8.33</v>
      </c>
      <c r="AB2456" s="2658">
        <v>7.3736145314130352</v>
      </c>
      <c r="AC2456" s="766"/>
      <c r="AD2456" s="766"/>
      <c r="AE2456" s="766"/>
      <c r="AF2456" s="766"/>
      <c r="AG2456" s="766"/>
      <c r="BB2456" s="647"/>
      <c r="BC2456" s="648"/>
      <c r="BD2456" s="757"/>
      <c r="BE2456" s="659"/>
    </row>
    <row r="2457" spans="1:57" s="64" customFormat="1" ht="15" customHeight="1" outlineLevel="1" x14ac:dyDescent="0.25">
      <c r="A2457" s="1393"/>
      <c r="B2457" s="157"/>
      <c r="C2457" s="385"/>
      <c r="D2457" s="3589"/>
      <c r="E2457" s="3721"/>
      <c r="F2457" s="3773" t="str">
        <f>$E$1420</f>
        <v>ASHP - SEER 16 - replace electric furnace / CAC - early replacement SF ER2</v>
      </c>
      <c r="G2457" s="3774"/>
      <c r="H2457" s="3774"/>
      <c r="I2457" s="3775"/>
      <c r="J2457" s="3071" t="str">
        <f>$C$1420</f>
        <v>352500_2019_12_</v>
      </c>
      <c r="K2457" s="2725">
        <v>13</v>
      </c>
      <c r="L2457" s="944"/>
      <c r="M2457" s="2727" t="s">
        <v>1508</v>
      </c>
      <c r="N2457" s="157"/>
      <c r="O2457" s="277"/>
      <c r="P2457" s="937"/>
      <c r="Q2457" s="937"/>
      <c r="R2457" s="937"/>
      <c r="S2457" s="924"/>
      <c r="T2457" s="1407"/>
      <c r="U2457" s="157"/>
      <c r="V2457" s="3589"/>
      <c r="W2457" s="766">
        <v>13</v>
      </c>
      <c r="X2457" s="766">
        <v>13</v>
      </c>
      <c r="Y2457" s="781">
        <v>13</v>
      </c>
      <c r="Z2457" s="781">
        <v>13</v>
      </c>
      <c r="AA2457" s="781">
        <v>13</v>
      </c>
      <c r="AB2457" s="2725">
        <v>13</v>
      </c>
      <c r="AC2457" s="766"/>
      <c r="AD2457" s="766"/>
      <c r="AE2457" s="766"/>
      <c r="AF2457" s="766"/>
      <c r="AG2457" s="766"/>
      <c r="BB2457" s="647"/>
      <c r="BC2457" s="648"/>
      <c r="BD2457" s="757"/>
      <c r="BE2457" s="659"/>
    </row>
    <row r="2458" spans="1:57" s="64" customFormat="1" ht="15" customHeight="1" outlineLevel="1" x14ac:dyDescent="0.25">
      <c r="A2458" s="2463"/>
      <c r="B2458" s="157"/>
      <c r="C2458" s="385"/>
      <c r="D2458" s="3589"/>
      <c r="E2458" s="3721"/>
      <c r="F2458" s="3773" t="str">
        <f>$E$1422</f>
        <v>ASHP SEER 16 replace ASHP - early replacement SF ER1</v>
      </c>
      <c r="G2458" s="3774"/>
      <c r="H2458" s="3774"/>
      <c r="I2458" s="3775"/>
      <c r="J2458" s="3071" t="str">
        <f>$C$1422</f>
        <v>352550_2019_12_</v>
      </c>
      <c r="K2458" s="2725">
        <v>7.7898582649437182</v>
      </c>
      <c r="L2458" s="944"/>
      <c r="M2458" s="2727" t="s">
        <v>3674</v>
      </c>
      <c r="N2458" s="157"/>
      <c r="O2458" s="277"/>
      <c r="P2458" s="937"/>
      <c r="Q2458" s="937"/>
      <c r="R2458" s="937"/>
      <c r="S2458" s="924"/>
      <c r="T2458" s="1407"/>
      <c r="U2458" s="157"/>
      <c r="V2458" s="3589"/>
      <c r="W2458" s="766">
        <v>7.2</v>
      </c>
      <c r="X2458" s="765">
        <v>8.33</v>
      </c>
      <c r="Y2458" s="781">
        <v>8.33</v>
      </c>
      <c r="Z2458" s="781">
        <v>8.33</v>
      </c>
      <c r="AA2458" s="781">
        <v>8.33</v>
      </c>
      <c r="AB2458" s="2658">
        <v>7.7898582649437182</v>
      </c>
      <c r="AC2458" s="766"/>
      <c r="AD2458" s="766"/>
      <c r="AE2458" s="766"/>
      <c r="AF2458" s="766"/>
      <c r="AG2458" s="766"/>
      <c r="BB2458" s="647"/>
      <c r="BC2458" s="648"/>
      <c r="BD2458" s="757"/>
      <c r="BE2458" s="659"/>
    </row>
    <row r="2459" spans="1:57" s="64" customFormat="1" ht="15" customHeight="1" outlineLevel="1" x14ac:dyDescent="0.25">
      <c r="A2459" s="2463"/>
      <c r="B2459" s="157"/>
      <c r="C2459" s="385"/>
      <c r="D2459" s="3589"/>
      <c r="E2459" s="3721"/>
      <c r="F2459" s="3773" t="str">
        <f>$E$1424</f>
        <v>ASHP SEER 16 replace ASHP - early replacement SF ER2</v>
      </c>
      <c r="G2459" s="3774"/>
      <c r="H2459" s="3774"/>
      <c r="I2459" s="3775"/>
      <c r="J2459" s="3071" t="str">
        <f>$C$1424</f>
        <v>352550_2019_12_</v>
      </c>
      <c r="K2459" s="2725">
        <v>14</v>
      </c>
      <c r="L2459" s="945"/>
      <c r="M2459" s="2727" t="s">
        <v>1508</v>
      </c>
      <c r="N2459" s="157"/>
      <c r="O2459" s="277"/>
      <c r="P2459" s="937"/>
      <c r="Q2459" s="937"/>
      <c r="R2459" s="937"/>
      <c r="S2459" s="924"/>
      <c r="T2459" s="1407"/>
      <c r="U2459" s="157"/>
      <c r="V2459" s="3589"/>
      <c r="W2459" s="766">
        <v>14</v>
      </c>
      <c r="X2459" s="766">
        <v>14</v>
      </c>
      <c r="Y2459" s="781">
        <v>14</v>
      </c>
      <c r="Z2459" s="781">
        <v>14</v>
      </c>
      <c r="AA2459" s="781">
        <v>14</v>
      </c>
      <c r="AB2459" s="2725">
        <v>14</v>
      </c>
      <c r="AC2459" s="766"/>
      <c r="AD2459" s="766"/>
      <c r="AE2459" s="766"/>
      <c r="AF2459" s="766"/>
      <c r="AG2459" s="766"/>
      <c r="BB2459" s="647"/>
      <c r="BC2459" s="648"/>
      <c r="BD2459" s="757"/>
      <c r="BE2459" s="659"/>
    </row>
    <row r="2460" spans="1:57" s="64" customFormat="1" ht="15" customHeight="1" outlineLevel="1" x14ac:dyDescent="0.25">
      <c r="A2460" s="2463"/>
      <c r="B2460" s="157"/>
      <c r="C2460" s="385"/>
      <c r="D2460" s="3589"/>
      <c r="E2460" s="3721"/>
      <c r="F2460" s="3773" t="str">
        <f>$E$1426</f>
        <v>ASHP - SEER 16 - replace electric furnace / CAC SF</v>
      </c>
      <c r="G2460" s="3774"/>
      <c r="H2460" s="3774"/>
      <c r="I2460" s="3775"/>
      <c r="J2460" s="3071" t="str">
        <f>$C$1426</f>
        <v>352600_2019_12_</v>
      </c>
      <c r="K2460" s="2725">
        <v>13</v>
      </c>
      <c r="L2460" s="945"/>
      <c r="M2460" s="2727" t="s">
        <v>1508</v>
      </c>
      <c r="N2460" s="157"/>
      <c r="O2460" s="277"/>
      <c r="P2460" s="937"/>
      <c r="Q2460" s="937"/>
      <c r="R2460" s="937"/>
      <c r="S2460" s="924"/>
      <c r="T2460" s="1407"/>
      <c r="U2460" s="157"/>
      <c r="V2460" s="3589"/>
      <c r="W2460" s="766">
        <v>13</v>
      </c>
      <c r="X2460" s="766">
        <v>13</v>
      </c>
      <c r="Y2460" s="781">
        <v>13</v>
      </c>
      <c r="Z2460" s="781">
        <v>13</v>
      </c>
      <c r="AA2460" s="781">
        <v>13</v>
      </c>
      <c r="AB2460" s="2725">
        <v>13</v>
      </c>
      <c r="AC2460" s="766"/>
      <c r="AD2460" s="766"/>
      <c r="AE2460" s="766"/>
      <c r="AF2460" s="766"/>
      <c r="AG2460" s="766"/>
      <c r="BB2460" s="647"/>
      <c r="BC2460" s="648"/>
      <c r="BD2460" s="757"/>
      <c r="BE2460" s="659"/>
    </row>
    <row r="2461" spans="1:57" s="64" customFormat="1" ht="15" customHeight="1" outlineLevel="1" x14ac:dyDescent="0.25">
      <c r="A2461" s="2463"/>
      <c r="B2461" s="157"/>
      <c r="C2461" s="385"/>
      <c r="D2461" s="3589"/>
      <c r="E2461" s="3721"/>
      <c r="F2461" s="3773" t="str">
        <f>$E$1428</f>
        <v>ASHP SEER 16 replace ASHP - replace on fail SF</v>
      </c>
      <c r="G2461" s="3774"/>
      <c r="H2461" s="3774"/>
      <c r="I2461" s="3775"/>
      <c r="J2461" s="3071" t="str">
        <f>$C$1428</f>
        <v>352650_2019_12_</v>
      </c>
      <c r="K2461" s="2725">
        <v>14</v>
      </c>
      <c r="L2461" s="945"/>
      <c r="M2461" s="2727" t="s">
        <v>1508</v>
      </c>
      <c r="N2461" s="157"/>
      <c r="O2461" s="277"/>
      <c r="P2461" s="937"/>
      <c r="Q2461" s="937"/>
      <c r="R2461" s="937"/>
      <c r="S2461" s="924"/>
      <c r="T2461" s="1407"/>
      <c r="U2461" s="157"/>
      <c r="V2461" s="3589"/>
      <c r="W2461" s="766">
        <v>14</v>
      </c>
      <c r="X2461" s="766">
        <v>14</v>
      </c>
      <c r="Y2461" s="781">
        <v>14</v>
      </c>
      <c r="Z2461" s="781">
        <v>14</v>
      </c>
      <c r="AA2461" s="781">
        <v>14</v>
      </c>
      <c r="AB2461" s="2725">
        <v>14</v>
      </c>
      <c r="AC2461" s="766"/>
      <c r="AD2461" s="766"/>
      <c r="AE2461" s="766"/>
      <c r="AF2461" s="766"/>
      <c r="AG2461" s="766"/>
      <c r="BB2461" s="647"/>
      <c r="BC2461" s="648"/>
      <c r="BD2461" s="757"/>
      <c r="BE2461" s="659"/>
    </row>
    <row r="2462" spans="1:57" s="64" customFormat="1" ht="15" customHeight="1" outlineLevel="1" x14ac:dyDescent="0.25">
      <c r="A2462" s="2463"/>
      <c r="B2462" s="157"/>
      <c r="C2462" s="385"/>
      <c r="D2462" s="3589"/>
      <c r="E2462" s="3721"/>
      <c r="F2462" s="3773" t="str">
        <f>$E$1430</f>
        <v>ASHP SEER 15 MF ER replace ASHP: HVAC ER1</v>
      </c>
      <c r="G2462" s="3774"/>
      <c r="H2462" s="3774"/>
      <c r="I2462" s="3775"/>
      <c r="J2462" s="3071" t="str">
        <f>$C$1430</f>
        <v>352700_2019_12_</v>
      </c>
      <c r="K2462" s="2725">
        <v>7.4463820519283335</v>
      </c>
      <c r="L2462" s="945"/>
      <c r="M2462" s="2727" t="s">
        <v>3674</v>
      </c>
      <c r="N2462" s="157"/>
      <c r="O2462" s="277"/>
      <c r="P2462" s="937"/>
      <c r="Q2462" s="937"/>
      <c r="R2462" s="937"/>
      <c r="S2462" s="924"/>
      <c r="T2462" s="1407"/>
      <c r="U2462" s="157"/>
      <c r="V2462" s="3589"/>
      <c r="W2462" s="766">
        <v>7.2</v>
      </c>
      <c r="X2462" s="765">
        <v>8.33</v>
      </c>
      <c r="Y2462" s="781">
        <v>8.33</v>
      </c>
      <c r="Z2462" s="781">
        <v>8.33</v>
      </c>
      <c r="AA2462" s="781">
        <v>8.33</v>
      </c>
      <c r="AB2462" s="2658">
        <v>7.4463820519283335</v>
      </c>
      <c r="AC2462" s="766"/>
      <c r="AD2462" s="766"/>
      <c r="AE2462" s="766"/>
      <c r="AF2462" s="766"/>
      <c r="AG2462" s="766"/>
      <c r="BB2462" s="647"/>
      <c r="BC2462" s="648"/>
      <c r="BD2462" s="757"/>
      <c r="BE2462" s="659"/>
    </row>
    <row r="2463" spans="1:57" s="64" customFormat="1" ht="15" customHeight="1" outlineLevel="1" x14ac:dyDescent="0.25">
      <c r="A2463" s="2463"/>
      <c r="B2463" s="157"/>
      <c r="C2463" s="385"/>
      <c r="D2463" s="3589"/>
      <c r="E2463" s="3721"/>
      <c r="F2463" s="3773" t="str">
        <f>$E$1432</f>
        <v>ASHP SEER 15 MF ER replace ASHP: HVAC ER2</v>
      </c>
      <c r="G2463" s="3774"/>
      <c r="H2463" s="3774"/>
      <c r="I2463" s="3775"/>
      <c r="J2463" s="3071" t="str">
        <f>$C$1432</f>
        <v>352700_2019_12_</v>
      </c>
      <c r="K2463" s="2725">
        <v>14</v>
      </c>
      <c r="L2463" s="945"/>
      <c r="M2463" s="2727" t="s">
        <v>1508</v>
      </c>
      <c r="N2463" s="157"/>
      <c r="O2463" s="277"/>
      <c r="P2463" s="937"/>
      <c r="Q2463" s="937"/>
      <c r="R2463" s="937"/>
      <c r="S2463" s="924"/>
      <c r="T2463" s="1407"/>
      <c r="U2463" s="157"/>
      <c r="V2463" s="3589"/>
      <c r="W2463" s="766">
        <v>14</v>
      </c>
      <c r="X2463" s="766">
        <v>14</v>
      </c>
      <c r="Y2463" s="781">
        <v>14</v>
      </c>
      <c r="Z2463" s="781">
        <v>14</v>
      </c>
      <c r="AA2463" s="781">
        <v>14</v>
      </c>
      <c r="AB2463" s="2725">
        <v>14</v>
      </c>
      <c r="AC2463" s="766"/>
      <c r="AD2463" s="766"/>
      <c r="AE2463" s="766"/>
      <c r="AF2463" s="766"/>
      <c r="AG2463" s="766"/>
      <c r="BB2463" s="647"/>
      <c r="BC2463" s="648"/>
      <c r="BD2463" s="757"/>
      <c r="BE2463" s="659"/>
    </row>
    <row r="2464" spans="1:57" s="64" customFormat="1" ht="15" customHeight="1" outlineLevel="1" x14ac:dyDescent="0.25">
      <c r="A2464" s="2463"/>
      <c r="B2464" s="157"/>
      <c r="C2464" s="385"/>
      <c r="D2464" s="3589"/>
      <c r="E2464" s="3721"/>
      <c r="F2464" s="3773" t="str">
        <f>$E$1434</f>
        <v>ASHP SEER 15 MF ER replace ASHP: HVAC ER1_CompE</v>
      </c>
      <c r="G2464" s="3774"/>
      <c r="H2464" s="3774"/>
      <c r="I2464" s="3775"/>
      <c r="J2464" s="3071" t="str">
        <f>$C$1434</f>
        <v>352701_2019_12_</v>
      </c>
      <c r="K2464" s="2725">
        <v>7.4463820519283335</v>
      </c>
      <c r="L2464" s="945"/>
      <c r="M2464" s="2727" t="s">
        <v>3674</v>
      </c>
      <c r="N2464" s="157"/>
      <c r="O2464" s="277"/>
      <c r="P2464" s="937"/>
      <c r="Q2464" s="937"/>
      <c r="R2464" s="937"/>
      <c r="S2464" s="924"/>
      <c r="T2464" s="1407"/>
      <c r="U2464" s="157"/>
      <c r="V2464" s="3589"/>
      <c r="W2464" s="766"/>
      <c r="X2464" s="766"/>
      <c r="Y2464" s="786">
        <v>8.33</v>
      </c>
      <c r="Z2464" s="781">
        <v>8.33</v>
      </c>
      <c r="AA2464" s="781">
        <v>8.33</v>
      </c>
      <c r="AB2464" s="2658">
        <v>7.4463820519283335</v>
      </c>
      <c r="AC2464" s="766"/>
      <c r="AD2464" s="766"/>
      <c r="AE2464" s="766"/>
      <c r="AF2464" s="766"/>
      <c r="AG2464" s="766"/>
      <c r="BB2464" s="647"/>
      <c r="BC2464" s="648"/>
      <c r="BD2464" s="757"/>
      <c r="BE2464" s="659"/>
    </row>
    <row r="2465" spans="1:57" s="64" customFormat="1" ht="15" customHeight="1" outlineLevel="1" x14ac:dyDescent="0.25">
      <c r="A2465" s="2463"/>
      <c r="B2465" s="157"/>
      <c r="C2465" s="385"/>
      <c r="D2465" s="3589"/>
      <c r="E2465" s="3721"/>
      <c r="F2465" s="3773" t="str">
        <f>$E$1436</f>
        <v>ASHP SEER 15 MF ER replace ASHP: HVAC ER2_CompE</v>
      </c>
      <c r="G2465" s="3774"/>
      <c r="H2465" s="3774"/>
      <c r="I2465" s="3775"/>
      <c r="J2465" s="3071" t="str">
        <f>$C$1436</f>
        <v>352701_2019_12_</v>
      </c>
      <c r="K2465" s="2725">
        <v>14</v>
      </c>
      <c r="L2465" s="945"/>
      <c r="M2465" s="2727" t="s">
        <v>1508</v>
      </c>
      <c r="N2465" s="157"/>
      <c r="O2465" s="277"/>
      <c r="P2465" s="937"/>
      <c r="Q2465" s="937"/>
      <c r="R2465" s="937"/>
      <c r="S2465" s="924"/>
      <c r="T2465" s="1407"/>
      <c r="U2465" s="157"/>
      <c r="V2465" s="3589"/>
      <c r="W2465" s="766"/>
      <c r="X2465" s="766"/>
      <c r="Y2465" s="786">
        <v>14</v>
      </c>
      <c r="Z2465" s="781">
        <v>14</v>
      </c>
      <c r="AA2465" s="781">
        <v>14</v>
      </c>
      <c r="AB2465" s="2725">
        <v>14</v>
      </c>
      <c r="AC2465" s="766"/>
      <c r="AD2465" s="766"/>
      <c r="AE2465" s="766"/>
      <c r="AF2465" s="766"/>
      <c r="AG2465" s="766"/>
      <c r="BB2465" s="647"/>
      <c r="BC2465" s="648"/>
      <c r="BD2465" s="757"/>
      <c r="BE2465" s="659"/>
    </row>
    <row r="2466" spans="1:57" s="64" customFormat="1" ht="15" customHeight="1" outlineLevel="1" x14ac:dyDescent="0.25">
      <c r="A2466" s="2463"/>
      <c r="B2466" s="157"/>
      <c r="C2466" s="385"/>
      <c r="D2466" s="3589"/>
      <c r="E2466" s="3721"/>
      <c r="F2466" s="3773" t="str">
        <f>$E$1438</f>
        <v>ASHP SEER 15 MF ER replace Elec Resist Furnace: HVAC ER1</v>
      </c>
      <c r="G2466" s="3774"/>
      <c r="H2466" s="3774"/>
      <c r="I2466" s="3775"/>
      <c r="J2466" s="3071" t="str">
        <f>$C$1438</f>
        <v>352750_2019_12_</v>
      </c>
      <c r="K2466" s="2725">
        <v>7.4436972862639159</v>
      </c>
      <c r="L2466" s="945"/>
      <c r="M2466" s="2727" t="s">
        <v>3674</v>
      </c>
      <c r="N2466" s="157"/>
      <c r="O2466" s="277"/>
      <c r="P2466" s="937"/>
      <c r="Q2466" s="937"/>
      <c r="R2466" s="937"/>
      <c r="S2466" s="924"/>
      <c r="T2466" s="1407"/>
      <c r="U2466" s="157"/>
      <c r="V2466" s="3589"/>
      <c r="W2466" s="766">
        <v>6.8</v>
      </c>
      <c r="X2466" s="765">
        <v>8.33</v>
      </c>
      <c r="Y2466" s="781">
        <v>8.33</v>
      </c>
      <c r="Z2466" s="781">
        <v>8.33</v>
      </c>
      <c r="AA2466" s="781">
        <v>8.33</v>
      </c>
      <c r="AB2466" s="2658">
        <v>7.4436972862639159</v>
      </c>
      <c r="AC2466" s="766"/>
      <c r="AD2466" s="766"/>
      <c r="AE2466" s="766"/>
      <c r="AF2466" s="766"/>
      <c r="AG2466" s="766"/>
      <c r="BB2466" s="647"/>
      <c r="BC2466" s="648"/>
      <c r="BD2466" s="757"/>
      <c r="BE2466" s="659"/>
    </row>
    <row r="2467" spans="1:57" s="64" customFormat="1" ht="15" customHeight="1" outlineLevel="1" x14ac:dyDescent="0.25">
      <c r="A2467" s="2463"/>
      <c r="B2467" s="157"/>
      <c r="C2467" s="385"/>
      <c r="D2467" s="3589"/>
      <c r="E2467" s="3721"/>
      <c r="F2467" s="3773" t="str">
        <f>$E$1440</f>
        <v>ASHP SEER 15 MF ER replace Elec Resist Furnace: HVAC ER2</v>
      </c>
      <c r="G2467" s="3774"/>
      <c r="H2467" s="3774"/>
      <c r="I2467" s="3775"/>
      <c r="J2467" s="3071" t="str">
        <f>$C$1440</f>
        <v>352750_2019_12_</v>
      </c>
      <c r="K2467" s="2725">
        <v>13</v>
      </c>
      <c r="L2467" s="945"/>
      <c r="M2467" s="2727" t="s">
        <v>1508</v>
      </c>
      <c r="N2467" s="157"/>
      <c r="O2467" s="277"/>
      <c r="P2467" s="937"/>
      <c r="Q2467" s="937"/>
      <c r="R2467" s="937"/>
      <c r="S2467" s="924"/>
      <c r="T2467" s="1407"/>
      <c r="U2467" s="157"/>
      <c r="V2467" s="3589"/>
      <c r="W2467" s="766">
        <v>13</v>
      </c>
      <c r="X2467" s="766">
        <v>13</v>
      </c>
      <c r="Y2467" s="781">
        <v>13</v>
      </c>
      <c r="Z2467" s="781">
        <v>13</v>
      </c>
      <c r="AA2467" s="781">
        <v>13</v>
      </c>
      <c r="AB2467" s="2725">
        <v>13</v>
      </c>
      <c r="AC2467" s="766"/>
      <c r="AD2467" s="766"/>
      <c r="AE2467" s="766"/>
      <c r="AF2467" s="766"/>
      <c r="AG2467" s="766"/>
      <c r="BB2467" s="647"/>
      <c r="BC2467" s="648"/>
      <c r="BD2467" s="757"/>
      <c r="BE2467" s="659"/>
    </row>
    <row r="2468" spans="1:57" s="64" customFormat="1" ht="15" customHeight="1" outlineLevel="1" x14ac:dyDescent="0.25">
      <c r="A2468" s="2463"/>
      <c r="B2468" s="157"/>
      <c r="C2468" s="385"/>
      <c r="D2468" s="3589"/>
      <c r="E2468" s="3721"/>
      <c r="F2468" s="3773" t="str">
        <f>$E$1442</f>
        <v>ASHP SEER 15 MF ER replace Elec Resist Furnace: HVAC ER1_CompE</v>
      </c>
      <c r="G2468" s="3774"/>
      <c r="H2468" s="3774"/>
      <c r="I2468" s="3775"/>
      <c r="J2468" s="3071" t="str">
        <f>$C$1442</f>
        <v>352751_2019_12_</v>
      </c>
      <c r="K2468" s="2725">
        <v>7.4436972862639159</v>
      </c>
      <c r="L2468" s="945"/>
      <c r="M2468" s="2727" t="s">
        <v>3652</v>
      </c>
      <c r="N2468" s="157"/>
      <c r="O2468" s="277"/>
      <c r="P2468" s="937"/>
      <c r="Q2468" s="937"/>
      <c r="R2468" s="937"/>
      <c r="S2468" s="924"/>
      <c r="T2468" s="1407"/>
      <c r="U2468" s="157"/>
      <c r="V2468" s="3589"/>
      <c r="W2468" s="766"/>
      <c r="X2468" s="766"/>
      <c r="Y2468" s="786">
        <v>8.33</v>
      </c>
      <c r="Z2468" s="781">
        <v>8.33</v>
      </c>
      <c r="AA2468" s="781">
        <v>8.33</v>
      </c>
      <c r="AB2468" s="2658">
        <v>7.4436972862639159</v>
      </c>
      <c r="AC2468" s="766"/>
      <c r="AD2468" s="766"/>
      <c r="AE2468" s="766"/>
      <c r="AF2468" s="766"/>
      <c r="AG2468" s="766"/>
      <c r="BB2468" s="647"/>
      <c r="BC2468" s="648"/>
      <c r="BD2468" s="757"/>
      <c r="BE2468" s="659"/>
    </row>
    <row r="2469" spans="1:57" s="64" customFormat="1" ht="15" customHeight="1" outlineLevel="1" x14ac:dyDescent="0.25">
      <c r="A2469" s="2463"/>
      <c r="B2469" s="157"/>
      <c r="C2469" s="385"/>
      <c r="D2469" s="3589"/>
      <c r="E2469" s="3721"/>
      <c r="F2469" s="3773" t="str">
        <f>$E$1444</f>
        <v>ASHP SEER 15 MF ER replace Elec Resist Furnace: HVAC ER2_CompE</v>
      </c>
      <c r="G2469" s="3774"/>
      <c r="H2469" s="3774"/>
      <c r="I2469" s="3775"/>
      <c r="J2469" s="3071" t="str">
        <f>$C$1444</f>
        <v>352751_2019_12_</v>
      </c>
      <c r="K2469" s="2725">
        <v>13</v>
      </c>
      <c r="L2469" s="945"/>
      <c r="M2469" s="2727" t="s">
        <v>1508</v>
      </c>
      <c r="N2469" s="157"/>
      <c r="O2469" s="277"/>
      <c r="P2469" s="937"/>
      <c r="Q2469" s="937"/>
      <c r="R2469" s="937"/>
      <c r="S2469" s="924"/>
      <c r="T2469" s="1407"/>
      <c r="U2469" s="157"/>
      <c r="V2469" s="3589"/>
      <c r="W2469" s="766"/>
      <c r="X2469" s="766"/>
      <c r="Y2469" s="786">
        <v>13</v>
      </c>
      <c r="Z2469" s="781">
        <v>13</v>
      </c>
      <c r="AA2469" s="781">
        <v>13</v>
      </c>
      <c r="AB2469" s="2725">
        <v>13</v>
      </c>
      <c r="AC2469" s="766"/>
      <c r="AD2469" s="766"/>
      <c r="AE2469" s="766"/>
      <c r="AF2469" s="766"/>
      <c r="AG2469" s="766"/>
      <c r="BB2469" s="647"/>
      <c r="BC2469" s="648"/>
      <c r="BD2469" s="757"/>
      <c r="BE2469" s="659"/>
    </row>
    <row r="2470" spans="1:57" s="64" customFormat="1" ht="15" customHeight="1" outlineLevel="1" x14ac:dyDescent="0.25">
      <c r="A2470" s="2463"/>
      <c r="B2470" s="157"/>
      <c r="C2470" s="385"/>
      <c r="D2470" s="3589"/>
      <c r="E2470" s="3721"/>
      <c r="F2470" s="3773" t="str">
        <f>$E$1446</f>
        <v>ASHP SEER 15 MF replace at Fail Elec Resist Furnace: HVAC</v>
      </c>
      <c r="G2470" s="3774"/>
      <c r="H2470" s="3774"/>
      <c r="I2470" s="3775"/>
      <c r="J2470" s="3071" t="str">
        <f>$C$1446</f>
        <v>352800_2019_12_</v>
      </c>
      <c r="K2470" s="2725">
        <v>13</v>
      </c>
      <c r="L2470" s="945"/>
      <c r="M2470" s="2727" t="s">
        <v>1508</v>
      </c>
      <c r="N2470" s="157"/>
      <c r="O2470" s="277"/>
      <c r="P2470" s="937"/>
      <c r="Q2470" s="937"/>
      <c r="R2470" s="937"/>
      <c r="S2470" s="924"/>
      <c r="T2470" s="1407"/>
      <c r="U2470" s="157"/>
      <c r="V2470" s="3589"/>
      <c r="W2470" s="766">
        <v>13</v>
      </c>
      <c r="X2470" s="766">
        <v>13</v>
      </c>
      <c r="Y2470" s="781">
        <v>13</v>
      </c>
      <c r="Z2470" s="781">
        <v>13</v>
      </c>
      <c r="AA2470" s="781">
        <v>13</v>
      </c>
      <c r="AB2470" s="2725">
        <v>13</v>
      </c>
      <c r="AC2470" s="766"/>
      <c r="AD2470" s="766"/>
      <c r="AE2470" s="766"/>
      <c r="AF2470" s="766"/>
      <c r="AG2470" s="766"/>
      <c r="BB2470" s="647"/>
      <c r="BC2470" s="648"/>
      <c r="BD2470" s="757"/>
      <c r="BE2470" s="659"/>
    </row>
    <row r="2471" spans="1:57" s="64" customFormat="1" ht="15" customHeight="1" outlineLevel="1" x14ac:dyDescent="0.25">
      <c r="A2471" s="2463"/>
      <c r="B2471" s="157"/>
      <c r="C2471" s="385"/>
      <c r="D2471" s="3589"/>
      <c r="E2471" s="3721"/>
      <c r="F2471" s="3773" t="str">
        <f>$E$1448</f>
        <v>ASHP SEER 15 MF replace at Fail Elec Resist Furnace: HVAC_CompE</v>
      </c>
      <c r="G2471" s="3774"/>
      <c r="H2471" s="3774"/>
      <c r="I2471" s="3775"/>
      <c r="J2471" s="3071" t="str">
        <f>$C$1448</f>
        <v>352801_2019_12_</v>
      </c>
      <c r="K2471" s="2725">
        <v>13</v>
      </c>
      <c r="L2471" s="945"/>
      <c r="M2471" s="2727" t="s">
        <v>1508</v>
      </c>
      <c r="N2471" s="157"/>
      <c r="O2471" s="277"/>
      <c r="P2471" s="937"/>
      <c r="Q2471" s="937"/>
      <c r="R2471" s="937"/>
      <c r="S2471" s="924"/>
      <c r="T2471" s="1407"/>
      <c r="U2471" s="157"/>
      <c r="V2471" s="3589"/>
      <c r="W2471" s="766"/>
      <c r="X2471" s="766"/>
      <c r="Y2471" s="786">
        <v>13</v>
      </c>
      <c r="Z2471" s="781">
        <v>13</v>
      </c>
      <c r="AA2471" s="781">
        <v>13</v>
      </c>
      <c r="AB2471" s="2725">
        <v>13</v>
      </c>
      <c r="AC2471" s="766"/>
      <c r="AD2471" s="766"/>
      <c r="AE2471" s="766"/>
      <c r="AF2471" s="766"/>
      <c r="AG2471" s="766"/>
      <c r="BB2471" s="647"/>
      <c r="BC2471" s="648"/>
      <c r="BD2471" s="757"/>
      <c r="BE2471" s="659"/>
    </row>
    <row r="2472" spans="1:57" s="64" customFormat="1" ht="15" customHeight="1" outlineLevel="1" x14ac:dyDescent="0.25">
      <c r="A2472" s="2463"/>
      <c r="B2472" s="157"/>
      <c r="C2472" s="385"/>
      <c r="D2472" s="3589"/>
      <c r="E2472" s="3721"/>
      <c r="F2472" s="3773" t="str">
        <f>$E$1450</f>
        <v>ASHP SEER 16 MF ER replace ASHP: HVAC ER1</v>
      </c>
      <c r="G2472" s="3774"/>
      <c r="H2472" s="3774"/>
      <c r="I2472" s="3775"/>
      <c r="J2472" s="3071" t="str">
        <f>$C$1450</f>
        <v>352850_2019_12_</v>
      </c>
      <c r="K2472" s="2725">
        <v>8.33</v>
      </c>
      <c r="L2472" s="945"/>
      <c r="M2472" s="2727" t="s">
        <v>1508</v>
      </c>
      <c r="N2472" s="157"/>
      <c r="O2472" s="277"/>
      <c r="P2472" s="937"/>
      <c r="Q2472" s="937"/>
      <c r="R2472" s="937"/>
      <c r="S2472" s="924"/>
      <c r="T2472" s="1407"/>
      <c r="U2472" s="157"/>
      <c r="V2472" s="3589"/>
      <c r="W2472" s="766">
        <v>7.2</v>
      </c>
      <c r="X2472" s="765">
        <v>8.33</v>
      </c>
      <c r="Y2472" s="781">
        <v>8.33</v>
      </c>
      <c r="Z2472" s="781">
        <v>8.33</v>
      </c>
      <c r="AA2472" s="781">
        <v>8.33</v>
      </c>
      <c r="AB2472" s="2725">
        <v>8.33</v>
      </c>
      <c r="AC2472" s="766"/>
      <c r="AD2472" s="766"/>
      <c r="AE2472" s="766"/>
      <c r="AF2472" s="766"/>
      <c r="AG2472" s="766"/>
      <c r="BB2472" s="647"/>
      <c r="BC2472" s="648"/>
      <c r="BD2472" s="757"/>
      <c r="BE2472" s="659"/>
    </row>
    <row r="2473" spans="1:57" s="64" customFormat="1" ht="15" customHeight="1" outlineLevel="1" x14ac:dyDescent="0.25">
      <c r="A2473" s="2463"/>
      <c r="B2473" s="157"/>
      <c r="C2473" s="385"/>
      <c r="D2473" s="3589"/>
      <c r="E2473" s="3721"/>
      <c r="F2473" s="3773" t="str">
        <f>$E$1452</f>
        <v>ASHP SEER 16 MF ER replace ASHP: HVAC ER2</v>
      </c>
      <c r="G2473" s="3774"/>
      <c r="H2473" s="3774"/>
      <c r="I2473" s="3775"/>
      <c r="J2473" s="3071" t="str">
        <f>$C$1452</f>
        <v>352850_2019_12_</v>
      </c>
      <c r="K2473" s="2725">
        <v>14</v>
      </c>
      <c r="L2473" s="945"/>
      <c r="M2473" s="2727" t="s">
        <v>1508</v>
      </c>
      <c r="N2473" s="157"/>
      <c r="O2473" s="277"/>
      <c r="P2473" s="937"/>
      <c r="Q2473" s="937"/>
      <c r="R2473" s="937"/>
      <c r="S2473" s="924"/>
      <c r="T2473" s="1407"/>
      <c r="U2473" s="157"/>
      <c r="V2473" s="3589"/>
      <c r="W2473" s="766">
        <v>14</v>
      </c>
      <c r="X2473" s="766">
        <v>14</v>
      </c>
      <c r="Y2473" s="781">
        <v>14</v>
      </c>
      <c r="Z2473" s="781">
        <v>14</v>
      </c>
      <c r="AA2473" s="781">
        <v>14</v>
      </c>
      <c r="AB2473" s="2725">
        <v>14</v>
      </c>
      <c r="AC2473" s="766"/>
      <c r="AD2473" s="766"/>
      <c r="AE2473" s="766"/>
      <c r="AF2473" s="766"/>
      <c r="AG2473" s="766"/>
      <c r="BB2473" s="647"/>
      <c r="BC2473" s="648"/>
      <c r="BD2473" s="757"/>
      <c r="BE2473" s="659"/>
    </row>
    <row r="2474" spans="1:57" s="64" customFormat="1" ht="15" customHeight="1" outlineLevel="1" x14ac:dyDescent="0.25">
      <c r="A2474" s="2463"/>
      <c r="B2474" s="157"/>
      <c r="C2474" s="385"/>
      <c r="D2474" s="3589"/>
      <c r="E2474" s="3721"/>
      <c r="F2474" s="3773" t="str">
        <f>$E$1454</f>
        <v>ASHP SEER 16 MF ER replace ASHP: HVAC ER1_CompE</v>
      </c>
      <c r="G2474" s="3774"/>
      <c r="H2474" s="3774"/>
      <c r="I2474" s="3775"/>
      <c r="J2474" s="3071" t="str">
        <f>$C$1454</f>
        <v>352851_2019_12_</v>
      </c>
      <c r="K2474" s="2725">
        <v>8.33</v>
      </c>
      <c r="L2474" s="945"/>
      <c r="M2474" s="2727" t="s">
        <v>1508</v>
      </c>
      <c r="N2474" s="157"/>
      <c r="O2474" s="277"/>
      <c r="P2474" s="937"/>
      <c r="Q2474" s="937"/>
      <c r="R2474" s="937"/>
      <c r="S2474" s="924"/>
      <c r="T2474" s="1407"/>
      <c r="U2474" s="157"/>
      <c r="V2474" s="3589"/>
      <c r="W2474" s="766"/>
      <c r="X2474" s="766"/>
      <c r="Y2474" s="786">
        <v>8.33</v>
      </c>
      <c r="Z2474" s="781">
        <v>8.33</v>
      </c>
      <c r="AA2474" s="781">
        <v>8.33</v>
      </c>
      <c r="AB2474" s="2725">
        <v>8.33</v>
      </c>
      <c r="AC2474" s="766"/>
      <c r="AD2474" s="766"/>
      <c r="AE2474" s="766"/>
      <c r="AF2474" s="766"/>
      <c r="AG2474" s="766"/>
      <c r="BB2474" s="647"/>
      <c r="BC2474" s="648"/>
      <c r="BD2474" s="757"/>
      <c r="BE2474" s="659"/>
    </row>
    <row r="2475" spans="1:57" s="64" customFormat="1" ht="15" customHeight="1" outlineLevel="1" x14ac:dyDescent="0.25">
      <c r="A2475" s="2463"/>
      <c r="B2475" s="157"/>
      <c r="C2475" s="385"/>
      <c r="D2475" s="3589"/>
      <c r="E2475" s="3721"/>
      <c r="F2475" s="3773" t="str">
        <f>$E$1456</f>
        <v>ASHP SEER 16 MF ER replace ASHP: HVAC ER2_CompE</v>
      </c>
      <c r="G2475" s="3774"/>
      <c r="H2475" s="3774"/>
      <c r="I2475" s="3775"/>
      <c r="J2475" s="3071" t="str">
        <f>$C$1456</f>
        <v>352851_2019_12_</v>
      </c>
      <c r="K2475" s="2725">
        <v>14</v>
      </c>
      <c r="L2475" s="945"/>
      <c r="M2475" s="2727" t="s">
        <v>1508</v>
      </c>
      <c r="N2475" s="157"/>
      <c r="O2475" s="277"/>
      <c r="P2475" s="937"/>
      <c r="Q2475" s="937"/>
      <c r="R2475" s="937"/>
      <c r="S2475" s="924"/>
      <c r="T2475" s="1407"/>
      <c r="U2475" s="157"/>
      <c r="V2475" s="3589"/>
      <c r="W2475" s="766"/>
      <c r="X2475" s="766"/>
      <c r="Y2475" s="786">
        <v>14</v>
      </c>
      <c r="Z2475" s="781">
        <v>14</v>
      </c>
      <c r="AA2475" s="781">
        <v>14</v>
      </c>
      <c r="AB2475" s="2725">
        <v>14</v>
      </c>
      <c r="AC2475" s="766"/>
      <c r="AD2475" s="766"/>
      <c r="AE2475" s="766"/>
      <c r="AF2475" s="766"/>
      <c r="AG2475" s="766"/>
      <c r="BB2475" s="647"/>
      <c r="BC2475" s="648"/>
      <c r="BD2475" s="757"/>
      <c r="BE2475" s="659"/>
    </row>
    <row r="2476" spans="1:57" s="64" customFormat="1" ht="15" customHeight="1" outlineLevel="1" x14ac:dyDescent="0.25">
      <c r="A2476" s="2463"/>
      <c r="B2476" s="157"/>
      <c r="C2476" s="385"/>
      <c r="D2476" s="3589"/>
      <c r="E2476" s="3721"/>
      <c r="F2476" s="3773" t="str">
        <f>$E$1458</f>
        <v>ASHP - SEER 16 - replace on fail MF</v>
      </c>
      <c r="G2476" s="3774"/>
      <c r="H2476" s="3774"/>
      <c r="I2476" s="3775"/>
      <c r="J2476" s="3071" t="str">
        <f>$C$1458</f>
        <v>352900_2019_12_</v>
      </c>
      <c r="K2476" s="2725">
        <v>14</v>
      </c>
      <c r="L2476" s="945"/>
      <c r="M2476" s="2727" t="s">
        <v>1508</v>
      </c>
      <c r="N2476" s="157"/>
      <c r="O2476" s="277"/>
      <c r="P2476" s="937"/>
      <c r="Q2476" s="937"/>
      <c r="R2476" s="937"/>
      <c r="S2476" s="924"/>
      <c r="T2476" s="1407"/>
      <c r="U2476" s="157"/>
      <c r="V2476" s="3589"/>
      <c r="W2476" s="766">
        <v>14</v>
      </c>
      <c r="X2476" s="766">
        <v>14</v>
      </c>
      <c r="Y2476" s="781">
        <v>14</v>
      </c>
      <c r="Z2476" s="781">
        <v>14</v>
      </c>
      <c r="AA2476" s="781">
        <v>14</v>
      </c>
      <c r="AB2476" s="2725">
        <v>14</v>
      </c>
      <c r="AC2476" s="766"/>
      <c r="AD2476" s="766"/>
      <c r="AE2476" s="766"/>
      <c r="AF2476" s="766"/>
      <c r="AG2476" s="766"/>
      <c r="BB2476" s="647"/>
      <c r="BC2476" s="648"/>
      <c r="BD2476" s="757"/>
      <c r="BE2476" s="659"/>
    </row>
    <row r="2477" spans="1:57" s="64" customFormat="1" ht="15" customHeight="1" outlineLevel="1" x14ac:dyDescent="0.25">
      <c r="A2477" s="2463"/>
      <c r="B2477" s="157"/>
      <c r="C2477" s="385"/>
      <c r="D2477" s="3589"/>
      <c r="E2477" s="3721"/>
      <c r="F2477" s="3773" t="str">
        <f>$E$1460</f>
        <v>ASHP - SEER 16 - replace on fail MF_CompE</v>
      </c>
      <c r="G2477" s="3774"/>
      <c r="H2477" s="3774"/>
      <c r="I2477" s="3775"/>
      <c r="J2477" s="3071" t="str">
        <f>$C$1460</f>
        <v>352901_2019_12_</v>
      </c>
      <c r="K2477" s="2725">
        <v>14</v>
      </c>
      <c r="L2477" s="945"/>
      <c r="M2477" s="2727" t="s">
        <v>1508</v>
      </c>
      <c r="N2477" s="157"/>
      <c r="O2477" s="277"/>
      <c r="P2477" s="937"/>
      <c r="Q2477" s="937"/>
      <c r="R2477" s="937"/>
      <c r="S2477" s="924"/>
      <c r="T2477" s="1407"/>
      <c r="U2477" s="157"/>
      <c r="V2477" s="3589"/>
      <c r="W2477" s="766"/>
      <c r="X2477" s="766"/>
      <c r="Y2477" s="786">
        <v>14</v>
      </c>
      <c r="Z2477" s="781">
        <v>14</v>
      </c>
      <c r="AA2477" s="781">
        <v>14</v>
      </c>
      <c r="AB2477" s="2725">
        <v>14</v>
      </c>
      <c r="AC2477" s="766"/>
      <c r="AD2477" s="766"/>
      <c r="AE2477" s="766"/>
      <c r="AF2477" s="766"/>
      <c r="AG2477" s="766"/>
      <c r="BB2477" s="647"/>
      <c r="BC2477" s="648"/>
      <c r="BD2477" s="757"/>
      <c r="BE2477" s="659"/>
    </row>
    <row r="2478" spans="1:57" s="64" customFormat="1" ht="15" customHeight="1" outlineLevel="1" x14ac:dyDescent="0.25">
      <c r="A2478" s="2463"/>
      <c r="B2478" s="157"/>
      <c r="C2478" s="385"/>
      <c r="D2478" s="3589"/>
      <c r="E2478" s="3721"/>
      <c r="F2478" s="3773" t="str">
        <f>$E$1462</f>
        <v>ASHP - SEER 16 - replace electric furnace / CAC MF</v>
      </c>
      <c r="G2478" s="3774"/>
      <c r="H2478" s="3774"/>
      <c r="I2478" s="3775"/>
      <c r="J2478" s="3071" t="str">
        <f>$C$1462</f>
        <v>352950_2019_12_</v>
      </c>
      <c r="K2478" s="2725">
        <v>13</v>
      </c>
      <c r="L2478" s="945"/>
      <c r="M2478" s="2727" t="s">
        <v>1508</v>
      </c>
      <c r="N2478" s="157"/>
      <c r="O2478" s="277"/>
      <c r="P2478" s="937"/>
      <c r="Q2478" s="937"/>
      <c r="R2478" s="937"/>
      <c r="S2478" s="924"/>
      <c r="T2478" s="1407"/>
      <c r="U2478" s="157"/>
      <c r="V2478" s="3589"/>
      <c r="W2478" s="766">
        <v>13</v>
      </c>
      <c r="X2478" s="766">
        <v>13</v>
      </c>
      <c r="Y2478" s="781">
        <v>13</v>
      </c>
      <c r="Z2478" s="781">
        <v>13</v>
      </c>
      <c r="AA2478" s="781">
        <v>13</v>
      </c>
      <c r="AB2478" s="2725">
        <v>13</v>
      </c>
      <c r="AC2478" s="766"/>
      <c r="AD2478" s="766"/>
      <c r="AE2478" s="766"/>
      <c r="AF2478" s="766"/>
      <c r="AG2478" s="766"/>
      <c r="BB2478" s="647"/>
      <c r="BC2478" s="648"/>
      <c r="BD2478" s="757"/>
      <c r="BE2478" s="659"/>
    </row>
    <row r="2479" spans="1:57" s="64" customFormat="1" ht="15" customHeight="1" outlineLevel="1" x14ac:dyDescent="0.25">
      <c r="A2479" s="2463"/>
      <c r="B2479" s="157"/>
      <c r="C2479" s="385"/>
      <c r="D2479" s="3589"/>
      <c r="E2479" s="3721"/>
      <c r="F2479" s="3773" t="str">
        <f>$E$1464</f>
        <v>ASHP - SEER 16 - replace electric furnace / CAC MF_CompE</v>
      </c>
      <c r="G2479" s="3774"/>
      <c r="H2479" s="3774"/>
      <c r="I2479" s="3775"/>
      <c r="J2479" s="3071" t="str">
        <f>$C$1464</f>
        <v>352951_2019_12_</v>
      </c>
      <c r="K2479" s="2725">
        <v>13</v>
      </c>
      <c r="L2479" s="945"/>
      <c r="M2479" s="2727" t="s">
        <v>1508</v>
      </c>
      <c r="N2479" s="157"/>
      <c r="O2479" s="277"/>
      <c r="P2479" s="937"/>
      <c r="Q2479" s="937"/>
      <c r="R2479" s="937"/>
      <c r="S2479" s="924"/>
      <c r="T2479" s="1407"/>
      <c r="U2479" s="157"/>
      <c r="V2479" s="3589"/>
      <c r="W2479" s="766"/>
      <c r="X2479" s="766"/>
      <c r="Y2479" s="786">
        <v>13</v>
      </c>
      <c r="Z2479" s="781">
        <v>13</v>
      </c>
      <c r="AA2479" s="781">
        <v>13</v>
      </c>
      <c r="AB2479" s="2725">
        <v>13</v>
      </c>
      <c r="AC2479" s="766"/>
      <c r="AD2479" s="766"/>
      <c r="AE2479" s="766"/>
      <c r="AF2479" s="766"/>
      <c r="AG2479" s="766"/>
      <c r="BB2479" s="647"/>
      <c r="BC2479" s="648"/>
      <c r="BD2479" s="757"/>
      <c r="BE2479" s="659"/>
    </row>
    <row r="2480" spans="1:57" s="64" customFormat="1" ht="15" customHeight="1" outlineLevel="1" x14ac:dyDescent="0.25">
      <c r="A2480" s="2463"/>
      <c r="B2480" s="157"/>
      <c r="C2480" s="385"/>
      <c r="D2480" s="3589"/>
      <c r="E2480" s="3721"/>
      <c r="F2480" s="3773" t="str">
        <f>$E$1466</f>
        <v>ASHP - SEER 16 - replace electric furnace / CAC - early replacement MF ER1</v>
      </c>
      <c r="G2480" s="3774"/>
      <c r="H2480" s="3774"/>
      <c r="I2480" s="3775"/>
      <c r="J2480" s="3071" t="str">
        <f>$C$1466</f>
        <v>353000_2019_12_</v>
      </c>
      <c r="K2480" s="2725">
        <v>8.33</v>
      </c>
      <c r="L2480" s="945"/>
      <c r="M2480" s="2727" t="s">
        <v>1508</v>
      </c>
      <c r="N2480" s="157"/>
      <c r="O2480" s="277"/>
      <c r="P2480" s="937"/>
      <c r="Q2480" s="937"/>
      <c r="R2480" s="937"/>
      <c r="S2480" s="924"/>
      <c r="T2480" s="1407"/>
      <c r="U2480" s="157"/>
      <c r="V2480" s="3589"/>
      <c r="W2480" s="766">
        <v>6.8</v>
      </c>
      <c r="X2480" s="765">
        <v>8.33</v>
      </c>
      <c r="Y2480" s="781">
        <v>8.33</v>
      </c>
      <c r="Z2480" s="781">
        <v>8.33</v>
      </c>
      <c r="AA2480" s="781">
        <v>8.33</v>
      </c>
      <c r="AB2480" s="2725">
        <v>8.33</v>
      </c>
      <c r="AC2480" s="766"/>
      <c r="AD2480" s="766"/>
      <c r="AE2480" s="766"/>
      <c r="AF2480" s="766"/>
      <c r="AG2480" s="766"/>
      <c r="BB2480" s="647"/>
      <c r="BC2480" s="648"/>
      <c r="BD2480" s="757"/>
      <c r="BE2480" s="659"/>
    </row>
    <row r="2481" spans="1:57" s="64" customFormat="1" ht="15" customHeight="1" outlineLevel="1" x14ac:dyDescent="0.25">
      <c r="A2481" s="2463"/>
      <c r="B2481" s="157"/>
      <c r="C2481" s="385"/>
      <c r="D2481" s="3589"/>
      <c r="E2481" s="3721"/>
      <c r="F2481" s="3773" t="str">
        <f>$E$1468</f>
        <v>ASHP - SEER 16 - replace electric furnace / CAC - early replacement MF ER2</v>
      </c>
      <c r="G2481" s="3774"/>
      <c r="H2481" s="3774"/>
      <c r="I2481" s="3775"/>
      <c r="J2481" s="3071" t="str">
        <f>$C$1468</f>
        <v>353000_2019_12_</v>
      </c>
      <c r="K2481" s="2725">
        <v>13</v>
      </c>
      <c r="L2481" s="945"/>
      <c r="M2481" s="2727" t="s">
        <v>1508</v>
      </c>
      <c r="N2481" s="157"/>
      <c r="O2481" s="277"/>
      <c r="P2481" s="937"/>
      <c r="Q2481" s="937"/>
      <c r="R2481" s="937"/>
      <c r="S2481" s="924"/>
      <c r="T2481" s="1407"/>
      <c r="U2481" s="157"/>
      <c r="V2481" s="3589"/>
      <c r="W2481" s="766">
        <v>13</v>
      </c>
      <c r="X2481" s="766">
        <v>13</v>
      </c>
      <c r="Y2481" s="781">
        <v>13</v>
      </c>
      <c r="Z2481" s="781">
        <v>13</v>
      </c>
      <c r="AA2481" s="781">
        <v>13</v>
      </c>
      <c r="AB2481" s="2725">
        <v>13</v>
      </c>
      <c r="AC2481" s="766"/>
      <c r="AD2481" s="766"/>
      <c r="AE2481" s="766"/>
      <c r="AF2481" s="766"/>
      <c r="AG2481" s="766"/>
      <c r="BB2481" s="647"/>
      <c r="BC2481" s="648"/>
      <c r="BD2481" s="757"/>
      <c r="BE2481" s="659"/>
    </row>
    <row r="2482" spans="1:57" s="64" customFormat="1" ht="15" customHeight="1" outlineLevel="1" x14ac:dyDescent="0.25">
      <c r="A2482" s="2463"/>
      <c r="B2482" s="157"/>
      <c r="C2482" s="385"/>
      <c r="D2482" s="3589"/>
      <c r="E2482" s="3721"/>
      <c r="F2482" s="3773" t="str">
        <f>$E$1470</f>
        <v>ASHP - SEER 16 - replace electric furnace / CAC - early replacement MF ER1_CompE</v>
      </c>
      <c r="G2482" s="3774"/>
      <c r="H2482" s="3774"/>
      <c r="I2482" s="3775"/>
      <c r="J2482" s="3071" t="str">
        <f>$C$1470</f>
        <v>353001_2019_12_</v>
      </c>
      <c r="K2482" s="2725">
        <v>8.33</v>
      </c>
      <c r="L2482" s="945"/>
      <c r="M2482" s="2727" t="s">
        <v>1508</v>
      </c>
      <c r="N2482" s="157"/>
      <c r="O2482" s="277"/>
      <c r="P2482" s="937"/>
      <c r="Q2482" s="937"/>
      <c r="R2482" s="937"/>
      <c r="S2482" s="924"/>
      <c r="T2482" s="1407"/>
      <c r="U2482" s="157"/>
      <c r="V2482" s="3589"/>
      <c r="W2482" s="766"/>
      <c r="X2482" s="766"/>
      <c r="Y2482" s="786">
        <v>8.33</v>
      </c>
      <c r="Z2482" s="781">
        <v>8.33</v>
      </c>
      <c r="AA2482" s="781">
        <v>8.33</v>
      </c>
      <c r="AB2482" s="2725">
        <v>8.33</v>
      </c>
      <c r="AC2482" s="766"/>
      <c r="AD2482" s="766"/>
      <c r="AE2482" s="766"/>
      <c r="AF2482" s="766"/>
      <c r="AG2482" s="766"/>
      <c r="BB2482" s="647"/>
      <c r="BC2482" s="648"/>
      <c r="BD2482" s="757"/>
      <c r="BE2482" s="659"/>
    </row>
    <row r="2483" spans="1:57" s="64" customFormat="1" ht="15" customHeight="1" outlineLevel="1" x14ac:dyDescent="0.25">
      <c r="A2483" s="2463"/>
      <c r="B2483" s="157"/>
      <c r="C2483" s="385"/>
      <c r="D2483" s="3589"/>
      <c r="E2483" s="3721"/>
      <c r="F2483" s="3773" t="str">
        <f>$E$1472</f>
        <v>ASHP - SEER 16 - replace electric furnace / CAC - early replacement MF ER2_CompE</v>
      </c>
      <c r="G2483" s="3774"/>
      <c r="H2483" s="3774"/>
      <c r="I2483" s="3775"/>
      <c r="J2483" s="3071" t="str">
        <f>$C$1472</f>
        <v>353001_2019_12_</v>
      </c>
      <c r="K2483" s="2725">
        <v>13</v>
      </c>
      <c r="L2483" s="945"/>
      <c r="M2483" s="2727" t="s">
        <v>1508</v>
      </c>
      <c r="N2483" s="157"/>
      <c r="O2483" s="277"/>
      <c r="P2483" s="937"/>
      <c r="Q2483" s="937"/>
      <c r="R2483" s="937"/>
      <c r="S2483" s="924"/>
      <c r="T2483" s="1407"/>
      <c r="U2483" s="157"/>
      <c r="V2483" s="3589"/>
      <c r="W2483" s="766"/>
      <c r="X2483" s="766"/>
      <c r="Y2483" s="786">
        <v>13</v>
      </c>
      <c r="Z2483" s="781">
        <v>13</v>
      </c>
      <c r="AA2483" s="781">
        <v>13</v>
      </c>
      <c r="AB2483" s="2725">
        <v>13</v>
      </c>
      <c r="AC2483" s="766"/>
      <c r="AD2483" s="766"/>
      <c r="AE2483" s="766"/>
      <c r="AF2483" s="766"/>
      <c r="AG2483" s="766"/>
      <c r="BB2483" s="647"/>
      <c r="BC2483" s="648"/>
      <c r="BD2483" s="757"/>
      <c r="BE2483" s="659"/>
    </row>
    <row r="2484" spans="1:57" s="64" customFormat="1" ht="15" customHeight="1" outlineLevel="1" x14ac:dyDescent="0.25">
      <c r="A2484" s="2463"/>
      <c r="B2484" s="157"/>
      <c r="C2484" s="385"/>
      <c r="D2484" s="3589"/>
      <c r="E2484" s="3721"/>
      <c r="F2484" s="3776" t="str">
        <f>$E$1474</f>
        <v xml:space="preserve">ASHP SEER 15 - replace on Fail MF </v>
      </c>
      <c r="G2484" s="3777"/>
      <c r="H2484" s="3777"/>
      <c r="I2484" s="3778"/>
      <c r="J2484" s="3072" t="str">
        <f>$C$1474</f>
        <v>353050_2019_12_</v>
      </c>
      <c r="K2484" s="2725">
        <v>14</v>
      </c>
      <c r="L2484" s="945"/>
      <c r="M2484" s="2727" t="s">
        <v>1508</v>
      </c>
      <c r="N2484" s="157"/>
      <c r="O2484" s="277"/>
      <c r="P2484" s="937"/>
      <c r="Q2484" s="937"/>
      <c r="R2484" s="937"/>
      <c r="S2484" s="924"/>
      <c r="T2484" s="1407"/>
      <c r="U2484" s="157"/>
      <c r="V2484" s="3589"/>
      <c r="W2484" s="766">
        <v>14</v>
      </c>
      <c r="X2484" s="766">
        <v>14</v>
      </c>
      <c r="Y2484" s="781">
        <v>14</v>
      </c>
      <c r="Z2484" s="781">
        <v>14</v>
      </c>
      <c r="AA2484" s="781">
        <v>14</v>
      </c>
      <c r="AB2484" s="2725">
        <v>14</v>
      </c>
      <c r="AC2484" s="766"/>
      <c r="AD2484" s="766"/>
      <c r="AE2484" s="766"/>
      <c r="AF2484" s="766"/>
      <c r="AG2484" s="766"/>
      <c r="BB2484" s="647"/>
      <c r="BC2484" s="648"/>
      <c r="BD2484" s="757"/>
      <c r="BE2484" s="659"/>
    </row>
    <row r="2485" spans="1:57" s="64" customFormat="1" ht="15" customHeight="1" outlineLevel="1" x14ac:dyDescent="0.25">
      <c r="A2485" s="2463"/>
      <c r="B2485" s="157"/>
      <c r="C2485" s="385"/>
      <c r="D2485" s="3589"/>
      <c r="E2485" s="3721"/>
      <c r="F2485" s="3776" t="str">
        <f>$E$1476</f>
        <v>ASHP SEER 15 - replace on Fail MF _CompE</v>
      </c>
      <c r="G2485" s="3777"/>
      <c r="H2485" s="3777"/>
      <c r="I2485" s="3778"/>
      <c r="J2485" s="3072" t="str">
        <f>$C$1476</f>
        <v>353051_2019_12_</v>
      </c>
      <c r="K2485" s="2725">
        <v>14</v>
      </c>
      <c r="L2485" s="945"/>
      <c r="M2485" s="2727" t="s">
        <v>1508</v>
      </c>
      <c r="N2485" s="157"/>
      <c r="O2485" s="277"/>
      <c r="P2485" s="937"/>
      <c r="Q2485" s="937"/>
      <c r="R2485" s="937"/>
      <c r="S2485" s="924"/>
      <c r="T2485" s="1407"/>
      <c r="U2485" s="157"/>
      <c r="V2485" s="3589"/>
      <c r="W2485" s="766"/>
      <c r="X2485" s="766"/>
      <c r="Y2485" s="786">
        <v>14</v>
      </c>
      <c r="Z2485" s="781">
        <v>14</v>
      </c>
      <c r="AA2485" s="781">
        <v>14</v>
      </c>
      <c r="AB2485" s="2725">
        <v>14</v>
      </c>
      <c r="AC2485" s="766"/>
      <c r="AD2485" s="766"/>
      <c r="AE2485" s="766"/>
      <c r="AF2485" s="766"/>
      <c r="AG2485" s="766"/>
      <c r="BB2485" s="647"/>
      <c r="BC2485" s="648"/>
      <c r="BD2485" s="757"/>
      <c r="BE2485" s="659"/>
    </row>
    <row r="2486" spans="1:57" s="64" customFormat="1" ht="15" customHeight="1" outlineLevel="1" x14ac:dyDescent="0.25">
      <c r="A2486" s="2463"/>
      <c r="B2486" s="157"/>
      <c r="C2486" s="385"/>
      <c r="D2486" s="3589"/>
      <c r="E2486" s="3721"/>
      <c r="F2486" s="3773" t="str">
        <f>$E$1478</f>
        <v>ASHP - SEER 17 - replace electric furnace / CAC SF</v>
      </c>
      <c r="G2486" s="3774"/>
      <c r="H2486" s="3774"/>
      <c r="I2486" s="3775"/>
      <c r="J2486" s="3071" t="str">
        <f>$C$1478</f>
        <v>353100_2019_12_</v>
      </c>
      <c r="K2486" s="2725">
        <v>13</v>
      </c>
      <c r="L2486" s="945"/>
      <c r="M2486" s="2727" t="s">
        <v>1508</v>
      </c>
      <c r="N2486" s="157"/>
      <c r="O2486" s="277"/>
      <c r="P2486" s="937"/>
      <c r="Q2486" s="937"/>
      <c r="R2486" s="937"/>
      <c r="S2486" s="924"/>
      <c r="T2486" s="1407"/>
      <c r="U2486" s="157"/>
      <c r="V2486" s="3589"/>
      <c r="W2486" s="766">
        <v>6.8</v>
      </c>
      <c r="X2486" s="765">
        <v>8.33</v>
      </c>
      <c r="Y2486" s="786">
        <v>13</v>
      </c>
      <c r="Z2486" s="781">
        <v>13</v>
      </c>
      <c r="AA2486" s="781">
        <v>13</v>
      </c>
      <c r="AB2486" s="2725">
        <v>13</v>
      </c>
      <c r="AC2486" s="766"/>
      <c r="AD2486" s="766"/>
      <c r="AE2486" s="766"/>
      <c r="AF2486" s="766"/>
      <c r="AG2486" s="766"/>
      <c r="BB2486" s="647"/>
      <c r="BC2486" s="648"/>
      <c r="BD2486" s="757"/>
      <c r="BE2486" s="659"/>
    </row>
    <row r="2487" spans="1:57" s="64" customFormat="1" ht="15" customHeight="1" outlineLevel="1" x14ac:dyDescent="0.25">
      <c r="A2487" s="2463"/>
      <c r="B2487" s="157"/>
      <c r="C2487" s="385"/>
      <c r="D2487" s="3589"/>
      <c r="E2487" s="3721"/>
      <c r="F2487" s="3773" t="str">
        <f>$E$1480</f>
        <v>ASHP - SEER 17 - replace electric furnace / CAC MF</v>
      </c>
      <c r="G2487" s="3774"/>
      <c r="H2487" s="3774"/>
      <c r="I2487" s="3775"/>
      <c r="J2487" s="3071" t="str">
        <f>$C$1480</f>
        <v>353150_2019_12_</v>
      </c>
      <c r="K2487" s="2725">
        <v>13</v>
      </c>
      <c r="L2487" s="945"/>
      <c r="M2487" s="2727" t="s">
        <v>1508</v>
      </c>
      <c r="N2487" s="157"/>
      <c r="O2487" s="277"/>
      <c r="P2487" s="937"/>
      <c r="Q2487" s="937"/>
      <c r="R2487" s="937"/>
      <c r="S2487" s="924"/>
      <c r="T2487" s="1407"/>
      <c r="U2487" s="157"/>
      <c r="V2487" s="3589"/>
      <c r="W2487" s="766">
        <v>6.8</v>
      </c>
      <c r="X2487" s="765">
        <v>8.33</v>
      </c>
      <c r="Y2487" s="786">
        <v>13</v>
      </c>
      <c r="Z2487" s="781">
        <v>13</v>
      </c>
      <c r="AA2487" s="781">
        <v>13</v>
      </c>
      <c r="AB2487" s="2725">
        <v>13</v>
      </c>
      <c r="AC2487" s="766"/>
      <c r="AD2487" s="766"/>
      <c r="AE2487" s="766"/>
      <c r="AF2487" s="766"/>
      <c r="AG2487" s="766"/>
      <c r="BB2487" s="647"/>
      <c r="BC2487" s="648"/>
      <c r="BD2487" s="757"/>
      <c r="BE2487" s="659"/>
    </row>
    <row r="2488" spans="1:57" s="64" customFormat="1" ht="15" customHeight="1" outlineLevel="1" x14ac:dyDescent="0.25">
      <c r="A2488" s="2463"/>
      <c r="B2488" s="157"/>
      <c r="C2488" s="385"/>
      <c r="D2488" s="3589"/>
      <c r="E2488" s="3721"/>
      <c r="F2488" s="3773" t="str">
        <f>$E$1482</f>
        <v>ASHP - SEER 17 - replace electric furnace / CAC MF_CompE</v>
      </c>
      <c r="G2488" s="3774"/>
      <c r="H2488" s="3774"/>
      <c r="I2488" s="3775"/>
      <c r="J2488" s="3071" t="str">
        <f>$C$1482</f>
        <v>353151_2019_12_</v>
      </c>
      <c r="K2488" s="2725">
        <v>13</v>
      </c>
      <c r="L2488" s="945"/>
      <c r="M2488" s="2727" t="s">
        <v>1508</v>
      </c>
      <c r="N2488" s="157"/>
      <c r="O2488" s="277"/>
      <c r="P2488" s="937"/>
      <c r="Q2488" s="937"/>
      <c r="R2488" s="937"/>
      <c r="S2488" s="924"/>
      <c r="T2488" s="1407"/>
      <c r="U2488" s="157"/>
      <c r="V2488" s="3589"/>
      <c r="W2488" s="766"/>
      <c r="X2488" s="765"/>
      <c r="Y2488" s="786">
        <v>13</v>
      </c>
      <c r="Z2488" s="781">
        <v>13</v>
      </c>
      <c r="AA2488" s="781">
        <v>13</v>
      </c>
      <c r="AB2488" s="2725">
        <v>13</v>
      </c>
      <c r="AC2488" s="766"/>
      <c r="AD2488" s="766"/>
      <c r="AE2488" s="766"/>
      <c r="AF2488" s="766"/>
      <c r="AG2488" s="766"/>
      <c r="BB2488" s="647"/>
      <c r="BC2488" s="648"/>
      <c r="BD2488" s="757"/>
      <c r="BE2488" s="659"/>
    </row>
    <row r="2489" spans="1:57" s="64" customFormat="1" ht="15" customHeight="1" outlineLevel="1" x14ac:dyDescent="0.25">
      <c r="A2489" s="2463"/>
      <c r="B2489" s="157"/>
      <c r="C2489" s="385"/>
      <c r="D2489" s="3589"/>
      <c r="E2489" s="3721"/>
      <c r="F2489" s="3773" t="str">
        <f>$E$1484</f>
        <v>ASHP - SEER 18 - replace electric furnace / CAC SF</v>
      </c>
      <c r="G2489" s="3774"/>
      <c r="H2489" s="3774"/>
      <c r="I2489" s="3775"/>
      <c r="J2489" s="3071" t="str">
        <f>$C$1484</f>
        <v>353200_2019_12_</v>
      </c>
      <c r="K2489" s="2725">
        <v>13</v>
      </c>
      <c r="L2489" s="945"/>
      <c r="M2489" s="2727" t="s">
        <v>1508</v>
      </c>
      <c r="N2489" s="157"/>
      <c r="O2489" s="277"/>
      <c r="P2489" s="937"/>
      <c r="Q2489" s="937"/>
      <c r="R2489" s="937"/>
      <c r="S2489" s="924"/>
      <c r="T2489" s="1407"/>
      <c r="U2489" s="157"/>
      <c r="V2489" s="3589"/>
      <c r="W2489" s="766">
        <v>6.8</v>
      </c>
      <c r="X2489" s="765">
        <v>8.33</v>
      </c>
      <c r="Y2489" s="786">
        <v>13</v>
      </c>
      <c r="Z2489" s="781">
        <v>13</v>
      </c>
      <c r="AA2489" s="781">
        <v>13</v>
      </c>
      <c r="AB2489" s="2725">
        <v>13</v>
      </c>
      <c r="AC2489" s="766"/>
      <c r="AD2489" s="766"/>
      <c r="AE2489" s="766"/>
      <c r="AF2489" s="766"/>
      <c r="AG2489" s="766"/>
      <c r="BB2489" s="647"/>
      <c r="BC2489" s="648"/>
      <c r="BD2489" s="757"/>
      <c r="BE2489" s="659"/>
    </row>
    <row r="2490" spans="1:57" s="64" customFormat="1" ht="15" customHeight="1" outlineLevel="1" x14ac:dyDescent="0.25">
      <c r="A2490" s="2463"/>
      <c r="B2490" s="157"/>
      <c r="C2490" s="385"/>
      <c r="D2490" s="3589"/>
      <c r="E2490" s="3721"/>
      <c r="F2490" s="3773" t="str">
        <f>$E$1486</f>
        <v>ASHP - SEER 18 - replace electric furnace / CAC MF</v>
      </c>
      <c r="G2490" s="3774"/>
      <c r="H2490" s="3774"/>
      <c r="I2490" s="3775"/>
      <c r="J2490" s="3071" t="str">
        <f>$C$1486</f>
        <v>353250_2019_12_</v>
      </c>
      <c r="K2490" s="2725">
        <v>13</v>
      </c>
      <c r="L2490" s="945"/>
      <c r="M2490" s="2727" t="s">
        <v>1508</v>
      </c>
      <c r="N2490" s="157"/>
      <c r="O2490" s="277"/>
      <c r="P2490" s="937"/>
      <c r="Q2490" s="937"/>
      <c r="R2490" s="937"/>
      <c r="S2490" s="924"/>
      <c r="T2490" s="1407"/>
      <c r="U2490" s="157"/>
      <c r="V2490" s="3589"/>
      <c r="W2490" s="766">
        <v>6.8</v>
      </c>
      <c r="X2490" s="765">
        <v>8.33</v>
      </c>
      <c r="Y2490" s="786">
        <v>13</v>
      </c>
      <c r="Z2490" s="781">
        <v>13</v>
      </c>
      <c r="AA2490" s="781">
        <v>13</v>
      </c>
      <c r="AB2490" s="2725">
        <v>13</v>
      </c>
      <c r="AC2490" s="766"/>
      <c r="AD2490" s="766"/>
      <c r="AE2490" s="766"/>
      <c r="AF2490" s="766"/>
      <c r="AG2490" s="766"/>
      <c r="BB2490" s="647"/>
      <c r="BC2490" s="648"/>
      <c r="BD2490" s="757"/>
      <c r="BE2490" s="659"/>
    </row>
    <row r="2491" spans="1:57" s="64" customFormat="1" ht="15" customHeight="1" outlineLevel="1" x14ac:dyDescent="0.25">
      <c r="A2491" s="2463"/>
      <c r="B2491" s="157"/>
      <c r="C2491" s="385"/>
      <c r="D2491" s="3589"/>
      <c r="E2491" s="3721"/>
      <c r="F2491" s="3773" t="str">
        <f>$E$1488</f>
        <v>ASHP - SEER 18 - replace electric furnace / CAC MF_CompE</v>
      </c>
      <c r="G2491" s="3774"/>
      <c r="H2491" s="3774"/>
      <c r="I2491" s="3775"/>
      <c r="J2491" s="3071" t="str">
        <f>$C$1488</f>
        <v>353251_2019_12_</v>
      </c>
      <c r="K2491" s="2725">
        <v>13</v>
      </c>
      <c r="L2491" s="945"/>
      <c r="M2491" s="2727" t="s">
        <v>1508</v>
      </c>
      <c r="N2491" s="157"/>
      <c r="O2491" s="277"/>
      <c r="P2491" s="937"/>
      <c r="Q2491" s="937"/>
      <c r="R2491" s="937"/>
      <c r="S2491" s="924"/>
      <c r="T2491" s="1407"/>
      <c r="U2491" s="157"/>
      <c r="V2491" s="3589"/>
      <c r="W2491" s="766"/>
      <c r="X2491" s="765"/>
      <c r="Y2491" s="786">
        <v>13</v>
      </c>
      <c r="Z2491" s="781">
        <v>13</v>
      </c>
      <c r="AA2491" s="781">
        <v>13</v>
      </c>
      <c r="AB2491" s="2725">
        <v>13</v>
      </c>
      <c r="AC2491" s="766"/>
      <c r="AD2491" s="766"/>
      <c r="AE2491" s="766"/>
      <c r="AF2491" s="766"/>
      <c r="AG2491" s="766"/>
      <c r="BB2491" s="647"/>
      <c r="BC2491" s="648"/>
      <c r="BD2491" s="757"/>
      <c r="BE2491" s="659"/>
    </row>
    <row r="2492" spans="1:57" s="64" customFormat="1" ht="15" customHeight="1" outlineLevel="1" x14ac:dyDescent="0.25">
      <c r="A2492" s="2463"/>
      <c r="B2492" s="157"/>
      <c r="C2492" s="385"/>
      <c r="D2492" s="3589"/>
      <c r="E2492" s="3721"/>
      <c r="F2492" s="3773" t="str">
        <f>$E$1490</f>
        <v>ASHP - SEER 19 - replace electric furnace / CAC SF</v>
      </c>
      <c r="G2492" s="3774"/>
      <c r="H2492" s="3774"/>
      <c r="I2492" s="3775"/>
      <c r="J2492" s="3071" t="str">
        <f>$C$1490</f>
        <v>353300_2019_12_</v>
      </c>
      <c r="K2492" s="2725">
        <v>13</v>
      </c>
      <c r="L2492" s="945"/>
      <c r="M2492" s="2727" t="s">
        <v>1508</v>
      </c>
      <c r="N2492" s="157"/>
      <c r="O2492" s="277"/>
      <c r="P2492" s="937"/>
      <c r="Q2492" s="937"/>
      <c r="R2492" s="937"/>
      <c r="S2492" s="924"/>
      <c r="T2492" s="1407"/>
      <c r="U2492" s="157"/>
      <c r="V2492" s="3589"/>
      <c r="W2492" s="766">
        <v>6.8</v>
      </c>
      <c r="X2492" s="765">
        <v>8.33</v>
      </c>
      <c r="Y2492" s="786">
        <v>13</v>
      </c>
      <c r="Z2492" s="781">
        <v>13</v>
      </c>
      <c r="AA2492" s="781">
        <v>13</v>
      </c>
      <c r="AB2492" s="2725">
        <v>13</v>
      </c>
      <c r="AC2492" s="766"/>
      <c r="AD2492" s="766"/>
      <c r="AE2492" s="766"/>
      <c r="AF2492" s="766"/>
      <c r="AG2492" s="766"/>
      <c r="BB2492" s="647"/>
      <c r="BC2492" s="648"/>
      <c r="BD2492" s="757"/>
      <c r="BE2492" s="659"/>
    </row>
    <row r="2493" spans="1:57" s="64" customFormat="1" ht="15" customHeight="1" outlineLevel="1" x14ac:dyDescent="0.25">
      <c r="A2493" s="2463"/>
      <c r="B2493" s="157"/>
      <c r="C2493" s="385"/>
      <c r="D2493" s="3589"/>
      <c r="E2493" s="3721"/>
      <c r="F2493" s="3773" t="str">
        <f>$E$1492</f>
        <v>ASHP - SEER 19 - replace electric furnace / CAC MF</v>
      </c>
      <c r="G2493" s="3774"/>
      <c r="H2493" s="3774"/>
      <c r="I2493" s="3775"/>
      <c r="J2493" s="3071" t="str">
        <f>$C$1492</f>
        <v>353350_2019_12_</v>
      </c>
      <c r="K2493" s="2725">
        <v>13</v>
      </c>
      <c r="L2493" s="945"/>
      <c r="M2493" s="2727" t="s">
        <v>1508</v>
      </c>
      <c r="N2493" s="157"/>
      <c r="O2493" s="277"/>
      <c r="P2493" s="937"/>
      <c r="Q2493" s="937"/>
      <c r="R2493" s="937"/>
      <c r="S2493" s="924"/>
      <c r="T2493" s="1407"/>
      <c r="U2493" s="157"/>
      <c r="V2493" s="3589"/>
      <c r="W2493" s="766">
        <v>6.8</v>
      </c>
      <c r="X2493" s="765">
        <v>8.33</v>
      </c>
      <c r="Y2493" s="786">
        <v>13</v>
      </c>
      <c r="Z2493" s="781">
        <v>13</v>
      </c>
      <c r="AA2493" s="781">
        <v>13</v>
      </c>
      <c r="AB2493" s="2725">
        <v>13</v>
      </c>
      <c r="AC2493" s="766"/>
      <c r="AD2493" s="766"/>
      <c r="AE2493" s="766"/>
      <c r="AF2493" s="766"/>
      <c r="AG2493" s="766"/>
      <c r="BB2493" s="647"/>
      <c r="BC2493" s="648"/>
      <c r="BD2493" s="757"/>
      <c r="BE2493" s="659"/>
    </row>
    <row r="2494" spans="1:57" s="64" customFormat="1" ht="15" customHeight="1" outlineLevel="1" x14ac:dyDescent="0.25">
      <c r="A2494" s="2463"/>
      <c r="B2494" s="157"/>
      <c r="C2494" s="385"/>
      <c r="D2494" s="3589"/>
      <c r="E2494" s="3721"/>
      <c r="F2494" s="3773" t="str">
        <f>$E$1494</f>
        <v>ASHP - SEER 19 - replace electric furnace / CAC MF_CompE</v>
      </c>
      <c r="G2494" s="3774"/>
      <c r="H2494" s="3774"/>
      <c r="I2494" s="3775"/>
      <c r="J2494" s="3071" t="str">
        <f>$C$1494</f>
        <v>353351_2019_12_</v>
      </c>
      <c r="K2494" s="2725">
        <v>13</v>
      </c>
      <c r="L2494" s="945"/>
      <c r="M2494" s="2727" t="s">
        <v>1508</v>
      </c>
      <c r="N2494" s="157"/>
      <c r="O2494" s="277"/>
      <c r="P2494" s="937"/>
      <c r="Q2494" s="937"/>
      <c r="R2494" s="937"/>
      <c r="S2494" s="924"/>
      <c r="T2494" s="1407"/>
      <c r="U2494" s="157"/>
      <c r="V2494" s="3589"/>
      <c r="W2494" s="766"/>
      <c r="X2494" s="765"/>
      <c r="Y2494" s="786">
        <v>13</v>
      </c>
      <c r="Z2494" s="781">
        <v>13</v>
      </c>
      <c r="AA2494" s="781">
        <v>13</v>
      </c>
      <c r="AB2494" s="2725">
        <v>13</v>
      </c>
      <c r="AC2494" s="766"/>
      <c r="AD2494" s="766"/>
      <c r="AE2494" s="766"/>
      <c r="AF2494" s="766"/>
      <c r="AG2494" s="766"/>
      <c r="BB2494" s="647"/>
      <c r="BC2494" s="648"/>
      <c r="BD2494" s="757"/>
      <c r="BE2494" s="659"/>
    </row>
    <row r="2495" spans="1:57" s="64" customFormat="1" ht="15" customHeight="1" outlineLevel="1" x14ac:dyDescent="0.25">
      <c r="A2495" s="2463"/>
      <c r="B2495" s="157"/>
      <c r="C2495" s="385"/>
      <c r="D2495" s="3589"/>
      <c r="E2495" s="3721"/>
      <c r="F2495" s="3773" t="str">
        <f>$E$1496</f>
        <v>ASHP - SEER 20 - replace electric furnace / CAC - early replacement SF ER1</v>
      </c>
      <c r="G2495" s="3774"/>
      <c r="H2495" s="3774"/>
      <c r="I2495" s="3775"/>
      <c r="J2495" s="3071" t="str">
        <f>$C$1496</f>
        <v>353400_2019_12_</v>
      </c>
      <c r="K2495" s="2725">
        <v>8.33</v>
      </c>
      <c r="L2495" s="945"/>
      <c r="M2495" s="2727" t="s">
        <v>1508</v>
      </c>
      <c r="N2495" s="157"/>
      <c r="O2495" s="277"/>
      <c r="P2495" s="937"/>
      <c r="Q2495" s="937"/>
      <c r="R2495" s="937"/>
      <c r="S2495" s="924"/>
      <c r="T2495" s="1407"/>
      <c r="U2495" s="157"/>
      <c r="V2495" s="3589"/>
      <c r="W2495" s="766">
        <v>6.8</v>
      </c>
      <c r="X2495" s="765">
        <v>8.33</v>
      </c>
      <c r="Y2495" s="781">
        <v>8.33</v>
      </c>
      <c r="Z2495" s="781">
        <v>8.33</v>
      </c>
      <c r="AA2495" s="781">
        <v>8.33</v>
      </c>
      <c r="AB2495" s="2725">
        <v>8.33</v>
      </c>
      <c r="AC2495" s="766"/>
      <c r="AD2495" s="766"/>
      <c r="AE2495" s="766"/>
      <c r="AF2495" s="766"/>
      <c r="AG2495" s="766"/>
      <c r="BB2495" s="647"/>
      <c r="BC2495" s="648"/>
      <c r="BD2495" s="757"/>
      <c r="BE2495" s="659"/>
    </row>
    <row r="2496" spans="1:57" s="64" customFormat="1" ht="15" customHeight="1" outlineLevel="1" x14ac:dyDescent="0.25">
      <c r="A2496" s="2463"/>
      <c r="B2496" s="157"/>
      <c r="C2496" s="385"/>
      <c r="D2496" s="3589"/>
      <c r="E2496" s="3721"/>
      <c r="F2496" s="3773" t="str">
        <f>$E$1498</f>
        <v>ASHP - SEER 20 - replace electric furnace / CAC - early replacement SF ER2</v>
      </c>
      <c r="G2496" s="3774"/>
      <c r="H2496" s="3774"/>
      <c r="I2496" s="3775"/>
      <c r="J2496" s="3071" t="str">
        <f>$C$1498</f>
        <v>353400_2019_12_</v>
      </c>
      <c r="K2496" s="2725">
        <v>13</v>
      </c>
      <c r="L2496" s="945"/>
      <c r="M2496" s="2727" t="s">
        <v>1508</v>
      </c>
      <c r="N2496" s="157"/>
      <c r="O2496" s="277"/>
      <c r="P2496" s="937"/>
      <c r="Q2496" s="937"/>
      <c r="R2496" s="937"/>
      <c r="S2496" s="924"/>
      <c r="T2496" s="1407"/>
      <c r="U2496" s="157"/>
      <c r="V2496" s="3589"/>
      <c r="W2496" s="766">
        <v>13</v>
      </c>
      <c r="X2496" s="766">
        <v>13</v>
      </c>
      <c r="Y2496" s="781">
        <v>13</v>
      </c>
      <c r="Z2496" s="781">
        <v>13</v>
      </c>
      <c r="AA2496" s="781">
        <v>13</v>
      </c>
      <c r="AB2496" s="2725">
        <v>13</v>
      </c>
      <c r="AC2496" s="766"/>
      <c r="AD2496" s="766"/>
      <c r="AE2496" s="766"/>
      <c r="AF2496" s="766"/>
      <c r="AG2496" s="766"/>
      <c r="BB2496" s="647"/>
      <c r="BC2496" s="648"/>
      <c r="BD2496" s="757"/>
      <c r="BE2496" s="659"/>
    </row>
    <row r="2497" spans="1:57" s="64" customFormat="1" ht="15" customHeight="1" outlineLevel="1" x14ac:dyDescent="0.25">
      <c r="A2497" s="2463"/>
      <c r="B2497" s="157"/>
      <c r="C2497" s="385"/>
      <c r="D2497" s="3589"/>
      <c r="E2497" s="3721"/>
      <c r="F2497" s="3773" t="str">
        <f>$E$1500</f>
        <v>ASHP - SEER 20 - replace electric furnace / CAC SF</v>
      </c>
      <c r="G2497" s="3774"/>
      <c r="H2497" s="3774"/>
      <c r="I2497" s="3775"/>
      <c r="J2497" s="3071" t="str">
        <f>$C$1500</f>
        <v>353450_2019_12_</v>
      </c>
      <c r="K2497" s="2725">
        <v>13</v>
      </c>
      <c r="L2497" s="945"/>
      <c r="M2497" s="2727" t="s">
        <v>1508</v>
      </c>
      <c r="N2497" s="157"/>
      <c r="O2497" s="277"/>
      <c r="P2497" s="937"/>
      <c r="Q2497" s="937"/>
      <c r="R2497" s="937"/>
      <c r="S2497" s="924"/>
      <c r="T2497" s="1407"/>
      <c r="U2497" s="157"/>
      <c r="V2497" s="3589"/>
      <c r="W2497" s="766">
        <v>13</v>
      </c>
      <c r="X2497" s="766">
        <v>13</v>
      </c>
      <c r="Y2497" s="781">
        <v>13</v>
      </c>
      <c r="Z2497" s="781">
        <v>13</v>
      </c>
      <c r="AA2497" s="781">
        <v>13</v>
      </c>
      <c r="AB2497" s="2725">
        <v>13</v>
      </c>
      <c r="AC2497" s="766"/>
      <c r="AD2497" s="766"/>
      <c r="AE2497" s="766"/>
      <c r="AF2497" s="766"/>
      <c r="AG2497" s="766"/>
      <c r="BB2497" s="647"/>
      <c r="BC2497" s="648"/>
      <c r="BD2497" s="757"/>
      <c r="BE2497" s="659"/>
    </row>
    <row r="2498" spans="1:57" s="64" customFormat="1" ht="15" customHeight="1" outlineLevel="1" x14ac:dyDescent="0.25">
      <c r="A2498" s="2463"/>
      <c r="B2498" s="157"/>
      <c r="C2498" s="385"/>
      <c r="D2498" s="3589"/>
      <c r="E2498" s="3721"/>
      <c r="F2498" s="3773" t="str">
        <f>$E$1502</f>
        <v>ASHP - SEER 20 - replace electric furnace / CAC MF</v>
      </c>
      <c r="G2498" s="3774"/>
      <c r="H2498" s="3774"/>
      <c r="I2498" s="3775"/>
      <c r="J2498" s="3071" t="str">
        <f>$C$1502</f>
        <v>353500_2019_12_</v>
      </c>
      <c r="K2498" s="2725">
        <v>13</v>
      </c>
      <c r="L2498" s="945"/>
      <c r="M2498" s="2727" t="s">
        <v>1508</v>
      </c>
      <c r="N2498" s="157"/>
      <c r="O2498" s="277"/>
      <c r="P2498" s="937"/>
      <c r="Q2498" s="937"/>
      <c r="R2498" s="937"/>
      <c r="S2498" s="924"/>
      <c r="T2498" s="1407"/>
      <c r="U2498" s="157"/>
      <c r="V2498" s="3589"/>
      <c r="W2498" s="766">
        <v>13</v>
      </c>
      <c r="X2498" s="766">
        <v>13</v>
      </c>
      <c r="Y2498" s="781">
        <v>13</v>
      </c>
      <c r="Z2498" s="781">
        <v>13</v>
      </c>
      <c r="AA2498" s="781">
        <v>13</v>
      </c>
      <c r="AB2498" s="2725">
        <v>13</v>
      </c>
      <c r="AC2498" s="766"/>
      <c r="AD2498" s="766"/>
      <c r="AE2498" s="766"/>
      <c r="AF2498" s="766"/>
      <c r="AG2498" s="766"/>
      <c r="BB2498" s="647"/>
      <c r="BC2498" s="648"/>
      <c r="BD2498" s="757"/>
      <c r="BE2498" s="659"/>
    </row>
    <row r="2499" spans="1:57" s="64" customFormat="1" ht="15" customHeight="1" outlineLevel="1" x14ac:dyDescent="0.25">
      <c r="A2499" s="2463"/>
      <c r="B2499" s="157"/>
      <c r="C2499" s="385"/>
      <c r="D2499" s="3589"/>
      <c r="E2499" s="3721"/>
      <c r="F2499" s="3773" t="str">
        <f>$E$1504</f>
        <v>ASHP - SEER 20 - replace electric furnace / CAC MF_CompE</v>
      </c>
      <c r="G2499" s="3774"/>
      <c r="H2499" s="3774"/>
      <c r="I2499" s="3775"/>
      <c r="J2499" s="3071" t="str">
        <f>$C$1504</f>
        <v>353501_2019_12_</v>
      </c>
      <c r="K2499" s="2725">
        <v>13</v>
      </c>
      <c r="L2499" s="945"/>
      <c r="M2499" s="2727" t="s">
        <v>1508</v>
      </c>
      <c r="N2499" s="157"/>
      <c r="O2499" s="277"/>
      <c r="P2499" s="937"/>
      <c r="Q2499" s="937"/>
      <c r="R2499" s="937"/>
      <c r="S2499" s="924"/>
      <c r="T2499" s="1407"/>
      <c r="U2499" s="157"/>
      <c r="V2499" s="3589"/>
      <c r="W2499" s="766"/>
      <c r="X2499" s="766"/>
      <c r="Y2499" s="786">
        <v>13</v>
      </c>
      <c r="Z2499" s="781">
        <v>13</v>
      </c>
      <c r="AA2499" s="781">
        <v>13</v>
      </c>
      <c r="AB2499" s="2725">
        <v>13</v>
      </c>
      <c r="AC2499" s="766"/>
      <c r="AD2499" s="766"/>
      <c r="AE2499" s="766"/>
      <c r="AF2499" s="766"/>
      <c r="AG2499" s="766"/>
      <c r="BB2499" s="647"/>
      <c r="BC2499" s="648"/>
      <c r="BD2499" s="757"/>
      <c r="BE2499" s="659"/>
    </row>
    <row r="2500" spans="1:57" s="64" customFormat="1" ht="15" customHeight="1" outlineLevel="1" x14ac:dyDescent="0.25">
      <c r="A2500" s="2463"/>
      <c r="B2500" s="157"/>
      <c r="C2500" s="385"/>
      <c r="D2500" s="3589"/>
      <c r="E2500" s="3721"/>
      <c r="F2500" s="3773" t="str">
        <f>$E$1506</f>
        <v>ASHP - SEER 21 - replace electric furnace / CAC - early replacement SF ER1</v>
      </c>
      <c r="G2500" s="3774"/>
      <c r="H2500" s="3774"/>
      <c r="I2500" s="3775"/>
      <c r="J2500" s="3071" t="str">
        <f>$C$1506</f>
        <v>353550_2019_12_</v>
      </c>
      <c r="K2500" s="2725">
        <v>8.33</v>
      </c>
      <c r="L2500" s="945"/>
      <c r="M2500" s="2727" t="s">
        <v>1508</v>
      </c>
      <c r="N2500" s="157"/>
      <c r="O2500" s="277"/>
      <c r="P2500" s="937"/>
      <c r="Q2500" s="938"/>
      <c r="R2500" s="937"/>
      <c r="S2500" s="924"/>
      <c r="T2500" s="1407"/>
      <c r="U2500" s="157"/>
      <c r="V2500" s="3589"/>
      <c r="W2500" s="766">
        <v>6.8</v>
      </c>
      <c r="X2500" s="765">
        <v>8.33</v>
      </c>
      <c r="Y2500" s="781">
        <v>8.33</v>
      </c>
      <c r="Z2500" s="781">
        <v>8.33</v>
      </c>
      <c r="AA2500" s="781">
        <v>8.33</v>
      </c>
      <c r="AB2500" s="2725">
        <v>8.33</v>
      </c>
      <c r="AC2500" s="766"/>
      <c r="AD2500" s="766"/>
      <c r="AE2500" s="766"/>
      <c r="AF2500" s="766"/>
      <c r="AG2500" s="766"/>
      <c r="BB2500" s="647"/>
      <c r="BC2500" s="648"/>
      <c r="BD2500" s="757"/>
      <c r="BE2500" s="659"/>
    </row>
    <row r="2501" spans="1:57" s="64" customFormat="1" ht="15" customHeight="1" outlineLevel="1" x14ac:dyDescent="0.25">
      <c r="A2501" s="2463"/>
      <c r="B2501" s="157"/>
      <c r="C2501" s="385"/>
      <c r="D2501" s="3589"/>
      <c r="E2501" s="3721"/>
      <c r="F2501" s="3773" t="str">
        <f>$E$1508</f>
        <v>ASHP - SEER 21 - replace electric furnace / CAC - early replacement SF ER2</v>
      </c>
      <c r="G2501" s="3774"/>
      <c r="H2501" s="3774"/>
      <c r="I2501" s="3775"/>
      <c r="J2501" s="3071" t="str">
        <f>$C$1508</f>
        <v>353550_2019_12_</v>
      </c>
      <c r="K2501" s="2725">
        <v>13</v>
      </c>
      <c r="L2501" s="945"/>
      <c r="M2501" s="2727" t="s">
        <v>1508</v>
      </c>
      <c r="N2501" s="157"/>
      <c r="O2501" s="277"/>
      <c r="P2501" s="937"/>
      <c r="Q2501" s="938"/>
      <c r="R2501" s="937"/>
      <c r="S2501" s="924"/>
      <c r="T2501" s="1407"/>
      <c r="U2501" s="157"/>
      <c r="V2501" s="3589"/>
      <c r="W2501" s="766">
        <v>13</v>
      </c>
      <c r="X2501" s="766">
        <v>13</v>
      </c>
      <c r="Y2501" s="781">
        <v>13</v>
      </c>
      <c r="Z2501" s="781">
        <v>13</v>
      </c>
      <c r="AA2501" s="781">
        <v>13</v>
      </c>
      <c r="AB2501" s="2725">
        <v>13</v>
      </c>
      <c r="AC2501" s="766"/>
      <c r="AD2501" s="766"/>
      <c r="AE2501" s="766"/>
      <c r="AF2501" s="766"/>
      <c r="AG2501" s="766"/>
      <c r="BB2501" s="647"/>
      <c r="BC2501" s="648"/>
      <c r="BD2501" s="757"/>
      <c r="BE2501" s="659"/>
    </row>
    <row r="2502" spans="1:57" s="64" customFormat="1" ht="15" customHeight="1" outlineLevel="1" x14ac:dyDescent="0.25">
      <c r="A2502" s="2463"/>
      <c r="B2502" s="157"/>
      <c r="C2502" s="385"/>
      <c r="D2502" s="3589"/>
      <c r="E2502" s="3721"/>
      <c r="F2502" s="3773" t="str">
        <f>$E$1510</f>
        <v>ASHP - SEER 21 - replace electric furnace / CAC - early replacement MF ER1</v>
      </c>
      <c r="G2502" s="3774"/>
      <c r="H2502" s="3774"/>
      <c r="I2502" s="3775"/>
      <c r="J2502" s="3071" t="str">
        <f>$C$1510</f>
        <v>353600_2019_12_</v>
      </c>
      <c r="K2502" s="2725">
        <v>8.33</v>
      </c>
      <c r="L2502" s="945"/>
      <c r="M2502" s="2727" t="s">
        <v>1508</v>
      </c>
      <c r="N2502" s="157"/>
      <c r="O2502" s="277"/>
      <c r="P2502" s="937"/>
      <c r="Q2502" s="938"/>
      <c r="R2502" s="937"/>
      <c r="S2502" s="924"/>
      <c r="T2502" s="1407"/>
      <c r="U2502" s="157"/>
      <c r="V2502" s="3589"/>
      <c r="W2502" s="766">
        <v>6.8</v>
      </c>
      <c r="X2502" s="765">
        <v>8.33</v>
      </c>
      <c r="Y2502" s="781">
        <v>8.33</v>
      </c>
      <c r="Z2502" s="781">
        <v>8.33</v>
      </c>
      <c r="AA2502" s="781">
        <v>8.33</v>
      </c>
      <c r="AB2502" s="2725">
        <v>8.33</v>
      </c>
      <c r="AC2502" s="766"/>
      <c r="AD2502" s="766"/>
      <c r="AE2502" s="766"/>
      <c r="AF2502" s="766"/>
      <c r="AG2502" s="766"/>
      <c r="BB2502" s="647"/>
      <c r="BC2502" s="648"/>
      <c r="BD2502" s="757"/>
      <c r="BE2502" s="659"/>
    </row>
    <row r="2503" spans="1:57" s="64" customFormat="1" ht="15" customHeight="1" outlineLevel="1" x14ac:dyDescent="0.25">
      <c r="A2503" s="2463"/>
      <c r="B2503" s="157"/>
      <c r="C2503" s="385"/>
      <c r="D2503" s="3589"/>
      <c r="E2503" s="3721"/>
      <c r="F2503" s="3773" t="str">
        <f>$E$1512</f>
        <v>ASHP - SEER 21 - replace electric furnace / CAC - early replacement MF ER2</v>
      </c>
      <c r="G2503" s="3774"/>
      <c r="H2503" s="3774"/>
      <c r="I2503" s="3775"/>
      <c r="J2503" s="3071" t="str">
        <f>$C$1512</f>
        <v>353600_2019_12_</v>
      </c>
      <c r="K2503" s="2725">
        <v>13</v>
      </c>
      <c r="L2503" s="945"/>
      <c r="M2503" s="2727" t="s">
        <v>1508</v>
      </c>
      <c r="N2503" s="157"/>
      <c r="O2503" s="277"/>
      <c r="P2503" s="937"/>
      <c r="Q2503" s="938"/>
      <c r="R2503" s="937"/>
      <c r="S2503" s="924"/>
      <c r="T2503" s="1407"/>
      <c r="U2503" s="157"/>
      <c r="V2503" s="3589"/>
      <c r="W2503" s="766">
        <v>13</v>
      </c>
      <c r="X2503" s="766">
        <v>13</v>
      </c>
      <c r="Y2503" s="781">
        <v>13</v>
      </c>
      <c r="Z2503" s="781">
        <v>13</v>
      </c>
      <c r="AA2503" s="781">
        <v>13</v>
      </c>
      <c r="AB2503" s="2725">
        <v>13</v>
      </c>
      <c r="AC2503" s="766"/>
      <c r="AD2503" s="766"/>
      <c r="AE2503" s="766"/>
      <c r="AF2503" s="766"/>
      <c r="AG2503" s="766"/>
      <c r="BB2503" s="647"/>
      <c r="BC2503" s="648"/>
      <c r="BD2503" s="757"/>
      <c r="BE2503" s="659"/>
    </row>
    <row r="2504" spans="1:57" s="64" customFormat="1" ht="15" customHeight="1" outlineLevel="1" x14ac:dyDescent="0.25">
      <c r="A2504" s="2463"/>
      <c r="B2504" s="157"/>
      <c r="C2504" s="385"/>
      <c r="D2504" s="3589"/>
      <c r="E2504" s="3721"/>
      <c r="F2504" s="3773" t="str">
        <f>$E$1514</f>
        <v>ASHP - SEER 21 - replace electric furnace / CAC - early replacement MF ER1_CompE</v>
      </c>
      <c r="G2504" s="3774"/>
      <c r="H2504" s="3774"/>
      <c r="I2504" s="3775"/>
      <c r="J2504" s="3071" t="str">
        <f>$C$1514</f>
        <v>353601_2019_12_</v>
      </c>
      <c r="K2504" s="2725">
        <v>8.33</v>
      </c>
      <c r="L2504" s="945"/>
      <c r="M2504" s="2727" t="s">
        <v>1508</v>
      </c>
      <c r="N2504" s="157"/>
      <c r="O2504" s="277"/>
      <c r="P2504" s="937"/>
      <c r="Q2504" s="938"/>
      <c r="R2504" s="937"/>
      <c r="S2504" s="924"/>
      <c r="T2504" s="1407"/>
      <c r="U2504" s="157"/>
      <c r="V2504" s="3589"/>
      <c r="W2504" s="766"/>
      <c r="X2504" s="766"/>
      <c r="Y2504" s="786">
        <v>8.33</v>
      </c>
      <c r="Z2504" s="781">
        <v>8.33</v>
      </c>
      <c r="AA2504" s="781">
        <v>8.33</v>
      </c>
      <c r="AB2504" s="2725">
        <v>8.33</v>
      </c>
      <c r="AC2504" s="766"/>
      <c r="AD2504" s="766"/>
      <c r="AE2504" s="766"/>
      <c r="AF2504" s="766"/>
      <c r="AG2504" s="766"/>
      <c r="BB2504" s="647"/>
      <c r="BC2504" s="648"/>
      <c r="BD2504" s="757"/>
      <c r="BE2504" s="659"/>
    </row>
    <row r="2505" spans="1:57" s="64" customFormat="1" ht="15" customHeight="1" outlineLevel="1" x14ac:dyDescent="0.25">
      <c r="A2505" s="2463"/>
      <c r="B2505" s="157"/>
      <c r="C2505" s="385"/>
      <c r="D2505" s="3589"/>
      <c r="E2505" s="3721"/>
      <c r="F2505" s="3773" t="str">
        <f>$E$1516</f>
        <v>ASHP - SEER 21 - replace electric furnace / CAC - early replacement MF ER2_CompE</v>
      </c>
      <c r="G2505" s="3774"/>
      <c r="H2505" s="3774"/>
      <c r="I2505" s="3775"/>
      <c r="J2505" s="3071" t="str">
        <f>$C$1516</f>
        <v>353601_2019_12_</v>
      </c>
      <c r="K2505" s="2725">
        <v>13</v>
      </c>
      <c r="L2505" s="945"/>
      <c r="M2505" s="2727" t="s">
        <v>1508</v>
      </c>
      <c r="N2505" s="157"/>
      <c r="O2505" s="277"/>
      <c r="P2505" s="937"/>
      <c r="Q2505" s="938"/>
      <c r="R2505" s="937"/>
      <c r="S2505" s="924"/>
      <c r="T2505" s="1407"/>
      <c r="U2505" s="157"/>
      <c r="V2505" s="3589"/>
      <c r="W2505" s="766"/>
      <c r="X2505" s="766"/>
      <c r="Y2505" s="786">
        <v>13</v>
      </c>
      <c r="Z2505" s="781">
        <v>13</v>
      </c>
      <c r="AA2505" s="781">
        <v>13</v>
      </c>
      <c r="AB2505" s="2725">
        <v>13</v>
      </c>
      <c r="AC2505" s="766"/>
      <c r="AD2505" s="766"/>
      <c r="AE2505" s="766"/>
      <c r="AF2505" s="766"/>
      <c r="AG2505" s="766"/>
      <c r="BB2505" s="647"/>
      <c r="BC2505" s="648"/>
      <c r="BD2505" s="757"/>
      <c r="BE2505" s="659"/>
    </row>
    <row r="2506" spans="1:57" s="64" customFormat="1" ht="15" customHeight="1" outlineLevel="1" x14ac:dyDescent="0.25">
      <c r="A2506" s="2463"/>
      <c r="B2506" s="157"/>
      <c r="C2506" s="385"/>
      <c r="D2506" s="3589"/>
      <c r="E2506" s="3721"/>
      <c r="F2506" s="3773" t="str">
        <f>$E$1518</f>
        <v>ASHP - SEER 21 - replace electric furnace / CAC SF</v>
      </c>
      <c r="G2506" s="3774"/>
      <c r="H2506" s="3774"/>
      <c r="I2506" s="3775"/>
      <c r="J2506" s="3071" t="str">
        <f>$C$1518</f>
        <v>353650_2019_12_</v>
      </c>
      <c r="K2506" s="2725">
        <v>13</v>
      </c>
      <c r="L2506" s="945"/>
      <c r="M2506" s="2727" t="s">
        <v>1508</v>
      </c>
      <c r="N2506" s="157"/>
      <c r="O2506" s="277"/>
      <c r="P2506" s="937"/>
      <c r="Q2506" s="938"/>
      <c r="R2506" s="937"/>
      <c r="S2506" s="924"/>
      <c r="T2506" s="1407"/>
      <c r="U2506" s="157"/>
      <c r="V2506" s="3589"/>
      <c r="W2506" s="766">
        <v>13</v>
      </c>
      <c r="X2506" s="766">
        <v>13</v>
      </c>
      <c r="Y2506" s="781">
        <v>13</v>
      </c>
      <c r="Z2506" s="781">
        <v>13</v>
      </c>
      <c r="AA2506" s="781">
        <v>13</v>
      </c>
      <c r="AB2506" s="2725">
        <v>13</v>
      </c>
      <c r="AC2506" s="766"/>
      <c r="AD2506" s="766"/>
      <c r="AE2506" s="766"/>
      <c r="AF2506" s="766"/>
      <c r="AG2506" s="766"/>
      <c r="BB2506" s="647"/>
      <c r="BC2506" s="648"/>
      <c r="BD2506" s="757"/>
      <c r="BE2506" s="659"/>
    </row>
    <row r="2507" spans="1:57" s="64" customFormat="1" ht="15" customHeight="1" outlineLevel="1" x14ac:dyDescent="0.25">
      <c r="A2507" s="2463"/>
      <c r="B2507" s="157"/>
      <c r="C2507" s="385"/>
      <c r="D2507" s="3589"/>
      <c r="E2507" s="3721"/>
      <c r="F2507" s="3773" t="str">
        <f>$E$1520</f>
        <v>ASHP-  SEER 21+ replace at Fail Elec Resist Furnace MF</v>
      </c>
      <c r="G2507" s="3774"/>
      <c r="H2507" s="3774"/>
      <c r="I2507" s="3775"/>
      <c r="J2507" s="3071" t="str">
        <f>$C$1520</f>
        <v>353700_2019_12_</v>
      </c>
      <c r="K2507" s="2725">
        <v>13</v>
      </c>
      <c r="L2507" s="945"/>
      <c r="M2507" s="2727" t="s">
        <v>1508</v>
      </c>
      <c r="N2507" s="157"/>
      <c r="O2507" s="277"/>
      <c r="P2507" s="937"/>
      <c r="Q2507" s="938"/>
      <c r="R2507" s="937"/>
      <c r="S2507" s="924"/>
      <c r="T2507" s="1407"/>
      <c r="U2507" s="157"/>
      <c r="V2507" s="3589"/>
      <c r="W2507" s="766">
        <v>13</v>
      </c>
      <c r="X2507" s="766">
        <v>13</v>
      </c>
      <c r="Y2507" s="781">
        <v>13</v>
      </c>
      <c r="Z2507" s="781">
        <v>13</v>
      </c>
      <c r="AA2507" s="781">
        <v>13</v>
      </c>
      <c r="AB2507" s="2725">
        <v>13</v>
      </c>
      <c r="AC2507" s="766"/>
      <c r="AD2507" s="766"/>
      <c r="AE2507" s="766"/>
      <c r="AF2507" s="766"/>
      <c r="AG2507" s="766"/>
      <c r="BB2507" s="647"/>
      <c r="BC2507" s="648"/>
      <c r="BD2507" s="757"/>
      <c r="BE2507" s="659"/>
    </row>
    <row r="2508" spans="1:57" s="64" customFormat="1" ht="15" customHeight="1" outlineLevel="1" x14ac:dyDescent="0.25">
      <c r="A2508" s="2463"/>
      <c r="B2508" s="157"/>
      <c r="C2508" s="385"/>
      <c r="D2508" s="3589"/>
      <c r="E2508" s="3721"/>
      <c r="F2508" s="3773" t="str">
        <f>$E$1522</f>
        <v>ASHP-  SEER 21+ replace at Fail Elec Resist Furnace MF_CompE</v>
      </c>
      <c r="G2508" s="3774"/>
      <c r="H2508" s="3774"/>
      <c r="I2508" s="3775"/>
      <c r="J2508" s="3071" t="str">
        <f>$C$1522</f>
        <v>353701_2019_12_</v>
      </c>
      <c r="K2508" s="2725">
        <v>13</v>
      </c>
      <c r="L2508" s="945"/>
      <c r="M2508" s="2727" t="s">
        <v>1508</v>
      </c>
      <c r="N2508" s="157"/>
      <c r="O2508" s="277"/>
      <c r="P2508" s="937"/>
      <c r="Q2508" s="938"/>
      <c r="R2508" s="937"/>
      <c r="S2508" s="924"/>
      <c r="T2508" s="1407"/>
      <c r="U2508" s="157"/>
      <c r="V2508" s="3589"/>
      <c r="W2508" s="766"/>
      <c r="X2508" s="766"/>
      <c r="Y2508" s="786">
        <v>13</v>
      </c>
      <c r="Z2508" s="781">
        <v>13</v>
      </c>
      <c r="AA2508" s="781">
        <v>13</v>
      </c>
      <c r="AB2508" s="2725">
        <v>13</v>
      </c>
      <c r="AC2508" s="766"/>
      <c r="AD2508" s="766"/>
      <c r="AE2508" s="766"/>
      <c r="AF2508" s="766"/>
      <c r="AG2508" s="766"/>
      <c r="BB2508" s="647"/>
      <c r="BC2508" s="648"/>
      <c r="BD2508" s="757"/>
      <c r="BE2508" s="659"/>
    </row>
    <row r="2509" spans="1:57" s="64" customFormat="1" ht="15" customHeight="1" outlineLevel="1" x14ac:dyDescent="0.25">
      <c r="A2509" s="1393"/>
      <c r="B2509" s="157"/>
      <c r="C2509" s="385"/>
      <c r="D2509" s="3589"/>
      <c r="E2509" s="3721"/>
      <c r="F2509" s="3773" t="str">
        <f>$E$1524</f>
        <v>ASHP SEER 17 replace ASHP - early replacement SF ER1</v>
      </c>
      <c r="G2509" s="3774"/>
      <c r="H2509" s="3774"/>
      <c r="I2509" s="3775"/>
      <c r="J2509" s="3071" t="str">
        <f>$C$1524</f>
        <v>353750_2019_12_</v>
      </c>
      <c r="K2509" s="2725">
        <v>8.33</v>
      </c>
      <c r="L2509" s="945"/>
      <c r="M2509" s="2727" t="s">
        <v>1508</v>
      </c>
      <c r="N2509" s="157"/>
      <c r="O2509" s="277"/>
      <c r="P2509" s="277"/>
      <c r="Q2509" s="277"/>
      <c r="R2509" s="277"/>
      <c r="S2509" s="157"/>
      <c r="T2509" s="157"/>
      <c r="U2509" s="157"/>
      <c r="V2509" s="3589"/>
      <c r="W2509" s="766">
        <v>7.2</v>
      </c>
      <c r="X2509" s="765">
        <v>8.33</v>
      </c>
      <c r="Y2509" s="781">
        <v>8.33</v>
      </c>
      <c r="Z2509" s="781">
        <v>8.33</v>
      </c>
      <c r="AA2509" s="781">
        <v>8.33</v>
      </c>
      <c r="AB2509" s="2725">
        <v>8.33</v>
      </c>
      <c r="AC2509" s="766"/>
      <c r="AD2509" s="766"/>
      <c r="AE2509" s="766"/>
      <c r="AF2509" s="766"/>
      <c r="AG2509" s="766"/>
      <c r="BB2509" s="647"/>
      <c r="BC2509" s="648"/>
      <c r="BD2509" s="757"/>
      <c r="BE2509" s="659"/>
    </row>
    <row r="2510" spans="1:57" s="64" customFormat="1" ht="15" customHeight="1" outlineLevel="1" x14ac:dyDescent="0.25">
      <c r="A2510" s="2463"/>
      <c r="B2510" s="157"/>
      <c r="C2510" s="385"/>
      <c r="D2510" s="3589"/>
      <c r="E2510" s="3721"/>
      <c r="F2510" s="3773" t="str">
        <f>$E$1526</f>
        <v>ASHP SEER 17 replace ASHP - early replacement SF ER2</v>
      </c>
      <c r="G2510" s="3774"/>
      <c r="H2510" s="3774"/>
      <c r="I2510" s="3775"/>
      <c r="J2510" s="3071" t="str">
        <f>$C$1526</f>
        <v>353750_2019_12_</v>
      </c>
      <c r="K2510" s="2725">
        <v>14</v>
      </c>
      <c r="L2510" s="945"/>
      <c r="M2510" s="2727" t="s">
        <v>1508</v>
      </c>
      <c r="N2510" s="157"/>
      <c r="O2510" s="277"/>
      <c r="P2510" s="937"/>
      <c r="Q2510" s="938"/>
      <c r="R2510" s="937"/>
      <c r="S2510" s="924"/>
      <c r="T2510" s="1407"/>
      <c r="U2510" s="157"/>
      <c r="V2510" s="3589"/>
      <c r="W2510" s="766">
        <v>14</v>
      </c>
      <c r="X2510" s="766">
        <v>14</v>
      </c>
      <c r="Y2510" s="781">
        <v>14</v>
      </c>
      <c r="Z2510" s="781">
        <v>14</v>
      </c>
      <c r="AA2510" s="781">
        <v>14</v>
      </c>
      <c r="AB2510" s="2725">
        <v>14</v>
      </c>
      <c r="AC2510" s="766"/>
      <c r="AD2510" s="766"/>
      <c r="AE2510" s="766"/>
      <c r="AF2510" s="766"/>
      <c r="AG2510" s="766"/>
      <c r="BB2510" s="647"/>
      <c r="BC2510" s="648"/>
      <c r="BD2510" s="757"/>
      <c r="BE2510" s="659"/>
    </row>
    <row r="2511" spans="1:57" s="64" customFormat="1" ht="15" customHeight="1" outlineLevel="1" x14ac:dyDescent="0.25">
      <c r="A2511" s="1393"/>
      <c r="B2511" s="157"/>
      <c r="C2511" s="385"/>
      <c r="D2511" s="3589"/>
      <c r="E2511" s="3721"/>
      <c r="F2511" s="3773" t="str">
        <f>$E$1528</f>
        <v>ASHP SEER 17 replace ASHP - replace on fail SF</v>
      </c>
      <c r="G2511" s="3774"/>
      <c r="H2511" s="3774"/>
      <c r="I2511" s="3775"/>
      <c r="J2511" s="3071" t="str">
        <f>$C$1528</f>
        <v>353800_2019_12_</v>
      </c>
      <c r="K2511" s="2725">
        <v>14</v>
      </c>
      <c r="L2511" s="945"/>
      <c r="M2511" s="2727" t="s">
        <v>1508</v>
      </c>
      <c r="N2511" s="157"/>
      <c r="O2511" s="277"/>
      <c r="P2511" s="277"/>
      <c r="Q2511" s="277"/>
      <c r="R2511" s="277"/>
      <c r="S2511" s="157"/>
      <c r="T2511" s="157"/>
      <c r="U2511" s="157"/>
      <c r="V2511" s="3589"/>
      <c r="W2511" s="766">
        <v>14</v>
      </c>
      <c r="X2511" s="766">
        <v>14</v>
      </c>
      <c r="Y2511" s="781">
        <v>14</v>
      </c>
      <c r="Z2511" s="781">
        <v>14</v>
      </c>
      <c r="AA2511" s="781">
        <v>14</v>
      </c>
      <c r="AB2511" s="2725">
        <v>14</v>
      </c>
      <c r="AC2511" s="766"/>
      <c r="AD2511" s="766"/>
      <c r="AE2511" s="766"/>
      <c r="AF2511" s="766"/>
      <c r="AG2511" s="766"/>
      <c r="BB2511" s="647"/>
      <c r="BC2511" s="648"/>
      <c r="BD2511" s="757"/>
      <c r="BE2511" s="659"/>
    </row>
    <row r="2512" spans="1:57" s="64" customFormat="1" ht="15" customHeight="1" outlineLevel="1" x14ac:dyDescent="0.25">
      <c r="A2512" s="2463"/>
      <c r="B2512" s="157"/>
      <c r="C2512" s="385"/>
      <c r="D2512" s="3589"/>
      <c r="E2512" s="3721"/>
      <c r="F2512" s="3773" t="str">
        <f>$E$1530</f>
        <v>ASHP SEER 18 replace ASHP - early replacement SF ER1</v>
      </c>
      <c r="G2512" s="3774"/>
      <c r="H2512" s="3774"/>
      <c r="I2512" s="3775"/>
      <c r="J2512" s="3071" t="str">
        <f>$C$1530</f>
        <v>353850_2019_12_</v>
      </c>
      <c r="K2512" s="2725">
        <v>7.9029574060126802</v>
      </c>
      <c r="L2512" s="945"/>
      <c r="M2512" s="2727" t="s">
        <v>3674</v>
      </c>
      <c r="N2512" s="157"/>
      <c r="O2512" s="277"/>
      <c r="P2512" s="937"/>
      <c r="Q2512" s="938"/>
      <c r="R2512" s="937"/>
      <c r="S2512" s="924"/>
      <c r="T2512" s="1407"/>
      <c r="U2512" s="157"/>
      <c r="V2512" s="3589"/>
      <c r="W2512" s="766">
        <v>7.2</v>
      </c>
      <c r="X2512" s="765">
        <v>8.33</v>
      </c>
      <c r="Y2512" s="781">
        <v>8.33</v>
      </c>
      <c r="Z2512" s="781">
        <v>8.33</v>
      </c>
      <c r="AA2512" s="781">
        <v>8.33</v>
      </c>
      <c r="AB2512" s="2658">
        <v>7.9029574060126802</v>
      </c>
      <c r="AC2512" s="766"/>
      <c r="AD2512" s="766"/>
      <c r="AE2512" s="766"/>
      <c r="AF2512" s="766"/>
      <c r="AG2512" s="766"/>
      <c r="BB2512" s="647"/>
      <c r="BC2512" s="648"/>
      <c r="BD2512" s="757"/>
      <c r="BE2512" s="659"/>
    </row>
    <row r="2513" spans="1:57" s="64" customFormat="1" ht="15" customHeight="1" outlineLevel="1" x14ac:dyDescent="0.25">
      <c r="A2513" s="1393"/>
      <c r="B2513" s="157"/>
      <c r="C2513" s="385"/>
      <c r="D2513" s="3589"/>
      <c r="E2513" s="3721"/>
      <c r="F2513" s="3773" t="str">
        <f>$E$1532</f>
        <v>ASHP SEER 18 replace ASHP - early replacement SF ER2</v>
      </c>
      <c r="G2513" s="3774"/>
      <c r="H2513" s="3774"/>
      <c r="I2513" s="3775"/>
      <c r="J2513" s="3071" t="str">
        <f>$C$1532</f>
        <v>353850_2019_12_</v>
      </c>
      <c r="K2513" s="2725">
        <v>14</v>
      </c>
      <c r="L2513" s="945"/>
      <c r="M2513" s="2727" t="s">
        <v>1508</v>
      </c>
      <c r="N2513" s="157"/>
      <c r="O2513" s="277"/>
      <c r="P2513" s="277"/>
      <c r="Q2513" s="277"/>
      <c r="R2513" s="277"/>
      <c r="S2513" s="157"/>
      <c r="T2513" s="157"/>
      <c r="U2513" s="157"/>
      <c r="V2513" s="3589"/>
      <c r="W2513" s="766">
        <v>14</v>
      </c>
      <c r="X2513" s="766">
        <v>14</v>
      </c>
      <c r="Y2513" s="781">
        <v>14</v>
      </c>
      <c r="Z2513" s="781">
        <v>14</v>
      </c>
      <c r="AA2513" s="781">
        <v>14</v>
      </c>
      <c r="AB2513" s="2725">
        <v>14</v>
      </c>
      <c r="AC2513" s="766"/>
      <c r="AD2513" s="766"/>
      <c r="AE2513" s="766"/>
      <c r="AF2513" s="766"/>
      <c r="AG2513" s="766"/>
      <c r="BB2513" s="647"/>
      <c r="BC2513" s="648"/>
      <c r="BD2513" s="757"/>
      <c r="BE2513" s="659"/>
    </row>
    <row r="2514" spans="1:57" s="64" customFormat="1" ht="15" customHeight="1" outlineLevel="1" x14ac:dyDescent="0.25">
      <c r="A2514" s="2463"/>
      <c r="B2514" s="157"/>
      <c r="C2514" s="385"/>
      <c r="D2514" s="3589"/>
      <c r="E2514" s="3721"/>
      <c r="F2514" s="3773" t="str">
        <f>$E$1534</f>
        <v>ASHP - SEER 18 - replace on fail SF</v>
      </c>
      <c r="G2514" s="3774"/>
      <c r="H2514" s="3774"/>
      <c r="I2514" s="3775"/>
      <c r="J2514" s="3071" t="str">
        <f>$C$1534</f>
        <v>353950_2019_12_</v>
      </c>
      <c r="K2514" s="2725">
        <v>14</v>
      </c>
      <c r="L2514" s="945"/>
      <c r="M2514" s="2727" t="s">
        <v>1508</v>
      </c>
      <c r="N2514" s="157"/>
      <c r="O2514" s="277"/>
      <c r="P2514" s="937"/>
      <c r="Q2514" s="938"/>
      <c r="R2514" s="937"/>
      <c r="S2514" s="924"/>
      <c r="T2514" s="1407"/>
      <c r="U2514" s="157"/>
      <c r="V2514" s="3589"/>
      <c r="W2514" s="766">
        <v>14</v>
      </c>
      <c r="X2514" s="766">
        <v>14</v>
      </c>
      <c r="Y2514" s="781">
        <v>14</v>
      </c>
      <c r="Z2514" s="781">
        <v>14</v>
      </c>
      <c r="AA2514" s="781">
        <v>14</v>
      </c>
      <c r="AB2514" s="2725">
        <v>14</v>
      </c>
      <c r="AC2514" s="766"/>
      <c r="AD2514" s="766"/>
      <c r="AE2514" s="766"/>
      <c r="AF2514" s="766"/>
      <c r="AG2514" s="766"/>
      <c r="BB2514" s="647"/>
      <c r="BC2514" s="648"/>
      <c r="BD2514" s="757"/>
      <c r="BE2514" s="659"/>
    </row>
    <row r="2515" spans="1:57" s="64" customFormat="1" ht="15" customHeight="1" outlineLevel="1" x14ac:dyDescent="0.25">
      <c r="A2515" s="2463"/>
      <c r="B2515" s="157"/>
      <c r="C2515" s="385"/>
      <c r="D2515" s="3589"/>
      <c r="E2515" s="3721"/>
      <c r="F2515" s="3773" t="str">
        <f>$E$1536</f>
        <v>ASHP SEER 19 replace ASHP - early replacement SF ER1</v>
      </c>
      <c r="G2515" s="3774"/>
      <c r="H2515" s="3774"/>
      <c r="I2515" s="3775"/>
      <c r="J2515" s="3071" t="str">
        <f>$C$1536</f>
        <v>354000_2019_12_</v>
      </c>
      <c r="K2515" s="2725">
        <v>8.33</v>
      </c>
      <c r="L2515" s="945"/>
      <c r="M2515" s="2727" t="s">
        <v>1508</v>
      </c>
      <c r="N2515" s="157"/>
      <c r="O2515" s="277"/>
      <c r="P2515" s="937"/>
      <c r="Q2515" s="938"/>
      <c r="R2515" s="937"/>
      <c r="S2515" s="924"/>
      <c r="T2515" s="1407"/>
      <c r="U2515" s="157"/>
      <c r="V2515" s="3589"/>
      <c r="W2515" s="766">
        <v>7.2</v>
      </c>
      <c r="X2515" s="765">
        <v>8.33</v>
      </c>
      <c r="Y2515" s="781">
        <v>8.33</v>
      </c>
      <c r="Z2515" s="781">
        <v>8.33</v>
      </c>
      <c r="AA2515" s="781">
        <v>8.33</v>
      </c>
      <c r="AB2515" s="2725">
        <v>8.33</v>
      </c>
      <c r="AC2515" s="766"/>
      <c r="AD2515" s="766"/>
      <c r="AE2515" s="766"/>
      <c r="AF2515" s="766"/>
      <c r="AG2515" s="766"/>
      <c r="BB2515" s="647"/>
      <c r="BC2515" s="648"/>
      <c r="BD2515" s="757"/>
      <c r="BE2515" s="659"/>
    </row>
    <row r="2516" spans="1:57" s="64" customFormat="1" ht="15" customHeight="1" outlineLevel="1" x14ac:dyDescent="0.25">
      <c r="A2516" s="1393"/>
      <c r="B2516" s="157"/>
      <c r="C2516" s="385"/>
      <c r="D2516" s="3589"/>
      <c r="E2516" s="3721"/>
      <c r="F2516" s="3773" t="str">
        <f>$E$1538</f>
        <v>ASHP SEER 19 replace ASHP - early replacement SF ER2</v>
      </c>
      <c r="G2516" s="3774"/>
      <c r="H2516" s="3774"/>
      <c r="I2516" s="3775"/>
      <c r="J2516" s="3071" t="str">
        <f>$C$1538</f>
        <v>354000_2019_12_</v>
      </c>
      <c r="K2516" s="2725">
        <v>14</v>
      </c>
      <c r="L2516" s="945"/>
      <c r="M2516" s="2727" t="s">
        <v>1508</v>
      </c>
      <c r="N2516" s="157"/>
      <c r="O2516" s="277"/>
      <c r="P2516" s="277"/>
      <c r="Q2516" s="277"/>
      <c r="R2516" s="277"/>
      <c r="S2516" s="157"/>
      <c r="T2516" s="157"/>
      <c r="U2516" s="157"/>
      <c r="V2516" s="3589"/>
      <c r="W2516" s="766">
        <v>14</v>
      </c>
      <c r="X2516" s="766">
        <v>14</v>
      </c>
      <c r="Y2516" s="781">
        <v>14</v>
      </c>
      <c r="Z2516" s="781">
        <v>14</v>
      </c>
      <c r="AA2516" s="781">
        <v>14</v>
      </c>
      <c r="AB2516" s="2725">
        <v>14</v>
      </c>
      <c r="AC2516" s="766"/>
      <c r="AD2516" s="766"/>
      <c r="AE2516" s="766"/>
      <c r="AF2516" s="766"/>
      <c r="AG2516" s="766"/>
      <c r="BB2516" s="647"/>
      <c r="BC2516" s="648"/>
      <c r="BD2516" s="757"/>
      <c r="BE2516" s="659"/>
    </row>
    <row r="2517" spans="1:57" s="64" customFormat="1" ht="15" customHeight="1" outlineLevel="1" x14ac:dyDescent="0.25">
      <c r="A2517" s="1393"/>
      <c r="B2517" s="157"/>
      <c r="C2517" s="385"/>
      <c r="D2517" s="3589"/>
      <c r="E2517" s="3721"/>
      <c r="F2517" s="3773" t="str">
        <f>$E$1540</f>
        <v>ASHP SEER 19 replace ASHP - replace on fail SF</v>
      </c>
      <c r="G2517" s="3774"/>
      <c r="H2517" s="3774"/>
      <c r="I2517" s="3775"/>
      <c r="J2517" s="3071" t="str">
        <f>$C$1540</f>
        <v>354050_2019_12_</v>
      </c>
      <c r="K2517" s="2725">
        <v>14</v>
      </c>
      <c r="L2517" s="945"/>
      <c r="M2517" s="2727" t="s">
        <v>1508</v>
      </c>
      <c r="N2517" s="157"/>
      <c r="O2517" s="277"/>
      <c r="P2517" s="277"/>
      <c r="Q2517" s="277"/>
      <c r="R2517" s="277"/>
      <c r="S2517" s="157"/>
      <c r="T2517" s="157"/>
      <c r="U2517" s="157"/>
      <c r="V2517" s="3589"/>
      <c r="W2517" s="766">
        <v>14</v>
      </c>
      <c r="X2517" s="766">
        <v>14</v>
      </c>
      <c r="Y2517" s="781">
        <v>14</v>
      </c>
      <c r="Z2517" s="781">
        <v>14</v>
      </c>
      <c r="AA2517" s="781">
        <v>14</v>
      </c>
      <c r="AB2517" s="2725">
        <v>14</v>
      </c>
      <c r="AC2517" s="766"/>
      <c r="AD2517" s="766"/>
      <c r="AE2517" s="766"/>
      <c r="AF2517" s="766"/>
      <c r="AG2517" s="766"/>
      <c r="BB2517" s="647"/>
      <c r="BC2517" s="648"/>
      <c r="BD2517" s="757"/>
      <c r="BE2517" s="659"/>
    </row>
    <row r="2518" spans="1:57" s="64" customFormat="1" ht="15" customHeight="1" outlineLevel="1" x14ac:dyDescent="0.25">
      <c r="A2518" s="1393"/>
      <c r="B2518" s="157"/>
      <c r="C2518" s="385"/>
      <c r="D2518" s="3589"/>
      <c r="E2518" s="3721"/>
      <c r="F2518" s="3773" t="str">
        <f>$E$1542</f>
        <v>ASHP - SEER 17 - replace electric furnace / CAC - early replacement SF ER1</v>
      </c>
      <c r="G2518" s="3774"/>
      <c r="H2518" s="3774"/>
      <c r="I2518" s="3775"/>
      <c r="J2518" s="3071" t="str">
        <f>$C$1542</f>
        <v>354100_2019_12_</v>
      </c>
      <c r="K2518" s="2725">
        <v>8.33</v>
      </c>
      <c r="L2518" s="945"/>
      <c r="M2518" s="2727" t="s">
        <v>1508</v>
      </c>
      <c r="N2518" s="157"/>
      <c r="O2518" s="277"/>
      <c r="P2518" s="277"/>
      <c r="Q2518" s="277"/>
      <c r="R2518" s="277"/>
      <c r="S2518" s="157"/>
      <c r="T2518" s="157"/>
      <c r="U2518" s="157"/>
      <c r="V2518" s="3589"/>
      <c r="W2518" s="766">
        <v>6.8</v>
      </c>
      <c r="X2518" s="765">
        <v>8.33</v>
      </c>
      <c r="Y2518" s="781">
        <v>8.33</v>
      </c>
      <c r="Z2518" s="781">
        <v>8.33</v>
      </c>
      <c r="AA2518" s="781">
        <v>8.33</v>
      </c>
      <c r="AB2518" s="2725">
        <v>8.33</v>
      </c>
      <c r="AC2518" s="766"/>
      <c r="AD2518" s="766"/>
      <c r="AE2518" s="766"/>
      <c r="AF2518" s="766"/>
      <c r="AG2518" s="766"/>
      <c r="BB2518" s="647"/>
      <c r="BC2518" s="648"/>
      <c r="BD2518" s="757"/>
      <c r="BE2518" s="659"/>
    </row>
    <row r="2519" spans="1:57" s="64" customFormat="1" ht="15" customHeight="1" outlineLevel="1" x14ac:dyDescent="0.25">
      <c r="A2519" s="1393"/>
      <c r="B2519" s="157"/>
      <c r="C2519" s="385"/>
      <c r="D2519" s="3589"/>
      <c r="E2519" s="3721"/>
      <c r="F2519" s="3773" t="str">
        <f>$E$1544</f>
        <v>ASHP - SEER 17 - replace electric furnace / CAC - early replacement SF ER2</v>
      </c>
      <c r="G2519" s="3774"/>
      <c r="H2519" s="3774"/>
      <c r="I2519" s="3775"/>
      <c r="J2519" s="3071" t="str">
        <f>$C$1544</f>
        <v>354100_2019_12_</v>
      </c>
      <c r="K2519" s="2725">
        <v>13</v>
      </c>
      <c r="L2519" s="945"/>
      <c r="M2519" s="2727" t="s">
        <v>1508</v>
      </c>
      <c r="N2519" s="157"/>
      <c r="O2519" s="277"/>
      <c r="P2519" s="277"/>
      <c r="Q2519" s="277"/>
      <c r="R2519" s="277"/>
      <c r="S2519" s="157"/>
      <c r="T2519" s="157"/>
      <c r="U2519" s="157"/>
      <c r="V2519" s="3589"/>
      <c r="W2519" s="766">
        <v>13</v>
      </c>
      <c r="X2519" s="766">
        <v>13</v>
      </c>
      <c r="Y2519" s="781">
        <v>13</v>
      </c>
      <c r="Z2519" s="781">
        <v>13</v>
      </c>
      <c r="AA2519" s="781">
        <v>13</v>
      </c>
      <c r="AB2519" s="2725">
        <v>13</v>
      </c>
      <c r="AC2519" s="766"/>
      <c r="AD2519" s="766"/>
      <c r="AE2519" s="766"/>
      <c r="AF2519" s="766"/>
      <c r="AG2519" s="766"/>
      <c r="BB2519" s="647"/>
      <c r="BC2519" s="648"/>
      <c r="BD2519" s="757"/>
      <c r="BE2519" s="659"/>
    </row>
    <row r="2520" spans="1:57" s="64" customFormat="1" ht="15" customHeight="1" outlineLevel="1" x14ac:dyDescent="0.25">
      <c r="A2520" s="1393"/>
      <c r="B2520" s="157"/>
      <c r="C2520" s="385"/>
      <c r="D2520" s="3589"/>
      <c r="E2520" s="3721"/>
      <c r="F2520" s="3773" t="str">
        <f>$E$1546</f>
        <v>ASHP - SEER 17 - replace electric furnace / CAC - early replacement MF ER1</v>
      </c>
      <c r="G2520" s="3774"/>
      <c r="H2520" s="3774"/>
      <c r="I2520" s="3775"/>
      <c r="J2520" s="3071" t="str">
        <f>$C$1546</f>
        <v>354150_2019_12_</v>
      </c>
      <c r="K2520" s="2725">
        <v>8.33</v>
      </c>
      <c r="L2520" s="945"/>
      <c r="M2520" s="2727" t="s">
        <v>1508</v>
      </c>
      <c r="N2520" s="157"/>
      <c r="O2520" s="277"/>
      <c r="P2520" s="277"/>
      <c r="Q2520" s="277"/>
      <c r="R2520" s="277"/>
      <c r="S2520" s="157"/>
      <c r="T2520" s="157"/>
      <c r="U2520" s="157"/>
      <c r="V2520" s="3589"/>
      <c r="W2520" s="766">
        <v>6.8</v>
      </c>
      <c r="X2520" s="765">
        <v>8.33</v>
      </c>
      <c r="Y2520" s="781">
        <v>8.33</v>
      </c>
      <c r="Z2520" s="781">
        <v>8.33</v>
      </c>
      <c r="AA2520" s="781">
        <v>8.33</v>
      </c>
      <c r="AB2520" s="2725">
        <v>8.33</v>
      </c>
      <c r="AC2520" s="766"/>
      <c r="AD2520" s="766"/>
      <c r="AE2520" s="766"/>
      <c r="AF2520" s="766"/>
      <c r="AG2520" s="766"/>
      <c r="BB2520" s="647"/>
      <c r="BC2520" s="648"/>
      <c r="BD2520" s="757"/>
      <c r="BE2520" s="659"/>
    </row>
    <row r="2521" spans="1:57" s="64" customFormat="1" ht="15" customHeight="1" outlineLevel="1" x14ac:dyDescent="0.25">
      <c r="A2521" s="1393"/>
      <c r="B2521" s="157"/>
      <c r="C2521" s="385"/>
      <c r="D2521" s="3589"/>
      <c r="E2521" s="3721"/>
      <c r="F2521" s="3773" t="str">
        <f>$E$1548</f>
        <v>ASHP - SEER 17 - replace electric furnace / CAC - early replacement MF ER2</v>
      </c>
      <c r="G2521" s="3774"/>
      <c r="H2521" s="3774"/>
      <c r="I2521" s="3775"/>
      <c r="J2521" s="3071" t="str">
        <f>$C$1548</f>
        <v>354150_2019_12_</v>
      </c>
      <c r="K2521" s="2725">
        <v>13</v>
      </c>
      <c r="L2521" s="945"/>
      <c r="M2521" s="2727" t="s">
        <v>1508</v>
      </c>
      <c r="N2521" s="157"/>
      <c r="O2521" s="277"/>
      <c r="P2521" s="277"/>
      <c r="Q2521" s="277"/>
      <c r="R2521" s="277"/>
      <c r="S2521" s="157"/>
      <c r="T2521" s="157"/>
      <c r="U2521" s="157"/>
      <c r="V2521" s="3589"/>
      <c r="W2521" s="766">
        <v>13</v>
      </c>
      <c r="X2521" s="766">
        <v>13</v>
      </c>
      <c r="Y2521" s="781">
        <v>13</v>
      </c>
      <c r="Z2521" s="781">
        <v>13</v>
      </c>
      <c r="AA2521" s="781">
        <v>13</v>
      </c>
      <c r="AB2521" s="2725">
        <v>13</v>
      </c>
      <c r="AC2521" s="766"/>
      <c r="AD2521" s="766"/>
      <c r="AE2521" s="766"/>
      <c r="AF2521" s="766"/>
      <c r="AG2521" s="766"/>
      <c r="BB2521" s="647"/>
      <c r="BC2521" s="648"/>
      <c r="BD2521" s="757"/>
      <c r="BE2521" s="659"/>
    </row>
    <row r="2522" spans="1:57" s="64" customFormat="1" ht="15" customHeight="1" outlineLevel="1" x14ac:dyDescent="0.25">
      <c r="A2522" s="1393"/>
      <c r="B2522" s="157"/>
      <c r="C2522" s="385"/>
      <c r="D2522" s="3589"/>
      <c r="E2522" s="3721"/>
      <c r="F2522" s="3773" t="str">
        <f>$E$1550</f>
        <v>ASHP - SEER 17 - replace electric furnace / CAC - early replacement MF ER1_CompE</v>
      </c>
      <c r="G2522" s="3774"/>
      <c r="H2522" s="3774"/>
      <c r="I2522" s="3775"/>
      <c r="J2522" s="3071" t="str">
        <f>$C$1550</f>
        <v>354151_2019_12_</v>
      </c>
      <c r="K2522" s="2725">
        <v>8.33</v>
      </c>
      <c r="L2522" s="945"/>
      <c r="M2522" s="2727" t="s">
        <v>1508</v>
      </c>
      <c r="N2522" s="157"/>
      <c r="O2522" s="277"/>
      <c r="P2522" s="277"/>
      <c r="Q2522" s="277"/>
      <c r="R2522" s="277"/>
      <c r="S2522" s="157"/>
      <c r="T2522" s="157"/>
      <c r="U2522" s="157"/>
      <c r="V2522" s="3589"/>
      <c r="W2522" s="766"/>
      <c r="X2522" s="766"/>
      <c r="Y2522" s="786">
        <v>8.33</v>
      </c>
      <c r="Z2522" s="781">
        <v>8.33</v>
      </c>
      <c r="AA2522" s="781">
        <v>8.33</v>
      </c>
      <c r="AB2522" s="2725">
        <v>8.33</v>
      </c>
      <c r="AC2522" s="766"/>
      <c r="AD2522" s="766"/>
      <c r="AE2522" s="766"/>
      <c r="AF2522" s="766"/>
      <c r="AG2522" s="766"/>
      <c r="BB2522" s="647"/>
      <c r="BC2522" s="648"/>
      <c r="BD2522" s="757"/>
      <c r="BE2522" s="659"/>
    </row>
    <row r="2523" spans="1:57" s="64" customFormat="1" ht="15" customHeight="1" outlineLevel="1" x14ac:dyDescent="0.25">
      <c r="A2523" s="1393"/>
      <c r="B2523" s="157"/>
      <c r="C2523" s="385"/>
      <c r="D2523" s="3589"/>
      <c r="E2523" s="3721"/>
      <c r="F2523" s="3773" t="str">
        <f>$E$1552</f>
        <v>ASHP - SEER 17 - replace electric furnace / CAC - early replacement MF ER2_CompE</v>
      </c>
      <c r="G2523" s="3774"/>
      <c r="H2523" s="3774"/>
      <c r="I2523" s="3775"/>
      <c r="J2523" s="3071" t="str">
        <f>$C$1552</f>
        <v>354151_2019_12_</v>
      </c>
      <c r="K2523" s="2725">
        <v>13</v>
      </c>
      <c r="L2523" s="945"/>
      <c r="M2523" s="2727" t="s">
        <v>1508</v>
      </c>
      <c r="N2523" s="157"/>
      <c r="O2523" s="277"/>
      <c r="P2523" s="277"/>
      <c r="Q2523" s="277"/>
      <c r="R2523" s="277"/>
      <c r="S2523" s="157"/>
      <c r="T2523" s="157"/>
      <c r="U2523" s="157"/>
      <c r="V2523" s="3589"/>
      <c r="W2523" s="766"/>
      <c r="X2523" s="766"/>
      <c r="Y2523" s="786">
        <v>13</v>
      </c>
      <c r="Z2523" s="781">
        <v>13</v>
      </c>
      <c r="AA2523" s="781">
        <v>13</v>
      </c>
      <c r="AB2523" s="2725">
        <v>13</v>
      </c>
      <c r="AC2523" s="766"/>
      <c r="AD2523" s="766"/>
      <c r="AE2523" s="766"/>
      <c r="AF2523" s="766"/>
      <c r="AG2523" s="766"/>
      <c r="BB2523" s="647"/>
      <c r="BC2523" s="648"/>
      <c r="BD2523" s="757"/>
      <c r="BE2523" s="659"/>
    </row>
    <row r="2524" spans="1:57" s="64" customFormat="1" ht="15" customHeight="1" outlineLevel="1" x14ac:dyDescent="0.25">
      <c r="A2524" s="1393"/>
      <c r="B2524" s="157"/>
      <c r="C2524" s="385"/>
      <c r="D2524" s="3589"/>
      <c r="E2524" s="3721"/>
      <c r="F2524" s="3773" t="str">
        <f>$E$1554</f>
        <v>ASHP SEER 17 replace ASHP - early replacement MF ER1</v>
      </c>
      <c r="G2524" s="3774"/>
      <c r="H2524" s="3774"/>
      <c r="I2524" s="3775"/>
      <c r="J2524" s="3071" t="str">
        <f>$C$1554</f>
        <v>354200_2019_12_</v>
      </c>
      <c r="K2524" s="2725">
        <v>8.33</v>
      </c>
      <c r="L2524" s="945"/>
      <c r="M2524" s="2727" t="s">
        <v>1508</v>
      </c>
      <c r="N2524" s="157"/>
      <c r="O2524" s="277"/>
      <c r="P2524" s="277"/>
      <c r="Q2524" s="277"/>
      <c r="R2524" s="277"/>
      <c r="S2524" s="157"/>
      <c r="T2524" s="157"/>
      <c r="U2524" s="157"/>
      <c r="V2524" s="3589"/>
      <c r="W2524" s="766">
        <v>7.2</v>
      </c>
      <c r="X2524" s="765">
        <v>8.33</v>
      </c>
      <c r="Y2524" s="781">
        <v>8.33</v>
      </c>
      <c r="Z2524" s="781">
        <v>8.33</v>
      </c>
      <c r="AA2524" s="781">
        <v>8.33</v>
      </c>
      <c r="AB2524" s="2725">
        <v>8.33</v>
      </c>
      <c r="AC2524" s="766"/>
      <c r="AD2524" s="766"/>
      <c r="AE2524" s="766"/>
      <c r="AF2524" s="766"/>
      <c r="AG2524" s="766"/>
      <c r="BB2524" s="647"/>
      <c r="BC2524" s="648"/>
      <c r="BD2524" s="757"/>
      <c r="BE2524" s="659"/>
    </row>
    <row r="2525" spans="1:57" s="64" customFormat="1" ht="15" customHeight="1" outlineLevel="1" x14ac:dyDescent="0.25">
      <c r="A2525" s="1393"/>
      <c r="B2525" s="157"/>
      <c r="C2525" s="385"/>
      <c r="D2525" s="3589"/>
      <c r="E2525" s="3721"/>
      <c r="F2525" s="3773" t="str">
        <f>$E$1556</f>
        <v>ASHP SEER 17 replace ASHP - early replacement MF ER2</v>
      </c>
      <c r="G2525" s="3774"/>
      <c r="H2525" s="3774"/>
      <c r="I2525" s="3775"/>
      <c r="J2525" s="3071" t="str">
        <f>$C$1556</f>
        <v>354200_2019_12_</v>
      </c>
      <c r="K2525" s="2725">
        <v>14</v>
      </c>
      <c r="L2525" s="945"/>
      <c r="M2525" s="2727" t="s">
        <v>1508</v>
      </c>
      <c r="N2525" s="157"/>
      <c r="O2525" s="277"/>
      <c r="P2525" s="277"/>
      <c r="Q2525" s="277"/>
      <c r="R2525" s="277"/>
      <c r="S2525" s="157"/>
      <c r="T2525" s="157"/>
      <c r="U2525" s="157"/>
      <c r="V2525" s="3589"/>
      <c r="W2525" s="766">
        <v>14</v>
      </c>
      <c r="X2525" s="766">
        <v>14</v>
      </c>
      <c r="Y2525" s="781">
        <v>14</v>
      </c>
      <c r="Z2525" s="781">
        <v>14</v>
      </c>
      <c r="AA2525" s="781">
        <v>14</v>
      </c>
      <c r="AB2525" s="2725">
        <v>14</v>
      </c>
      <c r="AC2525" s="766"/>
      <c r="AD2525" s="766"/>
      <c r="AE2525" s="766"/>
      <c r="AF2525" s="766"/>
      <c r="AG2525" s="766"/>
      <c r="BB2525" s="647"/>
      <c r="BC2525" s="648"/>
      <c r="BD2525" s="757"/>
      <c r="BE2525" s="659"/>
    </row>
    <row r="2526" spans="1:57" s="64" customFormat="1" ht="15" customHeight="1" outlineLevel="1" x14ac:dyDescent="0.25">
      <c r="A2526" s="1393"/>
      <c r="B2526" s="157"/>
      <c r="C2526" s="385"/>
      <c r="D2526" s="3589"/>
      <c r="E2526" s="3721"/>
      <c r="F2526" s="3773" t="str">
        <f>$E$1558</f>
        <v>ASHP SEER 17 replace ASHP - early replacement MF ER1_CompE</v>
      </c>
      <c r="G2526" s="3774"/>
      <c r="H2526" s="3774"/>
      <c r="I2526" s="3775"/>
      <c r="J2526" s="3071" t="str">
        <f>$C$1558</f>
        <v>354201_2019_12_</v>
      </c>
      <c r="K2526" s="2725">
        <v>8.33</v>
      </c>
      <c r="L2526" s="945"/>
      <c r="M2526" s="2727" t="s">
        <v>1508</v>
      </c>
      <c r="N2526" s="157"/>
      <c r="O2526" s="277"/>
      <c r="P2526" s="277"/>
      <c r="Q2526" s="277"/>
      <c r="R2526" s="277"/>
      <c r="S2526" s="157"/>
      <c r="T2526" s="157"/>
      <c r="U2526" s="157"/>
      <c r="V2526" s="3589"/>
      <c r="W2526" s="766"/>
      <c r="X2526" s="766"/>
      <c r="Y2526" s="786">
        <v>8.33</v>
      </c>
      <c r="Z2526" s="781">
        <v>8.33</v>
      </c>
      <c r="AA2526" s="781">
        <v>8.33</v>
      </c>
      <c r="AB2526" s="2725">
        <v>8.33</v>
      </c>
      <c r="AC2526" s="766"/>
      <c r="AD2526" s="766"/>
      <c r="AE2526" s="766"/>
      <c r="AF2526" s="766"/>
      <c r="AG2526" s="766"/>
      <c r="BB2526" s="647"/>
      <c r="BC2526" s="648"/>
      <c r="BD2526" s="757"/>
      <c r="BE2526" s="659"/>
    </row>
    <row r="2527" spans="1:57" s="64" customFormat="1" ht="15" customHeight="1" outlineLevel="1" x14ac:dyDescent="0.25">
      <c r="A2527" s="1393"/>
      <c r="B2527" s="157"/>
      <c r="C2527" s="385"/>
      <c r="D2527" s="3589"/>
      <c r="E2527" s="3721"/>
      <c r="F2527" s="3773" t="str">
        <f>$E$1560</f>
        <v>ASHP SEER 17 replace ASHP - early replacement MF ER2_CompE</v>
      </c>
      <c r="G2527" s="3774"/>
      <c r="H2527" s="3774"/>
      <c r="I2527" s="3775"/>
      <c r="J2527" s="3071" t="str">
        <f>$C$1560</f>
        <v>354201_2019_12_</v>
      </c>
      <c r="K2527" s="2725">
        <v>14</v>
      </c>
      <c r="L2527" s="945"/>
      <c r="M2527" s="2727" t="s">
        <v>1508</v>
      </c>
      <c r="N2527" s="157"/>
      <c r="O2527" s="277"/>
      <c r="P2527" s="277"/>
      <c r="Q2527" s="277"/>
      <c r="R2527" s="277"/>
      <c r="S2527" s="157"/>
      <c r="T2527" s="157"/>
      <c r="U2527" s="157"/>
      <c r="V2527" s="3589"/>
      <c r="W2527" s="766"/>
      <c r="X2527" s="766"/>
      <c r="Y2527" s="786">
        <v>14</v>
      </c>
      <c r="Z2527" s="781">
        <v>14</v>
      </c>
      <c r="AA2527" s="781">
        <v>14</v>
      </c>
      <c r="AB2527" s="2725">
        <v>14</v>
      </c>
      <c r="AC2527" s="766"/>
      <c r="AD2527" s="766"/>
      <c r="AE2527" s="766"/>
      <c r="AF2527" s="766"/>
      <c r="AG2527" s="766"/>
      <c r="BB2527" s="647"/>
      <c r="BC2527" s="648"/>
      <c r="BD2527" s="757"/>
      <c r="BE2527" s="659"/>
    </row>
    <row r="2528" spans="1:57" s="64" customFormat="1" ht="15" customHeight="1" outlineLevel="1" x14ac:dyDescent="0.25">
      <c r="A2528" s="1393"/>
      <c r="B2528" s="157"/>
      <c r="C2528" s="385"/>
      <c r="D2528" s="3589"/>
      <c r="E2528" s="3721"/>
      <c r="F2528" s="3773" t="str">
        <f>$E$1562</f>
        <v>ASHP - SEER 18 - replace electric furnace / CAC - early replacement SF ER1</v>
      </c>
      <c r="G2528" s="3774"/>
      <c r="H2528" s="3774"/>
      <c r="I2528" s="3775"/>
      <c r="J2528" s="3071" t="str">
        <f>$C$1562</f>
        <v>354250_2019_12_</v>
      </c>
      <c r="K2528" s="2725">
        <v>7.6973343211156395</v>
      </c>
      <c r="L2528" s="945"/>
      <c r="M2528" s="2727" t="s">
        <v>3674</v>
      </c>
      <c r="N2528" s="157"/>
      <c r="O2528" s="277"/>
      <c r="P2528" s="277"/>
      <c r="Q2528" s="277"/>
      <c r="R2528" s="277"/>
      <c r="S2528" s="157"/>
      <c r="T2528" s="157"/>
      <c r="U2528" s="157"/>
      <c r="V2528" s="3589"/>
      <c r="W2528" s="766">
        <v>6.8</v>
      </c>
      <c r="X2528" s="765">
        <v>8.33</v>
      </c>
      <c r="Y2528" s="781">
        <v>8.33</v>
      </c>
      <c r="Z2528" s="781">
        <v>8.33</v>
      </c>
      <c r="AA2528" s="781">
        <v>8.33</v>
      </c>
      <c r="AB2528" s="2658">
        <v>7.6973343211156395</v>
      </c>
      <c r="AC2528" s="766"/>
      <c r="AD2528" s="766"/>
      <c r="AE2528" s="766"/>
      <c r="AF2528" s="766"/>
      <c r="AG2528" s="766"/>
      <c r="BB2528" s="647"/>
      <c r="BC2528" s="648"/>
      <c r="BD2528" s="757"/>
      <c r="BE2528" s="659"/>
    </row>
    <row r="2529" spans="1:57" s="64" customFormat="1" ht="15" customHeight="1" outlineLevel="1" x14ac:dyDescent="0.25">
      <c r="A2529" s="1393"/>
      <c r="B2529" s="157"/>
      <c r="C2529" s="385"/>
      <c r="D2529" s="3589"/>
      <c r="E2529" s="3721"/>
      <c r="F2529" s="3773" t="str">
        <f>$E$1564</f>
        <v>ASHP - SEER 18 - replace electric furnace / CAC - early replacement SF ER2</v>
      </c>
      <c r="G2529" s="3774"/>
      <c r="H2529" s="3774"/>
      <c r="I2529" s="3775"/>
      <c r="J2529" s="3071" t="str">
        <f>$C$1564</f>
        <v>354250_2019_12_</v>
      </c>
      <c r="K2529" s="2725">
        <v>13</v>
      </c>
      <c r="L2529" s="945"/>
      <c r="M2529" s="2727" t="s">
        <v>1508</v>
      </c>
      <c r="N2529" s="157"/>
      <c r="O2529" s="277"/>
      <c r="P2529" s="277"/>
      <c r="Q2529" s="277"/>
      <c r="R2529" s="277"/>
      <c r="S2529" s="157"/>
      <c r="T2529" s="157"/>
      <c r="U2529" s="157"/>
      <c r="V2529" s="3589"/>
      <c r="W2529" s="766">
        <v>13</v>
      </c>
      <c r="X2529" s="766">
        <v>13</v>
      </c>
      <c r="Y2529" s="781">
        <v>13</v>
      </c>
      <c r="Z2529" s="781">
        <v>13</v>
      </c>
      <c r="AA2529" s="781">
        <v>13</v>
      </c>
      <c r="AB2529" s="2725">
        <v>13</v>
      </c>
      <c r="AC2529" s="766"/>
      <c r="AD2529" s="766"/>
      <c r="AE2529" s="766"/>
      <c r="AF2529" s="766"/>
      <c r="AG2529" s="766"/>
      <c r="BB2529" s="647"/>
      <c r="BC2529" s="648"/>
      <c r="BD2529" s="757"/>
      <c r="BE2529" s="659"/>
    </row>
    <row r="2530" spans="1:57" s="64" customFormat="1" ht="15" customHeight="1" outlineLevel="1" x14ac:dyDescent="0.25">
      <c r="A2530" s="1393"/>
      <c r="B2530" s="157"/>
      <c r="C2530" s="385"/>
      <c r="D2530" s="3589"/>
      <c r="E2530" s="3721"/>
      <c r="F2530" s="3773" t="str">
        <f>$E$1566</f>
        <v>ASHP - SEER 18 - replace electric furnace / CAC - early replacement MF ER1</v>
      </c>
      <c r="G2530" s="3774"/>
      <c r="H2530" s="3774"/>
      <c r="I2530" s="3775"/>
      <c r="J2530" s="3071" t="str">
        <f>$C$1566</f>
        <v>354300_2019_12_</v>
      </c>
      <c r="K2530" s="2725">
        <v>6.541205533836111</v>
      </c>
      <c r="L2530" s="945"/>
      <c r="M2530" s="2727" t="s">
        <v>3674</v>
      </c>
      <c r="N2530" s="157"/>
      <c r="O2530" s="277"/>
      <c r="P2530" s="277"/>
      <c r="Q2530" s="277"/>
      <c r="R2530" s="277"/>
      <c r="S2530" s="157"/>
      <c r="T2530" s="157"/>
      <c r="U2530" s="157"/>
      <c r="V2530" s="3589"/>
      <c r="W2530" s="766">
        <v>6.8</v>
      </c>
      <c r="X2530" s="765">
        <v>8.33</v>
      </c>
      <c r="Y2530" s="781">
        <v>8.33</v>
      </c>
      <c r="Z2530" s="781">
        <v>8.33</v>
      </c>
      <c r="AA2530" s="781">
        <v>8.33</v>
      </c>
      <c r="AB2530" s="2658">
        <v>6.541205533836111</v>
      </c>
      <c r="AC2530" s="766"/>
      <c r="AD2530" s="766"/>
      <c r="AE2530" s="766"/>
      <c r="AF2530" s="766"/>
      <c r="AG2530" s="766"/>
      <c r="BB2530" s="647"/>
      <c r="BC2530" s="648"/>
      <c r="BD2530" s="757"/>
      <c r="BE2530" s="659"/>
    </row>
    <row r="2531" spans="1:57" s="64" customFormat="1" ht="15" customHeight="1" outlineLevel="1" x14ac:dyDescent="0.25">
      <c r="A2531" s="1393"/>
      <c r="B2531" s="157"/>
      <c r="C2531" s="385"/>
      <c r="D2531" s="3589"/>
      <c r="E2531" s="3721"/>
      <c r="F2531" s="3773" t="str">
        <f>$E$1568</f>
        <v>ASHP - SEER 18 - replace electric furnace / CAC - early replacement MF ER2</v>
      </c>
      <c r="G2531" s="3774"/>
      <c r="H2531" s="3774"/>
      <c r="I2531" s="3775"/>
      <c r="J2531" s="3071" t="str">
        <f>$C$1568</f>
        <v>354300_2019_12_</v>
      </c>
      <c r="K2531" s="2725">
        <v>13</v>
      </c>
      <c r="L2531" s="945"/>
      <c r="M2531" s="2727" t="s">
        <v>1508</v>
      </c>
      <c r="N2531" s="157"/>
      <c r="O2531" s="277"/>
      <c r="P2531" s="277"/>
      <c r="Q2531" s="277"/>
      <c r="R2531" s="277"/>
      <c r="S2531" s="157"/>
      <c r="T2531" s="157"/>
      <c r="U2531" s="157"/>
      <c r="V2531" s="3589"/>
      <c r="W2531" s="766">
        <v>13</v>
      </c>
      <c r="X2531" s="766">
        <v>13</v>
      </c>
      <c r="Y2531" s="781">
        <v>13</v>
      </c>
      <c r="Z2531" s="781">
        <v>13</v>
      </c>
      <c r="AA2531" s="781">
        <v>13</v>
      </c>
      <c r="AB2531" s="2725">
        <v>13</v>
      </c>
      <c r="AC2531" s="766"/>
      <c r="AD2531" s="766"/>
      <c r="AE2531" s="766"/>
      <c r="AF2531" s="766"/>
      <c r="AG2531" s="766"/>
      <c r="BB2531" s="647"/>
      <c r="BC2531" s="648"/>
      <c r="BD2531" s="757"/>
      <c r="BE2531" s="659"/>
    </row>
    <row r="2532" spans="1:57" s="64" customFormat="1" ht="15" customHeight="1" outlineLevel="1" x14ac:dyDescent="0.25">
      <c r="A2532" s="1393"/>
      <c r="B2532" s="157"/>
      <c r="C2532" s="385"/>
      <c r="D2532" s="3589"/>
      <c r="E2532" s="3721"/>
      <c r="F2532" s="3773" t="str">
        <f>$E$1570</f>
        <v>ASHP - SEER 18 - replace electric furnace / CAC - early replacement MF ER1_CompE</v>
      </c>
      <c r="G2532" s="3774"/>
      <c r="H2532" s="3774"/>
      <c r="I2532" s="3775"/>
      <c r="J2532" s="3071" t="str">
        <f>$C$1570</f>
        <v>354301_2019_12_</v>
      </c>
      <c r="K2532" s="2725">
        <v>8.33</v>
      </c>
      <c r="L2532" s="945"/>
      <c r="M2532" s="2727" t="s">
        <v>1508</v>
      </c>
      <c r="N2532" s="157"/>
      <c r="O2532" s="277"/>
      <c r="P2532" s="277"/>
      <c r="Q2532" s="277"/>
      <c r="R2532" s="277"/>
      <c r="S2532" s="157"/>
      <c r="T2532" s="157"/>
      <c r="U2532" s="157"/>
      <c r="V2532" s="3589"/>
      <c r="W2532" s="766"/>
      <c r="X2532" s="766"/>
      <c r="Y2532" s="786">
        <v>8.33</v>
      </c>
      <c r="Z2532" s="781">
        <v>8.33</v>
      </c>
      <c r="AA2532" s="781">
        <v>8.33</v>
      </c>
      <c r="AB2532" s="2725">
        <v>8.33</v>
      </c>
      <c r="AC2532" s="766"/>
      <c r="AD2532" s="766"/>
      <c r="AE2532" s="766"/>
      <c r="AF2532" s="766"/>
      <c r="AG2532" s="766"/>
      <c r="BB2532" s="647"/>
      <c r="BC2532" s="648"/>
      <c r="BD2532" s="757"/>
      <c r="BE2532" s="659"/>
    </row>
    <row r="2533" spans="1:57" s="64" customFormat="1" ht="15" customHeight="1" outlineLevel="1" x14ac:dyDescent="0.25">
      <c r="A2533" s="1393"/>
      <c r="B2533" s="157"/>
      <c r="C2533" s="385"/>
      <c r="D2533" s="3589"/>
      <c r="E2533" s="3721"/>
      <c r="F2533" s="3773" t="str">
        <f>$E$1572</f>
        <v>ASHP - SEER 18 - replace electric furnace / CAC - early replacement MF ER2_CompE</v>
      </c>
      <c r="G2533" s="3774"/>
      <c r="H2533" s="3774"/>
      <c r="I2533" s="3775"/>
      <c r="J2533" s="3071" t="str">
        <f>$C$1572</f>
        <v>354301_2019_12_</v>
      </c>
      <c r="K2533" s="2725">
        <v>13</v>
      </c>
      <c r="L2533" s="945"/>
      <c r="M2533" s="2727" t="s">
        <v>1508</v>
      </c>
      <c r="N2533" s="157"/>
      <c r="O2533" s="277"/>
      <c r="P2533" s="277"/>
      <c r="Q2533" s="277"/>
      <c r="R2533" s="277"/>
      <c r="S2533" s="157"/>
      <c r="T2533" s="157"/>
      <c r="U2533" s="157"/>
      <c r="V2533" s="3589"/>
      <c r="W2533" s="766"/>
      <c r="X2533" s="766"/>
      <c r="Y2533" s="786">
        <v>13</v>
      </c>
      <c r="Z2533" s="781">
        <v>13</v>
      </c>
      <c r="AA2533" s="781">
        <v>13</v>
      </c>
      <c r="AB2533" s="2725">
        <v>13</v>
      </c>
      <c r="AC2533" s="766"/>
      <c r="AD2533" s="766"/>
      <c r="AE2533" s="766"/>
      <c r="AF2533" s="766"/>
      <c r="AG2533" s="766"/>
      <c r="BB2533" s="647"/>
      <c r="BC2533" s="648"/>
      <c r="BD2533" s="757"/>
      <c r="BE2533" s="659"/>
    </row>
    <row r="2534" spans="1:57" s="64" customFormat="1" ht="15" customHeight="1" outlineLevel="1" x14ac:dyDescent="0.25">
      <c r="A2534" s="1393"/>
      <c r="B2534" s="157"/>
      <c r="C2534" s="385"/>
      <c r="D2534" s="3589"/>
      <c r="E2534" s="3721"/>
      <c r="F2534" s="3773" t="str">
        <f>$E$1574</f>
        <v>ASHP SEER 18 replace ASHP - early replacement MF ER1</v>
      </c>
      <c r="G2534" s="3774"/>
      <c r="H2534" s="3774"/>
      <c r="I2534" s="3775"/>
      <c r="J2534" s="3071" t="str">
        <f>$C$1574</f>
        <v>354350_2019_12_</v>
      </c>
      <c r="K2534" s="2725">
        <v>8.33</v>
      </c>
      <c r="L2534" s="945"/>
      <c r="M2534" s="2727" t="s">
        <v>1508</v>
      </c>
      <c r="N2534" s="157"/>
      <c r="O2534" s="277"/>
      <c r="P2534" s="277"/>
      <c r="Q2534" s="277"/>
      <c r="R2534" s="277"/>
      <c r="S2534" s="157"/>
      <c r="T2534" s="157"/>
      <c r="U2534" s="157"/>
      <c r="V2534" s="3589"/>
      <c r="W2534" s="766">
        <v>7.2</v>
      </c>
      <c r="X2534" s="765">
        <v>8.33</v>
      </c>
      <c r="Y2534" s="781">
        <v>8.33</v>
      </c>
      <c r="Z2534" s="781">
        <v>8.33</v>
      </c>
      <c r="AA2534" s="781">
        <v>8.33</v>
      </c>
      <c r="AB2534" s="2725">
        <v>8.33</v>
      </c>
      <c r="AC2534" s="766"/>
      <c r="AD2534" s="766"/>
      <c r="AE2534" s="766"/>
      <c r="AF2534" s="766"/>
      <c r="AG2534" s="766"/>
      <c r="BB2534" s="647"/>
      <c r="BC2534" s="648"/>
      <c r="BD2534" s="757"/>
      <c r="BE2534" s="659"/>
    </row>
    <row r="2535" spans="1:57" s="64" customFormat="1" ht="15" customHeight="1" outlineLevel="1" x14ac:dyDescent="0.25">
      <c r="A2535" s="1393"/>
      <c r="B2535" s="157"/>
      <c r="C2535" s="385"/>
      <c r="D2535" s="3589"/>
      <c r="E2535" s="3721"/>
      <c r="F2535" s="3773" t="str">
        <f>$E$1576</f>
        <v>ASHP SEER 18 replace ASHP - early replacement MF ER2</v>
      </c>
      <c r="G2535" s="3774"/>
      <c r="H2535" s="3774"/>
      <c r="I2535" s="3775"/>
      <c r="J2535" s="3071" t="str">
        <f>$C$1576</f>
        <v>354350_2019_12_</v>
      </c>
      <c r="K2535" s="2725">
        <v>14</v>
      </c>
      <c r="L2535" s="945"/>
      <c r="M2535" s="2727" t="s">
        <v>1508</v>
      </c>
      <c r="N2535" s="157"/>
      <c r="O2535" s="277"/>
      <c r="P2535" s="277"/>
      <c r="Q2535" s="277"/>
      <c r="R2535" s="277"/>
      <c r="S2535" s="157"/>
      <c r="T2535" s="157"/>
      <c r="U2535" s="157"/>
      <c r="V2535" s="3589"/>
      <c r="W2535" s="766">
        <v>14</v>
      </c>
      <c r="X2535" s="766">
        <v>14</v>
      </c>
      <c r="Y2535" s="781">
        <v>14</v>
      </c>
      <c r="Z2535" s="781">
        <v>14</v>
      </c>
      <c r="AA2535" s="781">
        <v>14</v>
      </c>
      <c r="AB2535" s="2725">
        <v>14</v>
      </c>
      <c r="AC2535" s="766"/>
      <c r="AD2535" s="766"/>
      <c r="AE2535" s="766"/>
      <c r="AF2535" s="766"/>
      <c r="AG2535" s="766"/>
      <c r="BB2535" s="647"/>
      <c r="BC2535" s="648"/>
      <c r="BD2535" s="757"/>
      <c r="BE2535" s="659"/>
    </row>
    <row r="2536" spans="1:57" s="64" customFormat="1" ht="15" customHeight="1" outlineLevel="1" x14ac:dyDescent="0.25">
      <c r="A2536" s="1393"/>
      <c r="B2536" s="157"/>
      <c r="C2536" s="385"/>
      <c r="D2536" s="3589"/>
      <c r="E2536" s="3721"/>
      <c r="F2536" s="3773" t="str">
        <f>$E$1578</f>
        <v>ASHP SEER 18 replace ASHP - early replacement MF ER1_CompE</v>
      </c>
      <c r="G2536" s="3774"/>
      <c r="H2536" s="3774"/>
      <c r="I2536" s="3775"/>
      <c r="J2536" s="3071" t="str">
        <f>$C$1578</f>
        <v>354351_2019_12_</v>
      </c>
      <c r="K2536" s="2725">
        <v>8.33</v>
      </c>
      <c r="L2536" s="945"/>
      <c r="M2536" s="2727" t="s">
        <v>1508</v>
      </c>
      <c r="N2536" s="157"/>
      <c r="O2536" s="277"/>
      <c r="P2536" s="277"/>
      <c r="Q2536" s="277"/>
      <c r="R2536" s="277"/>
      <c r="S2536" s="157"/>
      <c r="T2536" s="157"/>
      <c r="U2536" s="157"/>
      <c r="V2536" s="3589"/>
      <c r="W2536" s="766"/>
      <c r="X2536" s="766"/>
      <c r="Y2536" s="786">
        <v>8.33</v>
      </c>
      <c r="Z2536" s="781">
        <v>8.33</v>
      </c>
      <c r="AA2536" s="781">
        <v>8.33</v>
      </c>
      <c r="AB2536" s="2725">
        <v>8.33</v>
      </c>
      <c r="AC2536" s="766"/>
      <c r="AD2536" s="766"/>
      <c r="AE2536" s="766"/>
      <c r="AF2536" s="766"/>
      <c r="AG2536" s="766"/>
      <c r="BB2536" s="647"/>
      <c r="BC2536" s="648"/>
      <c r="BD2536" s="757"/>
      <c r="BE2536" s="659"/>
    </row>
    <row r="2537" spans="1:57" s="64" customFormat="1" ht="15" customHeight="1" outlineLevel="1" x14ac:dyDescent="0.25">
      <c r="A2537" s="1393"/>
      <c r="B2537" s="157"/>
      <c r="C2537" s="385"/>
      <c r="D2537" s="3589"/>
      <c r="E2537" s="3721"/>
      <c r="F2537" s="3773" t="str">
        <f>$E$1580</f>
        <v>ASHP SEER 18 replace ASHP - early replacement MF ER2_CompE</v>
      </c>
      <c r="G2537" s="3774"/>
      <c r="H2537" s="3774"/>
      <c r="I2537" s="3775"/>
      <c r="J2537" s="3071" t="str">
        <f>$C$1580</f>
        <v>354351_2019_12_</v>
      </c>
      <c r="K2537" s="2725">
        <v>14</v>
      </c>
      <c r="L2537" s="945"/>
      <c r="M2537" s="2727" t="s">
        <v>1508</v>
      </c>
      <c r="N2537" s="157"/>
      <c r="O2537" s="277"/>
      <c r="P2537" s="277"/>
      <c r="Q2537" s="277"/>
      <c r="R2537" s="277"/>
      <c r="S2537" s="157"/>
      <c r="T2537" s="157"/>
      <c r="U2537" s="157"/>
      <c r="V2537" s="3589"/>
      <c r="W2537" s="766"/>
      <c r="X2537" s="766"/>
      <c r="Y2537" s="786">
        <v>14</v>
      </c>
      <c r="Z2537" s="781">
        <v>14</v>
      </c>
      <c r="AA2537" s="781">
        <v>14</v>
      </c>
      <c r="AB2537" s="2725">
        <v>14</v>
      </c>
      <c r="AC2537" s="766"/>
      <c r="AD2537" s="766"/>
      <c r="AE2537" s="766"/>
      <c r="AF2537" s="766"/>
      <c r="AG2537" s="766"/>
      <c r="BB2537" s="647"/>
      <c r="BC2537" s="648"/>
      <c r="BD2537" s="757"/>
      <c r="BE2537" s="659"/>
    </row>
    <row r="2538" spans="1:57" s="64" customFormat="1" ht="15" customHeight="1" outlineLevel="1" x14ac:dyDescent="0.25">
      <c r="A2538" s="1393"/>
      <c r="B2538" s="157"/>
      <c r="C2538" s="385"/>
      <c r="D2538" s="3589"/>
      <c r="E2538" s="3721"/>
      <c r="F2538" s="3773" t="str">
        <f>$E$1582</f>
        <v>ASHP - SEER 19 - replace electric furnace / CAC - early replacement SF ER1</v>
      </c>
      <c r="G2538" s="3774"/>
      <c r="H2538" s="3774"/>
      <c r="I2538" s="3775"/>
      <c r="J2538" s="3071" t="str">
        <f>$C$1582</f>
        <v>354400_2019_12_</v>
      </c>
      <c r="K2538" s="2725">
        <v>8.33</v>
      </c>
      <c r="L2538" s="945"/>
      <c r="M2538" s="2727" t="s">
        <v>1508</v>
      </c>
      <c r="N2538" s="157"/>
      <c r="O2538" s="277"/>
      <c r="P2538" s="277"/>
      <c r="Q2538" s="277"/>
      <c r="R2538" s="277"/>
      <c r="S2538" s="157"/>
      <c r="T2538" s="157"/>
      <c r="U2538" s="157"/>
      <c r="V2538" s="3589"/>
      <c r="W2538" s="766">
        <v>6.8</v>
      </c>
      <c r="X2538" s="765">
        <v>8.33</v>
      </c>
      <c r="Y2538" s="781">
        <v>8.33</v>
      </c>
      <c r="Z2538" s="781">
        <v>8.33</v>
      </c>
      <c r="AA2538" s="781">
        <v>8.33</v>
      </c>
      <c r="AB2538" s="2725">
        <v>8.33</v>
      </c>
      <c r="AC2538" s="766"/>
      <c r="AD2538" s="766"/>
      <c r="AE2538" s="766"/>
      <c r="AF2538" s="766"/>
      <c r="AG2538" s="766"/>
      <c r="BB2538" s="647"/>
      <c r="BC2538" s="648"/>
      <c r="BD2538" s="757"/>
      <c r="BE2538" s="659"/>
    </row>
    <row r="2539" spans="1:57" s="64" customFormat="1" ht="15" customHeight="1" outlineLevel="1" x14ac:dyDescent="0.25">
      <c r="A2539" s="1393"/>
      <c r="B2539" s="157"/>
      <c r="C2539" s="385"/>
      <c r="D2539" s="3589"/>
      <c r="E2539" s="3721"/>
      <c r="F2539" s="3773" t="str">
        <f>$E$1584</f>
        <v>ASHP - SEER 19 - replace electric furnace / CAC - early replacement SF ER2</v>
      </c>
      <c r="G2539" s="3774"/>
      <c r="H2539" s="3774"/>
      <c r="I2539" s="3775"/>
      <c r="J2539" s="3071" t="str">
        <f>$C$1584</f>
        <v>354400_2019_12_</v>
      </c>
      <c r="K2539" s="2725">
        <v>13</v>
      </c>
      <c r="L2539" s="945"/>
      <c r="M2539" s="2727" t="s">
        <v>1508</v>
      </c>
      <c r="N2539" s="157"/>
      <c r="O2539" s="277"/>
      <c r="P2539" s="277"/>
      <c r="Q2539" s="277"/>
      <c r="R2539" s="277"/>
      <c r="S2539" s="157"/>
      <c r="T2539" s="157"/>
      <c r="U2539" s="157"/>
      <c r="V2539" s="3589"/>
      <c r="W2539" s="766">
        <v>13</v>
      </c>
      <c r="X2539" s="766">
        <v>13</v>
      </c>
      <c r="Y2539" s="781">
        <v>13</v>
      </c>
      <c r="Z2539" s="781">
        <v>13</v>
      </c>
      <c r="AA2539" s="781">
        <v>13</v>
      </c>
      <c r="AB2539" s="2725">
        <v>13</v>
      </c>
      <c r="AC2539" s="766"/>
      <c r="AD2539" s="766"/>
      <c r="AE2539" s="766"/>
      <c r="AF2539" s="766"/>
      <c r="AG2539" s="766"/>
      <c r="BB2539" s="647"/>
      <c r="BC2539" s="648"/>
      <c r="BD2539" s="757"/>
      <c r="BE2539" s="659"/>
    </row>
    <row r="2540" spans="1:57" s="64" customFormat="1" ht="15" customHeight="1" outlineLevel="1" x14ac:dyDescent="0.25">
      <c r="A2540" s="1393"/>
      <c r="B2540" s="157"/>
      <c r="C2540" s="385"/>
      <c r="D2540" s="3589"/>
      <c r="E2540" s="3721"/>
      <c r="F2540" s="3773" t="str">
        <f>$E$1586</f>
        <v>ASHP - SEER 19 - replace electric furnace / CAC - early replacement MF ER1</v>
      </c>
      <c r="G2540" s="3774"/>
      <c r="H2540" s="3774"/>
      <c r="I2540" s="3775"/>
      <c r="J2540" s="3071" t="str">
        <f>$C$1586</f>
        <v>354450_2019_12_</v>
      </c>
      <c r="K2540" s="2725">
        <v>8.33</v>
      </c>
      <c r="L2540" s="945"/>
      <c r="M2540" s="2727" t="s">
        <v>1508</v>
      </c>
      <c r="N2540" s="157"/>
      <c r="O2540" s="277"/>
      <c r="P2540" s="277"/>
      <c r="Q2540" s="277"/>
      <c r="R2540" s="277"/>
      <c r="S2540" s="157"/>
      <c r="T2540" s="157"/>
      <c r="U2540" s="157"/>
      <c r="V2540" s="3589"/>
      <c r="W2540" s="766">
        <v>6.8</v>
      </c>
      <c r="X2540" s="765">
        <v>8.33</v>
      </c>
      <c r="Y2540" s="781">
        <v>8.33</v>
      </c>
      <c r="Z2540" s="781">
        <v>8.33</v>
      </c>
      <c r="AA2540" s="781">
        <v>8.33</v>
      </c>
      <c r="AB2540" s="2725">
        <v>8.33</v>
      </c>
      <c r="AC2540" s="766"/>
      <c r="AD2540" s="766"/>
      <c r="AE2540" s="766"/>
      <c r="AF2540" s="766"/>
      <c r="AG2540" s="766"/>
      <c r="BB2540" s="647"/>
      <c r="BC2540" s="648"/>
      <c r="BD2540" s="757"/>
      <c r="BE2540" s="659"/>
    </row>
    <row r="2541" spans="1:57" s="64" customFormat="1" ht="15" customHeight="1" outlineLevel="1" x14ac:dyDescent="0.25">
      <c r="A2541" s="1393"/>
      <c r="B2541" s="157"/>
      <c r="C2541" s="385"/>
      <c r="D2541" s="3589"/>
      <c r="E2541" s="3721"/>
      <c r="F2541" s="3773" t="str">
        <f>$E$1588</f>
        <v>ASHP - SEER 19 - replace electric furnace / CAC - early replacement MF ER2</v>
      </c>
      <c r="G2541" s="3774"/>
      <c r="H2541" s="3774"/>
      <c r="I2541" s="3775"/>
      <c r="J2541" s="3071" t="str">
        <f>$C$1588</f>
        <v>354450_2019_12_</v>
      </c>
      <c r="K2541" s="2725">
        <v>13</v>
      </c>
      <c r="L2541" s="945"/>
      <c r="M2541" s="2727" t="s">
        <v>1508</v>
      </c>
      <c r="N2541" s="157"/>
      <c r="O2541" s="277"/>
      <c r="P2541" s="277"/>
      <c r="Q2541" s="277"/>
      <c r="R2541" s="277"/>
      <c r="S2541" s="157"/>
      <c r="T2541" s="157"/>
      <c r="U2541" s="157"/>
      <c r="V2541" s="3589"/>
      <c r="W2541" s="766">
        <v>13</v>
      </c>
      <c r="X2541" s="766">
        <v>13</v>
      </c>
      <c r="Y2541" s="781">
        <v>13</v>
      </c>
      <c r="Z2541" s="781">
        <v>13</v>
      </c>
      <c r="AA2541" s="781">
        <v>13</v>
      </c>
      <c r="AB2541" s="2725">
        <v>13</v>
      </c>
      <c r="AC2541" s="766"/>
      <c r="AD2541" s="766"/>
      <c r="AE2541" s="766"/>
      <c r="AF2541" s="766"/>
      <c r="AG2541" s="766"/>
      <c r="BB2541" s="647"/>
      <c r="BC2541" s="648"/>
      <c r="BD2541" s="757"/>
      <c r="BE2541" s="659"/>
    </row>
    <row r="2542" spans="1:57" s="64" customFormat="1" ht="15" customHeight="1" outlineLevel="1" x14ac:dyDescent="0.25">
      <c r="A2542" s="1393"/>
      <c r="B2542" s="157"/>
      <c r="C2542" s="385"/>
      <c r="D2542" s="3589"/>
      <c r="E2542" s="3721"/>
      <c r="F2542" s="3773" t="str">
        <f>$E$1590</f>
        <v>ASHP - SEER 19 - replace electric furnace / CAC - early replacement MF ER1_CompE</v>
      </c>
      <c r="G2542" s="3774"/>
      <c r="H2542" s="3774"/>
      <c r="I2542" s="3775"/>
      <c r="J2542" s="3071" t="str">
        <f>$C$1590</f>
        <v>354451_2019_12_</v>
      </c>
      <c r="K2542" s="2725">
        <v>8.33</v>
      </c>
      <c r="L2542" s="945"/>
      <c r="M2542" s="2727" t="s">
        <v>1508</v>
      </c>
      <c r="N2542" s="157"/>
      <c r="O2542" s="277"/>
      <c r="P2542" s="277"/>
      <c r="Q2542" s="277"/>
      <c r="R2542" s="277"/>
      <c r="S2542" s="157"/>
      <c r="T2542" s="157"/>
      <c r="U2542" s="157"/>
      <c r="V2542" s="3589"/>
      <c r="W2542" s="766"/>
      <c r="X2542" s="766"/>
      <c r="Y2542" s="786">
        <v>8.33</v>
      </c>
      <c r="Z2542" s="781">
        <v>8.33</v>
      </c>
      <c r="AA2542" s="781">
        <v>8.33</v>
      </c>
      <c r="AB2542" s="2725">
        <v>8.33</v>
      </c>
      <c r="AC2542" s="766"/>
      <c r="AD2542" s="766"/>
      <c r="AE2542" s="766"/>
      <c r="AF2542" s="766"/>
      <c r="AG2542" s="766"/>
      <c r="BB2542" s="647"/>
      <c r="BC2542" s="648"/>
      <c r="BD2542" s="757"/>
      <c r="BE2542" s="659"/>
    </row>
    <row r="2543" spans="1:57" s="64" customFormat="1" ht="15" customHeight="1" outlineLevel="1" x14ac:dyDescent="0.25">
      <c r="A2543" s="1393"/>
      <c r="B2543" s="157"/>
      <c r="C2543" s="385"/>
      <c r="D2543" s="3589"/>
      <c r="E2543" s="3721"/>
      <c r="F2543" s="3773" t="str">
        <f>$E$1592</f>
        <v>ASHP - SEER 19 - replace electric furnace / CAC - early replacement MF ER2_CompE</v>
      </c>
      <c r="G2543" s="3774"/>
      <c r="H2543" s="3774"/>
      <c r="I2543" s="3775"/>
      <c r="J2543" s="3071" t="str">
        <f>$C$1592</f>
        <v>354451_2019_12_</v>
      </c>
      <c r="K2543" s="2725">
        <v>13</v>
      </c>
      <c r="L2543" s="945"/>
      <c r="M2543" s="2727" t="s">
        <v>1508</v>
      </c>
      <c r="N2543" s="157"/>
      <c r="O2543" s="277"/>
      <c r="P2543" s="277"/>
      <c r="Q2543" s="277"/>
      <c r="R2543" s="277"/>
      <c r="S2543" s="157"/>
      <c r="T2543" s="157"/>
      <c r="U2543" s="157"/>
      <c r="V2543" s="3589"/>
      <c r="W2543" s="766"/>
      <c r="X2543" s="766"/>
      <c r="Y2543" s="786">
        <v>13</v>
      </c>
      <c r="Z2543" s="781">
        <v>13</v>
      </c>
      <c r="AA2543" s="781">
        <v>13</v>
      </c>
      <c r="AB2543" s="2725">
        <v>13</v>
      </c>
      <c r="AC2543" s="766"/>
      <c r="AD2543" s="766"/>
      <c r="AE2543" s="766"/>
      <c r="AF2543" s="766"/>
      <c r="AG2543" s="766"/>
      <c r="BB2543" s="647"/>
      <c r="BC2543" s="648"/>
      <c r="BD2543" s="757"/>
      <c r="BE2543" s="659"/>
    </row>
    <row r="2544" spans="1:57" s="64" customFormat="1" ht="15" customHeight="1" outlineLevel="1" x14ac:dyDescent="0.25">
      <c r="A2544" s="1393"/>
      <c r="B2544" s="157"/>
      <c r="C2544" s="385"/>
      <c r="D2544" s="3589"/>
      <c r="E2544" s="3721"/>
      <c r="F2544" s="3773" t="str">
        <f>$E$1594</f>
        <v>ASHP SEER 19 replace ASHP - early replacement MF ER1</v>
      </c>
      <c r="G2544" s="3774"/>
      <c r="H2544" s="3774"/>
      <c r="I2544" s="3775"/>
      <c r="J2544" s="3071" t="str">
        <f>$C$1594</f>
        <v>354500_2019_12_</v>
      </c>
      <c r="K2544" s="2725">
        <v>8.33</v>
      </c>
      <c r="L2544" s="945"/>
      <c r="M2544" s="2727" t="s">
        <v>1508</v>
      </c>
      <c r="N2544" s="157"/>
      <c r="O2544" s="277"/>
      <c r="P2544" s="277"/>
      <c r="Q2544" s="277"/>
      <c r="R2544" s="277"/>
      <c r="S2544" s="157"/>
      <c r="T2544" s="157"/>
      <c r="U2544" s="157"/>
      <c r="V2544" s="3589"/>
      <c r="W2544" s="766">
        <v>7.2</v>
      </c>
      <c r="X2544" s="765">
        <v>8.33</v>
      </c>
      <c r="Y2544" s="781">
        <v>8.33</v>
      </c>
      <c r="Z2544" s="781">
        <v>8.33</v>
      </c>
      <c r="AA2544" s="781">
        <v>8.33</v>
      </c>
      <c r="AB2544" s="2725">
        <v>8.33</v>
      </c>
      <c r="AC2544" s="766"/>
      <c r="AD2544" s="766"/>
      <c r="AE2544" s="766"/>
      <c r="AF2544" s="766"/>
      <c r="AG2544" s="766"/>
      <c r="BB2544" s="647"/>
      <c r="BC2544" s="648"/>
      <c r="BD2544" s="757"/>
      <c r="BE2544" s="659"/>
    </row>
    <row r="2545" spans="1:57" s="64" customFormat="1" ht="15" customHeight="1" outlineLevel="1" x14ac:dyDescent="0.25">
      <c r="A2545" s="1393"/>
      <c r="B2545" s="157"/>
      <c r="C2545" s="385"/>
      <c r="D2545" s="3589"/>
      <c r="E2545" s="3721"/>
      <c r="F2545" s="3773" t="str">
        <f>$E$1596</f>
        <v>ASHP SEER 19 replace ASHP - early replacement MF ER2</v>
      </c>
      <c r="G2545" s="3774"/>
      <c r="H2545" s="3774"/>
      <c r="I2545" s="3775"/>
      <c r="J2545" s="3071" t="str">
        <f>$C$1596</f>
        <v>354500_2019_12_</v>
      </c>
      <c r="K2545" s="2725">
        <v>14</v>
      </c>
      <c r="L2545" s="945"/>
      <c r="M2545" s="2727" t="s">
        <v>1508</v>
      </c>
      <c r="N2545" s="157"/>
      <c r="O2545" s="277"/>
      <c r="P2545" s="277"/>
      <c r="Q2545" s="277"/>
      <c r="R2545" s="277"/>
      <c r="S2545" s="157"/>
      <c r="T2545" s="157"/>
      <c r="U2545" s="157"/>
      <c r="V2545" s="3589"/>
      <c r="W2545" s="766">
        <v>14</v>
      </c>
      <c r="X2545" s="766">
        <v>14</v>
      </c>
      <c r="Y2545" s="781">
        <v>14</v>
      </c>
      <c r="Z2545" s="781">
        <v>14</v>
      </c>
      <c r="AA2545" s="781">
        <v>14</v>
      </c>
      <c r="AB2545" s="2725">
        <v>14</v>
      </c>
      <c r="AC2545" s="766"/>
      <c r="AD2545" s="766"/>
      <c r="AE2545" s="766"/>
      <c r="AF2545" s="766"/>
      <c r="AG2545" s="766"/>
      <c r="BB2545" s="647"/>
      <c r="BC2545" s="648"/>
      <c r="BD2545" s="757"/>
      <c r="BE2545" s="659"/>
    </row>
    <row r="2546" spans="1:57" s="64" customFormat="1" ht="15" customHeight="1" outlineLevel="1" x14ac:dyDescent="0.25">
      <c r="A2546" s="1393"/>
      <c r="B2546" s="157"/>
      <c r="C2546" s="385"/>
      <c r="D2546" s="3589"/>
      <c r="E2546" s="3721"/>
      <c r="F2546" s="3773" t="str">
        <f>$E$1598</f>
        <v>ASHP SEER 19 replace ASHP - early replacement MF ER1_CompE</v>
      </c>
      <c r="G2546" s="3774"/>
      <c r="H2546" s="3774"/>
      <c r="I2546" s="3775"/>
      <c r="J2546" s="3071" t="str">
        <f>$C$1598</f>
        <v>354501_2019_12_</v>
      </c>
      <c r="K2546" s="2725">
        <v>8.33</v>
      </c>
      <c r="L2546" s="945"/>
      <c r="M2546" s="2727" t="s">
        <v>1508</v>
      </c>
      <c r="N2546" s="157"/>
      <c r="O2546" s="277"/>
      <c r="P2546" s="277"/>
      <c r="Q2546" s="277"/>
      <c r="R2546" s="277"/>
      <c r="S2546" s="157"/>
      <c r="T2546" s="157"/>
      <c r="U2546" s="157"/>
      <c r="V2546" s="3589"/>
      <c r="W2546" s="766"/>
      <c r="X2546" s="766"/>
      <c r="Y2546" s="786">
        <v>8.33</v>
      </c>
      <c r="Z2546" s="781">
        <v>8.33</v>
      </c>
      <c r="AA2546" s="781">
        <v>8.33</v>
      </c>
      <c r="AB2546" s="2725">
        <v>8.33</v>
      </c>
      <c r="AC2546" s="766"/>
      <c r="AD2546" s="766"/>
      <c r="AE2546" s="766"/>
      <c r="AF2546" s="766"/>
      <c r="AG2546" s="766"/>
      <c r="BB2546" s="647"/>
      <c r="BC2546" s="648"/>
      <c r="BD2546" s="757"/>
      <c r="BE2546" s="659"/>
    </row>
    <row r="2547" spans="1:57" s="64" customFormat="1" ht="15" customHeight="1" outlineLevel="1" x14ac:dyDescent="0.25">
      <c r="A2547" s="1393"/>
      <c r="B2547" s="157"/>
      <c r="C2547" s="385"/>
      <c r="D2547" s="3589"/>
      <c r="E2547" s="3721"/>
      <c r="F2547" s="3773" t="str">
        <f>$E$1600</f>
        <v>ASHP SEER 19 replace ASHP - early replacement MF ER2_CompE</v>
      </c>
      <c r="G2547" s="3774"/>
      <c r="H2547" s="3774"/>
      <c r="I2547" s="3775"/>
      <c r="J2547" s="3071" t="str">
        <f>$C$1600</f>
        <v>354501_2019_12_</v>
      </c>
      <c r="K2547" s="2725">
        <v>14</v>
      </c>
      <c r="L2547" s="945"/>
      <c r="M2547" s="2727" t="s">
        <v>1508</v>
      </c>
      <c r="N2547" s="157"/>
      <c r="O2547" s="277"/>
      <c r="P2547" s="277"/>
      <c r="Q2547" s="277"/>
      <c r="R2547" s="277"/>
      <c r="S2547" s="157"/>
      <c r="T2547" s="157"/>
      <c r="U2547" s="157"/>
      <c r="V2547" s="3589"/>
      <c r="W2547" s="766"/>
      <c r="X2547" s="766"/>
      <c r="Y2547" s="786">
        <v>14</v>
      </c>
      <c r="Z2547" s="781">
        <v>14</v>
      </c>
      <c r="AA2547" s="781">
        <v>14</v>
      </c>
      <c r="AB2547" s="2725">
        <v>14</v>
      </c>
      <c r="AC2547" s="766"/>
      <c r="AD2547" s="766"/>
      <c r="AE2547" s="766"/>
      <c r="AF2547" s="766"/>
      <c r="AG2547" s="766"/>
      <c r="BB2547" s="647"/>
      <c r="BC2547" s="648"/>
      <c r="BD2547" s="757"/>
      <c r="BE2547" s="659"/>
    </row>
    <row r="2548" spans="1:57" s="64" customFormat="1" ht="15" customHeight="1" outlineLevel="1" x14ac:dyDescent="0.25">
      <c r="A2548" s="1393"/>
      <c r="B2548" s="157"/>
      <c r="C2548" s="385"/>
      <c r="D2548" s="3589"/>
      <c r="E2548" s="3721"/>
      <c r="F2548" s="3773" t="str">
        <f>$E$1602</f>
        <v>ASHP SEER 20 replace ASHP - early replacement SF ER1</v>
      </c>
      <c r="G2548" s="3774"/>
      <c r="H2548" s="3774"/>
      <c r="I2548" s="3775"/>
      <c r="J2548" s="3071" t="str">
        <f>$C$1602</f>
        <v>354550_2019_12_</v>
      </c>
      <c r="K2548" s="2725">
        <v>8.33</v>
      </c>
      <c r="L2548" s="945"/>
      <c r="M2548" s="2727" t="s">
        <v>1508</v>
      </c>
      <c r="N2548" s="157"/>
      <c r="O2548" s="277"/>
      <c r="P2548" s="277"/>
      <c r="Q2548" s="277"/>
      <c r="R2548" s="277"/>
      <c r="S2548" s="157"/>
      <c r="T2548" s="157"/>
      <c r="U2548" s="157"/>
      <c r="V2548" s="3589"/>
      <c r="W2548" s="766">
        <v>7.2</v>
      </c>
      <c r="X2548" s="765">
        <v>8.33</v>
      </c>
      <c r="Y2548" s="781">
        <v>8.33</v>
      </c>
      <c r="Z2548" s="781">
        <v>8.33</v>
      </c>
      <c r="AA2548" s="781">
        <v>8.33</v>
      </c>
      <c r="AB2548" s="2725">
        <v>8.33</v>
      </c>
      <c r="AC2548" s="766"/>
      <c r="AD2548" s="766"/>
      <c r="AE2548" s="766"/>
      <c r="AF2548" s="766"/>
      <c r="AG2548" s="766"/>
      <c r="BB2548" s="647"/>
      <c r="BC2548" s="648"/>
      <c r="BD2548" s="757"/>
      <c r="BE2548" s="659"/>
    </row>
    <row r="2549" spans="1:57" s="64" customFormat="1" ht="15" customHeight="1" outlineLevel="1" x14ac:dyDescent="0.25">
      <c r="A2549" s="1393"/>
      <c r="B2549" s="157"/>
      <c r="C2549" s="385"/>
      <c r="D2549" s="3589"/>
      <c r="E2549" s="3721"/>
      <c r="F2549" s="3773" t="str">
        <f>$E$1604</f>
        <v>ASHP SEER 20 replace ASHP - early replacement SF ER2</v>
      </c>
      <c r="G2549" s="3774"/>
      <c r="H2549" s="3774"/>
      <c r="I2549" s="3775"/>
      <c r="J2549" s="3071" t="str">
        <f>$C$1604</f>
        <v>354550_2019_12_</v>
      </c>
      <c r="K2549" s="2725">
        <v>14</v>
      </c>
      <c r="L2549" s="945"/>
      <c r="M2549" s="2727" t="s">
        <v>1508</v>
      </c>
      <c r="N2549" s="157"/>
      <c r="O2549" s="277"/>
      <c r="P2549" s="277"/>
      <c r="Q2549" s="277"/>
      <c r="R2549" s="277"/>
      <c r="S2549" s="157"/>
      <c r="T2549" s="157"/>
      <c r="U2549" s="157"/>
      <c r="V2549" s="3589"/>
      <c r="W2549" s="766">
        <v>14</v>
      </c>
      <c r="X2549" s="766">
        <v>14</v>
      </c>
      <c r="Y2549" s="781">
        <v>14</v>
      </c>
      <c r="Z2549" s="781">
        <v>14</v>
      </c>
      <c r="AA2549" s="781">
        <v>14</v>
      </c>
      <c r="AB2549" s="2725">
        <v>14</v>
      </c>
      <c r="AC2549" s="766"/>
      <c r="AD2549" s="766"/>
      <c r="AE2549" s="766"/>
      <c r="AF2549" s="766"/>
      <c r="AG2549" s="766"/>
      <c r="BB2549" s="647"/>
      <c r="BC2549" s="648"/>
      <c r="BD2549" s="757"/>
      <c r="BE2549" s="659"/>
    </row>
    <row r="2550" spans="1:57" s="64" customFormat="1" ht="15" customHeight="1" outlineLevel="1" x14ac:dyDescent="0.25">
      <c r="A2550" s="1393"/>
      <c r="B2550" s="157"/>
      <c r="C2550" s="385"/>
      <c r="D2550" s="3589"/>
      <c r="E2550" s="3721"/>
      <c r="F2550" s="3773" t="str">
        <f>$E$1606</f>
        <v>ASHP SEER 20 replace ASHP - replace on fail SF</v>
      </c>
      <c r="G2550" s="3774"/>
      <c r="H2550" s="3774"/>
      <c r="I2550" s="3775"/>
      <c r="J2550" s="3071" t="str">
        <f>$C$1606</f>
        <v>354600_2019_12_</v>
      </c>
      <c r="K2550" s="2725">
        <v>14</v>
      </c>
      <c r="L2550" s="945"/>
      <c r="M2550" s="2727" t="s">
        <v>1508</v>
      </c>
      <c r="N2550" s="157"/>
      <c r="O2550" s="277"/>
      <c r="P2550" s="277"/>
      <c r="Q2550" s="277"/>
      <c r="R2550" s="277"/>
      <c r="S2550" s="157"/>
      <c r="T2550" s="157"/>
      <c r="U2550" s="157"/>
      <c r="V2550" s="3589"/>
      <c r="W2550" s="766">
        <v>14</v>
      </c>
      <c r="X2550" s="766">
        <v>14</v>
      </c>
      <c r="Y2550" s="781">
        <v>14</v>
      </c>
      <c r="Z2550" s="781">
        <v>14</v>
      </c>
      <c r="AA2550" s="781">
        <v>14</v>
      </c>
      <c r="AB2550" s="2725">
        <v>14</v>
      </c>
      <c r="AC2550" s="766"/>
      <c r="AD2550" s="766"/>
      <c r="AE2550" s="766"/>
      <c r="AF2550" s="766"/>
      <c r="AG2550" s="766"/>
      <c r="BB2550" s="647"/>
      <c r="BC2550" s="648"/>
      <c r="BD2550" s="757"/>
      <c r="BE2550" s="659"/>
    </row>
    <row r="2551" spans="1:57" s="64" customFormat="1" ht="15" customHeight="1" outlineLevel="1" x14ac:dyDescent="0.25">
      <c r="A2551" s="1393"/>
      <c r="B2551" s="157"/>
      <c r="C2551" s="385"/>
      <c r="D2551" s="3589"/>
      <c r="E2551" s="3721"/>
      <c r="F2551" s="3773" t="str">
        <f>$E$1608</f>
        <v>ASHP - SEER 20 - replace electric furnace / CAC - early replacement MF ER1</v>
      </c>
      <c r="G2551" s="3774"/>
      <c r="H2551" s="3774"/>
      <c r="I2551" s="3775"/>
      <c r="J2551" s="3071" t="str">
        <f>$C$1608</f>
        <v>354650_2019_12_</v>
      </c>
      <c r="K2551" s="2725">
        <v>8.33</v>
      </c>
      <c r="L2551" s="945"/>
      <c r="M2551" s="2727" t="s">
        <v>1508</v>
      </c>
      <c r="N2551" s="157"/>
      <c r="O2551" s="277"/>
      <c r="P2551" s="277"/>
      <c r="Q2551" s="277"/>
      <c r="R2551" s="277"/>
      <c r="S2551" s="157"/>
      <c r="T2551" s="157"/>
      <c r="U2551" s="157"/>
      <c r="V2551" s="3589"/>
      <c r="W2551" s="766">
        <v>6.8</v>
      </c>
      <c r="X2551" s="765">
        <v>8.33</v>
      </c>
      <c r="Y2551" s="781">
        <v>8.33</v>
      </c>
      <c r="Z2551" s="781">
        <v>8.33</v>
      </c>
      <c r="AA2551" s="781">
        <v>8.33</v>
      </c>
      <c r="AB2551" s="2725">
        <v>8.33</v>
      </c>
      <c r="AC2551" s="766"/>
      <c r="AD2551" s="766"/>
      <c r="AE2551" s="766"/>
      <c r="AF2551" s="766"/>
      <c r="AG2551" s="766"/>
      <c r="BB2551" s="647"/>
      <c r="BC2551" s="648"/>
      <c r="BD2551" s="757"/>
      <c r="BE2551" s="659"/>
    </row>
    <row r="2552" spans="1:57" s="64" customFormat="1" ht="15" customHeight="1" outlineLevel="1" x14ac:dyDescent="0.25">
      <c r="A2552" s="1393"/>
      <c r="B2552" s="157"/>
      <c r="C2552" s="385"/>
      <c r="D2552" s="3589"/>
      <c r="E2552" s="3721"/>
      <c r="F2552" s="3773" t="str">
        <f>$E$1610</f>
        <v>ASHP - SEER 20 - replace electric furnace / CAC - early replacement MF ER2</v>
      </c>
      <c r="G2552" s="3774"/>
      <c r="H2552" s="3774"/>
      <c r="I2552" s="3775"/>
      <c r="J2552" s="3071" t="str">
        <f>$C$1610</f>
        <v>354650_2019_12_</v>
      </c>
      <c r="K2552" s="2725">
        <v>13</v>
      </c>
      <c r="L2552" s="945"/>
      <c r="M2552" s="2727" t="s">
        <v>1508</v>
      </c>
      <c r="N2552" s="157"/>
      <c r="O2552" s="277"/>
      <c r="P2552" s="277"/>
      <c r="Q2552" s="277"/>
      <c r="R2552" s="277"/>
      <c r="S2552" s="157"/>
      <c r="T2552" s="157"/>
      <c r="U2552" s="157"/>
      <c r="V2552" s="3589"/>
      <c r="W2552" s="766">
        <v>13</v>
      </c>
      <c r="X2552" s="766">
        <v>13</v>
      </c>
      <c r="Y2552" s="781">
        <v>13</v>
      </c>
      <c r="Z2552" s="781">
        <v>13</v>
      </c>
      <c r="AA2552" s="781">
        <v>13</v>
      </c>
      <c r="AB2552" s="2725">
        <v>13</v>
      </c>
      <c r="AC2552" s="766"/>
      <c r="AD2552" s="766"/>
      <c r="AE2552" s="766"/>
      <c r="AF2552" s="766"/>
      <c r="AG2552" s="766"/>
      <c r="BB2552" s="647"/>
      <c r="BC2552" s="648"/>
      <c r="BD2552" s="757"/>
      <c r="BE2552" s="659"/>
    </row>
    <row r="2553" spans="1:57" s="64" customFormat="1" ht="15" customHeight="1" outlineLevel="1" x14ac:dyDescent="0.25">
      <c r="A2553" s="1393"/>
      <c r="B2553" s="157"/>
      <c r="C2553" s="385"/>
      <c r="D2553" s="3589"/>
      <c r="E2553" s="3721"/>
      <c r="F2553" s="3773" t="str">
        <f>$E$1612</f>
        <v>ASHP - SEER 20 - replace electric furnace / CAC - early replacement MF ER1_CompE</v>
      </c>
      <c r="G2553" s="3774"/>
      <c r="H2553" s="3774"/>
      <c r="I2553" s="3775"/>
      <c r="J2553" s="3071" t="str">
        <f>$C$1612</f>
        <v>354651_2019_12_</v>
      </c>
      <c r="K2553" s="2725">
        <v>8.33</v>
      </c>
      <c r="L2553" s="945"/>
      <c r="M2553" s="2727" t="s">
        <v>1508</v>
      </c>
      <c r="N2553" s="157"/>
      <c r="O2553" s="277"/>
      <c r="P2553" s="277"/>
      <c r="Q2553" s="277"/>
      <c r="R2553" s="277"/>
      <c r="S2553" s="157"/>
      <c r="T2553" s="157"/>
      <c r="U2553" s="157"/>
      <c r="V2553" s="3589"/>
      <c r="W2553" s="766"/>
      <c r="X2553" s="766"/>
      <c r="Y2553" s="786">
        <v>8.33</v>
      </c>
      <c r="Z2553" s="781">
        <v>8.33</v>
      </c>
      <c r="AA2553" s="781">
        <v>8.33</v>
      </c>
      <c r="AB2553" s="2725">
        <v>8.33</v>
      </c>
      <c r="AC2553" s="766"/>
      <c r="AD2553" s="766"/>
      <c r="AE2553" s="766"/>
      <c r="AF2553" s="766"/>
      <c r="AG2553" s="766"/>
      <c r="BB2553" s="647"/>
      <c r="BC2553" s="648"/>
      <c r="BD2553" s="757"/>
      <c r="BE2553" s="659"/>
    </row>
    <row r="2554" spans="1:57" s="64" customFormat="1" ht="15" customHeight="1" outlineLevel="1" x14ac:dyDescent="0.25">
      <c r="A2554" s="1393"/>
      <c r="B2554" s="157"/>
      <c r="C2554" s="385"/>
      <c r="D2554" s="3589"/>
      <c r="E2554" s="3721"/>
      <c r="F2554" s="3773" t="str">
        <f>$E$1614</f>
        <v>ASHP - SEER 20 - replace electric furnace / CAC - early replacement MF ER2_CompE</v>
      </c>
      <c r="G2554" s="3774"/>
      <c r="H2554" s="3774"/>
      <c r="I2554" s="3775"/>
      <c r="J2554" s="3071" t="str">
        <f>$C$1614</f>
        <v>354651_2019_12_</v>
      </c>
      <c r="K2554" s="2725">
        <v>13</v>
      </c>
      <c r="L2554" s="945"/>
      <c r="M2554" s="2727" t="s">
        <v>1508</v>
      </c>
      <c r="N2554" s="157"/>
      <c r="O2554" s="277"/>
      <c r="P2554" s="277"/>
      <c r="Q2554" s="277"/>
      <c r="R2554" s="277"/>
      <c r="S2554" s="157"/>
      <c r="T2554" s="157"/>
      <c r="U2554" s="157"/>
      <c r="V2554" s="3589"/>
      <c r="W2554" s="766"/>
      <c r="X2554" s="766"/>
      <c r="Y2554" s="786">
        <v>13</v>
      </c>
      <c r="Z2554" s="781">
        <v>13</v>
      </c>
      <c r="AA2554" s="781">
        <v>13</v>
      </c>
      <c r="AB2554" s="2725">
        <v>13</v>
      </c>
      <c r="AC2554" s="766"/>
      <c r="AD2554" s="766"/>
      <c r="AE2554" s="766"/>
      <c r="AF2554" s="766"/>
      <c r="AG2554" s="766"/>
      <c r="BB2554" s="647"/>
      <c r="BC2554" s="648"/>
      <c r="BD2554" s="757"/>
      <c r="BE2554" s="659"/>
    </row>
    <row r="2555" spans="1:57" s="64" customFormat="1" ht="15" customHeight="1" outlineLevel="1" x14ac:dyDescent="0.25">
      <c r="A2555" s="1393"/>
      <c r="B2555" s="157"/>
      <c r="C2555" s="385"/>
      <c r="D2555" s="3589"/>
      <c r="E2555" s="3721"/>
      <c r="F2555" s="3773" t="str">
        <f>$E$1616</f>
        <v>ASHP SEER 20 replace ASHP - early replacement MF ER1</v>
      </c>
      <c r="G2555" s="3774"/>
      <c r="H2555" s="3774"/>
      <c r="I2555" s="3775"/>
      <c r="J2555" s="3071" t="str">
        <f>$C$1616</f>
        <v>354700_2019_12_</v>
      </c>
      <c r="K2555" s="2725">
        <v>8.33</v>
      </c>
      <c r="L2555" s="945"/>
      <c r="M2555" s="2727" t="s">
        <v>1508</v>
      </c>
      <c r="N2555" s="157"/>
      <c r="O2555" s="277"/>
      <c r="P2555" s="277"/>
      <c r="Q2555" s="277"/>
      <c r="R2555" s="277"/>
      <c r="S2555" s="157"/>
      <c r="T2555" s="157"/>
      <c r="U2555" s="157"/>
      <c r="V2555" s="3589"/>
      <c r="W2555" s="766">
        <v>7.2</v>
      </c>
      <c r="X2555" s="765">
        <v>8.33</v>
      </c>
      <c r="Y2555" s="781">
        <v>8.33</v>
      </c>
      <c r="Z2555" s="781">
        <v>8.33</v>
      </c>
      <c r="AA2555" s="781">
        <v>8.33</v>
      </c>
      <c r="AB2555" s="2725">
        <v>8.33</v>
      </c>
      <c r="AC2555" s="766"/>
      <c r="AD2555" s="766"/>
      <c r="AE2555" s="766"/>
      <c r="AF2555" s="766"/>
      <c r="AG2555" s="766"/>
      <c r="BB2555" s="647"/>
      <c r="BC2555" s="648"/>
      <c r="BD2555" s="757"/>
      <c r="BE2555" s="659"/>
    </row>
    <row r="2556" spans="1:57" s="64" customFormat="1" ht="15" customHeight="1" outlineLevel="1" x14ac:dyDescent="0.25">
      <c r="A2556" s="1393"/>
      <c r="B2556" s="157"/>
      <c r="C2556" s="385"/>
      <c r="D2556" s="3589"/>
      <c r="E2556" s="3721"/>
      <c r="F2556" s="3773" t="str">
        <f>$E$1618</f>
        <v>ASHP SEER 20 replace ASHP - early replacement MF ER2</v>
      </c>
      <c r="G2556" s="3774"/>
      <c r="H2556" s="3774"/>
      <c r="I2556" s="3775"/>
      <c r="J2556" s="3071" t="str">
        <f>$C$1618</f>
        <v>354700_2019_12_</v>
      </c>
      <c r="K2556" s="2725">
        <v>14</v>
      </c>
      <c r="L2556" s="945"/>
      <c r="M2556" s="2727" t="s">
        <v>1508</v>
      </c>
      <c r="N2556" s="157"/>
      <c r="O2556" s="277"/>
      <c r="P2556" s="277"/>
      <c r="Q2556" s="277"/>
      <c r="R2556" s="277"/>
      <c r="S2556" s="157"/>
      <c r="T2556" s="157"/>
      <c r="U2556" s="157"/>
      <c r="V2556" s="3589"/>
      <c r="W2556" s="766">
        <v>14</v>
      </c>
      <c r="X2556" s="766">
        <v>14</v>
      </c>
      <c r="Y2556" s="781">
        <v>14</v>
      </c>
      <c r="Z2556" s="781">
        <v>14</v>
      </c>
      <c r="AA2556" s="781">
        <v>14</v>
      </c>
      <c r="AB2556" s="2725">
        <v>14</v>
      </c>
      <c r="AC2556" s="766"/>
      <c r="AD2556" s="766"/>
      <c r="AE2556" s="766"/>
      <c r="AF2556" s="766"/>
      <c r="AG2556" s="766"/>
      <c r="BB2556" s="647"/>
      <c r="BC2556" s="648"/>
      <c r="BD2556" s="757"/>
      <c r="BE2556" s="659"/>
    </row>
    <row r="2557" spans="1:57" s="64" customFormat="1" ht="15" customHeight="1" outlineLevel="1" x14ac:dyDescent="0.25">
      <c r="A2557" s="1393"/>
      <c r="B2557" s="157"/>
      <c r="C2557" s="385"/>
      <c r="D2557" s="3589"/>
      <c r="E2557" s="3721"/>
      <c r="F2557" s="3773" t="str">
        <f>$E$1620</f>
        <v>ASHP SEER 20 replace ASHP - early replacement MF ER1_CompE</v>
      </c>
      <c r="G2557" s="3774"/>
      <c r="H2557" s="3774"/>
      <c r="I2557" s="3775"/>
      <c r="J2557" s="3071" t="str">
        <f>$C$1620</f>
        <v>354701_2019_12_</v>
      </c>
      <c r="K2557" s="2725">
        <v>8.33</v>
      </c>
      <c r="L2557" s="945"/>
      <c r="M2557" s="2727" t="s">
        <v>1508</v>
      </c>
      <c r="N2557" s="157"/>
      <c r="O2557" s="277"/>
      <c r="P2557" s="277"/>
      <c r="Q2557" s="277"/>
      <c r="R2557" s="277"/>
      <c r="S2557" s="157"/>
      <c r="T2557" s="157"/>
      <c r="U2557" s="157"/>
      <c r="V2557" s="3589"/>
      <c r="W2557" s="766"/>
      <c r="X2557" s="766"/>
      <c r="Y2557" s="786">
        <v>8.33</v>
      </c>
      <c r="Z2557" s="781">
        <v>8.33</v>
      </c>
      <c r="AA2557" s="781">
        <v>8.33</v>
      </c>
      <c r="AB2557" s="2725">
        <v>8.33</v>
      </c>
      <c r="AC2557" s="766"/>
      <c r="AD2557" s="766"/>
      <c r="AE2557" s="766"/>
      <c r="AF2557" s="766"/>
      <c r="AG2557" s="766"/>
      <c r="BB2557" s="647"/>
      <c r="BC2557" s="648"/>
      <c r="BD2557" s="757"/>
      <c r="BE2557" s="659"/>
    </row>
    <row r="2558" spans="1:57" s="64" customFormat="1" ht="15" customHeight="1" outlineLevel="1" x14ac:dyDescent="0.25">
      <c r="A2558" s="1393"/>
      <c r="B2558" s="157"/>
      <c r="C2558" s="385"/>
      <c r="D2558" s="3589"/>
      <c r="E2558" s="3721"/>
      <c r="F2558" s="3773" t="str">
        <f>$E$1622</f>
        <v>ASHP SEER 20 replace ASHP - early replacement MF ER2_CompE</v>
      </c>
      <c r="G2558" s="3774"/>
      <c r="H2558" s="3774"/>
      <c r="I2558" s="3775"/>
      <c r="J2558" s="3071" t="str">
        <f>$C$1622</f>
        <v>354701_2019_12_</v>
      </c>
      <c r="K2558" s="2725">
        <v>14</v>
      </c>
      <c r="L2558" s="945"/>
      <c r="M2558" s="2727" t="s">
        <v>1508</v>
      </c>
      <c r="N2558" s="157"/>
      <c r="O2558" s="277"/>
      <c r="P2558" s="277"/>
      <c r="Q2558" s="277"/>
      <c r="R2558" s="277"/>
      <c r="S2558" s="157"/>
      <c r="T2558" s="157"/>
      <c r="U2558" s="157"/>
      <c r="V2558" s="3589"/>
      <c r="W2558" s="766"/>
      <c r="X2558" s="766"/>
      <c r="Y2558" s="786">
        <v>14</v>
      </c>
      <c r="Z2558" s="781">
        <v>14</v>
      </c>
      <c r="AA2558" s="781">
        <v>14</v>
      </c>
      <c r="AB2558" s="2725">
        <v>14</v>
      </c>
      <c r="AC2558" s="766"/>
      <c r="AD2558" s="766"/>
      <c r="AE2558" s="766"/>
      <c r="AF2558" s="766"/>
      <c r="AG2558" s="766"/>
      <c r="BB2558" s="647"/>
      <c r="BC2558" s="648"/>
      <c r="BD2558" s="757"/>
      <c r="BE2558" s="659"/>
    </row>
    <row r="2559" spans="1:57" s="64" customFormat="1" ht="15" customHeight="1" outlineLevel="1" x14ac:dyDescent="0.25">
      <c r="A2559" s="1393"/>
      <c r="B2559" s="157"/>
      <c r="C2559" s="385"/>
      <c r="D2559" s="3589"/>
      <c r="E2559" s="3721"/>
      <c r="F2559" s="3773" t="str">
        <f>$E$1624</f>
        <v>ASHP SEER 21 replace ASHP - early replacement SF ER1</v>
      </c>
      <c r="G2559" s="3774"/>
      <c r="H2559" s="3774"/>
      <c r="I2559" s="3775"/>
      <c r="J2559" s="3071" t="str">
        <f>$C$1624</f>
        <v>354750_2019_12_</v>
      </c>
      <c r="K2559" s="2725">
        <v>8.33</v>
      </c>
      <c r="L2559" s="945"/>
      <c r="M2559" s="2727" t="s">
        <v>1508</v>
      </c>
      <c r="N2559" s="157"/>
      <c r="O2559" s="277"/>
      <c r="P2559" s="277"/>
      <c r="Q2559" s="277"/>
      <c r="R2559" s="277"/>
      <c r="S2559" s="157"/>
      <c r="T2559" s="157"/>
      <c r="U2559" s="157"/>
      <c r="V2559" s="3589"/>
      <c r="W2559" s="766">
        <v>7.2</v>
      </c>
      <c r="X2559" s="765">
        <v>8.33</v>
      </c>
      <c r="Y2559" s="781">
        <v>8.33</v>
      </c>
      <c r="Z2559" s="781">
        <v>8.33</v>
      </c>
      <c r="AA2559" s="781">
        <v>8.33</v>
      </c>
      <c r="AB2559" s="2725">
        <v>8.33</v>
      </c>
      <c r="AC2559" s="766"/>
      <c r="AD2559" s="766"/>
      <c r="AE2559" s="766"/>
      <c r="AF2559" s="766"/>
      <c r="AG2559" s="766"/>
      <c r="BB2559" s="647"/>
      <c r="BC2559" s="648"/>
      <c r="BD2559" s="757"/>
      <c r="BE2559" s="659"/>
    </row>
    <row r="2560" spans="1:57" s="64" customFormat="1" ht="15" customHeight="1" outlineLevel="1" x14ac:dyDescent="0.25">
      <c r="A2560" s="1393"/>
      <c r="B2560" s="157"/>
      <c r="C2560" s="385"/>
      <c r="D2560" s="3589"/>
      <c r="E2560" s="3721"/>
      <c r="F2560" s="3773" t="str">
        <f>$E$1626</f>
        <v>ASHP SEER 21 replace ASHP - early replacement SF ER2</v>
      </c>
      <c r="G2560" s="3774"/>
      <c r="H2560" s="3774"/>
      <c r="I2560" s="3775"/>
      <c r="J2560" s="3071" t="str">
        <f>$C$1626</f>
        <v>354750_2019_12_</v>
      </c>
      <c r="K2560" s="2725">
        <v>14</v>
      </c>
      <c r="L2560" s="945"/>
      <c r="M2560" s="2727" t="s">
        <v>1508</v>
      </c>
      <c r="N2560" s="157"/>
      <c r="O2560" s="277"/>
      <c r="P2560" s="277"/>
      <c r="Q2560" s="277"/>
      <c r="R2560" s="277"/>
      <c r="S2560" s="157"/>
      <c r="T2560" s="157"/>
      <c r="U2560" s="157"/>
      <c r="V2560" s="3589"/>
      <c r="W2560" s="766">
        <v>14</v>
      </c>
      <c r="X2560" s="766">
        <v>14</v>
      </c>
      <c r="Y2560" s="781">
        <v>14</v>
      </c>
      <c r="Z2560" s="781">
        <v>14</v>
      </c>
      <c r="AA2560" s="781">
        <v>14</v>
      </c>
      <c r="AB2560" s="2725">
        <v>14</v>
      </c>
      <c r="AC2560" s="766"/>
      <c r="AD2560" s="766"/>
      <c r="AE2560" s="766"/>
      <c r="AF2560" s="766"/>
      <c r="AG2560" s="766"/>
      <c r="BB2560" s="647"/>
      <c r="BC2560" s="648"/>
      <c r="BD2560" s="757"/>
      <c r="BE2560" s="659"/>
    </row>
    <row r="2561" spans="1:57" s="64" customFormat="1" ht="15" customHeight="1" outlineLevel="1" x14ac:dyDescent="0.25">
      <c r="A2561" s="1393"/>
      <c r="B2561" s="157"/>
      <c r="C2561" s="385"/>
      <c r="D2561" s="3589"/>
      <c r="E2561" s="3721"/>
      <c r="F2561" s="3773" t="str">
        <f>$E$1628</f>
        <v>ASHP SEER 21 replace ASHP - replace on fail SF</v>
      </c>
      <c r="G2561" s="3774"/>
      <c r="H2561" s="3774"/>
      <c r="I2561" s="3775"/>
      <c r="J2561" s="3071" t="str">
        <f>$C$1628</f>
        <v>354800_2019_12_</v>
      </c>
      <c r="K2561" s="2725">
        <v>14</v>
      </c>
      <c r="L2561" s="945"/>
      <c r="M2561" s="2727" t="s">
        <v>1508</v>
      </c>
      <c r="N2561" s="157"/>
      <c r="O2561" s="277"/>
      <c r="P2561" s="277"/>
      <c r="Q2561" s="277"/>
      <c r="R2561" s="277"/>
      <c r="S2561" s="157"/>
      <c r="T2561" s="157"/>
      <c r="U2561" s="157"/>
      <c r="V2561" s="3589"/>
      <c r="W2561" s="766">
        <v>14</v>
      </c>
      <c r="X2561" s="766">
        <v>14</v>
      </c>
      <c r="Y2561" s="781">
        <v>14</v>
      </c>
      <c r="Z2561" s="781">
        <v>14</v>
      </c>
      <c r="AA2561" s="781">
        <v>14</v>
      </c>
      <c r="AB2561" s="2725">
        <v>14</v>
      </c>
      <c r="AC2561" s="766"/>
      <c r="AD2561" s="766"/>
      <c r="AE2561" s="766"/>
      <c r="AF2561" s="766"/>
      <c r="AG2561" s="766"/>
      <c r="BB2561" s="647"/>
      <c r="BC2561" s="648"/>
      <c r="BD2561" s="757"/>
      <c r="BE2561" s="659"/>
    </row>
    <row r="2562" spans="1:57" s="64" customFormat="1" ht="15" customHeight="1" outlineLevel="1" x14ac:dyDescent="0.25">
      <c r="A2562" s="1393"/>
      <c r="B2562" s="157"/>
      <c r="C2562" s="385"/>
      <c r="D2562" s="3589"/>
      <c r="E2562" s="3721"/>
      <c r="F2562" s="3773" t="str">
        <f>$E$1630</f>
        <v>ASHP - SEER 21 - replace electric furnace / CAC MF</v>
      </c>
      <c r="G2562" s="3774"/>
      <c r="H2562" s="3774"/>
      <c r="I2562" s="3775"/>
      <c r="J2562" s="3071" t="str">
        <f>$C$1630</f>
        <v>354850_2019_12_</v>
      </c>
      <c r="K2562" s="2725">
        <v>13</v>
      </c>
      <c r="L2562" s="945"/>
      <c r="M2562" s="2727" t="s">
        <v>1508</v>
      </c>
      <c r="N2562" s="157"/>
      <c r="O2562" s="277"/>
      <c r="P2562" s="277"/>
      <c r="Q2562" s="277"/>
      <c r="R2562" s="277"/>
      <c r="S2562" s="157"/>
      <c r="T2562" s="157"/>
      <c r="U2562" s="157"/>
      <c r="V2562" s="3589"/>
      <c r="W2562" s="766">
        <v>13</v>
      </c>
      <c r="X2562" s="766">
        <v>13</v>
      </c>
      <c r="Y2562" s="781">
        <v>13</v>
      </c>
      <c r="Z2562" s="781">
        <v>13</v>
      </c>
      <c r="AA2562" s="781">
        <v>13</v>
      </c>
      <c r="AB2562" s="2725">
        <v>13</v>
      </c>
      <c r="AC2562" s="766"/>
      <c r="AD2562" s="766"/>
      <c r="AE2562" s="766"/>
      <c r="AF2562" s="766"/>
      <c r="AG2562" s="766"/>
      <c r="BB2562" s="647"/>
      <c r="BC2562" s="648"/>
      <c r="BD2562" s="757"/>
      <c r="BE2562" s="659"/>
    </row>
    <row r="2563" spans="1:57" s="64" customFormat="1" ht="15" customHeight="1" outlineLevel="1" x14ac:dyDescent="0.25">
      <c r="A2563" s="1393"/>
      <c r="B2563" s="157"/>
      <c r="C2563" s="385"/>
      <c r="D2563" s="3589"/>
      <c r="E2563" s="3721"/>
      <c r="F2563" s="3773" t="str">
        <f>$E$1632</f>
        <v>ASHP - SEER 21 - replace electric furnace / CAC MF_CompE</v>
      </c>
      <c r="G2563" s="3774"/>
      <c r="H2563" s="3774"/>
      <c r="I2563" s="3775"/>
      <c r="J2563" s="3071" t="str">
        <f>$C$1632</f>
        <v>354851_2019_12_</v>
      </c>
      <c r="K2563" s="2725">
        <v>13</v>
      </c>
      <c r="L2563" s="945"/>
      <c r="M2563" s="2727" t="s">
        <v>1508</v>
      </c>
      <c r="N2563" s="157"/>
      <c r="O2563" s="277"/>
      <c r="P2563" s="277"/>
      <c r="Q2563" s="277"/>
      <c r="R2563" s="277"/>
      <c r="S2563" s="157"/>
      <c r="T2563" s="157"/>
      <c r="U2563" s="157"/>
      <c r="V2563" s="3589"/>
      <c r="W2563" s="766"/>
      <c r="X2563" s="766"/>
      <c r="Y2563" s="786">
        <v>13</v>
      </c>
      <c r="Z2563" s="781">
        <v>13</v>
      </c>
      <c r="AA2563" s="781">
        <v>13</v>
      </c>
      <c r="AB2563" s="2725">
        <v>13</v>
      </c>
      <c r="AC2563" s="766"/>
      <c r="AD2563" s="766"/>
      <c r="AE2563" s="766"/>
      <c r="AF2563" s="766"/>
      <c r="AG2563" s="766"/>
      <c r="BB2563" s="647"/>
      <c r="BC2563" s="648"/>
      <c r="BD2563" s="757"/>
      <c r="BE2563" s="659"/>
    </row>
    <row r="2564" spans="1:57" s="64" customFormat="1" ht="15" customHeight="1" outlineLevel="1" x14ac:dyDescent="0.25">
      <c r="A2564" s="1393"/>
      <c r="B2564" s="157"/>
      <c r="C2564" s="385"/>
      <c r="D2564" s="3589"/>
      <c r="E2564" s="3721"/>
      <c r="F2564" s="3773" t="str">
        <f>$E$1634</f>
        <v>ASHP SEER 21 replace ASHP - early replacement MF ER1</v>
      </c>
      <c r="G2564" s="3774"/>
      <c r="H2564" s="3774"/>
      <c r="I2564" s="3775"/>
      <c r="J2564" s="3071" t="str">
        <f>$C$1634</f>
        <v>354900_2019_12_</v>
      </c>
      <c r="K2564" s="2725">
        <v>8.33</v>
      </c>
      <c r="L2564" s="945"/>
      <c r="M2564" s="2727" t="s">
        <v>1508</v>
      </c>
      <c r="N2564" s="157"/>
      <c r="O2564" s="277"/>
      <c r="P2564" s="277"/>
      <c r="Q2564" s="277"/>
      <c r="R2564" s="277"/>
      <c r="S2564" s="157"/>
      <c r="T2564" s="157"/>
      <c r="U2564" s="157"/>
      <c r="V2564" s="3589"/>
      <c r="W2564" s="766">
        <v>7.2</v>
      </c>
      <c r="X2564" s="765">
        <v>8.33</v>
      </c>
      <c r="Y2564" s="781">
        <v>8.33</v>
      </c>
      <c r="Z2564" s="781">
        <v>8.33</v>
      </c>
      <c r="AA2564" s="781">
        <v>8.33</v>
      </c>
      <c r="AB2564" s="2725">
        <v>8.33</v>
      </c>
      <c r="AC2564" s="766"/>
      <c r="AD2564" s="766"/>
      <c r="AE2564" s="766"/>
      <c r="AF2564" s="766"/>
      <c r="AG2564" s="766"/>
      <c r="BB2564" s="647"/>
      <c r="BC2564" s="648"/>
      <c r="BD2564" s="757"/>
      <c r="BE2564" s="659"/>
    </row>
    <row r="2565" spans="1:57" s="64" customFormat="1" ht="15" customHeight="1" outlineLevel="1" x14ac:dyDescent="0.25">
      <c r="A2565" s="1393"/>
      <c r="B2565" s="157"/>
      <c r="C2565" s="385"/>
      <c r="D2565" s="3589"/>
      <c r="E2565" s="3721"/>
      <c r="F2565" s="3773" t="str">
        <f>$E$1636</f>
        <v>ASHP SEER 21 replace ASHP - early replacement MF ER2</v>
      </c>
      <c r="G2565" s="3774"/>
      <c r="H2565" s="3774"/>
      <c r="I2565" s="3775"/>
      <c r="J2565" s="3071" t="str">
        <f>$C$1636</f>
        <v>354900_2019_12_</v>
      </c>
      <c r="K2565" s="2725">
        <v>14</v>
      </c>
      <c r="L2565" s="945"/>
      <c r="M2565" s="2727" t="s">
        <v>1508</v>
      </c>
      <c r="N2565" s="157"/>
      <c r="O2565" s="277"/>
      <c r="P2565" s="277"/>
      <c r="Q2565" s="277"/>
      <c r="R2565" s="277"/>
      <c r="S2565" s="157"/>
      <c r="T2565" s="157"/>
      <c r="U2565" s="157"/>
      <c r="V2565" s="3589"/>
      <c r="W2565" s="766">
        <v>14</v>
      </c>
      <c r="X2565" s="766">
        <v>14</v>
      </c>
      <c r="Y2565" s="781">
        <v>14</v>
      </c>
      <c r="Z2565" s="781">
        <v>14</v>
      </c>
      <c r="AA2565" s="781">
        <v>14</v>
      </c>
      <c r="AB2565" s="2725">
        <v>14</v>
      </c>
      <c r="AC2565" s="766"/>
      <c r="AD2565" s="766"/>
      <c r="AE2565" s="766"/>
      <c r="AF2565" s="766"/>
      <c r="AG2565" s="766"/>
      <c r="BB2565" s="647"/>
      <c r="BC2565" s="648"/>
      <c r="BD2565" s="757"/>
      <c r="BE2565" s="659"/>
    </row>
    <row r="2566" spans="1:57" s="64" customFormat="1" ht="15" customHeight="1" outlineLevel="1" x14ac:dyDescent="0.25">
      <c r="A2566" s="1393"/>
      <c r="B2566" s="157"/>
      <c r="C2566" s="385"/>
      <c r="D2566" s="3589"/>
      <c r="E2566" s="3721"/>
      <c r="F2566" s="3773" t="str">
        <f>$E$1638</f>
        <v>ASHP SEER 21 replace ASHP - early replacement MF ER1_CompE</v>
      </c>
      <c r="G2566" s="3774"/>
      <c r="H2566" s="3774"/>
      <c r="I2566" s="3775"/>
      <c r="J2566" s="3071" t="str">
        <f>$C$1638</f>
        <v>354901_2019_12_</v>
      </c>
      <c r="K2566" s="2725">
        <v>8.33</v>
      </c>
      <c r="L2566" s="945"/>
      <c r="M2566" s="2727" t="s">
        <v>1508</v>
      </c>
      <c r="N2566" s="157"/>
      <c r="O2566" s="277"/>
      <c r="P2566" s="277"/>
      <c r="Q2566" s="277"/>
      <c r="R2566" s="277"/>
      <c r="S2566" s="157"/>
      <c r="T2566" s="157"/>
      <c r="U2566" s="157"/>
      <c r="V2566" s="3589"/>
      <c r="W2566" s="766"/>
      <c r="X2566" s="766"/>
      <c r="Y2566" s="786">
        <v>8.33</v>
      </c>
      <c r="Z2566" s="781">
        <v>8.33</v>
      </c>
      <c r="AA2566" s="781">
        <v>8.33</v>
      </c>
      <c r="AB2566" s="2725">
        <v>8.33</v>
      </c>
      <c r="AC2566" s="766"/>
      <c r="AD2566" s="766"/>
      <c r="AE2566" s="766"/>
      <c r="AF2566" s="766"/>
      <c r="AG2566" s="766"/>
      <c r="BB2566" s="647"/>
      <c r="BC2566" s="648"/>
      <c r="BD2566" s="757"/>
      <c r="BE2566" s="659"/>
    </row>
    <row r="2567" spans="1:57" s="64" customFormat="1" ht="15" customHeight="1" outlineLevel="1" x14ac:dyDescent="0.25">
      <c r="A2567" s="1393"/>
      <c r="B2567" s="157"/>
      <c r="C2567" s="385"/>
      <c r="D2567" s="3589"/>
      <c r="E2567" s="3721"/>
      <c r="F2567" s="3773" t="str">
        <f>$E$1640</f>
        <v>ASHP SEER 21 replace ASHP - early replacement MF ER2_CompE</v>
      </c>
      <c r="G2567" s="3774"/>
      <c r="H2567" s="3774"/>
      <c r="I2567" s="3775"/>
      <c r="J2567" s="3071" t="str">
        <f>$C$1640</f>
        <v>354901_2019_12_</v>
      </c>
      <c r="K2567" s="2725">
        <v>14</v>
      </c>
      <c r="L2567" s="945"/>
      <c r="M2567" s="2727" t="s">
        <v>1508</v>
      </c>
      <c r="N2567" s="157"/>
      <c r="O2567" s="277"/>
      <c r="P2567" s="277"/>
      <c r="Q2567" s="277"/>
      <c r="R2567" s="277"/>
      <c r="S2567" s="157"/>
      <c r="T2567" s="157"/>
      <c r="U2567" s="157"/>
      <c r="V2567" s="3589"/>
      <c r="W2567" s="766"/>
      <c r="X2567" s="766"/>
      <c r="Y2567" s="786">
        <v>14</v>
      </c>
      <c r="Z2567" s="781">
        <v>14</v>
      </c>
      <c r="AA2567" s="781">
        <v>14</v>
      </c>
      <c r="AB2567" s="2725">
        <v>14</v>
      </c>
      <c r="AC2567" s="766"/>
      <c r="AD2567" s="766"/>
      <c r="AE2567" s="766"/>
      <c r="AF2567" s="766"/>
      <c r="AG2567" s="766"/>
      <c r="BB2567" s="647"/>
      <c r="BC2567" s="648"/>
      <c r="BD2567" s="757"/>
      <c r="BE2567" s="659"/>
    </row>
    <row r="2568" spans="1:57" s="64" customFormat="1" ht="15" customHeight="1" outlineLevel="1" x14ac:dyDescent="0.25">
      <c r="A2568" s="2463"/>
      <c r="B2568" s="157"/>
      <c r="C2568" s="385"/>
      <c r="D2568" s="3589"/>
      <c r="E2568" s="3721"/>
      <c r="F2568" s="3773" t="str">
        <f>$E$1642</f>
        <v>ASHP - SEER 17 - replace on fail MF</v>
      </c>
      <c r="G2568" s="3774"/>
      <c r="H2568" s="3774"/>
      <c r="I2568" s="3775"/>
      <c r="J2568" s="3071" t="str">
        <f>$C$1642</f>
        <v>354950_2019_12_</v>
      </c>
      <c r="K2568" s="2725">
        <v>14</v>
      </c>
      <c r="L2568" s="945"/>
      <c r="M2568" s="2727" t="s">
        <v>1508</v>
      </c>
      <c r="N2568" s="157"/>
      <c r="O2568" s="277"/>
      <c r="P2568" s="937"/>
      <c r="Q2568" s="938"/>
      <c r="R2568" s="937"/>
      <c r="S2568" s="924"/>
      <c r="T2568" s="1407"/>
      <c r="U2568" s="157"/>
      <c r="V2568" s="3589"/>
      <c r="W2568" s="766">
        <v>14</v>
      </c>
      <c r="X2568" s="766">
        <v>14</v>
      </c>
      <c r="Y2568" s="781">
        <v>14</v>
      </c>
      <c r="Z2568" s="781">
        <v>14</v>
      </c>
      <c r="AA2568" s="781">
        <v>14</v>
      </c>
      <c r="AB2568" s="2725">
        <v>14</v>
      </c>
      <c r="AC2568" s="766"/>
      <c r="AD2568" s="766"/>
      <c r="AE2568" s="766"/>
      <c r="AF2568" s="766"/>
      <c r="AG2568" s="766"/>
      <c r="BB2568" s="647"/>
      <c r="BC2568" s="648"/>
      <c r="BD2568" s="757"/>
      <c r="BE2568" s="659"/>
    </row>
    <row r="2569" spans="1:57" s="64" customFormat="1" ht="15" customHeight="1" outlineLevel="1" x14ac:dyDescent="0.25">
      <c r="A2569" s="2463"/>
      <c r="B2569" s="157"/>
      <c r="C2569" s="385"/>
      <c r="D2569" s="3589"/>
      <c r="E2569" s="3721"/>
      <c r="F2569" s="3773" t="str">
        <f>$E$1644</f>
        <v>ASHP - SEER 17 - replace on fail MF_CompE</v>
      </c>
      <c r="G2569" s="3774"/>
      <c r="H2569" s="3774"/>
      <c r="I2569" s="3775"/>
      <c r="J2569" s="3071" t="str">
        <f>$C$1644</f>
        <v>354951_2019_12_</v>
      </c>
      <c r="K2569" s="2725">
        <v>14</v>
      </c>
      <c r="L2569" s="945"/>
      <c r="M2569" s="2727" t="s">
        <v>1508</v>
      </c>
      <c r="N2569" s="157"/>
      <c r="O2569" s="277"/>
      <c r="P2569" s="937"/>
      <c r="Q2569" s="938"/>
      <c r="R2569" s="937"/>
      <c r="S2569" s="924"/>
      <c r="T2569" s="1407"/>
      <c r="U2569" s="157"/>
      <c r="V2569" s="3589"/>
      <c r="W2569" s="766"/>
      <c r="X2569" s="766"/>
      <c r="Y2569" s="786">
        <v>14</v>
      </c>
      <c r="Z2569" s="781">
        <v>14</v>
      </c>
      <c r="AA2569" s="781">
        <v>14</v>
      </c>
      <c r="AB2569" s="2725">
        <v>14</v>
      </c>
      <c r="AC2569" s="766"/>
      <c r="AD2569" s="766"/>
      <c r="AE2569" s="766"/>
      <c r="AF2569" s="766"/>
      <c r="AG2569" s="766"/>
      <c r="BB2569" s="647"/>
      <c r="BC2569" s="648"/>
      <c r="BD2569" s="757"/>
      <c r="BE2569" s="659"/>
    </row>
    <row r="2570" spans="1:57" s="64" customFormat="1" ht="15" customHeight="1" outlineLevel="1" x14ac:dyDescent="0.25">
      <c r="A2570" s="2463"/>
      <c r="B2570" s="157"/>
      <c r="C2570" s="385"/>
      <c r="D2570" s="3589"/>
      <c r="E2570" s="3721"/>
      <c r="F2570" s="3773" t="str">
        <f>$E$1646</f>
        <v>ASHP - SEER 18 - replace on fail MF</v>
      </c>
      <c r="G2570" s="3774"/>
      <c r="H2570" s="3774"/>
      <c r="I2570" s="3775"/>
      <c r="J2570" s="3071" t="str">
        <f>$C$1646</f>
        <v>355000_2019_12_</v>
      </c>
      <c r="K2570" s="2725">
        <v>14</v>
      </c>
      <c r="L2570" s="945"/>
      <c r="M2570" s="2727" t="s">
        <v>1508</v>
      </c>
      <c r="N2570" s="157"/>
      <c r="O2570" s="277"/>
      <c r="P2570" s="937"/>
      <c r="Q2570" s="938"/>
      <c r="R2570" s="937"/>
      <c r="S2570" s="924"/>
      <c r="T2570" s="1407"/>
      <c r="U2570" s="157"/>
      <c r="V2570" s="3589"/>
      <c r="W2570" s="766">
        <v>14</v>
      </c>
      <c r="X2570" s="766">
        <v>14</v>
      </c>
      <c r="Y2570" s="781">
        <v>14</v>
      </c>
      <c r="Z2570" s="781">
        <v>14</v>
      </c>
      <c r="AA2570" s="781">
        <v>14</v>
      </c>
      <c r="AB2570" s="2725">
        <v>14</v>
      </c>
      <c r="AC2570" s="766"/>
      <c r="AD2570" s="766"/>
      <c r="AE2570" s="766"/>
      <c r="AF2570" s="766"/>
      <c r="AG2570" s="766"/>
      <c r="BB2570" s="647"/>
      <c r="BC2570" s="648"/>
      <c r="BD2570" s="757"/>
      <c r="BE2570" s="659"/>
    </row>
    <row r="2571" spans="1:57" s="64" customFormat="1" ht="15" customHeight="1" outlineLevel="1" x14ac:dyDescent="0.25">
      <c r="A2571" s="2463"/>
      <c r="B2571" s="157"/>
      <c r="C2571" s="385"/>
      <c r="D2571" s="3589"/>
      <c r="E2571" s="3721"/>
      <c r="F2571" s="3773" t="str">
        <f>$E$1648</f>
        <v>ASHP - SEER 18 - replace on fail MF_CompE</v>
      </c>
      <c r="G2571" s="3774"/>
      <c r="H2571" s="3774"/>
      <c r="I2571" s="3775"/>
      <c r="J2571" s="3071" t="str">
        <f>$C$1648</f>
        <v>355001_2019_12_</v>
      </c>
      <c r="K2571" s="2725">
        <v>14</v>
      </c>
      <c r="L2571" s="945"/>
      <c r="M2571" s="2727" t="s">
        <v>1508</v>
      </c>
      <c r="N2571" s="157"/>
      <c r="O2571" s="277"/>
      <c r="P2571" s="937"/>
      <c r="Q2571" s="938"/>
      <c r="R2571" s="937"/>
      <c r="S2571" s="924"/>
      <c r="T2571" s="1407"/>
      <c r="U2571" s="157"/>
      <c r="V2571" s="3589"/>
      <c r="W2571" s="766"/>
      <c r="X2571" s="766"/>
      <c r="Y2571" s="786">
        <v>14</v>
      </c>
      <c r="Z2571" s="781">
        <v>14</v>
      </c>
      <c r="AA2571" s="781">
        <v>14</v>
      </c>
      <c r="AB2571" s="2725">
        <v>14</v>
      </c>
      <c r="AC2571" s="766"/>
      <c r="AD2571" s="766"/>
      <c r="AE2571" s="766"/>
      <c r="AF2571" s="766"/>
      <c r="AG2571" s="766"/>
      <c r="BB2571" s="647"/>
      <c r="BC2571" s="648"/>
      <c r="BD2571" s="757"/>
      <c r="BE2571" s="659"/>
    </row>
    <row r="2572" spans="1:57" s="64" customFormat="1" ht="15" customHeight="1" outlineLevel="1" x14ac:dyDescent="0.25">
      <c r="A2572" s="1393"/>
      <c r="B2572" s="157"/>
      <c r="C2572" s="385"/>
      <c r="D2572" s="3589"/>
      <c r="E2572" s="3721"/>
      <c r="F2572" s="3773" t="str">
        <f>$E$1650</f>
        <v>ASHP - SEER 19 - replace on fail MF</v>
      </c>
      <c r="G2572" s="3774"/>
      <c r="H2572" s="3774"/>
      <c r="I2572" s="3775"/>
      <c r="J2572" s="3071" t="str">
        <f>$C$1650</f>
        <v>355050_2019_12_</v>
      </c>
      <c r="K2572" s="2725">
        <v>14</v>
      </c>
      <c r="L2572" s="945"/>
      <c r="M2572" s="2727" t="s">
        <v>1508</v>
      </c>
      <c r="N2572" s="157"/>
      <c r="O2572" s="277"/>
      <c r="P2572" s="277"/>
      <c r="Q2572" s="277"/>
      <c r="R2572" s="277"/>
      <c r="S2572" s="157"/>
      <c r="T2572" s="157"/>
      <c r="U2572" s="157"/>
      <c r="V2572" s="3589"/>
      <c r="W2572" s="766">
        <v>14</v>
      </c>
      <c r="X2572" s="766">
        <v>14</v>
      </c>
      <c r="Y2572" s="781">
        <v>14</v>
      </c>
      <c r="Z2572" s="781">
        <v>14</v>
      </c>
      <c r="AA2572" s="781">
        <v>14</v>
      </c>
      <c r="AB2572" s="2725">
        <v>14</v>
      </c>
      <c r="AC2572" s="766"/>
      <c r="AD2572" s="766"/>
      <c r="AE2572" s="766"/>
      <c r="AF2572" s="766"/>
      <c r="AG2572" s="766"/>
      <c r="BB2572" s="647"/>
      <c r="BC2572" s="648"/>
      <c r="BD2572" s="757"/>
      <c r="BE2572" s="659"/>
    </row>
    <row r="2573" spans="1:57" s="64" customFormat="1" ht="15" customHeight="1" outlineLevel="1" x14ac:dyDescent="0.25">
      <c r="A2573" s="1393"/>
      <c r="B2573" s="157"/>
      <c r="C2573" s="385"/>
      <c r="D2573" s="3589"/>
      <c r="E2573" s="3721"/>
      <c r="F2573" s="3773" t="str">
        <f>$E$1652</f>
        <v>ASHP - SEER 19 - replace on fail MF_CompE</v>
      </c>
      <c r="G2573" s="3774"/>
      <c r="H2573" s="3774"/>
      <c r="I2573" s="3775"/>
      <c r="J2573" s="3071" t="str">
        <f>$C$1652</f>
        <v>355051_2019_12_</v>
      </c>
      <c r="K2573" s="2725">
        <v>14</v>
      </c>
      <c r="L2573" s="945"/>
      <c r="M2573" s="2727" t="s">
        <v>1508</v>
      </c>
      <c r="N2573" s="157"/>
      <c r="O2573" s="277"/>
      <c r="P2573" s="277"/>
      <c r="Q2573" s="277"/>
      <c r="R2573" s="277"/>
      <c r="S2573" s="157"/>
      <c r="T2573" s="157"/>
      <c r="U2573" s="157"/>
      <c r="V2573" s="3589"/>
      <c r="W2573" s="766"/>
      <c r="X2573" s="766"/>
      <c r="Y2573" s="786">
        <v>14</v>
      </c>
      <c r="Z2573" s="781">
        <v>14</v>
      </c>
      <c r="AA2573" s="781">
        <v>14</v>
      </c>
      <c r="AB2573" s="2725">
        <v>14</v>
      </c>
      <c r="AC2573" s="766"/>
      <c r="AD2573" s="766"/>
      <c r="AE2573" s="766"/>
      <c r="AF2573" s="766"/>
      <c r="AG2573" s="766"/>
      <c r="BB2573" s="647"/>
      <c r="BC2573" s="648"/>
      <c r="BD2573" s="757"/>
      <c r="BE2573" s="659"/>
    </row>
    <row r="2574" spans="1:57" s="64" customFormat="1" ht="15" customHeight="1" outlineLevel="1" x14ac:dyDescent="0.25">
      <c r="A2574" s="1393"/>
      <c r="B2574" s="157"/>
      <c r="C2574" s="385"/>
      <c r="D2574" s="3589"/>
      <c r="E2574" s="3721"/>
      <c r="F2574" s="3773" t="str">
        <f>$E$1654</f>
        <v>ASHP - SEER 20 - replace on fail MF</v>
      </c>
      <c r="G2574" s="3774"/>
      <c r="H2574" s="3774"/>
      <c r="I2574" s="3775"/>
      <c r="J2574" s="3071" t="str">
        <f>$C$1654</f>
        <v>355100_2019_12_</v>
      </c>
      <c r="K2574" s="2725">
        <v>14</v>
      </c>
      <c r="L2574" s="945"/>
      <c r="M2574" s="2727" t="s">
        <v>1508</v>
      </c>
      <c r="N2574" s="157"/>
      <c r="O2574" s="277"/>
      <c r="P2574" s="277"/>
      <c r="Q2574" s="277"/>
      <c r="R2574" s="277"/>
      <c r="S2574" s="157"/>
      <c r="T2574" s="157"/>
      <c r="U2574" s="157"/>
      <c r="V2574" s="3589"/>
      <c r="W2574" s="766">
        <v>14</v>
      </c>
      <c r="X2574" s="766">
        <v>14</v>
      </c>
      <c r="Y2574" s="781">
        <v>14</v>
      </c>
      <c r="Z2574" s="781">
        <v>14</v>
      </c>
      <c r="AA2574" s="781">
        <v>14</v>
      </c>
      <c r="AB2574" s="2725">
        <v>14</v>
      </c>
      <c r="AC2574" s="766"/>
      <c r="AD2574" s="766"/>
      <c r="AE2574" s="766"/>
      <c r="AF2574" s="766"/>
      <c r="AG2574" s="766"/>
      <c r="BB2574" s="647"/>
      <c r="BC2574" s="648"/>
      <c r="BD2574" s="757"/>
      <c r="BE2574" s="659"/>
    </row>
    <row r="2575" spans="1:57" s="64" customFormat="1" ht="15" customHeight="1" outlineLevel="1" x14ac:dyDescent="0.25">
      <c r="A2575" s="1393"/>
      <c r="B2575" s="157"/>
      <c r="C2575" s="385"/>
      <c r="D2575" s="3589"/>
      <c r="E2575" s="3721"/>
      <c r="F2575" s="3773" t="str">
        <f>$E$1656</f>
        <v>ASHP - SEER 20 - replace on fail MF_CompE</v>
      </c>
      <c r="G2575" s="3774"/>
      <c r="H2575" s="3774"/>
      <c r="I2575" s="3775"/>
      <c r="J2575" s="3071" t="str">
        <f>$C$1656</f>
        <v>355101_2019_12_</v>
      </c>
      <c r="K2575" s="2725">
        <v>14</v>
      </c>
      <c r="L2575" s="946"/>
      <c r="M2575" s="2727" t="s">
        <v>1508</v>
      </c>
      <c r="N2575" s="157"/>
      <c r="O2575" s="277"/>
      <c r="P2575" s="277"/>
      <c r="Q2575" s="277"/>
      <c r="R2575" s="277"/>
      <c r="S2575" s="157"/>
      <c r="T2575" s="157"/>
      <c r="U2575" s="157"/>
      <c r="V2575" s="3589"/>
      <c r="W2575" s="778"/>
      <c r="X2575" s="778"/>
      <c r="Y2575" s="786">
        <v>14</v>
      </c>
      <c r="Z2575" s="781">
        <v>14</v>
      </c>
      <c r="AA2575" s="781">
        <v>14</v>
      </c>
      <c r="AB2575" s="2725">
        <v>14</v>
      </c>
      <c r="AC2575" s="778"/>
      <c r="AD2575" s="778"/>
      <c r="AE2575" s="778"/>
      <c r="AF2575" s="778"/>
      <c r="AG2575" s="778"/>
      <c r="BB2575" s="647"/>
      <c r="BC2575" s="648"/>
      <c r="BD2575" s="757"/>
      <c r="BE2575" s="659"/>
    </row>
    <row r="2576" spans="1:57" s="64" customFormat="1" ht="15.75" customHeight="1" outlineLevel="1" x14ac:dyDescent="0.25">
      <c r="A2576" s="2463"/>
      <c r="B2576" s="157"/>
      <c r="C2576" s="385"/>
      <c r="D2576" s="3589"/>
      <c r="E2576" s="3721"/>
      <c r="F2576" s="3773" t="str">
        <f>$E$1658</f>
        <v>ASHP - SEER 21 - replace on fail MF</v>
      </c>
      <c r="G2576" s="3774"/>
      <c r="H2576" s="3774"/>
      <c r="I2576" s="3775"/>
      <c r="J2576" s="3071" t="str">
        <f>$C$1658</f>
        <v>355150_2019_12_</v>
      </c>
      <c r="K2576" s="2725">
        <v>14</v>
      </c>
      <c r="L2576" s="945"/>
      <c r="M2576" s="2727" t="s">
        <v>1508</v>
      </c>
      <c r="N2576" s="157"/>
      <c r="O2576" s="277"/>
      <c r="P2576" s="937"/>
      <c r="Q2576" s="938"/>
      <c r="R2576" s="937"/>
      <c r="S2576" s="924"/>
      <c r="T2576" s="1407"/>
      <c r="U2576" s="157"/>
      <c r="V2576" s="3589"/>
      <c r="W2576" s="766">
        <v>14</v>
      </c>
      <c r="X2576" s="766">
        <v>14</v>
      </c>
      <c r="Y2576" s="778">
        <v>14</v>
      </c>
      <c r="Z2576" s="778">
        <v>14</v>
      </c>
      <c r="AA2576" s="778">
        <v>14</v>
      </c>
      <c r="AB2576" s="2725">
        <v>14</v>
      </c>
      <c r="AC2576" s="766"/>
      <c r="AD2576" s="766"/>
      <c r="AE2576" s="766"/>
      <c r="AF2576" s="766"/>
      <c r="AG2576" s="766"/>
      <c r="BB2576" s="647"/>
      <c r="BC2576" s="648"/>
      <c r="BD2576" s="757"/>
      <c r="BE2576" s="659"/>
    </row>
    <row r="2577" spans="1:57" s="64" customFormat="1" ht="15.75" customHeight="1" outlineLevel="1" thickBot="1" x14ac:dyDescent="0.3">
      <c r="A2577" s="2463"/>
      <c r="B2577" s="157"/>
      <c r="C2577" s="385"/>
      <c r="D2577" s="3591"/>
      <c r="E2577" s="3722"/>
      <c r="F2577" s="1807" t="str">
        <f>$E$1660</f>
        <v>ASHP - SEER 21 - replace on fail MF_CompE</v>
      </c>
      <c r="G2577" s="940"/>
      <c r="H2577" s="940"/>
      <c r="I2577" s="941"/>
      <c r="J2577" s="1807" t="str">
        <f>$C$1660</f>
        <v>355151_2019_12_</v>
      </c>
      <c r="K2577" s="2726">
        <v>14</v>
      </c>
      <c r="L2577" s="954"/>
      <c r="M2577" s="2730" t="s">
        <v>1508</v>
      </c>
      <c r="N2577" s="157"/>
      <c r="O2577" s="277"/>
      <c r="P2577" s="937"/>
      <c r="Q2577" s="938"/>
      <c r="R2577" s="937"/>
      <c r="S2577" s="924"/>
      <c r="T2577" s="1407"/>
      <c r="U2577" s="157"/>
      <c r="V2577" s="3591"/>
      <c r="W2577" s="780"/>
      <c r="X2577" s="780"/>
      <c r="Y2577" s="846">
        <v>14</v>
      </c>
      <c r="Z2577" s="2429">
        <v>14</v>
      </c>
      <c r="AA2577" s="2429">
        <v>14</v>
      </c>
      <c r="AB2577" s="2726">
        <v>14</v>
      </c>
      <c r="AC2577" s="780"/>
      <c r="AD2577" s="780"/>
      <c r="AE2577" s="780"/>
      <c r="AF2577" s="780"/>
      <c r="AG2577" s="780"/>
      <c r="BB2577" s="647"/>
      <c r="BC2577" s="648"/>
      <c r="BD2577" s="757"/>
      <c r="BE2577" s="659"/>
    </row>
    <row r="2578" spans="1:57" s="64" customFormat="1" ht="15" customHeight="1" outlineLevel="1" x14ac:dyDescent="0.25">
      <c r="A2578" s="2463"/>
      <c r="B2578" s="157"/>
      <c r="C2578" s="385"/>
      <c r="D2578" s="3588" t="s">
        <v>1302</v>
      </c>
      <c r="E2578" s="3720" t="s">
        <v>1509</v>
      </c>
      <c r="F2578" s="3771" t="str">
        <f>$E$1406</f>
        <v>ASHP - SEER 15 ER Elec Resist Furnace: HVAC ER1</v>
      </c>
      <c r="G2578" s="3771"/>
      <c r="H2578" s="3771"/>
      <c r="I2578" s="3771"/>
      <c r="J2578" s="3070" t="str">
        <f>$C$1406</f>
        <v>352300_2019_12_</v>
      </c>
      <c r="K2578" s="3194">
        <v>15.12889344262295</v>
      </c>
      <c r="L2578" s="833"/>
      <c r="M2578" s="3264" t="s">
        <v>3674</v>
      </c>
      <c r="N2578" s="157"/>
      <c r="O2578" s="277"/>
      <c r="P2578" s="937"/>
      <c r="Q2578" s="937"/>
      <c r="R2578" s="937"/>
      <c r="S2578" s="924"/>
      <c r="T2578" s="1407"/>
      <c r="U2578" s="157"/>
      <c r="V2578" s="3588" t="s">
        <v>1302</v>
      </c>
      <c r="W2578" s="760">
        <v>15.1</v>
      </c>
      <c r="X2578" s="759">
        <v>15.12</v>
      </c>
      <c r="Y2578" s="786">
        <v>15.11</v>
      </c>
      <c r="Z2578" s="781">
        <v>15.11</v>
      </c>
      <c r="AA2578" s="781">
        <v>15.11</v>
      </c>
      <c r="AB2578" s="2722">
        <v>15.12889344262295</v>
      </c>
      <c r="AC2578" s="760"/>
      <c r="AD2578" s="760"/>
      <c r="AE2578" s="760"/>
      <c r="AF2578" s="760"/>
      <c r="AG2578" s="760"/>
      <c r="BB2578" s="647"/>
      <c r="BC2578" s="648"/>
      <c r="BD2578" s="757"/>
      <c r="BE2578" s="659"/>
    </row>
    <row r="2579" spans="1:57" s="64" customFormat="1" ht="15" customHeight="1" outlineLevel="1" x14ac:dyDescent="0.25">
      <c r="A2579" s="2463"/>
      <c r="B2579" s="157"/>
      <c r="C2579" s="385"/>
      <c r="D2579" s="3589"/>
      <c r="E2579" s="3721"/>
      <c r="F2579" s="3773" t="str">
        <f>$E$1408</f>
        <v>ASHP - SEER 15 ER Elec Resist Furnace: HVAC ER2</v>
      </c>
      <c r="G2579" s="3774"/>
      <c r="H2579" s="3774"/>
      <c r="I2579" s="3775"/>
      <c r="J2579" s="3071" t="str">
        <f>$C$1408</f>
        <v>352300_2019_12_</v>
      </c>
      <c r="K2579" s="2725">
        <f>K2578</f>
        <v>15.12889344262295</v>
      </c>
      <c r="L2579" s="944"/>
      <c r="M2579" s="2718" t="s">
        <v>3674</v>
      </c>
      <c r="N2579" s="157"/>
      <c r="O2579" s="277"/>
      <c r="P2579" s="937"/>
      <c r="Q2579" s="937"/>
      <c r="R2579" s="937"/>
      <c r="S2579" s="924"/>
      <c r="T2579" s="1407"/>
      <c r="U2579" s="157"/>
      <c r="V2579" s="3589"/>
      <c r="W2579" s="766">
        <v>15.1</v>
      </c>
      <c r="X2579" s="765">
        <v>15.12</v>
      </c>
      <c r="Y2579" s="786">
        <v>15.11</v>
      </c>
      <c r="Z2579" s="781">
        <v>15.11</v>
      </c>
      <c r="AA2579" s="781">
        <v>15.11</v>
      </c>
      <c r="AB2579" s="2658">
        <v>15.12889344262295</v>
      </c>
      <c r="AC2579" s="766"/>
      <c r="AD2579" s="766"/>
      <c r="AE2579" s="766"/>
      <c r="AF2579" s="766"/>
      <c r="AG2579" s="766"/>
      <c r="BB2579" s="647"/>
      <c r="BC2579" s="648"/>
      <c r="BD2579" s="757"/>
      <c r="BE2579" s="659"/>
    </row>
    <row r="2580" spans="1:57" s="64" customFormat="1" ht="15" customHeight="1" outlineLevel="1" x14ac:dyDescent="0.25">
      <c r="A2580" s="2463"/>
      <c r="B2580" s="157"/>
      <c r="C2580" s="385"/>
      <c r="D2580" s="3589"/>
      <c r="E2580" s="3721"/>
      <c r="F2580" s="3773" t="str">
        <f>$E$1410</f>
        <v>ASHP - SEER 15 ER with ASHP: HVAC ER1</v>
      </c>
      <c r="G2580" s="3774"/>
      <c r="H2580" s="3774"/>
      <c r="I2580" s="3775"/>
      <c r="J2580" s="3071" t="str">
        <f>$C$1410</f>
        <v>352350_2019_12_</v>
      </c>
      <c r="K2580" s="2725">
        <v>15.124074074074072</v>
      </c>
      <c r="L2580" s="944"/>
      <c r="M2580" s="2718" t="s">
        <v>3674</v>
      </c>
      <c r="N2580" s="157"/>
      <c r="O2580" s="277"/>
      <c r="P2580" s="937"/>
      <c r="Q2580" s="937"/>
      <c r="R2580" s="937"/>
      <c r="S2580" s="924"/>
      <c r="T2580" s="1407"/>
      <c r="U2580" s="157"/>
      <c r="V2580" s="3589"/>
      <c r="W2580" s="766">
        <v>15.1</v>
      </c>
      <c r="X2580" s="765">
        <v>15.12</v>
      </c>
      <c r="Y2580" s="786">
        <v>15.12</v>
      </c>
      <c r="Z2580" s="781">
        <v>15.12</v>
      </c>
      <c r="AA2580" s="781">
        <v>15.12</v>
      </c>
      <c r="AB2580" s="2658">
        <v>15.124074074074072</v>
      </c>
      <c r="AC2580" s="766"/>
      <c r="AD2580" s="766"/>
      <c r="AE2580" s="766"/>
      <c r="AF2580" s="766"/>
      <c r="AG2580" s="766"/>
      <c r="BB2580" s="647"/>
      <c r="BC2580" s="648"/>
      <c r="BD2580" s="757"/>
      <c r="BE2580" s="659"/>
    </row>
    <row r="2581" spans="1:57" s="64" customFormat="1" ht="15" customHeight="1" outlineLevel="1" x14ac:dyDescent="0.25">
      <c r="A2581" s="2463"/>
      <c r="B2581" s="157"/>
      <c r="C2581" s="385"/>
      <c r="D2581" s="3589"/>
      <c r="E2581" s="3721"/>
      <c r="F2581" s="3773" t="str">
        <f>$E$1412</f>
        <v>ASHP - SEER 15 ER with ASHP: HVAC ER2</v>
      </c>
      <c r="G2581" s="3774"/>
      <c r="H2581" s="3774"/>
      <c r="I2581" s="3775"/>
      <c r="J2581" s="3071" t="str">
        <f>$C$1412</f>
        <v>352350_2019_12_</v>
      </c>
      <c r="K2581" s="2725">
        <f>K2580</f>
        <v>15.124074074074072</v>
      </c>
      <c r="L2581" s="944"/>
      <c r="M2581" s="2718" t="s">
        <v>3674</v>
      </c>
      <c r="N2581" s="157"/>
      <c r="O2581" s="277"/>
      <c r="P2581" s="937"/>
      <c r="Q2581" s="937"/>
      <c r="R2581" s="937"/>
      <c r="S2581" s="924"/>
      <c r="T2581" s="1407"/>
      <c r="U2581" s="157"/>
      <c r="V2581" s="3589"/>
      <c r="W2581" s="766">
        <v>15.1</v>
      </c>
      <c r="X2581" s="765">
        <v>15.12</v>
      </c>
      <c r="Y2581" s="786">
        <v>15.12</v>
      </c>
      <c r="Z2581" s="781">
        <v>15.12</v>
      </c>
      <c r="AA2581" s="781">
        <v>15.12</v>
      </c>
      <c r="AB2581" s="2658">
        <v>15.124074074074072</v>
      </c>
      <c r="AC2581" s="766"/>
      <c r="AD2581" s="766"/>
      <c r="AE2581" s="766"/>
      <c r="AF2581" s="766"/>
      <c r="AG2581" s="766"/>
      <c r="BB2581" s="647"/>
      <c r="BC2581" s="648"/>
      <c r="BD2581" s="757"/>
      <c r="BE2581" s="659"/>
    </row>
    <row r="2582" spans="1:57" s="64" customFormat="1" ht="15" customHeight="1" outlineLevel="1" x14ac:dyDescent="0.25">
      <c r="A2582" s="2463"/>
      <c r="B2582" s="157"/>
      <c r="C2582" s="385"/>
      <c r="D2582" s="3589"/>
      <c r="E2582" s="3721"/>
      <c r="F2582" s="3773" t="str">
        <f>$E$1414</f>
        <v>ASHP-  SEER 15 Replace at Fail Elec Resist Furnace: HVAC</v>
      </c>
      <c r="G2582" s="3774"/>
      <c r="H2582" s="3774"/>
      <c r="I2582" s="3775"/>
      <c r="J2582" s="3071" t="str">
        <f>$C$1414</f>
        <v>352400_2019_12_</v>
      </c>
      <c r="K2582" s="2725">
        <v>15.185106382978724</v>
      </c>
      <c r="L2582" s="945"/>
      <c r="M2582" s="2718" t="s">
        <v>3674</v>
      </c>
      <c r="N2582" s="157"/>
      <c r="O2582" s="277"/>
      <c r="P2582" s="937"/>
      <c r="Q2582" s="937"/>
      <c r="R2582" s="937"/>
      <c r="S2582" s="924"/>
      <c r="T2582" s="1407"/>
      <c r="U2582" s="157"/>
      <c r="V2582" s="3589"/>
      <c r="W2582" s="766">
        <v>15.2</v>
      </c>
      <c r="X2582" s="765">
        <v>15.12</v>
      </c>
      <c r="Y2582" s="786">
        <v>15.11</v>
      </c>
      <c r="Z2582" s="781">
        <v>15.11</v>
      </c>
      <c r="AA2582" s="781">
        <v>15.11</v>
      </c>
      <c r="AB2582" s="2658">
        <v>15.185106382978724</v>
      </c>
      <c r="AC2582" s="766"/>
      <c r="AD2582" s="766"/>
      <c r="AE2582" s="766"/>
      <c r="AF2582" s="766"/>
      <c r="AG2582" s="766"/>
      <c r="BB2582" s="647"/>
      <c r="BC2582" s="648"/>
      <c r="BD2582" s="757"/>
      <c r="BE2582" s="659"/>
    </row>
    <row r="2583" spans="1:57" s="64" customFormat="1" ht="15" customHeight="1" outlineLevel="1" x14ac:dyDescent="0.25">
      <c r="A2583" s="2463"/>
      <c r="B2583" s="157"/>
      <c r="C2583" s="385"/>
      <c r="D2583" s="3589"/>
      <c r="E2583" s="3721"/>
      <c r="F2583" s="3773" t="str">
        <f>$E$1416</f>
        <v>ASHP - SEER 15 Replace at Fail with ASHP: HVAC</v>
      </c>
      <c r="G2583" s="3774"/>
      <c r="H2583" s="3774"/>
      <c r="I2583" s="3775"/>
      <c r="J2583" s="3071" t="str">
        <f>$C$1416</f>
        <v>352450_2019_12_</v>
      </c>
      <c r="K2583" s="2725">
        <v>15.17</v>
      </c>
      <c r="L2583" s="945"/>
      <c r="M2583" s="2675" t="s">
        <v>1191</v>
      </c>
      <c r="N2583" s="157"/>
      <c r="O2583" s="277"/>
      <c r="P2583" s="937"/>
      <c r="Q2583" s="937"/>
      <c r="R2583" s="937"/>
      <c r="S2583" s="924"/>
      <c r="T2583" s="1407"/>
      <c r="U2583" s="157"/>
      <c r="V2583" s="3589"/>
      <c r="W2583" s="766">
        <v>15.1</v>
      </c>
      <c r="X2583" s="765">
        <v>15.12</v>
      </c>
      <c r="Y2583" s="786">
        <v>15.17</v>
      </c>
      <c r="Z2583" s="781">
        <v>15.17</v>
      </c>
      <c r="AA2583" s="781">
        <v>15.17</v>
      </c>
      <c r="AB2583" s="2725">
        <v>15.17</v>
      </c>
      <c r="AC2583" s="766"/>
      <c r="AD2583" s="766"/>
      <c r="AE2583" s="766"/>
      <c r="AF2583" s="766"/>
      <c r="AG2583" s="766"/>
      <c r="BB2583" s="647"/>
      <c r="BC2583" s="648"/>
      <c r="BD2583" s="757"/>
      <c r="BE2583" s="659"/>
    </row>
    <row r="2584" spans="1:57" s="64" customFormat="1" ht="15" customHeight="1" outlineLevel="1" x14ac:dyDescent="0.25">
      <c r="A2584" s="2463"/>
      <c r="B2584" s="157"/>
      <c r="C2584" s="385"/>
      <c r="D2584" s="3589"/>
      <c r="E2584" s="3721"/>
      <c r="F2584" s="3773" t="str">
        <f>$E$1418</f>
        <v>ASHP - SEER 16 - replace electric furnace / CAC - early replacement SF ER1</v>
      </c>
      <c r="G2584" s="3774"/>
      <c r="H2584" s="3774"/>
      <c r="I2584" s="3775"/>
      <c r="J2584" s="3071" t="str">
        <f>$C$1418</f>
        <v>352500_2019_12_</v>
      </c>
      <c r="K2584" s="2725">
        <v>16.252500000000001</v>
      </c>
      <c r="L2584" s="945"/>
      <c r="M2584" s="2718" t="s">
        <v>3674</v>
      </c>
      <c r="N2584" s="157"/>
      <c r="O2584" s="277"/>
      <c r="P2584" s="937"/>
      <c r="Q2584" s="937"/>
      <c r="R2584" s="937"/>
      <c r="S2584" s="924"/>
      <c r="T2584" s="1407"/>
      <c r="U2584" s="157"/>
      <c r="V2584" s="3589"/>
      <c r="W2584" s="766">
        <v>16</v>
      </c>
      <c r="X2584" s="766">
        <v>16</v>
      </c>
      <c r="Y2584" s="781">
        <v>16</v>
      </c>
      <c r="Z2584" s="781">
        <v>16</v>
      </c>
      <c r="AA2584" s="781">
        <v>16</v>
      </c>
      <c r="AB2584" s="2658">
        <v>16.252500000000001</v>
      </c>
      <c r="AC2584" s="766"/>
      <c r="AD2584" s="766"/>
      <c r="AE2584" s="766"/>
      <c r="AF2584" s="766"/>
      <c r="AG2584" s="766"/>
      <c r="BB2584" s="647"/>
      <c r="BC2584" s="648"/>
      <c r="BD2584" s="757"/>
      <c r="BE2584" s="659"/>
    </row>
    <row r="2585" spans="1:57" s="64" customFormat="1" ht="15" customHeight="1" outlineLevel="1" x14ac:dyDescent="0.25">
      <c r="A2585" s="2463"/>
      <c r="B2585" s="157"/>
      <c r="C2585" s="385"/>
      <c r="D2585" s="3589"/>
      <c r="E2585" s="3721"/>
      <c r="F2585" s="3773" t="str">
        <f>$E$1420</f>
        <v>ASHP - SEER 16 - replace electric furnace / CAC - early replacement SF ER2</v>
      </c>
      <c r="G2585" s="3774"/>
      <c r="H2585" s="3774"/>
      <c r="I2585" s="3775"/>
      <c r="J2585" s="3071" t="str">
        <f>$C$1420</f>
        <v>352500_2019_12_</v>
      </c>
      <c r="K2585" s="2725">
        <f>K2584</f>
        <v>16.252500000000001</v>
      </c>
      <c r="L2585" s="945"/>
      <c r="M2585" s="2718" t="s">
        <v>3674</v>
      </c>
      <c r="N2585" s="157"/>
      <c r="O2585" s="277"/>
      <c r="P2585" s="937"/>
      <c r="Q2585" s="937"/>
      <c r="R2585" s="937"/>
      <c r="S2585" s="924"/>
      <c r="T2585" s="1407"/>
      <c r="U2585" s="157"/>
      <c r="V2585" s="3589"/>
      <c r="W2585" s="766">
        <v>16</v>
      </c>
      <c r="X2585" s="766">
        <v>16</v>
      </c>
      <c r="Y2585" s="781">
        <v>16</v>
      </c>
      <c r="Z2585" s="781">
        <v>16</v>
      </c>
      <c r="AA2585" s="781">
        <v>16</v>
      </c>
      <c r="AB2585" s="2658">
        <v>16.252500000000001</v>
      </c>
      <c r="AC2585" s="766"/>
      <c r="AD2585" s="766"/>
      <c r="AE2585" s="766"/>
      <c r="AF2585" s="766"/>
      <c r="AG2585" s="766"/>
      <c r="BB2585" s="647"/>
      <c r="BC2585" s="648"/>
      <c r="BD2585" s="757"/>
      <c r="BE2585" s="659"/>
    </row>
    <row r="2586" spans="1:57" s="64" customFormat="1" ht="15" customHeight="1" outlineLevel="1" x14ac:dyDescent="0.25">
      <c r="A2586" s="2463"/>
      <c r="B2586" s="157"/>
      <c r="C2586" s="385"/>
      <c r="D2586" s="3589"/>
      <c r="E2586" s="3721"/>
      <c r="F2586" s="3773" t="str">
        <f>$E$1422</f>
        <v>ASHP SEER 16 replace ASHP - early replacement SF ER1</v>
      </c>
      <c r="G2586" s="3774"/>
      <c r="H2586" s="3774"/>
      <c r="I2586" s="3775"/>
      <c r="J2586" s="3071" t="str">
        <f>$C$1422</f>
        <v>352550_2019_12_</v>
      </c>
      <c r="K2586" s="2725">
        <v>16.354460093896712</v>
      </c>
      <c r="L2586" s="945"/>
      <c r="M2586" s="2718" t="s">
        <v>3674</v>
      </c>
      <c r="N2586" s="157"/>
      <c r="O2586" s="277"/>
      <c r="P2586" s="937"/>
      <c r="Q2586" s="937"/>
      <c r="R2586" s="937"/>
      <c r="S2586" s="924"/>
      <c r="T2586" s="1407"/>
      <c r="U2586" s="157"/>
      <c r="V2586" s="3589"/>
      <c r="W2586" s="766">
        <v>16</v>
      </c>
      <c r="X2586" s="766">
        <v>16</v>
      </c>
      <c r="Y2586" s="781">
        <v>16</v>
      </c>
      <c r="Z2586" s="781">
        <v>16</v>
      </c>
      <c r="AA2586" s="781">
        <v>16</v>
      </c>
      <c r="AB2586" s="2658">
        <v>16.354460093896712</v>
      </c>
      <c r="AC2586" s="766"/>
      <c r="AD2586" s="766"/>
      <c r="AE2586" s="766"/>
      <c r="AF2586" s="766"/>
      <c r="AG2586" s="766"/>
      <c r="BB2586" s="647"/>
      <c r="BC2586" s="648"/>
      <c r="BD2586" s="757"/>
      <c r="BE2586" s="659"/>
    </row>
    <row r="2587" spans="1:57" s="64" customFormat="1" ht="15" customHeight="1" outlineLevel="1" x14ac:dyDescent="0.25">
      <c r="A2587" s="2463"/>
      <c r="B2587" s="157"/>
      <c r="C2587" s="385"/>
      <c r="D2587" s="3589"/>
      <c r="E2587" s="3721"/>
      <c r="F2587" s="3773" t="str">
        <f>$E$1424</f>
        <v>ASHP SEER 16 replace ASHP - early replacement SF ER2</v>
      </c>
      <c r="G2587" s="3774"/>
      <c r="H2587" s="3774"/>
      <c r="I2587" s="3775"/>
      <c r="J2587" s="3071" t="str">
        <f>$C$1424</f>
        <v>352550_2019_12_</v>
      </c>
      <c r="K2587" s="2725">
        <f>K2586</f>
        <v>16.354460093896712</v>
      </c>
      <c r="L2587" s="945"/>
      <c r="M2587" s="2718" t="s">
        <v>3674</v>
      </c>
      <c r="N2587" s="157"/>
      <c r="O2587" s="277"/>
      <c r="P2587" s="937"/>
      <c r="Q2587" s="937"/>
      <c r="R2587" s="937"/>
      <c r="S2587" s="924"/>
      <c r="T2587" s="1407"/>
      <c r="U2587" s="157"/>
      <c r="V2587" s="3589"/>
      <c r="W2587" s="766">
        <v>16</v>
      </c>
      <c r="X2587" s="766">
        <v>16</v>
      </c>
      <c r="Y2587" s="781">
        <v>16</v>
      </c>
      <c r="Z2587" s="781">
        <v>16</v>
      </c>
      <c r="AA2587" s="781">
        <v>16</v>
      </c>
      <c r="AB2587" s="2658">
        <v>16.354460093896712</v>
      </c>
      <c r="AC2587" s="766"/>
      <c r="AD2587" s="766"/>
      <c r="AE2587" s="766"/>
      <c r="AF2587" s="766"/>
      <c r="AG2587" s="766"/>
      <c r="BB2587" s="647"/>
      <c r="BC2587" s="648"/>
      <c r="BD2587" s="757"/>
      <c r="BE2587" s="659"/>
    </row>
    <row r="2588" spans="1:57" s="64" customFormat="1" ht="15" customHeight="1" outlineLevel="1" x14ac:dyDescent="0.25">
      <c r="A2588" s="2463"/>
      <c r="B2588" s="157"/>
      <c r="C2588" s="385"/>
      <c r="D2588" s="3589"/>
      <c r="E2588" s="3721"/>
      <c r="F2588" s="3773" t="str">
        <f>$E$1426</f>
        <v>ASHP - SEER 16 - replace electric furnace / CAC SF</v>
      </c>
      <c r="G2588" s="3774"/>
      <c r="H2588" s="3774"/>
      <c r="I2588" s="3775"/>
      <c r="J2588" s="3071" t="str">
        <f>$C$1426</f>
        <v>352600_2019_12_</v>
      </c>
      <c r="K2588" s="2725">
        <v>16.166666666666668</v>
      </c>
      <c r="L2588" s="945"/>
      <c r="M2588" s="2718" t="s">
        <v>3674</v>
      </c>
      <c r="N2588" s="157"/>
      <c r="O2588" s="277"/>
      <c r="P2588" s="937"/>
      <c r="Q2588" s="937"/>
      <c r="R2588" s="937"/>
      <c r="S2588" s="924"/>
      <c r="T2588" s="1407"/>
      <c r="U2588" s="157"/>
      <c r="V2588" s="3589"/>
      <c r="W2588" s="766">
        <v>16</v>
      </c>
      <c r="X2588" s="766">
        <v>16</v>
      </c>
      <c r="Y2588" s="781">
        <v>16</v>
      </c>
      <c r="Z2588" s="781">
        <v>16</v>
      </c>
      <c r="AA2588" s="781">
        <v>16</v>
      </c>
      <c r="AB2588" s="2658">
        <v>16.166666666666668</v>
      </c>
      <c r="AC2588" s="766"/>
      <c r="AD2588" s="766"/>
      <c r="AE2588" s="766"/>
      <c r="AF2588" s="766"/>
      <c r="AG2588" s="766"/>
      <c r="BB2588" s="647"/>
      <c r="BC2588" s="648"/>
      <c r="BD2588" s="757"/>
      <c r="BE2588" s="659"/>
    </row>
    <row r="2589" spans="1:57" s="64" customFormat="1" ht="15" customHeight="1" outlineLevel="1" x14ac:dyDescent="0.25">
      <c r="A2589" s="2463"/>
      <c r="B2589" s="157"/>
      <c r="C2589" s="385"/>
      <c r="D2589" s="3589"/>
      <c r="E2589" s="3721"/>
      <c r="F2589" s="3773" t="str">
        <f>$E$1428</f>
        <v>ASHP SEER 16 replace ASHP - replace on fail SF</v>
      </c>
      <c r="G2589" s="3774"/>
      <c r="H2589" s="3774"/>
      <c r="I2589" s="3775"/>
      <c r="J2589" s="3071" t="str">
        <f>$C$1428</f>
        <v>352650_2019_12_</v>
      </c>
      <c r="K2589" s="2725">
        <v>16</v>
      </c>
      <c r="L2589" s="945"/>
      <c r="M2589" s="2718" t="s">
        <v>1286</v>
      </c>
      <c r="N2589" s="157"/>
      <c r="O2589" s="277"/>
      <c r="P2589" s="937"/>
      <c r="Q2589" s="937"/>
      <c r="R2589" s="937"/>
      <c r="S2589" s="924"/>
      <c r="T2589" s="1407"/>
      <c r="U2589" s="157"/>
      <c r="V2589" s="3589"/>
      <c r="W2589" s="766">
        <v>16</v>
      </c>
      <c r="X2589" s="766">
        <v>16</v>
      </c>
      <c r="Y2589" s="781">
        <v>16</v>
      </c>
      <c r="Z2589" s="781">
        <v>16</v>
      </c>
      <c r="AA2589" s="781">
        <v>16</v>
      </c>
      <c r="AB2589" s="2725">
        <v>16</v>
      </c>
      <c r="AC2589" s="766"/>
      <c r="AD2589" s="766"/>
      <c r="AE2589" s="766"/>
      <c r="AF2589" s="766"/>
      <c r="AG2589" s="766"/>
      <c r="BB2589" s="647"/>
      <c r="BC2589" s="648"/>
      <c r="BD2589" s="757"/>
      <c r="BE2589" s="659"/>
    </row>
    <row r="2590" spans="1:57" s="64" customFormat="1" ht="15" customHeight="1" outlineLevel="1" x14ac:dyDescent="0.25">
      <c r="A2590" s="2463"/>
      <c r="B2590" s="157"/>
      <c r="C2590" s="385"/>
      <c r="D2590" s="3589"/>
      <c r="E2590" s="3721"/>
      <c r="F2590" s="3773" t="str">
        <f>$E$1430</f>
        <v>ASHP SEER 15 MF ER replace ASHP: HVAC ER1</v>
      </c>
      <c r="G2590" s="3774"/>
      <c r="H2590" s="3774"/>
      <c r="I2590" s="3775"/>
      <c r="J2590" s="3071" t="str">
        <f>$C$1430</f>
        <v>352700_2019_12_</v>
      </c>
      <c r="K2590" s="2725">
        <v>15.125</v>
      </c>
      <c r="L2590" s="945"/>
      <c r="M2590" s="2718" t="s">
        <v>3674</v>
      </c>
      <c r="N2590" s="157"/>
      <c r="O2590" s="277"/>
      <c r="P2590" s="937"/>
      <c r="Q2590" s="937"/>
      <c r="R2590" s="937"/>
      <c r="S2590" s="924"/>
      <c r="T2590" s="1407"/>
      <c r="U2590" s="157"/>
      <c r="V2590" s="3589"/>
      <c r="W2590" s="766">
        <v>15.1</v>
      </c>
      <c r="X2590" s="766">
        <v>15.1</v>
      </c>
      <c r="Y2590" s="781">
        <v>15.1</v>
      </c>
      <c r="Z2590" s="781">
        <v>15.1</v>
      </c>
      <c r="AA2590" s="781">
        <v>15.1</v>
      </c>
      <c r="AB2590" s="2658">
        <v>15.125</v>
      </c>
      <c r="AC2590" s="766"/>
      <c r="AD2590" s="766"/>
      <c r="AE2590" s="766"/>
      <c r="AF2590" s="766"/>
      <c r="AG2590" s="766"/>
      <c r="BB2590" s="647"/>
      <c r="BC2590" s="648"/>
      <c r="BD2590" s="757"/>
      <c r="BE2590" s="659"/>
    </row>
    <row r="2591" spans="1:57" s="64" customFormat="1" ht="15" customHeight="1" outlineLevel="1" x14ac:dyDescent="0.25">
      <c r="A2591" s="2463"/>
      <c r="B2591" s="157"/>
      <c r="C2591" s="385"/>
      <c r="D2591" s="3589"/>
      <c r="E2591" s="3721"/>
      <c r="F2591" s="3773" t="str">
        <f>$E$1432</f>
        <v>ASHP SEER 15 MF ER replace ASHP: HVAC ER2</v>
      </c>
      <c r="G2591" s="3774"/>
      <c r="H2591" s="3774"/>
      <c r="I2591" s="3775"/>
      <c r="J2591" s="3071" t="str">
        <f>$C$1432</f>
        <v>352700_2019_12_</v>
      </c>
      <c r="K2591" s="2725">
        <f>K2590</f>
        <v>15.125</v>
      </c>
      <c r="L2591" s="945"/>
      <c r="M2591" s="2718" t="s">
        <v>3674</v>
      </c>
      <c r="N2591" s="157"/>
      <c r="O2591" s="277"/>
      <c r="P2591" s="937"/>
      <c r="Q2591" s="937"/>
      <c r="R2591" s="937"/>
      <c r="S2591" s="924"/>
      <c r="T2591" s="1407"/>
      <c r="U2591" s="157"/>
      <c r="V2591" s="3589"/>
      <c r="W2591" s="766">
        <v>15.1</v>
      </c>
      <c r="X2591" s="766">
        <v>15.1</v>
      </c>
      <c r="Y2591" s="781">
        <v>15.1</v>
      </c>
      <c r="Z2591" s="781">
        <v>15.1</v>
      </c>
      <c r="AA2591" s="781">
        <v>15.1</v>
      </c>
      <c r="AB2591" s="2658">
        <v>15.125</v>
      </c>
      <c r="AC2591" s="766"/>
      <c r="AD2591" s="766"/>
      <c r="AE2591" s="766"/>
      <c r="AF2591" s="766"/>
      <c r="AG2591" s="766"/>
      <c r="BB2591" s="647"/>
      <c r="BC2591" s="648"/>
      <c r="BD2591" s="757"/>
      <c r="BE2591" s="659"/>
    </row>
    <row r="2592" spans="1:57" s="64" customFormat="1" ht="15" customHeight="1" outlineLevel="1" x14ac:dyDescent="0.25">
      <c r="A2592" s="2463"/>
      <c r="B2592" s="157"/>
      <c r="C2592" s="385"/>
      <c r="D2592" s="3589"/>
      <c r="E2592" s="3721"/>
      <c r="F2592" s="3773" t="str">
        <f>$E$1434</f>
        <v>ASHP SEER 15 MF ER replace ASHP: HVAC ER1_CompE</v>
      </c>
      <c r="G2592" s="3774"/>
      <c r="H2592" s="3774"/>
      <c r="I2592" s="3775"/>
      <c r="J2592" s="3071" t="str">
        <f>$C$1434</f>
        <v>352701_2019_12_</v>
      </c>
      <c r="K2592" s="2725">
        <f>K2591</f>
        <v>15.125</v>
      </c>
      <c r="L2592" s="945"/>
      <c r="M2592" s="2718" t="s">
        <v>3652</v>
      </c>
      <c r="N2592" s="157"/>
      <c r="O2592" s="277"/>
      <c r="P2592" s="937"/>
      <c r="Q2592" s="937"/>
      <c r="R2592" s="937"/>
      <c r="S2592" s="924"/>
      <c r="T2592" s="1407"/>
      <c r="U2592" s="157"/>
      <c r="V2592" s="3589"/>
      <c r="W2592" s="766"/>
      <c r="X2592" s="766"/>
      <c r="Y2592" s="786">
        <v>15.1</v>
      </c>
      <c r="Z2592" s="781">
        <v>15.1</v>
      </c>
      <c r="AA2592" s="781">
        <v>15.1</v>
      </c>
      <c r="AB2592" s="2658">
        <v>15.125</v>
      </c>
      <c r="AC2592" s="766"/>
      <c r="AD2592" s="766"/>
      <c r="AE2592" s="766"/>
      <c r="AF2592" s="766"/>
      <c r="AG2592" s="766"/>
      <c r="BB2592" s="647"/>
      <c r="BC2592" s="648"/>
      <c r="BD2592" s="757"/>
      <c r="BE2592" s="659"/>
    </row>
    <row r="2593" spans="1:57" s="64" customFormat="1" ht="15" customHeight="1" outlineLevel="1" x14ac:dyDescent="0.25">
      <c r="A2593" s="2463"/>
      <c r="B2593" s="157"/>
      <c r="C2593" s="385"/>
      <c r="D2593" s="3589"/>
      <c r="E2593" s="3721"/>
      <c r="F2593" s="3773" t="str">
        <f>$E$1436</f>
        <v>ASHP SEER 15 MF ER replace ASHP: HVAC ER2_CompE</v>
      </c>
      <c r="G2593" s="3774"/>
      <c r="H2593" s="3774"/>
      <c r="I2593" s="3775"/>
      <c r="J2593" s="3071" t="str">
        <f>$C$1436</f>
        <v>352701_2019_12_</v>
      </c>
      <c r="K2593" s="2725">
        <f>K2592</f>
        <v>15.125</v>
      </c>
      <c r="L2593" s="945"/>
      <c r="M2593" s="2718" t="s">
        <v>3652</v>
      </c>
      <c r="N2593" s="157"/>
      <c r="O2593" s="277"/>
      <c r="P2593" s="937"/>
      <c r="Q2593" s="937"/>
      <c r="R2593" s="937"/>
      <c r="S2593" s="924"/>
      <c r="T2593" s="1407"/>
      <c r="U2593" s="157"/>
      <c r="V2593" s="3589"/>
      <c r="W2593" s="766"/>
      <c r="X2593" s="766"/>
      <c r="Y2593" s="786">
        <v>15.1</v>
      </c>
      <c r="Z2593" s="781">
        <v>15.1</v>
      </c>
      <c r="AA2593" s="781">
        <v>15.1</v>
      </c>
      <c r="AB2593" s="2658">
        <v>15.125</v>
      </c>
      <c r="AC2593" s="766"/>
      <c r="AD2593" s="766"/>
      <c r="AE2593" s="766"/>
      <c r="AF2593" s="766"/>
      <c r="AG2593" s="766"/>
      <c r="BB2593" s="647"/>
      <c r="BC2593" s="648"/>
      <c r="BD2593" s="757"/>
      <c r="BE2593" s="659"/>
    </row>
    <row r="2594" spans="1:57" s="64" customFormat="1" ht="15" customHeight="1" outlineLevel="1" x14ac:dyDescent="0.25">
      <c r="A2594" s="2463"/>
      <c r="B2594" s="157"/>
      <c r="C2594" s="385"/>
      <c r="D2594" s="3589"/>
      <c r="E2594" s="3721"/>
      <c r="F2594" s="3773" t="str">
        <f>$E$1438</f>
        <v>ASHP SEER 15 MF ER replace Elec Resist Furnace: HVAC ER1</v>
      </c>
      <c r="G2594" s="3774"/>
      <c r="H2594" s="3774"/>
      <c r="I2594" s="3775"/>
      <c r="J2594" s="3071" t="str">
        <f>$C$1438</f>
        <v>352750_2019_12_</v>
      </c>
      <c r="K2594" s="2725">
        <v>15.25</v>
      </c>
      <c r="L2594" s="945"/>
      <c r="M2594" s="2718" t="s">
        <v>3674</v>
      </c>
      <c r="N2594" s="157"/>
      <c r="O2594" s="277"/>
      <c r="P2594" s="937"/>
      <c r="Q2594" s="937"/>
      <c r="R2594" s="937"/>
      <c r="S2594" s="924"/>
      <c r="T2594" s="1407"/>
      <c r="U2594" s="157"/>
      <c r="V2594" s="3589"/>
      <c r="W2594" s="766">
        <v>15.1</v>
      </c>
      <c r="X2594" s="766">
        <v>15.1</v>
      </c>
      <c r="Y2594" s="781">
        <v>15.1</v>
      </c>
      <c r="Z2594" s="781">
        <v>15.1</v>
      </c>
      <c r="AA2594" s="781">
        <v>15.1</v>
      </c>
      <c r="AB2594" s="2658">
        <v>15.25</v>
      </c>
      <c r="AC2594" s="766"/>
      <c r="AD2594" s="766"/>
      <c r="AE2594" s="766"/>
      <c r="AF2594" s="766"/>
      <c r="AG2594" s="766"/>
      <c r="BB2594" s="647"/>
      <c r="BC2594" s="648"/>
      <c r="BD2594" s="757"/>
      <c r="BE2594" s="659"/>
    </row>
    <row r="2595" spans="1:57" s="64" customFormat="1" ht="15" customHeight="1" outlineLevel="1" x14ac:dyDescent="0.25">
      <c r="A2595" s="2463"/>
      <c r="B2595" s="157"/>
      <c r="C2595" s="385"/>
      <c r="D2595" s="3589"/>
      <c r="E2595" s="3721"/>
      <c r="F2595" s="3773" t="str">
        <f>$E$1440</f>
        <v>ASHP SEER 15 MF ER replace Elec Resist Furnace: HVAC ER2</v>
      </c>
      <c r="G2595" s="3774"/>
      <c r="H2595" s="3774"/>
      <c r="I2595" s="3775"/>
      <c r="J2595" s="3071" t="str">
        <f>$C$1440</f>
        <v>352750_2019_12_</v>
      </c>
      <c r="K2595" s="2725">
        <v>15.1</v>
      </c>
      <c r="L2595" s="945"/>
      <c r="M2595" s="2718" t="s">
        <v>3674</v>
      </c>
      <c r="N2595" s="157"/>
      <c r="O2595" s="277"/>
      <c r="P2595" s="937"/>
      <c r="Q2595" s="937"/>
      <c r="R2595" s="937"/>
      <c r="S2595" s="924"/>
      <c r="T2595" s="1407"/>
      <c r="U2595" s="157"/>
      <c r="V2595" s="3589"/>
      <c r="W2595" s="766">
        <v>15.1</v>
      </c>
      <c r="X2595" s="766">
        <v>15.1</v>
      </c>
      <c r="Y2595" s="781">
        <v>15.1</v>
      </c>
      <c r="Z2595" s="781">
        <v>15.1</v>
      </c>
      <c r="AA2595" s="781">
        <v>15.1</v>
      </c>
      <c r="AB2595" s="2658">
        <v>15.1</v>
      </c>
      <c r="AC2595" s="766"/>
      <c r="AD2595" s="766"/>
      <c r="AE2595" s="766"/>
      <c r="AF2595" s="766"/>
      <c r="AG2595" s="766"/>
      <c r="BB2595" s="647"/>
      <c r="BC2595" s="648"/>
      <c r="BD2595" s="757"/>
      <c r="BE2595" s="659"/>
    </row>
    <row r="2596" spans="1:57" s="64" customFormat="1" ht="15" customHeight="1" outlineLevel="1" x14ac:dyDescent="0.25">
      <c r="A2596" s="2463"/>
      <c r="B2596" s="157"/>
      <c r="C2596" s="385"/>
      <c r="D2596" s="3589"/>
      <c r="E2596" s="3721"/>
      <c r="F2596" s="3773" t="str">
        <f>$E$1442</f>
        <v>ASHP SEER 15 MF ER replace Elec Resist Furnace: HVAC ER1_CompE</v>
      </c>
      <c r="G2596" s="3774"/>
      <c r="H2596" s="3774"/>
      <c r="I2596" s="3775"/>
      <c r="J2596" s="3071" t="str">
        <f>$C$1442</f>
        <v>352751_2019_12_</v>
      </c>
      <c r="K2596" s="2725">
        <v>15.1</v>
      </c>
      <c r="L2596" s="945"/>
      <c r="M2596" s="2718" t="s">
        <v>3652</v>
      </c>
      <c r="N2596" s="157"/>
      <c r="O2596" s="277"/>
      <c r="P2596" s="937"/>
      <c r="Q2596" s="937"/>
      <c r="R2596" s="937"/>
      <c r="S2596" s="924"/>
      <c r="T2596" s="1407"/>
      <c r="U2596" s="157"/>
      <c r="V2596" s="3589"/>
      <c r="W2596" s="766"/>
      <c r="X2596" s="766"/>
      <c r="Y2596" s="786">
        <v>15.1</v>
      </c>
      <c r="Z2596" s="781">
        <v>15.1</v>
      </c>
      <c r="AA2596" s="781">
        <v>15.1</v>
      </c>
      <c r="AB2596" s="2658">
        <v>15.1</v>
      </c>
      <c r="AC2596" s="766"/>
      <c r="AD2596" s="766"/>
      <c r="AE2596" s="766"/>
      <c r="AF2596" s="766"/>
      <c r="AG2596" s="766"/>
      <c r="BB2596" s="647"/>
      <c r="BC2596" s="648"/>
      <c r="BD2596" s="757"/>
      <c r="BE2596" s="659"/>
    </row>
    <row r="2597" spans="1:57" s="64" customFormat="1" ht="15" customHeight="1" outlineLevel="1" x14ac:dyDescent="0.25">
      <c r="A2597" s="2463"/>
      <c r="B2597" s="157"/>
      <c r="C2597" s="385"/>
      <c r="D2597" s="3589"/>
      <c r="E2597" s="3721"/>
      <c r="F2597" s="3773" t="str">
        <f>$E$1444</f>
        <v>ASHP SEER 15 MF ER replace Elec Resist Furnace: HVAC ER2_CompE</v>
      </c>
      <c r="G2597" s="3774"/>
      <c r="H2597" s="3774"/>
      <c r="I2597" s="3775"/>
      <c r="J2597" s="3071" t="str">
        <f>$C$1444</f>
        <v>352751_2019_12_</v>
      </c>
      <c r="K2597" s="2725">
        <v>15.1</v>
      </c>
      <c r="L2597" s="945"/>
      <c r="M2597" s="2718" t="s">
        <v>3652</v>
      </c>
      <c r="N2597" s="157"/>
      <c r="O2597" s="277"/>
      <c r="P2597" s="937"/>
      <c r="Q2597" s="937"/>
      <c r="R2597" s="937"/>
      <c r="S2597" s="924"/>
      <c r="T2597" s="1407"/>
      <c r="U2597" s="157"/>
      <c r="V2597" s="3589"/>
      <c r="W2597" s="766"/>
      <c r="X2597" s="766"/>
      <c r="Y2597" s="786">
        <v>15.1</v>
      </c>
      <c r="Z2597" s="781">
        <v>15.1</v>
      </c>
      <c r="AA2597" s="781">
        <v>15.1</v>
      </c>
      <c r="AB2597" s="2658">
        <v>15.1</v>
      </c>
      <c r="AC2597" s="766"/>
      <c r="AD2597" s="766"/>
      <c r="AE2597" s="766"/>
      <c r="AF2597" s="766"/>
      <c r="AG2597" s="766"/>
      <c r="BB2597" s="647"/>
      <c r="BC2597" s="648"/>
      <c r="BD2597" s="757"/>
      <c r="BE2597" s="659"/>
    </row>
    <row r="2598" spans="1:57" s="64" customFormat="1" ht="15" customHeight="1" outlineLevel="1" x14ac:dyDescent="0.25">
      <c r="A2598" s="2463"/>
      <c r="B2598" s="157"/>
      <c r="C2598" s="385"/>
      <c r="D2598" s="3589"/>
      <c r="E2598" s="3721"/>
      <c r="F2598" s="3773" t="str">
        <f>$E$1446</f>
        <v>ASHP SEER 15 MF replace at Fail Elec Resist Furnace: HVAC</v>
      </c>
      <c r="G2598" s="3774"/>
      <c r="H2598" s="3774"/>
      <c r="I2598" s="3775"/>
      <c r="J2598" s="3071" t="str">
        <f>$C$1446</f>
        <v>352800_2019_12_</v>
      </c>
      <c r="K2598" s="2725">
        <v>15.2</v>
      </c>
      <c r="L2598" s="945"/>
      <c r="M2598" s="2718" t="s">
        <v>1286</v>
      </c>
      <c r="N2598" s="157"/>
      <c r="O2598" s="277"/>
      <c r="P2598" s="937"/>
      <c r="Q2598" s="937"/>
      <c r="R2598" s="937"/>
      <c r="S2598" s="924"/>
      <c r="T2598" s="1407"/>
      <c r="U2598" s="157"/>
      <c r="V2598" s="3589"/>
      <c r="W2598" s="766">
        <v>15.2</v>
      </c>
      <c r="X2598" s="766">
        <v>15.2</v>
      </c>
      <c r="Y2598" s="781">
        <v>15.2</v>
      </c>
      <c r="Z2598" s="781">
        <v>15.2</v>
      </c>
      <c r="AA2598" s="781">
        <v>15.2</v>
      </c>
      <c r="AB2598" s="2725">
        <v>15.2</v>
      </c>
      <c r="AC2598" s="766"/>
      <c r="AD2598" s="766"/>
      <c r="AE2598" s="766"/>
      <c r="AF2598" s="766"/>
      <c r="AG2598" s="766"/>
      <c r="BB2598" s="647"/>
      <c r="BC2598" s="648"/>
      <c r="BD2598" s="757"/>
      <c r="BE2598" s="659"/>
    </row>
    <row r="2599" spans="1:57" s="64" customFormat="1" ht="15" customHeight="1" outlineLevel="1" x14ac:dyDescent="0.25">
      <c r="A2599" s="2463"/>
      <c r="B2599" s="157"/>
      <c r="C2599" s="385"/>
      <c r="D2599" s="3589"/>
      <c r="E2599" s="3721"/>
      <c r="F2599" s="3773" t="str">
        <f>$E$1448</f>
        <v>ASHP SEER 15 MF replace at Fail Elec Resist Furnace: HVAC_CompE</v>
      </c>
      <c r="G2599" s="3774"/>
      <c r="H2599" s="3774"/>
      <c r="I2599" s="3775"/>
      <c r="J2599" s="3071" t="str">
        <f>$C$1448</f>
        <v>352801_2019_12_</v>
      </c>
      <c r="K2599" s="2725">
        <v>15.2</v>
      </c>
      <c r="L2599" s="945"/>
      <c r="M2599" s="2718"/>
      <c r="N2599" s="157"/>
      <c r="O2599" s="277"/>
      <c r="P2599" s="937"/>
      <c r="Q2599" s="937"/>
      <c r="R2599" s="937"/>
      <c r="S2599" s="924"/>
      <c r="T2599" s="1407"/>
      <c r="U2599" s="157"/>
      <c r="V2599" s="3589"/>
      <c r="W2599" s="766"/>
      <c r="X2599" s="766"/>
      <c r="Y2599" s="786">
        <v>15.2</v>
      </c>
      <c r="Z2599" s="781">
        <v>15.2</v>
      </c>
      <c r="AA2599" s="781">
        <v>15.2</v>
      </c>
      <c r="AB2599" s="2725">
        <v>15.2</v>
      </c>
      <c r="AC2599" s="766"/>
      <c r="AD2599" s="766"/>
      <c r="AE2599" s="766"/>
      <c r="AF2599" s="766"/>
      <c r="AG2599" s="766"/>
      <c r="BB2599" s="647"/>
      <c r="BC2599" s="648"/>
      <c r="BD2599" s="757"/>
      <c r="BE2599" s="659"/>
    </row>
    <row r="2600" spans="1:57" s="64" customFormat="1" ht="15" customHeight="1" outlineLevel="1" x14ac:dyDescent="0.25">
      <c r="A2600" s="2463"/>
      <c r="B2600" s="157"/>
      <c r="C2600" s="385"/>
      <c r="D2600" s="3589"/>
      <c r="E2600" s="3721"/>
      <c r="F2600" s="3773" t="str">
        <f>$E$1450</f>
        <v>ASHP SEER 16 MF ER replace ASHP: HVAC ER1</v>
      </c>
      <c r="G2600" s="3774"/>
      <c r="H2600" s="3774"/>
      <c r="I2600" s="3775"/>
      <c r="J2600" s="3071" t="str">
        <f>$C$1450</f>
        <v>352850_2019_12_</v>
      </c>
      <c r="K2600" s="2725">
        <v>16</v>
      </c>
      <c r="L2600" s="945"/>
      <c r="M2600" s="2718" t="s">
        <v>1286</v>
      </c>
      <c r="N2600" s="157"/>
      <c r="O2600" s="277"/>
      <c r="P2600" s="937"/>
      <c r="Q2600" s="937"/>
      <c r="R2600" s="937"/>
      <c r="S2600" s="924"/>
      <c r="T2600" s="1407"/>
      <c r="U2600" s="157"/>
      <c r="V2600" s="3589"/>
      <c r="W2600" s="766">
        <v>16</v>
      </c>
      <c r="X2600" s="766">
        <v>16</v>
      </c>
      <c r="Y2600" s="781">
        <v>16</v>
      </c>
      <c r="Z2600" s="781">
        <v>16</v>
      </c>
      <c r="AA2600" s="781">
        <v>16</v>
      </c>
      <c r="AB2600" s="2725">
        <v>16</v>
      </c>
      <c r="AC2600" s="766"/>
      <c r="AD2600" s="766"/>
      <c r="AE2600" s="766"/>
      <c r="AF2600" s="766"/>
      <c r="AG2600" s="766"/>
      <c r="BB2600" s="647"/>
      <c r="BC2600" s="648"/>
      <c r="BD2600" s="757"/>
      <c r="BE2600" s="659"/>
    </row>
    <row r="2601" spans="1:57" s="64" customFormat="1" ht="15" customHeight="1" outlineLevel="1" x14ac:dyDescent="0.25">
      <c r="A2601" s="2463"/>
      <c r="B2601" s="157"/>
      <c r="C2601" s="385"/>
      <c r="D2601" s="3589"/>
      <c r="E2601" s="3721"/>
      <c r="F2601" s="3773" t="str">
        <f>$E$1452</f>
        <v>ASHP SEER 16 MF ER replace ASHP: HVAC ER2</v>
      </c>
      <c r="G2601" s="3774"/>
      <c r="H2601" s="3774"/>
      <c r="I2601" s="3775"/>
      <c r="J2601" s="3071" t="str">
        <f>$C$1452</f>
        <v>352850_2019_12_</v>
      </c>
      <c r="K2601" s="2725">
        <v>16</v>
      </c>
      <c r="L2601" s="945"/>
      <c r="M2601" s="2718" t="s">
        <v>1286</v>
      </c>
      <c r="N2601" s="157"/>
      <c r="O2601" s="277"/>
      <c r="P2601" s="937"/>
      <c r="Q2601" s="937"/>
      <c r="R2601" s="937"/>
      <c r="S2601" s="924"/>
      <c r="T2601" s="1407"/>
      <c r="U2601" s="157"/>
      <c r="V2601" s="3589"/>
      <c r="W2601" s="766">
        <v>16</v>
      </c>
      <c r="X2601" s="766">
        <v>16</v>
      </c>
      <c r="Y2601" s="781">
        <v>16</v>
      </c>
      <c r="Z2601" s="781">
        <v>16</v>
      </c>
      <c r="AA2601" s="781">
        <v>16</v>
      </c>
      <c r="AB2601" s="2725">
        <v>16</v>
      </c>
      <c r="AC2601" s="766"/>
      <c r="AD2601" s="766"/>
      <c r="AE2601" s="766"/>
      <c r="AF2601" s="766"/>
      <c r="AG2601" s="766"/>
      <c r="BB2601" s="647"/>
      <c r="BC2601" s="648"/>
      <c r="BD2601" s="757"/>
      <c r="BE2601" s="659"/>
    </row>
    <row r="2602" spans="1:57" s="64" customFormat="1" ht="15" customHeight="1" outlineLevel="1" x14ac:dyDescent="0.25">
      <c r="A2602" s="2463"/>
      <c r="B2602" s="157"/>
      <c r="C2602" s="385"/>
      <c r="D2602" s="3589"/>
      <c r="E2602" s="3721"/>
      <c r="F2602" s="3773" t="str">
        <f>$E$1454</f>
        <v>ASHP SEER 16 MF ER replace ASHP: HVAC ER1_CompE</v>
      </c>
      <c r="G2602" s="3774"/>
      <c r="H2602" s="3774"/>
      <c r="I2602" s="3775"/>
      <c r="J2602" s="3071" t="str">
        <f>$C$1454</f>
        <v>352851_2019_12_</v>
      </c>
      <c r="K2602" s="2725">
        <v>16</v>
      </c>
      <c r="L2602" s="945"/>
      <c r="M2602" s="2718"/>
      <c r="N2602" s="157"/>
      <c r="O2602" s="277"/>
      <c r="P2602" s="937"/>
      <c r="Q2602" s="937"/>
      <c r="R2602" s="937"/>
      <c r="S2602" s="924"/>
      <c r="T2602" s="1407"/>
      <c r="U2602" s="157"/>
      <c r="V2602" s="3589"/>
      <c r="W2602" s="766"/>
      <c r="X2602" s="766"/>
      <c r="Y2602" s="786">
        <v>16</v>
      </c>
      <c r="Z2602" s="781">
        <v>16</v>
      </c>
      <c r="AA2602" s="781">
        <v>16</v>
      </c>
      <c r="AB2602" s="2725">
        <v>16</v>
      </c>
      <c r="AC2602" s="766"/>
      <c r="AD2602" s="766"/>
      <c r="AE2602" s="766"/>
      <c r="AF2602" s="766"/>
      <c r="AG2602" s="766"/>
      <c r="BB2602" s="647"/>
      <c r="BC2602" s="648"/>
      <c r="BD2602" s="757"/>
      <c r="BE2602" s="659"/>
    </row>
    <row r="2603" spans="1:57" s="64" customFormat="1" ht="15" customHeight="1" outlineLevel="1" x14ac:dyDescent="0.25">
      <c r="A2603" s="2463"/>
      <c r="B2603" s="157"/>
      <c r="C2603" s="385"/>
      <c r="D2603" s="3589"/>
      <c r="E2603" s="3721"/>
      <c r="F2603" s="3773" t="str">
        <f>$E$1456</f>
        <v>ASHP SEER 16 MF ER replace ASHP: HVAC ER2_CompE</v>
      </c>
      <c r="G2603" s="3774"/>
      <c r="H2603" s="3774"/>
      <c r="I2603" s="3775"/>
      <c r="J2603" s="3071" t="str">
        <f>$C$1456</f>
        <v>352851_2019_12_</v>
      </c>
      <c r="K2603" s="2725">
        <v>16</v>
      </c>
      <c r="L2603" s="945"/>
      <c r="M2603" s="2718"/>
      <c r="N2603" s="157"/>
      <c r="O2603" s="277"/>
      <c r="P2603" s="937"/>
      <c r="Q2603" s="937"/>
      <c r="R2603" s="937"/>
      <c r="S2603" s="924"/>
      <c r="T2603" s="1407"/>
      <c r="U2603" s="157"/>
      <c r="V2603" s="3589"/>
      <c r="W2603" s="766"/>
      <c r="X2603" s="766"/>
      <c r="Y2603" s="786">
        <v>16</v>
      </c>
      <c r="Z2603" s="781">
        <v>16</v>
      </c>
      <c r="AA2603" s="781">
        <v>16</v>
      </c>
      <c r="AB2603" s="2725">
        <v>16</v>
      </c>
      <c r="AC2603" s="766"/>
      <c r="AD2603" s="766"/>
      <c r="AE2603" s="766"/>
      <c r="AF2603" s="766"/>
      <c r="AG2603" s="766"/>
      <c r="BB2603" s="647"/>
      <c r="BC2603" s="648"/>
      <c r="BD2603" s="757"/>
      <c r="BE2603" s="659"/>
    </row>
    <row r="2604" spans="1:57" s="64" customFormat="1" ht="15" customHeight="1" outlineLevel="1" x14ac:dyDescent="0.25">
      <c r="A2604" s="2463"/>
      <c r="B2604" s="157"/>
      <c r="C2604" s="385"/>
      <c r="D2604" s="3589"/>
      <c r="E2604" s="3721"/>
      <c r="F2604" s="3773" t="str">
        <f>$E$1458</f>
        <v>ASHP - SEER 16 - replace on fail MF</v>
      </c>
      <c r="G2604" s="3774"/>
      <c r="H2604" s="3774"/>
      <c r="I2604" s="3775"/>
      <c r="J2604" s="3071" t="str">
        <f>$C$1458</f>
        <v>352900_2019_12_</v>
      </c>
      <c r="K2604" s="2725">
        <v>16</v>
      </c>
      <c r="L2604" s="945"/>
      <c r="M2604" s="2718" t="s">
        <v>1286</v>
      </c>
      <c r="N2604" s="157"/>
      <c r="O2604" s="277"/>
      <c r="P2604" s="937"/>
      <c r="Q2604" s="937"/>
      <c r="R2604" s="937"/>
      <c r="S2604" s="924"/>
      <c r="T2604" s="1407"/>
      <c r="U2604" s="157"/>
      <c r="V2604" s="3589"/>
      <c r="W2604" s="766">
        <v>16</v>
      </c>
      <c r="X2604" s="766">
        <v>16</v>
      </c>
      <c r="Y2604" s="781">
        <v>16</v>
      </c>
      <c r="Z2604" s="781">
        <v>16</v>
      </c>
      <c r="AA2604" s="781">
        <v>16</v>
      </c>
      <c r="AB2604" s="2725">
        <v>16</v>
      </c>
      <c r="AC2604" s="766"/>
      <c r="AD2604" s="766"/>
      <c r="AE2604" s="766"/>
      <c r="AF2604" s="766"/>
      <c r="AG2604" s="766"/>
      <c r="BB2604" s="647"/>
      <c r="BC2604" s="648"/>
      <c r="BD2604" s="757"/>
      <c r="BE2604" s="659"/>
    </row>
    <row r="2605" spans="1:57" s="64" customFormat="1" ht="15" customHeight="1" outlineLevel="1" x14ac:dyDescent="0.25">
      <c r="A2605" s="2463"/>
      <c r="B2605" s="157"/>
      <c r="C2605" s="385"/>
      <c r="D2605" s="3589"/>
      <c r="E2605" s="3721"/>
      <c r="F2605" s="3773" t="str">
        <f>$E$1460</f>
        <v>ASHP - SEER 16 - replace on fail MF_CompE</v>
      </c>
      <c r="G2605" s="3774"/>
      <c r="H2605" s="3774"/>
      <c r="I2605" s="3775"/>
      <c r="J2605" s="3071" t="str">
        <f>$C$1460</f>
        <v>352901_2019_12_</v>
      </c>
      <c r="K2605" s="2725">
        <v>16</v>
      </c>
      <c r="L2605" s="945"/>
      <c r="M2605" s="2718"/>
      <c r="N2605" s="157"/>
      <c r="O2605" s="277"/>
      <c r="P2605" s="937"/>
      <c r="Q2605" s="937"/>
      <c r="R2605" s="937"/>
      <c r="S2605" s="924"/>
      <c r="T2605" s="1407"/>
      <c r="U2605" s="157"/>
      <c r="V2605" s="3589"/>
      <c r="W2605" s="766"/>
      <c r="X2605" s="766"/>
      <c r="Y2605" s="786">
        <v>16</v>
      </c>
      <c r="Z2605" s="781">
        <v>16</v>
      </c>
      <c r="AA2605" s="781">
        <v>16</v>
      </c>
      <c r="AB2605" s="2725">
        <v>16</v>
      </c>
      <c r="AC2605" s="766"/>
      <c r="AD2605" s="766"/>
      <c r="AE2605" s="766"/>
      <c r="AF2605" s="766"/>
      <c r="AG2605" s="766"/>
      <c r="BB2605" s="647"/>
      <c r="BC2605" s="648"/>
      <c r="BD2605" s="757"/>
      <c r="BE2605" s="659"/>
    </row>
    <row r="2606" spans="1:57" s="64" customFormat="1" ht="15" customHeight="1" outlineLevel="1" x14ac:dyDescent="0.25">
      <c r="A2606" s="2463"/>
      <c r="B2606" s="157"/>
      <c r="C2606" s="385"/>
      <c r="D2606" s="3589"/>
      <c r="E2606" s="3721"/>
      <c r="F2606" s="3773" t="str">
        <f>$E$1462</f>
        <v>ASHP - SEER 16 - replace electric furnace / CAC MF</v>
      </c>
      <c r="G2606" s="3774"/>
      <c r="H2606" s="3774"/>
      <c r="I2606" s="3775"/>
      <c r="J2606" s="3071" t="str">
        <f>$C$1462</f>
        <v>352950_2019_12_</v>
      </c>
      <c r="K2606" s="2725">
        <v>17</v>
      </c>
      <c r="L2606" s="945"/>
      <c r="M2606" s="2718" t="s">
        <v>3674</v>
      </c>
      <c r="N2606" s="157"/>
      <c r="O2606" s="277"/>
      <c r="P2606" s="937"/>
      <c r="Q2606" s="937"/>
      <c r="R2606" s="937"/>
      <c r="S2606" s="924"/>
      <c r="T2606" s="1407"/>
      <c r="U2606" s="157"/>
      <c r="V2606" s="3589"/>
      <c r="W2606" s="766">
        <v>16</v>
      </c>
      <c r="X2606" s="766">
        <v>16</v>
      </c>
      <c r="Y2606" s="781">
        <v>16</v>
      </c>
      <c r="Z2606" s="781">
        <v>16</v>
      </c>
      <c r="AA2606" s="781">
        <v>16</v>
      </c>
      <c r="AB2606" s="2658">
        <v>17</v>
      </c>
      <c r="AC2606" s="766"/>
      <c r="AD2606" s="766"/>
      <c r="AE2606" s="766"/>
      <c r="AF2606" s="766"/>
      <c r="AG2606" s="766"/>
      <c r="BB2606" s="647"/>
      <c r="BC2606" s="648"/>
      <c r="BD2606" s="757"/>
      <c r="BE2606" s="659"/>
    </row>
    <row r="2607" spans="1:57" s="64" customFormat="1" ht="15" customHeight="1" outlineLevel="1" x14ac:dyDescent="0.25">
      <c r="A2607" s="2463"/>
      <c r="B2607" s="157"/>
      <c r="C2607" s="385"/>
      <c r="D2607" s="3589"/>
      <c r="E2607" s="3721"/>
      <c r="F2607" s="3773" t="str">
        <f>$E$1464</f>
        <v>ASHP - SEER 16 - replace electric furnace / CAC MF_CompE</v>
      </c>
      <c r="G2607" s="3774"/>
      <c r="H2607" s="3774"/>
      <c r="I2607" s="3775"/>
      <c r="J2607" s="3071" t="str">
        <f>$C$1464</f>
        <v>352951_2019_12_</v>
      </c>
      <c r="K2607" s="2725">
        <f>K2606</f>
        <v>17</v>
      </c>
      <c r="L2607" s="945"/>
      <c r="M2607" s="2718" t="s">
        <v>3652</v>
      </c>
      <c r="N2607" s="157"/>
      <c r="O2607" s="277"/>
      <c r="P2607" s="937"/>
      <c r="Q2607" s="937"/>
      <c r="R2607" s="937"/>
      <c r="S2607" s="924"/>
      <c r="T2607" s="1407"/>
      <c r="U2607" s="157"/>
      <c r="V2607" s="3589"/>
      <c r="W2607" s="766"/>
      <c r="X2607" s="766"/>
      <c r="Y2607" s="786">
        <v>16</v>
      </c>
      <c r="Z2607" s="781">
        <v>16</v>
      </c>
      <c r="AA2607" s="781">
        <v>16</v>
      </c>
      <c r="AB2607" s="2658">
        <v>17</v>
      </c>
      <c r="AC2607" s="766"/>
      <c r="AD2607" s="766"/>
      <c r="AE2607" s="766"/>
      <c r="AF2607" s="766"/>
      <c r="AG2607" s="766"/>
      <c r="BB2607" s="647"/>
      <c r="BC2607" s="648"/>
      <c r="BD2607" s="757"/>
      <c r="BE2607" s="659"/>
    </row>
    <row r="2608" spans="1:57" s="64" customFormat="1" ht="15" customHeight="1" outlineLevel="1" x14ac:dyDescent="0.25">
      <c r="A2608" s="2463"/>
      <c r="B2608" s="157"/>
      <c r="C2608" s="385"/>
      <c r="D2608" s="3589"/>
      <c r="E2608" s="3721"/>
      <c r="F2608" s="3773" t="str">
        <f>$E$1466</f>
        <v>ASHP - SEER 16 - replace electric furnace / CAC - early replacement MF ER1</v>
      </c>
      <c r="G2608" s="3774"/>
      <c r="H2608" s="3774"/>
      <c r="I2608" s="3775"/>
      <c r="J2608" s="3071" t="str">
        <f>$C$1466</f>
        <v>353000_2019_12_</v>
      </c>
      <c r="K2608" s="2725">
        <v>16.5</v>
      </c>
      <c r="L2608" s="945"/>
      <c r="M2608" s="2718" t="s">
        <v>3674</v>
      </c>
      <c r="N2608" s="157"/>
      <c r="O2608" s="277"/>
      <c r="P2608" s="937"/>
      <c r="Q2608" s="937"/>
      <c r="R2608" s="937"/>
      <c r="S2608" s="924"/>
      <c r="T2608" s="1407"/>
      <c r="U2608" s="157"/>
      <c r="V2608" s="3589"/>
      <c r="W2608" s="766">
        <v>16</v>
      </c>
      <c r="X2608" s="766">
        <v>16</v>
      </c>
      <c r="Y2608" s="781">
        <v>16</v>
      </c>
      <c r="Z2608" s="781">
        <v>16</v>
      </c>
      <c r="AA2608" s="781">
        <v>16</v>
      </c>
      <c r="AB2608" s="2658">
        <v>16.5</v>
      </c>
      <c r="AC2608" s="766"/>
      <c r="AD2608" s="766"/>
      <c r="AE2608" s="766"/>
      <c r="AF2608" s="766"/>
      <c r="AG2608" s="766"/>
      <c r="BB2608" s="647"/>
      <c r="BC2608" s="648"/>
      <c r="BD2608" s="757"/>
      <c r="BE2608" s="659"/>
    </row>
    <row r="2609" spans="1:57" s="64" customFormat="1" ht="15" customHeight="1" outlineLevel="1" x14ac:dyDescent="0.25">
      <c r="A2609" s="2463"/>
      <c r="B2609" s="157"/>
      <c r="C2609" s="385"/>
      <c r="D2609" s="3589"/>
      <c r="E2609" s="3721"/>
      <c r="F2609" s="3773" t="str">
        <f>$E$1468</f>
        <v>ASHP - SEER 16 - replace electric furnace / CAC - early replacement MF ER2</v>
      </c>
      <c r="G2609" s="3774"/>
      <c r="H2609" s="3774"/>
      <c r="I2609" s="3775"/>
      <c r="J2609" s="3071" t="str">
        <f>$C$1468</f>
        <v>353000_2019_12_</v>
      </c>
      <c r="K2609" s="2725">
        <f>K2608</f>
        <v>16.5</v>
      </c>
      <c r="L2609" s="945"/>
      <c r="M2609" s="2718" t="s">
        <v>3674</v>
      </c>
      <c r="N2609" s="157"/>
      <c r="O2609" s="277"/>
      <c r="P2609" s="937"/>
      <c r="Q2609" s="937"/>
      <c r="R2609" s="937"/>
      <c r="S2609" s="924"/>
      <c r="T2609" s="1407"/>
      <c r="U2609" s="157"/>
      <c r="V2609" s="3589"/>
      <c r="W2609" s="766">
        <v>16</v>
      </c>
      <c r="X2609" s="766">
        <v>16</v>
      </c>
      <c r="Y2609" s="781">
        <v>16</v>
      </c>
      <c r="Z2609" s="781">
        <v>16</v>
      </c>
      <c r="AA2609" s="781">
        <v>16</v>
      </c>
      <c r="AB2609" s="2658">
        <v>16.5</v>
      </c>
      <c r="AC2609" s="766"/>
      <c r="AD2609" s="766"/>
      <c r="AE2609" s="766"/>
      <c r="AF2609" s="766"/>
      <c r="AG2609" s="766"/>
      <c r="BB2609" s="647"/>
      <c r="BC2609" s="648"/>
      <c r="BD2609" s="757"/>
      <c r="BE2609" s="659"/>
    </row>
    <row r="2610" spans="1:57" s="64" customFormat="1" ht="15" customHeight="1" outlineLevel="1" x14ac:dyDescent="0.25">
      <c r="A2610" s="2463"/>
      <c r="B2610" s="157"/>
      <c r="C2610" s="385"/>
      <c r="D2610" s="3589"/>
      <c r="E2610" s="3721"/>
      <c r="F2610" s="3773" t="str">
        <f>$E$1470</f>
        <v>ASHP - SEER 16 - replace electric furnace / CAC - early replacement MF ER1_CompE</v>
      </c>
      <c r="G2610" s="3774"/>
      <c r="H2610" s="3774"/>
      <c r="I2610" s="3775"/>
      <c r="J2610" s="3071" t="str">
        <f>$C$1470</f>
        <v>353001_2019_12_</v>
      </c>
      <c r="K2610" s="2725">
        <f>K2609</f>
        <v>16.5</v>
      </c>
      <c r="L2610" s="945"/>
      <c r="M2610" s="2718" t="s">
        <v>3652</v>
      </c>
      <c r="N2610" s="157"/>
      <c r="O2610" s="277"/>
      <c r="P2610" s="937"/>
      <c r="Q2610" s="937"/>
      <c r="R2610" s="937"/>
      <c r="S2610" s="924"/>
      <c r="T2610" s="1407"/>
      <c r="U2610" s="157"/>
      <c r="V2610" s="3589"/>
      <c r="W2610" s="766"/>
      <c r="X2610" s="766"/>
      <c r="Y2610" s="786">
        <v>16</v>
      </c>
      <c r="Z2610" s="781">
        <v>16</v>
      </c>
      <c r="AA2610" s="781">
        <v>16</v>
      </c>
      <c r="AB2610" s="2658">
        <v>16.5</v>
      </c>
      <c r="AC2610" s="766"/>
      <c r="AD2610" s="766"/>
      <c r="AE2610" s="766"/>
      <c r="AF2610" s="766"/>
      <c r="AG2610" s="766"/>
      <c r="BB2610" s="647"/>
      <c r="BC2610" s="648"/>
      <c r="BD2610" s="757"/>
      <c r="BE2610" s="659"/>
    </row>
    <row r="2611" spans="1:57" s="64" customFormat="1" ht="15" customHeight="1" outlineLevel="1" x14ac:dyDescent="0.25">
      <c r="A2611" s="2463"/>
      <c r="B2611" s="157"/>
      <c r="C2611" s="385"/>
      <c r="D2611" s="3589"/>
      <c r="E2611" s="3721"/>
      <c r="F2611" s="3773" t="str">
        <f>$E$1472</f>
        <v>ASHP - SEER 16 - replace electric furnace / CAC - early replacement MF ER2_CompE</v>
      </c>
      <c r="G2611" s="3774"/>
      <c r="H2611" s="3774"/>
      <c r="I2611" s="3775"/>
      <c r="J2611" s="3071" t="str">
        <f>$C$1472</f>
        <v>353001_2019_12_</v>
      </c>
      <c r="K2611" s="2725">
        <f>K2610</f>
        <v>16.5</v>
      </c>
      <c r="L2611" s="945"/>
      <c r="M2611" s="2718" t="s">
        <v>3652</v>
      </c>
      <c r="N2611" s="157"/>
      <c r="O2611" s="277"/>
      <c r="P2611" s="937"/>
      <c r="Q2611" s="937"/>
      <c r="R2611" s="937"/>
      <c r="S2611" s="924"/>
      <c r="T2611" s="1407"/>
      <c r="U2611" s="157"/>
      <c r="V2611" s="3589"/>
      <c r="W2611" s="766"/>
      <c r="X2611" s="766"/>
      <c r="Y2611" s="786">
        <v>16</v>
      </c>
      <c r="Z2611" s="781">
        <v>16</v>
      </c>
      <c r="AA2611" s="781">
        <v>16</v>
      </c>
      <c r="AB2611" s="2658">
        <v>16.5</v>
      </c>
      <c r="AC2611" s="766"/>
      <c r="AD2611" s="766"/>
      <c r="AE2611" s="766"/>
      <c r="AF2611" s="766"/>
      <c r="AG2611" s="766"/>
      <c r="BB2611" s="647"/>
      <c r="BC2611" s="648"/>
      <c r="BD2611" s="757"/>
      <c r="BE2611" s="659"/>
    </row>
    <row r="2612" spans="1:57" s="64" customFormat="1" ht="15" customHeight="1" outlineLevel="1" x14ac:dyDescent="0.25">
      <c r="A2612" s="2463"/>
      <c r="B2612" s="157"/>
      <c r="C2612" s="385"/>
      <c r="D2612" s="3589"/>
      <c r="E2612" s="3721"/>
      <c r="F2612" s="3776" t="str">
        <f>$E$1474</f>
        <v xml:space="preserve">ASHP SEER 15 - replace on Fail MF </v>
      </c>
      <c r="G2612" s="3777"/>
      <c r="H2612" s="3777"/>
      <c r="I2612" s="3778"/>
      <c r="J2612" s="3072" t="str">
        <f>$C$1474</f>
        <v>353050_2019_12_</v>
      </c>
      <c r="K2612" s="2725">
        <v>15.1</v>
      </c>
      <c r="L2612" s="945"/>
      <c r="M2612" s="2718" t="s">
        <v>1286</v>
      </c>
      <c r="N2612" s="157"/>
      <c r="O2612" s="277"/>
      <c r="P2612" s="937"/>
      <c r="Q2612" s="937"/>
      <c r="R2612" s="937"/>
      <c r="S2612" s="924"/>
      <c r="T2612" s="1407"/>
      <c r="U2612" s="157"/>
      <c r="V2612" s="3589"/>
      <c r="W2612" s="766">
        <v>15.1</v>
      </c>
      <c r="X2612" s="766">
        <v>15.1</v>
      </c>
      <c r="Y2612" s="781">
        <v>15.1</v>
      </c>
      <c r="Z2612" s="781">
        <v>15.1</v>
      </c>
      <c r="AA2612" s="781">
        <v>15.1</v>
      </c>
      <c r="AB2612" s="2725">
        <v>15.1</v>
      </c>
      <c r="AC2612" s="766"/>
      <c r="AD2612" s="766"/>
      <c r="AE2612" s="766"/>
      <c r="AF2612" s="766"/>
      <c r="AG2612" s="766"/>
      <c r="BB2612" s="647"/>
      <c r="BC2612" s="648"/>
      <c r="BD2612" s="757"/>
      <c r="BE2612" s="659"/>
    </row>
    <row r="2613" spans="1:57" s="64" customFormat="1" ht="15" customHeight="1" outlineLevel="1" x14ac:dyDescent="0.25">
      <c r="A2613" s="2463"/>
      <c r="B2613" s="157"/>
      <c r="C2613" s="385"/>
      <c r="D2613" s="3589"/>
      <c r="E2613" s="3721"/>
      <c r="F2613" s="3776" t="str">
        <f>$E$1476</f>
        <v>ASHP SEER 15 - replace on Fail MF _CompE</v>
      </c>
      <c r="G2613" s="3777"/>
      <c r="H2613" s="3777"/>
      <c r="I2613" s="3778"/>
      <c r="J2613" s="3072" t="str">
        <f>$C$1476</f>
        <v>353051_2019_12_</v>
      </c>
      <c r="K2613" s="2725">
        <v>15.1</v>
      </c>
      <c r="L2613" s="945"/>
      <c r="M2613" s="2718"/>
      <c r="N2613" s="157"/>
      <c r="O2613" s="277"/>
      <c r="P2613" s="937"/>
      <c r="Q2613" s="937"/>
      <c r="R2613" s="937"/>
      <c r="S2613" s="924"/>
      <c r="T2613" s="1407"/>
      <c r="U2613" s="157"/>
      <c r="V2613" s="3589"/>
      <c r="W2613" s="766"/>
      <c r="X2613" s="766"/>
      <c r="Y2613" s="786">
        <v>15.1</v>
      </c>
      <c r="Z2613" s="781">
        <v>15.1</v>
      </c>
      <c r="AA2613" s="781">
        <v>15.1</v>
      </c>
      <c r="AB2613" s="2725">
        <v>15.1</v>
      </c>
      <c r="AC2613" s="766"/>
      <c r="AD2613" s="766"/>
      <c r="AE2613" s="766"/>
      <c r="AF2613" s="766"/>
      <c r="AG2613" s="766"/>
      <c r="BB2613" s="647"/>
      <c r="BC2613" s="648"/>
      <c r="BD2613" s="757"/>
      <c r="BE2613" s="659"/>
    </row>
    <row r="2614" spans="1:57" s="64" customFormat="1" ht="15" customHeight="1" outlineLevel="1" x14ac:dyDescent="0.25">
      <c r="A2614" s="2463"/>
      <c r="B2614" s="157"/>
      <c r="C2614" s="385"/>
      <c r="D2614" s="3589"/>
      <c r="E2614" s="3721"/>
      <c r="F2614" s="3773" t="str">
        <f>$E$1478</f>
        <v>ASHP - SEER 17 - replace electric furnace / CAC SF</v>
      </c>
      <c r="G2614" s="3774"/>
      <c r="H2614" s="3774"/>
      <c r="I2614" s="3775"/>
      <c r="J2614" s="3071" t="str">
        <f>$C$1478</f>
        <v>353100_2019_12_</v>
      </c>
      <c r="K2614" s="2725">
        <v>17</v>
      </c>
      <c r="L2614" s="945"/>
      <c r="M2614" s="2718" t="s">
        <v>1510</v>
      </c>
      <c r="N2614" s="157"/>
      <c r="O2614" s="277"/>
      <c r="P2614" s="937"/>
      <c r="Q2614" s="937"/>
      <c r="R2614" s="937"/>
      <c r="S2614" s="924"/>
      <c r="T2614" s="1407"/>
      <c r="U2614" s="157"/>
      <c r="V2614" s="3589"/>
      <c r="W2614" s="766">
        <v>17</v>
      </c>
      <c r="X2614" s="766">
        <v>17</v>
      </c>
      <c r="Y2614" s="786">
        <v>17</v>
      </c>
      <c r="Z2614" s="781">
        <v>17</v>
      </c>
      <c r="AA2614" s="781">
        <v>17</v>
      </c>
      <c r="AB2614" s="2725">
        <v>17</v>
      </c>
      <c r="AC2614" s="766"/>
      <c r="AD2614" s="766"/>
      <c r="AE2614" s="766"/>
      <c r="AF2614" s="766"/>
      <c r="AG2614" s="766"/>
      <c r="BB2614" s="647"/>
      <c r="BC2614" s="648"/>
      <c r="BD2614" s="757"/>
      <c r="BE2614" s="659"/>
    </row>
    <row r="2615" spans="1:57" s="64" customFormat="1" ht="15" customHeight="1" outlineLevel="1" x14ac:dyDescent="0.25">
      <c r="A2615" s="2463"/>
      <c r="B2615" s="157"/>
      <c r="C2615" s="385"/>
      <c r="D2615" s="3589"/>
      <c r="E2615" s="3721"/>
      <c r="F2615" s="3773" t="str">
        <f>$E$1480</f>
        <v>ASHP - SEER 17 - replace electric furnace / CAC MF</v>
      </c>
      <c r="G2615" s="3774"/>
      <c r="H2615" s="3774"/>
      <c r="I2615" s="3775"/>
      <c r="J2615" s="3071" t="str">
        <f>$C$1480</f>
        <v>353150_2019_12_</v>
      </c>
      <c r="K2615" s="2725">
        <v>17</v>
      </c>
      <c r="L2615" s="945"/>
      <c r="M2615" s="2718" t="s">
        <v>1510</v>
      </c>
      <c r="N2615" s="157"/>
      <c r="O2615" s="277"/>
      <c r="P2615" s="937"/>
      <c r="Q2615" s="937"/>
      <c r="R2615" s="937"/>
      <c r="S2615" s="924"/>
      <c r="T2615" s="1407"/>
      <c r="U2615" s="157"/>
      <c r="V2615" s="3589"/>
      <c r="W2615" s="766">
        <v>17</v>
      </c>
      <c r="X2615" s="766">
        <v>17</v>
      </c>
      <c r="Y2615" s="786">
        <v>17</v>
      </c>
      <c r="Z2615" s="781">
        <v>17</v>
      </c>
      <c r="AA2615" s="781">
        <v>17</v>
      </c>
      <c r="AB2615" s="2725">
        <v>17</v>
      </c>
      <c r="AC2615" s="766"/>
      <c r="AD2615" s="766"/>
      <c r="AE2615" s="766"/>
      <c r="AF2615" s="766"/>
      <c r="AG2615" s="766"/>
      <c r="BB2615" s="647"/>
      <c r="BC2615" s="648"/>
      <c r="BD2615" s="757"/>
      <c r="BE2615" s="659"/>
    </row>
    <row r="2616" spans="1:57" s="64" customFormat="1" ht="15" customHeight="1" outlineLevel="1" x14ac:dyDescent="0.25">
      <c r="A2616" s="2463"/>
      <c r="B2616" s="157"/>
      <c r="C2616" s="385"/>
      <c r="D2616" s="3589"/>
      <c r="E2616" s="3721"/>
      <c r="F2616" s="3773" t="str">
        <f>$E$1482</f>
        <v>ASHP - SEER 17 - replace electric furnace / CAC MF_CompE</v>
      </c>
      <c r="G2616" s="3774"/>
      <c r="H2616" s="3774"/>
      <c r="I2616" s="3775"/>
      <c r="J2616" s="3071" t="str">
        <f>$C$1482</f>
        <v>353151_2019_12_</v>
      </c>
      <c r="K2616" s="2725">
        <v>17</v>
      </c>
      <c r="L2616" s="945"/>
      <c r="M2616" s="2718"/>
      <c r="N2616" s="157"/>
      <c r="O2616" s="277"/>
      <c r="P2616" s="937"/>
      <c r="Q2616" s="937"/>
      <c r="R2616" s="937"/>
      <c r="S2616" s="924"/>
      <c r="T2616" s="1407"/>
      <c r="U2616" s="157"/>
      <c r="V2616" s="3589"/>
      <c r="W2616" s="766"/>
      <c r="X2616" s="766"/>
      <c r="Y2616" s="786">
        <v>17</v>
      </c>
      <c r="Z2616" s="781">
        <v>17</v>
      </c>
      <c r="AA2616" s="781">
        <v>17</v>
      </c>
      <c r="AB2616" s="2725">
        <v>17</v>
      </c>
      <c r="AC2616" s="766"/>
      <c r="AD2616" s="766"/>
      <c r="AE2616" s="766"/>
      <c r="AF2616" s="766"/>
      <c r="AG2616" s="766"/>
      <c r="BB2616" s="647"/>
      <c r="BC2616" s="648"/>
      <c r="BD2616" s="757"/>
      <c r="BE2616" s="659"/>
    </row>
    <row r="2617" spans="1:57" s="64" customFormat="1" ht="15" customHeight="1" outlineLevel="1" x14ac:dyDescent="0.25">
      <c r="A2617" s="2463"/>
      <c r="B2617" s="157"/>
      <c r="C2617" s="385"/>
      <c r="D2617" s="3589"/>
      <c r="E2617" s="3721"/>
      <c r="F2617" s="3773" t="str">
        <f>$E$1484</f>
        <v>ASHP - SEER 18 - replace electric furnace / CAC SF</v>
      </c>
      <c r="G2617" s="3774"/>
      <c r="H2617" s="3774"/>
      <c r="I2617" s="3775"/>
      <c r="J2617" s="3071" t="str">
        <f>$C$1484</f>
        <v>353200_2019_12_</v>
      </c>
      <c r="K2617" s="2725">
        <v>19</v>
      </c>
      <c r="L2617" s="945"/>
      <c r="M2617" s="2718" t="s">
        <v>3674</v>
      </c>
      <c r="N2617" s="157"/>
      <c r="O2617" s="277"/>
      <c r="P2617" s="937"/>
      <c r="Q2617" s="937"/>
      <c r="R2617" s="937"/>
      <c r="S2617" s="924"/>
      <c r="T2617" s="1407"/>
      <c r="U2617" s="157"/>
      <c r="V2617" s="3589"/>
      <c r="W2617" s="766">
        <v>18</v>
      </c>
      <c r="X2617" s="766">
        <v>18</v>
      </c>
      <c r="Y2617" s="786">
        <v>18</v>
      </c>
      <c r="Z2617" s="781">
        <v>18</v>
      </c>
      <c r="AA2617" s="781">
        <v>18</v>
      </c>
      <c r="AB2617" s="2658">
        <v>19</v>
      </c>
      <c r="AC2617" s="766"/>
      <c r="AD2617" s="766"/>
      <c r="AE2617" s="766"/>
      <c r="AF2617" s="766"/>
      <c r="AG2617" s="766"/>
      <c r="BB2617" s="647"/>
      <c r="BC2617" s="648"/>
      <c r="BD2617" s="757"/>
      <c r="BE2617" s="659"/>
    </row>
    <row r="2618" spans="1:57" s="64" customFormat="1" ht="15" customHeight="1" outlineLevel="1" x14ac:dyDescent="0.25">
      <c r="A2618" s="2463"/>
      <c r="B2618" s="157"/>
      <c r="C2618" s="385"/>
      <c r="D2618" s="3589"/>
      <c r="E2618" s="3721"/>
      <c r="F2618" s="3773" t="str">
        <f>$E$1486</f>
        <v>ASHP - SEER 18 - replace electric furnace / CAC MF</v>
      </c>
      <c r="G2618" s="3774"/>
      <c r="H2618" s="3774"/>
      <c r="I2618" s="3775"/>
      <c r="J2618" s="3071" t="str">
        <f>$C$1486</f>
        <v>353250_2019_12_</v>
      </c>
      <c r="K2618" s="2725">
        <v>19</v>
      </c>
      <c r="L2618" s="945"/>
      <c r="M2618" s="2718" t="s">
        <v>3674</v>
      </c>
      <c r="N2618" s="157"/>
      <c r="O2618" s="277"/>
      <c r="P2618" s="937"/>
      <c r="Q2618" s="937"/>
      <c r="R2618" s="937"/>
      <c r="S2618" s="924"/>
      <c r="T2618" s="1407"/>
      <c r="U2618" s="157"/>
      <c r="V2618" s="3589"/>
      <c r="W2618" s="766">
        <v>18</v>
      </c>
      <c r="X2618" s="766">
        <v>18</v>
      </c>
      <c r="Y2618" s="786">
        <v>18</v>
      </c>
      <c r="Z2618" s="781">
        <v>18</v>
      </c>
      <c r="AA2618" s="781">
        <v>18</v>
      </c>
      <c r="AB2618" s="2658">
        <v>19</v>
      </c>
      <c r="AC2618" s="766"/>
      <c r="AD2618" s="766"/>
      <c r="AE2618" s="766"/>
      <c r="AF2618" s="766"/>
      <c r="AG2618" s="766"/>
      <c r="BB2618" s="647"/>
      <c r="BC2618" s="648"/>
      <c r="BD2618" s="757"/>
      <c r="BE2618" s="659"/>
    </row>
    <row r="2619" spans="1:57" s="64" customFormat="1" ht="15" customHeight="1" outlineLevel="1" x14ac:dyDescent="0.25">
      <c r="A2619" s="2463"/>
      <c r="B2619" s="157"/>
      <c r="C2619" s="385"/>
      <c r="D2619" s="3589"/>
      <c r="E2619" s="3721"/>
      <c r="F2619" s="3773" t="str">
        <f>$E$1488</f>
        <v>ASHP - SEER 18 - replace electric furnace / CAC MF_CompE</v>
      </c>
      <c r="G2619" s="3774"/>
      <c r="H2619" s="3774"/>
      <c r="I2619" s="3775"/>
      <c r="J2619" s="3071" t="str">
        <f>$C$1488</f>
        <v>353251_2019_12_</v>
      </c>
      <c r="K2619" s="2725">
        <f>K2618</f>
        <v>19</v>
      </c>
      <c r="L2619" s="945"/>
      <c r="M2619" s="2718" t="s">
        <v>3652</v>
      </c>
      <c r="N2619" s="157"/>
      <c r="O2619" s="277"/>
      <c r="P2619" s="937"/>
      <c r="Q2619" s="937"/>
      <c r="R2619" s="937"/>
      <c r="S2619" s="924"/>
      <c r="T2619" s="1407"/>
      <c r="U2619" s="157"/>
      <c r="V2619" s="3589"/>
      <c r="W2619" s="766"/>
      <c r="X2619" s="766"/>
      <c r="Y2619" s="786">
        <v>18</v>
      </c>
      <c r="Z2619" s="781">
        <v>18</v>
      </c>
      <c r="AA2619" s="781">
        <v>18</v>
      </c>
      <c r="AB2619" s="2658">
        <v>19</v>
      </c>
      <c r="AC2619" s="766"/>
      <c r="AD2619" s="766"/>
      <c r="AE2619" s="766"/>
      <c r="AF2619" s="766"/>
      <c r="AG2619" s="766"/>
      <c r="BB2619" s="647"/>
      <c r="BC2619" s="648"/>
      <c r="BD2619" s="757"/>
      <c r="BE2619" s="659"/>
    </row>
    <row r="2620" spans="1:57" s="64" customFormat="1" ht="15" customHeight="1" outlineLevel="1" x14ac:dyDescent="0.25">
      <c r="A2620" s="2463"/>
      <c r="B2620" s="157"/>
      <c r="C2620" s="385"/>
      <c r="D2620" s="3589"/>
      <c r="E2620" s="3721"/>
      <c r="F2620" s="3773" t="str">
        <f>$E$1490</f>
        <v>ASHP - SEER 19 - replace electric furnace / CAC SF</v>
      </c>
      <c r="G2620" s="3774"/>
      <c r="H2620" s="3774"/>
      <c r="I2620" s="3775"/>
      <c r="J2620" s="3071" t="str">
        <f>$C$1490</f>
        <v>353300_2019_12_</v>
      </c>
      <c r="K2620" s="2725">
        <v>19</v>
      </c>
      <c r="L2620" s="945"/>
      <c r="M2620" s="2718" t="s">
        <v>1510</v>
      </c>
      <c r="N2620" s="157"/>
      <c r="O2620" s="277"/>
      <c r="P2620" s="937"/>
      <c r="Q2620" s="937"/>
      <c r="R2620" s="937"/>
      <c r="S2620" s="924"/>
      <c r="T2620" s="1407"/>
      <c r="U2620" s="157"/>
      <c r="V2620" s="3589"/>
      <c r="W2620" s="766">
        <v>19</v>
      </c>
      <c r="X2620" s="766">
        <v>19</v>
      </c>
      <c r="Y2620" s="786">
        <v>19</v>
      </c>
      <c r="Z2620" s="781">
        <v>19</v>
      </c>
      <c r="AA2620" s="781">
        <v>19</v>
      </c>
      <c r="AB2620" s="2725">
        <v>19</v>
      </c>
      <c r="AC2620" s="766"/>
      <c r="AD2620" s="766"/>
      <c r="AE2620" s="766"/>
      <c r="AF2620" s="766"/>
      <c r="AG2620" s="766"/>
      <c r="BB2620" s="647"/>
      <c r="BC2620" s="648"/>
      <c r="BD2620" s="757"/>
      <c r="BE2620" s="659"/>
    </row>
    <row r="2621" spans="1:57" s="64" customFormat="1" ht="15" customHeight="1" outlineLevel="1" x14ac:dyDescent="0.25">
      <c r="A2621" s="2463"/>
      <c r="B2621" s="157"/>
      <c r="C2621" s="385"/>
      <c r="D2621" s="3589"/>
      <c r="E2621" s="3721"/>
      <c r="F2621" s="3773" t="str">
        <f>$E$1492</f>
        <v>ASHP - SEER 19 - replace electric furnace / CAC MF</v>
      </c>
      <c r="G2621" s="3774"/>
      <c r="H2621" s="3774"/>
      <c r="I2621" s="3775"/>
      <c r="J2621" s="3071" t="str">
        <f>$C$1492</f>
        <v>353350_2019_12_</v>
      </c>
      <c r="K2621" s="2725">
        <v>19</v>
      </c>
      <c r="L2621" s="945"/>
      <c r="M2621" s="2718" t="s">
        <v>1510</v>
      </c>
      <c r="N2621" s="157"/>
      <c r="O2621" s="277"/>
      <c r="P2621" s="937"/>
      <c r="Q2621" s="937"/>
      <c r="R2621" s="937"/>
      <c r="S2621" s="924"/>
      <c r="T2621" s="1407"/>
      <c r="U2621" s="157"/>
      <c r="V2621" s="3589"/>
      <c r="W2621" s="766">
        <v>19</v>
      </c>
      <c r="X2621" s="766">
        <v>19</v>
      </c>
      <c r="Y2621" s="786">
        <v>19</v>
      </c>
      <c r="Z2621" s="781">
        <v>19</v>
      </c>
      <c r="AA2621" s="781">
        <v>19</v>
      </c>
      <c r="AB2621" s="2725">
        <v>19</v>
      </c>
      <c r="AC2621" s="766"/>
      <c r="AD2621" s="766"/>
      <c r="AE2621" s="766"/>
      <c r="AF2621" s="766"/>
      <c r="AG2621" s="766"/>
      <c r="BB2621" s="647"/>
      <c r="BC2621" s="648"/>
      <c r="BD2621" s="757"/>
      <c r="BE2621" s="659"/>
    </row>
    <row r="2622" spans="1:57" s="64" customFormat="1" ht="15" customHeight="1" outlineLevel="1" x14ac:dyDescent="0.25">
      <c r="A2622" s="2463"/>
      <c r="B2622" s="157"/>
      <c r="C2622" s="385"/>
      <c r="D2622" s="3589"/>
      <c r="E2622" s="3721"/>
      <c r="F2622" s="3773" t="str">
        <f>$E$1494</f>
        <v>ASHP - SEER 19 - replace electric furnace / CAC MF_CompE</v>
      </c>
      <c r="G2622" s="3774"/>
      <c r="H2622" s="3774"/>
      <c r="I2622" s="3775"/>
      <c r="J2622" s="3071" t="str">
        <f>$C$1494</f>
        <v>353351_2019_12_</v>
      </c>
      <c r="K2622" s="2725">
        <v>19</v>
      </c>
      <c r="L2622" s="945"/>
      <c r="M2622" s="2718"/>
      <c r="N2622" s="157"/>
      <c r="O2622" s="277"/>
      <c r="P2622" s="937"/>
      <c r="Q2622" s="937"/>
      <c r="R2622" s="937"/>
      <c r="S2622" s="924"/>
      <c r="T2622" s="1407"/>
      <c r="U2622" s="157"/>
      <c r="V2622" s="3589"/>
      <c r="W2622" s="766"/>
      <c r="X2622" s="766"/>
      <c r="Y2622" s="786">
        <v>19</v>
      </c>
      <c r="Z2622" s="781">
        <v>19</v>
      </c>
      <c r="AA2622" s="781">
        <v>19</v>
      </c>
      <c r="AB2622" s="2725">
        <v>19</v>
      </c>
      <c r="AC2622" s="766"/>
      <c r="AD2622" s="766"/>
      <c r="AE2622" s="766"/>
      <c r="AF2622" s="766"/>
      <c r="AG2622" s="766"/>
      <c r="BB2622" s="647"/>
      <c r="BC2622" s="648"/>
      <c r="BD2622" s="757"/>
      <c r="BE2622" s="659"/>
    </row>
    <row r="2623" spans="1:57" s="64" customFormat="1" ht="15" customHeight="1" outlineLevel="1" x14ac:dyDescent="0.25">
      <c r="A2623" s="2463"/>
      <c r="B2623" s="157"/>
      <c r="C2623" s="385"/>
      <c r="D2623" s="3589"/>
      <c r="E2623" s="3721"/>
      <c r="F2623" s="3773" t="str">
        <f>$E$1496</f>
        <v>ASHP - SEER 20 - replace electric furnace / CAC - early replacement SF ER1</v>
      </c>
      <c r="G2623" s="3774"/>
      <c r="H2623" s="3774"/>
      <c r="I2623" s="3775"/>
      <c r="J2623" s="3071" t="str">
        <f>$C$1496</f>
        <v>353400_2019_12_</v>
      </c>
      <c r="K2623" s="2725">
        <v>20</v>
      </c>
      <c r="L2623" s="945"/>
      <c r="M2623" s="2718" t="s">
        <v>1510</v>
      </c>
      <c r="N2623" s="157"/>
      <c r="O2623" s="277"/>
      <c r="P2623" s="937"/>
      <c r="Q2623" s="937"/>
      <c r="R2623" s="937"/>
      <c r="S2623" s="924"/>
      <c r="T2623" s="1407"/>
      <c r="U2623" s="157"/>
      <c r="V2623" s="3589"/>
      <c r="W2623" s="766">
        <v>20</v>
      </c>
      <c r="X2623" s="766">
        <v>20</v>
      </c>
      <c r="Y2623" s="781">
        <v>20</v>
      </c>
      <c r="Z2623" s="781">
        <v>20</v>
      </c>
      <c r="AA2623" s="781">
        <v>20</v>
      </c>
      <c r="AB2623" s="2725">
        <v>20</v>
      </c>
      <c r="AC2623" s="766"/>
      <c r="AD2623" s="766"/>
      <c r="AE2623" s="766"/>
      <c r="AF2623" s="766"/>
      <c r="AG2623" s="766"/>
      <c r="BB2623" s="647"/>
      <c r="BC2623" s="648"/>
      <c r="BD2623" s="757"/>
      <c r="BE2623" s="659"/>
    </row>
    <row r="2624" spans="1:57" s="64" customFormat="1" ht="15" customHeight="1" outlineLevel="1" x14ac:dyDescent="0.25">
      <c r="A2624" s="2463"/>
      <c r="B2624" s="157"/>
      <c r="C2624" s="385"/>
      <c r="D2624" s="3589"/>
      <c r="E2624" s="3721"/>
      <c r="F2624" s="3773" t="str">
        <f>$E$1498</f>
        <v>ASHP - SEER 20 - replace electric furnace / CAC - early replacement SF ER2</v>
      </c>
      <c r="G2624" s="3774"/>
      <c r="H2624" s="3774"/>
      <c r="I2624" s="3775"/>
      <c r="J2624" s="3071" t="str">
        <f>$C$1498</f>
        <v>353400_2019_12_</v>
      </c>
      <c r="K2624" s="2725">
        <v>20</v>
      </c>
      <c r="L2624" s="945"/>
      <c r="M2624" s="2718" t="s">
        <v>1510</v>
      </c>
      <c r="N2624" s="157"/>
      <c r="O2624" s="277"/>
      <c r="P2624" s="937"/>
      <c r="Q2624" s="937"/>
      <c r="R2624" s="937"/>
      <c r="S2624" s="924"/>
      <c r="T2624" s="1407"/>
      <c r="U2624" s="157"/>
      <c r="V2624" s="3589"/>
      <c r="W2624" s="766">
        <v>20</v>
      </c>
      <c r="X2624" s="766">
        <v>20</v>
      </c>
      <c r="Y2624" s="781">
        <v>20</v>
      </c>
      <c r="Z2624" s="781">
        <v>20</v>
      </c>
      <c r="AA2624" s="781">
        <v>20</v>
      </c>
      <c r="AB2624" s="2725">
        <v>20</v>
      </c>
      <c r="AC2624" s="766"/>
      <c r="AD2624" s="766"/>
      <c r="AE2624" s="766"/>
      <c r="AF2624" s="766"/>
      <c r="AG2624" s="766"/>
      <c r="BB2624" s="647"/>
      <c r="BC2624" s="648"/>
      <c r="BD2624" s="757"/>
      <c r="BE2624" s="659"/>
    </row>
    <row r="2625" spans="1:57" s="64" customFormat="1" ht="15" customHeight="1" outlineLevel="1" x14ac:dyDescent="0.25">
      <c r="A2625" s="2463"/>
      <c r="B2625" s="157"/>
      <c r="C2625" s="385"/>
      <c r="D2625" s="3589"/>
      <c r="E2625" s="3721"/>
      <c r="F2625" s="3773" t="str">
        <f>$E$1500</f>
        <v>ASHP - SEER 20 - replace electric furnace / CAC SF</v>
      </c>
      <c r="G2625" s="3774"/>
      <c r="H2625" s="3774"/>
      <c r="I2625" s="3775"/>
      <c r="J2625" s="3071" t="str">
        <f>$C$1500</f>
        <v>353450_2019_12_</v>
      </c>
      <c r="K2625" s="2725">
        <v>20</v>
      </c>
      <c r="L2625" s="945"/>
      <c r="M2625" s="2718" t="s">
        <v>1510</v>
      </c>
      <c r="N2625" s="157"/>
      <c r="O2625" s="277"/>
      <c r="P2625" s="937"/>
      <c r="Q2625" s="937"/>
      <c r="R2625" s="937"/>
      <c r="S2625" s="924"/>
      <c r="T2625" s="1407"/>
      <c r="U2625" s="157"/>
      <c r="V2625" s="3589"/>
      <c r="W2625" s="766">
        <v>20</v>
      </c>
      <c r="X2625" s="766">
        <v>20</v>
      </c>
      <c r="Y2625" s="781">
        <v>20</v>
      </c>
      <c r="Z2625" s="781">
        <v>20</v>
      </c>
      <c r="AA2625" s="781">
        <v>20</v>
      </c>
      <c r="AB2625" s="2725">
        <v>20</v>
      </c>
      <c r="AC2625" s="766"/>
      <c r="AD2625" s="766"/>
      <c r="AE2625" s="766"/>
      <c r="AF2625" s="766"/>
      <c r="AG2625" s="766"/>
      <c r="BB2625" s="647"/>
      <c r="BC2625" s="648"/>
      <c r="BD2625" s="757"/>
      <c r="BE2625" s="659"/>
    </row>
    <row r="2626" spans="1:57" s="64" customFormat="1" ht="15" customHeight="1" outlineLevel="1" x14ac:dyDescent="0.25">
      <c r="A2626" s="2463"/>
      <c r="B2626" s="157"/>
      <c r="C2626" s="385"/>
      <c r="D2626" s="3589"/>
      <c r="E2626" s="3721"/>
      <c r="F2626" s="3773" t="str">
        <f>$E$1502</f>
        <v>ASHP - SEER 20 - replace electric furnace / CAC MF</v>
      </c>
      <c r="G2626" s="3774"/>
      <c r="H2626" s="3774"/>
      <c r="I2626" s="3775"/>
      <c r="J2626" s="3071" t="str">
        <f>$C$1502</f>
        <v>353500_2019_12_</v>
      </c>
      <c r="K2626" s="2725">
        <v>20</v>
      </c>
      <c r="L2626" s="945"/>
      <c r="M2626" s="2718" t="s">
        <v>1510</v>
      </c>
      <c r="N2626" s="157"/>
      <c r="O2626" s="277"/>
      <c r="P2626" s="937"/>
      <c r="Q2626" s="937"/>
      <c r="R2626" s="937"/>
      <c r="S2626" s="924"/>
      <c r="T2626" s="1407"/>
      <c r="U2626" s="157"/>
      <c r="V2626" s="3589"/>
      <c r="W2626" s="766">
        <v>20</v>
      </c>
      <c r="X2626" s="766">
        <v>20</v>
      </c>
      <c r="Y2626" s="781">
        <v>20</v>
      </c>
      <c r="Z2626" s="781">
        <v>20</v>
      </c>
      <c r="AA2626" s="781">
        <v>20</v>
      </c>
      <c r="AB2626" s="2725">
        <v>20</v>
      </c>
      <c r="AC2626" s="766"/>
      <c r="AD2626" s="766"/>
      <c r="AE2626" s="766"/>
      <c r="AF2626" s="766"/>
      <c r="AG2626" s="766"/>
      <c r="BB2626" s="647"/>
      <c r="BC2626" s="648"/>
      <c r="BD2626" s="757"/>
      <c r="BE2626" s="659"/>
    </row>
    <row r="2627" spans="1:57" s="64" customFormat="1" ht="15" customHeight="1" outlineLevel="1" x14ac:dyDescent="0.25">
      <c r="A2627" s="2463"/>
      <c r="B2627" s="157"/>
      <c r="C2627" s="385"/>
      <c r="D2627" s="3589"/>
      <c r="E2627" s="3721"/>
      <c r="F2627" s="3773" t="str">
        <f>$E$1504</f>
        <v>ASHP - SEER 20 - replace electric furnace / CAC MF_CompE</v>
      </c>
      <c r="G2627" s="3774"/>
      <c r="H2627" s="3774"/>
      <c r="I2627" s="3775"/>
      <c r="J2627" s="3071" t="str">
        <f>$C$1504</f>
        <v>353501_2019_12_</v>
      </c>
      <c r="K2627" s="2725">
        <v>20</v>
      </c>
      <c r="L2627" s="945"/>
      <c r="M2627" s="2718"/>
      <c r="N2627" s="157"/>
      <c r="O2627" s="277"/>
      <c r="P2627" s="937"/>
      <c r="Q2627" s="937"/>
      <c r="R2627" s="937"/>
      <c r="S2627" s="924"/>
      <c r="T2627" s="1407"/>
      <c r="U2627" s="157"/>
      <c r="V2627" s="3589"/>
      <c r="W2627" s="766"/>
      <c r="X2627" s="766"/>
      <c r="Y2627" s="786">
        <v>20</v>
      </c>
      <c r="Z2627" s="781">
        <v>20</v>
      </c>
      <c r="AA2627" s="781">
        <v>20</v>
      </c>
      <c r="AB2627" s="2725">
        <v>20</v>
      </c>
      <c r="AC2627" s="766"/>
      <c r="AD2627" s="766"/>
      <c r="AE2627" s="766"/>
      <c r="AF2627" s="766"/>
      <c r="AG2627" s="766"/>
      <c r="BB2627" s="647"/>
      <c r="BC2627" s="648"/>
      <c r="BD2627" s="757"/>
      <c r="BE2627" s="659"/>
    </row>
    <row r="2628" spans="1:57" s="64" customFormat="1" ht="15" customHeight="1" outlineLevel="1" x14ac:dyDescent="0.25">
      <c r="A2628" s="2463"/>
      <c r="B2628" s="157"/>
      <c r="C2628" s="385"/>
      <c r="D2628" s="3589"/>
      <c r="E2628" s="3721"/>
      <c r="F2628" s="3773" t="str">
        <f>$E$1506</f>
        <v>ASHP - SEER 21 - replace electric furnace / CAC - early replacement SF ER1</v>
      </c>
      <c r="G2628" s="3774"/>
      <c r="H2628" s="3774"/>
      <c r="I2628" s="3775"/>
      <c r="J2628" s="3071" t="str">
        <f>$C$1506</f>
        <v>353550_2019_12_</v>
      </c>
      <c r="K2628" s="2725">
        <v>21</v>
      </c>
      <c r="L2628" s="945"/>
      <c r="M2628" s="2718" t="s">
        <v>1510</v>
      </c>
      <c r="N2628" s="157"/>
      <c r="O2628" s="277"/>
      <c r="P2628" s="937"/>
      <c r="Q2628" s="938"/>
      <c r="R2628" s="937"/>
      <c r="S2628" s="924"/>
      <c r="T2628" s="1407"/>
      <c r="U2628" s="157"/>
      <c r="V2628" s="3589"/>
      <c r="W2628" s="766">
        <v>21</v>
      </c>
      <c r="X2628" s="766">
        <v>21</v>
      </c>
      <c r="Y2628" s="781">
        <v>21</v>
      </c>
      <c r="Z2628" s="781">
        <v>21</v>
      </c>
      <c r="AA2628" s="781">
        <v>21</v>
      </c>
      <c r="AB2628" s="2725">
        <v>21</v>
      </c>
      <c r="AC2628" s="766"/>
      <c r="AD2628" s="766"/>
      <c r="AE2628" s="766"/>
      <c r="AF2628" s="766"/>
      <c r="AG2628" s="766"/>
      <c r="BB2628" s="647"/>
      <c r="BC2628" s="648"/>
      <c r="BD2628" s="757"/>
      <c r="BE2628" s="659"/>
    </row>
    <row r="2629" spans="1:57" s="64" customFormat="1" ht="15" customHeight="1" outlineLevel="1" x14ac:dyDescent="0.25">
      <c r="A2629" s="2463"/>
      <c r="B2629" s="157"/>
      <c r="C2629" s="385"/>
      <c r="D2629" s="3589"/>
      <c r="E2629" s="3721"/>
      <c r="F2629" s="3773" t="str">
        <f>$E$1508</f>
        <v>ASHP - SEER 21 - replace electric furnace / CAC - early replacement SF ER2</v>
      </c>
      <c r="G2629" s="3774"/>
      <c r="H2629" s="3774"/>
      <c r="I2629" s="3775"/>
      <c r="J2629" s="3071" t="str">
        <f>$C$1508</f>
        <v>353550_2019_12_</v>
      </c>
      <c r="K2629" s="2725">
        <v>21</v>
      </c>
      <c r="L2629" s="945"/>
      <c r="M2629" s="2718" t="s">
        <v>1510</v>
      </c>
      <c r="N2629" s="157"/>
      <c r="O2629" s="277"/>
      <c r="P2629" s="937"/>
      <c r="Q2629" s="938"/>
      <c r="R2629" s="937"/>
      <c r="S2629" s="924"/>
      <c r="T2629" s="1407"/>
      <c r="U2629" s="157"/>
      <c r="V2629" s="3589"/>
      <c r="W2629" s="766">
        <v>21</v>
      </c>
      <c r="X2629" s="766">
        <v>21</v>
      </c>
      <c r="Y2629" s="781">
        <v>21</v>
      </c>
      <c r="Z2629" s="781">
        <v>21</v>
      </c>
      <c r="AA2629" s="781">
        <v>21</v>
      </c>
      <c r="AB2629" s="2725">
        <v>21</v>
      </c>
      <c r="AC2629" s="766"/>
      <c r="AD2629" s="766"/>
      <c r="AE2629" s="766"/>
      <c r="AF2629" s="766"/>
      <c r="AG2629" s="766"/>
      <c r="BB2629" s="647"/>
      <c r="BC2629" s="648"/>
      <c r="BD2629" s="757"/>
      <c r="BE2629" s="659"/>
    </row>
    <row r="2630" spans="1:57" s="64" customFormat="1" ht="15" customHeight="1" outlineLevel="1" x14ac:dyDescent="0.25">
      <c r="A2630" s="2463"/>
      <c r="B2630" s="157"/>
      <c r="C2630" s="385"/>
      <c r="D2630" s="3589"/>
      <c r="E2630" s="3721"/>
      <c r="F2630" s="3773" t="str">
        <f>$E$1510</f>
        <v>ASHP - SEER 21 - replace electric furnace / CAC - early replacement MF ER1</v>
      </c>
      <c r="G2630" s="3774"/>
      <c r="H2630" s="3774"/>
      <c r="I2630" s="3775"/>
      <c r="J2630" s="3071" t="str">
        <f>$C$1510</f>
        <v>353600_2019_12_</v>
      </c>
      <c r="K2630" s="2725">
        <v>21</v>
      </c>
      <c r="L2630" s="945"/>
      <c r="M2630" s="2718" t="s">
        <v>1510</v>
      </c>
      <c r="N2630" s="157"/>
      <c r="O2630" s="277"/>
      <c r="P2630" s="937"/>
      <c r="Q2630" s="938"/>
      <c r="R2630" s="937"/>
      <c r="S2630" s="924"/>
      <c r="T2630" s="1407"/>
      <c r="U2630" s="157"/>
      <c r="V2630" s="3589"/>
      <c r="W2630" s="766">
        <v>21</v>
      </c>
      <c r="X2630" s="766">
        <v>21</v>
      </c>
      <c r="Y2630" s="781">
        <v>21</v>
      </c>
      <c r="Z2630" s="781">
        <v>21</v>
      </c>
      <c r="AA2630" s="781">
        <v>21</v>
      </c>
      <c r="AB2630" s="2725">
        <v>21</v>
      </c>
      <c r="AC2630" s="766"/>
      <c r="AD2630" s="766"/>
      <c r="AE2630" s="766"/>
      <c r="AF2630" s="766"/>
      <c r="AG2630" s="766"/>
      <c r="BB2630" s="647"/>
      <c r="BC2630" s="648"/>
      <c r="BD2630" s="757"/>
      <c r="BE2630" s="659"/>
    </row>
    <row r="2631" spans="1:57" s="64" customFormat="1" ht="15" customHeight="1" outlineLevel="1" x14ac:dyDescent="0.25">
      <c r="A2631" s="2463"/>
      <c r="B2631" s="157"/>
      <c r="C2631" s="385"/>
      <c r="D2631" s="3589"/>
      <c r="E2631" s="3721"/>
      <c r="F2631" s="3773" t="str">
        <f>$E$1512</f>
        <v>ASHP - SEER 21 - replace electric furnace / CAC - early replacement MF ER2</v>
      </c>
      <c r="G2631" s="3774"/>
      <c r="H2631" s="3774"/>
      <c r="I2631" s="3775"/>
      <c r="J2631" s="3071" t="str">
        <f>$C$1512</f>
        <v>353600_2019_12_</v>
      </c>
      <c r="K2631" s="2725">
        <v>21</v>
      </c>
      <c r="L2631" s="945"/>
      <c r="M2631" s="2718" t="s">
        <v>1510</v>
      </c>
      <c r="N2631" s="157"/>
      <c r="O2631" s="277"/>
      <c r="P2631" s="937"/>
      <c r="Q2631" s="938"/>
      <c r="R2631" s="937"/>
      <c r="S2631" s="924"/>
      <c r="T2631" s="1407"/>
      <c r="U2631" s="157"/>
      <c r="V2631" s="3589"/>
      <c r="W2631" s="766">
        <v>21</v>
      </c>
      <c r="X2631" s="766">
        <v>21</v>
      </c>
      <c r="Y2631" s="781">
        <v>21</v>
      </c>
      <c r="Z2631" s="781">
        <v>21</v>
      </c>
      <c r="AA2631" s="781">
        <v>21</v>
      </c>
      <c r="AB2631" s="2725">
        <v>21</v>
      </c>
      <c r="AC2631" s="766"/>
      <c r="AD2631" s="766"/>
      <c r="AE2631" s="766"/>
      <c r="AF2631" s="766"/>
      <c r="AG2631" s="766"/>
      <c r="BB2631" s="647"/>
      <c r="BC2631" s="648"/>
      <c r="BD2631" s="757"/>
      <c r="BE2631" s="659"/>
    </row>
    <row r="2632" spans="1:57" s="64" customFormat="1" ht="15" customHeight="1" outlineLevel="1" x14ac:dyDescent="0.25">
      <c r="A2632" s="2463"/>
      <c r="B2632" s="157"/>
      <c r="C2632" s="385"/>
      <c r="D2632" s="3589"/>
      <c r="E2632" s="3721"/>
      <c r="F2632" s="3773" t="str">
        <f>$E$1514</f>
        <v>ASHP - SEER 21 - replace electric furnace / CAC - early replacement MF ER1_CompE</v>
      </c>
      <c r="G2632" s="3774"/>
      <c r="H2632" s="3774"/>
      <c r="I2632" s="3775"/>
      <c r="J2632" s="3071" t="str">
        <f>$C$1514</f>
        <v>353601_2019_12_</v>
      </c>
      <c r="K2632" s="2725">
        <v>21</v>
      </c>
      <c r="L2632" s="945"/>
      <c r="M2632" s="2718"/>
      <c r="N2632" s="157"/>
      <c r="O2632" s="277"/>
      <c r="P2632" s="937"/>
      <c r="Q2632" s="938"/>
      <c r="R2632" s="937"/>
      <c r="S2632" s="924"/>
      <c r="T2632" s="1407"/>
      <c r="U2632" s="157"/>
      <c r="V2632" s="3589"/>
      <c r="W2632" s="766"/>
      <c r="X2632" s="766"/>
      <c r="Y2632" s="786">
        <v>21</v>
      </c>
      <c r="Z2632" s="781">
        <v>21</v>
      </c>
      <c r="AA2632" s="781">
        <v>21</v>
      </c>
      <c r="AB2632" s="2725">
        <v>21</v>
      </c>
      <c r="AC2632" s="766"/>
      <c r="AD2632" s="766"/>
      <c r="AE2632" s="766"/>
      <c r="AF2632" s="766"/>
      <c r="AG2632" s="766"/>
      <c r="BB2632" s="647"/>
      <c r="BC2632" s="648"/>
      <c r="BD2632" s="757"/>
      <c r="BE2632" s="659"/>
    </row>
    <row r="2633" spans="1:57" s="64" customFormat="1" ht="15" customHeight="1" outlineLevel="1" x14ac:dyDescent="0.25">
      <c r="A2633" s="2463"/>
      <c r="B2633" s="157"/>
      <c r="C2633" s="385"/>
      <c r="D2633" s="3589"/>
      <c r="E2633" s="3721"/>
      <c r="F2633" s="3773" t="str">
        <f>$E$1516</f>
        <v>ASHP - SEER 21 - replace electric furnace / CAC - early replacement MF ER2_CompE</v>
      </c>
      <c r="G2633" s="3774"/>
      <c r="H2633" s="3774"/>
      <c r="I2633" s="3775"/>
      <c r="J2633" s="3071" t="str">
        <f>$C$1516</f>
        <v>353601_2019_12_</v>
      </c>
      <c r="K2633" s="2725">
        <v>21</v>
      </c>
      <c r="L2633" s="945"/>
      <c r="M2633" s="2718"/>
      <c r="N2633" s="157"/>
      <c r="O2633" s="277"/>
      <c r="P2633" s="937"/>
      <c r="Q2633" s="938"/>
      <c r="R2633" s="937"/>
      <c r="S2633" s="924"/>
      <c r="T2633" s="1407"/>
      <c r="U2633" s="157"/>
      <c r="V2633" s="3589"/>
      <c r="W2633" s="766"/>
      <c r="X2633" s="766"/>
      <c r="Y2633" s="786">
        <v>21</v>
      </c>
      <c r="Z2633" s="781">
        <v>21</v>
      </c>
      <c r="AA2633" s="781">
        <v>21</v>
      </c>
      <c r="AB2633" s="2725">
        <v>21</v>
      </c>
      <c r="AC2633" s="766"/>
      <c r="AD2633" s="766"/>
      <c r="AE2633" s="766"/>
      <c r="AF2633" s="766"/>
      <c r="AG2633" s="766"/>
      <c r="BB2633" s="647"/>
      <c r="BC2633" s="648"/>
      <c r="BD2633" s="757"/>
      <c r="BE2633" s="659"/>
    </row>
    <row r="2634" spans="1:57" s="64" customFormat="1" ht="15" customHeight="1" outlineLevel="1" x14ac:dyDescent="0.25">
      <c r="A2634" s="2463"/>
      <c r="B2634" s="157"/>
      <c r="C2634" s="385"/>
      <c r="D2634" s="3589"/>
      <c r="E2634" s="3721"/>
      <c r="F2634" s="3773" t="str">
        <f>$E$1518</f>
        <v>ASHP - SEER 21 - replace electric furnace / CAC SF</v>
      </c>
      <c r="G2634" s="3774"/>
      <c r="H2634" s="3774"/>
      <c r="I2634" s="3775"/>
      <c r="J2634" s="3071" t="str">
        <f>$C$1518</f>
        <v>353650_2019_12_</v>
      </c>
      <c r="K2634" s="2725">
        <v>21</v>
      </c>
      <c r="L2634" s="945"/>
      <c r="M2634" s="2718" t="s">
        <v>1510</v>
      </c>
      <c r="N2634" s="157"/>
      <c r="O2634" s="277"/>
      <c r="P2634" s="937"/>
      <c r="Q2634" s="938"/>
      <c r="R2634" s="937"/>
      <c r="S2634" s="924"/>
      <c r="T2634" s="1407"/>
      <c r="U2634" s="157"/>
      <c r="V2634" s="3589"/>
      <c r="W2634" s="766">
        <v>21</v>
      </c>
      <c r="X2634" s="766">
        <v>21</v>
      </c>
      <c r="Y2634" s="781">
        <v>21</v>
      </c>
      <c r="Z2634" s="781">
        <v>21</v>
      </c>
      <c r="AA2634" s="781">
        <v>21</v>
      </c>
      <c r="AB2634" s="2725">
        <v>21</v>
      </c>
      <c r="AC2634" s="766"/>
      <c r="AD2634" s="766"/>
      <c r="AE2634" s="766"/>
      <c r="AF2634" s="766"/>
      <c r="AG2634" s="766"/>
      <c r="BB2634" s="647"/>
      <c r="BC2634" s="648"/>
      <c r="BD2634" s="757"/>
      <c r="BE2634" s="659"/>
    </row>
    <row r="2635" spans="1:57" s="64" customFormat="1" ht="15" customHeight="1" outlineLevel="1" x14ac:dyDescent="0.25">
      <c r="A2635" s="2463"/>
      <c r="B2635" s="157"/>
      <c r="C2635" s="385"/>
      <c r="D2635" s="3589"/>
      <c r="E2635" s="3721"/>
      <c r="F2635" s="3773" t="str">
        <f>$E$1520</f>
        <v>ASHP-  SEER 21+ replace at Fail Elec Resist Furnace MF</v>
      </c>
      <c r="G2635" s="3774"/>
      <c r="H2635" s="3774"/>
      <c r="I2635" s="3775"/>
      <c r="J2635" s="3071" t="str">
        <f>$C$1520</f>
        <v>353700_2019_12_</v>
      </c>
      <c r="K2635" s="2725">
        <v>21</v>
      </c>
      <c r="L2635" s="945"/>
      <c r="M2635" s="2718" t="s">
        <v>1510</v>
      </c>
      <c r="N2635" s="157"/>
      <c r="O2635" s="277"/>
      <c r="P2635" s="937"/>
      <c r="Q2635" s="938"/>
      <c r="R2635" s="937"/>
      <c r="S2635" s="924"/>
      <c r="T2635" s="1407"/>
      <c r="U2635" s="157"/>
      <c r="V2635" s="3589"/>
      <c r="W2635" s="766">
        <v>21</v>
      </c>
      <c r="X2635" s="766">
        <v>21</v>
      </c>
      <c r="Y2635" s="781">
        <v>21</v>
      </c>
      <c r="Z2635" s="781">
        <v>21</v>
      </c>
      <c r="AA2635" s="781">
        <v>21</v>
      </c>
      <c r="AB2635" s="2725">
        <v>21</v>
      </c>
      <c r="AC2635" s="766"/>
      <c r="AD2635" s="766"/>
      <c r="AE2635" s="766"/>
      <c r="AF2635" s="766"/>
      <c r="AG2635" s="766"/>
      <c r="BB2635" s="647"/>
      <c r="BC2635" s="648"/>
      <c r="BD2635" s="757"/>
      <c r="BE2635" s="659"/>
    </row>
    <row r="2636" spans="1:57" s="64" customFormat="1" ht="15" customHeight="1" outlineLevel="1" x14ac:dyDescent="0.25">
      <c r="A2636" s="2463"/>
      <c r="B2636" s="157"/>
      <c r="C2636" s="385"/>
      <c r="D2636" s="3589"/>
      <c r="E2636" s="3721"/>
      <c r="F2636" s="3773" t="str">
        <f>$E$1522</f>
        <v>ASHP-  SEER 21+ replace at Fail Elec Resist Furnace MF_CompE</v>
      </c>
      <c r="G2636" s="3774"/>
      <c r="H2636" s="3774"/>
      <c r="I2636" s="3775"/>
      <c r="J2636" s="3071" t="str">
        <f>$C$1522</f>
        <v>353701_2019_12_</v>
      </c>
      <c r="K2636" s="2725">
        <v>21</v>
      </c>
      <c r="L2636" s="945"/>
      <c r="M2636" s="2718"/>
      <c r="N2636" s="157"/>
      <c r="O2636" s="277"/>
      <c r="P2636" s="937"/>
      <c r="Q2636" s="938"/>
      <c r="R2636" s="937"/>
      <c r="S2636" s="924"/>
      <c r="T2636" s="1407"/>
      <c r="U2636" s="157"/>
      <c r="V2636" s="3589"/>
      <c r="W2636" s="766"/>
      <c r="X2636" s="766"/>
      <c r="Y2636" s="786">
        <v>21</v>
      </c>
      <c r="Z2636" s="781">
        <v>21</v>
      </c>
      <c r="AA2636" s="781">
        <v>21</v>
      </c>
      <c r="AB2636" s="2725">
        <v>21</v>
      </c>
      <c r="AC2636" s="766"/>
      <c r="AD2636" s="766"/>
      <c r="AE2636" s="766"/>
      <c r="AF2636" s="766"/>
      <c r="AG2636" s="766"/>
      <c r="BB2636" s="647"/>
      <c r="BC2636" s="648"/>
      <c r="BD2636" s="757"/>
      <c r="BE2636" s="659"/>
    </row>
    <row r="2637" spans="1:57" s="64" customFormat="1" ht="15" customHeight="1" outlineLevel="1" x14ac:dyDescent="0.25">
      <c r="A2637" s="1393"/>
      <c r="B2637" s="157"/>
      <c r="C2637" s="385"/>
      <c r="D2637" s="3589"/>
      <c r="E2637" s="3721"/>
      <c r="F2637" s="3773" t="str">
        <f>$E$1524</f>
        <v>ASHP SEER 17 replace ASHP - early replacement SF ER1</v>
      </c>
      <c r="G2637" s="3774"/>
      <c r="H2637" s="3774"/>
      <c r="I2637" s="3775"/>
      <c r="J2637" s="3071" t="str">
        <f>$C$1524</f>
        <v>353750_2019_12_</v>
      </c>
      <c r="K2637" s="2725">
        <v>17</v>
      </c>
      <c r="L2637" s="945"/>
      <c r="M2637" s="2718" t="s">
        <v>1510</v>
      </c>
      <c r="N2637" s="157"/>
      <c r="O2637" s="277"/>
      <c r="P2637" s="277"/>
      <c r="Q2637" s="277"/>
      <c r="R2637" s="277"/>
      <c r="S2637" s="157"/>
      <c r="T2637" s="157"/>
      <c r="U2637" s="157"/>
      <c r="V2637" s="3589"/>
      <c r="W2637" s="766">
        <v>17</v>
      </c>
      <c r="X2637" s="766">
        <v>17</v>
      </c>
      <c r="Y2637" s="781">
        <v>17</v>
      </c>
      <c r="Z2637" s="781">
        <v>17</v>
      </c>
      <c r="AA2637" s="781">
        <v>17</v>
      </c>
      <c r="AB2637" s="2725">
        <v>17</v>
      </c>
      <c r="AC2637" s="766"/>
      <c r="AD2637" s="766"/>
      <c r="AE2637" s="766"/>
      <c r="AF2637" s="766"/>
      <c r="AG2637" s="766"/>
      <c r="BB2637" s="647"/>
      <c r="BC2637" s="648"/>
      <c r="BD2637" s="757"/>
      <c r="BE2637" s="659"/>
    </row>
    <row r="2638" spans="1:57" s="64" customFormat="1" ht="15" customHeight="1" outlineLevel="1" x14ac:dyDescent="0.25">
      <c r="A2638" s="2463"/>
      <c r="B2638" s="157"/>
      <c r="C2638" s="385"/>
      <c r="D2638" s="3589"/>
      <c r="E2638" s="3721"/>
      <c r="F2638" s="3773" t="str">
        <f>$E$1526</f>
        <v>ASHP SEER 17 replace ASHP - early replacement SF ER2</v>
      </c>
      <c r="G2638" s="3774"/>
      <c r="H2638" s="3774"/>
      <c r="I2638" s="3775"/>
      <c r="J2638" s="3071" t="str">
        <f>$C$1526</f>
        <v>353750_2019_12_</v>
      </c>
      <c r="K2638" s="2725">
        <v>17</v>
      </c>
      <c r="L2638" s="945"/>
      <c r="M2638" s="2718" t="s">
        <v>1510</v>
      </c>
      <c r="N2638" s="157"/>
      <c r="O2638" s="277"/>
      <c r="P2638" s="937"/>
      <c r="Q2638" s="938"/>
      <c r="R2638" s="937"/>
      <c r="S2638" s="924"/>
      <c r="T2638" s="1407"/>
      <c r="U2638" s="157"/>
      <c r="V2638" s="3589"/>
      <c r="W2638" s="766">
        <v>17</v>
      </c>
      <c r="X2638" s="766">
        <v>17</v>
      </c>
      <c r="Y2638" s="781">
        <v>17</v>
      </c>
      <c r="Z2638" s="781">
        <v>17</v>
      </c>
      <c r="AA2638" s="781">
        <v>17</v>
      </c>
      <c r="AB2638" s="2725">
        <v>17</v>
      </c>
      <c r="AC2638" s="766"/>
      <c r="AD2638" s="766"/>
      <c r="AE2638" s="766"/>
      <c r="AF2638" s="766"/>
      <c r="AG2638" s="766"/>
      <c r="BB2638" s="647"/>
      <c r="BC2638" s="648"/>
      <c r="BD2638" s="757"/>
      <c r="BE2638" s="659"/>
    </row>
    <row r="2639" spans="1:57" s="64" customFormat="1" ht="15" customHeight="1" outlineLevel="1" x14ac:dyDescent="0.25">
      <c r="A2639" s="1393"/>
      <c r="B2639" s="157"/>
      <c r="C2639" s="385"/>
      <c r="D2639" s="3589"/>
      <c r="E2639" s="3721"/>
      <c r="F2639" s="3773" t="str">
        <f>$E$1528</f>
        <v>ASHP SEER 17 replace ASHP - replace on fail SF</v>
      </c>
      <c r="G2639" s="3774"/>
      <c r="H2639" s="3774"/>
      <c r="I2639" s="3775"/>
      <c r="J2639" s="3071" t="str">
        <f>$C$1528</f>
        <v>353800_2019_12_</v>
      </c>
      <c r="K2639" s="2725">
        <v>17</v>
      </c>
      <c r="L2639" s="945"/>
      <c r="M2639" s="2718" t="s">
        <v>1510</v>
      </c>
      <c r="N2639" s="157"/>
      <c r="O2639" s="277"/>
      <c r="P2639" s="277"/>
      <c r="Q2639" s="277"/>
      <c r="R2639" s="277"/>
      <c r="S2639" s="157"/>
      <c r="T2639" s="157"/>
      <c r="U2639" s="157"/>
      <c r="V2639" s="3589"/>
      <c r="W2639" s="766">
        <v>17</v>
      </c>
      <c r="X2639" s="766">
        <v>17</v>
      </c>
      <c r="Y2639" s="781">
        <v>17</v>
      </c>
      <c r="Z2639" s="781">
        <v>17</v>
      </c>
      <c r="AA2639" s="781">
        <v>17</v>
      </c>
      <c r="AB2639" s="2725">
        <v>17</v>
      </c>
      <c r="AC2639" s="766"/>
      <c r="AD2639" s="766"/>
      <c r="AE2639" s="766"/>
      <c r="AF2639" s="766"/>
      <c r="AG2639" s="766"/>
      <c r="BB2639" s="647"/>
      <c r="BC2639" s="648"/>
      <c r="BD2639" s="757"/>
      <c r="BE2639" s="659"/>
    </row>
    <row r="2640" spans="1:57" s="64" customFormat="1" ht="15" customHeight="1" outlineLevel="1" x14ac:dyDescent="0.25">
      <c r="A2640" s="2463"/>
      <c r="B2640" s="157"/>
      <c r="C2640" s="385"/>
      <c r="D2640" s="3589"/>
      <c r="E2640" s="3721"/>
      <c r="F2640" s="3773" t="str">
        <f>$E$1530</f>
        <v>ASHP SEER 18 replace ASHP - early replacement SF ER1</v>
      </c>
      <c r="G2640" s="3774"/>
      <c r="H2640" s="3774"/>
      <c r="I2640" s="3775"/>
      <c r="J2640" s="3071" t="str">
        <f>$C$1530</f>
        <v>353850_2019_12_</v>
      </c>
      <c r="K2640" s="2725">
        <v>18.991935483870968</v>
      </c>
      <c r="L2640" s="945"/>
      <c r="M2640" s="2718" t="s">
        <v>3674</v>
      </c>
      <c r="N2640" s="157"/>
      <c r="O2640" s="277"/>
      <c r="P2640" s="937"/>
      <c r="Q2640" s="938"/>
      <c r="R2640" s="937"/>
      <c r="S2640" s="924"/>
      <c r="T2640" s="1407"/>
      <c r="U2640" s="157"/>
      <c r="V2640" s="3589"/>
      <c r="W2640" s="766">
        <v>18</v>
      </c>
      <c r="X2640" s="766">
        <v>18</v>
      </c>
      <c r="Y2640" s="781">
        <v>18</v>
      </c>
      <c r="Z2640" s="781">
        <v>18</v>
      </c>
      <c r="AA2640" s="781">
        <v>18</v>
      </c>
      <c r="AB2640" s="2658">
        <v>18.991935483870968</v>
      </c>
      <c r="AC2640" s="766"/>
      <c r="AD2640" s="766"/>
      <c r="AE2640" s="766"/>
      <c r="AF2640" s="766"/>
      <c r="AG2640" s="766"/>
      <c r="BB2640" s="647"/>
      <c r="BC2640" s="648"/>
      <c r="BD2640" s="757"/>
      <c r="BE2640" s="659"/>
    </row>
    <row r="2641" spans="1:57" s="64" customFormat="1" ht="15" customHeight="1" outlineLevel="1" x14ac:dyDescent="0.25">
      <c r="A2641" s="1393"/>
      <c r="B2641" s="157"/>
      <c r="C2641" s="385"/>
      <c r="D2641" s="3589"/>
      <c r="E2641" s="3721"/>
      <c r="F2641" s="3773" t="str">
        <f>$E$1532</f>
        <v>ASHP SEER 18 replace ASHP - early replacement SF ER2</v>
      </c>
      <c r="G2641" s="3774"/>
      <c r="H2641" s="3774"/>
      <c r="I2641" s="3775"/>
      <c r="J2641" s="3071" t="str">
        <f>$C$1532</f>
        <v>353850_2019_12_</v>
      </c>
      <c r="K2641" s="2725">
        <v>18.991935483870968</v>
      </c>
      <c r="L2641" s="945"/>
      <c r="M2641" s="2718" t="s">
        <v>3674</v>
      </c>
      <c r="N2641" s="157"/>
      <c r="O2641" s="277"/>
      <c r="P2641" s="277"/>
      <c r="Q2641" s="277"/>
      <c r="R2641" s="277"/>
      <c r="S2641" s="157"/>
      <c r="T2641" s="157"/>
      <c r="U2641" s="157"/>
      <c r="V2641" s="3589"/>
      <c r="W2641" s="766">
        <v>18</v>
      </c>
      <c r="X2641" s="766">
        <v>18</v>
      </c>
      <c r="Y2641" s="781">
        <v>18</v>
      </c>
      <c r="Z2641" s="781">
        <v>18</v>
      </c>
      <c r="AA2641" s="781">
        <v>18</v>
      </c>
      <c r="AB2641" s="2658">
        <v>18.991935483870968</v>
      </c>
      <c r="AC2641" s="766"/>
      <c r="AD2641" s="766"/>
      <c r="AE2641" s="766"/>
      <c r="AF2641" s="766"/>
      <c r="AG2641" s="766"/>
      <c r="BB2641" s="647"/>
      <c r="BC2641" s="648"/>
      <c r="BD2641" s="757"/>
      <c r="BE2641" s="659"/>
    </row>
    <row r="2642" spans="1:57" s="64" customFormat="1" ht="15" customHeight="1" outlineLevel="1" x14ac:dyDescent="0.25">
      <c r="A2642" s="2463"/>
      <c r="B2642" s="157"/>
      <c r="C2642" s="385"/>
      <c r="D2642" s="3589"/>
      <c r="E2642" s="3721"/>
      <c r="F2642" s="3773" t="str">
        <f>$E$1534</f>
        <v>ASHP - SEER 18 - replace on fail SF</v>
      </c>
      <c r="G2642" s="3774"/>
      <c r="H2642" s="3774"/>
      <c r="I2642" s="3775"/>
      <c r="J2642" s="3071" t="str">
        <f>$C$1534</f>
        <v>353950_2019_12_</v>
      </c>
      <c r="K2642" s="2725">
        <v>18</v>
      </c>
      <c r="L2642" s="945"/>
      <c r="M2642" s="2718" t="s">
        <v>1510</v>
      </c>
      <c r="N2642" s="157"/>
      <c r="O2642" s="277"/>
      <c r="P2642" s="937"/>
      <c r="Q2642" s="938"/>
      <c r="R2642" s="937"/>
      <c r="S2642" s="924"/>
      <c r="T2642" s="1407"/>
      <c r="U2642" s="157"/>
      <c r="V2642" s="3589"/>
      <c r="W2642" s="766">
        <v>18</v>
      </c>
      <c r="X2642" s="766">
        <v>18</v>
      </c>
      <c r="Y2642" s="781">
        <v>18</v>
      </c>
      <c r="Z2642" s="781">
        <v>18</v>
      </c>
      <c r="AA2642" s="781">
        <v>18</v>
      </c>
      <c r="AB2642" s="2725">
        <v>18</v>
      </c>
      <c r="AC2642" s="766"/>
      <c r="AD2642" s="766"/>
      <c r="AE2642" s="766"/>
      <c r="AF2642" s="766"/>
      <c r="AG2642" s="766"/>
      <c r="BB2642" s="647"/>
      <c r="BC2642" s="648"/>
      <c r="BD2642" s="757"/>
      <c r="BE2642" s="659"/>
    </row>
    <row r="2643" spans="1:57" s="64" customFormat="1" ht="15" customHeight="1" outlineLevel="1" x14ac:dyDescent="0.25">
      <c r="A2643" s="2463"/>
      <c r="B2643" s="157"/>
      <c r="C2643" s="385"/>
      <c r="D2643" s="3589"/>
      <c r="E2643" s="3721"/>
      <c r="F2643" s="3773" t="str">
        <f>$E$1536</f>
        <v>ASHP SEER 19 replace ASHP - early replacement SF ER1</v>
      </c>
      <c r="G2643" s="3774"/>
      <c r="H2643" s="3774"/>
      <c r="I2643" s="3775"/>
      <c r="J2643" s="3071" t="str">
        <f>$C$1536</f>
        <v>354000_2019_12_</v>
      </c>
      <c r="K2643" s="2725">
        <v>19</v>
      </c>
      <c r="L2643" s="945"/>
      <c r="M2643" s="2718" t="s">
        <v>1510</v>
      </c>
      <c r="N2643" s="157"/>
      <c r="O2643" s="277"/>
      <c r="P2643" s="937"/>
      <c r="Q2643" s="938"/>
      <c r="R2643" s="937"/>
      <c r="S2643" s="924"/>
      <c r="T2643" s="1407"/>
      <c r="U2643" s="157"/>
      <c r="V2643" s="3589"/>
      <c r="W2643" s="766">
        <v>19</v>
      </c>
      <c r="X2643" s="766">
        <v>19</v>
      </c>
      <c r="Y2643" s="781">
        <v>19</v>
      </c>
      <c r="Z2643" s="781">
        <v>19</v>
      </c>
      <c r="AA2643" s="781">
        <v>19</v>
      </c>
      <c r="AB2643" s="2725">
        <v>19</v>
      </c>
      <c r="AC2643" s="766"/>
      <c r="AD2643" s="766"/>
      <c r="AE2643" s="766"/>
      <c r="AF2643" s="766"/>
      <c r="AG2643" s="766"/>
      <c r="BB2643" s="647"/>
      <c r="BC2643" s="648"/>
      <c r="BD2643" s="757"/>
      <c r="BE2643" s="659"/>
    </row>
    <row r="2644" spans="1:57" s="64" customFormat="1" ht="15" customHeight="1" outlineLevel="1" x14ac:dyDescent="0.25">
      <c r="A2644" s="1393"/>
      <c r="B2644" s="157"/>
      <c r="C2644" s="385"/>
      <c r="D2644" s="3589"/>
      <c r="E2644" s="3721"/>
      <c r="F2644" s="3773" t="str">
        <f>$E$1538</f>
        <v>ASHP SEER 19 replace ASHP - early replacement SF ER2</v>
      </c>
      <c r="G2644" s="3774"/>
      <c r="H2644" s="3774"/>
      <c r="I2644" s="3775"/>
      <c r="J2644" s="3071" t="str">
        <f>$C$1538</f>
        <v>354000_2019_12_</v>
      </c>
      <c r="K2644" s="2725">
        <v>19</v>
      </c>
      <c r="L2644" s="945"/>
      <c r="M2644" s="2718" t="s">
        <v>1510</v>
      </c>
      <c r="N2644" s="157"/>
      <c r="O2644" s="277"/>
      <c r="P2644" s="277"/>
      <c r="Q2644" s="277"/>
      <c r="R2644" s="277"/>
      <c r="S2644" s="157"/>
      <c r="T2644" s="157"/>
      <c r="U2644" s="157"/>
      <c r="V2644" s="3589"/>
      <c r="W2644" s="766">
        <v>19</v>
      </c>
      <c r="X2644" s="766">
        <v>19</v>
      </c>
      <c r="Y2644" s="781">
        <v>19</v>
      </c>
      <c r="Z2644" s="781">
        <v>19</v>
      </c>
      <c r="AA2644" s="781">
        <v>19</v>
      </c>
      <c r="AB2644" s="2725">
        <v>19</v>
      </c>
      <c r="AC2644" s="766"/>
      <c r="AD2644" s="766"/>
      <c r="AE2644" s="766"/>
      <c r="AF2644" s="766"/>
      <c r="AG2644" s="766"/>
      <c r="BB2644" s="647"/>
      <c r="BC2644" s="648"/>
      <c r="BD2644" s="757"/>
      <c r="BE2644" s="659"/>
    </row>
    <row r="2645" spans="1:57" s="64" customFormat="1" ht="15" customHeight="1" outlineLevel="1" x14ac:dyDescent="0.25">
      <c r="A2645" s="1393"/>
      <c r="B2645" s="157"/>
      <c r="C2645" s="385"/>
      <c r="D2645" s="3589"/>
      <c r="E2645" s="3721"/>
      <c r="F2645" s="3773" t="str">
        <f>$E$1540</f>
        <v>ASHP SEER 19 replace ASHP - replace on fail SF</v>
      </c>
      <c r="G2645" s="3774"/>
      <c r="H2645" s="3774"/>
      <c r="I2645" s="3775"/>
      <c r="J2645" s="3071" t="str">
        <f>$C$1540</f>
        <v>354050_2019_12_</v>
      </c>
      <c r="K2645" s="2725">
        <v>19</v>
      </c>
      <c r="L2645" s="945"/>
      <c r="M2645" s="2718" t="s">
        <v>1510</v>
      </c>
      <c r="N2645" s="157"/>
      <c r="O2645" s="277"/>
      <c r="P2645" s="277"/>
      <c r="Q2645" s="277"/>
      <c r="R2645" s="277"/>
      <c r="S2645" s="157"/>
      <c r="T2645" s="157"/>
      <c r="U2645" s="157"/>
      <c r="V2645" s="3589"/>
      <c r="W2645" s="766">
        <v>19</v>
      </c>
      <c r="X2645" s="766">
        <v>19</v>
      </c>
      <c r="Y2645" s="781">
        <v>19</v>
      </c>
      <c r="Z2645" s="781">
        <v>19</v>
      </c>
      <c r="AA2645" s="781">
        <v>19</v>
      </c>
      <c r="AB2645" s="2725">
        <v>19</v>
      </c>
      <c r="AC2645" s="766"/>
      <c r="AD2645" s="766"/>
      <c r="AE2645" s="766"/>
      <c r="AF2645" s="766"/>
      <c r="AG2645" s="766"/>
      <c r="BB2645" s="647"/>
      <c r="BC2645" s="648"/>
      <c r="BD2645" s="757"/>
      <c r="BE2645" s="659"/>
    </row>
    <row r="2646" spans="1:57" s="64" customFormat="1" ht="15" customHeight="1" outlineLevel="1" x14ac:dyDescent="0.25">
      <c r="A2646" s="1393"/>
      <c r="B2646" s="157"/>
      <c r="C2646" s="385"/>
      <c r="D2646" s="3589"/>
      <c r="E2646" s="3721"/>
      <c r="F2646" s="3773" t="str">
        <f>$E$1542</f>
        <v>ASHP - SEER 17 - replace electric furnace / CAC - early replacement SF ER1</v>
      </c>
      <c r="G2646" s="3774"/>
      <c r="H2646" s="3774"/>
      <c r="I2646" s="3775"/>
      <c r="J2646" s="3071" t="str">
        <f>$C$1542</f>
        <v>354100_2019_12_</v>
      </c>
      <c r="K2646" s="2725">
        <v>17</v>
      </c>
      <c r="L2646" s="945"/>
      <c r="M2646" s="2718" t="s">
        <v>1510</v>
      </c>
      <c r="N2646" s="157"/>
      <c r="O2646" s="277"/>
      <c r="P2646" s="277"/>
      <c r="Q2646" s="277"/>
      <c r="R2646" s="277"/>
      <c r="S2646" s="157"/>
      <c r="T2646" s="157"/>
      <c r="U2646" s="157"/>
      <c r="V2646" s="3589"/>
      <c r="W2646" s="766">
        <v>17</v>
      </c>
      <c r="X2646" s="766">
        <v>17</v>
      </c>
      <c r="Y2646" s="781">
        <v>17</v>
      </c>
      <c r="Z2646" s="781">
        <v>17</v>
      </c>
      <c r="AA2646" s="781">
        <v>17</v>
      </c>
      <c r="AB2646" s="2725">
        <v>17</v>
      </c>
      <c r="AC2646" s="766"/>
      <c r="AD2646" s="766"/>
      <c r="AE2646" s="766"/>
      <c r="AF2646" s="766"/>
      <c r="AG2646" s="766"/>
      <c r="BB2646" s="647"/>
      <c r="BC2646" s="648"/>
      <c r="BD2646" s="757"/>
      <c r="BE2646" s="659"/>
    </row>
    <row r="2647" spans="1:57" s="64" customFormat="1" ht="15" customHeight="1" outlineLevel="1" x14ac:dyDescent="0.25">
      <c r="A2647" s="1393"/>
      <c r="B2647" s="157"/>
      <c r="C2647" s="385"/>
      <c r="D2647" s="3589"/>
      <c r="E2647" s="3721"/>
      <c r="F2647" s="3773" t="str">
        <f>$E$1544</f>
        <v>ASHP - SEER 17 - replace electric furnace / CAC - early replacement SF ER2</v>
      </c>
      <c r="G2647" s="3774"/>
      <c r="H2647" s="3774"/>
      <c r="I2647" s="3775"/>
      <c r="J2647" s="3071" t="str">
        <f>$C$1544</f>
        <v>354100_2019_12_</v>
      </c>
      <c r="K2647" s="2725">
        <v>17</v>
      </c>
      <c r="L2647" s="945"/>
      <c r="M2647" s="2718" t="s">
        <v>1510</v>
      </c>
      <c r="N2647" s="157"/>
      <c r="O2647" s="277"/>
      <c r="P2647" s="277"/>
      <c r="Q2647" s="277"/>
      <c r="R2647" s="277"/>
      <c r="S2647" s="157"/>
      <c r="T2647" s="157"/>
      <c r="U2647" s="157"/>
      <c r="V2647" s="3589"/>
      <c r="W2647" s="766">
        <v>17</v>
      </c>
      <c r="X2647" s="766">
        <v>17</v>
      </c>
      <c r="Y2647" s="781">
        <v>17</v>
      </c>
      <c r="Z2647" s="781">
        <v>17</v>
      </c>
      <c r="AA2647" s="781">
        <v>17</v>
      </c>
      <c r="AB2647" s="2725">
        <v>17</v>
      </c>
      <c r="AC2647" s="766"/>
      <c r="AD2647" s="766"/>
      <c r="AE2647" s="766"/>
      <c r="AF2647" s="766"/>
      <c r="AG2647" s="766"/>
      <c r="BB2647" s="647"/>
      <c r="BC2647" s="648"/>
      <c r="BD2647" s="757"/>
      <c r="BE2647" s="659"/>
    </row>
    <row r="2648" spans="1:57" s="64" customFormat="1" ht="15" customHeight="1" outlineLevel="1" x14ac:dyDescent="0.25">
      <c r="A2648" s="1393"/>
      <c r="B2648" s="157"/>
      <c r="C2648" s="385"/>
      <c r="D2648" s="3589"/>
      <c r="E2648" s="3721"/>
      <c r="F2648" s="3773" t="str">
        <f>$E$1546</f>
        <v>ASHP - SEER 17 - replace electric furnace / CAC - early replacement MF ER1</v>
      </c>
      <c r="G2648" s="3774"/>
      <c r="H2648" s="3774"/>
      <c r="I2648" s="3775"/>
      <c r="J2648" s="3071" t="str">
        <f>$C$1546</f>
        <v>354150_2019_12_</v>
      </c>
      <c r="K2648" s="2725">
        <v>17</v>
      </c>
      <c r="L2648" s="945"/>
      <c r="M2648" s="2718" t="s">
        <v>1510</v>
      </c>
      <c r="N2648" s="157"/>
      <c r="O2648" s="277"/>
      <c r="P2648" s="277"/>
      <c r="Q2648" s="277"/>
      <c r="R2648" s="277"/>
      <c r="S2648" s="157"/>
      <c r="T2648" s="157"/>
      <c r="U2648" s="157"/>
      <c r="V2648" s="3589"/>
      <c r="W2648" s="766">
        <v>17</v>
      </c>
      <c r="X2648" s="766">
        <v>17</v>
      </c>
      <c r="Y2648" s="781">
        <v>17</v>
      </c>
      <c r="Z2648" s="781">
        <v>17</v>
      </c>
      <c r="AA2648" s="781">
        <v>17</v>
      </c>
      <c r="AB2648" s="2725">
        <v>17</v>
      </c>
      <c r="AC2648" s="766"/>
      <c r="AD2648" s="766"/>
      <c r="AE2648" s="766"/>
      <c r="AF2648" s="766"/>
      <c r="AG2648" s="766"/>
      <c r="BB2648" s="647"/>
      <c r="BC2648" s="648"/>
      <c r="BD2648" s="757"/>
      <c r="BE2648" s="659"/>
    </row>
    <row r="2649" spans="1:57" s="64" customFormat="1" ht="15" customHeight="1" outlineLevel="1" x14ac:dyDescent="0.25">
      <c r="A2649" s="1393"/>
      <c r="B2649" s="157"/>
      <c r="C2649" s="385"/>
      <c r="D2649" s="3589"/>
      <c r="E2649" s="3721"/>
      <c r="F2649" s="3773" t="str">
        <f>$E$1548</f>
        <v>ASHP - SEER 17 - replace electric furnace / CAC - early replacement MF ER2</v>
      </c>
      <c r="G2649" s="3774"/>
      <c r="H2649" s="3774"/>
      <c r="I2649" s="3775"/>
      <c r="J2649" s="3071" t="str">
        <f>$C$1548</f>
        <v>354150_2019_12_</v>
      </c>
      <c r="K2649" s="2725">
        <v>17</v>
      </c>
      <c r="L2649" s="945"/>
      <c r="M2649" s="2718" t="s">
        <v>1510</v>
      </c>
      <c r="N2649" s="157"/>
      <c r="O2649" s="277"/>
      <c r="P2649" s="277"/>
      <c r="Q2649" s="277"/>
      <c r="R2649" s="277"/>
      <c r="S2649" s="157"/>
      <c r="T2649" s="157"/>
      <c r="U2649" s="157"/>
      <c r="V2649" s="3589"/>
      <c r="W2649" s="766">
        <v>17</v>
      </c>
      <c r="X2649" s="766">
        <v>17</v>
      </c>
      <c r="Y2649" s="781">
        <v>17</v>
      </c>
      <c r="Z2649" s="781">
        <v>17</v>
      </c>
      <c r="AA2649" s="781">
        <v>17</v>
      </c>
      <c r="AB2649" s="2725">
        <v>17</v>
      </c>
      <c r="AC2649" s="766"/>
      <c r="AD2649" s="766"/>
      <c r="AE2649" s="766"/>
      <c r="AF2649" s="766"/>
      <c r="AG2649" s="766"/>
      <c r="BB2649" s="647"/>
      <c r="BC2649" s="648"/>
      <c r="BD2649" s="757"/>
      <c r="BE2649" s="659"/>
    </row>
    <row r="2650" spans="1:57" s="64" customFormat="1" ht="15" customHeight="1" outlineLevel="1" x14ac:dyDescent="0.25">
      <c r="A2650" s="1393"/>
      <c r="B2650" s="157"/>
      <c r="C2650" s="385"/>
      <c r="D2650" s="3589"/>
      <c r="E2650" s="3721"/>
      <c r="F2650" s="3773" t="str">
        <f>$E$1550</f>
        <v>ASHP - SEER 17 - replace electric furnace / CAC - early replacement MF ER1_CompE</v>
      </c>
      <c r="G2650" s="3774"/>
      <c r="H2650" s="3774"/>
      <c r="I2650" s="3775"/>
      <c r="J2650" s="3071" t="str">
        <f>$C$1550</f>
        <v>354151_2019_12_</v>
      </c>
      <c r="K2650" s="2725">
        <v>17</v>
      </c>
      <c r="L2650" s="945"/>
      <c r="M2650" s="2718"/>
      <c r="N2650" s="157"/>
      <c r="O2650" s="277"/>
      <c r="P2650" s="277"/>
      <c r="Q2650" s="277"/>
      <c r="R2650" s="277"/>
      <c r="S2650" s="157"/>
      <c r="T2650" s="157"/>
      <c r="U2650" s="157"/>
      <c r="V2650" s="3589"/>
      <c r="W2650" s="766"/>
      <c r="X2650" s="766"/>
      <c r="Y2650" s="786">
        <v>17</v>
      </c>
      <c r="Z2650" s="781">
        <v>17</v>
      </c>
      <c r="AA2650" s="781">
        <v>17</v>
      </c>
      <c r="AB2650" s="2725">
        <v>17</v>
      </c>
      <c r="AC2650" s="766"/>
      <c r="AD2650" s="766"/>
      <c r="AE2650" s="766"/>
      <c r="AF2650" s="766"/>
      <c r="AG2650" s="766"/>
      <c r="BB2650" s="647"/>
      <c r="BC2650" s="648"/>
      <c r="BD2650" s="757"/>
      <c r="BE2650" s="659"/>
    </row>
    <row r="2651" spans="1:57" s="64" customFormat="1" ht="15" customHeight="1" outlineLevel="1" x14ac:dyDescent="0.25">
      <c r="A2651" s="1393"/>
      <c r="B2651" s="157"/>
      <c r="C2651" s="385"/>
      <c r="D2651" s="3589"/>
      <c r="E2651" s="3721"/>
      <c r="F2651" s="3773" t="str">
        <f>$E$1552</f>
        <v>ASHP - SEER 17 - replace electric furnace / CAC - early replacement MF ER2_CompE</v>
      </c>
      <c r="G2651" s="3774"/>
      <c r="H2651" s="3774"/>
      <c r="I2651" s="3775"/>
      <c r="J2651" s="3071" t="str">
        <f>$C$1552</f>
        <v>354151_2019_12_</v>
      </c>
      <c r="K2651" s="2725">
        <v>17</v>
      </c>
      <c r="L2651" s="945"/>
      <c r="M2651" s="2718"/>
      <c r="N2651" s="157"/>
      <c r="O2651" s="277"/>
      <c r="P2651" s="277"/>
      <c r="Q2651" s="277"/>
      <c r="R2651" s="277"/>
      <c r="S2651" s="157"/>
      <c r="T2651" s="157"/>
      <c r="U2651" s="157"/>
      <c r="V2651" s="3589"/>
      <c r="W2651" s="766"/>
      <c r="X2651" s="766"/>
      <c r="Y2651" s="786">
        <v>17</v>
      </c>
      <c r="Z2651" s="781">
        <v>17</v>
      </c>
      <c r="AA2651" s="781">
        <v>17</v>
      </c>
      <c r="AB2651" s="2725">
        <v>17</v>
      </c>
      <c r="AC2651" s="766"/>
      <c r="AD2651" s="766"/>
      <c r="AE2651" s="766"/>
      <c r="AF2651" s="766"/>
      <c r="AG2651" s="766"/>
      <c r="BB2651" s="647"/>
      <c r="BC2651" s="648"/>
      <c r="BD2651" s="757"/>
      <c r="BE2651" s="659"/>
    </row>
    <row r="2652" spans="1:57" s="64" customFormat="1" ht="15" customHeight="1" outlineLevel="1" x14ac:dyDescent="0.25">
      <c r="A2652" s="1393"/>
      <c r="B2652" s="157"/>
      <c r="C2652" s="385"/>
      <c r="D2652" s="3589"/>
      <c r="E2652" s="3721"/>
      <c r="F2652" s="3773" t="str">
        <f>$E$1554</f>
        <v>ASHP SEER 17 replace ASHP - early replacement MF ER1</v>
      </c>
      <c r="G2652" s="3774"/>
      <c r="H2652" s="3774"/>
      <c r="I2652" s="3775"/>
      <c r="J2652" s="3071" t="str">
        <f>$C$1554</f>
        <v>354200_2019_12_</v>
      </c>
      <c r="K2652" s="2725">
        <v>17</v>
      </c>
      <c r="L2652" s="945"/>
      <c r="M2652" s="2718" t="s">
        <v>1510</v>
      </c>
      <c r="N2652" s="157"/>
      <c r="O2652" s="277"/>
      <c r="P2652" s="277"/>
      <c r="Q2652" s="277"/>
      <c r="R2652" s="277"/>
      <c r="S2652" s="157"/>
      <c r="T2652" s="157"/>
      <c r="U2652" s="157"/>
      <c r="V2652" s="3589"/>
      <c r="W2652" s="766">
        <v>17</v>
      </c>
      <c r="X2652" s="766">
        <v>17</v>
      </c>
      <c r="Y2652" s="781">
        <v>17</v>
      </c>
      <c r="Z2652" s="781">
        <v>17</v>
      </c>
      <c r="AA2652" s="781">
        <v>17</v>
      </c>
      <c r="AB2652" s="2725">
        <v>17</v>
      </c>
      <c r="AC2652" s="766"/>
      <c r="AD2652" s="766"/>
      <c r="AE2652" s="766"/>
      <c r="AF2652" s="766"/>
      <c r="AG2652" s="766"/>
      <c r="BB2652" s="647"/>
      <c r="BC2652" s="648"/>
      <c r="BD2652" s="757"/>
      <c r="BE2652" s="659"/>
    </row>
    <row r="2653" spans="1:57" s="64" customFormat="1" ht="15" customHeight="1" outlineLevel="1" x14ac:dyDescent="0.25">
      <c r="A2653" s="1393"/>
      <c r="B2653" s="157"/>
      <c r="C2653" s="385"/>
      <c r="D2653" s="3589"/>
      <c r="E2653" s="3721"/>
      <c r="F2653" s="3773" t="str">
        <f>$E$1556</f>
        <v>ASHP SEER 17 replace ASHP - early replacement MF ER2</v>
      </c>
      <c r="G2653" s="3774"/>
      <c r="H2653" s="3774"/>
      <c r="I2653" s="3775"/>
      <c r="J2653" s="3071" t="str">
        <f>$C$1556</f>
        <v>354200_2019_12_</v>
      </c>
      <c r="K2653" s="2725">
        <v>17</v>
      </c>
      <c r="L2653" s="945"/>
      <c r="M2653" s="2718" t="s">
        <v>1510</v>
      </c>
      <c r="N2653" s="157"/>
      <c r="O2653" s="277"/>
      <c r="P2653" s="277"/>
      <c r="Q2653" s="277"/>
      <c r="R2653" s="277"/>
      <c r="S2653" s="157"/>
      <c r="T2653" s="157"/>
      <c r="U2653" s="157"/>
      <c r="V2653" s="3589"/>
      <c r="W2653" s="766">
        <v>17</v>
      </c>
      <c r="X2653" s="766">
        <v>17</v>
      </c>
      <c r="Y2653" s="781">
        <v>17</v>
      </c>
      <c r="Z2653" s="781">
        <v>17</v>
      </c>
      <c r="AA2653" s="781">
        <v>17</v>
      </c>
      <c r="AB2653" s="2725">
        <v>17</v>
      </c>
      <c r="AC2653" s="766"/>
      <c r="AD2653" s="766"/>
      <c r="AE2653" s="766"/>
      <c r="AF2653" s="766"/>
      <c r="AG2653" s="766"/>
      <c r="BB2653" s="647"/>
      <c r="BC2653" s="648"/>
      <c r="BD2653" s="757"/>
      <c r="BE2653" s="659"/>
    </row>
    <row r="2654" spans="1:57" s="64" customFormat="1" ht="15" customHeight="1" outlineLevel="1" x14ac:dyDescent="0.25">
      <c r="A2654" s="1393"/>
      <c r="B2654" s="157"/>
      <c r="C2654" s="385"/>
      <c r="D2654" s="3589"/>
      <c r="E2654" s="3721"/>
      <c r="F2654" s="3773" t="str">
        <f>$E$1558</f>
        <v>ASHP SEER 17 replace ASHP - early replacement MF ER1_CompE</v>
      </c>
      <c r="G2654" s="3774"/>
      <c r="H2654" s="3774"/>
      <c r="I2654" s="3775"/>
      <c r="J2654" s="3071" t="str">
        <f>$C$1558</f>
        <v>354201_2019_12_</v>
      </c>
      <c r="K2654" s="2725">
        <v>17</v>
      </c>
      <c r="L2654" s="945"/>
      <c r="M2654" s="2718"/>
      <c r="N2654" s="157"/>
      <c r="O2654" s="277"/>
      <c r="P2654" s="277"/>
      <c r="Q2654" s="277"/>
      <c r="R2654" s="277"/>
      <c r="S2654" s="157"/>
      <c r="T2654" s="157"/>
      <c r="U2654" s="157"/>
      <c r="V2654" s="3589"/>
      <c r="W2654" s="766"/>
      <c r="X2654" s="766"/>
      <c r="Y2654" s="786">
        <v>17</v>
      </c>
      <c r="Z2654" s="781">
        <v>17</v>
      </c>
      <c r="AA2654" s="781">
        <v>17</v>
      </c>
      <c r="AB2654" s="2725">
        <v>17</v>
      </c>
      <c r="AC2654" s="766"/>
      <c r="AD2654" s="766"/>
      <c r="AE2654" s="766"/>
      <c r="AF2654" s="766"/>
      <c r="AG2654" s="766"/>
      <c r="BB2654" s="647"/>
      <c r="BC2654" s="648"/>
      <c r="BD2654" s="757"/>
      <c r="BE2654" s="659"/>
    </row>
    <row r="2655" spans="1:57" s="64" customFormat="1" ht="15" customHeight="1" outlineLevel="1" x14ac:dyDescent="0.25">
      <c r="A2655" s="1393"/>
      <c r="B2655" s="157"/>
      <c r="C2655" s="385"/>
      <c r="D2655" s="3589"/>
      <c r="E2655" s="3721"/>
      <c r="F2655" s="3773" t="str">
        <f>$E$1560</f>
        <v>ASHP SEER 17 replace ASHP - early replacement MF ER2_CompE</v>
      </c>
      <c r="G2655" s="3774"/>
      <c r="H2655" s="3774"/>
      <c r="I2655" s="3775"/>
      <c r="J2655" s="3071" t="str">
        <f>$C$1560</f>
        <v>354201_2019_12_</v>
      </c>
      <c r="K2655" s="2725">
        <v>17</v>
      </c>
      <c r="L2655" s="945"/>
      <c r="M2655" s="2718"/>
      <c r="N2655" s="157"/>
      <c r="O2655" s="277"/>
      <c r="P2655" s="277"/>
      <c r="Q2655" s="277"/>
      <c r="R2655" s="277"/>
      <c r="S2655" s="157"/>
      <c r="T2655" s="157"/>
      <c r="U2655" s="157"/>
      <c r="V2655" s="3589"/>
      <c r="W2655" s="766"/>
      <c r="X2655" s="766"/>
      <c r="Y2655" s="786">
        <v>17</v>
      </c>
      <c r="Z2655" s="781">
        <v>17</v>
      </c>
      <c r="AA2655" s="781">
        <v>17</v>
      </c>
      <c r="AB2655" s="2725">
        <v>17</v>
      </c>
      <c r="AC2655" s="766"/>
      <c r="AD2655" s="766"/>
      <c r="AE2655" s="766"/>
      <c r="AF2655" s="766"/>
      <c r="AG2655" s="766"/>
      <c r="BB2655" s="647"/>
      <c r="BC2655" s="648"/>
      <c r="BD2655" s="757"/>
      <c r="BE2655" s="659"/>
    </row>
    <row r="2656" spans="1:57" s="64" customFormat="1" ht="15" customHeight="1" outlineLevel="1" x14ac:dyDescent="0.25">
      <c r="A2656" s="1393"/>
      <c r="B2656" s="157"/>
      <c r="C2656" s="385"/>
      <c r="D2656" s="3589"/>
      <c r="E2656" s="3721"/>
      <c r="F2656" s="3773" t="str">
        <f>$E$1562</f>
        <v>ASHP - SEER 18 - replace electric furnace / CAC - early replacement SF ER1</v>
      </c>
      <c r="G2656" s="3774"/>
      <c r="H2656" s="3774"/>
      <c r="I2656" s="3775"/>
      <c r="J2656" s="3071" t="str">
        <f>$C$1562</f>
        <v>354250_2019_12_</v>
      </c>
      <c r="K2656" s="2725">
        <v>18.582558139534882</v>
      </c>
      <c r="L2656" s="945"/>
      <c r="M2656" s="2718" t="s">
        <v>3674</v>
      </c>
      <c r="N2656" s="157"/>
      <c r="O2656" s="277"/>
      <c r="P2656" s="277"/>
      <c r="Q2656" s="277"/>
      <c r="R2656" s="277"/>
      <c r="S2656" s="157"/>
      <c r="T2656" s="157"/>
      <c r="U2656" s="157"/>
      <c r="V2656" s="3589"/>
      <c r="W2656" s="766">
        <v>18</v>
      </c>
      <c r="X2656" s="766">
        <v>18</v>
      </c>
      <c r="Y2656" s="781">
        <v>18</v>
      </c>
      <c r="Z2656" s="781">
        <v>18</v>
      </c>
      <c r="AA2656" s="781">
        <v>18</v>
      </c>
      <c r="AB2656" s="2658">
        <v>18.582558139534882</v>
      </c>
      <c r="AC2656" s="766"/>
      <c r="AD2656" s="766"/>
      <c r="AE2656" s="766"/>
      <c r="AF2656" s="766"/>
      <c r="AG2656" s="766"/>
      <c r="BB2656" s="647"/>
      <c r="BC2656" s="648"/>
      <c r="BD2656" s="757"/>
      <c r="BE2656" s="659"/>
    </row>
    <row r="2657" spans="1:57" s="64" customFormat="1" ht="15" customHeight="1" outlineLevel="1" x14ac:dyDescent="0.25">
      <c r="A2657" s="1393"/>
      <c r="B2657" s="157"/>
      <c r="C2657" s="385"/>
      <c r="D2657" s="3589"/>
      <c r="E2657" s="3721"/>
      <c r="F2657" s="3773" t="str">
        <f>$E$1564</f>
        <v>ASHP - SEER 18 - replace electric furnace / CAC - early replacement SF ER2</v>
      </c>
      <c r="G2657" s="3774"/>
      <c r="H2657" s="3774"/>
      <c r="I2657" s="3775"/>
      <c r="J2657" s="3071" t="str">
        <f>$C$1564</f>
        <v>354250_2019_12_</v>
      </c>
      <c r="K2657" s="2725">
        <f>K2656</f>
        <v>18.582558139534882</v>
      </c>
      <c r="L2657" s="945"/>
      <c r="M2657" s="2718" t="s">
        <v>3674</v>
      </c>
      <c r="N2657" s="157"/>
      <c r="O2657" s="277"/>
      <c r="P2657" s="277"/>
      <c r="Q2657" s="277"/>
      <c r="R2657" s="277"/>
      <c r="S2657" s="157"/>
      <c r="T2657" s="157"/>
      <c r="U2657" s="157"/>
      <c r="V2657" s="3589"/>
      <c r="W2657" s="766">
        <v>18</v>
      </c>
      <c r="X2657" s="766">
        <v>18</v>
      </c>
      <c r="Y2657" s="781">
        <v>18</v>
      </c>
      <c r="Z2657" s="781">
        <v>18</v>
      </c>
      <c r="AA2657" s="781">
        <v>18</v>
      </c>
      <c r="AB2657" s="2658">
        <v>18.582558139534882</v>
      </c>
      <c r="AC2657" s="766"/>
      <c r="AD2657" s="766"/>
      <c r="AE2657" s="766"/>
      <c r="AF2657" s="766"/>
      <c r="AG2657" s="766"/>
      <c r="BB2657" s="647"/>
      <c r="BC2657" s="648"/>
      <c r="BD2657" s="757"/>
      <c r="BE2657" s="659"/>
    </row>
    <row r="2658" spans="1:57" s="64" customFormat="1" ht="15" customHeight="1" outlineLevel="1" x14ac:dyDescent="0.25">
      <c r="A2658" s="1393"/>
      <c r="B2658" s="157"/>
      <c r="C2658" s="385"/>
      <c r="D2658" s="3589"/>
      <c r="E2658" s="3721"/>
      <c r="F2658" s="3773" t="str">
        <f>$E$1566</f>
        <v>ASHP - SEER 18 - replace electric furnace / CAC - early replacement MF ER1</v>
      </c>
      <c r="G2658" s="3774"/>
      <c r="H2658" s="3774"/>
      <c r="I2658" s="3775"/>
      <c r="J2658" s="3071" t="str">
        <f>$C$1566</f>
        <v>354300_2019_12_</v>
      </c>
      <c r="K2658" s="2725">
        <v>18</v>
      </c>
      <c r="L2658" s="945"/>
      <c r="M2658" s="2718" t="s">
        <v>3674</v>
      </c>
      <c r="N2658" s="157"/>
      <c r="O2658" s="277"/>
      <c r="P2658" s="277"/>
      <c r="Q2658" s="277"/>
      <c r="R2658" s="277"/>
      <c r="S2658" s="157"/>
      <c r="T2658" s="157"/>
      <c r="U2658" s="157"/>
      <c r="V2658" s="3589"/>
      <c r="W2658" s="766">
        <v>18</v>
      </c>
      <c r="X2658" s="766">
        <v>18</v>
      </c>
      <c r="Y2658" s="781">
        <v>18</v>
      </c>
      <c r="Z2658" s="781">
        <v>18</v>
      </c>
      <c r="AA2658" s="781">
        <v>18</v>
      </c>
      <c r="AB2658" s="2658">
        <v>18</v>
      </c>
      <c r="AC2658" s="766"/>
      <c r="AD2658" s="766"/>
      <c r="AE2658" s="766"/>
      <c r="AF2658" s="766"/>
      <c r="AG2658" s="766"/>
      <c r="BB2658" s="647"/>
      <c r="BC2658" s="648"/>
      <c r="BD2658" s="757"/>
      <c r="BE2658" s="659"/>
    </row>
    <row r="2659" spans="1:57" s="64" customFormat="1" ht="15" customHeight="1" outlineLevel="1" x14ac:dyDescent="0.25">
      <c r="A2659" s="1393"/>
      <c r="B2659" s="157"/>
      <c r="C2659" s="385"/>
      <c r="D2659" s="3589"/>
      <c r="E2659" s="3721"/>
      <c r="F2659" s="3773" t="str">
        <f>$E$1568</f>
        <v>ASHP - SEER 18 - replace electric furnace / CAC - early replacement MF ER2</v>
      </c>
      <c r="G2659" s="3774"/>
      <c r="H2659" s="3774"/>
      <c r="I2659" s="3775"/>
      <c r="J2659" s="3071" t="str">
        <f>$C$1568</f>
        <v>354300_2019_12_</v>
      </c>
      <c r="K2659" s="2725">
        <f>K2658</f>
        <v>18</v>
      </c>
      <c r="L2659" s="945"/>
      <c r="M2659" s="2718" t="s">
        <v>3674</v>
      </c>
      <c r="N2659" s="157"/>
      <c r="O2659" s="277"/>
      <c r="P2659" s="277"/>
      <c r="Q2659" s="277"/>
      <c r="R2659" s="277"/>
      <c r="S2659" s="157"/>
      <c r="T2659" s="157"/>
      <c r="U2659" s="157"/>
      <c r="V2659" s="3589"/>
      <c r="W2659" s="766">
        <v>18</v>
      </c>
      <c r="X2659" s="766">
        <v>18</v>
      </c>
      <c r="Y2659" s="781">
        <v>18</v>
      </c>
      <c r="Z2659" s="781">
        <v>18</v>
      </c>
      <c r="AA2659" s="781">
        <v>18</v>
      </c>
      <c r="AB2659" s="2658">
        <v>18</v>
      </c>
      <c r="AC2659" s="766"/>
      <c r="AD2659" s="766"/>
      <c r="AE2659" s="766"/>
      <c r="AF2659" s="766"/>
      <c r="AG2659" s="766"/>
      <c r="BB2659" s="647"/>
      <c r="BC2659" s="648"/>
      <c r="BD2659" s="757"/>
      <c r="BE2659" s="659"/>
    </row>
    <row r="2660" spans="1:57" s="64" customFormat="1" ht="15" customHeight="1" outlineLevel="1" x14ac:dyDescent="0.25">
      <c r="A2660" s="1393"/>
      <c r="B2660" s="157"/>
      <c r="C2660" s="385"/>
      <c r="D2660" s="3589"/>
      <c r="E2660" s="3721"/>
      <c r="F2660" s="3773" t="str">
        <f>$E$1570</f>
        <v>ASHP - SEER 18 - replace electric furnace / CAC - early replacement MF ER1_CompE</v>
      </c>
      <c r="G2660" s="3774"/>
      <c r="H2660" s="3774"/>
      <c r="I2660" s="3775"/>
      <c r="J2660" s="3071" t="str">
        <f>$C$1570</f>
        <v>354301_2019_12_</v>
      </c>
      <c r="K2660" s="2725">
        <f>K2659</f>
        <v>18</v>
      </c>
      <c r="L2660" s="945"/>
      <c r="M2660" s="2718" t="s">
        <v>3652</v>
      </c>
      <c r="N2660" s="157"/>
      <c r="O2660" s="277"/>
      <c r="P2660" s="277"/>
      <c r="Q2660" s="277"/>
      <c r="R2660" s="277"/>
      <c r="S2660" s="157"/>
      <c r="T2660" s="157"/>
      <c r="U2660" s="157"/>
      <c r="V2660" s="3589"/>
      <c r="W2660" s="766"/>
      <c r="X2660" s="766"/>
      <c r="Y2660" s="786">
        <v>18</v>
      </c>
      <c r="Z2660" s="781">
        <v>18</v>
      </c>
      <c r="AA2660" s="781">
        <v>18</v>
      </c>
      <c r="AB2660" s="2658">
        <v>18</v>
      </c>
      <c r="AC2660" s="766"/>
      <c r="AD2660" s="766"/>
      <c r="AE2660" s="766"/>
      <c r="AF2660" s="766"/>
      <c r="AG2660" s="766"/>
      <c r="BB2660" s="647"/>
      <c r="BC2660" s="648"/>
      <c r="BD2660" s="757"/>
      <c r="BE2660" s="659"/>
    </row>
    <row r="2661" spans="1:57" s="64" customFormat="1" ht="15" customHeight="1" outlineLevel="1" x14ac:dyDescent="0.25">
      <c r="A2661" s="1393"/>
      <c r="B2661" s="157"/>
      <c r="C2661" s="385"/>
      <c r="D2661" s="3589"/>
      <c r="E2661" s="3721"/>
      <c r="F2661" s="3773" t="str">
        <f>$E$1572</f>
        <v>ASHP - SEER 18 - replace electric furnace / CAC - early replacement MF ER2_CompE</v>
      </c>
      <c r="G2661" s="3774"/>
      <c r="H2661" s="3774"/>
      <c r="I2661" s="3775"/>
      <c r="J2661" s="3071" t="str">
        <f>$C$1572</f>
        <v>354301_2019_12_</v>
      </c>
      <c r="K2661" s="2725">
        <f>K2660</f>
        <v>18</v>
      </c>
      <c r="L2661" s="945"/>
      <c r="M2661" s="2718" t="s">
        <v>3652</v>
      </c>
      <c r="N2661" s="157"/>
      <c r="O2661" s="277"/>
      <c r="P2661" s="277"/>
      <c r="Q2661" s="277"/>
      <c r="R2661" s="277"/>
      <c r="S2661" s="157"/>
      <c r="T2661" s="157"/>
      <c r="U2661" s="157"/>
      <c r="V2661" s="3589"/>
      <c r="W2661" s="766"/>
      <c r="X2661" s="766"/>
      <c r="Y2661" s="786">
        <v>18</v>
      </c>
      <c r="Z2661" s="781">
        <v>18</v>
      </c>
      <c r="AA2661" s="781">
        <v>18</v>
      </c>
      <c r="AB2661" s="2658">
        <v>18</v>
      </c>
      <c r="AC2661" s="766"/>
      <c r="AD2661" s="766"/>
      <c r="AE2661" s="766"/>
      <c r="AF2661" s="766"/>
      <c r="AG2661" s="766"/>
      <c r="BB2661" s="647"/>
      <c r="BC2661" s="648"/>
      <c r="BD2661" s="757"/>
      <c r="BE2661" s="659"/>
    </row>
    <row r="2662" spans="1:57" s="64" customFormat="1" ht="15" customHeight="1" outlineLevel="1" x14ac:dyDescent="0.25">
      <c r="A2662" s="1393"/>
      <c r="B2662" s="157"/>
      <c r="C2662" s="385"/>
      <c r="D2662" s="3589"/>
      <c r="E2662" s="3721"/>
      <c r="F2662" s="3773" t="str">
        <f>$E$1574</f>
        <v>ASHP SEER 18 replace ASHP - early replacement MF ER1</v>
      </c>
      <c r="G2662" s="3774"/>
      <c r="H2662" s="3774"/>
      <c r="I2662" s="3775"/>
      <c r="J2662" s="3071" t="str">
        <f>$C$1574</f>
        <v>354350_2019_12_</v>
      </c>
      <c r="K2662" s="2703">
        <v>18</v>
      </c>
      <c r="L2662" s="945"/>
      <c r="M2662" s="2718" t="s">
        <v>1510</v>
      </c>
      <c r="N2662" s="157"/>
      <c r="O2662" s="277"/>
      <c r="P2662" s="277"/>
      <c r="Q2662" s="277"/>
      <c r="R2662" s="277"/>
      <c r="S2662" s="157"/>
      <c r="T2662" s="157"/>
      <c r="U2662" s="157"/>
      <c r="V2662" s="3589"/>
      <c r="W2662" s="766">
        <v>18</v>
      </c>
      <c r="X2662" s="766">
        <v>18</v>
      </c>
      <c r="Y2662" s="781">
        <v>18</v>
      </c>
      <c r="Z2662" s="781">
        <v>18</v>
      </c>
      <c r="AA2662" s="781">
        <v>18</v>
      </c>
      <c r="AB2662" s="2703">
        <v>18</v>
      </c>
      <c r="AC2662" s="766"/>
      <c r="AD2662" s="766"/>
      <c r="AE2662" s="766"/>
      <c r="AF2662" s="766"/>
      <c r="AG2662" s="766"/>
      <c r="BB2662" s="647"/>
      <c r="BC2662" s="648"/>
      <c r="BD2662" s="757"/>
      <c r="BE2662" s="659"/>
    </row>
    <row r="2663" spans="1:57" s="64" customFormat="1" ht="15" customHeight="1" outlineLevel="1" x14ac:dyDescent="0.25">
      <c r="A2663" s="1393"/>
      <c r="B2663" s="157"/>
      <c r="C2663" s="385"/>
      <c r="D2663" s="3589"/>
      <c r="E2663" s="3721"/>
      <c r="F2663" s="3773" t="str">
        <f>$E$1576</f>
        <v>ASHP SEER 18 replace ASHP - early replacement MF ER2</v>
      </c>
      <c r="G2663" s="3774"/>
      <c r="H2663" s="3774"/>
      <c r="I2663" s="3775"/>
      <c r="J2663" s="3071" t="str">
        <f>$C$1576</f>
        <v>354350_2019_12_</v>
      </c>
      <c r="K2663" s="2703">
        <v>18</v>
      </c>
      <c r="L2663" s="945"/>
      <c r="M2663" s="2718" t="s">
        <v>1510</v>
      </c>
      <c r="N2663" s="157"/>
      <c r="O2663" s="277"/>
      <c r="P2663" s="277"/>
      <c r="Q2663" s="277"/>
      <c r="R2663" s="277"/>
      <c r="S2663" s="157"/>
      <c r="T2663" s="157"/>
      <c r="U2663" s="157"/>
      <c r="V2663" s="3589"/>
      <c r="W2663" s="766">
        <v>18</v>
      </c>
      <c r="X2663" s="766">
        <v>18</v>
      </c>
      <c r="Y2663" s="781">
        <v>18</v>
      </c>
      <c r="Z2663" s="781">
        <v>18</v>
      </c>
      <c r="AA2663" s="781">
        <v>18</v>
      </c>
      <c r="AB2663" s="2703">
        <v>18</v>
      </c>
      <c r="AC2663" s="766"/>
      <c r="AD2663" s="766"/>
      <c r="AE2663" s="766"/>
      <c r="AF2663" s="766"/>
      <c r="AG2663" s="766"/>
      <c r="BB2663" s="647"/>
      <c r="BC2663" s="648"/>
      <c r="BD2663" s="757"/>
      <c r="BE2663" s="659"/>
    </row>
    <row r="2664" spans="1:57" s="64" customFormat="1" ht="15" customHeight="1" outlineLevel="1" x14ac:dyDescent="0.25">
      <c r="A2664" s="1393"/>
      <c r="B2664" s="157"/>
      <c r="C2664" s="385"/>
      <c r="D2664" s="3589"/>
      <c r="E2664" s="3721"/>
      <c r="F2664" s="3773" t="str">
        <f>$E$1578</f>
        <v>ASHP SEER 18 replace ASHP - early replacement MF ER1_CompE</v>
      </c>
      <c r="G2664" s="3774"/>
      <c r="H2664" s="3774"/>
      <c r="I2664" s="3775"/>
      <c r="J2664" s="3071" t="str">
        <f>$C$1578</f>
        <v>354351_2019_12_</v>
      </c>
      <c r="K2664" s="2703">
        <v>18</v>
      </c>
      <c r="L2664" s="945"/>
      <c r="M2664" s="2718"/>
      <c r="N2664" s="157"/>
      <c r="O2664" s="277"/>
      <c r="P2664" s="277"/>
      <c r="Q2664" s="277"/>
      <c r="R2664" s="277"/>
      <c r="S2664" s="157"/>
      <c r="T2664" s="157"/>
      <c r="U2664" s="157"/>
      <c r="V2664" s="3589"/>
      <c r="W2664" s="766"/>
      <c r="X2664" s="766"/>
      <c r="Y2664" s="786">
        <v>18</v>
      </c>
      <c r="Z2664" s="781">
        <v>18</v>
      </c>
      <c r="AA2664" s="781">
        <v>18</v>
      </c>
      <c r="AB2664" s="2703">
        <v>18</v>
      </c>
      <c r="AC2664" s="766"/>
      <c r="AD2664" s="766"/>
      <c r="AE2664" s="766"/>
      <c r="AF2664" s="766"/>
      <c r="AG2664" s="766"/>
      <c r="BB2664" s="647"/>
      <c r="BC2664" s="648"/>
      <c r="BD2664" s="757"/>
      <c r="BE2664" s="659"/>
    </row>
    <row r="2665" spans="1:57" s="64" customFormat="1" ht="15" customHeight="1" outlineLevel="1" x14ac:dyDescent="0.25">
      <c r="A2665" s="1393"/>
      <c r="B2665" s="157"/>
      <c r="C2665" s="385"/>
      <c r="D2665" s="3589"/>
      <c r="E2665" s="3721"/>
      <c r="F2665" s="3773" t="str">
        <f>$E$1580</f>
        <v>ASHP SEER 18 replace ASHP - early replacement MF ER2_CompE</v>
      </c>
      <c r="G2665" s="3774"/>
      <c r="H2665" s="3774"/>
      <c r="I2665" s="3775"/>
      <c r="J2665" s="3071" t="str">
        <f>$C$1580</f>
        <v>354351_2019_12_</v>
      </c>
      <c r="K2665" s="2703">
        <v>18</v>
      </c>
      <c r="L2665" s="945"/>
      <c r="M2665" s="2718"/>
      <c r="N2665" s="157"/>
      <c r="O2665" s="277"/>
      <c r="P2665" s="277"/>
      <c r="Q2665" s="277"/>
      <c r="R2665" s="277"/>
      <c r="S2665" s="157"/>
      <c r="T2665" s="157"/>
      <c r="U2665" s="157"/>
      <c r="V2665" s="3589"/>
      <c r="W2665" s="766"/>
      <c r="X2665" s="766"/>
      <c r="Y2665" s="786">
        <v>18</v>
      </c>
      <c r="Z2665" s="781">
        <v>18</v>
      </c>
      <c r="AA2665" s="781">
        <v>18</v>
      </c>
      <c r="AB2665" s="2703">
        <v>18</v>
      </c>
      <c r="AC2665" s="766"/>
      <c r="AD2665" s="766"/>
      <c r="AE2665" s="766"/>
      <c r="AF2665" s="766"/>
      <c r="AG2665" s="766"/>
      <c r="BB2665" s="647"/>
      <c r="BC2665" s="648"/>
      <c r="BD2665" s="757"/>
      <c r="BE2665" s="659"/>
    </row>
    <row r="2666" spans="1:57" s="64" customFormat="1" ht="15" customHeight="1" outlineLevel="1" x14ac:dyDescent="0.25">
      <c r="A2666" s="1393"/>
      <c r="B2666" s="157"/>
      <c r="C2666" s="385"/>
      <c r="D2666" s="3589"/>
      <c r="E2666" s="3721"/>
      <c r="F2666" s="3773" t="str">
        <f>$E$1582</f>
        <v>ASHP - SEER 19 - replace electric furnace / CAC - early replacement SF ER1</v>
      </c>
      <c r="G2666" s="3774"/>
      <c r="H2666" s="3774"/>
      <c r="I2666" s="3775"/>
      <c r="J2666" s="3071" t="str">
        <f>$C$1582</f>
        <v>354400_2019_12_</v>
      </c>
      <c r="K2666" s="2703">
        <v>19</v>
      </c>
      <c r="L2666" s="945"/>
      <c r="M2666" s="2718" t="s">
        <v>1510</v>
      </c>
      <c r="N2666" s="157"/>
      <c r="O2666" s="277"/>
      <c r="P2666" s="277"/>
      <c r="Q2666" s="277"/>
      <c r="R2666" s="277"/>
      <c r="S2666" s="157"/>
      <c r="T2666" s="157"/>
      <c r="U2666" s="157"/>
      <c r="V2666" s="3589"/>
      <c r="W2666" s="766">
        <v>19</v>
      </c>
      <c r="X2666" s="766">
        <v>19</v>
      </c>
      <c r="Y2666" s="781">
        <v>19</v>
      </c>
      <c r="Z2666" s="781">
        <v>19</v>
      </c>
      <c r="AA2666" s="781">
        <v>19</v>
      </c>
      <c r="AB2666" s="2703">
        <v>19</v>
      </c>
      <c r="AC2666" s="766"/>
      <c r="AD2666" s="766"/>
      <c r="AE2666" s="766"/>
      <c r="AF2666" s="766"/>
      <c r="AG2666" s="766"/>
      <c r="BB2666" s="647"/>
      <c r="BC2666" s="648"/>
      <c r="BD2666" s="757"/>
      <c r="BE2666" s="659"/>
    </row>
    <row r="2667" spans="1:57" s="64" customFormat="1" ht="15" customHeight="1" outlineLevel="1" x14ac:dyDescent="0.25">
      <c r="A2667" s="1393"/>
      <c r="B2667" s="157"/>
      <c r="C2667" s="385"/>
      <c r="D2667" s="3589"/>
      <c r="E2667" s="3721"/>
      <c r="F2667" s="3773" t="str">
        <f>$E$1584</f>
        <v>ASHP - SEER 19 - replace electric furnace / CAC - early replacement SF ER2</v>
      </c>
      <c r="G2667" s="3774"/>
      <c r="H2667" s="3774"/>
      <c r="I2667" s="3775"/>
      <c r="J2667" s="3071" t="str">
        <f>$C$1584</f>
        <v>354400_2019_12_</v>
      </c>
      <c r="K2667" s="2703">
        <v>19</v>
      </c>
      <c r="L2667" s="945"/>
      <c r="M2667" s="2718" t="s">
        <v>1510</v>
      </c>
      <c r="N2667" s="157"/>
      <c r="O2667" s="277"/>
      <c r="P2667" s="277"/>
      <c r="Q2667" s="277"/>
      <c r="R2667" s="277"/>
      <c r="S2667" s="157"/>
      <c r="T2667" s="157"/>
      <c r="U2667" s="157"/>
      <c r="V2667" s="3589"/>
      <c r="W2667" s="766">
        <v>19</v>
      </c>
      <c r="X2667" s="766">
        <v>19</v>
      </c>
      <c r="Y2667" s="781">
        <v>19</v>
      </c>
      <c r="Z2667" s="781">
        <v>19</v>
      </c>
      <c r="AA2667" s="781">
        <v>19</v>
      </c>
      <c r="AB2667" s="2703">
        <v>19</v>
      </c>
      <c r="AC2667" s="766"/>
      <c r="AD2667" s="766"/>
      <c r="AE2667" s="766"/>
      <c r="AF2667" s="766"/>
      <c r="AG2667" s="766"/>
      <c r="BB2667" s="647"/>
      <c r="BC2667" s="648"/>
      <c r="BD2667" s="757"/>
      <c r="BE2667" s="659"/>
    </row>
    <row r="2668" spans="1:57" s="64" customFormat="1" ht="15" customHeight="1" outlineLevel="1" x14ac:dyDescent="0.25">
      <c r="A2668" s="1393"/>
      <c r="B2668" s="157"/>
      <c r="C2668" s="385"/>
      <c r="D2668" s="3589"/>
      <c r="E2668" s="3721"/>
      <c r="F2668" s="3773" t="str">
        <f>$E$1586</f>
        <v>ASHP - SEER 19 - replace electric furnace / CAC - early replacement MF ER1</v>
      </c>
      <c r="G2668" s="3774"/>
      <c r="H2668" s="3774"/>
      <c r="I2668" s="3775"/>
      <c r="J2668" s="3071" t="str">
        <f>$C$1586</f>
        <v>354450_2019_12_</v>
      </c>
      <c r="K2668" s="2703">
        <v>19</v>
      </c>
      <c r="L2668" s="945"/>
      <c r="M2668" s="2718" t="s">
        <v>1510</v>
      </c>
      <c r="N2668" s="157"/>
      <c r="O2668" s="277"/>
      <c r="P2668" s="277"/>
      <c r="Q2668" s="277"/>
      <c r="R2668" s="277"/>
      <c r="S2668" s="157"/>
      <c r="T2668" s="157"/>
      <c r="U2668" s="157"/>
      <c r="V2668" s="3589"/>
      <c r="W2668" s="766">
        <v>19</v>
      </c>
      <c r="X2668" s="766">
        <v>19</v>
      </c>
      <c r="Y2668" s="781">
        <v>19</v>
      </c>
      <c r="Z2668" s="781">
        <v>19</v>
      </c>
      <c r="AA2668" s="781">
        <v>19</v>
      </c>
      <c r="AB2668" s="2703">
        <v>19</v>
      </c>
      <c r="AC2668" s="766"/>
      <c r="AD2668" s="766"/>
      <c r="AE2668" s="766"/>
      <c r="AF2668" s="766"/>
      <c r="AG2668" s="766"/>
      <c r="BB2668" s="647"/>
      <c r="BC2668" s="648"/>
      <c r="BD2668" s="757"/>
      <c r="BE2668" s="659"/>
    </row>
    <row r="2669" spans="1:57" s="64" customFormat="1" ht="15" customHeight="1" outlineLevel="1" x14ac:dyDescent="0.25">
      <c r="A2669" s="1393"/>
      <c r="B2669" s="157"/>
      <c r="C2669" s="385"/>
      <c r="D2669" s="3589"/>
      <c r="E2669" s="3721"/>
      <c r="F2669" s="3773" t="str">
        <f>$E$1588</f>
        <v>ASHP - SEER 19 - replace electric furnace / CAC - early replacement MF ER2</v>
      </c>
      <c r="G2669" s="3774"/>
      <c r="H2669" s="3774"/>
      <c r="I2669" s="3775"/>
      <c r="J2669" s="3071" t="str">
        <f>$C$1588</f>
        <v>354450_2019_12_</v>
      </c>
      <c r="K2669" s="2703">
        <v>19</v>
      </c>
      <c r="L2669" s="945"/>
      <c r="M2669" s="2718" t="s">
        <v>1510</v>
      </c>
      <c r="N2669" s="157"/>
      <c r="O2669" s="277"/>
      <c r="P2669" s="277"/>
      <c r="Q2669" s="277"/>
      <c r="R2669" s="277"/>
      <c r="S2669" s="157"/>
      <c r="T2669" s="157"/>
      <c r="U2669" s="157"/>
      <c r="V2669" s="3589"/>
      <c r="W2669" s="766">
        <v>19</v>
      </c>
      <c r="X2669" s="766">
        <v>19</v>
      </c>
      <c r="Y2669" s="781">
        <v>19</v>
      </c>
      <c r="Z2669" s="781">
        <v>19</v>
      </c>
      <c r="AA2669" s="781">
        <v>19</v>
      </c>
      <c r="AB2669" s="2703">
        <v>19</v>
      </c>
      <c r="AC2669" s="766"/>
      <c r="AD2669" s="766"/>
      <c r="AE2669" s="766"/>
      <c r="AF2669" s="766"/>
      <c r="AG2669" s="766"/>
      <c r="BB2669" s="647"/>
      <c r="BC2669" s="648"/>
      <c r="BD2669" s="757"/>
      <c r="BE2669" s="659"/>
    </row>
    <row r="2670" spans="1:57" s="64" customFormat="1" ht="15" customHeight="1" outlineLevel="1" x14ac:dyDescent="0.25">
      <c r="A2670" s="1393"/>
      <c r="B2670" s="157"/>
      <c r="C2670" s="385"/>
      <c r="D2670" s="3589"/>
      <c r="E2670" s="3721"/>
      <c r="F2670" s="3773" t="str">
        <f>$E$1590</f>
        <v>ASHP - SEER 19 - replace electric furnace / CAC - early replacement MF ER1_CompE</v>
      </c>
      <c r="G2670" s="3774"/>
      <c r="H2670" s="3774"/>
      <c r="I2670" s="3775"/>
      <c r="J2670" s="3071" t="str">
        <f>$C$1590</f>
        <v>354451_2019_12_</v>
      </c>
      <c r="K2670" s="2703">
        <v>19</v>
      </c>
      <c r="L2670" s="945"/>
      <c r="M2670" s="2718"/>
      <c r="N2670" s="157"/>
      <c r="O2670" s="277"/>
      <c r="P2670" s="277"/>
      <c r="Q2670" s="277"/>
      <c r="R2670" s="277"/>
      <c r="S2670" s="157"/>
      <c r="T2670" s="157"/>
      <c r="U2670" s="157"/>
      <c r="V2670" s="3589"/>
      <c r="W2670" s="766"/>
      <c r="X2670" s="766"/>
      <c r="Y2670" s="786">
        <v>19</v>
      </c>
      <c r="Z2670" s="781">
        <v>19</v>
      </c>
      <c r="AA2670" s="781">
        <v>19</v>
      </c>
      <c r="AB2670" s="2703">
        <v>19</v>
      </c>
      <c r="AC2670" s="766"/>
      <c r="AD2670" s="766"/>
      <c r="AE2670" s="766"/>
      <c r="AF2670" s="766"/>
      <c r="AG2670" s="766"/>
      <c r="BB2670" s="647"/>
      <c r="BC2670" s="648"/>
      <c r="BD2670" s="757"/>
      <c r="BE2670" s="659"/>
    </row>
    <row r="2671" spans="1:57" s="64" customFormat="1" ht="15" customHeight="1" outlineLevel="1" x14ac:dyDescent="0.25">
      <c r="A2671" s="1393"/>
      <c r="B2671" s="157"/>
      <c r="C2671" s="385"/>
      <c r="D2671" s="3589"/>
      <c r="E2671" s="3721"/>
      <c r="F2671" s="3773" t="str">
        <f>$E$1592</f>
        <v>ASHP - SEER 19 - replace electric furnace / CAC - early replacement MF ER2_CompE</v>
      </c>
      <c r="G2671" s="3774"/>
      <c r="H2671" s="3774"/>
      <c r="I2671" s="3775"/>
      <c r="J2671" s="3071" t="str">
        <f>$C$1592</f>
        <v>354451_2019_12_</v>
      </c>
      <c r="K2671" s="2703">
        <v>19</v>
      </c>
      <c r="L2671" s="945"/>
      <c r="M2671" s="2718"/>
      <c r="N2671" s="157"/>
      <c r="O2671" s="277"/>
      <c r="P2671" s="277"/>
      <c r="Q2671" s="277"/>
      <c r="R2671" s="277"/>
      <c r="S2671" s="157"/>
      <c r="T2671" s="157"/>
      <c r="U2671" s="157"/>
      <c r="V2671" s="3589"/>
      <c r="W2671" s="766"/>
      <c r="X2671" s="766"/>
      <c r="Y2671" s="786">
        <v>19</v>
      </c>
      <c r="Z2671" s="781">
        <v>19</v>
      </c>
      <c r="AA2671" s="781">
        <v>19</v>
      </c>
      <c r="AB2671" s="2703">
        <v>19</v>
      </c>
      <c r="AC2671" s="766"/>
      <c r="AD2671" s="766"/>
      <c r="AE2671" s="766"/>
      <c r="AF2671" s="766"/>
      <c r="AG2671" s="766"/>
      <c r="BB2671" s="647"/>
      <c r="BC2671" s="648"/>
      <c r="BD2671" s="757"/>
      <c r="BE2671" s="659"/>
    </row>
    <row r="2672" spans="1:57" s="64" customFormat="1" ht="15" customHeight="1" outlineLevel="1" x14ac:dyDescent="0.25">
      <c r="A2672" s="1393"/>
      <c r="B2672" s="157"/>
      <c r="C2672" s="385"/>
      <c r="D2672" s="3589"/>
      <c r="E2672" s="3721"/>
      <c r="F2672" s="3773" t="str">
        <f>$E$1594</f>
        <v>ASHP SEER 19 replace ASHP - early replacement MF ER1</v>
      </c>
      <c r="G2672" s="3774"/>
      <c r="H2672" s="3774"/>
      <c r="I2672" s="3775"/>
      <c r="J2672" s="3071" t="str">
        <f>$C$1594</f>
        <v>354500_2019_12_</v>
      </c>
      <c r="K2672" s="2703">
        <v>19</v>
      </c>
      <c r="L2672" s="945"/>
      <c r="M2672" s="2718" t="s">
        <v>1510</v>
      </c>
      <c r="N2672" s="157"/>
      <c r="O2672" s="277"/>
      <c r="P2672" s="277"/>
      <c r="Q2672" s="277"/>
      <c r="R2672" s="277"/>
      <c r="S2672" s="157"/>
      <c r="T2672" s="157"/>
      <c r="U2672" s="157"/>
      <c r="V2672" s="3589"/>
      <c r="W2672" s="766">
        <v>19</v>
      </c>
      <c r="X2672" s="766">
        <v>19</v>
      </c>
      <c r="Y2672" s="781">
        <v>19</v>
      </c>
      <c r="Z2672" s="781">
        <v>19</v>
      </c>
      <c r="AA2672" s="781">
        <v>19</v>
      </c>
      <c r="AB2672" s="2703">
        <v>19</v>
      </c>
      <c r="AC2672" s="766"/>
      <c r="AD2672" s="766"/>
      <c r="AE2672" s="766"/>
      <c r="AF2672" s="766"/>
      <c r="AG2672" s="766"/>
      <c r="BB2672" s="647"/>
      <c r="BC2672" s="648"/>
      <c r="BD2672" s="757"/>
      <c r="BE2672" s="659"/>
    </row>
    <row r="2673" spans="1:57" s="64" customFormat="1" ht="15" customHeight="1" outlineLevel="1" x14ac:dyDescent="0.25">
      <c r="A2673" s="1393"/>
      <c r="B2673" s="157"/>
      <c r="C2673" s="385"/>
      <c r="D2673" s="3589"/>
      <c r="E2673" s="3721"/>
      <c r="F2673" s="3773" t="str">
        <f>$E$1596</f>
        <v>ASHP SEER 19 replace ASHP - early replacement MF ER2</v>
      </c>
      <c r="G2673" s="3774"/>
      <c r="H2673" s="3774"/>
      <c r="I2673" s="3775"/>
      <c r="J2673" s="3071" t="str">
        <f>$C$1596</f>
        <v>354500_2019_12_</v>
      </c>
      <c r="K2673" s="2703">
        <v>19</v>
      </c>
      <c r="L2673" s="945"/>
      <c r="M2673" s="2718" t="s">
        <v>1510</v>
      </c>
      <c r="N2673" s="157"/>
      <c r="O2673" s="277"/>
      <c r="P2673" s="277"/>
      <c r="Q2673" s="277"/>
      <c r="R2673" s="277"/>
      <c r="S2673" s="157"/>
      <c r="T2673" s="157"/>
      <c r="U2673" s="157"/>
      <c r="V2673" s="3589"/>
      <c r="W2673" s="766">
        <v>19</v>
      </c>
      <c r="X2673" s="766">
        <v>19</v>
      </c>
      <c r="Y2673" s="781">
        <v>19</v>
      </c>
      <c r="Z2673" s="781">
        <v>19</v>
      </c>
      <c r="AA2673" s="781">
        <v>19</v>
      </c>
      <c r="AB2673" s="2703">
        <v>19</v>
      </c>
      <c r="AC2673" s="766"/>
      <c r="AD2673" s="766"/>
      <c r="AE2673" s="766"/>
      <c r="AF2673" s="766"/>
      <c r="AG2673" s="766"/>
      <c r="BB2673" s="647"/>
      <c r="BC2673" s="648"/>
      <c r="BD2673" s="757"/>
      <c r="BE2673" s="659"/>
    </row>
    <row r="2674" spans="1:57" s="64" customFormat="1" ht="15" customHeight="1" outlineLevel="1" x14ac:dyDescent="0.25">
      <c r="A2674" s="1393"/>
      <c r="B2674" s="157"/>
      <c r="C2674" s="385"/>
      <c r="D2674" s="3589"/>
      <c r="E2674" s="3721"/>
      <c r="F2674" s="3773" t="str">
        <f>$E$1598</f>
        <v>ASHP SEER 19 replace ASHP - early replacement MF ER1_CompE</v>
      </c>
      <c r="G2674" s="3774"/>
      <c r="H2674" s="3774"/>
      <c r="I2674" s="3775"/>
      <c r="J2674" s="3071" t="str">
        <f>$C$1598</f>
        <v>354501_2019_12_</v>
      </c>
      <c r="K2674" s="2703">
        <v>19</v>
      </c>
      <c r="L2674" s="945"/>
      <c r="M2674" s="2718"/>
      <c r="N2674" s="157"/>
      <c r="O2674" s="277"/>
      <c r="P2674" s="277"/>
      <c r="Q2674" s="277"/>
      <c r="R2674" s="277"/>
      <c r="S2674" s="157"/>
      <c r="T2674" s="157"/>
      <c r="U2674" s="157"/>
      <c r="V2674" s="3589"/>
      <c r="W2674" s="766"/>
      <c r="X2674" s="766"/>
      <c r="Y2674" s="786">
        <v>19</v>
      </c>
      <c r="Z2674" s="781">
        <v>19</v>
      </c>
      <c r="AA2674" s="781">
        <v>19</v>
      </c>
      <c r="AB2674" s="2703">
        <v>19</v>
      </c>
      <c r="AC2674" s="766"/>
      <c r="AD2674" s="766"/>
      <c r="AE2674" s="766"/>
      <c r="AF2674" s="766"/>
      <c r="AG2674" s="766"/>
      <c r="BB2674" s="647"/>
      <c r="BC2674" s="648"/>
      <c r="BD2674" s="757"/>
      <c r="BE2674" s="659"/>
    </row>
    <row r="2675" spans="1:57" s="64" customFormat="1" ht="15" customHeight="1" outlineLevel="1" x14ac:dyDescent="0.25">
      <c r="A2675" s="1393"/>
      <c r="B2675" s="157"/>
      <c r="C2675" s="385"/>
      <c r="D2675" s="3589"/>
      <c r="E2675" s="3721"/>
      <c r="F2675" s="3773" t="str">
        <f>$E$1600</f>
        <v>ASHP SEER 19 replace ASHP - early replacement MF ER2_CompE</v>
      </c>
      <c r="G2675" s="3774"/>
      <c r="H2675" s="3774"/>
      <c r="I2675" s="3775"/>
      <c r="J2675" s="3071" t="str">
        <f>$C$1600</f>
        <v>354501_2019_12_</v>
      </c>
      <c r="K2675" s="2703">
        <v>19</v>
      </c>
      <c r="L2675" s="945"/>
      <c r="M2675" s="2718"/>
      <c r="N2675" s="157"/>
      <c r="O2675" s="277"/>
      <c r="P2675" s="277"/>
      <c r="Q2675" s="277"/>
      <c r="R2675" s="277"/>
      <c r="S2675" s="157"/>
      <c r="T2675" s="157"/>
      <c r="U2675" s="157"/>
      <c r="V2675" s="3589"/>
      <c r="W2675" s="766"/>
      <c r="X2675" s="766"/>
      <c r="Y2675" s="786">
        <v>19</v>
      </c>
      <c r="Z2675" s="781">
        <v>19</v>
      </c>
      <c r="AA2675" s="781">
        <v>19</v>
      </c>
      <c r="AB2675" s="2703">
        <v>19</v>
      </c>
      <c r="AC2675" s="766"/>
      <c r="AD2675" s="766"/>
      <c r="AE2675" s="766"/>
      <c r="AF2675" s="766"/>
      <c r="AG2675" s="766"/>
      <c r="BB2675" s="647"/>
      <c r="BC2675" s="648"/>
      <c r="BD2675" s="757"/>
      <c r="BE2675" s="659"/>
    </row>
    <row r="2676" spans="1:57" s="64" customFormat="1" ht="15" customHeight="1" outlineLevel="1" x14ac:dyDescent="0.25">
      <c r="A2676" s="1393"/>
      <c r="B2676" s="157"/>
      <c r="C2676" s="385"/>
      <c r="D2676" s="3589"/>
      <c r="E2676" s="3721"/>
      <c r="F2676" s="3773" t="str">
        <f>$E$1602</f>
        <v>ASHP SEER 20 replace ASHP - early replacement SF ER1</v>
      </c>
      <c r="G2676" s="3774"/>
      <c r="H2676" s="3774"/>
      <c r="I2676" s="3775"/>
      <c r="J2676" s="3071" t="str">
        <f>$C$1602</f>
        <v>354550_2019_12_</v>
      </c>
      <c r="K2676" s="2703">
        <v>20</v>
      </c>
      <c r="L2676" s="945"/>
      <c r="M2676" s="2718" t="s">
        <v>1510</v>
      </c>
      <c r="N2676" s="157"/>
      <c r="O2676" s="277"/>
      <c r="P2676" s="277"/>
      <c r="Q2676" s="277"/>
      <c r="R2676" s="277"/>
      <c r="S2676" s="157"/>
      <c r="T2676" s="157"/>
      <c r="U2676" s="157"/>
      <c r="V2676" s="3589"/>
      <c r="W2676" s="766">
        <v>20</v>
      </c>
      <c r="X2676" s="766">
        <v>20</v>
      </c>
      <c r="Y2676" s="781">
        <v>20</v>
      </c>
      <c r="Z2676" s="781">
        <v>20</v>
      </c>
      <c r="AA2676" s="781">
        <v>20</v>
      </c>
      <c r="AB2676" s="2703">
        <v>20</v>
      </c>
      <c r="AC2676" s="766"/>
      <c r="AD2676" s="766"/>
      <c r="AE2676" s="766"/>
      <c r="AF2676" s="766"/>
      <c r="AG2676" s="766"/>
      <c r="BB2676" s="647"/>
      <c r="BC2676" s="648"/>
      <c r="BD2676" s="757"/>
      <c r="BE2676" s="659"/>
    </row>
    <row r="2677" spans="1:57" s="64" customFormat="1" ht="15" customHeight="1" outlineLevel="1" x14ac:dyDescent="0.25">
      <c r="A2677" s="1393"/>
      <c r="B2677" s="157"/>
      <c r="C2677" s="385"/>
      <c r="D2677" s="3589"/>
      <c r="E2677" s="3721"/>
      <c r="F2677" s="3773" t="str">
        <f>$E$1604</f>
        <v>ASHP SEER 20 replace ASHP - early replacement SF ER2</v>
      </c>
      <c r="G2677" s="3774"/>
      <c r="H2677" s="3774"/>
      <c r="I2677" s="3775"/>
      <c r="J2677" s="3071" t="str">
        <f>$C$1604</f>
        <v>354550_2019_12_</v>
      </c>
      <c r="K2677" s="2703">
        <v>20</v>
      </c>
      <c r="L2677" s="945"/>
      <c r="M2677" s="2718" t="s">
        <v>1510</v>
      </c>
      <c r="N2677" s="157"/>
      <c r="O2677" s="277"/>
      <c r="P2677" s="277"/>
      <c r="Q2677" s="277"/>
      <c r="R2677" s="277"/>
      <c r="S2677" s="157"/>
      <c r="T2677" s="157"/>
      <c r="U2677" s="157"/>
      <c r="V2677" s="3589"/>
      <c r="W2677" s="766">
        <v>20</v>
      </c>
      <c r="X2677" s="766">
        <v>20</v>
      </c>
      <c r="Y2677" s="781">
        <v>20</v>
      </c>
      <c r="Z2677" s="781">
        <v>20</v>
      </c>
      <c r="AA2677" s="781">
        <v>20</v>
      </c>
      <c r="AB2677" s="2703">
        <v>20</v>
      </c>
      <c r="AC2677" s="766"/>
      <c r="AD2677" s="766"/>
      <c r="AE2677" s="766"/>
      <c r="AF2677" s="766"/>
      <c r="AG2677" s="766"/>
      <c r="BB2677" s="647"/>
      <c r="BC2677" s="648"/>
      <c r="BD2677" s="757"/>
      <c r="BE2677" s="659"/>
    </row>
    <row r="2678" spans="1:57" s="64" customFormat="1" ht="15" customHeight="1" outlineLevel="1" x14ac:dyDescent="0.25">
      <c r="A2678" s="1393"/>
      <c r="B2678" s="157"/>
      <c r="C2678" s="385"/>
      <c r="D2678" s="3589"/>
      <c r="E2678" s="3721"/>
      <c r="F2678" s="3773" t="str">
        <f>$E$1606</f>
        <v>ASHP SEER 20 replace ASHP - replace on fail SF</v>
      </c>
      <c r="G2678" s="3774"/>
      <c r="H2678" s="3774"/>
      <c r="I2678" s="3775"/>
      <c r="J2678" s="3071" t="str">
        <f>$C$1606</f>
        <v>354600_2019_12_</v>
      </c>
      <c r="K2678" s="2703">
        <v>20</v>
      </c>
      <c r="L2678" s="945"/>
      <c r="M2678" s="2718" t="s">
        <v>1510</v>
      </c>
      <c r="N2678" s="157"/>
      <c r="O2678" s="277"/>
      <c r="P2678" s="277"/>
      <c r="Q2678" s="277"/>
      <c r="R2678" s="277"/>
      <c r="S2678" s="157"/>
      <c r="T2678" s="157"/>
      <c r="U2678" s="157"/>
      <c r="V2678" s="3589"/>
      <c r="W2678" s="766">
        <v>20</v>
      </c>
      <c r="X2678" s="766">
        <v>20</v>
      </c>
      <c r="Y2678" s="781">
        <v>20</v>
      </c>
      <c r="Z2678" s="781">
        <v>20</v>
      </c>
      <c r="AA2678" s="781">
        <v>20</v>
      </c>
      <c r="AB2678" s="2703">
        <v>20</v>
      </c>
      <c r="AC2678" s="766"/>
      <c r="AD2678" s="766"/>
      <c r="AE2678" s="766"/>
      <c r="AF2678" s="766"/>
      <c r="AG2678" s="766"/>
      <c r="BB2678" s="647"/>
      <c r="BC2678" s="648"/>
      <c r="BD2678" s="757"/>
      <c r="BE2678" s="659"/>
    </row>
    <row r="2679" spans="1:57" s="64" customFormat="1" ht="15" customHeight="1" outlineLevel="1" x14ac:dyDescent="0.25">
      <c r="A2679" s="1393"/>
      <c r="B2679" s="157"/>
      <c r="C2679" s="385"/>
      <c r="D2679" s="3589"/>
      <c r="E2679" s="3721"/>
      <c r="F2679" s="3773" t="str">
        <f>$E$1608</f>
        <v>ASHP - SEER 20 - replace electric furnace / CAC - early replacement MF ER1</v>
      </c>
      <c r="G2679" s="3774"/>
      <c r="H2679" s="3774"/>
      <c r="I2679" s="3775"/>
      <c r="J2679" s="3071" t="str">
        <f>$C$1608</f>
        <v>354650_2019_12_</v>
      </c>
      <c r="K2679" s="2703">
        <v>20</v>
      </c>
      <c r="L2679" s="945"/>
      <c r="M2679" s="2718" t="s">
        <v>1510</v>
      </c>
      <c r="N2679" s="157"/>
      <c r="O2679" s="277"/>
      <c r="P2679" s="277"/>
      <c r="Q2679" s="277"/>
      <c r="R2679" s="277"/>
      <c r="S2679" s="157"/>
      <c r="T2679" s="157"/>
      <c r="U2679" s="157"/>
      <c r="V2679" s="3589"/>
      <c r="W2679" s="766">
        <v>20</v>
      </c>
      <c r="X2679" s="766">
        <v>20</v>
      </c>
      <c r="Y2679" s="781">
        <v>20</v>
      </c>
      <c r="Z2679" s="781">
        <v>20</v>
      </c>
      <c r="AA2679" s="781">
        <v>20</v>
      </c>
      <c r="AB2679" s="2703">
        <v>20</v>
      </c>
      <c r="AC2679" s="766"/>
      <c r="AD2679" s="766"/>
      <c r="AE2679" s="766"/>
      <c r="AF2679" s="766"/>
      <c r="AG2679" s="766"/>
      <c r="BB2679" s="647"/>
      <c r="BC2679" s="648"/>
      <c r="BD2679" s="757"/>
      <c r="BE2679" s="659"/>
    </row>
    <row r="2680" spans="1:57" s="64" customFormat="1" ht="15" customHeight="1" outlineLevel="1" x14ac:dyDescent="0.25">
      <c r="A2680" s="1393"/>
      <c r="B2680" s="157"/>
      <c r="C2680" s="385"/>
      <c r="D2680" s="3589"/>
      <c r="E2680" s="3721"/>
      <c r="F2680" s="3773" t="str">
        <f>$E$1610</f>
        <v>ASHP - SEER 20 - replace electric furnace / CAC - early replacement MF ER2</v>
      </c>
      <c r="G2680" s="3774"/>
      <c r="H2680" s="3774"/>
      <c r="I2680" s="3775"/>
      <c r="J2680" s="3071" t="str">
        <f>$C$1610</f>
        <v>354650_2019_12_</v>
      </c>
      <c r="K2680" s="2703">
        <v>20</v>
      </c>
      <c r="L2680" s="945"/>
      <c r="M2680" s="929" t="s">
        <v>1510</v>
      </c>
      <c r="N2680" s="157"/>
      <c r="O2680" s="277"/>
      <c r="P2680" s="277"/>
      <c r="Q2680" s="277"/>
      <c r="R2680" s="277"/>
      <c r="S2680" s="157"/>
      <c r="T2680" s="157"/>
      <c r="U2680" s="157"/>
      <c r="V2680" s="3589"/>
      <c r="W2680" s="766">
        <v>20</v>
      </c>
      <c r="X2680" s="766">
        <v>20</v>
      </c>
      <c r="Y2680" s="781">
        <v>20</v>
      </c>
      <c r="Z2680" s="781">
        <v>20</v>
      </c>
      <c r="AA2680" s="781">
        <v>20</v>
      </c>
      <c r="AB2680" s="2703">
        <v>20</v>
      </c>
      <c r="AC2680" s="766"/>
      <c r="AD2680" s="766"/>
      <c r="AE2680" s="766"/>
      <c r="AF2680" s="766"/>
      <c r="AG2680" s="766"/>
      <c r="BB2680" s="647"/>
      <c r="BC2680" s="648"/>
      <c r="BD2680" s="757"/>
      <c r="BE2680" s="659"/>
    </row>
    <row r="2681" spans="1:57" s="64" customFormat="1" ht="15" customHeight="1" outlineLevel="1" x14ac:dyDescent="0.25">
      <c r="A2681" s="1393"/>
      <c r="B2681" s="157"/>
      <c r="C2681" s="385"/>
      <c r="D2681" s="3589"/>
      <c r="E2681" s="3721"/>
      <c r="F2681" s="3773" t="str">
        <f>$E$1612</f>
        <v>ASHP - SEER 20 - replace electric furnace / CAC - early replacement MF ER1_CompE</v>
      </c>
      <c r="G2681" s="3774"/>
      <c r="H2681" s="3774"/>
      <c r="I2681" s="3775"/>
      <c r="J2681" s="3071" t="str">
        <f>$C$1612</f>
        <v>354651_2019_12_</v>
      </c>
      <c r="K2681" s="2703">
        <v>20</v>
      </c>
      <c r="L2681" s="945"/>
      <c r="M2681" s="929"/>
      <c r="N2681" s="157"/>
      <c r="O2681" s="277"/>
      <c r="P2681" s="277"/>
      <c r="Q2681" s="277"/>
      <c r="R2681" s="277"/>
      <c r="S2681" s="157"/>
      <c r="T2681" s="157"/>
      <c r="U2681" s="157"/>
      <c r="V2681" s="3589"/>
      <c r="W2681" s="766"/>
      <c r="X2681" s="766"/>
      <c r="Y2681" s="786">
        <v>20</v>
      </c>
      <c r="Z2681" s="781">
        <v>20</v>
      </c>
      <c r="AA2681" s="781">
        <v>20</v>
      </c>
      <c r="AB2681" s="2703">
        <v>20</v>
      </c>
      <c r="AC2681" s="766"/>
      <c r="AD2681" s="766"/>
      <c r="AE2681" s="766"/>
      <c r="AF2681" s="766"/>
      <c r="AG2681" s="766"/>
      <c r="BB2681" s="647"/>
      <c r="BC2681" s="648"/>
      <c r="BD2681" s="757"/>
      <c r="BE2681" s="659"/>
    </row>
    <row r="2682" spans="1:57" s="64" customFormat="1" ht="15" customHeight="1" outlineLevel="1" x14ac:dyDescent="0.25">
      <c r="A2682" s="1393"/>
      <c r="B2682" s="157"/>
      <c r="C2682" s="385"/>
      <c r="D2682" s="3589"/>
      <c r="E2682" s="3721"/>
      <c r="F2682" s="3773" t="str">
        <f>$E$1614</f>
        <v>ASHP - SEER 20 - replace electric furnace / CAC - early replacement MF ER2_CompE</v>
      </c>
      <c r="G2682" s="3774"/>
      <c r="H2682" s="3774"/>
      <c r="I2682" s="3775"/>
      <c r="J2682" s="3071" t="str">
        <f>$C$1614</f>
        <v>354651_2019_12_</v>
      </c>
      <c r="K2682" s="2703">
        <v>20</v>
      </c>
      <c r="L2682" s="945"/>
      <c r="M2682" s="929"/>
      <c r="N2682" s="157"/>
      <c r="O2682" s="277"/>
      <c r="P2682" s="277"/>
      <c r="Q2682" s="277"/>
      <c r="R2682" s="277"/>
      <c r="S2682" s="157"/>
      <c r="T2682" s="157"/>
      <c r="U2682" s="157"/>
      <c r="V2682" s="3589"/>
      <c r="W2682" s="766"/>
      <c r="X2682" s="766"/>
      <c r="Y2682" s="786">
        <v>20</v>
      </c>
      <c r="Z2682" s="781">
        <v>20</v>
      </c>
      <c r="AA2682" s="781">
        <v>20</v>
      </c>
      <c r="AB2682" s="2703">
        <v>20</v>
      </c>
      <c r="AC2682" s="766"/>
      <c r="AD2682" s="766"/>
      <c r="AE2682" s="766"/>
      <c r="AF2682" s="766"/>
      <c r="AG2682" s="766"/>
      <c r="BB2682" s="647"/>
      <c r="BC2682" s="648"/>
      <c r="BD2682" s="757"/>
      <c r="BE2682" s="659"/>
    </row>
    <row r="2683" spans="1:57" s="64" customFormat="1" ht="15" customHeight="1" outlineLevel="1" x14ac:dyDescent="0.25">
      <c r="A2683" s="1393"/>
      <c r="B2683" s="157"/>
      <c r="C2683" s="385"/>
      <c r="D2683" s="3589"/>
      <c r="E2683" s="3721"/>
      <c r="F2683" s="3773" t="str">
        <f>$E$1616</f>
        <v>ASHP SEER 20 replace ASHP - early replacement MF ER1</v>
      </c>
      <c r="G2683" s="3774"/>
      <c r="H2683" s="3774"/>
      <c r="I2683" s="3775"/>
      <c r="J2683" s="3071" t="str">
        <f>$C$1616</f>
        <v>354700_2019_12_</v>
      </c>
      <c r="K2683" s="2703">
        <v>20</v>
      </c>
      <c r="L2683" s="945"/>
      <c r="M2683" s="929" t="s">
        <v>1510</v>
      </c>
      <c r="N2683" s="157"/>
      <c r="O2683" s="277"/>
      <c r="P2683" s="277"/>
      <c r="Q2683" s="277"/>
      <c r="R2683" s="277"/>
      <c r="S2683" s="157"/>
      <c r="T2683" s="157"/>
      <c r="U2683" s="157"/>
      <c r="V2683" s="3589"/>
      <c r="W2683" s="766">
        <v>20</v>
      </c>
      <c r="X2683" s="766">
        <v>20</v>
      </c>
      <c r="Y2683" s="781">
        <v>20</v>
      </c>
      <c r="Z2683" s="781">
        <v>20</v>
      </c>
      <c r="AA2683" s="781">
        <v>20</v>
      </c>
      <c r="AB2683" s="2703">
        <v>20</v>
      </c>
      <c r="AC2683" s="766"/>
      <c r="AD2683" s="766"/>
      <c r="AE2683" s="766"/>
      <c r="AF2683" s="766"/>
      <c r="AG2683" s="766"/>
      <c r="BB2683" s="647"/>
      <c r="BC2683" s="648"/>
      <c r="BD2683" s="757"/>
      <c r="BE2683" s="659"/>
    </row>
    <row r="2684" spans="1:57" s="64" customFormat="1" ht="15" customHeight="1" outlineLevel="1" x14ac:dyDescent="0.25">
      <c r="A2684" s="1393"/>
      <c r="B2684" s="157"/>
      <c r="C2684" s="385"/>
      <c r="D2684" s="3589"/>
      <c r="E2684" s="3721"/>
      <c r="F2684" s="3773" t="str">
        <f>$E$1618</f>
        <v>ASHP SEER 20 replace ASHP - early replacement MF ER2</v>
      </c>
      <c r="G2684" s="3774"/>
      <c r="H2684" s="3774"/>
      <c r="I2684" s="3775"/>
      <c r="J2684" s="3071" t="str">
        <f>$C$1618</f>
        <v>354700_2019_12_</v>
      </c>
      <c r="K2684" s="2703">
        <v>20</v>
      </c>
      <c r="L2684" s="945"/>
      <c r="M2684" s="929" t="s">
        <v>1510</v>
      </c>
      <c r="N2684" s="157"/>
      <c r="O2684" s="277"/>
      <c r="P2684" s="277"/>
      <c r="Q2684" s="277"/>
      <c r="R2684" s="277"/>
      <c r="S2684" s="157"/>
      <c r="T2684" s="157"/>
      <c r="U2684" s="157"/>
      <c r="V2684" s="3589"/>
      <c r="W2684" s="766">
        <v>20</v>
      </c>
      <c r="X2684" s="766">
        <v>20</v>
      </c>
      <c r="Y2684" s="781">
        <v>20</v>
      </c>
      <c r="Z2684" s="781">
        <v>20</v>
      </c>
      <c r="AA2684" s="781">
        <v>20</v>
      </c>
      <c r="AB2684" s="2703">
        <v>20</v>
      </c>
      <c r="AC2684" s="766"/>
      <c r="AD2684" s="766"/>
      <c r="AE2684" s="766"/>
      <c r="AF2684" s="766"/>
      <c r="AG2684" s="766"/>
      <c r="BB2684" s="647"/>
      <c r="BC2684" s="648"/>
      <c r="BD2684" s="757"/>
      <c r="BE2684" s="659"/>
    </row>
    <row r="2685" spans="1:57" s="64" customFormat="1" ht="15" customHeight="1" outlineLevel="1" x14ac:dyDescent="0.25">
      <c r="A2685" s="1393"/>
      <c r="B2685" s="157"/>
      <c r="C2685" s="385"/>
      <c r="D2685" s="3589"/>
      <c r="E2685" s="3721"/>
      <c r="F2685" s="3773" t="str">
        <f>$E$1620</f>
        <v>ASHP SEER 20 replace ASHP - early replacement MF ER1_CompE</v>
      </c>
      <c r="G2685" s="3774"/>
      <c r="H2685" s="3774"/>
      <c r="I2685" s="3775"/>
      <c r="J2685" s="3071" t="str">
        <f>$C$1620</f>
        <v>354701_2019_12_</v>
      </c>
      <c r="K2685" s="2703">
        <v>20</v>
      </c>
      <c r="L2685" s="945"/>
      <c r="M2685" s="929"/>
      <c r="N2685" s="157"/>
      <c r="O2685" s="277"/>
      <c r="P2685" s="277"/>
      <c r="Q2685" s="277"/>
      <c r="R2685" s="277"/>
      <c r="S2685" s="157"/>
      <c r="T2685" s="157"/>
      <c r="U2685" s="157"/>
      <c r="V2685" s="3589"/>
      <c r="W2685" s="766"/>
      <c r="X2685" s="766"/>
      <c r="Y2685" s="786">
        <v>20</v>
      </c>
      <c r="Z2685" s="781">
        <v>20</v>
      </c>
      <c r="AA2685" s="781">
        <v>20</v>
      </c>
      <c r="AB2685" s="2703">
        <v>20</v>
      </c>
      <c r="AC2685" s="766"/>
      <c r="AD2685" s="766"/>
      <c r="AE2685" s="766"/>
      <c r="AF2685" s="766"/>
      <c r="AG2685" s="766"/>
      <c r="BB2685" s="647"/>
      <c r="BC2685" s="648"/>
      <c r="BD2685" s="757"/>
      <c r="BE2685" s="659"/>
    </row>
    <row r="2686" spans="1:57" s="64" customFormat="1" ht="15" customHeight="1" outlineLevel="1" x14ac:dyDescent="0.25">
      <c r="A2686" s="1393"/>
      <c r="B2686" s="157"/>
      <c r="C2686" s="385"/>
      <c r="D2686" s="3589"/>
      <c r="E2686" s="3721"/>
      <c r="F2686" s="3773" t="str">
        <f>$E$1622</f>
        <v>ASHP SEER 20 replace ASHP - early replacement MF ER2_CompE</v>
      </c>
      <c r="G2686" s="3774"/>
      <c r="H2686" s="3774"/>
      <c r="I2686" s="3775"/>
      <c r="J2686" s="3071" t="str">
        <f>$C$1622</f>
        <v>354701_2019_12_</v>
      </c>
      <c r="K2686" s="2703">
        <v>20</v>
      </c>
      <c r="L2686" s="945"/>
      <c r="M2686" s="929"/>
      <c r="N2686" s="157"/>
      <c r="O2686" s="277"/>
      <c r="P2686" s="277"/>
      <c r="Q2686" s="277"/>
      <c r="R2686" s="277"/>
      <c r="S2686" s="157"/>
      <c r="T2686" s="157"/>
      <c r="U2686" s="157"/>
      <c r="V2686" s="3589"/>
      <c r="W2686" s="766"/>
      <c r="X2686" s="766"/>
      <c r="Y2686" s="786">
        <v>20</v>
      </c>
      <c r="Z2686" s="781">
        <v>20</v>
      </c>
      <c r="AA2686" s="781">
        <v>20</v>
      </c>
      <c r="AB2686" s="2703">
        <v>20</v>
      </c>
      <c r="AC2686" s="766"/>
      <c r="AD2686" s="766"/>
      <c r="AE2686" s="766"/>
      <c r="AF2686" s="766"/>
      <c r="AG2686" s="766"/>
      <c r="BB2686" s="647"/>
      <c r="BC2686" s="648"/>
      <c r="BD2686" s="757"/>
      <c r="BE2686" s="659"/>
    </row>
    <row r="2687" spans="1:57" s="64" customFormat="1" ht="15" customHeight="1" outlineLevel="1" x14ac:dyDescent="0.25">
      <c r="A2687" s="1393"/>
      <c r="B2687" s="157"/>
      <c r="C2687" s="385"/>
      <c r="D2687" s="3589"/>
      <c r="E2687" s="3721"/>
      <c r="F2687" s="3773" t="str">
        <f>$E$1624</f>
        <v>ASHP SEER 21 replace ASHP - early replacement SF ER1</v>
      </c>
      <c r="G2687" s="3774"/>
      <c r="H2687" s="3774"/>
      <c r="I2687" s="3775"/>
      <c r="J2687" s="3071" t="str">
        <f>$C$1624</f>
        <v>354750_2019_12_</v>
      </c>
      <c r="K2687" s="2703">
        <v>21</v>
      </c>
      <c r="L2687" s="945"/>
      <c r="M2687" s="929" t="s">
        <v>1510</v>
      </c>
      <c r="N2687" s="157"/>
      <c r="O2687" s="277"/>
      <c r="P2687" s="277"/>
      <c r="Q2687" s="277"/>
      <c r="R2687" s="277"/>
      <c r="S2687" s="157"/>
      <c r="T2687" s="157"/>
      <c r="U2687" s="157"/>
      <c r="V2687" s="3589"/>
      <c r="W2687" s="766">
        <v>21</v>
      </c>
      <c r="X2687" s="766">
        <v>21</v>
      </c>
      <c r="Y2687" s="781">
        <v>21</v>
      </c>
      <c r="Z2687" s="781">
        <v>21</v>
      </c>
      <c r="AA2687" s="781">
        <v>21</v>
      </c>
      <c r="AB2687" s="2703">
        <v>21</v>
      </c>
      <c r="AC2687" s="766"/>
      <c r="AD2687" s="766"/>
      <c r="AE2687" s="766"/>
      <c r="AF2687" s="766"/>
      <c r="AG2687" s="766"/>
      <c r="BB2687" s="647"/>
      <c r="BC2687" s="648"/>
      <c r="BD2687" s="757"/>
      <c r="BE2687" s="659"/>
    </row>
    <row r="2688" spans="1:57" s="64" customFormat="1" ht="15" customHeight="1" outlineLevel="1" x14ac:dyDescent="0.25">
      <c r="A2688" s="1393"/>
      <c r="B2688" s="157"/>
      <c r="C2688" s="385"/>
      <c r="D2688" s="3589"/>
      <c r="E2688" s="3721"/>
      <c r="F2688" s="3773" t="str">
        <f>$E$1626</f>
        <v>ASHP SEER 21 replace ASHP - early replacement SF ER2</v>
      </c>
      <c r="G2688" s="3774"/>
      <c r="H2688" s="3774"/>
      <c r="I2688" s="3775"/>
      <c r="J2688" s="3071" t="str">
        <f>$C$1626</f>
        <v>354750_2019_12_</v>
      </c>
      <c r="K2688" s="2703">
        <v>21</v>
      </c>
      <c r="L2688" s="945"/>
      <c r="M2688" s="929" t="s">
        <v>1510</v>
      </c>
      <c r="N2688" s="157"/>
      <c r="O2688" s="277"/>
      <c r="P2688" s="277"/>
      <c r="Q2688" s="277"/>
      <c r="R2688" s="277"/>
      <c r="S2688" s="157"/>
      <c r="T2688" s="157"/>
      <c r="U2688" s="157"/>
      <c r="V2688" s="3589"/>
      <c r="W2688" s="766">
        <v>21</v>
      </c>
      <c r="X2688" s="766">
        <v>21</v>
      </c>
      <c r="Y2688" s="781">
        <v>21</v>
      </c>
      <c r="Z2688" s="781">
        <v>21</v>
      </c>
      <c r="AA2688" s="781">
        <v>21</v>
      </c>
      <c r="AB2688" s="2703">
        <v>21</v>
      </c>
      <c r="AC2688" s="766"/>
      <c r="AD2688" s="766"/>
      <c r="AE2688" s="766"/>
      <c r="AF2688" s="766"/>
      <c r="AG2688" s="766"/>
      <c r="BB2688" s="647"/>
      <c r="BC2688" s="648"/>
      <c r="BD2688" s="757"/>
      <c r="BE2688" s="659"/>
    </row>
    <row r="2689" spans="1:57" s="64" customFormat="1" ht="15" customHeight="1" outlineLevel="1" x14ac:dyDescent="0.25">
      <c r="A2689" s="1393"/>
      <c r="B2689" s="157"/>
      <c r="C2689" s="385"/>
      <c r="D2689" s="3589"/>
      <c r="E2689" s="3721"/>
      <c r="F2689" s="3773" t="str">
        <f>$E$1628</f>
        <v>ASHP SEER 21 replace ASHP - replace on fail SF</v>
      </c>
      <c r="G2689" s="3774"/>
      <c r="H2689" s="3774"/>
      <c r="I2689" s="3775"/>
      <c r="J2689" s="3071" t="str">
        <f>$C$1628</f>
        <v>354800_2019_12_</v>
      </c>
      <c r="K2689" s="2703">
        <v>21</v>
      </c>
      <c r="L2689" s="945"/>
      <c r="M2689" s="929" t="s">
        <v>1510</v>
      </c>
      <c r="N2689" s="157"/>
      <c r="O2689" s="277"/>
      <c r="P2689" s="277"/>
      <c r="Q2689" s="277"/>
      <c r="R2689" s="277"/>
      <c r="S2689" s="157"/>
      <c r="T2689" s="157"/>
      <c r="U2689" s="157"/>
      <c r="V2689" s="3589"/>
      <c r="W2689" s="766">
        <v>21</v>
      </c>
      <c r="X2689" s="766">
        <v>21</v>
      </c>
      <c r="Y2689" s="781">
        <v>21</v>
      </c>
      <c r="Z2689" s="781">
        <v>21</v>
      </c>
      <c r="AA2689" s="781">
        <v>21</v>
      </c>
      <c r="AB2689" s="2703">
        <v>21</v>
      </c>
      <c r="AC2689" s="766"/>
      <c r="AD2689" s="766"/>
      <c r="AE2689" s="766"/>
      <c r="AF2689" s="766"/>
      <c r="AG2689" s="766"/>
      <c r="BB2689" s="647"/>
      <c r="BC2689" s="648"/>
      <c r="BD2689" s="757"/>
      <c r="BE2689" s="659"/>
    </row>
    <row r="2690" spans="1:57" s="64" customFormat="1" ht="15" customHeight="1" outlineLevel="1" x14ac:dyDescent="0.25">
      <c r="A2690" s="1393"/>
      <c r="B2690" s="157"/>
      <c r="C2690" s="385"/>
      <c r="D2690" s="3589"/>
      <c r="E2690" s="3721"/>
      <c r="F2690" s="3773" t="str">
        <f>$E$1630</f>
        <v>ASHP - SEER 21 - replace electric furnace / CAC MF</v>
      </c>
      <c r="G2690" s="3774"/>
      <c r="H2690" s="3774"/>
      <c r="I2690" s="3775"/>
      <c r="J2690" s="3071" t="str">
        <f>$C$1630</f>
        <v>354850_2019_12_</v>
      </c>
      <c r="K2690" s="2703">
        <v>21</v>
      </c>
      <c r="L2690" s="945"/>
      <c r="M2690" s="929" t="s">
        <v>1510</v>
      </c>
      <c r="N2690" s="157"/>
      <c r="O2690" s="277"/>
      <c r="P2690" s="277"/>
      <c r="Q2690" s="277"/>
      <c r="R2690" s="277"/>
      <c r="S2690" s="157"/>
      <c r="T2690" s="157"/>
      <c r="U2690" s="157"/>
      <c r="V2690" s="3589"/>
      <c r="W2690" s="766">
        <v>21</v>
      </c>
      <c r="X2690" s="766">
        <v>21</v>
      </c>
      <c r="Y2690" s="781">
        <v>21</v>
      </c>
      <c r="Z2690" s="781">
        <v>21</v>
      </c>
      <c r="AA2690" s="781">
        <v>21</v>
      </c>
      <c r="AB2690" s="2703">
        <v>21</v>
      </c>
      <c r="AC2690" s="766"/>
      <c r="AD2690" s="766"/>
      <c r="AE2690" s="766"/>
      <c r="AF2690" s="766"/>
      <c r="AG2690" s="766"/>
      <c r="BB2690" s="647"/>
      <c r="BC2690" s="648"/>
      <c r="BD2690" s="757"/>
      <c r="BE2690" s="659"/>
    </row>
    <row r="2691" spans="1:57" s="64" customFormat="1" ht="15" customHeight="1" outlineLevel="1" x14ac:dyDescent="0.25">
      <c r="A2691" s="1393"/>
      <c r="B2691" s="157"/>
      <c r="C2691" s="385"/>
      <c r="D2691" s="3589"/>
      <c r="E2691" s="3721"/>
      <c r="F2691" s="3773" t="str">
        <f>$E$1632</f>
        <v>ASHP - SEER 21 - replace electric furnace / CAC MF_CompE</v>
      </c>
      <c r="G2691" s="3774"/>
      <c r="H2691" s="3774"/>
      <c r="I2691" s="3775"/>
      <c r="J2691" s="3071" t="str">
        <f>$C$1632</f>
        <v>354851_2019_12_</v>
      </c>
      <c r="K2691" s="2703">
        <v>21</v>
      </c>
      <c r="L2691" s="945"/>
      <c r="M2691" s="929"/>
      <c r="N2691" s="157"/>
      <c r="O2691" s="277"/>
      <c r="P2691" s="277"/>
      <c r="Q2691" s="277"/>
      <c r="R2691" s="277"/>
      <c r="S2691" s="157"/>
      <c r="T2691" s="157"/>
      <c r="U2691" s="157"/>
      <c r="V2691" s="3589"/>
      <c r="W2691" s="766"/>
      <c r="X2691" s="766"/>
      <c r="Y2691" s="786">
        <v>21</v>
      </c>
      <c r="Z2691" s="781">
        <v>21</v>
      </c>
      <c r="AA2691" s="781">
        <v>21</v>
      </c>
      <c r="AB2691" s="2703">
        <v>21</v>
      </c>
      <c r="AC2691" s="766"/>
      <c r="AD2691" s="766"/>
      <c r="AE2691" s="766"/>
      <c r="AF2691" s="766"/>
      <c r="AG2691" s="766"/>
      <c r="BB2691" s="647"/>
      <c r="BC2691" s="648"/>
      <c r="BD2691" s="757"/>
      <c r="BE2691" s="659"/>
    </row>
    <row r="2692" spans="1:57" s="64" customFormat="1" ht="15" customHeight="1" outlineLevel="1" x14ac:dyDescent="0.25">
      <c r="A2692" s="1393"/>
      <c r="B2692" s="157"/>
      <c r="C2692" s="385"/>
      <c r="D2692" s="3589"/>
      <c r="E2692" s="3721"/>
      <c r="F2692" s="3773" t="str">
        <f>$E$1634</f>
        <v>ASHP SEER 21 replace ASHP - early replacement MF ER1</v>
      </c>
      <c r="G2692" s="3774"/>
      <c r="H2692" s="3774"/>
      <c r="I2692" s="3775"/>
      <c r="J2692" s="3071" t="str">
        <f>$C$1634</f>
        <v>354900_2019_12_</v>
      </c>
      <c r="K2692" s="2703">
        <v>21</v>
      </c>
      <c r="L2692" s="945"/>
      <c r="M2692" s="929" t="s">
        <v>1510</v>
      </c>
      <c r="N2692" s="157"/>
      <c r="O2692" s="277"/>
      <c r="P2692" s="277"/>
      <c r="Q2692" s="277"/>
      <c r="R2692" s="277"/>
      <c r="S2692" s="157"/>
      <c r="T2692" s="157"/>
      <c r="U2692" s="157"/>
      <c r="V2692" s="3589"/>
      <c r="W2692" s="766">
        <v>21</v>
      </c>
      <c r="X2692" s="766">
        <v>21</v>
      </c>
      <c r="Y2692" s="781">
        <v>21</v>
      </c>
      <c r="Z2692" s="781">
        <v>21</v>
      </c>
      <c r="AA2692" s="781">
        <v>21</v>
      </c>
      <c r="AB2692" s="2703">
        <v>21</v>
      </c>
      <c r="AC2692" s="766"/>
      <c r="AD2692" s="766"/>
      <c r="AE2692" s="766"/>
      <c r="AF2692" s="766"/>
      <c r="AG2692" s="766"/>
      <c r="BB2692" s="647"/>
      <c r="BC2692" s="648"/>
      <c r="BD2692" s="757"/>
      <c r="BE2692" s="659"/>
    </row>
    <row r="2693" spans="1:57" s="64" customFormat="1" ht="15" customHeight="1" outlineLevel="1" x14ac:dyDescent="0.25">
      <c r="A2693" s="1393"/>
      <c r="B2693" s="157"/>
      <c r="C2693" s="385"/>
      <c r="D2693" s="3589"/>
      <c r="E2693" s="3721"/>
      <c r="F2693" s="3773" t="str">
        <f>$E$1636</f>
        <v>ASHP SEER 21 replace ASHP - early replacement MF ER2</v>
      </c>
      <c r="G2693" s="3774"/>
      <c r="H2693" s="3774"/>
      <c r="I2693" s="3775"/>
      <c r="J2693" s="3071" t="str">
        <f>$C$1636</f>
        <v>354900_2019_12_</v>
      </c>
      <c r="K2693" s="2703">
        <v>21</v>
      </c>
      <c r="L2693" s="945"/>
      <c r="M2693" s="929" t="s">
        <v>1510</v>
      </c>
      <c r="N2693" s="157"/>
      <c r="O2693" s="277"/>
      <c r="P2693" s="277"/>
      <c r="Q2693" s="277"/>
      <c r="R2693" s="277"/>
      <c r="S2693" s="157"/>
      <c r="T2693" s="157"/>
      <c r="U2693" s="157"/>
      <c r="V2693" s="3589"/>
      <c r="W2693" s="766">
        <v>21</v>
      </c>
      <c r="X2693" s="766">
        <v>21</v>
      </c>
      <c r="Y2693" s="781">
        <v>21</v>
      </c>
      <c r="Z2693" s="781">
        <v>21</v>
      </c>
      <c r="AA2693" s="781">
        <v>21</v>
      </c>
      <c r="AB2693" s="2703">
        <v>21</v>
      </c>
      <c r="AC2693" s="766"/>
      <c r="AD2693" s="766"/>
      <c r="AE2693" s="766"/>
      <c r="AF2693" s="766"/>
      <c r="AG2693" s="766"/>
      <c r="BB2693" s="647"/>
      <c r="BC2693" s="648"/>
      <c r="BD2693" s="757"/>
      <c r="BE2693" s="659"/>
    </row>
    <row r="2694" spans="1:57" s="64" customFormat="1" ht="15" customHeight="1" outlineLevel="1" x14ac:dyDescent="0.25">
      <c r="A2694" s="1393"/>
      <c r="B2694" s="157"/>
      <c r="C2694" s="385"/>
      <c r="D2694" s="3589"/>
      <c r="E2694" s="3721"/>
      <c r="F2694" s="3773" t="str">
        <f>$E$1638</f>
        <v>ASHP SEER 21 replace ASHP - early replacement MF ER1_CompE</v>
      </c>
      <c r="G2694" s="3774"/>
      <c r="H2694" s="3774"/>
      <c r="I2694" s="3775"/>
      <c r="J2694" s="3071" t="str">
        <f>$C$1638</f>
        <v>354901_2019_12_</v>
      </c>
      <c r="K2694" s="2703">
        <v>21</v>
      </c>
      <c r="L2694" s="945"/>
      <c r="M2694" s="929"/>
      <c r="N2694" s="157"/>
      <c r="O2694" s="277"/>
      <c r="P2694" s="277"/>
      <c r="Q2694" s="277"/>
      <c r="R2694" s="277"/>
      <c r="S2694" s="157"/>
      <c r="T2694" s="157"/>
      <c r="U2694" s="157"/>
      <c r="V2694" s="3589"/>
      <c r="W2694" s="766"/>
      <c r="X2694" s="766"/>
      <c r="Y2694" s="786">
        <v>21</v>
      </c>
      <c r="Z2694" s="781">
        <v>21</v>
      </c>
      <c r="AA2694" s="781">
        <v>21</v>
      </c>
      <c r="AB2694" s="2703">
        <v>21</v>
      </c>
      <c r="AC2694" s="766"/>
      <c r="AD2694" s="766"/>
      <c r="AE2694" s="766"/>
      <c r="AF2694" s="766"/>
      <c r="AG2694" s="766"/>
      <c r="BB2694" s="647"/>
      <c r="BC2694" s="648"/>
      <c r="BD2694" s="757"/>
      <c r="BE2694" s="659"/>
    </row>
    <row r="2695" spans="1:57" s="64" customFormat="1" ht="15" customHeight="1" outlineLevel="1" x14ac:dyDescent="0.25">
      <c r="A2695" s="1393"/>
      <c r="B2695" s="157"/>
      <c r="C2695" s="385"/>
      <c r="D2695" s="3589"/>
      <c r="E2695" s="3721"/>
      <c r="F2695" s="3773" t="str">
        <f>$E$1640</f>
        <v>ASHP SEER 21 replace ASHP - early replacement MF ER2_CompE</v>
      </c>
      <c r="G2695" s="3774"/>
      <c r="H2695" s="3774"/>
      <c r="I2695" s="3775"/>
      <c r="J2695" s="3071" t="str">
        <f>$C$1640</f>
        <v>354901_2019_12_</v>
      </c>
      <c r="K2695" s="2703">
        <v>21</v>
      </c>
      <c r="L2695" s="945"/>
      <c r="M2695" s="929"/>
      <c r="N2695" s="157"/>
      <c r="O2695" s="277"/>
      <c r="P2695" s="277"/>
      <c r="Q2695" s="277"/>
      <c r="R2695" s="277"/>
      <c r="S2695" s="157"/>
      <c r="T2695" s="157"/>
      <c r="U2695" s="157"/>
      <c r="V2695" s="3589"/>
      <c r="W2695" s="766"/>
      <c r="X2695" s="766"/>
      <c r="Y2695" s="786">
        <v>21</v>
      </c>
      <c r="Z2695" s="781">
        <v>21</v>
      </c>
      <c r="AA2695" s="781">
        <v>21</v>
      </c>
      <c r="AB2695" s="2703">
        <v>21</v>
      </c>
      <c r="AC2695" s="766"/>
      <c r="AD2695" s="766"/>
      <c r="AE2695" s="766"/>
      <c r="AF2695" s="766"/>
      <c r="AG2695" s="766"/>
      <c r="BB2695" s="647"/>
      <c r="BC2695" s="648"/>
      <c r="BD2695" s="757"/>
      <c r="BE2695" s="659"/>
    </row>
    <row r="2696" spans="1:57" s="64" customFormat="1" ht="15" customHeight="1" outlineLevel="1" x14ac:dyDescent="0.25">
      <c r="A2696" s="2463"/>
      <c r="B2696" s="157"/>
      <c r="C2696" s="385"/>
      <c r="D2696" s="3589"/>
      <c r="E2696" s="3721"/>
      <c r="F2696" s="3773" t="str">
        <f>$E$1642</f>
        <v>ASHP - SEER 17 - replace on fail MF</v>
      </c>
      <c r="G2696" s="3774"/>
      <c r="H2696" s="3774"/>
      <c r="I2696" s="3775"/>
      <c r="J2696" s="3071" t="str">
        <f>$C$1642</f>
        <v>354950_2019_12_</v>
      </c>
      <c r="K2696" s="2703">
        <v>17</v>
      </c>
      <c r="L2696" s="945"/>
      <c r="M2696" s="929" t="s">
        <v>1510</v>
      </c>
      <c r="N2696" s="157"/>
      <c r="O2696" s="277"/>
      <c r="P2696" s="937"/>
      <c r="Q2696" s="938"/>
      <c r="R2696" s="937"/>
      <c r="S2696" s="924"/>
      <c r="T2696" s="1407"/>
      <c r="U2696" s="157"/>
      <c r="V2696" s="3589"/>
      <c r="W2696" s="766">
        <v>17</v>
      </c>
      <c r="X2696" s="766">
        <v>17</v>
      </c>
      <c r="Y2696" s="781">
        <v>17</v>
      </c>
      <c r="Z2696" s="781">
        <v>17</v>
      </c>
      <c r="AA2696" s="781">
        <v>17</v>
      </c>
      <c r="AB2696" s="2703">
        <v>17</v>
      </c>
      <c r="AC2696" s="766"/>
      <c r="AD2696" s="766"/>
      <c r="AE2696" s="766"/>
      <c r="AF2696" s="766"/>
      <c r="AG2696" s="766"/>
      <c r="BB2696" s="647"/>
      <c r="BC2696" s="648"/>
      <c r="BD2696" s="757"/>
      <c r="BE2696" s="659"/>
    </row>
    <row r="2697" spans="1:57" s="64" customFormat="1" ht="15" customHeight="1" outlineLevel="1" x14ac:dyDescent="0.25">
      <c r="A2697" s="2463"/>
      <c r="B2697" s="157"/>
      <c r="C2697" s="385"/>
      <c r="D2697" s="3589"/>
      <c r="E2697" s="3721"/>
      <c r="F2697" s="3773" t="str">
        <f>$E$1644</f>
        <v>ASHP - SEER 17 - replace on fail MF_CompE</v>
      </c>
      <c r="G2697" s="3774"/>
      <c r="H2697" s="3774"/>
      <c r="I2697" s="3775"/>
      <c r="J2697" s="3071" t="str">
        <f>$C$1644</f>
        <v>354951_2019_12_</v>
      </c>
      <c r="K2697" s="2703">
        <v>17</v>
      </c>
      <c r="L2697" s="945"/>
      <c r="M2697" s="929"/>
      <c r="N2697" s="157"/>
      <c r="O2697" s="277"/>
      <c r="P2697" s="937"/>
      <c r="Q2697" s="938"/>
      <c r="R2697" s="937"/>
      <c r="S2697" s="924"/>
      <c r="T2697" s="1407"/>
      <c r="U2697" s="157"/>
      <c r="V2697" s="3589"/>
      <c r="W2697" s="766"/>
      <c r="X2697" s="766"/>
      <c r="Y2697" s="786">
        <v>17</v>
      </c>
      <c r="Z2697" s="781">
        <v>17</v>
      </c>
      <c r="AA2697" s="781">
        <v>17</v>
      </c>
      <c r="AB2697" s="2703">
        <v>17</v>
      </c>
      <c r="AC2697" s="766"/>
      <c r="AD2697" s="766"/>
      <c r="AE2697" s="766"/>
      <c r="AF2697" s="766"/>
      <c r="AG2697" s="766"/>
      <c r="BB2697" s="647"/>
      <c r="BC2697" s="648"/>
      <c r="BD2697" s="757"/>
      <c r="BE2697" s="659"/>
    </row>
    <row r="2698" spans="1:57" s="64" customFormat="1" ht="15" customHeight="1" outlineLevel="1" x14ac:dyDescent="0.25">
      <c r="A2698" s="2463"/>
      <c r="B2698" s="157"/>
      <c r="C2698" s="385"/>
      <c r="D2698" s="3589"/>
      <c r="E2698" s="3721"/>
      <c r="F2698" s="3773" t="str">
        <f>$E$1646</f>
        <v>ASHP - SEER 18 - replace on fail MF</v>
      </c>
      <c r="G2698" s="3774"/>
      <c r="H2698" s="3774"/>
      <c r="I2698" s="3775"/>
      <c r="J2698" s="3071" t="str">
        <f>$C$1646</f>
        <v>355000_2019_12_</v>
      </c>
      <c r="K2698" s="2703">
        <v>18</v>
      </c>
      <c r="L2698" s="945"/>
      <c r="M2698" s="929" t="s">
        <v>1510</v>
      </c>
      <c r="N2698" s="157"/>
      <c r="O2698" s="277"/>
      <c r="P2698" s="937"/>
      <c r="Q2698" s="938"/>
      <c r="R2698" s="937"/>
      <c r="S2698" s="924"/>
      <c r="T2698" s="1407"/>
      <c r="U2698" s="157"/>
      <c r="V2698" s="3589"/>
      <c r="W2698" s="766">
        <v>18</v>
      </c>
      <c r="X2698" s="766">
        <v>18</v>
      </c>
      <c r="Y2698" s="781">
        <v>18</v>
      </c>
      <c r="Z2698" s="781">
        <v>18</v>
      </c>
      <c r="AA2698" s="781">
        <v>18</v>
      </c>
      <c r="AB2698" s="2703">
        <v>18</v>
      </c>
      <c r="AC2698" s="766"/>
      <c r="AD2698" s="766"/>
      <c r="AE2698" s="766"/>
      <c r="AF2698" s="766"/>
      <c r="AG2698" s="766"/>
      <c r="BB2698" s="647"/>
      <c r="BC2698" s="648"/>
      <c r="BD2698" s="757"/>
      <c r="BE2698" s="659"/>
    </row>
    <row r="2699" spans="1:57" s="64" customFormat="1" ht="15" customHeight="1" outlineLevel="1" x14ac:dyDescent="0.25">
      <c r="A2699" s="2463"/>
      <c r="B2699" s="157"/>
      <c r="C2699" s="385"/>
      <c r="D2699" s="3589"/>
      <c r="E2699" s="3721"/>
      <c r="F2699" s="3773" t="str">
        <f>$E$1648</f>
        <v>ASHP - SEER 18 - replace on fail MF_CompE</v>
      </c>
      <c r="G2699" s="3774"/>
      <c r="H2699" s="3774"/>
      <c r="I2699" s="3775"/>
      <c r="J2699" s="3071" t="str">
        <f>$C$1648</f>
        <v>355001_2019_12_</v>
      </c>
      <c r="K2699" s="2703">
        <v>18</v>
      </c>
      <c r="L2699" s="945"/>
      <c r="M2699" s="929"/>
      <c r="N2699" s="157"/>
      <c r="O2699" s="277"/>
      <c r="P2699" s="937"/>
      <c r="Q2699" s="938"/>
      <c r="R2699" s="937"/>
      <c r="S2699" s="924"/>
      <c r="T2699" s="1407"/>
      <c r="U2699" s="157"/>
      <c r="V2699" s="3589"/>
      <c r="W2699" s="766"/>
      <c r="X2699" s="766"/>
      <c r="Y2699" s="786">
        <v>18</v>
      </c>
      <c r="Z2699" s="781">
        <v>18</v>
      </c>
      <c r="AA2699" s="781">
        <v>18</v>
      </c>
      <c r="AB2699" s="2703">
        <v>18</v>
      </c>
      <c r="AC2699" s="766"/>
      <c r="AD2699" s="766"/>
      <c r="AE2699" s="766"/>
      <c r="AF2699" s="766"/>
      <c r="AG2699" s="766"/>
      <c r="BB2699" s="647"/>
      <c r="BC2699" s="648"/>
      <c r="BD2699" s="757"/>
      <c r="BE2699" s="659"/>
    </row>
    <row r="2700" spans="1:57" s="64" customFormat="1" ht="15" customHeight="1" outlineLevel="1" x14ac:dyDescent="0.25">
      <c r="A2700" s="1393"/>
      <c r="B2700" s="157"/>
      <c r="C2700" s="385"/>
      <c r="D2700" s="3589"/>
      <c r="E2700" s="3721"/>
      <c r="F2700" s="3773" t="str">
        <f>$E$1650</f>
        <v>ASHP - SEER 19 - replace on fail MF</v>
      </c>
      <c r="G2700" s="3774"/>
      <c r="H2700" s="3774"/>
      <c r="I2700" s="3775"/>
      <c r="J2700" s="3071" t="str">
        <f>$C$1650</f>
        <v>355050_2019_12_</v>
      </c>
      <c r="K2700" s="2703">
        <v>19</v>
      </c>
      <c r="L2700" s="945"/>
      <c r="M2700" s="929" t="s">
        <v>1510</v>
      </c>
      <c r="N2700" s="157"/>
      <c r="O2700" s="277"/>
      <c r="P2700" s="277"/>
      <c r="Q2700" s="277"/>
      <c r="R2700" s="277"/>
      <c r="S2700" s="157"/>
      <c r="T2700" s="157"/>
      <c r="U2700" s="157"/>
      <c r="V2700" s="3589"/>
      <c r="W2700" s="766">
        <v>19</v>
      </c>
      <c r="X2700" s="766">
        <v>19</v>
      </c>
      <c r="Y2700" s="781">
        <v>19</v>
      </c>
      <c r="Z2700" s="781">
        <v>19</v>
      </c>
      <c r="AA2700" s="781">
        <v>19</v>
      </c>
      <c r="AB2700" s="2703">
        <v>19</v>
      </c>
      <c r="AC2700" s="766"/>
      <c r="AD2700" s="766"/>
      <c r="AE2700" s="766"/>
      <c r="AF2700" s="766"/>
      <c r="AG2700" s="766"/>
      <c r="BB2700" s="647"/>
      <c r="BC2700" s="648"/>
      <c r="BD2700" s="757"/>
      <c r="BE2700" s="659"/>
    </row>
    <row r="2701" spans="1:57" s="64" customFormat="1" ht="15" customHeight="1" outlineLevel="1" x14ac:dyDescent="0.25">
      <c r="A2701" s="1393"/>
      <c r="B2701" s="157"/>
      <c r="C2701" s="385"/>
      <c r="D2701" s="3589"/>
      <c r="E2701" s="3721"/>
      <c r="F2701" s="3773" t="str">
        <f>$E$1652</f>
        <v>ASHP - SEER 19 - replace on fail MF_CompE</v>
      </c>
      <c r="G2701" s="3774"/>
      <c r="H2701" s="3774"/>
      <c r="I2701" s="3775"/>
      <c r="J2701" s="3071" t="str">
        <f>$C$1652</f>
        <v>355051_2019_12_</v>
      </c>
      <c r="K2701" s="2703">
        <v>19</v>
      </c>
      <c r="L2701" s="945"/>
      <c r="M2701" s="929"/>
      <c r="N2701" s="157"/>
      <c r="O2701" s="277"/>
      <c r="P2701" s="277"/>
      <c r="Q2701" s="277"/>
      <c r="R2701" s="277"/>
      <c r="S2701" s="157"/>
      <c r="T2701" s="157"/>
      <c r="U2701" s="157"/>
      <c r="V2701" s="3589"/>
      <c r="W2701" s="766"/>
      <c r="X2701" s="766"/>
      <c r="Y2701" s="786">
        <v>19</v>
      </c>
      <c r="Z2701" s="781">
        <v>19</v>
      </c>
      <c r="AA2701" s="781">
        <v>19</v>
      </c>
      <c r="AB2701" s="2703">
        <v>19</v>
      </c>
      <c r="AC2701" s="766"/>
      <c r="AD2701" s="766"/>
      <c r="AE2701" s="766"/>
      <c r="AF2701" s="766"/>
      <c r="AG2701" s="766"/>
      <c r="BB2701" s="647"/>
      <c r="BC2701" s="648"/>
      <c r="BD2701" s="757"/>
      <c r="BE2701" s="659"/>
    </row>
    <row r="2702" spans="1:57" s="64" customFormat="1" ht="15" customHeight="1" outlineLevel="1" x14ac:dyDescent="0.25">
      <c r="A2702" s="1393"/>
      <c r="B2702" s="157"/>
      <c r="C2702" s="385"/>
      <c r="D2702" s="3589"/>
      <c r="E2702" s="3721"/>
      <c r="F2702" s="3773" t="str">
        <f>$E$1654</f>
        <v>ASHP - SEER 20 - replace on fail MF</v>
      </c>
      <c r="G2702" s="3774"/>
      <c r="H2702" s="3774"/>
      <c r="I2702" s="3775"/>
      <c r="J2702" s="3071" t="str">
        <f>$C$1654</f>
        <v>355100_2019_12_</v>
      </c>
      <c r="K2702" s="2703">
        <v>20</v>
      </c>
      <c r="L2702" s="945"/>
      <c r="M2702" s="929" t="s">
        <v>1510</v>
      </c>
      <c r="N2702" s="157"/>
      <c r="O2702" s="277"/>
      <c r="P2702" s="277"/>
      <c r="Q2702" s="277"/>
      <c r="R2702" s="277"/>
      <c r="S2702" s="157"/>
      <c r="T2702" s="157"/>
      <c r="U2702" s="157"/>
      <c r="V2702" s="3589"/>
      <c r="W2702" s="766">
        <v>20</v>
      </c>
      <c r="X2702" s="766">
        <v>20</v>
      </c>
      <c r="Y2702" s="781">
        <v>20</v>
      </c>
      <c r="Z2702" s="781">
        <v>20</v>
      </c>
      <c r="AA2702" s="781">
        <v>20</v>
      </c>
      <c r="AB2702" s="2703">
        <v>20</v>
      </c>
      <c r="AC2702" s="766"/>
      <c r="AD2702" s="766"/>
      <c r="AE2702" s="766"/>
      <c r="AF2702" s="766"/>
      <c r="AG2702" s="766"/>
      <c r="BB2702" s="647"/>
      <c r="BC2702" s="648"/>
      <c r="BD2702" s="757"/>
      <c r="BE2702" s="659"/>
    </row>
    <row r="2703" spans="1:57" s="64" customFormat="1" ht="15" customHeight="1" outlineLevel="1" x14ac:dyDescent="0.25">
      <c r="A2703" s="1393"/>
      <c r="B2703" s="157"/>
      <c r="C2703" s="385"/>
      <c r="D2703" s="3589"/>
      <c r="E2703" s="3721"/>
      <c r="F2703" s="3773" t="str">
        <f>$E$1656</f>
        <v>ASHP - SEER 20 - replace on fail MF_CompE</v>
      </c>
      <c r="G2703" s="3774"/>
      <c r="H2703" s="3774"/>
      <c r="I2703" s="3775"/>
      <c r="J2703" s="3071" t="str">
        <f>$C$1656</f>
        <v>355101_2019_12_</v>
      </c>
      <c r="K2703" s="2703">
        <v>20</v>
      </c>
      <c r="L2703" s="946"/>
      <c r="M2703" s="939"/>
      <c r="N2703" s="157"/>
      <c r="O2703" s="277"/>
      <c r="P2703" s="277"/>
      <c r="Q2703" s="277"/>
      <c r="R2703" s="277"/>
      <c r="S2703" s="157"/>
      <c r="T2703" s="157"/>
      <c r="U2703" s="157"/>
      <c r="V2703" s="3589"/>
      <c r="W2703" s="778"/>
      <c r="X2703" s="778"/>
      <c r="Y2703" s="786">
        <v>20</v>
      </c>
      <c r="Z2703" s="781">
        <v>20</v>
      </c>
      <c r="AA2703" s="781">
        <v>20</v>
      </c>
      <c r="AB2703" s="2703">
        <v>20</v>
      </c>
      <c r="AC2703" s="778"/>
      <c r="AD2703" s="778"/>
      <c r="AE2703" s="778"/>
      <c r="AF2703" s="778"/>
      <c r="AG2703" s="778"/>
      <c r="BB2703" s="647"/>
      <c r="BC2703" s="648"/>
      <c r="BD2703" s="757"/>
      <c r="BE2703" s="659"/>
    </row>
    <row r="2704" spans="1:57" s="64" customFormat="1" ht="15.75" customHeight="1" outlineLevel="1" x14ac:dyDescent="0.25">
      <c r="A2704" s="2463"/>
      <c r="B2704" s="157"/>
      <c r="C2704" s="385"/>
      <c r="D2704" s="3589"/>
      <c r="E2704" s="3721"/>
      <c r="F2704" s="3773" t="str">
        <f>$E$1658</f>
        <v>ASHP - SEER 21 - replace on fail MF</v>
      </c>
      <c r="G2704" s="3774"/>
      <c r="H2704" s="3774"/>
      <c r="I2704" s="3775"/>
      <c r="J2704" s="3071" t="str">
        <f>$C$1658</f>
        <v>355150_2019_12_</v>
      </c>
      <c r="K2704" s="2703">
        <v>21</v>
      </c>
      <c r="L2704" s="945"/>
      <c r="M2704" s="929" t="s">
        <v>1510</v>
      </c>
      <c r="N2704" s="157"/>
      <c r="O2704" s="277"/>
      <c r="P2704" s="937"/>
      <c r="Q2704" s="938"/>
      <c r="R2704" s="937"/>
      <c r="S2704" s="924"/>
      <c r="T2704" s="1407"/>
      <c r="U2704" s="157"/>
      <c r="V2704" s="3589"/>
      <c r="W2704" s="766">
        <v>21</v>
      </c>
      <c r="X2704" s="766">
        <v>21</v>
      </c>
      <c r="Y2704" s="778">
        <v>21</v>
      </c>
      <c r="Z2704" s="778">
        <v>21</v>
      </c>
      <c r="AA2704" s="778">
        <v>21</v>
      </c>
      <c r="AB2704" s="2703">
        <v>21</v>
      </c>
      <c r="AC2704" s="766"/>
      <c r="AD2704" s="766"/>
      <c r="AE2704" s="766"/>
      <c r="AF2704" s="766"/>
      <c r="AG2704" s="766"/>
      <c r="BB2704" s="647"/>
      <c r="BC2704" s="648"/>
      <c r="BD2704" s="757"/>
      <c r="BE2704" s="659"/>
    </row>
    <row r="2705" spans="1:57" s="64" customFormat="1" ht="15.75" customHeight="1" outlineLevel="1" thickBot="1" x14ac:dyDescent="0.3">
      <c r="A2705" s="2463"/>
      <c r="B2705" s="648"/>
      <c r="C2705" s="385"/>
      <c r="D2705" s="3591"/>
      <c r="E2705" s="3722"/>
      <c r="F2705" s="1807" t="str">
        <f>$E$1660</f>
        <v>ASHP - SEER 21 - replace on fail MF_CompE</v>
      </c>
      <c r="G2705" s="940"/>
      <c r="H2705" s="940"/>
      <c r="I2705" s="941"/>
      <c r="J2705" s="1807" t="str">
        <f>$C$1660</f>
        <v>355151_2019_12_</v>
      </c>
      <c r="K2705" s="2728">
        <v>21</v>
      </c>
      <c r="L2705" s="954"/>
      <c r="M2705" s="942"/>
      <c r="N2705" s="157"/>
      <c r="O2705" s="277"/>
      <c r="P2705" s="937"/>
      <c r="Q2705" s="938"/>
      <c r="R2705" s="937"/>
      <c r="S2705" s="924"/>
      <c r="T2705" s="1407"/>
      <c r="U2705" s="157"/>
      <c r="V2705" s="3591"/>
      <c r="W2705" s="780"/>
      <c r="X2705" s="780"/>
      <c r="Y2705" s="846">
        <v>21</v>
      </c>
      <c r="Z2705" s="2429">
        <v>21</v>
      </c>
      <c r="AA2705" s="2429">
        <v>21</v>
      </c>
      <c r="AB2705" s="2728">
        <v>21</v>
      </c>
      <c r="AC2705" s="780"/>
      <c r="AD2705" s="780"/>
      <c r="AE2705" s="780"/>
      <c r="AF2705" s="780"/>
      <c r="AG2705" s="780"/>
      <c r="BB2705" s="647"/>
      <c r="BC2705" s="648"/>
      <c r="BD2705" s="757"/>
      <c r="BE2705" s="659"/>
    </row>
    <row r="2706" spans="1:57" s="64" customFormat="1" ht="15" customHeight="1" outlineLevel="1" x14ac:dyDescent="0.25">
      <c r="A2706" s="2463"/>
      <c r="B2706" s="648"/>
      <c r="C2706" s="385"/>
      <c r="D2706" s="3588" t="s">
        <v>722</v>
      </c>
      <c r="E2706" s="3720" t="s">
        <v>1268</v>
      </c>
      <c r="F2706" s="3771" t="str">
        <f>$E$1406</f>
        <v>ASHP - SEER 15 ER Elec Resist Furnace: HVAC ER1</v>
      </c>
      <c r="G2706" s="3771"/>
      <c r="H2706" s="3771"/>
      <c r="I2706" s="3771"/>
      <c r="J2706" s="3070" t="str">
        <f>$C$1406</f>
        <v>352300_2019_12_</v>
      </c>
      <c r="K2706" s="2729">
        <v>1</v>
      </c>
      <c r="L2706" s="833"/>
      <c r="M2706" s="955"/>
      <c r="N2706" s="157"/>
      <c r="O2706" s="277"/>
      <c r="P2706" s="937"/>
      <c r="Q2706" s="937"/>
      <c r="R2706" s="937"/>
      <c r="S2706" s="924"/>
      <c r="T2706" s="1407"/>
      <c r="U2706" s="157"/>
      <c r="V2706" s="3588" t="s">
        <v>722</v>
      </c>
      <c r="W2706" s="880">
        <v>1</v>
      </c>
      <c r="X2706" s="880">
        <v>1</v>
      </c>
      <c r="Y2706" s="880">
        <v>1</v>
      </c>
      <c r="Z2706" s="880">
        <v>1</v>
      </c>
      <c r="AA2706" s="880">
        <v>1</v>
      </c>
      <c r="AB2706" s="2729">
        <v>1</v>
      </c>
      <c r="AC2706" s="880"/>
      <c r="AD2706" s="880"/>
      <c r="AE2706" s="880"/>
      <c r="AF2706" s="880"/>
      <c r="AG2706" s="880"/>
      <c r="BB2706" s="647"/>
      <c r="BC2706" s="648"/>
      <c r="BD2706" s="757"/>
      <c r="BE2706" s="659"/>
    </row>
    <row r="2707" spans="1:57" s="64" customFormat="1" ht="15" customHeight="1" outlineLevel="1" x14ac:dyDescent="0.25">
      <c r="A2707" s="2463"/>
      <c r="B2707" s="648"/>
      <c r="C2707" s="385"/>
      <c r="D2707" s="3589"/>
      <c r="E2707" s="3721"/>
      <c r="F2707" s="3773" t="str">
        <f>$E$1408</f>
        <v>ASHP - SEER 15 ER Elec Resist Furnace: HVAC ER2</v>
      </c>
      <c r="G2707" s="3774"/>
      <c r="H2707" s="3774"/>
      <c r="I2707" s="3775"/>
      <c r="J2707" s="3071" t="str">
        <f>$C$1408</f>
        <v>352300_2019_12_</v>
      </c>
      <c r="K2707" s="884">
        <v>1</v>
      </c>
      <c r="L2707" s="944"/>
      <c r="M2707" s="953"/>
      <c r="N2707" s="157"/>
      <c r="O2707" s="277"/>
      <c r="P2707" s="937"/>
      <c r="Q2707" s="937"/>
      <c r="R2707" s="937"/>
      <c r="S2707" s="924"/>
      <c r="T2707" s="1407"/>
      <c r="U2707" s="157"/>
      <c r="V2707" s="3589"/>
      <c r="W2707" s="884">
        <v>1</v>
      </c>
      <c r="X2707" s="884">
        <v>1</v>
      </c>
      <c r="Y2707" s="884">
        <v>1</v>
      </c>
      <c r="Z2707" s="884">
        <v>1</v>
      </c>
      <c r="AA2707" s="884">
        <v>1</v>
      </c>
      <c r="AB2707" s="884">
        <v>1</v>
      </c>
      <c r="AC2707" s="884"/>
      <c r="AD2707" s="884"/>
      <c r="AE2707" s="884"/>
      <c r="AF2707" s="884"/>
      <c r="AG2707" s="884"/>
      <c r="BB2707" s="647"/>
      <c r="BC2707" s="648"/>
      <c r="BD2707" s="757"/>
      <c r="BE2707" s="659"/>
    </row>
    <row r="2708" spans="1:57" s="64" customFormat="1" ht="15" customHeight="1" outlineLevel="1" x14ac:dyDescent="0.25">
      <c r="A2708" s="2463"/>
      <c r="B2708" s="648"/>
      <c r="C2708" s="385"/>
      <c r="D2708" s="3589"/>
      <c r="E2708" s="3721"/>
      <c r="F2708" s="3773" t="str">
        <f>$E$1410</f>
        <v>ASHP - SEER 15 ER with ASHP: HVAC ER1</v>
      </c>
      <c r="G2708" s="3774"/>
      <c r="H2708" s="3774"/>
      <c r="I2708" s="3775"/>
      <c r="J2708" s="3071" t="str">
        <f>$C$1410</f>
        <v>352350_2019_12_</v>
      </c>
      <c r="K2708" s="884">
        <v>1</v>
      </c>
      <c r="L2708" s="944"/>
      <c r="M2708" s="953"/>
      <c r="N2708" s="157"/>
      <c r="O2708" s="277"/>
      <c r="P2708" s="937"/>
      <c r="Q2708" s="937"/>
      <c r="R2708" s="937"/>
      <c r="S2708" s="924"/>
      <c r="T2708" s="1407"/>
      <c r="U2708" s="157"/>
      <c r="V2708" s="3589"/>
      <c r="W2708" s="884">
        <v>1</v>
      </c>
      <c r="X2708" s="884">
        <v>1</v>
      </c>
      <c r="Y2708" s="884">
        <v>1</v>
      </c>
      <c r="Z2708" s="884">
        <v>1</v>
      </c>
      <c r="AA2708" s="884">
        <v>1</v>
      </c>
      <c r="AB2708" s="884">
        <v>1</v>
      </c>
      <c r="AC2708" s="884"/>
      <c r="AD2708" s="884"/>
      <c r="AE2708" s="884"/>
      <c r="AF2708" s="884"/>
      <c r="AG2708" s="884"/>
      <c r="BB2708" s="647"/>
      <c r="BC2708" s="648"/>
      <c r="BD2708" s="757"/>
      <c r="BE2708" s="659"/>
    </row>
    <row r="2709" spans="1:57" s="64" customFormat="1" ht="15" customHeight="1" outlineLevel="1" x14ac:dyDescent="0.25">
      <c r="A2709" s="2463"/>
      <c r="B2709" s="648"/>
      <c r="C2709" s="385"/>
      <c r="D2709" s="3589"/>
      <c r="E2709" s="3721"/>
      <c r="F2709" s="3773" t="str">
        <f>$E$1412</f>
        <v>ASHP - SEER 15 ER with ASHP: HVAC ER2</v>
      </c>
      <c r="G2709" s="3774"/>
      <c r="H2709" s="3774"/>
      <c r="I2709" s="3775"/>
      <c r="J2709" s="3071" t="str">
        <f>$C$1412</f>
        <v>352350_2019_12_</v>
      </c>
      <c r="K2709" s="884">
        <v>1</v>
      </c>
      <c r="L2709" s="944"/>
      <c r="M2709" s="953"/>
      <c r="N2709" s="157"/>
      <c r="O2709" s="277"/>
      <c r="P2709" s="937"/>
      <c r="Q2709" s="937"/>
      <c r="R2709" s="937"/>
      <c r="S2709" s="924"/>
      <c r="T2709" s="1407"/>
      <c r="U2709" s="157"/>
      <c r="V2709" s="3589"/>
      <c r="W2709" s="884">
        <v>1</v>
      </c>
      <c r="X2709" s="884">
        <v>1</v>
      </c>
      <c r="Y2709" s="884">
        <v>1</v>
      </c>
      <c r="Z2709" s="884">
        <v>1</v>
      </c>
      <c r="AA2709" s="884">
        <v>1</v>
      </c>
      <c r="AB2709" s="884">
        <v>1</v>
      </c>
      <c r="AC2709" s="884"/>
      <c r="AD2709" s="884"/>
      <c r="AE2709" s="884"/>
      <c r="AF2709" s="884"/>
      <c r="AG2709" s="884"/>
      <c r="BB2709" s="647"/>
      <c r="BC2709" s="648"/>
      <c r="BD2709" s="757"/>
      <c r="BE2709" s="659"/>
    </row>
    <row r="2710" spans="1:57" s="64" customFormat="1" ht="15" customHeight="1" outlineLevel="1" x14ac:dyDescent="0.25">
      <c r="A2710" s="2463"/>
      <c r="B2710" s="648"/>
      <c r="C2710" s="385"/>
      <c r="D2710" s="3589"/>
      <c r="E2710" s="3721"/>
      <c r="F2710" s="3773" t="str">
        <f>$E$1414</f>
        <v>ASHP-  SEER 15 Replace at Fail Elec Resist Furnace: HVAC</v>
      </c>
      <c r="G2710" s="3774"/>
      <c r="H2710" s="3774"/>
      <c r="I2710" s="3775"/>
      <c r="J2710" s="3071" t="str">
        <f>$C$1414</f>
        <v>352400_2019_12_</v>
      </c>
      <c r="K2710" s="884">
        <v>1</v>
      </c>
      <c r="L2710" s="944"/>
      <c r="M2710" s="953"/>
      <c r="N2710" s="157"/>
      <c r="O2710" s="277"/>
      <c r="P2710" s="937"/>
      <c r="Q2710" s="937"/>
      <c r="R2710" s="937"/>
      <c r="S2710" s="924"/>
      <c r="T2710" s="1407"/>
      <c r="U2710" s="157"/>
      <c r="V2710" s="3589"/>
      <c r="W2710" s="884">
        <v>1</v>
      </c>
      <c r="X2710" s="884">
        <v>1</v>
      </c>
      <c r="Y2710" s="884">
        <v>1</v>
      </c>
      <c r="Z2710" s="884">
        <v>1</v>
      </c>
      <c r="AA2710" s="884">
        <v>1</v>
      </c>
      <c r="AB2710" s="884">
        <v>1</v>
      </c>
      <c r="AC2710" s="884"/>
      <c r="AD2710" s="884"/>
      <c r="AE2710" s="884"/>
      <c r="AF2710" s="884"/>
      <c r="AG2710" s="884"/>
      <c r="BB2710" s="647"/>
      <c r="BC2710" s="648"/>
      <c r="BD2710" s="757"/>
      <c r="BE2710" s="659"/>
    </row>
    <row r="2711" spans="1:57" s="64" customFormat="1" ht="15" customHeight="1" outlineLevel="1" x14ac:dyDescent="0.25">
      <c r="A2711" s="2463"/>
      <c r="B2711" s="648"/>
      <c r="C2711" s="385"/>
      <c r="D2711" s="3589"/>
      <c r="E2711" s="3721"/>
      <c r="F2711" s="3773" t="str">
        <f>$E$1416</f>
        <v>ASHP - SEER 15 Replace at Fail with ASHP: HVAC</v>
      </c>
      <c r="G2711" s="3774"/>
      <c r="H2711" s="3774"/>
      <c r="I2711" s="3775"/>
      <c r="J2711" s="3071" t="str">
        <f>$C$1416</f>
        <v>352450_2019_12_</v>
      </c>
      <c r="K2711" s="884">
        <v>1</v>
      </c>
      <c r="L2711" s="944"/>
      <c r="M2711" s="953"/>
      <c r="N2711" s="157"/>
      <c r="O2711" s="277"/>
      <c r="P2711" s="937"/>
      <c r="Q2711" s="937"/>
      <c r="R2711" s="937"/>
      <c r="S2711" s="924"/>
      <c r="T2711" s="1407"/>
      <c r="U2711" s="157"/>
      <c r="V2711" s="3589"/>
      <c r="W2711" s="884">
        <v>1</v>
      </c>
      <c r="X2711" s="884">
        <v>1</v>
      </c>
      <c r="Y2711" s="884">
        <v>1</v>
      </c>
      <c r="Z2711" s="884">
        <v>1</v>
      </c>
      <c r="AA2711" s="884">
        <v>1</v>
      </c>
      <c r="AB2711" s="884">
        <v>1</v>
      </c>
      <c r="AC2711" s="884"/>
      <c r="AD2711" s="884"/>
      <c r="AE2711" s="884"/>
      <c r="AF2711" s="884"/>
      <c r="AG2711" s="884"/>
      <c r="BB2711" s="647"/>
      <c r="BC2711" s="648"/>
      <c r="BD2711" s="757"/>
      <c r="BE2711" s="659"/>
    </row>
    <row r="2712" spans="1:57" s="64" customFormat="1" ht="15" customHeight="1" outlineLevel="1" x14ac:dyDescent="0.25">
      <c r="A2712" s="2463"/>
      <c r="B2712" s="648"/>
      <c r="C2712" s="385"/>
      <c r="D2712" s="3589"/>
      <c r="E2712" s="3721"/>
      <c r="F2712" s="3773" t="str">
        <f>$E$1418</f>
        <v>ASHP - SEER 16 - replace electric furnace / CAC - early replacement SF ER1</v>
      </c>
      <c r="G2712" s="3774"/>
      <c r="H2712" s="3774"/>
      <c r="I2712" s="3775"/>
      <c r="J2712" s="3071" t="str">
        <f>$C$1418</f>
        <v>352500_2019_12_</v>
      </c>
      <c r="K2712" s="884">
        <v>1</v>
      </c>
      <c r="L2712" s="944"/>
      <c r="M2712" s="953"/>
      <c r="N2712" s="157"/>
      <c r="O2712" s="277"/>
      <c r="P2712" s="937"/>
      <c r="Q2712" s="937"/>
      <c r="R2712" s="937"/>
      <c r="S2712" s="924"/>
      <c r="T2712" s="1407"/>
      <c r="U2712" s="157"/>
      <c r="V2712" s="3589"/>
      <c r="W2712" s="884">
        <v>1</v>
      </c>
      <c r="X2712" s="884">
        <v>1</v>
      </c>
      <c r="Y2712" s="884">
        <v>1</v>
      </c>
      <c r="Z2712" s="884">
        <v>1</v>
      </c>
      <c r="AA2712" s="884">
        <v>1</v>
      </c>
      <c r="AB2712" s="884">
        <v>1</v>
      </c>
      <c r="AC2712" s="884"/>
      <c r="AD2712" s="884"/>
      <c r="AE2712" s="884"/>
      <c r="AF2712" s="884"/>
      <c r="AG2712" s="884"/>
      <c r="BB2712" s="647"/>
      <c r="BC2712" s="648"/>
      <c r="BD2712" s="757"/>
      <c r="BE2712" s="659"/>
    </row>
    <row r="2713" spans="1:57" s="64" customFormat="1" ht="15" customHeight="1" outlineLevel="1" x14ac:dyDescent="0.25">
      <c r="A2713" s="2463"/>
      <c r="B2713" s="648"/>
      <c r="C2713" s="385"/>
      <c r="D2713" s="3589"/>
      <c r="E2713" s="3721"/>
      <c r="F2713" s="3773" t="str">
        <f>$E$1420</f>
        <v>ASHP - SEER 16 - replace electric furnace / CAC - early replacement SF ER2</v>
      </c>
      <c r="G2713" s="3774"/>
      <c r="H2713" s="3774"/>
      <c r="I2713" s="3775"/>
      <c r="J2713" s="3071" t="str">
        <f>$C$1420</f>
        <v>352500_2019_12_</v>
      </c>
      <c r="K2713" s="884">
        <v>1</v>
      </c>
      <c r="L2713" s="944"/>
      <c r="M2713" s="953"/>
      <c r="N2713" s="157"/>
      <c r="O2713" s="277"/>
      <c r="P2713" s="937"/>
      <c r="Q2713" s="937"/>
      <c r="R2713" s="937"/>
      <c r="S2713" s="924"/>
      <c r="T2713" s="1407"/>
      <c r="U2713" s="157"/>
      <c r="V2713" s="3589"/>
      <c r="W2713" s="884">
        <v>1</v>
      </c>
      <c r="X2713" s="884">
        <v>1</v>
      </c>
      <c r="Y2713" s="884">
        <v>1</v>
      </c>
      <c r="Z2713" s="884">
        <v>1</v>
      </c>
      <c r="AA2713" s="884">
        <v>1</v>
      </c>
      <c r="AB2713" s="884">
        <v>1</v>
      </c>
      <c r="AC2713" s="884"/>
      <c r="AD2713" s="884"/>
      <c r="AE2713" s="884"/>
      <c r="AF2713" s="884"/>
      <c r="AG2713" s="884"/>
      <c r="BB2713" s="647"/>
      <c r="BC2713" s="648"/>
      <c r="BD2713" s="757"/>
      <c r="BE2713" s="659"/>
    </row>
    <row r="2714" spans="1:57" s="64" customFormat="1" ht="15" customHeight="1" outlineLevel="1" x14ac:dyDescent="0.25">
      <c r="A2714" s="2463"/>
      <c r="B2714" s="648"/>
      <c r="C2714" s="385"/>
      <c r="D2714" s="3589"/>
      <c r="E2714" s="3721"/>
      <c r="F2714" s="3773" t="str">
        <f>$E$1422</f>
        <v>ASHP SEER 16 replace ASHP - early replacement SF ER1</v>
      </c>
      <c r="G2714" s="3774"/>
      <c r="H2714" s="3774"/>
      <c r="I2714" s="3775"/>
      <c r="J2714" s="3071" t="str">
        <f>$C$1422</f>
        <v>352550_2019_12_</v>
      </c>
      <c r="K2714" s="884">
        <v>1</v>
      </c>
      <c r="L2714" s="944"/>
      <c r="M2714" s="953"/>
      <c r="N2714" s="157"/>
      <c r="O2714" s="277"/>
      <c r="P2714" s="937"/>
      <c r="Q2714" s="937"/>
      <c r="R2714" s="937"/>
      <c r="S2714" s="924"/>
      <c r="T2714" s="1407"/>
      <c r="U2714" s="157"/>
      <c r="V2714" s="3589"/>
      <c r="W2714" s="884">
        <v>1</v>
      </c>
      <c r="X2714" s="884">
        <v>1</v>
      </c>
      <c r="Y2714" s="884">
        <v>1</v>
      </c>
      <c r="Z2714" s="884">
        <v>1</v>
      </c>
      <c r="AA2714" s="884">
        <v>1</v>
      </c>
      <c r="AB2714" s="884">
        <v>1</v>
      </c>
      <c r="AC2714" s="884"/>
      <c r="AD2714" s="884"/>
      <c r="AE2714" s="884"/>
      <c r="AF2714" s="884"/>
      <c r="AG2714" s="884"/>
      <c r="BB2714" s="647"/>
      <c r="BC2714" s="648"/>
      <c r="BD2714" s="757"/>
      <c r="BE2714" s="659"/>
    </row>
    <row r="2715" spans="1:57" s="64" customFormat="1" ht="15" customHeight="1" outlineLevel="1" x14ac:dyDescent="0.25">
      <c r="A2715" s="2463"/>
      <c r="B2715" s="648"/>
      <c r="C2715" s="385"/>
      <c r="D2715" s="3589"/>
      <c r="E2715" s="3721"/>
      <c r="F2715" s="3773" t="str">
        <f>$E$1424</f>
        <v>ASHP SEER 16 replace ASHP - early replacement SF ER2</v>
      </c>
      <c r="G2715" s="3774"/>
      <c r="H2715" s="3774"/>
      <c r="I2715" s="3775"/>
      <c r="J2715" s="3071" t="str">
        <f>$C$1424</f>
        <v>352550_2019_12_</v>
      </c>
      <c r="K2715" s="884">
        <v>1</v>
      </c>
      <c r="L2715" s="945"/>
      <c r="M2715" s="953"/>
      <c r="N2715" s="157"/>
      <c r="O2715" s="277"/>
      <c r="P2715" s="937"/>
      <c r="Q2715" s="937"/>
      <c r="R2715" s="937"/>
      <c r="S2715" s="924"/>
      <c r="T2715" s="1407"/>
      <c r="U2715" s="157"/>
      <c r="V2715" s="3589"/>
      <c r="W2715" s="884">
        <v>1</v>
      </c>
      <c r="X2715" s="884">
        <v>1</v>
      </c>
      <c r="Y2715" s="884">
        <v>1</v>
      </c>
      <c r="Z2715" s="884">
        <v>1</v>
      </c>
      <c r="AA2715" s="884">
        <v>1</v>
      </c>
      <c r="AB2715" s="884">
        <v>1</v>
      </c>
      <c r="AC2715" s="884"/>
      <c r="AD2715" s="884"/>
      <c r="AE2715" s="884"/>
      <c r="AF2715" s="884"/>
      <c r="AG2715" s="884"/>
      <c r="BB2715" s="647"/>
      <c r="BC2715" s="648"/>
      <c r="BD2715" s="757"/>
      <c r="BE2715" s="659"/>
    </row>
    <row r="2716" spans="1:57" s="64" customFormat="1" ht="15" customHeight="1" outlineLevel="1" x14ac:dyDescent="0.25">
      <c r="A2716" s="2463"/>
      <c r="B2716" s="648"/>
      <c r="C2716" s="385"/>
      <c r="D2716" s="3589"/>
      <c r="E2716" s="3721"/>
      <c r="F2716" s="3773" t="str">
        <f>$E$1426</f>
        <v>ASHP - SEER 16 - replace electric furnace / CAC SF</v>
      </c>
      <c r="G2716" s="3774"/>
      <c r="H2716" s="3774"/>
      <c r="I2716" s="3775"/>
      <c r="J2716" s="3071" t="str">
        <f>$C$1426</f>
        <v>352600_2019_12_</v>
      </c>
      <c r="K2716" s="884">
        <v>1</v>
      </c>
      <c r="L2716" s="945"/>
      <c r="M2716" s="953"/>
      <c r="N2716" s="157"/>
      <c r="O2716" s="277"/>
      <c r="P2716" s="937"/>
      <c r="Q2716" s="937"/>
      <c r="R2716" s="937"/>
      <c r="S2716" s="924"/>
      <c r="T2716" s="1407"/>
      <c r="U2716" s="157"/>
      <c r="V2716" s="3589"/>
      <c r="W2716" s="884">
        <v>1</v>
      </c>
      <c r="X2716" s="884">
        <v>1</v>
      </c>
      <c r="Y2716" s="884">
        <v>1</v>
      </c>
      <c r="Z2716" s="884">
        <v>1</v>
      </c>
      <c r="AA2716" s="884">
        <v>1</v>
      </c>
      <c r="AB2716" s="884">
        <v>1</v>
      </c>
      <c r="AC2716" s="884"/>
      <c r="AD2716" s="884"/>
      <c r="AE2716" s="884"/>
      <c r="AF2716" s="884"/>
      <c r="AG2716" s="884"/>
      <c r="BB2716" s="647"/>
      <c r="BC2716" s="648"/>
      <c r="BD2716" s="757"/>
      <c r="BE2716" s="659"/>
    </row>
    <row r="2717" spans="1:57" s="64" customFormat="1" ht="15" customHeight="1" outlineLevel="1" x14ac:dyDescent="0.25">
      <c r="A2717" s="2463"/>
      <c r="B2717" s="648"/>
      <c r="C2717" s="385"/>
      <c r="D2717" s="3589"/>
      <c r="E2717" s="3721"/>
      <c r="F2717" s="3773" t="str">
        <f>$E$1428</f>
        <v>ASHP SEER 16 replace ASHP - replace on fail SF</v>
      </c>
      <c r="G2717" s="3774"/>
      <c r="H2717" s="3774"/>
      <c r="I2717" s="3775"/>
      <c r="J2717" s="3071" t="str">
        <f>$C$1428</f>
        <v>352650_2019_12_</v>
      </c>
      <c r="K2717" s="884">
        <v>1</v>
      </c>
      <c r="L2717" s="945"/>
      <c r="M2717" s="953"/>
      <c r="N2717" s="157"/>
      <c r="O2717" s="277"/>
      <c r="P2717" s="937"/>
      <c r="Q2717" s="937"/>
      <c r="R2717" s="937"/>
      <c r="S2717" s="924"/>
      <c r="T2717" s="1407"/>
      <c r="U2717" s="157"/>
      <c r="V2717" s="3589"/>
      <c r="W2717" s="884">
        <v>1</v>
      </c>
      <c r="X2717" s="884">
        <v>1</v>
      </c>
      <c r="Y2717" s="884">
        <v>1</v>
      </c>
      <c r="Z2717" s="884">
        <v>1</v>
      </c>
      <c r="AA2717" s="884">
        <v>1</v>
      </c>
      <c r="AB2717" s="884">
        <v>1</v>
      </c>
      <c r="AC2717" s="884"/>
      <c r="AD2717" s="884"/>
      <c r="AE2717" s="884"/>
      <c r="AF2717" s="884"/>
      <c r="AG2717" s="884"/>
      <c r="BB2717" s="647"/>
      <c r="BC2717" s="648"/>
      <c r="BD2717" s="757"/>
      <c r="BE2717" s="659"/>
    </row>
    <row r="2718" spans="1:57" s="64" customFormat="1" ht="15" customHeight="1" outlineLevel="1" x14ac:dyDescent="0.25">
      <c r="A2718" s="2463"/>
      <c r="B2718" s="648"/>
      <c r="C2718" s="385"/>
      <c r="D2718" s="3589"/>
      <c r="E2718" s="3721"/>
      <c r="F2718" s="3773" t="str">
        <f>$E$1430</f>
        <v>ASHP SEER 15 MF ER replace ASHP: HVAC ER1</v>
      </c>
      <c r="G2718" s="3774"/>
      <c r="H2718" s="3774"/>
      <c r="I2718" s="3775"/>
      <c r="J2718" s="3071" t="str">
        <f>$C$1430</f>
        <v>352700_2019_12_</v>
      </c>
      <c r="K2718" s="884">
        <v>0.65</v>
      </c>
      <c r="L2718" s="945"/>
      <c r="M2718" s="783" t="s">
        <v>1198</v>
      </c>
      <c r="N2718" s="157"/>
      <c r="O2718" s="277"/>
      <c r="P2718" s="937"/>
      <c r="Q2718" s="937"/>
      <c r="R2718" s="937"/>
      <c r="S2718" s="924"/>
      <c r="T2718" s="1407"/>
      <c r="U2718" s="157"/>
      <c r="V2718" s="3589"/>
      <c r="W2718" s="884">
        <v>0.65</v>
      </c>
      <c r="X2718" s="884">
        <v>0.65</v>
      </c>
      <c r="Y2718" s="884">
        <v>0.65</v>
      </c>
      <c r="Z2718" s="884">
        <v>0.65</v>
      </c>
      <c r="AA2718" s="884">
        <v>0.65</v>
      </c>
      <c r="AB2718" s="884">
        <v>0.65</v>
      </c>
      <c r="AC2718" s="884"/>
      <c r="AD2718" s="884"/>
      <c r="AE2718" s="884"/>
      <c r="AF2718" s="884"/>
      <c r="AG2718" s="884"/>
      <c r="BB2718" s="647"/>
      <c r="BC2718" s="648"/>
      <c r="BD2718" s="757"/>
      <c r="BE2718" s="659"/>
    </row>
    <row r="2719" spans="1:57" s="64" customFormat="1" ht="15" customHeight="1" outlineLevel="1" x14ac:dyDescent="0.25">
      <c r="A2719" s="2463"/>
      <c r="B2719" s="648"/>
      <c r="C2719" s="385"/>
      <c r="D2719" s="3589"/>
      <c r="E2719" s="3721"/>
      <c r="F2719" s="3773" t="str">
        <f>$E$1432</f>
        <v>ASHP SEER 15 MF ER replace ASHP: HVAC ER2</v>
      </c>
      <c r="G2719" s="3774"/>
      <c r="H2719" s="3774"/>
      <c r="I2719" s="3775"/>
      <c r="J2719" s="3071" t="str">
        <f>$C$1432</f>
        <v>352700_2019_12_</v>
      </c>
      <c r="K2719" s="884">
        <v>0.65</v>
      </c>
      <c r="L2719" s="945"/>
      <c r="M2719" s="783" t="s">
        <v>1198</v>
      </c>
      <c r="N2719" s="157"/>
      <c r="O2719" s="277"/>
      <c r="P2719" s="937"/>
      <c r="Q2719" s="937"/>
      <c r="R2719" s="937"/>
      <c r="S2719" s="924"/>
      <c r="T2719" s="1407"/>
      <c r="U2719" s="157"/>
      <c r="V2719" s="3589"/>
      <c r="W2719" s="884">
        <v>0.65</v>
      </c>
      <c r="X2719" s="884">
        <v>0.65</v>
      </c>
      <c r="Y2719" s="884">
        <v>0.65</v>
      </c>
      <c r="Z2719" s="884">
        <v>0.65</v>
      </c>
      <c r="AA2719" s="884">
        <v>0.65</v>
      </c>
      <c r="AB2719" s="884">
        <v>0.65</v>
      </c>
      <c r="AC2719" s="884"/>
      <c r="AD2719" s="884"/>
      <c r="AE2719" s="884"/>
      <c r="AF2719" s="884"/>
      <c r="AG2719" s="884"/>
      <c r="BB2719" s="647"/>
      <c r="BC2719" s="648"/>
      <c r="BD2719" s="757"/>
      <c r="BE2719" s="659"/>
    </row>
    <row r="2720" spans="1:57" s="64" customFormat="1" ht="15" customHeight="1" outlineLevel="1" x14ac:dyDescent="0.25">
      <c r="A2720" s="2463"/>
      <c r="B2720" s="648"/>
      <c r="C2720" s="385"/>
      <c r="D2720" s="3589"/>
      <c r="E2720" s="3721"/>
      <c r="F2720" s="3773" t="str">
        <f>$E$1434</f>
        <v>ASHP SEER 15 MF ER replace ASHP: HVAC ER1_CompE</v>
      </c>
      <c r="G2720" s="3774"/>
      <c r="H2720" s="3774"/>
      <c r="I2720" s="3775"/>
      <c r="J2720" s="3071" t="str">
        <f>$C$1434</f>
        <v>352701_2019_12_</v>
      </c>
      <c r="K2720" s="884">
        <f>K2718</f>
        <v>0.65</v>
      </c>
      <c r="L2720" s="945"/>
      <c r="M2720" s="783"/>
      <c r="N2720" s="157"/>
      <c r="O2720" s="277"/>
      <c r="P2720" s="937"/>
      <c r="Q2720" s="937"/>
      <c r="R2720" s="937"/>
      <c r="S2720" s="924"/>
      <c r="T2720" s="1407"/>
      <c r="U2720" s="157"/>
      <c r="V2720" s="3589"/>
      <c r="W2720" s="884"/>
      <c r="X2720" s="884"/>
      <c r="Y2720" s="882">
        <v>0.65</v>
      </c>
      <c r="Z2720" s="884">
        <v>0.65</v>
      </c>
      <c r="AA2720" s="884">
        <v>0.65</v>
      </c>
      <c r="AB2720" s="884">
        <v>0.65</v>
      </c>
      <c r="AC2720" s="884"/>
      <c r="AD2720" s="884"/>
      <c r="AE2720" s="884"/>
      <c r="AF2720" s="884"/>
      <c r="AG2720" s="884"/>
      <c r="BB2720" s="647"/>
      <c r="BC2720" s="648"/>
      <c r="BD2720" s="757"/>
      <c r="BE2720" s="659"/>
    </row>
    <row r="2721" spans="1:57" s="64" customFormat="1" ht="15" customHeight="1" outlineLevel="1" x14ac:dyDescent="0.25">
      <c r="A2721" s="2463"/>
      <c r="B2721" s="648"/>
      <c r="C2721" s="385"/>
      <c r="D2721" s="3589"/>
      <c r="E2721" s="3721"/>
      <c r="F2721" s="3773" t="str">
        <f>$E$1436</f>
        <v>ASHP SEER 15 MF ER replace ASHP: HVAC ER2_CompE</v>
      </c>
      <c r="G2721" s="3774"/>
      <c r="H2721" s="3774"/>
      <c r="I2721" s="3775"/>
      <c r="J2721" s="3071" t="str">
        <f>$C$1436</f>
        <v>352701_2019_12_</v>
      </c>
      <c r="K2721" s="884">
        <f>K2719</f>
        <v>0.65</v>
      </c>
      <c r="L2721" s="945"/>
      <c r="M2721" s="783"/>
      <c r="N2721" s="157"/>
      <c r="O2721" s="277"/>
      <c r="P2721" s="937"/>
      <c r="Q2721" s="937"/>
      <c r="R2721" s="937"/>
      <c r="S2721" s="924"/>
      <c r="T2721" s="1407"/>
      <c r="U2721" s="157"/>
      <c r="V2721" s="3589"/>
      <c r="W2721" s="884"/>
      <c r="X2721" s="884"/>
      <c r="Y2721" s="882">
        <v>0.65</v>
      </c>
      <c r="Z2721" s="884">
        <v>0.65</v>
      </c>
      <c r="AA2721" s="884">
        <v>0.65</v>
      </c>
      <c r="AB2721" s="884">
        <v>0.65</v>
      </c>
      <c r="AC2721" s="884"/>
      <c r="AD2721" s="884"/>
      <c r="AE2721" s="884"/>
      <c r="AF2721" s="884"/>
      <c r="AG2721" s="884"/>
      <c r="BB2721" s="647"/>
      <c r="BC2721" s="648"/>
      <c r="BD2721" s="757"/>
      <c r="BE2721" s="659"/>
    </row>
    <row r="2722" spans="1:57" s="64" customFormat="1" ht="15" customHeight="1" outlineLevel="1" x14ac:dyDescent="0.25">
      <c r="A2722" s="2463"/>
      <c r="B2722" s="648"/>
      <c r="C2722" s="385"/>
      <c r="D2722" s="3589"/>
      <c r="E2722" s="3721"/>
      <c r="F2722" s="3773" t="str">
        <f>$E$1438</f>
        <v>ASHP SEER 15 MF ER replace Elec Resist Furnace: HVAC ER1</v>
      </c>
      <c r="G2722" s="3774"/>
      <c r="H2722" s="3774"/>
      <c r="I2722" s="3775"/>
      <c r="J2722" s="3071" t="str">
        <f>$C$1438</f>
        <v>352750_2019_12_</v>
      </c>
      <c r="K2722" s="884">
        <v>0.65</v>
      </c>
      <c r="L2722" s="945"/>
      <c r="M2722" s="783" t="s">
        <v>1198</v>
      </c>
      <c r="N2722" s="157"/>
      <c r="O2722" s="277"/>
      <c r="P2722" s="937"/>
      <c r="Q2722" s="937"/>
      <c r="R2722" s="937"/>
      <c r="S2722" s="924"/>
      <c r="T2722" s="1407"/>
      <c r="U2722" s="157"/>
      <c r="V2722" s="3589"/>
      <c r="W2722" s="884">
        <v>0.65</v>
      </c>
      <c r="X2722" s="884">
        <v>0.65</v>
      </c>
      <c r="Y2722" s="884">
        <v>0.65</v>
      </c>
      <c r="Z2722" s="884">
        <v>0.65</v>
      </c>
      <c r="AA2722" s="884">
        <v>0.65</v>
      </c>
      <c r="AB2722" s="884">
        <v>0.65</v>
      </c>
      <c r="AC2722" s="884"/>
      <c r="AD2722" s="884"/>
      <c r="AE2722" s="884"/>
      <c r="AF2722" s="884"/>
      <c r="AG2722" s="884"/>
      <c r="BB2722" s="647"/>
      <c r="BC2722" s="648"/>
      <c r="BD2722" s="757"/>
      <c r="BE2722" s="659"/>
    </row>
    <row r="2723" spans="1:57" s="64" customFormat="1" ht="15" customHeight="1" outlineLevel="1" x14ac:dyDescent="0.25">
      <c r="A2723" s="2463"/>
      <c r="B2723" s="648"/>
      <c r="C2723" s="385"/>
      <c r="D2723" s="3589"/>
      <c r="E2723" s="3721"/>
      <c r="F2723" s="3773" t="str">
        <f>$E$1440</f>
        <v>ASHP SEER 15 MF ER replace Elec Resist Furnace: HVAC ER2</v>
      </c>
      <c r="G2723" s="3774"/>
      <c r="H2723" s="3774"/>
      <c r="I2723" s="3775"/>
      <c r="J2723" s="3071" t="str">
        <f>$C$1440</f>
        <v>352750_2019_12_</v>
      </c>
      <c r="K2723" s="884">
        <v>0.65</v>
      </c>
      <c r="L2723" s="945"/>
      <c r="M2723" s="783" t="s">
        <v>1198</v>
      </c>
      <c r="N2723" s="157"/>
      <c r="O2723" s="277"/>
      <c r="P2723" s="937"/>
      <c r="Q2723" s="937"/>
      <c r="R2723" s="937"/>
      <c r="S2723" s="924"/>
      <c r="T2723" s="1407"/>
      <c r="U2723" s="157"/>
      <c r="V2723" s="3589"/>
      <c r="W2723" s="884">
        <v>0.65</v>
      </c>
      <c r="X2723" s="884">
        <v>0.65</v>
      </c>
      <c r="Y2723" s="884">
        <v>0.65</v>
      </c>
      <c r="Z2723" s="884">
        <v>0.65</v>
      </c>
      <c r="AA2723" s="884">
        <v>0.65</v>
      </c>
      <c r="AB2723" s="884">
        <v>0.65</v>
      </c>
      <c r="AC2723" s="884"/>
      <c r="AD2723" s="884"/>
      <c r="AE2723" s="884"/>
      <c r="AF2723" s="884"/>
      <c r="AG2723" s="884"/>
      <c r="BB2723" s="647"/>
      <c r="BC2723" s="648"/>
      <c r="BD2723" s="757"/>
      <c r="BE2723" s="659"/>
    </row>
    <row r="2724" spans="1:57" s="64" customFormat="1" ht="15" customHeight="1" outlineLevel="1" x14ac:dyDescent="0.25">
      <c r="A2724" s="2463"/>
      <c r="B2724" s="648"/>
      <c r="C2724" s="385"/>
      <c r="D2724" s="3589"/>
      <c r="E2724" s="3721"/>
      <c r="F2724" s="3773" t="str">
        <f>$E$1442</f>
        <v>ASHP SEER 15 MF ER replace Elec Resist Furnace: HVAC ER1_CompE</v>
      </c>
      <c r="G2724" s="3774"/>
      <c r="H2724" s="3774"/>
      <c r="I2724" s="3775"/>
      <c r="J2724" s="3071" t="str">
        <f>$C$1442</f>
        <v>352751_2019_12_</v>
      </c>
      <c r="K2724" s="884">
        <f>K2722</f>
        <v>0.65</v>
      </c>
      <c r="L2724" s="945"/>
      <c r="M2724" s="783"/>
      <c r="N2724" s="157"/>
      <c r="O2724" s="277"/>
      <c r="P2724" s="937"/>
      <c r="Q2724" s="937"/>
      <c r="R2724" s="937"/>
      <c r="S2724" s="924"/>
      <c r="T2724" s="1407"/>
      <c r="U2724" s="157"/>
      <c r="V2724" s="3589"/>
      <c r="W2724" s="884"/>
      <c r="X2724" s="884"/>
      <c r="Y2724" s="882">
        <v>0.65</v>
      </c>
      <c r="Z2724" s="884">
        <v>0.65</v>
      </c>
      <c r="AA2724" s="884">
        <v>0.65</v>
      </c>
      <c r="AB2724" s="884">
        <v>0.65</v>
      </c>
      <c r="AC2724" s="884"/>
      <c r="AD2724" s="884"/>
      <c r="AE2724" s="884"/>
      <c r="AF2724" s="884"/>
      <c r="AG2724" s="884"/>
      <c r="BB2724" s="647"/>
      <c r="BC2724" s="648"/>
      <c r="BD2724" s="757"/>
      <c r="BE2724" s="659"/>
    </row>
    <row r="2725" spans="1:57" s="64" customFormat="1" ht="15" customHeight="1" outlineLevel="1" x14ac:dyDescent="0.25">
      <c r="A2725" s="2463"/>
      <c r="B2725" s="648"/>
      <c r="C2725" s="385"/>
      <c r="D2725" s="3589"/>
      <c r="E2725" s="3721"/>
      <c r="F2725" s="3773" t="str">
        <f>$E$1444</f>
        <v>ASHP SEER 15 MF ER replace Elec Resist Furnace: HVAC ER2_CompE</v>
      </c>
      <c r="G2725" s="3774"/>
      <c r="H2725" s="3774"/>
      <c r="I2725" s="3775"/>
      <c r="J2725" s="3071" t="str">
        <f>$C$1444</f>
        <v>352751_2019_12_</v>
      </c>
      <c r="K2725" s="884">
        <f>K2723</f>
        <v>0.65</v>
      </c>
      <c r="L2725" s="945"/>
      <c r="M2725" s="783"/>
      <c r="N2725" s="157"/>
      <c r="O2725" s="277"/>
      <c r="P2725" s="937"/>
      <c r="Q2725" s="937"/>
      <c r="R2725" s="937"/>
      <c r="S2725" s="924"/>
      <c r="T2725" s="1407"/>
      <c r="U2725" s="157"/>
      <c r="V2725" s="3589"/>
      <c r="W2725" s="884"/>
      <c r="X2725" s="884"/>
      <c r="Y2725" s="882">
        <v>0.65</v>
      </c>
      <c r="Z2725" s="884">
        <v>0.65</v>
      </c>
      <c r="AA2725" s="884">
        <v>0.65</v>
      </c>
      <c r="AB2725" s="884">
        <v>0.65</v>
      </c>
      <c r="AC2725" s="884"/>
      <c r="AD2725" s="884"/>
      <c r="AE2725" s="884"/>
      <c r="AF2725" s="884"/>
      <c r="AG2725" s="884"/>
      <c r="BB2725" s="647"/>
      <c r="BC2725" s="648"/>
      <c r="BD2725" s="757"/>
      <c r="BE2725" s="659"/>
    </row>
    <row r="2726" spans="1:57" s="64" customFormat="1" ht="15" customHeight="1" outlineLevel="1" x14ac:dyDescent="0.25">
      <c r="A2726" s="2463"/>
      <c r="B2726" s="648"/>
      <c r="C2726" s="385"/>
      <c r="D2726" s="3589"/>
      <c r="E2726" s="3721"/>
      <c r="F2726" s="3773" t="str">
        <f>$E$1446</f>
        <v>ASHP SEER 15 MF replace at Fail Elec Resist Furnace: HVAC</v>
      </c>
      <c r="G2726" s="3774"/>
      <c r="H2726" s="3774"/>
      <c r="I2726" s="3775"/>
      <c r="J2726" s="3071" t="str">
        <f>$C$1446</f>
        <v>352800_2019_12_</v>
      </c>
      <c r="K2726" s="884">
        <v>0.65</v>
      </c>
      <c r="L2726" s="945"/>
      <c r="M2726" s="783" t="s">
        <v>1198</v>
      </c>
      <c r="N2726" s="157"/>
      <c r="O2726" s="277"/>
      <c r="P2726" s="937"/>
      <c r="Q2726" s="937"/>
      <c r="R2726" s="937"/>
      <c r="S2726" s="924"/>
      <c r="T2726" s="1407"/>
      <c r="U2726" s="157"/>
      <c r="V2726" s="3589"/>
      <c r="W2726" s="884">
        <v>0.65</v>
      </c>
      <c r="X2726" s="884">
        <v>0.65</v>
      </c>
      <c r="Y2726" s="884">
        <v>0.65</v>
      </c>
      <c r="Z2726" s="884">
        <v>0.65</v>
      </c>
      <c r="AA2726" s="884">
        <v>0.65</v>
      </c>
      <c r="AB2726" s="884">
        <v>0.65</v>
      </c>
      <c r="AC2726" s="884"/>
      <c r="AD2726" s="884"/>
      <c r="AE2726" s="884"/>
      <c r="AF2726" s="884"/>
      <c r="AG2726" s="884"/>
      <c r="BB2726" s="647"/>
      <c r="BC2726" s="648"/>
      <c r="BD2726" s="757"/>
      <c r="BE2726" s="659"/>
    </row>
    <row r="2727" spans="1:57" s="64" customFormat="1" ht="15" customHeight="1" outlineLevel="1" x14ac:dyDescent="0.25">
      <c r="A2727" s="2463"/>
      <c r="B2727" s="648"/>
      <c r="C2727" s="385"/>
      <c r="D2727" s="3589"/>
      <c r="E2727" s="3721"/>
      <c r="F2727" s="3773" t="str">
        <f>$E$1448</f>
        <v>ASHP SEER 15 MF replace at Fail Elec Resist Furnace: HVAC_CompE</v>
      </c>
      <c r="G2727" s="3774"/>
      <c r="H2727" s="3774"/>
      <c r="I2727" s="3775"/>
      <c r="J2727" s="3071" t="str">
        <f>$C$1448</f>
        <v>352801_2019_12_</v>
      </c>
      <c r="K2727" s="884">
        <v>1</v>
      </c>
      <c r="L2727" s="945"/>
      <c r="M2727" s="783"/>
      <c r="N2727" s="157"/>
      <c r="O2727" s="277"/>
      <c r="P2727" s="937"/>
      <c r="Q2727" s="937"/>
      <c r="R2727" s="937"/>
      <c r="S2727" s="924"/>
      <c r="T2727" s="1407"/>
      <c r="U2727" s="157"/>
      <c r="V2727" s="3589"/>
      <c r="W2727" s="884"/>
      <c r="X2727" s="884"/>
      <c r="Y2727" s="882">
        <v>1</v>
      </c>
      <c r="Z2727" s="884">
        <v>1</v>
      </c>
      <c r="AA2727" s="884">
        <v>1</v>
      </c>
      <c r="AB2727" s="884">
        <v>1</v>
      </c>
      <c r="AC2727" s="884"/>
      <c r="AD2727" s="884"/>
      <c r="AE2727" s="884"/>
      <c r="AF2727" s="884"/>
      <c r="AG2727" s="884"/>
      <c r="BB2727" s="647"/>
      <c r="BC2727" s="648"/>
      <c r="BD2727" s="757"/>
      <c r="BE2727" s="659"/>
    </row>
    <row r="2728" spans="1:57" s="64" customFormat="1" ht="15" customHeight="1" outlineLevel="1" x14ac:dyDescent="0.25">
      <c r="A2728" s="2463"/>
      <c r="B2728" s="648"/>
      <c r="C2728" s="385"/>
      <c r="D2728" s="3589"/>
      <c r="E2728" s="3721"/>
      <c r="F2728" s="3773" t="str">
        <f>$E$1450</f>
        <v>ASHP SEER 16 MF ER replace ASHP: HVAC ER1</v>
      </c>
      <c r="G2728" s="3774"/>
      <c r="H2728" s="3774"/>
      <c r="I2728" s="3775"/>
      <c r="J2728" s="3071" t="str">
        <f>$C$1450</f>
        <v>352850_2019_12_</v>
      </c>
      <c r="K2728" s="884">
        <v>0.65</v>
      </c>
      <c r="L2728" s="945"/>
      <c r="M2728" s="783" t="s">
        <v>1198</v>
      </c>
      <c r="N2728" s="157"/>
      <c r="O2728" s="277"/>
      <c r="P2728" s="937"/>
      <c r="Q2728" s="937"/>
      <c r="R2728" s="937"/>
      <c r="S2728" s="924"/>
      <c r="T2728" s="1407"/>
      <c r="U2728" s="157"/>
      <c r="V2728" s="3589"/>
      <c r="W2728" s="884">
        <v>0.65</v>
      </c>
      <c r="X2728" s="884">
        <v>0.65</v>
      </c>
      <c r="Y2728" s="884">
        <v>0.65</v>
      </c>
      <c r="Z2728" s="884">
        <v>0.65</v>
      </c>
      <c r="AA2728" s="884">
        <v>0.65</v>
      </c>
      <c r="AB2728" s="884">
        <v>0.65</v>
      </c>
      <c r="AC2728" s="884"/>
      <c r="AD2728" s="884"/>
      <c r="AE2728" s="884"/>
      <c r="AF2728" s="884"/>
      <c r="AG2728" s="884"/>
      <c r="BB2728" s="647"/>
      <c r="BC2728" s="648"/>
      <c r="BD2728" s="757"/>
      <c r="BE2728" s="659"/>
    </row>
    <row r="2729" spans="1:57" s="64" customFormat="1" ht="15" customHeight="1" outlineLevel="1" x14ac:dyDescent="0.25">
      <c r="A2729" s="2463"/>
      <c r="B2729" s="648"/>
      <c r="C2729" s="385"/>
      <c r="D2729" s="3589"/>
      <c r="E2729" s="3721"/>
      <c r="F2729" s="3773" t="str">
        <f>$E$1452</f>
        <v>ASHP SEER 16 MF ER replace ASHP: HVAC ER2</v>
      </c>
      <c r="G2729" s="3774"/>
      <c r="H2729" s="3774"/>
      <c r="I2729" s="3775"/>
      <c r="J2729" s="3071" t="str">
        <f>$C$1452</f>
        <v>352850_2019_12_</v>
      </c>
      <c r="K2729" s="884">
        <v>0.65</v>
      </c>
      <c r="L2729" s="945"/>
      <c r="M2729" s="783" t="s">
        <v>1198</v>
      </c>
      <c r="N2729" s="157"/>
      <c r="O2729" s="277"/>
      <c r="P2729" s="937"/>
      <c r="Q2729" s="937"/>
      <c r="R2729" s="937"/>
      <c r="S2729" s="924"/>
      <c r="T2729" s="1407"/>
      <c r="U2729" s="157"/>
      <c r="V2729" s="3589"/>
      <c r="W2729" s="884">
        <v>0.65</v>
      </c>
      <c r="X2729" s="884">
        <v>0.65</v>
      </c>
      <c r="Y2729" s="884">
        <v>0.65</v>
      </c>
      <c r="Z2729" s="884">
        <v>0.65</v>
      </c>
      <c r="AA2729" s="884">
        <v>0.65</v>
      </c>
      <c r="AB2729" s="884">
        <v>0.65</v>
      </c>
      <c r="AC2729" s="884"/>
      <c r="AD2729" s="884"/>
      <c r="AE2729" s="884"/>
      <c r="AF2729" s="884"/>
      <c r="AG2729" s="884"/>
      <c r="BB2729" s="647"/>
      <c r="BC2729" s="648"/>
      <c r="BD2729" s="757"/>
      <c r="BE2729" s="659"/>
    </row>
    <row r="2730" spans="1:57" s="64" customFormat="1" ht="15" customHeight="1" outlineLevel="1" x14ac:dyDescent="0.25">
      <c r="A2730" s="2463"/>
      <c r="B2730" s="648"/>
      <c r="C2730" s="385"/>
      <c r="D2730" s="3589"/>
      <c r="E2730" s="3721"/>
      <c r="F2730" s="3773" t="str">
        <f>$E$1454</f>
        <v>ASHP SEER 16 MF ER replace ASHP: HVAC ER1_CompE</v>
      </c>
      <c r="G2730" s="3774"/>
      <c r="H2730" s="3774"/>
      <c r="I2730" s="3775"/>
      <c r="J2730" s="3071" t="str">
        <f>$C$1454</f>
        <v>352851_2019_12_</v>
      </c>
      <c r="K2730" s="884">
        <f>K2728</f>
        <v>0.65</v>
      </c>
      <c r="L2730" s="945"/>
      <c r="M2730" s="783"/>
      <c r="N2730" s="157"/>
      <c r="O2730" s="277"/>
      <c r="P2730" s="937"/>
      <c r="Q2730" s="937"/>
      <c r="R2730" s="937"/>
      <c r="S2730" s="924"/>
      <c r="T2730" s="1407"/>
      <c r="U2730" s="157"/>
      <c r="V2730" s="3589"/>
      <c r="W2730" s="884"/>
      <c r="X2730" s="884"/>
      <c r="Y2730" s="882">
        <v>0.65</v>
      </c>
      <c r="Z2730" s="884">
        <v>0.65</v>
      </c>
      <c r="AA2730" s="884">
        <v>0.65</v>
      </c>
      <c r="AB2730" s="884">
        <v>0.65</v>
      </c>
      <c r="AC2730" s="884"/>
      <c r="AD2730" s="884"/>
      <c r="AE2730" s="884"/>
      <c r="AF2730" s="884"/>
      <c r="AG2730" s="884"/>
      <c r="BB2730" s="647"/>
      <c r="BC2730" s="648"/>
      <c r="BD2730" s="757"/>
      <c r="BE2730" s="659"/>
    </row>
    <row r="2731" spans="1:57" s="64" customFormat="1" ht="15" customHeight="1" outlineLevel="1" x14ac:dyDescent="0.25">
      <c r="A2731" s="2463"/>
      <c r="B2731" s="648"/>
      <c r="C2731" s="385"/>
      <c r="D2731" s="3589"/>
      <c r="E2731" s="3721"/>
      <c r="F2731" s="3773" t="str">
        <f>$E$1456</f>
        <v>ASHP SEER 16 MF ER replace ASHP: HVAC ER2_CompE</v>
      </c>
      <c r="G2731" s="3774"/>
      <c r="H2731" s="3774"/>
      <c r="I2731" s="3775"/>
      <c r="J2731" s="3071" t="str">
        <f>$C$1456</f>
        <v>352851_2019_12_</v>
      </c>
      <c r="K2731" s="884">
        <f>K2729</f>
        <v>0.65</v>
      </c>
      <c r="L2731" s="945"/>
      <c r="M2731" s="783"/>
      <c r="N2731" s="157"/>
      <c r="O2731" s="277"/>
      <c r="P2731" s="937"/>
      <c r="Q2731" s="937"/>
      <c r="R2731" s="937"/>
      <c r="S2731" s="924"/>
      <c r="T2731" s="1407"/>
      <c r="U2731" s="157"/>
      <c r="V2731" s="3589"/>
      <c r="W2731" s="884"/>
      <c r="X2731" s="884"/>
      <c r="Y2731" s="882">
        <v>0.65</v>
      </c>
      <c r="Z2731" s="884">
        <v>0.65</v>
      </c>
      <c r="AA2731" s="884">
        <v>0.65</v>
      </c>
      <c r="AB2731" s="884">
        <v>0.65</v>
      </c>
      <c r="AC2731" s="884"/>
      <c r="AD2731" s="884"/>
      <c r="AE2731" s="884"/>
      <c r="AF2731" s="884"/>
      <c r="AG2731" s="884"/>
      <c r="BB2731" s="647"/>
      <c r="BC2731" s="648"/>
      <c r="BD2731" s="757"/>
      <c r="BE2731" s="659"/>
    </row>
    <row r="2732" spans="1:57" s="64" customFormat="1" ht="15" customHeight="1" outlineLevel="1" x14ac:dyDescent="0.25">
      <c r="A2732" s="2463"/>
      <c r="B2732" s="648"/>
      <c r="C2732" s="385"/>
      <c r="D2732" s="3589"/>
      <c r="E2732" s="3721"/>
      <c r="F2732" s="3773" t="str">
        <f>$E$1458</f>
        <v>ASHP - SEER 16 - replace on fail MF</v>
      </c>
      <c r="G2732" s="3774"/>
      <c r="H2732" s="3774"/>
      <c r="I2732" s="3775"/>
      <c r="J2732" s="3071" t="str">
        <f>$C$1458</f>
        <v>352900_2019_12_</v>
      </c>
      <c r="K2732" s="884">
        <v>0.65</v>
      </c>
      <c r="L2732" s="945"/>
      <c r="M2732" s="783" t="s">
        <v>1198</v>
      </c>
      <c r="N2732" s="157"/>
      <c r="O2732" s="277"/>
      <c r="P2732" s="937"/>
      <c r="Q2732" s="937"/>
      <c r="R2732" s="937"/>
      <c r="S2732" s="924"/>
      <c r="T2732" s="1407"/>
      <c r="U2732" s="157"/>
      <c r="V2732" s="3589"/>
      <c r="W2732" s="884">
        <v>0.65</v>
      </c>
      <c r="X2732" s="884">
        <v>0.65</v>
      </c>
      <c r="Y2732" s="884">
        <v>0.65</v>
      </c>
      <c r="Z2732" s="884">
        <v>0.65</v>
      </c>
      <c r="AA2732" s="884">
        <v>0.65</v>
      </c>
      <c r="AB2732" s="884">
        <v>0.65</v>
      </c>
      <c r="AC2732" s="884"/>
      <c r="AD2732" s="884"/>
      <c r="AE2732" s="884"/>
      <c r="AF2732" s="884"/>
      <c r="AG2732" s="884"/>
      <c r="BB2732" s="647"/>
      <c r="BC2732" s="648"/>
      <c r="BD2732" s="757"/>
      <c r="BE2732" s="659"/>
    </row>
    <row r="2733" spans="1:57" s="64" customFormat="1" ht="15" customHeight="1" outlineLevel="1" x14ac:dyDescent="0.25">
      <c r="A2733" s="2463"/>
      <c r="B2733" s="648"/>
      <c r="C2733" s="385"/>
      <c r="D2733" s="3589"/>
      <c r="E2733" s="3721"/>
      <c r="F2733" s="3773" t="str">
        <f>$E$1460</f>
        <v>ASHP - SEER 16 - replace on fail MF_CompE</v>
      </c>
      <c r="G2733" s="3774"/>
      <c r="H2733" s="3774"/>
      <c r="I2733" s="3775"/>
      <c r="J2733" s="3071" t="str">
        <f>$C$1460</f>
        <v>352901_2019_12_</v>
      </c>
      <c r="K2733" s="884">
        <f>K2732</f>
        <v>0.65</v>
      </c>
      <c r="L2733" s="945"/>
      <c r="M2733" s="783"/>
      <c r="N2733" s="157"/>
      <c r="O2733" s="277"/>
      <c r="P2733" s="937"/>
      <c r="Q2733" s="937"/>
      <c r="R2733" s="937"/>
      <c r="S2733" s="924"/>
      <c r="T2733" s="1407"/>
      <c r="U2733" s="157"/>
      <c r="V2733" s="3589"/>
      <c r="W2733" s="884"/>
      <c r="X2733" s="884"/>
      <c r="Y2733" s="882">
        <v>0.65</v>
      </c>
      <c r="Z2733" s="884">
        <v>0.65</v>
      </c>
      <c r="AA2733" s="884">
        <v>0.65</v>
      </c>
      <c r="AB2733" s="884">
        <v>0.65</v>
      </c>
      <c r="AC2733" s="884"/>
      <c r="AD2733" s="884"/>
      <c r="AE2733" s="884"/>
      <c r="AF2733" s="884"/>
      <c r="AG2733" s="884"/>
      <c r="BB2733" s="647"/>
      <c r="BC2733" s="648"/>
      <c r="BD2733" s="757"/>
      <c r="BE2733" s="659"/>
    </row>
    <row r="2734" spans="1:57" s="64" customFormat="1" ht="15" customHeight="1" outlineLevel="1" x14ac:dyDescent="0.25">
      <c r="A2734" s="2463"/>
      <c r="B2734" s="648"/>
      <c r="C2734" s="385"/>
      <c r="D2734" s="3589"/>
      <c r="E2734" s="3721"/>
      <c r="F2734" s="3773" t="str">
        <f>$E$1462</f>
        <v>ASHP - SEER 16 - replace electric furnace / CAC MF</v>
      </c>
      <c r="G2734" s="3774"/>
      <c r="H2734" s="3774"/>
      <c r="I2734" s="3775"/>
      <c r="J2734" s="3071" t="str">
        <f>$C$1462</f>
        <v>352950_2019_12_</v>
      </c>
      <c r="K2734" s="884">
        <v>0.65</v>
      </c>
      <c r="L2734" s="945"/>
      <c r="M2734" s="783" t="s">
        <v>1198</v>
      </c>
      <c r="N2734" s="157"/>
      <c r="O2734" s="277"/>
      <c r="P2734" s="937"/>
      <c r="Q2734" s="937"/>
      <c r="R2734" s="937"/>
      <c r="S2734" s="924"/>
      <c r="T2734" s="1407"/>
      <c r="U2734" s="157"/>
      <c r="V2734" s="3589"/>
      <c r="W2734" s="884">
        <v>0.65</v>
      </c>
      <c r="X2734" s="884">
        <v>0.65</v>
      </c>
      <c r="Y2734" s="884">
        <v>0.65</v>
      </c>
      <c r="Z2734" s="884">
        <v>0.65</v>
      </c>
      <c r="AA2734" s="884">
        <v>0.65</v>
      </c>
      <c r="AB2734" s="884">
        <v>0.65</v>
      </c>
      <c r="AC2734" s="884"/>
      <c r="AD2734" s="884"/>
      <c r="AE2734" s="884"/>
      <c r="AF2734" s="884"/>
      <c r="AG2734" s="884"/>
      <c r="BB2734" s="647"/>
      <c r="BC2734" s="648"/>
      <c r="BD2734" s="757"/>
      <c r="BE2734" s="659"/>
    </row>
    <row r="2735" spans="1:57" s="64" customFormat="1" ht="15" customHeight="1" outlineLevel="1" x14ac:dyDescent="0.25">
      <c r="A2735" s="2463"/>
      <c r="B2735" s="648"/>
      <c r="C2735" s="385"/>
      <c r="D2735" s="3589"/>
      <c r="E2735" s="3721"/>
      <c r="F2735" s="3773" t="str">
        <f>$E$1464</f>
        <v>ASHP - SEER 16 - replace electric furnace / CAC MF_CompE</v>
      </c>
      <c r="G2735" s="3774"/>
      <c r="H2735" s="3774"/>
      <c r="I2735" s="3775"/>
      <c r="J2735" s="3071" t="str">
        <f>$C$1464</f>
        <v>352951_2019_12_</v>
      </c>
      <c r="K2735" s="884">
        <f>K2734</f>
        <v>0.65</v>
      </c>
      <c r="L2735" s="945"/>
      <c r="M2735" s="783"/>
      <c r="N2735" s="157"/>
      <c r="O2735" s="277"/>
      <c r="P2735" s="937"/>
      <c r="Q2735" s="937"/>
      <c r="R2735" s="937"/>
      <c r="S2735" s="924"/>
      <c r="T2735" s="1407"/>
      <c r="U2735" s="157"/>
      <c r="V2735" s="3589"/>
      <c r="W2735" s="884"/>
      <c r="X2735" s="884"/>
      <c r="Y2735" s="882">
        <v>0.65</v>
      </c>
      <c r="Z2735" s="884">
        <v>0.65</v>
      </c>
      <c r="AA2735" s="884">
        <v>0.65</v>
      </c>
      <c r="AB2735" s="884">
        <v>0.65</v>
      </c>
      <c r="AC2735" s="884"/>
      <c r="AD2735" s="884"/>
      <c r="AE2735" s="884"/>
      <c r="AF2735" s="884"/>
      <c r="AG2735" s="884"/>
      <c r="BB2735" s="647"/>
      <c r="BC2735" s="648"/>
      <c r="BD2735" s="757"/>
      <c r="BE2735" s="659"/>
    </row>
    <row r="2736" spans="1:57" s="64" customFormat="1" ht="15" customHeight="1" outlineLevel="1" x14ac:dyDescent="0.25">
      <c r="A2736" s="2463"/>
      <c r="B2736" s="648"/>
      <c r="C2736" s="385"/>
      <c r="D2736" s="3589"/>
      <c r="E2736" s="3721"/>
      <c r="F2736" s="3773" t="str">
        <f>$E$1466</f>
        <v>ASHP - SEER 16 - replace electric furnace / CAC - early replacement MF ER1</v>
      </c>
      <c r="G2736" s="3774"/>
      <c r="H2736" s="3774"/>
      <c r="I2736" s="3775"/>
      <c r="J2736" s="3071" t="str">
        <f>$C$1466</f>
        <v>353000_2019_12_</v>
      </c>
      <c r="K2736" s="884">
        <v>0.65</v>
      </c>
      <c r="L2736" s="945"/>
      <c r="M2736" s="783" t="s">
        <v>1198</v>
      </c>
      <c r="N2736" s="157"/>
      <c r="O2736" s="277"/>
      <c r="P2736" s="937"/>
      <c r="Q2736" s="937"/>
      <c r="R2736" s="937"/>
      <c r="S2736" s="924"/>
      <c r="T2736" s="1407"/>
      <c r="U2736" s="157"/>
      <c r="V2736" s="3589"/>
      <c r="W2736" s="884">
        <v>0.65</v>
      </c>
      <c r="X2736" s="884">
        <v>0.65</v>
      </c>
      <c r="Y2736" s="884">
        <v>0.65</v>
      </c>
      <c r="Z2736" s="884">
        <v>0.65</v>
      </c>
      <c r="AA2736" s="884">
        <v>0.65</v>
      </c>
      <c r="AB2736" s="884">
        <v>0.65</v>
      </c>
      <c r="AC2736" s="884"/>
      <c r="AD2736" s="884"/>
      <c r="AE2736" s="884"/>
      <c r="AF2736" s="884"/>
      <c r="AG2736" s="884"/>
      <c r="BB2736" s="647"/>
      <c r="BC2736" s="648"/>
      <c r="BD2736" s="757"/>
      <c r="BE2736" s="659"/>
    </row>
    <row r="2737" spans="1:57" s="64" customFormat="1" ht="15" customHeight="1" outlineLevel="1" x14ac:dyDescent="0.25">
      <c r="A2737" s="2463"/>
      <c r="B2737" s="648"/>
      <c r="C2737" s="385"/>
      <c r="D2737" s="3589"/>
      <c r="E2737" s="3721"/>
      <c r="F2737" s="3773" t="str">
        <f>$E$1468</f>
        <v>ASHP - SEER 16 - replace electric furnace / CAC - early replacement MF ER2</v>
      </c>
      <c r="G2737" s="3774"/>
      <c r="H2737" s="3774"/>
      <c r="I2737" s="3775"/>
      <c r="J2737" s="3071" t="str">
        <f>$C$1468</f>
        <v>353000_2019_12_</v>
      </c>
      <c r="K2737" s="884">
        <v>0.65</v>
      </c>
      <c r="L2737" s="945"/>
      <c r="M2737" s="783" t="s">
        <v>1198</v>
      </c>
      <c r="N2737" s="157"/>
      <c r="O2737" s="277"/>
      <c r="P2737" s="937"/>
      <c r="Q2737" s="937"/>
      <c r="R2737" s="937"/>
      <c r="S2737" s="924"/>
      <c r="T2737" s="1407"/>
      <c r="U2737" s="157"/>
      <c r="V2737" s="3589"/>
      <c r="W2737" s="884">
        <v>0.65</v>
      </c>
      <c r="X2737" s="884">
        <v>0.65</v>
      </c>
      <c r="Y2737" s="884">
        <v>0.65</v>
      </c>
      <c r="Z2737" s="884">
        <v>0.65</v>
      </c>
      <c r="AA2737" s="884">
        <v>0.65</v>
      </c>
      <c r="AB2737" s="884">
        <v>0.65</v>
      </c>
      <c r="AC2737" s="884"/>
      <c r="AD2737" s="884"/>
      <c r="AE2737" s="884"/>
      <c r="AF2737" s="884"/>
      <c r="AG2737" s="884"/>
      <c r="BB2737" s="647"/>
      <c r="BC2737" s="648"/>
      <c r="BD2737" s="757"/>
      <c r="BE2737" s="659"/>
    </row>
    <row r="2738" spans="1:57" s="64" customFormat="1" ht="15" customHeight="1" outlineLevel="1" x14ac:dyDescent="0.25">
      <c r="A2738" s="2463"/>
      <c r="B2738" s="648"/>
      <c r="C2738" s="385"/>
      <c r="D2738" s="3589"/>
      <c r="E2738" s="3721"/>
      <c r="F2738" s="3773" t="str">
        <f>$E$1470</f>
        <v>ASHP - SEER 16 - replace electric furnace / CAC - early replacement MF ER1_CompE</v>
      </c>
      <c r="G2738" s="3774"/>
      <c r="H2738" s="3774"/>
      <c r="I2738" s="3775"/>
      <c r="J2738" s="3071" t="str">
        <f>$C$1470</f>
        <v>353001_2019_12_</v>
      </c>
      <c r="K2738" s="884">
        <f>K2736</f>
        <v>0.65</v>
      </c>
      <c r="L2738" s="945"/>
      <c r="M2738" s="783"/>
      <c r="N2738" s="157"/>
      <c r="O2738" s="277"/>
      <c r="P2738" s="937"/>
      <c r="Q2738" s="937"/>
      <c r="R2738" s="937"/>
      <c r="S2738" s="924"/>
      <c r="T2738" s="1407"/>
      <c r="U2738" s="157"/>
      <c r="V2738" s="3589"/>
      <c r="W2738" s="884"/>
      <c r="X2738" s="884"/>
      <c r="Y2738" s="882">
        <v>0.65</v>
      </c>
      <c r="Z2738" s="884">
        <v>0.65</v>
      </c>
      <c r="AA2738" s="884">
        <v>0.65</v>
      </c>
      <c r="AB2738" s="884">
        <v>0.65</v>
      </c>
      <c r="AC2738" s="884"/>
      <c r="AD2738" s="884"/>
      <c r="AE2738" s="884"/>
      <c r="AF2738" s="884"/>
      <c r="AG2738" s="884"/>
      <c r="BB2738" s="647"/>
      <c r="BC2738" s="648"/>
      <c r="BD2738" s="757"/>
      <c r="BE2738" s="659"/>
    </row>
    <row r="2739" spans="1:57" s="64" customFormat="1" ht="15" customHeight="1" outlineLevel="1" x14ac:dyDescent="0.25">
      <c r="A2739" s="2463"/>
      <c r="B2739" s="648"/>
      <c r="C2739" s="385"/>
      <c r="D2739" s="3589"/>
      <c r="E2739" s="3721"/>
      <c r="F2739" s="3773" t="str">
        <f>$E$1472</f>
        <v>ASHP - SEER 16 - replace electric furnace / CAC - early replacement MF ER2_CompE</v>
      </c>
      <c r="G2739" s="3774"/>
      <c r="H2739" s="3774"/>
      <c r="I2739" s="3775"/>
      <c r="J2739" s="3071" t="str">
        <f>$C$1472</f>
        <v>353001_2019_12_</v>
      </c>
      <c r="K2739" s="884">
        <f>K2737</f>
        <v>0.65</v>
      </c>
      <c r="L2739" s="945"/>
      <c r="M2739" s="783"/>
      <c r="N2739" s="157"/>
      <c r="O2739" s="277"/>
      <c r="P2739" s="937"/>
      <c r="Q2739" s="937"/>
      <c r="R2739" s="937"/>
      <c r="S2739" s="924"/>
      <c r="T2739" s="1407"/>
      <c r="U2739" s="157"/>
      <c r="V2739" s="3589"/>
      <c r="W2739" s="884"/>
      <c r="X2739" s="884"/>
      <c r="Y2739" s="882">
        <v>0.65</v>
      </c>
      <c r="Z2739" s="884">
        <v>0.65</v>
      </c>
      <c r="AA2739" s="884">
        <v>0.65</v>
      </c>
      <c r="AB2739" s="884">
        <v>0.65</v>
      </c>
      <c r="AC2739" s="884"/>
      <c r="AD2739" s="884"/>
      <c r="AE2739" s="884"/>
      <c r="AF2739" s="884"/>
      <c r="AG2739" s="884"/>
      <c r="BB2739" s="647"/>
      <c r="BC2739" s="648"/>
      <c r="BD2739" s="757"/>
      <c r="BE2739" s="659"/>
    </row>
    <row r="2740" spans="1:57" s="64" customFormat="1" ht="15" customHeight="1" outlineLevel="1" x14ac:dyDescent="0.25">
      <c r="A2740" s="2463"/>
      <c r="B2740" s="648"/>
      <c r="C2740" s="385"/>
      <c r="D2740" s="3589"/>
      <c r="E2740" s="3721"/>
      <c r="F2740" s="3776" t="str">
        <f>$E$1474</f>
        <v xml:space="preserve">ASHP SEER 15 - replace on Fail MF </v>
      </c>
      <c r="G2740" s="3777"/>
      <c r="H2740" s="3777"/>
      <c r="I2740" s="3778"/>
      <c r="J2740" s="3072" t="str">
        <f>$C$1474</f>
        <v>353050_2019_12_</v>
      </c>
      <c r="K2740" s="884">
        <v>0.65</v>
      </c>
      <c r="L2740" s="945"/>
      <c r="M2740" s="783" t="s">
        <v>1198</v>
      </c>
      <c r="N2740" s="157"/>
      <c r="O2740" s="277"/>
      <c r="P2740" s="937"/>
      <c r="Q2740" s="937"/>
      <c r="R2740" s="937"/>
      <c r="S2740" s="924"/>
      <c r="T2740" s="1407"/>
      <c r="U2740" s="157"/>
      <c r="V2740" s="3589"/>
      <c r="W2740" s="884">
        <v>0.65</v>
      </c>
      <c r="X2740" s="884">
        <v>0.65</v>
      </c>
      <c r="Y2740" s="884">
        <v>0.65</v>
      </c>
      <c r="Z2740" s="884">
        <v>0.65</v>
      </c>
      <c r="AA2740" s="884">
        <v>0.65</v>
      </c>
      <c r="AB2740" s="884">
        <v>0.65</v>
      </c>
      <c r="AC2740" s="884"/>
      <c r="AD2740" s="884"/>
      <c r="AE2740" s="884"/>
      <c r="AF2740" s="884"/>
      <c r="AG2740" s="884"/>
      <c r="BB2740" s="647"/>
      <c r="BC2740" s="648"/>
      <c r="BD2740" s="757"/>
      <c r="BE2740" s="659"/>
    </row>
    <row r="2741" spans="1:57" s="64" customFormat="1" ht="15" customHeight="1" outlineLevel="1" x14ac:dyDescent="0.25">
      <c r="A2741" s="2463"/>
      <c r="B2741" s="648"/>
      <c r="C2741" s="385"/>
      <c r="D2741" s="3589"/>
      <c r="E2741" s="3721"/>
      <c r="F2741" s="3776" t="str">
        <f>$E$1476</f>
        <v>ASHP SEER 15 - replace on Fail MF _CompE</v>
      </c>
      <c r="G2741" s="3777"/>
      <c r="H2741" s="3777"/>
      <c r="I2741" s="3778"/>
      <c r="J2741" s="3072" t="str">
        <f>$C$1476</f>
        <v>353051_2019_12_</v>
      </c>
      <c r="K2741" s="884">
        <f>K2740</f>
        <v>0.65</v>
      </c>
      <c r="L2741" s="945"/>
      <c r="M2741" s="783"/>
      <c r="N2741" s="157"/>
      <c r="O2741" s="277"/>
      <c r="P2741" s="937"/>
      <c r="Q2741" s="937"/>
      <c r="R2741" s="937"/>
      <c r="S2741" s="924"/>
      <c r="T2741" s="1407"/>
      <c r="U2741" s="157"/>
      <c r="V2741" s="3589"/>
      <c r="W2741" s="884"/>
      <c r="X2741" s="884"/>
      <c r="Y2741" s="882">
        <v>0.65</v>
      </c>
      <c r="Z2741" s="884">
        <v>0.65</v>
      </c>
      <c r="AA2741" s="884">
        <v>0.65</v>
      </c>
      <c r="AB2741" s="884">
        <v>0.65</v>
      </c>
      <c r="AC2741" s="884"/>
      <c r="AD2741" s="884"/>
      <c r="AE2741" s="884"/>
      <c r="AF2741" s="884"/>
      <c r="AG2741" s="884"/>
      <c r="BB2741" s="647"/>
      <c r="BC2741" s="648"/>
      <c r="BD2741" s="757"/>
      <c r="BE2741" s="659"/>
    </row>
    <row r="2742" spans="1:57" s="64" customFormat="1" ht="15" customHeight="1" outlineLevel="1" x14ac:dyDescent="0.25">
      <c r="A2742" s="2463"/>
      <c r="B2742" s="648"/>
      <c r="C2742" s="385"/>
      <c r="D2742" s="3589"/>
      <c r="E2742" s="3721"/>
      <c r="F2742" s="3773" t="str">
        <f>$E$1478</f>
        <v>ASHP - SEER 17 - replace electric furnace / CAC SF</v>
      </c>
      <c r="G2742" s="3774"/>
      <c r="H2742" s="3774"/>
      <c r="I2742" s="3775"/>
      <c r="J2742" s="3071" t="str">
        <f>$C$1478</f>
        <v>353100_2019_12_</v>
      </c>
      <c r="K2742" s="884">
        <v>1</v>
      </c>
      <c r="L2742" s="945"/>
      <c r="M2742" s="783"/>
      <c r="N2742" s="157"/>
      <c r="O2742" s="277"/>
      <c r="P2742" s="937"/>
      <c r="Q2742" s="937"/>
      <c r="R2742" s="937"/>
      <c r="S2742" s="924"/>
      <c r="T2742" s="1407"/>
      <c r="U2742" s="157"/>
      <c r="V2742" s="3589"/>
      <c r="W2742" s="884">
        <v>1</v>
      </c>
      <c r="X2742" s="884">
        <v>1</v>
      </c>
      <c r="Y2742" s="884">
        <v>1</v>
      </c>
      <c r="Z2742" s="884">
        <v>1</v>
      </c>
      <c r="AA2742" s="884">
        <v>1</v>
      </c>
      <c r="AB2742" s="884">
        <v>1</v>
      </c>
      <c r="AC2742" s="884"/>
      <c r="AD2742" s="884"/>
      <c r="AE2742" s="884"/>
      <c r="AF2742" s="884"/>
      <c r="AG2742" s="884"/>
      <c r="BB2742" s="647"/>
      <c r="BC2742" s="648"/>
      <c r="BD2742" s="757"/>
      <c r="BE2742" s="659"/>
    </row>
    <row r="2743" spans="1:57" s="64" customFormat="1" ht="15" customHeight="1" outlineLevel="1" x14ac:dyDescent="0.25">
      <c r="A2743" s="2463"/>
      <c r="B2743" s="648"/>
      <c r="C2743" s="385"/>
      <c r="D2743" s="3589"/>
      <c r="E2743" s="3721"/>
      <c r="F2743" s="3773" t="str">
        <f>$E$1480</f>
        <v>ASHP - SEER 17 - replace electric furnace / CAC MF</v>
      </c>
      <c r="G2743" s="3774"/>
      <c r="H2743" s="3774"/>
      <c r="I2743" s="3775"/>
      <c r="J2743" s="3071" t="str">
        <f>$C$1480</f>
        <v>353150_2019_12_</v>
      </c>
      <c r="K2743" s="884">
        <v>0.65</v>
      </c>
      <c r="L2743" s="945"/>
      <c r="M2743" s="783" t="s">
        <v>1198</v>
      </c>
      <c r="N2743" s="157"/>
      <c r="O2743" s="277"/>
      <c r="P2743" s="937"/>
      <c r="Q2743" s="937"/>
      <c r="R2743" s="937"/>
      <c r="S2743" s="924"/>
      <c r="T2743" s="1407"/>
      <c r="U2743" s="157"/>
      <c r="V2743" s="3589"/>
      <c r="W2743" s="884">
        <v>0.65</v>
      </c>
      <c r="X2743" s="884">
        <v>0.65</v>
      </c>
      <c r="Y2743" s="884">
        <v>0.65</v>
      </c>
      <c r="Z2743" s="884">
        <v>0.65</v>
      </c>
      <c r="AA2743" s="884">
        <v>0.65</v>
      </c>
      <c r="AB2743" s="884">
        <v>0.65</v>
      </c>
      <c r="AC2743" s="884"/>
      <c r="AD2743" s="884"/>
      <c r="AE2743" s="884"/>
      <c r="AF2743" s="884"/>
      <c r="AG2743" s="884"/>
      <c r="BB2743" s="647"/>
      <c r="BC2743" s="648"/>
      <c r="BD2743" s="757"/>
      <c r="BE2743" s="659"/>
    </row>
    <row r="2744" spans="1:57" s="64" customFormat="1" ht="15" customHeight="1" outlineLevel="1" x14ac:dyDescent="0.25">
      <c r="A2744" s="2463"/>
      <c r="B2744" s="648"/>
      <c r="C2744" s="385"/>
      <c r="D2744" s="3589"/>
      <c r="E2744" s="3721"/>
      <c r="F2744" s="3773" t="str">
        <f>$E$1482</f>
        <v>ASHP - SEER 17 - replace electric furnace / CAC MF_CompE</v>
      </c>
      <c r="G2744" s="3774"/>
      <c r="H2744" s="3774"/>
      <c r="I2744" s="3775"/>
      <c r="J2744" s="3071" t="str">
        <f>$C$1482</f>
        <v>353151_2019_12_</v>
      </c>
      <c r="K2744" s="884">
        <f>K2743</f>
        <v>0.65</v>
      </c>
      <c r="L2744" s="945"/>
      <c r="M2744" s="783"/>
      <c r="N2744" s="157"/>
      <c r="O2744" s="277"/>
      <c r="P2744" s="937"/>
      <c r="Q2744" s="937"/>
      <c r="R2744" s="937"/>
      <c r="S2744" s="924"/>
      <c r="T2744" s="1407"/>
      <c r="U2744" s="157"/>
      <c r="V2744" s="3589"/>
      <c r="W2744" s="884"/>
      <c r="X2744" s="884"/>
      <c r="Y2744" s="882">
        <v>0.65</v>
      </c>
      <c r="Z2744" s="884">
        <v>0.65</v>
      </c>
      <c r="AA2744" s="884">
        <v>0.65</v>
      </c>
      <c r="AB2744" s="884">
        <v>0.65</v>
      </c>
      <c r="AC2744" s="884"/>
      <c r="AD2744" s="884"/>
      <c r="AE2744" s="884"/>
      <c r="AF2744" s="884"/>
      <c r="AG2744" s="884"/>
      <c r="BB2744" s="647"/>
      <c r="BC2744" s="648"/>
      <c r="BD2744" s="757"/>
      <c r="BE2744" s="659"/>
    </row>
    <row r="2745" spans="1:57" s="64" customFormat="1" ht="15" customHeight="1" outlineLevel="1" x14ac:dyDescent="0.25">
      <c r="A2745" s="2463"/>
      <c r="B2745" s="648"/>
      <c r="C2745" s="385"/>
      <c r="D2745" s="3589"/>
      <c r="E2745" s="3721"/>
      <c r="F2745" s="3773" t="str">
        <f>$E$1484</f>
        <v>ASHP - SEER 18 - replace electric furnace / CAC SF</v>
      </c>
      <c r="G2745" s="3774"/>
      <c r="H2745" s="3774"/>
      <c r="I2745" s="3775"/>
      <c r="J2745" s="3071" t="str">
        <f>$C$1484</f>
        <v>353200_2019_12_</v>
      </c>
      <c r="K2745" s="884">
        <v>1</v>
      </c>
      <c r="L2745" s="945"/>
      <c r="M2745" s="783"/>
      <c r="N2745" s="157"/>
      <c r="O2745" s="277"/>
      <c r="P2745" s="937"/>
      <c r="Q2745" s="937"/>
      <c r="R2745" s="937"/>
      <c r="S2745" s="924"/>
      <c r="T2745" s="1407"/>
      <c r="U2745" s="157"/>
      <c r="V2745" s="3589"/>
      <c r="W2745" s="884">
        <v>1</v>
      </c>
      <c r="X2745" s="884">
        <v>1</v>
      </c>
      <c r="Y2745" s="884">
        <v>1</v>
      </c>
      <c r="Z2745" s="884">
        <v>1</v>
      </c>
      <c r="AA2745" s="884">
        <v>1</v>
      </c>
      <c r="AB2745" s="884">
        <v>1</v>
      </c>
      <c r="AC2745" s="884"/>
      <c r="AD2745" s="884"/>
      <c r="AE2745" s="884"/>
      <c r="AF2745" s="884"/>
      <c r="AG2745" s="884"/>
      <c r="BB2745" s="647"/>
      <c r="BC2745" s="648"/>
      <c r="BD2745" s="757"/>
      <c r="BE2745" s="659"/>
    </row>
    <row r="2746" spans="1:57" s="64" customFormat="1" ht="15" customHeight="1" outlineLevel="1" x14ac:dyDescent="0.25">
      <c r="A2746" s="2463"/>
      <c r="B2746" s="648"/>
      <c r="C2746" s="385"/>
      <c r="D2746" s="3589"/>
      <c r="E2746" s="3721"/>
      <c r="F2746" s="3773" t="str">
        <f>$E$1486</f>
        <v>ASHP - SEER 18 - replace electric furnace / CAC MF</v>
      </c>
      <c r="G2746" s="3774"/>
      <c r="H2746" s="3774"/>
      <c r="I2746" s="3775"/>
      <c r="J2746" s="3071" t="str">
        <f>$C$1486</f>
        <v>353250_2019_12_</v>
      </c>
      <c r="K2746" s="884">
        <v>0.65</v>
      </c>
      <c r="L2746" s="945"/>
      <c r="M2746" s="783" t="s">
        <v>1198</v>
      </c>
      <c r="N2746" s="157"/>
      <c r="O2746" s="277"/>
      <c r="P2746" s="937"/>
      <c r="Q2746" s="937"/>
      <c r="R2746" s="937"/>
      <c r="S2746" s="924"/>
      <c r="T2746" s="1407"/>
      <c r="U2746" s="157"/>
      <c r="V2746" s="3589"/>
      <c r="W2746" s="884">
        <v>0.65</v>
      </c>
      <c r="X2746" s="884">
        <v>0.65</v>
      </c>
      <c r="Y2746" s="884">
        <v>0.65</v>
      </c>
      <c r="Z2746" s="884">
        <v>0.65</v>
      </c>
      <c r="AA2746" s="884">
        <v>0.65</v>
      </c>
      <c r="AB2746" s="884">
        <v>0.65</v>
      </c>
      <c r="AC2746" s="884"/>
      <c r="AD2746" s="884"/>
      <c r="AE2746" s="884"/>
      <c r="AF2746" s="884"/>
      <c r="AG2746" s="884"/>
      <c r="BB2746" s="647"/>
      <c r="BC2746" s="648"/>
      <c r="BD2746" s="757"/>
      <c r="BE2746" s="659"/>
    </row>
    <row r="2747" spans="1:57" s="64" customFormat="1" ht="15" customHeight="1" outlineLevel="1" x14ac:dyDescent="0.25">
      <c r="A2747" s="2463"/>
      <c r="B2747" s="648"/>
      <c r="C2747" s="385"/>
      <c r="D2747" s="3589"/>
      <c r="E2747" s="3721"/>
      <c r="F2747" s="3773" t="str">
        <f>$E$1488</f>
        <v>ASHP - SEER 18 - replace electric furnace / CAC MF_CompE</v>
      </c>
      <c r="G2747" s="3774"/>
      <c r="H2747" s="3774"/>
      <c r="I2747" s="3775"/>
      <c r="J2747" s="3071" t="str">
        <f>$C$1488</f>
        <v>353251_2019_12_</v>
      </c>
      <c r="K2747" s="884">
        <f>K2746</f>
        <v>0.65</v>
      </c>
      <c r="L2747" s="945"/>
      <c r="M2747" s="783"/>
      <c r="N2747" s="157"/>
      <c r="O2747" s="277"/>
      <c r="P2747" s="937"/>
      <c r="Q2747" s="937"/>
      <c r="R2747" s="937"/>
      <c r="S2747" s="924"/>
      <c r="T2747" s="1407"/>
      <c r="U2747" s="157"/>
      <c r="V2747" s="3589"/>
      <c r="W2747" s="884"/>
      <c r="X2747" s="884"/>
      <c r="Y2747" s="882">
        <v>0.65</v>
      </c>
      <c r="Z2747" s="884">
        <v>0.65</v>
      </c>
      <c r="AA2747" s="884">
        <v>0.65</v>
      </c>
      <c r="AB2747" s="884">
        <v>0.65</v>
      </c>
      <c r="AC2747" s="884"/>
      <c r="AD2747" s="884"/>
      <c r="AE2747" s="884"/>
      <c r="AF2747" s="884"/>
      <c r="AG2747" s="884"/>
      <c r="BB2747" s="647"/>
      <c r="BC2747" s="648"/>
      <c r="BD2747" s="757"/>
      <c r="BE2747" s="659"/>
    </row>
    <row r="2748" spans="1:57" s="64" customFormat="1" ht="15" customHeight="1" outlineLevel="1" x14ac:dyDescent="0.25">
      <c r="A2748" s="2463"/>
      <c r="B2748" s="648"/>
      <c r="C2748" s="385"/>
      <c r="D2748" s="3589"/>
      <c r="E2748" s="3721"/>
      <c r="F2748" s="3773" t="str">
        <f>$E$1490</f>
        <v>ASHP - SEER 19 - replace electric furnace / CAC SF</v>
      </c>
      <c r="G2748" s="3774"/>
      <c r="H2748" s="3774"/>
      <c r="I2748" s="3775"/>
      <c r="J2748" s="3071" t="str">
        <f>$C$1490</f>
        <v>353300_2019_12_</v>
      </c>
      <c r="K2748" s="884">
        <v>1</v>
      </c>
      <c r="L2748" s="945"/>
      <c r="M2748" s="783"/>
      <c r="N2748" s="157"/>
      <c r="O2748" s="277"/>
      <c r="P2748" s="937"/>
      <c r="Q2748" s="937"/>
      <c r="R2748" s="937"/>
      <c r="S2748" s="924"/>
      <c r="T2748" s="1407"/>
      <c r="U2748" s="157"/>
      <c r="V2748" s="3589"/>
      <c r="W2748" s="884">
        <v>1</v>
      </c>
      <c r="X2748" s="884">
        <v>1</v>
      </c>
      <c r="Y2748" s="884">
        <v>1</v>
      </c>
      <c r="Z2748" s="884">
        <v>1</v>
      </c>
      <c r="AA2748" s="884">
        <v>1</v>
      </c>
      <c r="AB2748" s="884">
        <v>1</v>
      </c>
      <c r="AC2748" s="884"/>
      <c r="AD2748" s="884"/>
      <c r="AE2748" s="884"/>
      <c r="AF2748" s="884"/>
      <c r="AG2748" s="884"/>
      <c r="BB2748" s="647"/>
      <c r="BC2748" s="648"/>
      <c r="BD2748" s="757"/>
      <c r="BE2748" s="659"/>
    </row>
    <row r="2749" spans="1:57" s="64" customFormat="1" ht="15" customHeight="1" outlineLevel="1" x14ac:dyDescent="0.25">
      <c r="A2749" s="2463"/>
      <c r="B2749" s="648"/>
      <c r="C2749" s="385"/>
      <c r="D2749" s="3589"/>
      <c r="E2749" s="3721"/>
      <c r="F2749" s="3773" t="str">
        <f>$E$1492</f>
        <v>ASHP - SEER 19 - replace electric furnace / CAC MF</v>
      </c>
      <c r="G2749" s="3774"/>
      <c r="H2749" s="3774"/>
      <c r="I2749" s="3775"/>
      <c r="J2749" s="3071" t="str">
        <f>$C$1492</f>
        <v>353350_2019_12_</v>
      </c>
      <c r="K2749" s="884">
        <v>0.65</v>
      </c>
      <c r="L2749" s="945"/>
      <c r="M2749" s="783" t="s">
        <v>1198</v>
      </c>
      <c r="N2749" s="157"/>
      <c r="O2749" s="277"/>
      <c r="P2749" s="937"/>
      <c r="Q2749" s="937"/>
      <c r="R2749" s="937"/>
      <c r="S2749" s="924"/>
      <c r="T2749" s="1407"/>
      <c r="U2749" s="157"/>
      <c r="V2749" s="3589"/>
      <c r="W2749" s="884">
        <v>0.65</v>
      </c>
      <c r="X2749" s="884">
        <v>0.65</v>
      </c>
      <c r="Y2749" s="884">
        <v>0.65</v>
      </c>
      <c r="Z2749" s="884">
        <v>0.65</v>
      </c>
      <c r="AA2749" s="884">
        <v>0.65</v>
      </c>
      <c r="AB2749" s="884">
        <v>0.65</v>
      </c>
      <c r="AC2749" s="884"/>
      <c r="AD2749" s="884"/>
      <c r="AE2749" s="884"/>
      <c r="AF2749" s="884"/>
      <c r="AG2749" s="884"/>
      <c r="BB2749" s="647"/>
      <c r="BC2749" s="648"/>
      <c r="BD2749" s="757"/>
      <c r="BE2749" s="659"/>
    </row>
    <row r="2750" spans="1:57" s="64" customFormat="1" ht="15" customHeight="1" outlineLevel="1" x14ac:dyDescent="0.25">
      <c r="A2750" s="2463"/>
      <c r="B2750" s="648"/>
      <c r="C2750" s="385"/>
      <c r="D2750" s="3589"/>
      <c r="E2750" s="3721"/>
      <c r="F2750" s="3773" t="str">
        <f>$E$1494</f>
        <v>ASHP - SEER 19 - replace electric furnace / CAC MF_CompE</v>
      </c>
      <c r="G2750" s="3774"/>
      <c r="H2750" s="3774"/>
      <c r="I2750" s="3775"/>
      <c r="J2750" s="3071" t="str">
        <f>$C$1494</f>
        <v>353351_2019_12_</v>
      </c>
      <c r="K2750" s="884">
        <f>K2749</f>
        <v>0.65</v>
      </c>
      <c r="L2750" s="945"/>
      <c r="M2750" s="783"/>
      <c r="N2750" s="157"/>
      <c r="O2750" s="277"/>
      <c r="P2750" s="937"/>
      <c r="Q2750" s="937"/>
      <c r="R2750" s="937"/>
      <c r="S2750" s="924"/>
      <c r="T2750" s="1407"/>
      <c r="U2750" s="157"/>
      <c r="V2750" s="3589"/>
      <c r="W2750" s="884"/>
      <c r="X2750" s="884"/>
      <c r="Y2750" s="882">
        <v>0.65</v>
      </c>
      <c r="Z2750" s="884">
        <v>0.65</v>
      </c>
      <c r="AA2750" s="884">
        <v>0.65</v>
      </c>
      <c r="AB2750" s="884">
        <v>0.65</v>
      </c>
      <c r="AC2750" s="884"/>
      <c r="AD2750" s="884"/>
      <c r="AE2750" s="884"/>
      <c r="AF2750" s="884"/>
      <c r="AG2750" s="884"/>
      <c r="BB2750" s="647"/>
      <c r="BC2750" s="648"/>
      <c r="BD2750" s="757"/>
      <c r="BE2750" s="659"/>
    </row>
    <row r="2751" spans="1:57" s="64" customFormat="1" ht="15" customHeight="1" outlineLevel="1" x14ac:dyDescent="0.25">
      <c r="A2751" s="2463"/>
      <c r="B2751" s="648"/>
      <c r="C2751" s="385"/>
      <c r="D2751" s="3589"/>
      <c r="E2751" s="3721"/>
      <c r="F2751" s="3773" t="str">
        <f>$E$1496</f>
        <v>ASHP - SEER 20 - replace electric furnace / CAC - early replacement SF ER1</v>
      </c>
      <c r="G2751" s="3774"/>
      <c r="H2751" s="3774"/>
      <c r="I2751" s="3775"/>
      <c r="J2751" s="3071" t="str">
        <f>$C$1496</f>
        <v>353400_2019_12_</v>
      </c>
      <c r="K2751" s="884">
        <v>1</v>
      </c>
      <c r="L2751" s="945"/>
      <c r="M2751" s="783"/>
      <c r="N2751" s="157"/>
      <c r="O2751" s="277"/>
      <c r="P2751" s="937"/>
      <c r="Q2751" s="937"/>
      <c r="R2751" s="937"/>
      <c r="S2751" s="924"/>
      <c r="T2751" s="1407"/>
      <c r="U2751" s="157"/>
      <c r="V2751" s="3589"/>
      <c r="W2751" s="884">
        <v>1</v>
      </c>
      <c r="X2751" s="884">
        <v>1</v>
      </c>
      <c r="Y2751" s="884">
        <v>1</v>
      </c>
      <c r="Z2751" s="884">
        <v>1</v>
      </c>
      <c r="AA2751" s="884">
        <v>1</v>
      </c>
      <c r="AB2751" s="884">
        <v>1</v>
      </c>
      <c r="AC2751" s="884"/>
      <c r="AD2751" s="884"/>
      <c r="AE2751" s="884"/>
      <c r="AF2751" s="884"/>
      <c r="AG2751" s="884"/>
      <c r="BB2751" s="647"/>
      <c r="BC2751" s="648"/>
      <c r="BD2751" s="757"/>
      <c r="BE2751" s="659"/>
    </row>
    <row r="2752" spans="1:57" s="64" customFormat="1" ht="15" customHeight="1" outlineLevel="1" x14ac:dyDescent="0.25">
      <c r="A2752" s="2463"/>
      <c r="B2752" s="648"/>
      <c r="C2752" s="385"/>
      <c r="D2752" s="3589"/>
      <c r="E2752" s="3721"/>
      <c r="F2752" s="3773" t="str">
        <f>$E$1498</f>
        <v>ASHP - SEER 20 - replace electric furnace / CAC - early replacement SF ER2</v>
      </c>
      <c r="G2752" s="3774"/>
      <c r="H2752" s="3774"/>
      <c r="I2752" s="3775"/>
      <c r="J2752" s="3071" t="str">
        <f>$C$1498</f>
        <v>353400_2019_12_</v>
      </c>
      <c r="K2752" s="884">
        <v>1</v>
      </c>
      <c r="L2752" s="945"/>
      <c r="M2752" s="783"/>
      <c r="N2752" s="157"/>
      <c r="O2752" s="277"/>
      <c r="P2752" s="937"/>
      <c r="Q2752" s="937"/>
      <c r="R2752" s="937"/>
      <c r="S2752" s="924"/>
      <c r="T2752" s="1407"/>
      <c r="U2752" s="157"/>
      <c r="V2752" s="3589"/>
      <c r="W2752" s="884">
        <v>1</v>
      </c>
      <c r="X2752" s="884">
        <v>1</v>
      </c>
      <c r="Y2752" s="884">
        <v>1</v>
      </c>
      <c r="Z2752" s="884">
        <v>1</v>
      </c>
      <c r="AA2752" s="884">
        <v>1</v>
      </c>
      <c r="AB2752" s="884">
        <v>1</v>
      </c>
      <c r="AC2752" s="884"/>
      <c r="AD2752" s="884"/>
      <c r="AE2752" s="884"/>
      <c r="AF2752" s="884"/>
      <c r="AG2752" s="884"/>
      <c r="BB2752" s="647"/>
      <c r="BC2752" s="648"/>
      <c r="BD2752" s="757"/>
      <c r="BE2752" s="659"/>
    </row>
    <row r="2753" spans="1:57" s="64" customFormat="1" ht="15" customHeight="1" outlineLevel="1" x14ac:dyDescent="0.25">
      <c r="A2753" s="2463"/>
      <c r="B2753" s="648"/>
      <c r="C2753" s="385"/>
      <c r="D2753" s="3589"/>
      <c r="E2753" s="3721"/>
      <c r="F2753" s="3773" t="str">
        <f>$E$1500</f>
        <v>ASHP - SEER 20 - replace electric furnace / CAC SF</v>
      </c>
      <c r="G2753" s="3774"/>
      <c r="H2753" s="3774"/>
      <c r="I2753" s="3775"/>
      <c r="J2753" s="3071" t="str">
        <f>$C$1500</f>
        <v>353450_2019_12_</v>
      </c>
      <c r="K2753" s="884">
        <v>1</v>
      </c>
      <c r="L2753" s="945"/>
      <c r="M2753" s="783"/>
      <c r="N2753" s="157"/>
      <c r="O2753" s="277"/>
      <c r="P2753" s="937"/>
      <c r="Q2753" s="937"/>
      <c r="R2753" s="937"/>
      <c r="S2753" s="924"/>
      <c r="T2753" s="1407"/>
      <c r="U2753" s="157"/>
      <c r="V2753" s="3589"/>
      <c r="W2753" s="884">
        <v>1</v>
      </c>
      <c r="X2753" s="884">
        <v>1</v>
      </c>
      <c r="Y2753" s="884">
        <v>1</v>
      </c>
      <c r="Z2753" s="884">
        <v>1</v>
      </c>
      <c r="AA2753" s="884">
        <v>1</v>
      </c>
      <c r="AB2753" s="884">
        <v>1</v>
      </c>
      <c r="AC2753" s="884"/>
      <c r="AD2753" s="884"/>
      <c r="AE2753" s="884"/>
      <c r="AF2753" s="884"/>
      <c r="AG2753" s="884"/>
      <c r="BB2753" s="647"/>
      <c r="BC2753" s="648"/>
      <c r="BD2753" s="757"/>
      <c r="BE2753" s="659"/>
    </row>
    <row r="2754" spans="1:57" s="64" customFormat="1" ht="15" customHeight="1" outlineLevel="1" x14ac:dyDescent="0.25">
      <c r="A2754" s="2463"/>
      <c r="B2754" s="648"/>
      <c r="C2754" s="385"/>
      <c r="D2754" s="3589"/>
      <c r="E2754" s="3721"/>
      <c r="F2754" s="3773" t="str">
        <f>$E$1502</f>
        <v>ASHP - SEER 20 - replace electric furnace / CAC MF</v>
      </c>
      <c r="G2754" s="3774"/>
      <c r="H2754" s="3774"/>
      <c r="I2754" s="3775"/>
      <c r="J2754" s="3071" t="str">
        <f>$C$1502</f>
        <v>353500_2019_12_</v>
      </c>
      <c r="K2754" s="884">
        <v>0.65</v>
      </c>
      <c r="L2754" s="945"/>
      <c r="M2754" s="783" t="s">
        <v>1198</v>
      </c>
      <c r="N2754" s="157"/>
      <c r="O2754" s="277"/>
      <c r="P2754" s="937"/>
      <c r="Q2754" s="938"/>
      <c r="R2754" s="937"/>
      <c r="S2754" s="924"/>
      <c r="T2754" s="1407"/>
      <c r="U2754" s="157"/>
      <c r="V2754" s="3589"/>
      <c r="W2754" s="884">
        <v>0.65</v>
      </c>
      <c r="X2754" s="884">
        <v>0.65</v>
      </c>
      <c r="Y2754" s="884">
        <v>0.65</v>
      </c>
      <c r="Z2754" s="884">
        <v>0.65</v>
      </c>
      <c r="AA2754" s="884">
        <v>0.65</v>
      </c>
      <c r="AB2754" s="884">
        <v>0.65</v>
      </c>
      <c r="AC2754" s="884"/>
      <c r="AD2754" s="884"/>
      <c r="AE2754" s="884"/>
      <c r="AF2754" s="884"/>
      <c r="AG2754" s="884"/>
      <c r="BB2754" s="647"/>
      <c r="BC2754" s="648"/>
      <c r="BD2754" s="757"/>
      <c r="BE2754" s="659"/>
    </row>
    <row r="2755" spans="1:57" s="64" customFormat="1" ht="15" customHeight="1" outlineLevel="1" x14ac:dyDescent="0.25">
      <c r="A2755" s="2463"/>
      <c r="B2755" s="648"/>
      <c r="C2755" s="385"/>
      <c r="D2755" s="3589"/>
      <c r="E2755" s="3721"/>
      <c r="F2755" s="3773" t="str">
        <f>$E$1504</f>
        <v>ASHP - SEER 20 - replace electric furnace / CAC MF_CompE</v>
      </c>
      <c r="G2755" s="3774"/>
      <c r="H2755" s="3774"/>
      <c r="I2755" s="3775"/>
      <c r="J2755" s="3071" t="str">
        <f>$C$1504</f>
        <v>353501_2019_12_</v>
      </c>
      <c r="K2755" s="884">
        <f>K2754</f>
        <v>0.65</v>
      </c>
      <c r="L2755" s="945"/>
      <c r="M2755" s="783"/>
      <c r="N2755" s="157"/>
      <c r="O2755" s="277"/>
      <c r="P2755" s="937"/>
      <c r="Q2755" s="938"/>
      <c r="R2755" s="937"/>
      <c r="S2755" s="924"/>
      <c r="T2755" s="1407"/>
      <c r="U2755" s="157"/>
      <c r="V2755" s="3589"/>
      <c r="W2755" s="884"/>
      <c r="X2755" s="884"/>
      <c r="Y2755" s="882">
        <v>0.65</v>
      </c>
      <c r="Z2755" s="884">
        <v>0.65</v>
      </c>
      <c r="AA2755" s="884">
        <v>0.65</v>
      </c>
      <c r="AB2755" s="884">
        <v>0.65</v>
      </c>
      <c r="AC2755" s="884"/>
      <c r="AD2755" s="884"/>
      <c r="AE2755" s="884"/>
      <c r="AF2755" s="884"/>
      <c r="AG2755" s="884"/>
      <c r="BB2755" s="647"/>
      <c r="BC2755" s="648"/>
      <c r="BD2755" s="757"/>
      <c r="BE2755" s="659"/>
    </row>
    <row r="2756" spans="1:57" s="64" customFormat="1" ht="15" customHeight="1" outlineLevel="1" x14ac:dyDescent="0.25">
      <c r="A2756" s="2463"/>
      <c r="B2756" s="648"/>
      <c r="C2756" s="385"/>
      <c r="D2756" s="3589"/>
      <c r="E2756" s="3721"/>
      <c r="F2756" s="3773" t="str">
        <f>$E$1506</f>
        <v>ASHP - SEER 21 - replace electric furnace / CAC - early replacement SF ER1</v>
      </c>
      <c r="G2756" s="3774"/>
      <c r="H2756" s="3774"/>
      <c r="I2756" s="3775"/>
      <c r="J2756" s="3071" t="str">
        <f>$C$1506</f>
        <v>353550_2019_12_</v>
      </c>
      <c r="K2756" s="884">
        <v>1</v>
      </c>
      <c r="L2756" s="945"/>
      <c r="M2756" s="783"/>
      <c r="N2756" s="157"/>
      <c r="O2756" s="277"/>
      <c r="P2756" s="937"/>
      <c r="Q2756" s="938"/>
      <c r="R2756" s="937"/>
      <c r="S2756" s="924"/>
      <c r="T2756" s="1407"/>
      <c r="U2756" s="157"/>
      <c r="V2756" s="3589"/>
      <c r="W2756" s="884">
        <v>1</v>
      </c>
      <c r="X2756" s="884">
        <v>1</v>
      </c>
      <c r="Y2756" s="884">
        <v>1</v>
      </c>
      <c r="Z2756" s="884">
        <v>1</v>
      </c>
      <c r="AA2756" s="884">
        <v>1</v>
      </c>
      <c r="AB2756" s="884">
        <v>1</v>
      </c>
      <c r="AC2756" s="884"/>
      <c r="AD2756" s="884"/>
      <c r="AE2756" s="884"/>
      <c r="AF2756" s="884"/>
      <c r="AG2756" s="884"/>
      <c r="BB2756" s="647"/>
      <c r="BC2756" s="648"/>
      <c r="BD2756" s="757"/>
      <c r="BE2756" s="659"/>
    </row>
    <row r="2757" spans="1:57" s="64" customFormat="1" ht="15" customHeight="1" outlineLevel="1" x14ac:dyDescent="0.25">
      <c r="A2757" s="2463"/>
      <c r="B2757" s="648"/>
      <c r="C2757" s="385"/>
      <c r="D2757" s="3589"/>
      <c r="E2757" s="3721"/>
      <c r="F2757" s="3773" t="str">
        <f>$E$1508</f>
        <v>ASHP - SEER 21 - replace electric furnace / CAC - early replacement SF ER2</v>
      </c>
      <c r="G2757" s="3774"/>
      <c r="H2757" s="3774"/>
      <c r="I2757" s="3775"/>
      <c r="J2757" s="3071" t="str">
        <f>$C$1508</f>
        <v>353550_2019_12_</v>
      </c>
      <c r="K2757" s="884">
        <v>1</v>
      </c>
      <c r="L2757" s="945"/>
      <c r="M2757" s="783"/>
      <c r="N2757" s="157"/>
      <c r="O2757" s="277"/>
      <c r="P2757" s="937"/>
      <c r="Q2757" s="938"/>
      <c r="R2757" s="937"/>
      <c r="S2757" s="924"/>
      <c r="T2757" s="1407"/>
      <c r="U2757" s="157"/>
      <c r="V2757" s="3589"/>
      <c r="W2757" s="884">
        <v>1</v>
      </c>
      <c r="X2757" s="884">
        <v>1</v>
      </c>
      <c r="Y2757" s="884">
        <v>1</v>
      </c>
      <c r="Z2757" s="884">
        <v>1</v>
      </c>
      <c r="AA2757" s="884">
        <v>1</v>
      </c>
      <c r="AB2757" s="884">
        <v>1</v>
      </c>
      <c r="AC2757" s="884"/>
      <c r="AD2757" s="884"/>
      <c r="AE2757" s="884"/>
      <c r="AF2757" s="884"/>
      <c r="AG2757" s="884"/>
      <c r="BB2757" s="647"/>
      <c r="BC2757" s="648"/>
      <c r="BD2757" s="757"/>
      <c r="BE2757" s="659"/>
    </row>
    <row r="2758" spans="1:57" s="64" customFormat="1" ht="15" customHeight="1" outlineLevel="1" x14ac:dyDescent="0.25">
      <c r="A2758" s="2463"/>
      <c r="B2758" s="648"/>
      <c r="C2758" s="385"/>
      <c r="D2758" s="3589"/>
      <c r="E2758" s="3721"/>
      <c r="F2758" s="3773" t="str">
        <f>$E$1510</f>
        <v>ASHP - SEER 21 - replace electric furnace / CAC - early replacement MF ER1</v>
      </c>
      <c r="G2758" s="3774"/>
      <c r="H2758" s="3774"/>
      <c r="I2758" s="3775"/>
      <c r="J2758" s="3071" t="str">
        <f>$C$1510</f>
        <v>353600_2019_12_</v>
      </c>
      <c r="K2758" s="884">
        <v>0.65</v>
      </c>
      <c r="L2758" s="945"/>
      <c r="M2758" s="783" t="s">
        <v>1198</v>
      </c>
      <c r="N2758" s="157"/>
      <c r="O2758" s="277"/>
      <c r="P2758" s="937"/>
      <c r="Q2758" s="938"/>
      <c r="R2758" s="937"/>
      <c r="S2758" s="924"/>
      <c r="T2758" s="1407"/>
      <c r="U2758" s="157"/>
      <c r="V2758" s="3589"/>
      <c r="W2758" s="884">
        <v>0.65</v>
      </c>
      <c r="X2758" s="884">
        <v>0.65</v>
      </c>
      <c r="Y2758" s="884">
        <v>0.65</v>
      </c>
      <c r="Z2758" s="884">
        <v>0.65</v>
      </c>
      <c r="AA2758" s="884">
        <v>0.65</v>
      </c>
      <c r="AB2758" s="884">
        <v>0.65</v>
      </c>
      <c r="AC2758" s="884"/>
      <c r="AD2758" s="884"/>
      <c r="AE2758" s="884"/>
      <c r="AF2758" s="884"/>
      <c r="AG2758" s="884"/>
      <c r="BB2758" s="647"/>
      <c r="BC2758" s="648"/>
      <c r="BD2758" s="757"/>
      <c r="BE2758" s="659"/>
    </row>
    <row r="2759" spans="1:57" s="64" customFormat="1" ht="15" customHeight="1" outlineLevel="1" x14ac:dyDescent="0.25">
      <c r="A2759" s="2463"/>
      <c r="B2759" s="648"/>
      <c r="C2759" s="385"/>
      <c r="D2759" s="3589"/>
      <c r="E2759" s="3721"/>
      <c r="F2759" s="3773" t="str">
        <f>$E$1512</f>
        <v>ASHP - SEER 21 - replace electric furnace / CAC - early replacement MF ER2</v>
      </c>
      <c r="G2759" s="3774"/>
      <c r="H2759" s="3774"/>
      <c r="I2759" s="3775"/>
      <c r="J2759" s="3071" t="str">
        <f>$C$1512</f>
        <v>353600_2019_12_</v>
      </c>
      <c r="K2759" s="884">
        <v>0.65</v>
      </c>
      <c r="L2759" s="945"/>
      <c r="M2759" s="783" t="s">
        <v>1198</v>
      </c>
      <c r="N2759" s="157"/>
      <c r="O2759" s="277"/>
      <c r="P2759" s="937"/>
      <c r="Q2759" s="938"/>
      <c r="R2759" s="937"/>
      <c r="S2759" s="924"/>
      <c r="T2759" s="1407"/>
      <c r="U2759" s="157"/>
      <c r="V2759" s="3589"/>
      <c r="W2759" s="884">
        <v>0.65</v>
      </c>
      <c r="X2759" s="884">
        <v>0.65</v>
      </c>
      <c r="Y2759" s="884">
        <v>0.65</v>
      </c>
      <c r="Z2759" s="884">
        <v>0.65</v>
      </c>
      <c r="AA2759" s="884">
        <v>0.65</v>
      </c>
      <c r="AB2759" s="884">
        <v>0.65</v>
      </c>
      <c r="AC2759" s="884"/>
      <c r="AD2759" s="884"/>
      <c r="AE2759" s="884"/>
      <c r="AF2759" s="884"/>
      <c r="AG2759" s="884"/>
      <c r="BB2759" s="647"/>
      <c r="BC2759" s="648"/>
      <c r="BD2759" s="757"/>
      <c r="BE2759" s="659"/>
    </row>
    <row r="2760" spans="1:57" s="64" customFormat="1" ht="15" customHeight="1" outlineLevel="1" x14ac:dyDescent="0.25">
      <c r="A2760" s="2463"/>
      <c r="B2760" s="648"/>
      <c r="C2760" s="385"/>
      <c r="D2760" s="3589"/>
      <c r="E2760" s="3721"/>
      <c r="F2760" s="3773" t="str">
        <f>$E$1514</f>
        <v>ASHP - SEER 21 - replace electric furnace / CAC - early replacement MF ER1_CompE</v>
      </c>
      <c r="G2760" s="3774"/>
      <c r="H2760" s="3774"/>
      <c r="I2760" s="3775"/>
      <c r="J2760" s="3071" t="str">
        <f>$C$1514</f>
        <v>353601_2019_12_</v>
      </c>
      <c r="K2760" s="884">
        <f>K2758</f>
        <v>0.65</v>
      </c>
      <c r="L2760" s="945"/>
      <c r="M2760" s="783"/>
      <c r="N2760" s="157"/>
      <c r="O2760" s="277"/>
      <c r="P2760" s="937"/>
      <c r="Q2760" s="938"/>
      <c r="R2760" s="937"/>
      <c r="S2760" s="924"/>
      <c r="T2760" s="1407"/>
      <c r="U2760" s="157"/>
      <c r="V2760" s="3589"/>
      <c r="W2760" s="884"/>
      <c r="X2760" s="884"/>
      <c r="Y2760" s="882">
        <v>0.65</v>
      </c>
      <c r="Z2760" s="884">
        <v>0.65</v>
      </c>
      <c r="AA2760" s="884">
        <v>0.65</v>
      </c>
      <c r="AB2760" s="884">
        <v>0.65</v>
      </c>
      <c r="AC2760" s="884"/>
      <c r="AD2760" s="884"/>
      <c r="AE2760" s="884"/>
      <c r="AF2760" s="884"/>
      <c r="AG2760" s="884"/>
      <c r="BB2760" s="647"/>
      <c r="BC2760" s="648"/>
      <c r="BD2760" s="757"/>
      <c r="BE2760" s="659"/>
    </row>
    <row r="2761" spans="1:57" s="64" customFormat="1" ht="15" customHeight="1" outlineLevel="1" x14ac:dyDescent="0.25">
      <c r="A2761" s="2463"/>
      <c r="B2761" s="648"/>
      <c r="C2761" s="385"/>
      <c r="D2761" s="3589"/>
      <c r="E2761" s="3721"/>
      <c r="F2761" s="3773" t="str">
        <f>$E$1516</f>
        <v>ASHP - SEER 21 - replace electric furnace / CAC - early replacement MF ER2_CompE</v>
      </c>
      <c r="G2761" s="3774"/>
      <c r="H2761" s="3774"/>
      <c r="I2761" s="3775"/>
      <c r="J2761" s="3071" t="str">
        <f>$C$1516</f>
        <v>353601_2019_12_</v>
      </c>
      <c r="K2761" s="884">
        <f>K2759</f>
        <v>0.65</v>
      </c>
      <c r="L2761" s="945"/>
      <c r="M2761" s="783"/>
      <c r="N2761" s="157"/>
      <c r="O2761" s="277"/>
      <c r="P2761" s="937"/>
      <c r="Q2761" s="938"/>
      <c r="R2761" s="937"/>
      <c r="S2761" s="924"/>
      <c r="T2761" s="1407"/>
      <c r="U2761" s="157"/>
      <c r="V2761" s="3589"/>
      <c r="W2761" s="884"/>
      <c r="X2761" s="884"/>
      <c r="Y2761" s="882">
        <v>0.65</v>
      </c>
      <c r="Z2761" s="884">
        <v>0.65</v>
      </c>
      <c r="AA2761" s="884">
        <v>0.65</v>
      </c>
      <c r="AB2761" s="884">
        <v>0.65</v>
      </c>
      <c r="AC2761" s="884"/>
      <c r="AD2761" s="884"/>
      <c r="AE2761" s="884"/>
      <c r="AF2761" s="884"/>
      <c r="AG2761" s="884"/>
      <c r="BB2761" s="647"/>
      <c r="BC2761" s="648"/>
      <c r="BD2761" s="757"/>
      <c r="BE2761" s="659"/>
    </row>
    <row r="2762" spans="1:57" s="64" customFormat="1" ht="15" customHeight="1" outlineLevel="1" x14ac:dyDescent="0.25">
      <c r="A2762" s="2463"/>
      <c r="B2762" s="648"/>
      <c r="C2762" s="385"/>
      <c r="D2762" s="3589"/>
      <c r="E2762" s="3721"/>
      <c r="F2762" s="3773" t="str">
        <f>$E$1518</f>
        <v>ASHP - SEER 21 - replace electric furnace / CAC SF</v>
      </c>
      <c r="G2762" s="3774"/>
      <c r="H2762" s="3774"/>
      <c r="I2762" s="3775"/>
      <c r="J2762" s="3071" t="str">
        <f>$C$1518</f>
        <v>353650_2019_12_</v>
      </c>
      <c r="K2762" s="884">
        <v>1</v>
      </c>
      <c r="L2762" s="945"/>
      <c r="M2762" s="783"/>
      <c r="N2762" s="157"/>
      <c r="O2762" s="277"/>
      <c r="P2762" s="937"/>
      <c r="Q2762" s="938"/>
      <c r="R2762" s="937"/>
      <c r="S2762" s="924"/>
      <c r="T2762" s="1407"/>
      <c r="U2762" s="157"/>
      <c r="V2762" s="3589"/>
      <c r="W2762" s="884">
        <v>1</v>
      </c>
      <c r="X2762" s="884">
        <v>1</v>
      </c>
      <c r="Y2762" s="884">
        <v>1</v>
      </c>
      <c r="Z2762" s="884">
        <v>1</v>
      </c>
      <c r="AA2762" s="884">
        <v>1</v>
      </c>
      <c r="AB2762" s="884">
        <v>1</v>
      </c>
      <c r="AC2762" s="884"/>
      <c r="AD2762" s="884"/>
      <c r="AE2762" s="884"/>
      <c r="AF2762" s="884"/>
      <c r="AG2762" s="884"/>
      <c r="BB2762" s="647"/>
      <c r="BC2762" s="648"/>
      <c r="BD2762" s="757"/>
      <c r="BE2762" s="659"/>
    </row>
    <row r="2763" spans="1:57" s="64" customFormat="1" ht="15" customHeight="1" outlineLevel="1" x14ac:dyDescent="0.25">
      <c r="A2763" s="1393"/>
      <c r="B2763" s="648"/>
      <c r="C2763" s="385"/>
      <c r="D2763" s="3589"/>
      <c r="E2763" s="3721"/>
      <c r="F2763" s="3773" t="str">
        <f>$E$1520</f>
        <v>ASHP-  SEER 21+ replace at Fail Elec Resist Furnace MF</v>
      </c>
      <c r="G2763" s="3774"/>
      <c r="H2763" s="3774"/>
      <c r="I2763" s="3775"/>
      <c r="J2763" s="3071" t="str">
        <f>$C$1520</f>
        <v>353700_2019_12_</v>
      </c>
      <c r="K2763" s="884">
        <v>0.65</v>
      </c>
      <c r="L2763" s="945"/>
      <c r="M2763" s="783" t="s">
        <v>1198</v>
      </c>
      <c r="N2763" s="157"/>
      <c r="O2763" s="277"/>
      <c r="P2763" s="277"/>
      <c r="Q2763" s="277"/>
      <c r="R2763" s="277"/>
      <c r="S2763" s="157"/>
      <c r="T2763" s="157"/>
      <c r="U2763" s="157"/>
      <c r="V2763" s="3589"/>
      <c r="W2763" s="884">
        <v>0.65</v>
      </c>
      <c r="X2763" s="884">
        <v>0.65</v>
      </c>
      <c r="Y2763" s="884">
        <v>0.65</v>
      </c>
      <c r="Z2763" s="884">
        <v>0.65</v>
      </c>
      <c r="AA2763" s="884">
        <v>0.65</v>
      </c>
      <c r="AB2763" s="884">
        <v>0.65</v>
      </c>
      <c r="AC2763" s="884"/>
      <c r="AD2763" s="884"/>
      <c r="AE2763" s="884"/>
      <c r="AF2763" s="884"/>
      <c r="AG2763" s="884"/>
      <c r="BB2763" s="647"/>
      <c r="BC2763" s="648"/>
      <c r="BD2763" s="757"/>
      <c r="BE2763" s="659"/>
    </row>
    <row r="2764" spans="1:57" s="64" customFormat="1" ht="15" customHeight="1" outlineLevel="1" x14ac:dyDescent="0.25">
      <c r="A2764" s="1393"/>
      <c r="B2764" s="648"/>
      <c r="C2764" s="385"/>
      <c r="D2764" s="3589"/>
      <c r="E2764" s="3721"/>
      <c r="F2764" s="3773" t="str">
        <f>$E$1522</f>
        <v>ASHP-  SEER 21+ replace at Fail Elec Resist Furnace MF_CompE</v>
      </c>
      <c r="G2764" s="3774"/>
      <c r="H2764" s="3774"/>
      <c r="I2764" s="3775"/>
      <c r="J2764" s="3071" t="str">
        <f>$C$1522</f>
        <v>353701_2019_12_</v>
      </c>
      <c r="K2764" s="884">
        <v>0.65</v>
      </c>
      <c r="L2764" s="945"/>
      <c r="M2764" s="783"/>
      <c r="N2764" s="157"/>
      <c r="O2764" s="277"/>
      <c r="P2764" s="277"/>
      <c r="Q2764" s="277"/>
      <c r="R2764" s="277"/>
      <c r="S2764" s="157"/>
      <c r="T2764" s="157"/>
      <c r="U2764" s="157"/>
      <c r="V2764" s="3589"/>
      <c r="W2764" s="884"/>
      <c r="X2764" s="884"/>
      <c r="Y2764" s="882">
        <v>0.65</v>
      </c>
      <c r="Z2764" s="884">
        <v>0.65</v>
      </c>
      <c r="AA2764" s="884">
        <v>0.65</v>
      </c>
      <c r="AB2764" s="884">
        <v>0.65</v>
      </c>
      <c r="AC2764" s="884"/>
      <c r="AD2764" s="884"/>
      <c r="AE2764" s="884"/>
      <c r="AF2764" s="884"/>
      <c r="AG2764" s="884"/>
      <c r="BB2764" s="647"/>
      <c r="BC2764" s="648"/>
      <c r="BD2764" s="757"/>
      <c r="BE2764" s="659"/>
    </row>
    <row r="2765" spans="1:57" s="64" customFormat="1" ht="15" customHeight="1" outlineLevel="1" x14ac:dyDescent="0.25">
      <c r="A2765" s="2463"/>
      <c r="B2765" s="648"/>
      <c r="C2765" s="385"/>
      <c r="D2765" s="3589"/>
      <c r="E2765" s="3721"/>
      <c r="F2765" s="3773" t="str">
        <f>$E$1524</f>
        <v>ASHP SEER 17 replace ASHP - early replacement SF ER1</v>
      </c>
      <c r="G2765" s="3774"/>
      <c r="H2765" s="3774"/>
      <c r="I2765" s="3775"/>
      <c r="J2765" s="3071" t="str">
        <f>$C$1524</f>
        <v>353750_2019_12_</v>
      </c>
      <c r="K2765" s="884">
        <v>1</v>
      </c>
      <c r="L2765" s="945"/>
      <c r="M2765" s="953"/>
      <c r="N2765" s="157"/>
      <c r="O2765" s="277"/>
      <c r="P2765" s="937"/>
      <c r="Q2765" s="938"/>
      <c r="R2765" s="937"/>
      <c r="S2765" s="924"/>
      <c r="T2765" s="1407"/>
      <c r="U2765" s="157"/>
      <c r="V2765" s="3589"/>
      <c r="W2765" s="884">
        <v>1</v>
      </c>
      <c r="X2765" s="884">
        <v>1</v>
      </c>
      <c r="Y2765" s="884">
        <v>1</v>
      </c>
      <c r="Z2765" s="884">
        <v>1</v>
      </c>
      <c r="AA2765" s="884">
        <v>1</v>
      </c>
      <c r="AB2765" s="884">
        <v>1</v>
      </c>
      <c r="AC2765" s="884"/>
      <c r="AD2765" s="884"/>
      <c r="AE2765" s="884"/>
      <c r="AF2765" s="884"/>
      <c r="AG2765" s="884"/>
      <c r="BB2765" s="647"/>
      <c r="BC2765" s="648"/>
      <c r="BD2765" s="757"/>
      <c r="BE2765" s="659"/>
    </row>
    <row r="2766" spans="1:57" s="64" customFormat="1" ht="15" customHeight="1" outlineLevel="1" x14ac:dyDescent="0.25">
      <c r="A2766" s="1393"/>
      <c r="B2766" s="648"/>
      <c r="C2766" s="385"/>
      <c r="D2766" s="3589"/>
      <c r="E2766" s="3721"/>
      <c r="F2766" s="3773" t="str">
        <f>$E$1526</f>
        <v>ASHP SEER 17 replace ASHP - early replacement SF ER2</v>
      </c>
      <c r="G2766" s="3774"/>
      <c r="H2766" s="3774"/>
      <c r="I2766" s="3775"/>
      <c r="J2766" s="3071" t="str">
        <f>$C$1526</f>
        <v>353750_2019_12_</v>
      </c>
      <c r="K2766" s="884">
        <v>1</v>
      </c>
      <c r="L2766" s="945"/>
      <c r="M2766" s="953"/>
      <c r="N2766" s="157"/>
      <c r="O2766" s="277"/>
      <c r="P2766" s="277"/>
      <c r="Q2766" s="277"/>
      <c r="R2766" s="277"/>
      <c r="S2766" s="157"/>
      <c r="T2766" s="157"/>
      <c r="U2766" s="157"/>
      <c r="V2766" s="3589"/>
      <c r="W2766" s="884">
        <v>1</v>
      </c>
      <c r="X2766" s="884">
        <v>1</v>
      </c>
      <c r="Y2766" s="884">
        <v>1</v>
      </c>
      <c r="Z2766" s="884">
        <v>1</v>
      </c>
      <c r="AA2766" s="884">
        <v>1</v>
      </c>
      <c r="AB2766" s="884">
        <v>1</v>
      </c>
      <c r="AC2766" s="884"/>
      <c r="AD2766" s="884"/>
      <c r="AE2766" s="884"/>
      <c r="AF2766" s="884"/>
      <c r="AG2766" s="884"/>
      <c r="BB2766" s="647"/>
      <c r="BC2766" s="648"/>
      <c r="BD2766" s="757"/>
      <c r="BE2766" s="659"/>
    </row>
    <row r="2767" spans="1:57" s="64" customFormat="1" ht="15" customHeight="1" outlineLevel="1" x14ac:dyDescent="0.25">
      <c r="A2767" s="2463"/>
      <c r="B2767" s="648"/>
      <c r="C2767" s="385"/>
      <c r="D2767" s="3589"/>
      <c r="E2767" s="3721"/>
      <c r="F2767" s="3773" t="str">
        <f>$E$1528</f>
        <v>ASHP SEER 17 replace ASHP - replace on fail SF</v>
      </c>
      <c r="G2767" s="3774"/>
      <c r="H2767" s="3774"/>
      <c r="I2767" s="3775"/>
      <c r="J2767" s="3071" t="str">
        <f>$C$1528</f>
        <v>353800_2019_12_</v>
      </c>
      <c r="K2767" s="884">
        <v>1</v>
      </c>
      <c r="L2767" s="945"/>
      <c r="M2767" s="953"/>
      <c r="N2767" s="157"/>
      <c r="O2767" s="277"/>
      <c r="P2767" s="937"/>
      <c r="Q2767" s="938"/>
      <c r="R2767" s="937"/>
      <c r="S2767" s="924"/>
      <c r="T2767" s="1407"/>
      <c r="U2767" s="157"/>
      <c r="V2767" s="3589"/>
      <c r="W2767" s="884">
        <v>1</v>
      </c>
      <c r="X2767" s="884">
        <v>1</v>
      </c>
      <c r="Y2767" s="884">
        <v>1</v>
      </c>
      <c r="Z2767" s="884">
        <v>1</v>
      </c>
      <c r="AA2767" s="884">
        <v>1</v>
      </c>
      <c r="AB2767" s="884">
        <v>1</v>
      </c>
      <c r="AC2767" s="884"/>
      <c r="AD2767" s="884"/>
      <c r="AE2767" s="884"/>
      <c r="AF2767" s="884"/>
      <c r="AG2767" s="884"/>
      <c r="BB2767" s="647"/>
      <c r="BC2767" s="648"/>
      <c r="BD2767" s="757"/>
      <c r="BE2767" s="659"/>
    </row>
    <row r="2768" spans="1:57" s="64" customFormat="1" ht="15" customHeight="1" outlineLevel="1" x14ac:dyDescent="0.25">
      <c r="A2768" s="1393"/>
      <c r="B2768" s="648"/>
      <c r="C2768" s="385"/>
      <c r="D2768" s="3589"/>
      <c r="E2768" s="3721"/>
      <c r="F2768" s="3773" t="str">
        <f>$E$1530</f>
        <v>ASHP SEER 18 replace ASHP - early replacement SF ER1</v>
      </c>
      <c r="G2768" s="3774"/>
      <c r="H2768" s="3774"/>
      <c r="I2768" s="3775"/>
      <c r="J2768" s="3071" t="str">
        <f>$C$1530</f>
        <v>353850_2019_12_</v>
      </c>
      <c r="K2768" s="884">
        <v>1</v>
      </c>
      <c r="L2768" s="945"/>
      <c r="M2768" s="953"/>
      <c r="N2768" s="157"/>
      <c r="O2768" s="277"/>
      <c r="P2768" s="277"/>
      <c r="Q2768" s="277"/>
      <c r="R2768" s="277"/>
      <c r="S2768" s="157"/>
      <c r="T2768" s="157"/>
      <c r="U2768" s="157"/>
      <c r="V2768" s="3589"/>
      <c r="W2768" s="884">
        <v>1</v>
      </c>
      <c r="X2768" s="884">
        <v>1</v>
      </c>
      <c r="Y2768" s="884">
        <v>1</v>
      </c>
      <c r="Z2768" s="884">
        <v>1</v>
      </c>
      <c r="AA2768" s="884">
        <v>1</v>
      </c>
      <c r="AB2768" s="884">
        <v>1</v>
      </c>
      <c r="AC2768" s="884"/>
      <c r="AD2768" s="884"/>
      <c r="AE2768" s="884"/>
      <c r="AF2768" s="884"/>
      <c r="AG2768" s="884"/>
      <c r="BB2768" s="647"/>
      <c r="BC2768" s="648"/>
      <c r="BD2768" s="757"/>
      <c r="BE2768" s="659"/>
    </row>
    <row r="2769" spans="1:57" s="64" customFormat="1" ht="15" customHeight="1" outlineLevel="1" x14ac:dyDescent="0.25">
      <c r="A2769" s="1393"/>
      <c r="B2769" s="648"/>
      <c r="C2769" s="385"/>
      <c r="D2769" s="3589"/>
      <c r="E2769" s="3721"/>
      <c r="F2769" s="3773" t="str">
        <f>$E$1532</f>
        <v>ASHP SEER 18 replace ASHP - early replacement SF ER2</v>
      </c>
      <c r="G2769" s="3774"/>
      <c r="H2769" s="3774"/>
      <c r="I2769" s="3775"/>
      <c r="J2769" s="3071" t="str">
        <f>$C$1532</f>
        <v>353850_2019_12_</v>
      </c>
      <c r="K2769" s="884">
        <v>1</v>
      </c>
      <c r="L2769" s="945"/>
      <c r="M2769" s="953"/>
      <c r="N2769" s="157"/>
      <c r="O2769" s="277"/>
      <c r="P2769" s="277"/>
      <c r="Q2769" s="277"/>
      <c r="R2769" s="277"/>
      <c r="S2769" s="157"/>
      <c r="T2769" s="157"/>
      <c r="U2769" s="157"/>
      <c r="V2769" s="3589"/>
      <c r="W2769" s="884">
        <v>1</v>
      </c>
      <c r="X2769" s="884">
        <v>1</v>
      </c>
      <c r="Y2769" s="884">
        <v>1</v>
      </c>
      <c r="Z2769" s="884">
        <v>1</v>
      </c>
      <c r="AA2769" s="884">
        <v>1</v>
      </c>
      <c r="AB2769" s="884">
        <v>1</v>
      </c>
      <c r="AC2769" s="884"/>
      <c r="AD2769" s="884"/>
      <c r="AE2769" s="884"/>
      <c r="AF2769" s="884"/>
      <c r="AG2769" s="884"/>
      <c r="BB2769" s="647"/>
      <c r="BC2769" s="648"/>
      <c r="BD2769" s="757"/>
      <c r="BE2769" s="659"/>
    </row>
    <row r="2770" spans="1:57" s="64" customFormat="1" ht="15" customHeight="1" outlineLevel="1" x14ac:dyDescent="0.25">
      <c r="A2770" s="2463"/>
      <c r="B2770" s="648"/>
      <c r="C2770" s="385"/>
      <c r="D2770" s="3589"/>
      <c r="E2770" s="3721"/>
      <c r="F2770" s="3773" t="str">
        <f>$E$1534</f>
        <v>ASHP - SEER 18 - replace on fail SF</v>
      </c>
      <c r="G2770" s="3774"/>
      <c r="H2770" s="3774"/>
      <c r="I2770" s="3775"/>
      <c r="J2770" s="3071" t="str">
        <f>$C$1534</f>
        <v>353950_2019_12_</v>
      </c>
      <c r="K2770" s="884">
        <v>1</v>
      </c>
      <c r="L2770" s="945"/>
      <c r="M2770" s="953"/>
      <c r="N2770" s="157"/>
      <c r="O2770" s="277"/>
      <c r="P2770" s="937"/>
      <c r="Q2770" s="938"/>
      <c r="R2770" s="937"/>
      <c r="S2770" s="924"/>
      <c r="T2770" s="1407"/>
      <c r="U2770" s="157"/>
      <c r="V2770" s="3589"/>
      <c r="W2770" s="884">
        <v>1</v>
      </c>
      <c r="X2770" s="884">
        <v>1</v>
      </c>
      <c r="Y2770" s="884">
        <v>1</v>
      </c>
      <c r="Z2770" s="884">
        <v>1</v>
      </c>
      <c r="AA2770" s="884">
        <v>1</v>
      </c>
      <c r="AB2770" s="884">
        <v>1</v>
      </c>
      <c r="AC2770" s="884"/>
      <c r="AD2770" s="884"/>
      <c r="AE2770" s="884"/>
      <c r="AF2770" s="884"/>
      <c r="AG2770" s="884"/>
      <c r="BB2770" s="647"/>
      <c r="BC2770" s="648"/>
      <c r="BD2770" s="757"/>
      <c r="BE2770" s="659"/>
    </row>
    <row r="2771" spans="1:57" s="64" customFormat="1" ht="15" customHeight="1" outlineLevel="1" x14ac:dyDescent="0.25">
      <c r="A2771" s="1393"/>
      <c r="B2771" s="648"/>
      <c r="C2771" s="385"/>
      <c r="D2771" s="3589"/>
      <c r="E2771" s="3721"/>
      <c r="F2771" s="3773" t="str">
        <f>$E$1536</f>
        <v>ASHP SEER 19 replace ASHP - early replacement SF ER1</v>
      </c>
      <c r="G2771" s="3774"/>
      <c r="H2771" s="3774"/>
      <c r="I2771" s="3775"/>
      <c r="J2771" s="3071" t="str">
        <f>$C$1536</f>
        <v>354000_2019_12_</v>
      </c>
      <c r="K2771" s="884">
        <v>1</v>
      </c>
      <c r="L2771" s="945"/>
      <c r="M2771" s="953"/>
      <c r="N2771" s="157"/>
      <c r="O2771" s="277"/>
      <c r="P2771" s="277"/>
      <c r="Q2771" s="277"/>
      <c r="R2771" s="277"/>
      <c r="S2771" s="157"/>
      <c r="T2771" s="157"/>
      <c r="U2771" s="157"/>
      <c r="V2771" s="3589"/>
      <c r="W2771" s="884">
        <v>1</v>
      </c>
      <c r="X2771" s="884">
        <v>1</v>
      </c>
      <c r="Y2771" s="884">
        <v>1</v>
      </c>
      <c r="Z2771" s="884">
        <v>1</v>
      </c>
      <c r="AA2771" s="884">
        <v>1</v>
      </c>
      <c r="AB2771" s="884">
        <v>1</v>
      </c>
      <c r="AC2771" s="884"/>
      <c r="AD2771" s="884"/>
      <c r="AE2771" s="884"/>
      <c r="AF2771" s="884"/>
      <c r="AG2771" s="884"/>
      <c r="BB2771" s="647"/>
      <c r="BC2771" s="648"/>
      <c r="BD2771" s="757"/>
      <c r="BE2771" s="659"/>
    </row>
    <row r="2772" spans="1:57" s="64" customFormat="1" ht="15" customHeight="1" outlineLevel="1" x14ac:dyDescent="0.25">
      <c r="A2772" s="1393"/>
      <c r="B2772" s="648"/>
      <c r="C2772" s="385"/>
      <c r="D2772" s="3589"/>
      <c r="E2772" s="3721"/>
      <c r="F2772" s="3773" t="str">
        <f>$E$1538</f>
        <v>ASHP SEER 19 replace ASHP - early replacement SF ER2</v>
      </c>
      <c r="G2772" s="3774"/>
      <c r="H2772" s="3774"/>
      <c r="I2772" s="3775"/>
      <c r="J2772" s="3071" t="str">
        <f>$C$1538</f>
        <v>354000_2019_12_</v>
      </c>
      <c r="K2772" s="884">
        <v>1</v>
      </c>
      <c r="L2772" s="945"/>
      <c r="M2772" s="953"/>
      <c r="N2772" s="157"/>
      <c r="O2772" s="277"/>
      <c r="P2772" s="277"/>
      <c r="Q2772" s="277"/>
      <c r="R2772" s="277"/>
      <c r="S2772" s="157"/>
      <c r="T2772" s="157"/>
      <c r="U2772" s="157"/>
      <c r="V2772" s="3589"/>
      <c r="W2772" s="884">
        <v>1</v>
      </c>
      <c r="X2772" s="884">
        <v>1</v>
      </c>
      <c r="Y2772" s="884">
        <v>1</v>
      </c>
      <c r="Z2772" s="884">
        <v>1</v>
      </c>
      <c r="AA2772" s="884">
        <v>1</v>
      </c>
      <c r="AB2772" s="884">
        <v>1</v>
      </c>
      <c r="AC2772" s="884"/>
      <c r="AD2772" s="884"/>
      <c r="AE2772" s="884"/>
      <c r="AF2772" s="884"/>
      <c r="AG2772" s="884"/>
      <c r="BB2772" s="647"/>
      <c r="BC2772" s="648"/>
      <c r="BD2772" s="757"/>
      <c r="BE2772" s="659"/>
    </row>
    <row r="2773" spans="1:57" s="64" customFormat="1" ht="15" customHeight="1" outlineLevel="1" x14ac:dyDescent="0.25">
      <c r="A2773" s="2463"/>
      <c r="B2773" s="648"/>
      <c r="C2773" s="385"/>
      <c r="D2773" s="3589"/>
      <c r="E2773" s="3721"/>
      <c r="F2773" s="3773" t="str">
        <f>$E$1540</f>
        <v>ASHP SEER 19 replace ASHP - replace on fail SF</v>
      </c>
      <c r="G2773" s="3774"/>
      <c r="H2773" s="3774"/>
      <c r="I2773" s="3775"/>
      <c r="J2773" s="3071" t="str">
        <f>$C$1540</f>
        <v>354050_2019_12_</v>
      </c>
      <c r="K2773" s="884">
        <v>1</v>
      </c>
      <c r="L2773" s="945"/>
      <c r="M2773" s="953"/>
      <c r="N2773" s="157"/>
      <c r="O2773" s="277"/>
      <c r="P2773" s="937"/>
      <c r="Q2773" s="938"/>
      <c r="R2773" s="937"/>
      <c r="S2773" s="924"/>
      <c r="T2773" s="1407"/>
      <c r="U2773" s="157"/>
      <c r="V2773" s="3589"/>
      <c r="W2773" s="884">
        <v>1</v>
      </c>
      <c r="X2773" s="884">
        <v>1</v>
      </c>
      <c r="Y2773" s="884">
        <v>1</v>
      </c>
      <c r="Z2773" s="884">
        <v>1</v>
      </c>
      <c r="AA2773" s="884">
        <v>1</v>
      </c>
      <c r="AB2773" s="884">
        <v>1</v>
      </c>
      <c r="AC2773" s="884"/>
      <c r="AD2773" s="884"/>
      <c r="AE2773" s="884"/>
      <c r="AF2773" s="884"/>
      <c r="AG2773" s="884"/>
      <c r="BB2773" s="647"/>
      <c r="BC2773" s="648"/>
      <c r="BD2773" s="757"/>
      <c r="BE2773" s="659"/>
    </row>
    <row r="2774" spans="1:57" s="64" customFormat="1" ht="15" customHeight="1" outlineLevel="1" x14ac:dyDescent="0.25">
      <c r="A2774" s="2463"/>
      <c r="B2774" s="648"/>
      <c r="C2774" s="385"/>
      <c r="D2774" s="3589"/>
      <c r="E2774" s="3721"/>
      <c r="F2774" s="3773" t="str">
        <f>$E$1542</f>
        <v>ASHP - SEER 17 - replace electric furnace / CAC - early replacement SF ER1</v>
      </c>
      <c r="G2774" s="3774"/>
      <c r="H2774" s="3774"/>
      <c r="I2774" s="3775"/>
      <c r="J2774" s="3071" t="str">
        <f>$C$1542</f>
        <v>354100_2019_12_</v>
      </c>
      <c r="K2774" s="884">
        <v>1</v>
      </c>
      <c r="L2774" s="945"/>
      <c r="M2774" s="953"/>
      <c r="N2774" s="157"/>
      <c r="O2774" s="277"/>
      <c r="P2774" s="937"/>
      <c r="Q2774" s="938"/>
      <c r="R2774" s="937"/>
      <c r="S2774" s="924"/>
      <c r="T2774" s="1407"/>
      <c r="U2774" s="157"/>
      <c r="V2774" s="3589"/>
      <c r="W2774" s="884">
        <v>1</v>
      </c>
      <c r="X2774" s="884">
        <v>1</v>
      </c>
      <c r="Y2774" s="884">
        <v>1</v>
      </c>
      <c r="Z2774" s="884">
        <v>1</v>
      </c>
      <c r="AA2774" s="884">
        <v>1</v>
      </c>
      <c r="AB2774" s="884">
        <v>1</v>
      </c>
      <c r="AC2774" s="884"/>
      <c r="AD2774" s="884"/>
      <c r="AE2774" s="884"/>
      <c r="AF2774" s="884"/>
      <c r="AG2774" s="884"/>
      <c r="BB2774" s="647"/>
      <c r="BC2774" s="648"/>
      <c r="BD2774" s="757"/>
      <c r="BE2774" s="659"/>
    </row>
    <row r="2775" spans="1:57" s="64" customFormat="1" ht="15" customHeight="1" outlineLevel="1" x14ac:dyDescent="0.25">
      <c r="A2775" s="2463"/>
      <c r="B2775" s="648"/>
      <c r="C2775" s="385"/>
      <c r="D2775" s="3589"/>
      <c r="E2775" s="3721"/>
      <c r="F2775" s="3773" t="str">
        <f>$E$1544</f>
        <v>ASHP - SEER 17 - replace electric furnace / CAC - early replacement SF ER2</v>
      </c>
      <c r="G2775" s="3774"/>
      <c r="H2775" s="3774"/>
      <c r="I2775" s="3775"/>
      <c r="J2775" s="3071" t="str">
        <f>$C$1544</f>
        <v>354100_2019_12_</v>
      </c>
      <c r="K2775" s="884">
        <v>1</v>
      </c>
      <c r="L2775" s="945"/>
      <c r="M2775" s="953"/>
      <c r="N2775" s="157"/>
      <c r="O2775" s="277"/>
      <c r="P2775" s="937"/>
      <c r="Q2775" s="938"/>
      <c r="R2775" s="937"/>
      <c r="S2775" s="924"/>
      <c r="T2775" s="1407"/>
      <c r="U2775" s="157"/>
      <c r="V2775" s="3589"/>
      <c r="W2775" s="884">
        <v>1</v>
      </c>
      <c r="X2775" s="884">
        <v>1</v>
      </c>
      <c r="Y2775" s="884">
        <v>1</v>
      </c>
      <c r="Z2775" s="884">
        <v>1</v>
      </c>
      <c r="AA2775" s="884">
        <v>1</v>
      </c>
      <c r="AB2775" s="884">
        <v>1</v>
      </c>
      <c r="AC2775" s="884"/>
      <c r="AD2775" s="884"/>
      <c r="AE2775" s="884"/>
      <c r="AF2775" s="884"/>
      <c r="AG2775" s="884"/>
      <c r="BB2775" s="647"/>
      <c r="BC2775" s="648"/>
      <c r="BD2775" s="757"/>
      <c r="BE2775" s="659"/>
    </row>
    <row r="2776" spans="1:57" s="64" customFormat="1" ht="15" customHeight="1" outlineLevel="1" x14ac:dyDescent="0.25">
      <c r="A2776" s="2463"/>
      <c r="B2776" s="648"/>
      <c r="C2776" s="385"/>
      <c r="D2776" s="3589"/>
      <c r="E2776" s="3721"/>
      <c r="F2776" s="3773" t="str">
        <f>$E$1546</f>
        <v>ASHP - SEER 17 - replace electric furnace / CAC - early replacement MF ER1</v>
      </c>
      <c r="G2776" s="3774"/>
      <c r="H2776" s="3774"/>
      <c r="I2776" s="3775"/>
      <c r="J2776" s="3071" t="str">
        <f>$C$1546</f>
        <v>354150_2019_12_</v>
      </c>
      <c r="K2776" s="884">
        <v>0.65</v>
      </c>
      <c r="L2776" s="945"/>
      <c r="M2776" s="953"/>
      <c r="N2776" s="157"/>
      <c r="O2776" s="277"/>
      <c r="P2776" s="937"/>
      <c r="Q2776" s="938"/>
      <c r="R2776" s="937"/>
      <c r="S2776" s="924"/>
      <c r="T2776" s="1407"/>
      <c r="U2776" s="157"/>
      <c r="V2776" s="3589"/>
      <c r="W2776" s="884">
        <v>0.65</v>
      </c>
      <c r="X2776" s="884">
        <v>0.65</v>
      </c>
      <c r="Y2776" s="884">
        <v>0.65</v>
      </c>
      <c r="Z2776" s="884">
        <v>0.65</v>
      </c>
      <c r="AA2776" s="884">
        <v>0.65</v>
      </c>
      <c r="AB2776" s="884">
        <v>0.65</v>
      </c>
      <c r="AC2776" s="884"/>
      <c r="AD2776" s="884"/>
      <c r="AE2776" s="884"/>
      <c r="AF2776" s="884"/>
      <c r="AG2776" s="884"/>
      <c r="BB2776" s="647"/>
      <c r="BC2776" s="648"/>
      <c r="BD2776" s="757"/>
      <c r="BE2776" s="659"/>
    </row>
    <row r="2777" spans="1:57" s="64" customFormat="1" ht="15" customHeight="1" outlineLevel="1" x14ac:dyDescent="0.25">
      <c r="A2777" s="2463"/>
      <c r="B2777" s="648"/>
      <c r="C2777" s="385"/>
      <c r="D2777" s="3589"/>
      <c r="E2777" s="3721"/>
      <c r="F2777" s="3773" t="str">
        <f>$E$1548</f>
        <v>ASHP - SEER 17 - replace electric furnace / CAC - early replacement MF ER2</v>
      </c>
      <c r="G2777" s="3774"/>
      <c r="H2777" s="3774"/>
      <c r="I2777" s="3775"/>
      <c r="J2777" s="3071" t="str">
        <f>$C$1548</f>
        <v>354150_2019_12_</v>
      </c>
      <c r="K2777" s="884">
        <v>0.65</v>
      </c>
      <c r="L2777" s="945"/>
      <c r="M2777" s="953"/>
      <c r="N2777" s="157"/>
      <c r="O2777" s="277"/>
      <c r="P2777" s="937"/>
      <c r="Q2777" s="938"/>
      <c r="R2777" s="937"/>
      <c r="S2777" s="924"/>
      <c r="T2777" s="1407"/>
      <c r="U2777" s="157"/>
      <c r="V2777" s="3589"/>
      <c r="W2777" s="884">
        <v>0.65</v>
      </c>
      <c r="X2777" s="884">
        <v>0.65</v>
      </c>
      <c r="Y2777" s="884">
        <v>0.65</v>
      </c>
      <c r="Z2777" s="884">
        <v>0.65</v>
      </c>
      <c r="AA2777" s="884">
        <v>0.65</v>
      </c>
      <c r="AB2777" s="884">
        <v>0.65</v>
      </c>
      <c r="AC2777" s="884"/>
      <c r="AD2777" s="884"/>
      <c r="AE2777" s="884"/>
      <c r="AF2777" s="884"/>
      <c r="AG2777" s="884"/>
      <c r="BB2777" s="647"/>
      <c r="BC2777" s="648"/>
      <c r="BD2777" s="757"/>
      <c r="BE2777" s="659"/>
    </row>
    <row r="2778" spans="1:57" s="64" customFormat="1" ht="15" customHeight="1" outlineLevel="1" x14ac:dyDescent="0.25">
      <c r="A2778" s="2463"/>
      <c r="B2778" s="648"/>
      <c r="C2778" s="385"/>
      <c r="D2778" s="3589"/>
      <c r="E2778" s="3721"/>
      <c r="F2778" s="3773" t="str">
        <f>$E$1550</f>
        <v>ASHP - SEER 17 - replace electric furnace / CAC - early replacement MF ER1_CompE</v>
      </c>
      <c r="G2778" s="3774"/>
      <c r="H2778" s="3774"/>
      <c r="I2778" s="3775"/>
      <c r="J2778" s="3071" t="str">
        <f>$C$1550</f>
        <v>354151_2019_12_</v>
      </c>
      <c r="K2778" s="884">
        <f>K2776</f>
        <v>0.65</v>
      </c>
      <c r="L2778" s="945"/>
      <c r="M2778" s="953"/>
      <c r="N2778" s="157"/>
      <c r="O2778" s="277"/>
      <c r="P2778" s="937"/>
      <c r="Q2778" s="938"/>
      <c r="R2778" s="937"/>
      <c r="S2778" s="924"/>
      <c r="T2778" s="1407"/>
      <c r="U2778" s="157"/>
      <c r="V2778" s="3589"/>
      <c r="W2778" s="884"/>
      <c r="X2778" s="884"/>
      <c r="Y2778" s="882">
        <v>0.65</v>
      </c>
      <c r="Z2778" s="884">
        <v>0.65</v>
      </c>
      <c r="AA2778" s="884">
        <v>0.65</v>
      </c>
      <c r="AB2778" s="884">
        <v>0.65</v>
      </c>
      <c r="AC2778" s="884"/>
      <c r="AD2778" s="884"/>
      <c r="AE2778" s="884"/>
      <c r="AF2778" s="884"/>
      <c r="AG2778" s="884"/>
      <c r="BB2778" s="647"/>
      <c r="BC2778" s="648"/>
      <c r="BD2778" s="757"/>
      <c r="BE2778" s="659"/>
    </row>
    <row r="2779" spans="1:57" s="64" customFormat="1" ht="15" customHeight="1" outlineLevel="1" x14ac:dyDescent="0.25">
      <c r="A2779" s="2463"/>
      <c r="B2779" s="648"/>
      <c r="C2779" s="385"/>
      <c r="D2779" s="3589"/>
      <c r="E2779" s="3721"/>
      <c r="F2779" s="3773" t="str">
        <f>$E$1552</f>
        <v>ASHP - SEER 17 - replace electric furnace / CAC - early replacement MF ER2_CompE</v>
      </c>
      <c r="G2779" s="3774"/>
      <c r="H2779" s="3774"/>
      <c r="I2779" s="3775"/>
      <c r="J2779" s="3071" t="str">
        <f>$C$1552</f>
        <v>354151_2019_12_</v>
      </c>
      <c r="K2779" s="884">
        <f>K2777</f>
        <v>0.65</v>
      </c>
      <c r="L2779" s="945"/>
      <c r="M2779" s="953"/>
      <c r="N2779" s="157"/>
      <c r="O2779" s="277"/>
      <c r="P2779" s="937"/>
      <c r="Q2779" s="938"/>
      <c r="R2779" s="937"/>
      <c r="S2779" s="924"/>
      <c r="T2779" s="1407"/>
      <c r="U2779" s="157"/>
      <c r="V2779" s="3589"/>
      <c r="W2779" s="884"/>
      <c r="X2779" s="884"/>
      <c r="Y2779" s="882">
        <v>0.65</v>
      </c>
      <c r="Z2779" s="884">
        <v>0.65</v>
      </c>
      <c r="AA2779" s="884">
        <v>0.65</v>
      </c>
      <c r="AB2779" s="884">
        <v>0.65</v>
      </c>
      <c r="AC2779" s="884"/>
      <c r="AD2779" s="884"/>
      <c r="AE2779" s="884"/>
      <c r="AF2779" s="884"/>
      <c r="AG2779" s="884"/>
      <c r="BB2779" s="647"/>
      <c r="BC2779" s="648"/>
      <c r="BD2779" s="757"/>
      <c r="BE2779" s="659"/>
    </row>
    <row r="2780" spans="1:57" s="64" customFormat="1" ht="15" customHeight="1" outlineLevel="1" x14ac:dyDescent="0.25">
      <c r="A2780" s="2463"/>
      <c r="B2780" s="648"/>
      <c r="C2780" s="385"/>
      <c r="D2780" s="3589"/>
      <c r="E2780" s="3721"/>
      <c r="F2780" s="3773" t="str">
        <f>$E$1554</f>
        <v>ASHP SEER 17 replace ASHP - early replacement MF ER1</v>
      </c>
      <c r="G2780" s="3774"/>
      <c r="H2780" s="3774"/>
      <c r="I2780" s="3775"/>
      <c r="J2780" s="3071" t="str">
        <f>$C$1554</f>
        <v>354200_2019_12_</v>
      </c>
      <c r="K2780" s="884">
        <v>0.65</v>
      </c>
      <c r="L2780" s="945"/>
      <c r="M2780" s="953"/>
      <c r="N2780" s="157"/>
      <c r="O2780" s="277"/>
      <c r="P2780" s="937"/>
      <c r="Q2780" s="938"/>
      <c r="R2780" s="937"/>
      <c r="S2780" s="924"/>
      <c r="T2780" s="1407"/>
      <c r="U2780" s="157"/>
      <c r="V2780" s="3589"/>
      <c r="W2780" s="884">
        <v>0.65</v>
      </c>
      <c r="X2780" s="884">
        <v>0.65</v>
      </c>
      <c r="Y2780" s="884">
        <v>0.65</v>
      </c>
      <c r="Z2780" s="884">
        <v>0.65</v>
      </c>
      <c r="AA2780" s="884">
        <v>0.65</v>
      </c>
      <c r="AB2780" s="884">
        <v>0.65</v>
      </c>
      <c r="AC2780" s="884"/>
      <c r="AD2780" s="884"/>
      <c r="AE2780" s="884"/>
      <c r="AF2780" s="884"/>
      <c r="AG2780" s="884"/>
      <c r="BB2780" s="647"/>
      <c r="BC2780" s="648"/>
      <c r="BD2780" s="757"/>
      <c r="BE2780" s="659"/>
    </row>
    <row r="2781" spans="1:57" s="64" customFormat="1" ht="15" customHeight="1" outlineLevel="1" x14ac:dyDescent="0.25">
      <c r="A2781" s="2463"/>
      <c r="B2781" s="648"/>
      <c r="C2781" s="385"/>
      <c r="D2781" s="3589"/>
      <c r="E2781" s="3721"/>
      <c r="F2781" s="3773" t="str">
        <f>$E$1556</f>
        <v>ASHP SEER 17 replace ASHP - early replacement MF ER2</v>
      </c>
      <c r="G2781" s="3774"/>
      <c r="H2781" s="3774"/>
      <c r="I2781" s="3775"/>
      <c r="J2781" s="3071" t="str">
        <f>$C$1556</f>
        <v>354200_2019_12_</v>
      </c>
      <c r="K2781" s="883">
        <v>0.65</v>
      </c>
      <c r="L2781" s="945"/>
      <c r="M2781" s="953"/>
      <c r="N2781" s="157"/>
      <c r="O2781" s="277"/>
      <c r="P2781" s="937"/>
      <c r="Q2781" s="938"/>
      <c r="R2781" s="937"/>
      <c r="S2781" s="924"/>
      <c r="T2781" s="1407"/>
      <c r="U2781" s="157"/>
      <c r="V2781" s="3589"/>
      <c r="W2781" s="883">
        <v>0.65</v>
      </c>
      <c r="X2781" s="883">
        <v>0.65</v>
      </c>
      <c r="Y2781" s="883">
        <v>0.65</v>
      </c>
      <c r="Z2781" s="883">
        <v>0.65</v>
      </c>
      <c r="AA2781" s="883">
        <v>0.65</v>
      </c>
      <c r="AB2781" s="883">
        <v>0.65</v>
      </c>
      <c r="AC2781" s="883"/>
      <c r="AD2781" s="883"/>
      <c r="AE2781" s="883"/>
      <c r="AF2781" s="883"/>
      <c r="AG2781" s="883"/>
      <c r="BB2781" s="647"/>
      <c r="BC2781" s="648"/>
      <c r="BD2781" s="757"/>
      <c r="BE2781" s="659"/>
    </row>
    <row r="2782" spans="1:57" s="64" customFormat="1" ht="15" customHeight="1" outlineLevel="1" x14ac:dyDescent="0.25">
      <c r="A2782" s="2463"/>
      <c r="B2782" s="648"/>
      <c r="C2782" s="385"/>
      <c r="D2782" s="3589"/>
      <c r="E2782" s="3721"/>
      <c r="F2782" s="3773" t="str">
        <f>$E$1558</f>
        <v>ASHP SEER 17 replace ASHP - early replacement MF ER1_CompE</v>
      </c>
      <c r="G2782" s="3774"/>
      <c r="H2782" s="3774"/>
      <c r="I2782" s="3775"/>
      <c r="J2782" s="3071" t="str">
        <f>$C$1558</f>
        <v>354201_2019_12_</v>
      </c>
      <c r="K2782" s="884">
        <f>K2780</f>
        <v>0.65</v>
      </c>
      <c r="L2782" s="945"/>
      <c r="M2782" s="953"/>
      <c r="N2782" s="157"/>
      <c r="O2782" s="277"/>
      <c r="P2782" s="937"/>
      <c r="Q2782" s="938"/>
      <c r="R2782" s="937"/>
      <c r="S2782" s="924"/>
      <c r="T2782" s="1407"/>
      <c r="U2782" s="157"/>
      <c r="V2782" s="3589"/>
      <c r="W2782" s="883"/>
      <c r="X2782" s="883"/>
      <c r="Y2782" s="882">
        <v>0.65</v>
      </c>
      <c r="Z2782" s="884">
        <v>0.65</v>
      </c>
      <c r="AA2782" s="884">
        <v>0.65</v>
      </c>
      <c r="AB2782" s="884">
        <v>0.65</v>
      </c>
      <c r="AC2782" s="883"/>
      <c r="AD2782" s="883"/>
      <c r="AE2782" s="883"/>
      <c r="AF2782" s="883"/>
      <c r="AG2782" s="883"/>
      <c r="BB2782" s="647"/>
      <c r="BC2782" s="648"/>
      <c r="BD2782" s="757"/>
      <c r="BE2782" s="659"/>
    </row>
    <row r="2783" spans="1:57" s="64" customFormat="1" ht="15" customHeight="1" outlineLevel="1" x14ac:dyDescent="0.25">
      <c r="A2783" s="2463"/>
      <c r="B2783" s="648"/>
      <c r="C2783" s="385"/>
      <c r="D2783" s="3589"/>
      <c r="E2783" s="3721"/>
      <c r="F2783" s="3773" t="str">
        <f>$E$1560</f>
        <v>ASHP SEER 17 replace ASHP - early replacement MF ER2_CompE</v>
      </c>
      <c r="G2783" s="3774"/>
      <c r="H2783" s="3774"/>
      <c r="I2783" s="3775"/>
      <c r="J2783" s="3071" t="str">
        <f>$C$1560</f>
        <v>354201_2019_12_</v>
      </c>
      <c r="K2783" s="884">
        <f>K2781</f>
        <v>0.65</v>
      </c>
      <c r="L2783" s="945"/>
      <c r="M2783" s="953"/>
      <c r="N2783" s="157"/>
      <c r="O2783" s="277"/>
      <c r="P2783" s="937"/>
      <c r="Q2783" s="938"/>
      <c r="R2783" s="937"/>
      <c r="S2783" s="924"/>
      <c r="T2783" s="1407"/>
      <c r="U2783" s="157"/>
      <c r="V2783" s="3589"/>
      <c r="W2783" s="883"/>
      <c r="X2783" s="883"/>
      <c r="Y2783" s="882">
        <v>0.65</v>
      </c>
      <c r="Z2783" s="884">
        <v>0.65</v>
      </c>
      <c r="AA2783" s="884">
        <v>0.65</v>
      </c>
      <c r="AB2783" s="884">
        <v>0.65</v>
      </c>
      <c r="AC2783" s="883"/>
      <c r="AD2783" s="883"/>
      <c r="AE2783" s="883"/>
      <c r="AF2783" s="883"/>
      <c r="AG2783" s="883"/>
      <c r="BB2783" s="647"/>
      <c r="BC2783" s="648"/>
      <c r="BD2783" s="757"/>
      <c r="BE2783" s="659"/>
    </row>
    <row r="2784" spans="1:57" s="64" customFormat="1" ht="15" customHeight="1" outlineLevel="1" x14ac:dyDescent="0.25">
      <c r="A2784" s="2463"/>
      <c r="B2784" s="648"/>
      <c r="C2784" s="385"/>
      <c r="D2784" s="3589"/>
      <c r="E2784" s="3721"/>
      <c r="F2784" s="3773" t="str">
        <f>$E$1562</f>
        <v>ASHP - SEER 18 - replace electric furnace / CAC - early replacement SF ER1</v>
      </c>
      <c r="G2784" s="3774"/>
      <c r="H2784" s="3774"/>
      <c r="I2784" s="3775"/>
      <c r="J2784" s="3071" t="str">
        <f>$C$1562</f>
        <v>354250_2019_12_</v>
      </c>
      <c r="K2784" s="884">
        <v>1</v>
      </c>
      <c r="L2784" s="956"/>
      <c r="M2784" s="953"/>
      <c r="N2784" s="157"/>
      <c r="O2784" s="277"/>
      <c r="P2784" s="937"/>
      <c r="Q2784" s="938"/>
      <c r="R2784" s="937"/>
      <c r="S2784" s="924"/>
      <c r="T2784" s="1407"/>
      <c r="U2784" s="157"/>
      <c r="V2784" s="3589"/>
      <c r="W2784" s="884">
        <v>1</v>
      </c>
      <c r="X2784" s="884">
        <v>1</v>
      </c>
      <c r="Y2784" s="884">
        <v>1</v>
      </c>
      <c r="Z2784" s="884">
        <v>1</v>
      </c>
      <c r="AA2784" s="884">
        <v>1</v>
      </c>
      <c r="AB2784" s="884">
        <v>1</v>
      </c>
      <c r="AC2784" s="884"/>
      <c r="AD2784" s="884"/>
      <c r="AE2784" s="884"/>
      <c r="AF2784" s="884"/>
      <c r="AG2784" s="884"/>
      <c r="BB2784" s="647"/>
      <c r="BC2784" s="648"/>
      <c r="BD2784" s="757"/>
      <c r="BE2784" s="659"/>
    </row>
    <row r="2785" spans="1:57" s="64" customFormat="1" ht="15" customHeight="1" outlineLevel="1" x14ac:dyDescent="0.25">
      <c r="A2785" s="2463"/>
      <c r="B2785" s="648"/>
      <c r="C2785" s="385"/>
      <c r="D2785" s="3589"/>
      <c r="E2785" s="3721"/>
      <c r="F2785" s="3773" t="str">
        <f>$E$1564</f>
        <v>ASHP - SEER 18 - replace electric furnace / CAC - early replacement SF ER2</v>
      </c>
      <c r="G2785" s="3774"/>
      <c r="H2785" s="3774"/>
      <c r="I2785" s="3775"/>
      <c r="J2785" s="3071" t="str">
        <f>$C$1564</f>
        <v>354250_2019_12_</v>
      </c>
      <c r="K2785" s="884">
        <v>1</v>
      </c>
      <c r="L2785" s="956"/>
      <c r="M2785" s="953"/>
      <c r="N2785" s="157"/>
      <c r="O2785" s="277"/>
      <c r="P2785" s="937"/>
      <c r="Q2785" s="938"/>
      <c r="R2785" s="937"/>
      <c r="S2785" s="924"/>
      <c r="T2785" s="1407"/>
      <c r="U2785" s="157"/>
      <c r="V2785" s="3589"/>
      <c r="W2785" s="884">
        <v>1</v>
      </c>
      <c r="X2785" s="884">
        <v>1</v>
      </c>
      <c r="Y2785" s="884">
        <v>1</v>
      </c>
      <c r="Z2785" s="884">
        <v>1</v>
      </c>
      <c r="AA2785" s="884">
        <v>1</v>
      </c>
      <c r="AB2785" s="884">
        <v>1</v>
      </c>
      <c r="AC2785" s="884"/>
      <c r="AD2785" s="884"/>
      <c r="AE2785" s="884"/>
      <c r="AF2785" s="884"/>
      <c r="AG2785" s="884"/>
      <c r="BB2785" s="647"/>
      <c r="BC2785" s="648"/>
      <c r="BD2785" s="757"/>
      <c r="BE2785" s="659"/>
    </row>
    <row r="2786" spans="1:57" s="64" customFormat="1" ht="15" customHeight="1" outlineLevel="1" x14ac:dyDescent="0.25">
      <c r="A2786" s="2463"/>
      <c r="B2786" s="648"/>
      <c r="C2786" s="385"/>
      <c r="D2786" s="3589"/>
      <c r="E2786" s="3721"/>
      <c r="F2786" s="3773" t="str">
        <f>$E$1566</f>
        <v>ASHP - SEER 18 - replace electric furnace / CAC - early replacement MF ER1</v>
      </c>
      <c r="G2786" s="3774"/>
      <c r="H2786" s="3774"/>
      <c r="I2786" s="3775"/>
      <c r="J2786" s="3071" t="str">
        <f>$C$1566</f>
        <v>354300_2019_12_</v>
      </c>
      <c r="K2786" s="884">
        <v>0.65</v>
      </c>
      <c r="L2786" s="956"/>
      <c r="M2786" s="953"/>
      <c r="N2786" s="157"/>
      <c r="O2786" s="277"/>
      <c r="P2786" s="937"/>
      <c r="Q2786" s="938"/>
      <c r="R2786" s="937"/>
      <c r="S2786" s="924"/>
      <c r="T2786" s="1407"/>
      <c r="U2786" s="157"/>
      <c r="V2786" s="3589"/>
      <c r="W2786" s="884">
        <v>0.65</v>
      </c>
      <c r="X2786" s="884">
        <v>0.65</v>
      </c>
      <c r="Y2786" s="884">
        <v>0.65</v>
      </c>
      <c r="Z2786" s="884">
        <v>0.65</v>
      </c>
      <c r="AA2786" s="884">
        <v>0.65</v>
      </c>
      <c r="AB2786" s="884">
        <v>0.65</v>
      </c>
      <c r="AC2786" s="884"/>
      <c r="AD2786" s="884"/>
      <c r="AE2786" s="884"/>
      <c r="AF2786" s="884"/>
      <c r="AG2786" s="884"/>
      <c r="BB2786" s="647"/>
      <c r="BC2786" s="648"/>
      <c r="BD2786" s="757"/>
      <c r="BE2786" s="659"/>
    </row>
    <row r="2787" spans="1:57" s="64" customFormat="1" ht="15" customHeight="1" outlineLevel="1" x14ac:dyDescent="0.25">
      <c r="A2787" s="2463"/>
      <c r="B2787" s="648"/>
      <c r="C2787" s="385"/>
      <c r="D2787" s="3589"/>
      <c r="E2787" s="3721"/>
      <c r="F2787" s="3773" t="str">
        <f>$E$1568</f>
        <v>ASHP - SEER 18 - replace electric furnace / CAC - early replacement MF ER2</v>
      </c>
      <c r="G2787" s="3774"/>
      <c r="H2787" s="3774"/>
      <c r="I2787" s="3775"/>
      <c r="J2787" s="3071" t="str">
        <f>$C$1568</f>
        <v>354300_2019_12_</v>
      </c>
      <c r="K2787" s="884">
        <v>0.65</v>
      </c>
      <c r="L2787" s="956"/>
      <c r="M2787" s="953"/>
      <c r="N2787" s="157"/>
      <c r="O2787" s="277"/>
      <c r="P2787" s="937"/>
      <c r="Q2787" s="938"/>
      <c r="R2787" s="937"/>
      <c r="S2787" s="924"/>
      <c r="T2787" s="1407"/>
      <c r="U2787" s="157"/>
      <c r="V2787" s="3589"/>
      <c r="W2787" s="884">
        <v>0.65</v>
      </c>
      <c r="X2787" s="884">
        <v>0.65</v>
      </c>
      <c r="Y2787" s="884">
        <v>0.65</v>
      </c>
      <c r="Z2787" s="884">
        <v>0.65</v>
      </c>
      <c r="AA2787" s="884">
        <v>0.65</v>
      </c>
      <c r="AB2787" s="884">
        <v>0.65</v>
      </c>
      <c r="AC2787" s="884"/>
      <c r="AD2787" s="884"/>
      <c r="AE2787" s="884"/>
      <c r="AF2787" s="884"/>
      <c r="AG2787" s="884"/>
      <c r="BB2787" s="647"/>
      <c r="BC2787" s="648"/>
      <c r="BD2787" s="757"/>
      <c r="BE2787" s="659"/>
    </row>
    <row r="2788" spans="1:57" s="64" customFormat="1" ht="15" customHeight="1" outlineLevel="1" x14ac:dyDescent="0.25">
      <c r="A2788" s="2463"/>
      <c r="B2788" s="648"/>
      <c r="C2788" s="385"/>
      <c r="D2788" s="3589"/>
      <c r="E2788" s="3721"/>
      <c r="F2788" s="3773" t="str">
        <f>$E$1570</f>
        <v>ASHP - SEER 18 - replace electric furnace / CAC - early replacement MF ER1_CompE</v>
      </c>
      <c r="G2788" s="3774"/>
      <c r="H2788" s="3774"/>
      <c r="I2788" s="3775"/>
      <c r="J2788" s="3071" t="str">
        <f>$C$1570</f>
        <v>354301_2019_12_</v>
      </c>
      <c r="K2788" s="884">
        <f>K2786</f>
        <v>0.65</v>
      </c>
      <c r="L2788" s="956"/>
      <c r="M2788" s="953"/>
      <c r="N2788" s="157"/>
      <c r="O2788" s="277"/>
      <c r="P2788" s="937"/>
      <c r="Q2788" s="938"/>
      <c r="R2788" s="937"/>
      <c r="S2788" s="924"/>
      <c r="T2788" s="1407"/>
      <c r="U2788" s="157"/>
      <c r="V2788" s="3589"/>
      <c r="W2788" s="884"/>
      <c r="X2788" s="884"/>
      <c r="Y2788" s="882">
        <v>0.65</v>
      </c>
      <c r="Z2788" s="884">
        <v>0.65</v>
      </c>
      <c r="AA2788" s="884">
        <v>0.65</v>
      </c>
      <c r="AB2788" s="884">
        <v>0.65</v>
      </c>
      <c r="AC2788" s="884"/>
      <c r="AD2788" s="884"/>
      <c r="AE2788" s="884"/>
      <c r="AF2788" s="884"/>
      <c r="AG2788" s="884"/>
      <c r="BB2788" s="647"/>
      <c r="BC2788" s="648"/>
      <c r="BD2788" s="757"/>
      <c r="BE2788" s="659"/>
    </row>
    <row r="2789" spans="1:57" s="64" customFormat="1" ht="15" customHeight="1" outlineLevel="1" x14ac:dyDescent="0.25">
      <c r="A2789" s="2463"/>
      <c r="B2789" s="648"/>
      <c r="C2789" s="385"/>
      <c r="D2789" s="3589"/>
      <c r="E2789" s="3721"/>
      <c r="F2789" s="3773" t="str">
        <f>$E$1572</f>
        <v>ASHP - SEER 18 - replace electric furnace / CAC - early replacement MF ER2_CompE</v>
      </c>
      <c r="G2789" s="3774"/>
      <c r="H2789" s="3774"/>
      <c r="I2789" s="3775"/>
      <c r="J2789" s="3071" t="str">
        <f>$C$1572</f>
        <v>354301_2019_12_</v>
      </c>
      <c r="K2789" s="884">
        <f>K2787</f>
        <v>0.65</v>
      </c>
      <c r="L2789" s="956"/>
      <c r="M2789" s="953"/>
      <c r="N2789" s="157"/>
      <c r="O2789" s="277"/>
      <c r="P2789" s="937"/>
      <c r="Q2789" s="938"/>
      <c r="R2789" s="937"/>
      <c r="S2789" s="924"/>
      <c r="T2789" s="1407"/>
      <c r="U2789" s="157"/>
      <c r="V2789" s="3589"/>
      <c r="W2789" s="884"/>
      <c r="X2789" s="884"/>
      <c r="Y2789" s="882">
        <v>0.65</v>
      </c>
      <c r="Z2789" s="884">
        <v>0.65</v>
      </c>
      <c r="AA2789" s="884">
        <v>0.65</v>
      </c>
      <c r="AB2789" s="884">
        <v>0.65</v>
      </c>
      <c r="AC2789" s="884"/>
      <c r="AD2789" s="884"/>
      <c r="AE2789" s="884"/>
      <c r="AF2789" s="884"/>
      <c r="AG2789" s="884"/>
      <c r="BB2789" s="647"/>
      <c r="BC2789" s="648"/>
      <c r="BD2789" s="757"/>
      <c r="BE2789" s="659"/>
    </row>
    <row r="2790" spans="1:57" s="64" customFormat="1" ht="15" customHeight="1" outlineLevel="1" x14ac:dyDescent="0.25">
      <c r="A2790" s="2463"/>
      <c r="B2790" s="648"/>
      <c r="C2790" s="385"/>
      <c r="D2790" s="3589"/>
      <c r="E2790" s="3721"/>
      <c r="F2790" s="3773" t="str">
        <f>$E$1574</f>
        <v>ASHP SEER 18 replace ASHP - early replacement MF ER1</v>
      </c>
      <c r="G2790" s="3774"/>
      <c r="H2790" s="3774"/>
      <c r="I2790" s="3775"/>
      <c r="J2790" s="3071" t="str">
        <f>$C$1574</f>
        <v>354350_2019_12_</v>
      </c>
      <c r="K2790" s="884">
        <v>0.65</v>
      </c>
      <c r="L2790" s="956"/>
      <c r="M2790" s="953"/>
      <c r="N2790" s="157"/>
      <c r="O2790" s="277"/>
      <c r="P2790" s="937"/>
      <c r="Q2790" s="938"/>
      <c r="R2790" s="937"/>
      <c r="S2790" s="924"/>
      <c r="T2790" s="1407"/>
      <c r="U2790" s="157"/>
      <c r="V2790" s="3589"/>
      <c r="W2790" s="884">
        <v>0.65</v>
      </c>
      <c r="X2790" s="884">
        <v>0.65</v>
      </c>
      <c r="Y2790" s="884">
        <v>0.65</v>
      </c>
      <c r="Z2790" s="884">
        <v>0.65</v>
      </c>
      <c r="AA2790" s="884">
        <v>0.65</v>
      </c>
      <c r="AB2790" s="884">
        <v>0.65</v>
      </c>
      <c r="AC2790" s="884"/>
      <c r="AD2790" s="884"/>
      <c r="AE2790" s="884"/>
      <c r="AF2790" s="884"/>
      <c r="AG2790" s="884"/>
      <c r="BB2790" s="647"/>
      <c r="BC2790" s="648"/>
      <c r="BD2790" s="757"/>
      <c r="BE2790" s="659"/>
    </row>
    <row r="2791" spans="1:57" s="64" customFormat="1" ht="15" customHeight="1" outlineLevel="1" x14ac:dyDescent="0.25">
      <c r="A2791" s="2463"/>
      <c r="B2791" s="648"/>
      <c r="C2791" s="385"/>
      <c r="D2791" s="3589"/>
      <c r="E2791" s="3721"/>
      <c r="F2791" s="3773" t="str">
        <f>$E$1576</f>
        <v>ASHP SEER 18 replace ASHP - early replacement MF ER2</v>
      </c>
      <c r="G2791" s="3774"/>
      <c r="H2791" s="3774"/>
      <c r="I2791" s="3775"/>
      <c r="J2791" s="3071" t="str">
        <f>$C$1576</f>
        <v>354350_2019_12_</v>
      </c>
      <c r="K2791" s="884">
        <v>0.65</v>
      </c>
      <c r="L2791" s="956"/>
      <c r="M2791" s="953"/>
      <c r="N2791" s="157"/>
      <c r="O2791" s="277"/>
      <c r="P2791" s="937"/>
      <c r="Q2791" s="938"/>
      <c r="R2791" s="937"/>
      <c r="S2791" s="924"/>
      <c r="T2791" s="1407"/>
      <c r="U2791" s="157"/>
      <c r="V2791" s="3589"/>
      <c r="W2791" s="884">
        <v>0.65</v>
      </c>
      <c r="X2791" s="884">
        <v>0.65</v>
      </c>
      <c r="Y2791" s="884">
        <v>0.65</v>
      </c>
      <c r="Z2791" s="884">
        <v>0.65</v>
      </c>
      <c r="AA2791" s="884">
        <v>0.65</v>
      </c>
      <c r="AB2791" s="884">
        <v>0.65</v>
      </c>
      <c r="AC2791" s="884"/>
      <c r="AD2791" s="884"/>
      <c r="AE2791" s="884"/>
      <c r="AF2791" s="884"/>
      <c r="AG2791" s="884"/>
      <c r="BB2791" s="647"/>
      <c r="BC2791" s="648"/>
      <c r="BD2791" s="757"/>
      <c r="BE2791" s="659"/>
    </row>
    <row r="2792" spans="1:57" s="64" customFormat="1" ht="15" customHeight="1" outlineLevel="1" x14ac:dyDescent="0.25">
      <c r="A2792" s="2463"/>
      <c r="B2792" s="648"/>
      <c r="C2792" s="385"/>
      <c r="D2792" s="3589"/>
      <c r="E2792" s="3721"/>
      <c r="F2792" s="3773" t="str">
        <f>$E$1578</f>
        <v>ASHP SEER 18 replace ASHP - early replacement MF ER1_CompE</v>
      </c>
      <c r="G2792" s="3774"/>
      <c r="H2792" s="3774"/>
      <c r="I2792" s="3775"/>
      <c r="J2792" s="3071" t="str">
        <f>$C$1578</f>
        <v>354351_2019_12_</v>
      </c>
      <c r="K2792" s="884">
        <f>K2790</f>
        <v>0.65</v>
      </c>
      <c r="L2792" s="956"/>
      <c r="M2792" s="953"/>
      <c r="N2792" s="157"/>
      <c r="O2792" s="277"/>
      <c r="P2792" s="937"/>
      <c r="Q2792" s="938"/>
      <c r="R2792" s="937"/>
      <c r="S2792" s="924"/>
      <c r="T2792" s="1407"/>
      <c r="U2792" s="157"/>
      <c r="V2792" s="3589"/>
      <c r="W2792" s="884"/>
      <c r="X2792" s="884"/>
      <c r="Y2792" s="882">
        <v>0.65</v>
      </c>
      <c r="Z2792" s="884">
        <v>0.65</v>
      </c>
      <c r="AA2792" s="884">
        <v>0.65</v>
      </c>
      <c r="AB2792" s="884">
        <v>0.65</v>
      </c>
      <c r="AC2792" s="884"/>
      <c r="AD2792" s="884"/>
      <c r="AE2792" s="884"/>
      <c r="AF2792" s="884"/>
      <c r="AG2792" s="884"/>
      <c r="BB2792" s="647"/>
      <c r="BC2792" s="648"/>
      <c r="BD2792" s="757"/>
      <c r="BE2792" s="659"/>
    </row>
    <row r="2793" spans="1:57" s="64" customFormat="1" ht="15" customHeight="1" outlineLevel="1" x14ac:dyDescent="0.25">
      <c r="A2793" s="2463"/>
      <c r="B2793" s="648"/>
      <c r="C2793" s="385"/>
      <c r="D2793" s="3589"/>
      <c r="E2793" s="3721"/>
      <c r="F2793" s="3773" t="str">
        <f>$E$1580</f>
        <v>ASHP SEER 18 replace ASHP - early replacement MF ER2_CompE</v>
      </c>
      <c r="G2793" s="3774"/>
      <c r="H2793" s="3774"/>
      <c r="I2793" s="3775"/>
      <c r="J2793" s="3071" t="str">
        <f>$C$1580</f>
        <v>354351_2019_12_</v>
      </c>
      <c r="K2793" s="884">
        <f>K2791</f>
        <v>0.65</v>
      </c>
      <c r="L2793" s="956"/>
      <c r="M2793" s="953"/>
      <c r="N2793" s="157"/>
      <c r="O2793" s="277"/>
      <c r="P2793" s="937"/>
      <c r="Q2793" s="938"/>
      <c r="R2793" s="937"/>
      <c r="S2793" s="924"/>
      <c r="T2793" s="1407"/>
      <c r="U2793" s="157"/>
      <c r="V2793" s="3589"/>
      <c r="W2793" s="884"/>
      <c r="X2793" s="884"/>
      <c r="Y2793" s="882">
        <v>0.65</v>
      </c>
      <c r="Z2793" s="884">
        <v>0.65</v>
      </c>
      <c r="AA2793" s="884">
        <v>0.65</v>
      </c>
      <c r="AB2793" s="884">
        <v>0.65</v>
      </c>
      <c r="AC2793" s="884"/>
      <c r="AD2793" s="884"/>
      <c r="AE2793" s="884"/>
      <c r="AF2793" s="884"/>
      <c r="AG2793" s="884"/>
      <c r="BB2793" s="647"/>
      <c r="BC2793" s="648"/>
      <c r="BD2793" s="757"/>
      <c r="BE2793" s="659"/>
    </row>
    <row r="2794" spans="1:57" s="64" customFormat="1" ht="15" customHeight="1" outlineLevel="1" x14ac:dyDescent="0.25">
      <c r="A2794" s="2463"/>
      <c r="B2794" s="648"/>
      <c r="C2794" s="385"/>
      <c r="D2794" s="3589"/>
      <c r="E2794" s="3721"/>
      <c r="F2794" s="3773" t="str">
        <f>$E$1582</f>
        <v>ASHP - SEER 19 - replace electric furnace / CAC - early replacement SF ER1</v>
      </c>
      <c r="G2794" s="3774"/>
      <c r="H2794" s="3774"/>
      <c r="I2794" s="3775"/>
      <c r="J2794" s="3071" t="str">
        <f>$C$1582</f>
        <v>354400_2019_12_</v>
      </c>
      <c r="K2794" s="884">
        <v>1</v>
      </c>
      <c r="L2794" s="956"/>
      <c r="M2794" s="953"/>
      <c r="N2794" s="157"/>
      <c r="O2794" s="277"/>
      <c r="P2794" s="937"/>
      <c r="Q2794" s="938"/>
      <c r="R2794" s="937"/>
      <c r="S2794" s="924"/>
      <c r="T2794" s="1407"/>
      <c r="U2794" s="157"/>
      <c r="V2794" s="3589"/>
      <c r="W2794" s="884">
        <v>1</v>
      </c>
      <c r="X2794" s="884">
        <v>1</v>
      </c>
      <c r="Y2794" s="884">
        <v>1</v>
      </c>
      <c r="Z2794" s="884">
        <v>1</v>
      </c>
      <c r="AA2794" s="884">
        <v>1</v>
      </c>
      <c r="AB2794" s="884">
        <v>1</v>
      </c>
      <c r="AC2794" s="884"/>
      <c r="AD2794" s="884"/>
      <c r="AE2794" s="884"/>
      <c r="AF2794" s="884"/>
      <c r="AG2794" s="884"/>
      <c r="BB2794" s="647"/>
      <c r="BC2794" s="648"/>
      <c r="BD2794" s="757"/>
      <c r="BE2794" s="659"/>
    </row>
    <row r="2795" spans="1:57" s="64" customFormat="1" ht="15" customHeight="1" outlineLevel="1" x14ac:dyDescent="0.25">
      <c r="A2795" s="2463"/>
      <c r="B2795" s="648"/>
      <c r="C2795" s="385"/>
      <c r="D2795" s="3589"/>
      <c r="E2795" s="3721"/>
      <c r="F2795" s="3773" t="str">
        <f>$E$1584</f>
        <v>ASHP - SEER 19 - replace electric furnace / CAC - early replacement SF ER2</v>
      </c>
      <c r="G2795" s="3774"/>
      <c r="H2795" s="3774"/>
      <c r="I2795" s="3775"/>
      <c r="J2795" s="3071" t="str">
        <f>$C$1584</f>
        <v>354400_2019_12_</v>
      </c>
      <c r="K2795" s="884">
        <v>1</v>
      </c>
      <c r="L2795" s="956"/>
      <c r="M2795" s="953"/>
      <c r="N2795" s="157"/>
      <c r="O2795" s="277"/>
      <c r="P2795" s="937"/>
      <c r="Q2795" s="938"/>
      <c r="R2795" s="937"/>
      <c r="S2795" s="924"/>
      <c r="T2795" s="1407"/>
      <c r="U2795" s="157"/>
      <c r="V2795" s="3589"/>
      <c r="W2795" s="884">
        <v>1</v>
      </c>
      <c r="X2795" s="884">
        <v>1</v>
      </c>
      <c r="Y2795" s="884">
        <v>1</v>
      </c>
      <c r="Z2795" s="884">
        <v>1</v>
      </c>
      <c r="AA2795" s="884">
        <v>1</v>
      </c>
      <c r="AB2795" s="884">
        <v>1</v>
      </c>
      <c r="AC2795" s="884"/>
      <c r="AD2795" s="884"/>
      <c r="AE2795" s="884"/>
      <c r="AF2795" s="884"/>
      <c r="AG2795" s="884"/>
      <c r="BB2795" s="647"/>
      <c r="BC2795" s="648"/>
      <c r="BD2795" s="757"/>
      <c r="BE2795" s="659"/>
    </row>
    <row r="2796" spans="1:57" s="64" customFormat="1" ht="15" customHeight="1" outlineLevel="1" x14ac:dyDescent="0.25">
      <c r="A2796" s="2463"/>
      <c r="B2796" s="648"/>
      <c r="C2796" s="385"/>
      <c r="D2796" s="3589"/>
      <c r="E2796" s="3721"/>
      <c r="F2796" s="3773" t="str">
        <f>$E$1586</f>
        <v>ASHP - SEER 19 - replace electric furnace / CAC - early replacement MF ER1</v>
      </c>
      <c r="G2796" s="3774"/>
      <c r="H2796" s="3774"/>
      <c r="I2796" s="3775"/>
      <c r="J2796" s="3071" t="str">
        <f>$C$1586</f>
        <v>354450_2019_12_</v>
      </c>
      <c r="K2796" s="884">
        <v>0.65</v>
      </c>
      <c r="L2796" s="956"/>
      <c r="M2796" s="953"/>
      <c r="N2796" s="157"/>
      <c r="O2796" s="277"/>
      <c r="P2796" s="937"/>
      <c r="Q2796" s="938"/>
      <c r="R2796" s="937"/>
      <c r="S2796" s="924"/>
      <c r="T2796" s="1407"/>
      <c r="U2796" s="157"/>
      <c r="V2796" s="3589"/>
      <c r="W2796" s="884">
        <v>0.65</v>
      </c>
      <c r="X2796" s="884">
        <v>0.65</v>
      </c>
      <c r="Y2796" s="884">
        <v>0.65</v>
      </c>
      <c r="Z2796" s="884">
        <v>0.65</v>
      </c>
      <c r="AA2796" s="884">
        <v>0.65</v>
      </c>
      <c r="AB2796" s="884">
        <v>0.65</v>
      </c>
      <c r="AC2796" s="884"/>
      <c r="AD2796" s="884"/>
      <c r="AE2796" s="884"/>
      <c r="AF2796" s="884"/>
      <c r="AG2796" s="884"/>
      <c r="BB2796" s="647"/>
      <c r="BC2796" s="648"/>
      <c r="BD2796" s="757"/>
      <c r="BE2796" s="659"/>
    </row>
    <row r="2797" spans="1:57" s="64" customFormat="1" ht="15" customHeight="1" outlineLevel="1" x14ac:dyDescent="0.25">
      <c r="A2797" s="2463"/>
      <c r="B2797" s="648"/>
      <c r="C2797" s="385"/>
      <c r="D2797" s="3589"/>
      <c r="E2797" s="3721"/>
      <c r="F2797" s="3773" t="str">
        <f>$E$1588</f>
        <v>ASHP - SEER 19 - replace electric furnace / CAC - early replacement MF ER2</v>
      </c>
      <c r="G2797" s="3774"/>
      <c r="H2797" s="3774"/>
      <c r="I2797" s="3775"/>
      <c r="J2797" s="3071" t="str">
        <f>$C$1588</f>
        <v>354450_2019_12_</v>
      </c>
      <c r="K2797" s="884">
        <v>0.65</v>
      </c>
      <c r="L2797" s="956"/>
      <c r="M2797" s="953"/>
      <c r="N2797" s="157"/>
      <c r="O2797" s="277"/>
      <c r="P2797" s="937"/>
      <c r="Q2797" s="938"/>
      <c r="R2797" s="937"/>
      <c r="S2797" s="924"/>
      <c r="T2797" s="1407"/>
      <c r="U2797" s="157"/>
      <c r="V2797" s="3589"/>
      <c r="W2797" s="884">
        <v>0.65</v>
      </c>
      <c r="X2797" s="884">
        <v>0.65</v>
      </c>
      <c r="Y2797" s="884">
        <v>0.65</v>
      </c>
      <c r="Z2797" s="884">
        <v>0.65</v>
      </c>
      <c r="AA2797" s="884">
        <v>0.65</v>
      </c>
      <c r="AB2797" s="884">
        <v>0.65</v>
      </c>
      <c r="AC2797" s="884"/>
      <c r="AD2797" s="884"/>
      <c r="AE2797" s="884"/>
      <c r="AF2797" s="884"/>
      <c r="AG2797" s="884"/>
      <c r="BB2797" s="647"/>
      <c r="BC2797" s="648"/>
      <c r="BD2797" s="757"/>
      <c r="BE2797" s="659"/>
    </row>
    <row r="2798" spans="1:57" s="64" customFormat="1" ht="15" customHeight="1" outlineLevel="1" x14ac:dyDescent="0.25">
      <c r="A2798" s="2463"/>
      <c r="B2798" s="648"/>
      <c r="C2798" s="385"/>
      <c r="D2798" s="3589"/>
      <c r="E2798" s="3721"/>
      <c r="F2798" s="3773" t="str">
        <f>$E$1590</f>
        <v>ASHP - SEER 19 - replace electric furnace / CAC - early replacement MF ER1_CompE</v>
      </c>
      <c r="G2798" s="3774"/>
      <c r="H2798" s="3774"/>
      <c r="I2798" s="3775"/>
      <c r="J2798" s="3071" t="str">
        <f>$C$1590</f>
        <v>354451_2019_12_</v>
      </c>
      <c r="K2798" s="884">
        <f>K2796</f>
        <v>0.65</v>
      </c>
      <c r="L2798" s="956"/>
      <c r="M2798" s="953"/>
      <c r="N2798" s="157"/>
      <c r="O2798" s="277"/>
      <c r="P2798" s="937"/>
      <c r="Q2798" s="938"/>
      <c r="R2798" s="937"/>
      <c r="S2798" s="924"/>
      <c r="T2798" s="1407"/>
      <c r="U2798" s="157"/>
      <c r="V2798" s="3589"/>
      <c r="W2798" s="884"/>
      <c r="X2798" s="884"/>
      <c r="Y2798" s="882">
        <v>0.65</v>
      </c>
      <c r="Z2798" s="884">
        <v>0.65</v>
      </c>
      <c r="AA2798" s="884">
        <v>0.65</v>
      </c>
      <c r="AB2798" s="884">
        <v>0.65</v>
      </c>
      <c r="AC2798" s="884"/>
      <c r="AD2798" s="884"/>
      <c r="AE2798" s="884"/>
      <c r="AF2798" s="884"/>
      <c r="AG2798" s="884"/>
      <c r="BB2798" s="647"/>
      <c r="BC2798" s="648"/>
      <c r="BD2798" s="757"/>
      <c r="BE2798" s="659"/>
    </row>
    <row r="2799" spans="1:57" s="64" customFormat="1" ht="15" customHeight="1" outlineLevel="1" x14ac:dyDescent="0.25">
      <c r="A2799" s="2463"/>
      <c r="B2799" s="648"/>
      <c r="C2799" s="385"/>
      <c r="D2799" s="3589"/>
      <c r="E2799" s="3721"/>
      <c r="F2799" s="3773" t="str">
        <f>$E$1592</f>
        <v>ASHP - SEER 19 - replace electric furnace / CAC - early replacement MF ER2_CompE</v>
      </c>
      <c r="G2799" s="3774"/>
      <c r="H2799" s="3774"/>
      <c r="I2799" s="3775"/>
      <c r="J2799" s="3071" t="str">
        <f>$C$1592</f>
        <v>354451_2019_12_</v>
      </c>
      <c r="K2799" s="884">
        <f>K2797</f>
        <v>0.65</v>
      </c>
      <c r="L2799" s="956"/>
      <c r="M2799" s="953"/>
      <c r="N2799" s="157"/>
      <c r="O2799" s="277"/>
      <c r="P2799" s="937"/>
      <c r="Q2799" s="938"/>
      <c r="R2799" s="937"/>
      <c r="S2799" s="924"/>
      <c r="T2799" s="1407"/>
      <c r="U2799" s="157"/>
      <c r="V2799" s="3589"/>
      <c r="W2799" s="884"/>
      <c r="X2799" s="884"/>
      <c r="Y2799" s="882">
        <v>0.65</v>
      </c>
      <c r="Z2799" s="884">
        <v>0.65</v>
      </c>
      <c r="AA2799" s="884">
        <v>0.65</v>
      </c>
      <c r="AB2799" s="884">
        <v>0.65</v>
      </c>
      <c r="AC2799" s="884"/>
      <c r="AD2799" s="884"/>
      <c r="AE2799" s="884"/>
      <c r="AF2799" s="884"/>
      <c r="AG2799" s="884"/>
      <c r="BB2799" s="647"/>
      <c r="BC2799" s="648"/>
      <c r="BD2799" s="757"/>
      <c r="BE2799" s="659"/>
    </row>
    <row r="2800" spans="1:57" s="64" customFormat="1" ht="15" customHeight="1" outlineLevel="1" x14ac:dyDescent="0.25">
      <c r="A2800" s="2463"/>
      <c r="B2800" s="648"/>
      <c r="C2800" s="385"/>
      <c r="D2800" s="3589"/>
      <c r="E2800" s="3721"/>
      <c r="F2800" s="3773" t="str">
        <f>$E$1594</f>
        <v>ASHP SEER 19 replace ASHP - early replacement MF ER1</v>
      </c>
      <c r="G2800" s="3774"/>
      <c r="H2800" s="3774"/>
      <c r="I2800" s="3775"/>
      <c r="J2800" s="3071" t="str">
        <f>$C$1594</f>
        <v>354500_2019_12_</v>
      </c>
      <c r="K2800" s="884">
        <v>0.65</v>
      </c>
      <c r="L2800" s="956"/>
      <c r="M2800" s="953"/>
      <c r="N2800" s="157"/>
      <c r="O2800" s="277"/>
      <c r="P2800" s="937"/>
      <c r="Q2800" s="938"/>
      <c r="R2800" s="937"/>
      <c r="S2800" s="924"/>
      <c r="T2800" s="1407"/>
      <c r="U2800" s="157"/>
      <c r="V2800" s="3589"/>
      <c r="W2800" s="884">
        <v>0.65</v>
      </c>
      <c r="X2800" s="884">
        <v>0.65</v>
      </c>
      <c r="Y2800" s="884">
        <v>0.65</v>
      </c>
      <c r="Z2800" s="884">
        <v>0.65</v>
      </c>
      <c r="AA2800" s="884">
        <v>0.65</v>
      </c>
      <c r="AB2800" s="884">
        <v>0.65</v>
      </c>
      <c r="AC2800" s="884"/>
      <c r="AD2800" s="884"/>
      <c r="AE2800" s="884"/>
      <c r="AF2800" s="884"/>
      <c r="AG2800" s="884"/>
      <c r="BB2800" s="647"/>
      <c r="BC2800" s="648"/>
      <c r="BD2800" s="757"/>
      <c r="BE2800" s="659"/>
    </row>
    <row r="2801" spans="1:57" s="64" customFormat="1" ht="15" customHeight="1" outlineLevel="1" x14ac:dyDescent="0.25">
      <c r="A2801" s="2463"/>
      <c r="B2801" s="648"/>
      <c r="C2801" s="385"/>
      <c r="D2801" s="3589"/>
      <c r="E2801" s="3721"/>
      <c r="F2801" s="3773" t="str">
        <f>$E$1596</f>
        <v>ASHP SEER 19 replace ASHP - early replacement MF ER2</v>
      </c>
      <c r="G2801" s="3774"/>
      <c r="H2801" s="3774"/>
      <c r="I2801" s="3775"/>
      <c r="J2801" s="3071" t="str">
        <f>$C$1596</f>
        <v>354500_2019_12_</v>
      </c>
      <c r="K2801" s="884">
        <v>0.65</v>
      </c>
      <c r="L2801" s="956"/>
      <c r="M2801" s="953"/>
      <c r="N2801" s="157"/>
      <c r="O2801" s="277"/>
      <c r="P2801" s="937"/>
      <c r="Q2801" s="938"/>
      <c r="R2801" s="937"/>
      <c r="S2801" s="924"/>
      <c r="T2801" s="1407"/>
      <c r="U2801" s="157"/>
      <c r="V2801" s="3589"/>
      <c r="W2801" s="884">
        <v>0.65</v>
      </c>
      <c r="X2801" s="884">
        <v>0.65</v>
      </c>
      <c r="Y2801" s="884">
        <v>0.65</v>
      </c>
      <c r="Z2801" s="884">
        <v>0.65</v>
      </c>
      <c r="AA2801" s="884">
        <v>0.65</v>
      </c>
      <c r="AB2801" s="884">
        <v>0.65</v>
      </c>
      <c r="AC2801" s="884"/>
      <c r="AD2801" s="884"/>
      <c r="AE2801" s="884"/>
      <c r="AF2801" s="884"/>
      <c r="AG2801" s="884"/>
      <c r="BB2801" s="647"/>
      <c r="BC2801" s="648"/>
      <c r="BD2801" s="757"/>
      <c r="BE2801" s="659"/>
    </row>
    <row r="2802" spans="1:57" s="64" customFormat="1" ht="15" customHeight="1" outlineLevel="1" x14ac:dyDescent="0.25">
      <c r="A2802" s="2463"/>
      <c r="B2802" s="648"/>
      <c r="C2802" s="385"/>
      <c r="D2802" s="3589"/>
      <c r="E2802" s="3721"/>
      <c r="F2802" s="3773" t="str">
        <f>$E$1598</f>
        <v>ASHP SEER 19 replace ASHP - early replacement MF ER1_CompE</v>
      </c>
      <c r="G2802" s="3774"/>
      <c r="H2802" s="3774"/>
      <c r="I2802" s="3775"/>
      <c r="J2802" s="3071" t="str">
        <f>$C$1598</f>
        <v>354501_2019_12_</v>
      </c>
      <c r="K2802" s="884">
        <f>K2800</f>
        <v>0.65</v>
      </c>
      <c r="L2802" s="956"/>
      <c r="M2802" s="953"/>
      <c r="N2802" s="157"/>
      <c r="O2802" s="277"/>
      <c r="P2802" s="937"/>
      <c r="Q2802" s="938"/>
      <c r="R2802" s="937"/>
      <c r="S2802" s="924"/>
      <c r="T2802" s="1407"/>
      <c r="U2802" s="157"/>
      <c r="V2802" s="3589"/>
      <c r="W2802" s="884"/>
      <c r="X2802" s="884"/>
      <c r="Y2802" s="882">
        <v>0.65</v>
      </c>
      <c r="Z2802" s="884">
        <v>0.65</v>
      </c>
      <c r="AA2802" s="884">
        <v>0.65</v>
      </c>
      <c r="AB2802" s="884">
        <v>0.65</v>
      </c>
      <c r="AC2802" s="884"/>
      <c r="AD2802" s="884"/>
      <c r="AE2802" s="884"/>
      <c r="AF2802" s="884"/>
      <c r="AG2802" s="884"/>
      <c r="BB2802" s="647"/>
      <c r="BC2802" s="648"/>
      <c r="BD2802" s="757"/>
      <c r="BE2802" s="659"/>
    </row>
    <row r="2803" spans="1:57" s="64" customFormat="1" ht="15" customHeight="1" outlineLevel="1" x14ac:dyDescent="0.25">
      <c r="A2803" s="2463"/>
      <c r="B2803" s="648"/>
      <c r="C2803" s="385"/>
      <c r="D2803" s="3589"/>
      <c r="E2803" s="3721"/>
      <c r="F2803" s="3773" t="str">
        <f>$E$1600</f>
        <v>ASHP SEER 19 replace ASHP - early replacement MF ER2_CompE</v>
      </c>
      <c r="G2803" s="3774"/>
      <c r="H2803" s="3774"/>
      <c r="I2803" s="3775"/>
      <c r="J2803" s="3071" t="str">
        <f>$C$1600</f>
        <v>354501_2019_12_</v>
      </c>
      <c r="K2803" s="884">
        <f>K2801</f>
        <v>0.65</v>
      </c>
      <c r="L2803" s="956"/>
      <c r="M2803" s="953"/>
      <c r="N2803" s="157"/>
      <c r="O2803" s="277"/>
      <c r="P2803" s="937"/>
      <c r="Q2803" s="938"/>
      <c r="R2803" s="937"/>
      <c r="S2803" s="924"/>
      <c r="T2803" s="1407"/>
      <c r="U2803" s="157"/>
      <c r="V2803" s="3589"/>
      <c r="W2803" s="884"/>
      <c r="X2803" s="884"/>
      <c r="Y2803" s="882">
        <v>0.65</v>
      </c>
      <c r="Z2803" s="884">
        <v>0.65</v>
      </c>
      <c r="AA2803" s="884">
        <v>0.65</v>
      </c>
      <c r="AB2803" s="884">
        <v>0.65</v>
      </c>
      <c r="AC2803" s="884"/>
      <c r="AD2803" s="884"/>
      <c r="AE2803" s="884"/>
      <c r="AF2803" s="884"/>
      <c r="AG2803" s="884"/>
      <c r="BB2803" s="647"/>
      <c r="BC2803" s="648"/>
      <c r="BD2803" s="757"/>
      <c r="BE2803" s="659"/>
    </row>
    <row r="2804" spans="1:57" s="64" customFormat="1" ht="15" customHeight="1" outlineLevel="1" x14ac:dyDescent="0.25">
      <c r="A2804" s="2463"/>
      <c r="B2804" s="648"/>
      <c r="C2804" s="385"/>
      <c r="D2804" s="3589"/>
      <c r="E2804" s="3721"/>
      <c r="F2804" s="3773" t="str">
        <f>$E$1602</f>
        <v>ASHP SEER 20 replace ASHP - early replacement SF ER1</v>
      </c>
      <c r="G2804" s="3774"/>
      <c r="H2804" s="3774"/>
      <c r="I2804" s="3775"/>
      <c r="J2804" s="3071" t="str">
        <f>$C$1602</f>
        <v>354550_2019_12_</v>
      </c>
      <c r="K2804" s="884">
        <v>1</v>
      </c>
      <c r="L2804" s="956"/>
      <c r="M2804" s="953"/>
      <c r="N2804" s="157"/>
      <c r="O2804" s="277"/>
      <c r="P2804" s="937"/>
      <c r="Q2804" s="938"/>
      <c r="R2804" s="937"/>
      <c r="S2804" s="924"/>
      <c r="T2804" s="1407"/>
      <c r="U2804" s="157"/>
      <c r="V2804" s="3589"/>
      <c r="W2804" s="884">
        <v>1</v>
      </c>
      <c r="X2804" s="884">
        <v>1</v>
      </c>
      <c r="Y2804" s="884">
        <v>1</v>
      </c>
      <c r="Z2804" s="884">
        <v>1</v>
      </c>
      <c r="AA2804" s="884">
        <v>1</v>
      </c>
      <c r="AB2804" s="884">
        <v>1</v>
      </c>
      <c r="AC2804" s="884"/>
      <c r="AD2804" s="884"/>
      <c r="AE2804" s="884"/>
      <c r="AF2804" s="884"/>
      <c r="AG2804" s="884"/>
      <c r="BB2804" s="647"/>
      <c r="BC2804" s="648"/>
      <c r="BD2804" s="757"/>
      <c r="BE2804" s="659"/>
    </row>
    <row r="2805" spans="1:57" s="64" customFormat="1" ht="15" customHeight="1" outlineLevel="1" x14ac:dyDescent="0.25">
      <c r="A2805" s="2463"/>
      <c r="B2805" s="648"/>
      <c r="C2805" s="385"/>
      <c r="D2805" s="3589"/>
      <c r="E2805" s="3721"/>
      <c r="F2805" s="3773" t="str">
        <f>$E$1604</f>
        <v>ASHP SEER 20 replace ASHP - early replacement SF ER2</v>
      </c>
      <c r="G2805" s="3774"/>
      <c r="H2805" s="3774"/>
      <c r="I2805" s="3775"/>
      <c r="J2805" s="3071" t="str">
        <f>$C$1604</f>
        <v>354550_2019_12_</v>
      </c>
      <c r="K2805" s="884">
        <v>1</v>
      </c>
      <c r="L2805" s="956"/>
      <c r="M2805" s="953"/>
      <c r="N2805" s="157"/>
      <c r="O2805" s="277"/>
      <c r="P2805" s="937"/>
      <c r="Q2805" s="938"/>
      <c r="R2805" s="937"/>
      <c r="S2805" s="924"/>
      <c r="T2805" s="1407"/>
      <c r="U2805" s="157"/>
      <c r="V2805" s="3589"/>
      <c r="W2805" s="884">
        <v>1</v>
      </c>
      <c r="X2805" s="884">
        <v>1</v>
      </c>
      <c r="Y2805" s="884">
        <v>1</v>
      </c>
      <c r="Z2805" s="884">
        <v>1</v>
      </c>
      <c r="AA2805" s="884">
        <v>1</v>
      </c>
      <c r="AB2805" s="884">
        <v>1</v>
      </c>
      <c r="AC2805" s="884"/>
      <c r="AD2805" s="884"/>
      <c r="AE2805" s="884"/>
      <c r="AF2805" s="884"/>
      <c r="AG2805" s="884"/>
      <c r="BB2805" s="647"/>
      <c r="BC2805" s="648"/>
      <c r="BD2805" s="757"/>
      <c r="BE2805" s="659"/>
    </row>
    <row r="2806" spans="1:57" s="64" customFormat="1" ht="15" customHeight="1" outlineLevel="1" x14ac:dyDescent="0.25">
      <c r="A2806" s="2463"/>
      <c r="B2806" s="648"/>
      <c r="C2806" s="385"/>
      <c r="D2806" s="3589"/>
      <c r="E2806" s="3721"/>
      <c r="F2806" s="3773" t="str">
        <f>$E$1606</f>
        <v>ASHP SEER 20 replace ASHP - replace on fail SF</v>
      </c>
      <c r="G2806" s="3774"/>
      <c r="H2806" s="3774"/>
      <c r="I2806" s="3775"/>
      <c r="J2806" s="3071" t="str">
        <f>$C$1606</f>
        <v>354600_2019_12_</v>
      </c>
      <c r="K2806" s="884">
        <v>1</v>
      </c>
      <c r="L2806" s="956"/>
      <c r="M2806" s="953"/>
      <c r="N2806" s="157"/>
      <c r="O2806" s="277"/>
      <c r="P2806" s="937"/>
      <c r="Q2806" s="938"/>
      <c r="R2806" s="937"/>
      <c r="S2806" s="924"/>
      <c r="T2806" s="1407"/>
      <c r="U2806" s="157"/>
      <c r="V2806" s="3589"/>
      <c r="W2806" s="884">
        <v>1</v>
      </c>
      <c r="X2806" s="884">
        <v>1</v>
      </c>
      <c r="Y2806" s="884">
        <v>1</v>
      </c>
      <c r="Z2806" s="884">
        <v>1</v>
      </c>
      <c r="AA2806" s="884">
        <v>1</v>
      </c>
      <c r="AB2806" s="884">
        <v>1</v>
      </c>
      <c r="AC2806" s="884"/>
      <c r="AD2806" s="884"/>
      <c r="AE2806" s="884"/>
      <c r="AF2806" s="884"/>
      <c r="AG2806" s="884"/>
      <c r="BB2806" s="647"/>
      <c r="BC2806" s="648"/>
      <c r="BD2806" s="757"/>
      <c r="BE2806" s="659"/>
    </row>
    <row r="2807" spans="1:57" s="64" customFormat="1" ht="15" customHeight="1" outlineLevel="1" x14ac:dyDescent="0.25">
      <c r="A2807" s="2463"/>
      <c r="B2807" s="648"/>
      <c r="C2807" s="385"/>
      <c r="D2807" s="3589"/>
      <c r="E2807" s="3721"/>
      <c r="F2807" s="3773" t="str">
        <f>$E$1608</f>
        <v>ASHP - SEER 20 - replace electric furnace / CAC - early replacement MF ER1</v>
      </c>
      <c r="G2807" s="3774"/>
      <c r="H2807" s="3774"/>
      <c r="I2807" s="3775"/>
      <c r="J2807" s="3071" t="str">
        <f>$C$1608</f>
        <v>354650_2019_12_</v>
      </c>
      <c r="K2807" s="884">
        <v>0.65</v>
      </c>
      <c r="L2807" s="956"/>
      <c r="M2807" s="953"/>
      <c r="N2807" s="157"/>
      <c r="O2807" s="277"/>
      <c r="P2807" s="937"/>
      <c r="Q2807" s="938"/>
      <c r="R2807" s="937"/>
      <c r="S2807" s="924"/>
      <c r="T2807" s="1407"/>
      <c r="U2807" s="157"/>
      <c r="V2807" s="3589"/>
      <c r="W2807" s="884">
        <v>0.65</v>
      </c>
      <c r="X2807" s="884">
        <v>0.65</v>
      </c>
      <c r="Y2807" s="884">
        <v>0.65</v>
      </c>
      <c r="Z2807" s="884">
        <v>0.65</v>
      </c>
      <c r="AA2807" s="884">
        <v>0.65</v>
      </c>
      <c r="AB2807" s="884">
        <v>0.65</v>
      </c>
      <c r="AC2807" s="884"/>
      <c r="AD2807" s="884"/>
      <c r="AE2807" s="884"/>
      <c r="AF2807" s="884"/>
      <c r="AG2807" s="884"/>
      <c r="BB2807" s="647"/>
      <c r="BC2807" s="648"/>
      <c r="BD2807" s="757"/>
      <c r="BE2807" s="659"/>
    </row>
    <row r="2808" spans="1:57" s="64" customFormat="1" ht="15" customHeight="1" outlineLevel="1" x14ac:dyDescent="0.25">
      <c r="A2808" s="2463"/>
      <c r="B2808" s="648"/>
      <c r="C2808" s="385"/>
      <c r="D2808" s="3589"/>
      <c r="E2808" s="3721"/>
      <c r="F2808" s="3773" t="str">
        <f>$E$1610</f>
        <v>ASHP - SEER 20 - replace electric furnace / CAC - early replacement MF ER2</v>
      </c>
      <c r="G2808" s="3774"/>
      <c r="H2808" s="3774"/>
      <c r="I2808" s="3775"/>
      <c r="J2808" s="3071" t="str">
        <f>$C$1610</f>
        <v>354650_2019_12_</v>
      </c>
      <c r="K2808" s="884">
        <v>0.65</v>
      </c>
      <c r="L2808" s="956"/>
      <c r="M2808" s="953"/>
      <c r="N2808" s="157"/>
      <c r="O2808" s="277"/>
      <c r="P2808" s="937"/>
      <c r="Q2808" s="938"/>
      <c r="R2808" s="937"/>
      <c r="S2808" s="924"/>
      <c r="T2808" s="1407"/>
      <c r="U2808" s="157"/>
      <c r="V2808" s="3589"/>
      <c r="W2808" s="884">
        <v>0.65</v>
      </c>
      <c r="X2808" s="884">
        <v>0.65</v>
      </c>
      <c r="Y2808" s="884">
        <v>0.65</v>
      </c>
      <c r="Z2808" s="884">
        <v>0.65</v>
      </c>
      <c r="AA2808" s="884">
        <v>0.65</v>
      </c>
      <c r="AB2808" s="884">
        <v>0.65</v>
      </c>
      <c r="AC2808" s="884"/>
      <c r="AD2808" s="884"/>
      <c r="AE2808" s="884"/>
      <c r="AF2808" s="884"/>
      <c r="AG2808" s="884"/>
      <c r="BB2808" s="647"/>
      <c r="BC2808" s="648"/>
      <c r="BD2808" s="757"/>
      <c r="BE2808" s="659"/>
    </row>
    <row r="2809" spans="1:57" s="64" customFormat="1" ht="15" customHeight="1" outlineLevel="1" x14ac:dyDescent="0.25">
      <c r="A2809" s="2463"/>
      <c r="B2809" s="648"/>
      <c r="C2809" s="385"/>
      <c r="D2809" s="3589"/>
      <c r="E2809" s="3721"/>
      <c r="F2809" s="3773" t="str">
        <f>$E$1612</f>
        <v>ASHP - SEER 20 - replace electric furnace / CAC - early replacement MF ER1_CompE</v>
      </c>
      <c r="G2809" s="3774"/>
      <c r="H2809" s="3774"/>
      <c r="I2809" s="3775"/>
      <c r="J2809" s="3071" t="str">
        <f>$C$1612</f>
        <v>354651_2019_12_</v>
      </c>
      <c r="K2809" s="884">
        <f>K2807</f>
        <v>0.65</v>
      </c>
      <c r="L2809" s="956"/>
      <c r="M2809" s="953"/>
      <c r="N2809" s="157"/>
      <c r="O2809" s="277"/>
      <c r="P2809" s="937"/>
      <c r="Q2809" s="938"/>
      <c r="R2809" s="937"/>
      <c r="S2809" s="924"/>
      <c r="T2809" s="1407"/>
      <c r="U2809" s="157"/>
      <c r="V2809" s="3589"/>
      <c r="W2809" s="884"/>
      <c r="X2809" s="884"/>
      <c r="Y2809" s="882">
        <v>0.65</v>
      </c>
      <c r="Z2809" s="884">
        <v>0.65</v>
      </c>
      <c r="AA2809" s="884">
        <v>0.65</v>
      </c>
      <c r="AB2809" s="884">
        <v>0.65</v>
      </c>
      <c r="AC2809" s="884"/>
      <c r="AD2809" s="884"/>
      <c r="AE2809" s="884"/>
      <c r="AF2809" s="884"/>
      <c r="AG2809" s="884"/>
      <c r="BB2809" s="647"/>
      <c r="BC2809" s="648"/>
      <c r="BD2809" s="757"/>
      <c r="BE2809" s="659"/>
    </row>
    <row r="2810" spans="1:57" s="64" customFormat="1" ht="15" customHeight="1" outlineLevel="1" x14ac:dyDescent="0.25">
      <c r="A2810" s="2463"/>
      <c r="B2810" s="648"/>
      <c r="C2810" s="385"/>
      <c r="D2810" s="3589"/>
      <c r="E2810" s="3721"/>
      <c r="F2810" s="3773" t="str">
        <f>$E$1614</f>
        <v>ASHP - SEER 20 - replace electric furnace / CAC - early replacement MF ER2_CompE</v>
      </c>
      <c r="G2810" s="3774"/>
      <c r="H2810" s="3774"/>
      <c r="I2810" s="3775"/>
      <c r="J2810" s="3071" t="str">
        <f>$C$1614</f>
        <v>354651_2019_12_</v>
      </c>
      <c r="K2810" s="884">
        <f>K2808</f>
        <v>0.65</v>
      </c>
      <c r="L2810" s="956"/>
      <c r="M2810" s="953"/>
      <c r="N2810" s="157"/>
      <c r="O2810" s="277"/>
      <c r="P2810" s="937"/>
      <c r="Q2810" s="938"/>
      <c r="R2810" s="937"/>
      <c r="S2810" s="924"/>
      <c r="T2810" s="1407"/>
      <c r="U2810" s="157"/>
      <c r="V2810" s="3589"/>
      <c r="W2810" s="884"/>
      <c r="X2810" s="884"/>
      <c r="Y2810" s="882">
        <v>0.65</v>
      </c>
      <c r="Z2810" s="884">
        <v>0.65</v>
      </c>
      <c r="AA2810" s="884">
        <v>0.65</v>
      </c>
      <c r="AB2810" s="884">
        <v>0.65</v>
      </c>
      <c r="AC2810" s="884"/>
      <c r="AD2810" s="884"/>
      <c r="AE2810" s="884"/>
      <c r="AF2810" s="884"/>
      <c r="AG2810" s="884"/>
      <c r="BB2810" s="647"/>
      <c r="BC2810" s="648"/>
      <c r="BD2810" s="757"/>
      <c r="BE2810" s="659"/>
    </row>
    <row r="2811" spans="1:57" s="64" customFormat="1" ht="15" customHeight="1" outlineLevel="1" x14ac:dyDescent="0.25">
      <c r="A2811" s="2463"/>
      <c r="B2811" s="648"/>
      <c r="C2811" s="385"/>
      <c r="D2811" s="3589"/>
      <c r="E2811" s="3721"/>
      <c r="F2811" s="3773" t="str">
        <f>$E$1616</f>
        <v>ASHP SEER 20 replace ASHP - early replacement MF ER1</v>
      </c>
      <c r="G2811" s="3774"/>
      <c r="H2811" s="3774"/>
      <c r="I2811" s="3775"/>
      <c r="J2811" s="3071" t="str">
        <f>$C$1616</f>
        <v>354700_2019_12_</v>
      </c>
      <c r="K2811" s="884">
        <v>0.65</v>
      </c>
      <c r="L2811" s="956"/>
      <c r="M2811" s="953"/>
      <c r="N2811" s="157"/>
      <c r="O2811" s="277"/>
      <c r="P2811" s="937"/>
      <c r="Q2811" s="938"/>
      <c r="R2811" s="937"/>
      <c r="S2811" s="924"/>
      <c r="T2811" s="1407"/>
      <c r="U2811" s="157"/>
      <c r="V2811" s="3589"/>
      <c r="W2811" s="884">
        <v>0.65</v>
      </c>
      <c r="X2811" s="884">
        <v>0.65</v>
      </c>
      <c r="Y2811" s="884">
        <v>0.65</v>
      </c>
      <c r="Z2811" s="884">
        <v>0.65</v>
      </c>
      <c r="AA2811" s="884">
        <v>0.65</v>
      </c>
      <c r="AB2811" s="884">
        <v>0.65</v>
      </c>
      <c r="AC2811" s="884"/>
      <c r="AD2811" s="884"/>
      <c r="AE2811" s="884"/>
      <c r="AF2811" s="884"/>
      <c r="AG2811" s="884"/>
      <c r="BB2811" s="647"/>
      <c r="BC2811" s="648"/>
      <c r="BD2811" s="757"/>
      <c r="BE2811" s="659"/>
    </row>
    <row r="2812" spans="1:57" s="64" customFormat="1" ht="15" customHeight="1" outlineLevel="1" x14ac:dyDescent="0.25">
      <c r="A2812" s="2463"/>
      <c r="B2812" s="648"/>
      <c r="C2812" s="385"/>
      <c r="D2812" s="3589"/>
      <c r="E2812" s="3721"/>
      <c r="F2812" s="3773" t="str">
        <f>$E$1618</f>
        <v>ASHP SEER 20 replace ASHP - early replacement MF ER2</v>
      </c>
      <c r="G2812" s="3774"/>
      <c r="H2812" s="3774"/>
      <c r="I2812" s="3775"/>
      <c r="J2812" s="3071" t="str">
        <f>$C$1618</f>
        <v>354700_2019_12_</v>
      </c>
      <c r="K2812" s="884">
        <v>0.65</v>
      </c>
      <c r="L2812" s="956"/>
      <c r="M2812" s="953"/>
      <c r="N2812" s="157"/>
      <c r="O2812" s="277"/>
      <c r="P2812" s="937"/>
      <c r="Q2812" s="938"/>
      <c r="R2812" s="937"/>
      <c r="S2812" s="924"/>
      <c r="T2812" s="1407"/>
      <c r="U2812" s="157"/>
      <c r="V2812" s="3589"/>
      <c r="W2812" s="884">
        <v>0.65</v>
      </c>
      <c r="X2812" s="884">
        <v>0.65</v>
      </c>
      <c r="Y2812" s="884">
        <v>0.65</v>
      </c>
      <c r="Z2812" s="884">
        <v>0.65</v>
      </c>
      <c r="AA2812" s="884">
        <v>0.65</v>
      </c>
      <c r="AB2812" s="884">
        <v>0.65</v>
      </c>
      <c r="AC2812" s="884"/>
      <c r="AD2812" s="884"/>
      <c r="AE2812" s="884"/>
      <c r="AF2812" s="884"/>
      <c r="AG2812" s="884"/>
      <c r="BB2812" s="647"/>
      <c r="BC2812" s="648"/>
      <c r="BD2812" s="757"/>
      <c r="BE2812" s="659"/>
    </row>
    <row r="2813" spans="1:57" s="64" customFormat="1" ht="15" customHeight="1" outlineLevel="1" x14ac:dyDescent="0.25">
      <c r="A2813" s="2463"/>
      <c r="B2813" s="648"/>
      <c r="C2813" s="385"/>
      <c r="D2813" s="3589"/>
      <c r="E2813" s="3721"/>
      <c r="F2813" s="3773" t="str">
        <f>$E$1620</f>
        <v>ASHP SEER 20 replace ASHP - early replacement MF ER1_CompE</v>
      </c>
      <c r="G2813" s="3774"/>
      <c r="H2813" s="3774"/>
      <c r="I2813" s="3775"/>
      <c r="J2813" s="3071" t="str">
        <f>$C$1620</f>
        <v>354701_2019_12_</v>
      </c>
      <c r="K2813" s="884">
        <f>K2811</f>
        <v>0.65</v>
      </c>
      <c r="L2813" s="956"/>
      <c r="M2813" s="953"/>
      <c r="N2813" s="157"/>
      <c r="O2813" s="277"/>
      <c r="P2813" s="937"/>
      <c r="Q2813" s="938"/>
      <c r="R2813" s="937"/>
      <c r="S2813" s="924"/>
      <c r="T2813" s="1407"/>
      <c r="U2813" s="157"/>
      <c r="V2813" s="3589"/>
      <c r="W2813" s="884"/>
      <c r="X2813" s="884"/>
      <c r="Y2813" s="882">
        <v>0.65</v>
      </c>
      <c r="Z2813" s="884">
        <v>0.65</v>
      </c>
      <c r="AA2813" s="884">
        <v>0.65</v>
      </c>
      <c r="AB2813" s="884">
        <v>0.65</v>
      </c>
      <c r="AC2813" s="884"/>
      <c r="AD2813" s="884"/>
      <c r="AE2813" s="884"/>
      <c r="AF2813" s="884"/>
      <c r="AG2813" s="884"/>
      <c r="BB2813" s="647"/>
      <c r="BC2813" s="648"/>
      <c r="BD2813" s="757"/>
      <c r="BE2813" s="659"/>
    </row>
    <row r="2814" spans="1:57" s="64" customFormat="1" ht="15" customHeight="1" outlineLevel="1" x14ac:dyDescent="0.25">
      <c r="A2814" s="2463"/>
      <c r="B2814" s="648"/>
      <c r="C2814" s="385"/>
      <c r="D2814" s="3589"/>
      <c r="E2814" s="3721"/>
      <c r="F2814" s="3773" t="str">
        <f>$E$1622</f>
        <v>ASHP SEER 20 replace ASHP - early replacement MF ER2_CompE</v>
      </c>
      <c r="G2814" s="3774"/>
      <c r="H2814" s="3774"/>
      <c r="I2814" s="3775"/>
      <c r="J2814" s="3071" t="str">
        <f>$C$1622</f>
        <v>354701_2019_12_</v>
      </c>
      <c r="K2814" s="884">
        <f>K2812</f>
        <v>0.65</v>
      </c>
      <c r="L2814" s="956"/>
      <c r="M2814" s="953"/>
      <c r="N2814" s="157"/>
      <c r="O2814" s="277"/>
      <c r="P2814" s="937"/>
      <c r="Q2814" s="938"/>
      <c r="R2814" s="937"/>
      <c r="S2814" s="924"/>
      <c r="T2814" s="1407"/>
      <c r="U2814" s="157"/>
      <c r="V2814" s="3589"/>
      <c r="W2814" s="884"/>
      <c r="X2814" s="884"/>
      <c r="Y2814" s="882">
        <v>0.65</v>
      </c>
      <c r="Z2814" s="884">
        <v>0.65</v>
      </c>
      <c r="AA2814" s="884">
        <v>0.65</v>
      </c>
      <c r="AB2814" s="884">
        <v>0.65</v>
      </c>
      <c r="AC2814" s="884"/>
      <c r="AD2814" s="884"/>
      <c r="AE2814" s="884"/>
      <c r="AF2814" s="884"/>
      <c r="AG2814" s="884"/>
      <c r="BB2814" s="647"/>
      <c r="BC2814" s="648"/>
      <c r="BD2814" s="757"/>
      <c r="BE2814" s="659"/>
    </row>
    <row r="2815" spans="1:57" s="64" customFormat="1" ht="15" customHeight="1" outlineLevel="1" x14ac:dyDescent="0.25">
      <c r="A2815" s="2463"/>
      <c r="B2815" s="648"/>
      <c r="C2815" s="385"/>
      <c r="D2815" s="3589"/>
      <c r="E2815" s="3721"/>
      <c r="F2815" s="3773" t="str">
        <f>$E$1624</f>
        <v>ASHP SEER 21 replace ASHP - early replacement SF ER1</v>
      </c>
      <c r="G2815" s="3774"/>
      <c r="H2815" s="3774"/>
      <c r="I2815" s="3775"/>
      <c r="J2815" s="3071" t="str">
        <f>$C$1624</f>
        <v>354750_2019_12_</v>
      </c>
      <c r="K2815" s="884">
        <v>1</v>
      </c>
      <c r="L2815" s="956"/>
      <c r="M2815" s="953"/>
      <c r="N2815" s="157"/>
      <c r="O2815" s="277"/>
      <c r="P2815" s="937"/>
      <c r="Q2815" s="938"/>
      <c r="R2815" s="937"/>
      <c r="S2815" s="924"/>
      <c r="T2815" s="1407"/>
      <c r="U2815" s="157"/>
      <c r="V2815" s="3589"/>
      <c r="W2815" s="884">
        <v>1</v>
      </c>
      <c r="X2815" s="884">
        <v>1</v>
      </c>
      <c r="Y2815" s="884">
        <v>1</v>
      </c>
      <c r="Z2815" s="884">
        <v>1</v>
      </c>
      <c r="AA2815" s="884">
        <v>1</v>
      </c>
      <c r="AB2815" s="884">
        <v>1</v>
      </c>
      <c r="AC2815" s="884"/>
      <c r="AD2815" s="884"/>
      <c r="AE2815" s="884"/>
      <c r="AF2815" s="884"/>
      <c r="AG2815" s="884"/>
      <c r="BB2815" s="647"/>
      <c r="BC2815" s="648"/>
      <c r="BD2815" s="757"/>
      <c r="BE2815" s="659"/>
    </row>
    <row r="2816" spans="1:57" s="64" customFormat="1" ht="15" customHeight="1" outlineLevel="1" x14ac:dyDescent="0.25">
      <c r="A2816" s="2463"/>
      <c r="B2816" s="648"/>
      <c r="C2816" s="385"/>
      <c r="D2816" s="3589"/>
      <c r="E2816" s="3721"/>
      <c r="F2816" s="3773" t="str">
        <f>$E$1626</f>
        <v>ASHP SEER 21 replace ASHP - early replacement SF ER2</v>
      </c>
      <c r="G2816" s="3774"/>
      <c r="H2816" s="3774"/>
      <c r="I2816" s="3775"/>
      <c r="J2816" s="3071" t="str">
        <f>$C$1626</f>
        <v>354750_2019_12_</v>
      </c>
      <c r="K2816" s="884">
        <v>1</v>
      </c>
      <c r="L2816" s="956"/>
      <c r="M2816" s="953"/>
      <c r="N2816" s="157"/>
      <c r="O2816" s="277"/>
      <c r="P2816" s="937"/>
      <c r="Q2816" s="938"/>
      <c r="R2816" s="937"/>
      <c r="S2816" s="924"/>
      <c r="T2816" s="1407"/>
      <c r="U2816" s="157"/>
      <c r="V2816" s="3589"/>
      <c r="W2816" s="884">
        <v>1</v>
      </c>
      <c r="X2816" s="884">
        <v>1</v>
      </c>
      <c r="Y2816" s="884">
        <v>1</v>
      </c>
      <c r="Z2816" s="884">
        <v>1</v>
      </c>
      <c r="AA2816" s="884">
        <v>1</v>
      </c>
      <c r="AB2816" s="884">
        <v>1</v>
      </c>
      <c r="AC2816" s="884"/>
      <c r="AD2816" s="884"/>
      <c r="AE2816" s="884"/>
      <c r="AF2816" s="884"/>
      <c r="AG2816" s="884"/>
      <c r="BB2816" s="647"/>
      <c r="BC2816" s="648"/>
      <c r="BD2816" s="757"/>
      <c r="BE2816" s="659"/>
    </row>
    <row r="2817" spans="1:57" s="64" customFormat="1" ht="15" customHeight="1" outlineLevel="1" x14ac:dyDescent="0.25">
      <c r="A2817" s="2463"/>
      <c r="B2817" s="648"/>
      <c r="C2817" s="385"/>
      <c r="D2817" s="3589"/>
      <c r="E2817" s="3721"/>
      <c r="F2817" s="3773" t="str">
        <f>$E$1628</f>
        <v>ASHP SEER 21 replace ASHP - replace on fail SF</v>
      </c>
      <c r="G2817" s="3774"/>
      <c r="H2817" s="3774"/>
      <c r="I2817" s="3775"/>
      <c r="J2817" s="3071" t="str">
        <f>$C$1628</f>
        <v>354800_2019_12_</v>
      </c>
      <c r="K2817" s="884">
        <v>1</v>
      </c>
      <c r="L2817" s="956"/>
      <c r="M2817" s="953"/>
      <c r="N2817" s="157"/>
      <c r="O2817" s="277"/>
      <c r="P2817" s="937"/>
      <c r="Q2817" s="938"/>
      <c r="R2817" s="937"/>
      <c r="S2817" s="924"/>
      <c r="T2817" s="1407"/>
      <c r="U2817" s="157"/>
      <c r="V2817" s="3589"/>
      <c r="W2817" s="884">
        <v>1</v>
      </c>
      <c r="X2817" s="884">
        <v>1</v>
      </c>
      <c r="Y2817" s="884">
        <v>1</v>
      </c>
      <c r="Z2817" s="884">
        <v>1</v>
      </c>
      <c r="AA2817" s="884">
        <v>1</v>
      </c>
      <c r="AB2817" s="884">
        <v>1</v>
      </c>
      <c r="AC2817" s="884"/>
      <c r="AD2817" s="884"/>
      <c r="AE2817" s="884"/>
      <c r="AF2817" s="884"/>
      <c r="AG2817" s="884"/>
      <c r="BB2817" s="647"/>
      <c r="BC2817" s="648"/>
      <c r="BD2817" s="757"/>
      <c r="BE2817" s="659"/>
    </row>
    <row r="2818" spans="1:57" s="64" customFormat="1" ht="15" customHeight="1" outlineLevel="1" x14ac:dyDescent="0.25">
      <c r="A2818" s="2463"/>
      <c r="B2818" s="648"/>
      <c r="C2818" s="385"/>
      <c r="D2818" s="3589"/>
      <c r="E2818" s="3721"/>
      <c r="F2818" s="3773" t="str">
        <f>$E$1630</f>
        <v>ASHP - SEER 21 - replace electric furnace / CAC MF</v>
      </c>
      <c r="G2818" s="3774"/>
      <c r="H2818" s="3774"/>
      <c r="I2818" s="3775"/>
      <c r="J2818" s="3071" t="str">
        <f>$C$1630</f>
        <v>354850_2019_12_</v>
      </c>
      <c r="K2818" s="884">
        <v>0.65</v>
      </c>
      <c r="L2818" s="956"/>
      <c r="M2818" s="953"/>
      <c r="N2818" s="157"/>
      <c r="O2818" s="277"/>
      <c r="P2818" s="937"/>
      <c r="Q2818" s="938"/>
      <c r="R2818" s="937"/>
      <c r="S2818" s="924"/>
      <c r="T2818" s="1407"/>
      <c r="U2818" s="157"/>
      <c r="V2818" s="3589"/>
      <c r="W2818" s="884">
        <v>0.65</v>
      </c>
      <c r="X2818" s="884">
        <v>0.65</v>
      </c>
      <c r="Y2818" s="884">
        <v>0.65</v>
      </c>
      <c r="Z2818" s="884">
        <v>0.65</v>
      </c>
      <c r="AA2818" s="884">
        <v>0.65</v>
      </c>
      <c r="AB2818" s="884">
        <v>0.65</v>
      </c>
      <c r="AC2818" s="884"/>
      <c r="AD2818" s="884"/>
      <c r="AE2818" s="884"/>
      <c r="AF2818" s="884"/>
      <c r="AG2818" s="884"/>
      <c r="BB2818" s="647"/>
      <c r="BC2818" s="648"/>
      <c r="BD2818" s="757"/>
      <c r="BE2818" s="659"/>
    </row>
    <row r="2819" spans="1:57" s="64" customFormat="1" ht="15" customHeight="1" outlineLevel="1" x14ac:dyDescent="0.25">
      <c r="A2819" s="2463"/>
      <c r="B2819" s="648"/>
      <c r="C2819" s="385"/>
      <c r="D2819" s="3589"/>
      <c r="E2819" s="3721"/>
      <c r="F2819" s="3773" t="str">
        <f>$E$1632</f>
        <v>ASHP - SEER 21 - replace electric furnace / CAC MF_CompE</v>
      </c>
      <c r="G2819" s="3774"/>
      <c r="H2819" s="3774"/>
      <c r="I2819" s="3775"/>
      <c r="J2819" s="3071" t="str">
        <f>$C$1632</f>
        <v>354851_2019_12_</v>
      </c>
      <c r="K2819" s="884">
        <f>K2818</f>
        <v>0.65</v>
      </c>
      <c r="L2819" s="956"/>
      <c r="M2819" s="953"/>
      <c r="N2819" s="157"/>
      <c r="O2819" s="277"/>
      <c r="P2819" s="937"/>
      <c r="Q2819" s="938"/>
      <c r="R2819" s="937"/>
      <c r="S2819" s="924"/>
      <c r="T2819" s="1407"/>
      <c r="U2819" s="157"/>
      <c r="V2819" s="3589"/>
      <c r="W2819" s="884"/>
      <c r="X2819" s="884"/>
      <c r="Y2819" s="882">
        <v>0.65</v>
      </c>
      <c r="Z2819" s="884">
        <v>0.65</v>
      </c>
      <c r="AA2819" s="884">
        <v>0.65</v>
      </c>
      <c r="AB2819" s="884">
        <v>0.65</v>
      </c>
      <c r="AC2819" s="884"/>
      <c r="AD2819" s="884"/>
      <c r="AE2819" s="884"/>
      <c r="AF2819" s="884"/>
      <c r="AG2819" s="884"/>
      <c r="BB2819" s="647"/>
      <c r="BC2819" s="648"/>
      <c r="BD2819" s="757"/>
      <c r="BE2819" s="659"/>
    </row>
    <row r="2820" spans="1:57" s="64" customFormat="1" ht="15" customHeight="1" outlineLevel="1" x14ac:dyDescent="0.25">
      <c r="A2820" s="2463"/>
      <c r="B2820" s="648"/>
      <c r="C2820" s="385"/>
      <c r="D2820" s="3589"/>
      <c r="E2820" s="3721"/>
      <c r="F2820" s="3773" t="str">
        <f>$E$1634</f>
        <v>ASHP SEER 21 replace ASHP - early replacement MF ER1</v>
      </c>
      <c r="G2820" s="3774"/>
      <c r="H2820" s="3774"/>
      <c r="I2820" s="3775"/>
      <c r="J2820" s="3071" t="str">
        <f>$C$1634</f>
        <v>354900_2019_12_</v>
      </c>
      <c r="K2820" s="884">
        <v>0.65</v>
      </c>
      <c r="L2820" s="956"/>
      <c r="M2820" s="953"/>
      <c r="N2820" s="157"/>
      <c r="O2820" s="277"/>
      <c r="P2820" s="937"/>
      <c r="Q2820" s="938"/>
      <c r="R2820" s="937"/>
      <c r="S2820" s="924"/>
      <c r="T2820" s="1407"/>
      <c r="U2820" s="157"/>
      <c r="V2820" s="3589"/>
      <c r="W2820" s="884">
        <v>0.65</v>
      </c>
      <c r="X2820" s="884">
        <v>0.65</v>
      </c>
      <c r="Y2820" s="884">
        <v>0.65</v>
      </c>
      <c r="Z2820" s="884">
        <v>0.65</v>
      </c>
      <c r="AA2820" s="884">
        <v>0.65</v>
      </c>
      <c r="AB2820" s="884">
        <v>0.65</v>
      </c>
      <c r="AC2820" s="884"/>
      <c r="AD2820" s="884"/>
      <c r="AE2820" s="884"/>
      <c r="AF2820" s="884"/>
      <c r="AG2820" s="884"/>
      <c r="BB2820" s="647"/>
      <c r="BC2820" s="648"/>
      <c r="BD2820" s="757"/>
      <c r="BE2820" s="659"/>
    </row>
    <row r="2821" spans="1:57" s="64" customFormat="1" ht="15" customHeight="1" outlineLevel="1" x14ac:dyDescent="0.25">
      <c r="A2821" s="2463"/>
      <c r="B2821" s="648"/>
      <c r="C2821" s="385"/>
      <c r="D2821" s="3589"/>
      <c r="E2821" s="3721"/>
      <c r="F2821" s="3773" t="str">
        <f>$E$1636</f>
        <v>ASHP SEER 21 replace ASHP - early replacement MF ER2</v>
      </c>
      <c r="G2821" s="3774"/>
      <c r="H2821" s="3774"/>
      <c r="I2821" s="3775"/>
      <c r="J2821" s="3071" t="str">
        <f>$C$1636</f>
        <v>354900_2019_12_</v>
      </c>
      <c r="K2821" s="884">
        <v>0.65</v>
      </c>
      <c r="L2821" s="956"/>
      <c r="M2821" s="953"/>
      <c r="N2821" s="157"/>
      <c r="O2821" s="277"/>
      <c r="P2821" s="937"/>
      <c r="Q2821" s="938"/>
      <c r="R2821" s="937"/>
      <c r="S2821" s="924"/>
      <c r="T2821" s="1407"/>
      <c r="U2821" s="157"/>
      <c r="V2821" s="3589"/>
      <c r="W2821" s="884">
        <v>0.65</v>
      </c>
      <c r="X2821" s="884">
        <v>0.65</v>
      </c>
      <c r="Y2821" s="884">
        <v>0.65</v>
      </c>
      <c r="Z2821" s="884">
        <v>0.65</v>
      </c>
      <c r="AA2821" s="884">
        <v>0.65</v>
      </c>
      <c r="AB2821" s="884">
        <v>0.65</v>
      </c>
      <c r="AC2821" s="884"/>
      <c r="AD2821" s="884"/>
      <c r="AE2821" s="884"/>
      <c r="AF2821" s="884"/>
      <c r="AG2821" s="884"/>
      <c r="BB2821" s="647"/>
      <c r="BC2821" s="648"/>
      <c r="BD2821" s="757"/>
      <c r="BE2821" s="659"/>
    </row>
    <row r="2822" spans="1:57" s="64" customFormat="1" ht="15" customHeight="1" outlineLevel="1" x14ac:dyDescent="0.25">
      <c r="A2822" s="2463"/>
      <c r="B2822" s="648"/>
      <c r="C2822" s="385"/>
      <c r="D2822" s="3589"/>
      <c r="E2822" s="3721"/>
      <c r="F2822" s="3773" t="str">
        <f>$E$1638</f>
        <v>ASHP SEER 21 replace ASHP - early replacement MF ER1_CompE</v>
      </c>
      <c r="G2822" s="3774"/>
      <c r="H2822" s="3774"/>
      <c r="I2822" s="3775"/>
      <c r="J2822" s="3071" t="str">
        <f>$C$1638</f>
        <v>354901_2019_12_</v>
      </c>
      <c r="K2822" s="884">
        <f>K2820</f>
        <v>0.65</v>
      </c>
      <c r="L2822" s="945"/>
      <c r="M2822" s="953"/>
      <c r="N2822" s="157"/>
      <c r="O2822" s="277"/>
      <c r="P2822" s="937"/>
      <c r="Q2822" s="938"/>
      <c r="R2822" s="937"/>
      <c r="S2822" s="924"/>
      <c r="T2822" s="1407"/>
      <c r="U2822" s="157"/>
      <c r="V2822" s="3589"/>
      <c r="W2822" s="884"/>
      <c r="X2822" s="884"/>
      <c r="Y2822" s="882">
        <v>0.65</v>
      </c>
      <c r="Z2822" s="884">
        <v>0.65</v>
      </c>
      <c r="AA2822" s="884">
        <v>0.65</v>
      </c>
      <c r="AB2822" s="884">
        <v>0.65</v>
      </c>
      <c r="AC2822" s="884"/>
      <c r="AD2822" s="884"/>
      <c r="AE2822" s="884"/>
      <c r="AF2822" s="884"/>
      <c r="AG2822" s="884"/>
      <c r="BB2822" s="647"/>
      <c r="BC2822" s="648"/>
      <c r="BD2822" s="757"/>
      <c r="BE2822" s="659"/>
    </row>
    <row r="2823" spans="1:57" s="64" customFormat="1" ht="15" customHeight="1" outlineLevel="1" x14ac:dyDescent="0.25">
      <c r="A2823" s="2463"/>
      <c r="B2823" s="648"/>
      <c r="C2823" s="385"/>
      <c r="D2823" s="3589"/>
      <c r="E2823" s="3721"/>
      <c r="F2823" s="3773" t="str">
        <f>$E$1640</f>
        <v>ASHP SEER 21 replace ASHP - early replacement MF ER2_CompE</v>
      </c>
      <c r="G2823" s="3774"/>
      <c r="H2823" s="3774"/>
      <c r="I2823" s="3775"/>
      <c r="J2823" s="3071" t="str">
        <f>$C$1640</f>
        <v>354901_2019_12_</v>
      </c>
      <c r="K2823" s="884">
        <f>K2821</f>
        <v>0.65</v>
      </c>
      <c r="L2823" s="945"/>
      <c r="M2823" s="953"/>
      <c r="N2823" s="157"/>
      <c r="O2823" s="277"/>
      <c r="P2823" s="937"/>
      <c r="Q2823" s="938"/>
      <c r="R2823" s="937"/>
      <c r="S2823" s="924"/>
      <c r="T2823" s="1407"/>
      <c r="U2823" s="157"/>
      <c r="V2823" s="3589"/>
      <c r="W2823" s="884"/>
      <c r="X2823" s="884"/>
      <c r="Y2823" s="882">
        <v>0.65</v>
      </c>
      <c r="Z2823" s="884">
        <v>0.65</v>
      </c>
      <c r="AA2823" s="884">
        <v>0.65</v>
      </c>
      <c r="AB2823" s="884">
        <v>0.65</v>
      </c>
      <c r="AC2823" s="884"/>
      <c r="AD2823" s="884"/>
      <c r="AE2823" s="884"/>
      <c r="AF2823" s="884"/>
      <c r="AG2823" s="884"/>
      <c r="BB2823" s="647"/>
      <c r="BC2823" s="648"/>
      <c r="BD2823" s="757"/>
      <c r="BE2823" s="659"/>
    </row>
    <row r="2824" spans="1:57" s="64" customFormat="1" ht="15" customHeight="1" outlineLevel="1" x14ac:dyDescent="0.25">
      <c r="A2824" s="2463"/>
      <c r="B2824" s="648"/>
      <c r="C2824" s="385"/>
      <c r="D2824" s="3589"/>
      <c r="E2824" s="3721"/>
      <c r="F2824" s="3773" t="str">
        <f>$E$1642</f>
        <v>ASHP - SEER 17 - replace on fail MF</v>
      </c>
      <c r="G2824" s="3774"/>
      <c r="H2824" s="3774"/>
      <c r="I2824" s="3775"/>
      <c r="J2824" s="3071" t="str">
        <f>$C$1642</f>
        <v>354950_2019_12_</v>
      </c>
      <c r="K2824" s="884">
        <v>0.65</v>
      </c>
      <c r="L2824" s="945"/>
      <c r="M2824" s="783" t="s">
        <v>1198</v>
      </c>
      <c r="N2824" s="157"/>
      <c r="O2824" s="277"/>
      <c r="P2824" s="937"/>
      <c r="Q2824" s="938"/>
      <c r="R2824" s="937"/>
      <c r="S2824" s="924"/>
      <c r="T2824" s="1407"/>
      <c r="U2824" s="157"/>
      <c r="V2824" s="3589"/>
      <c r="W2824" s="884">
        <v>0.65</v>
      </c>
      <c r="X2824" s="884">
        <v>0.65</v>
      </c>
      <c r="Y2824" s="884">
        <v>0.65</v>
      </c>
      <c r="Z2824" s="884">
        <v>0.65</v>
      </c>
      <c r="AA2824" s="884">
        <v>0.65</v>
      </c>
      <c r="AB2824" s="884">
        <v>0.65</v>
      </c>
      <c r="AC2824" s="884"/>
      <c r="AD2824" s="884"/>
      <c r="AE2824" s="884"/>
      <c r="AF2824" s="884"/>
      <c r="AG2824" s="884"/>
      <c r="BB2824" s="647"/>
      <c r="BC2824" s="648"/>
      <c r="BD2824" s="757"/>
      <c r="BE2824" s="659"/>
    </row>
    <row r="2825" spans="1:57" s="64" customFormat="1" ht="15" customHeight="1" outlineLevel="1" x14ac:dyDescent="0.25">
      <c r="A2825" s="2463"/>
      <c r="B2825" s="648"/>
      <c r="C2825" s="385"/>
      <c r="D2825" s="3589"/>
      <c r="E2825" s="3721"/>
      <c r="F2825" s="3773" t="str">
        <f>$E$1644</f>
        <v>ASHP - SEER 17 - replace on fail MF_CompE</v>
      </c>
      <c r="G2825" s="3774"/>
      <c r="H2825" s="3774"/>
      <c r="I2825" s="3775"/>
      <c r="J2825" s="3071" t="str">
        <f>$C$1644</f>
        <v>354951_2019_12_</v>
      </c>
      <c r="K2825" s="884">
        <f>K2824</f>
        <v>0.65</v>
      </c>
      <c r="L2825" s="945"/>
      <c r="M2825" s="783"/>
      <c r="N2825" s="157"/>
      <c r="O2825" s="277"/>
      <c r="P2825" s="937"/>
      <c r="Q2825" s="938"/>
      <c r="R2825" s="937"/>
      <c r="S2825" s="924"/>
      <c r="T2825" s="1407"/>
      <c r="U2825" s="157"/>
      <c r="V2825" s="3589"/>
      <c r="W2825" s="884"/>
      <c r="X2825" s="884"/>
      <c r="Y2825" s="882">
        <v>0.65</v>
      </c>
      <c r="Z2825" s="884">
        <v>0.65</v>
      </c>
      <c r="AA2825" s="884">
        <v>0.65</v>
      </c>
      <c r="AB2825" s="884">
        <v>0.65</v>
      </c>
      <c r="AC2825" s="884"/>
      <c r="AD2825" s="884"/>
      <c r="AE2825" s="884"/>
      <c r="AF2825" s="884"/>
      <c r="AG2825" s="884"/>
      <c r="BB2825" s="647"/>
      <c r="BC2825" s="648"/>
      <c r="BD2825" s="757"/>
      <c r="BE2825" s="659"/>
    </row>
    <row r="2826" spans="1:57" s="64" customFormat="1" ht="15" customHeight="1" outlineLevel="1" x14ac:dyDescent="0.25">
      <c r="A2826" s="2463"/>
      <c r="B2826" s="648"/>
      <c r="C2826" s="385"/>
      <c r="D2826" s="3589"/>
      <c r="E2826" s="3721"/>
      <c r="F2826" s="3773" t="str">
        <f>$E$1646</f>
        <v>ASHP - SEER 18 - replace on fail MF</v>
      </c>
      <c r="G2826" s="3774"/>
      <c r="H2826" s="3774"/>
      <c r="I2826" s="3775"/>
      <c r="J2826" s="3071" t="str">
        <f>$C$1646</f>
        <v>355000_2019_12_</v>
      </c>
      <c r="K2826" s="884">
        <v>0.65</v>
      </c>
      <c r="L2826" s="945"/>
      <c r="M2826" s="783" t="s">
        <v>1198</v>
      </c>
      <c r="N2826" s="157"/>
      <c r="O2826" s="277"/>
      <c r="P2826" s="937"/>
      <c r="Q2826" s="938"/>
      <c r="R2826" s="937"/>
      <c r="S2826" s="924"/>
      <c r="T2826" s="1407"/>
      <c r="U2826" s="157"/>
      <c r="V2826" s="3589"/>
      <c r="W2826" s="884">
        <v>0.65</v>
      </c>
      <c r="X2826" s="884">
        <v>0.65</v>
      </c>
      <c r="Y2826" s="884">
        <v>0.65</v>
      </c>
      <c r="Z2826" s="884">
        <v>0.65</v>
      </c>
      <c r="AA2826" s="884">
        <v>0.65</v>
      </c>
      <c r="AB2826" s="884">
        <v>0.65</v>
      </c>
      <c r="AC2826" s="884"/>
      <c r="AD2826" s="884"/>
      <c r="AE2826" s="884"/>
      <c r="AF2826" s="884"/>
      <c r="AG2826" s="884"/>
      <c r="BB2826" s="647"/>
      <c r="BC2826" s="648"/>
      <c r="BD2826" s="757"/>
      <c r="BE2826" s="659"/>
    </row>
    <row r="2827" spans="1:57" s="64" customFormat="1" ht="15" customHeight="1" outlineLevel="1" x14ac:dyDescent="0.25">
      <c r="A2827" s="2463"/>
      <c r="B2827" s="648"/>
      <c r="C2827" s="385"/>
      <c r="D2827" s="3589"/>
      <c r="E2827" s="3721"/>
      <c r="F2827" s="3773" t="str">
        <f>$E$1648</f>
        <v>ASHP - SEER 18 - replace on fail MF_CompE</v>
      </c>
      <c r="G2827" s="3774"/>
      <c r="H2827" s="3774"/>
      <c r="I2827" s="3775"/>
      <c r="J2827" s="3071" t="str">
        <f>$C$1648</f>
        <v>355001_2019_12_</v>
      </c>
      <c r="K2827" s="884">
        <v>1</v>
      </c>
      <c r="L2827" s="945"/>
      <c r="M2827" s="783"/>
      <c r="N2827" s="157"/>
      <c r="O2827" s="277"/>
      <c r="P2827" s="937"/>
      <c r="Q2827" s="938"/>
      <c r="R2827" s="937"/>
      <c r="S2827" s="924"/>
      <c r="T2827" s="1407"/>
      <c r="U2827" s="157"/>
      <c r="V2827" s="3589"/>
      <c r="W2827" s="884"/>
      <c r="X2827" s="884"/>
      <c r="Y2827" s="882">
        <v>1</v>
      </c>
      <c r="Z2827" s="884">
        <v>1</v>
      </c>
      <c r="AA2827" s="884">
        <v>1</v>
      </c>
      <c r="AB2827" s="884">
        <v>1</v>
      </c>
      <c r="AC2827" s="884"/>
      <c r="AD2827" s="884"/>
      <c r="AE2827" s="884"/>
      <c r="AF2827" s="884"/>
      <c r="AG2827" s="884"/>
      <c r="BB2827" s="647"/>
      <c r="BC2827" s="648"/>
      <c r="BD2827" s="757"/>
      <c r="BE2827" s="659"/>
    </row>
    <row r="2828" spans="1:57" s="64" customFormat="1" ht="15" customHeight="1" outlineLevel="1" x14ac:dyDescent="0.25">
      <c r="A2828" s="2463"/>
      <c r="B2828" s="648"/>
      <c r="C2828" s="385"/>
      <c r="D2828" s="3589"/>
      <c r="E2828" s="3721"/>
      <c r="F2828" s="3773" t="str">
        <f>$E$1650</f>
        <v>ASHP - SEER 19 - replace on fail MF</v>
      </c>
      <c r="G2828" s="3774"/>
      <c r="H2828" s="3774"/>
      <c r="I2828" s="3775"/>
      <c r="J2828" s="3071" t="str">
        <f>$C$1650</f>
        <v>355050_2019_12_</v>
      </c>
      <c r="K2828" s="884">
        <v>0.65</v>
      </c>
      <c r="L2828" s="945"/>
      <c r="M2828" s="783" t="s">
        <v>1198</v>
      </c>
      <c r="N2828" s="157"/>
      <c r="O2828" s="277"/>
      <c r="P2828" s="937"/>
      <c r="Q2828" s="938"/>
      <c r="R2828" s="937"/>
      <c r="S2828" s="924"/>
      <c r="T2828" s="1407"/>
      <c r="U2828" s="157"/>
      <c r="V2828" s="3589"/>
      <c r="W2828" s="884">
        <v>0.65</v>
      </c>
      <c r="X2828" s="884">
        <v>0.65</v>
      </c>
      <c r="Y2828" s="884">
        <v>0.65</v>
      </c>
      <c r="Z2828" s="884">
        <v>0.65</v>
      </c>
      <c r="AA2828" s="884">
        <v>0.65</v>
      </c>
      <c r="AB2828" s="884">
        <v>0.65</v>
      </c>
      <c r="AC2828" s="884"/>
      <c r="AD2828" s="884"/>
      <c r="AE2828" s="884"/>
      <c r="AF2828" s="884"/>
      <c r="AG2828" s="884"/>
      <c r="BB2828" s="647"/>
      <c r="BC2828" s="648"/>
      <c r="BD2828" s="757"/>
      <c r="BE2828" s="659"/>
    </row>
    <row r="2829" spans="1:57" s="64" customFormat="1" ht="15" customHeight="1" outlineLevel="1" x14ac:dyDescent="0.25">
      <c r="A2829" s="2463"/>
      <c r="B2829" s="648"/>
      <c r="C2829" s="385"/>
      <c r="D2829" s="3589"/>
      <c r="E2829" s="3721"/>
      <c r="F2829" s="3773" t="str">
        <f>$E$1652</f>
        <v>ASHP - SEER 19 - replace on fail MF_CompE</v>
      </c>
      <c r="G2829" s="3774"/>
      <c r="H2829" s="3774"/>
      <c r="I2829" s="3775"/>
      <c r="J2829" s="3071" t="str">
        <f>$C$1652</f>
        <v>355051_2019_12_</v>
      </c>
      <c r="K2829" s="884">
        <f>K2828</f>
        <v>0.65</v>
      </c>
      <c r="L2829" s="945"/>
      <c r="M2829" s="783"/>
      <c r="N2829" s="157"/>
      <c r="O2829" s="277"/>
      <c r="P2829" s="937"/>
      <c r="Q2829" s="938"/>
      <c r="R2829" s="937"/>
      <c r="S2829" s="924"/>
      <c r="T2829" s="1407"/>
      <c r="U2829" s="157"/>
      <c r="V2829" s="3589"/>
      <c r="W2829" s="884"/>
      <c r="X2829" s="884"/>
      <c r="Y2829" s="882">
        <v>0.65</v>
      </c>
      <c r="Z2829" s="884">
        <v>0.65</v>
      </c>
      <c r="AA2829" s="884">
        <v>0.65</v>
      </c>
      <c r="AB2829" s="884">
        <v>0.65</v>
      </c>
      <c r="AC2829" s="884"/>
      <c r="AD2829" s="884"/>
      <c r="AE2829" s="884"/>
      <c r="AF2829" s="884"/>
      <c r="AG2829" s="884"/>
      <c r="BB2829" s="647"/>
      <c r="BC2829" s="648"/>
      <c r="BD2829" s="757"/>
      <c r="BE2829" s="659"/>
    </row>
    <row r="2830" spans="1:57" s="64" customFormat="1" ht="15" customHeight="1" outlineLevel="1" x14ac:dyDescent="0.25">
      <c r="A2830" s="2463"/>
      <c r="B2830" s="648"/>
      <c r="C2830" s="385"/>
      <c r="D2830" s="3589"/>
      <c r="E2830" s="3721"/>
      <c r="F2830" s="3773" t="str">
        <f>$E$1654</f>
        <v>ASHP - SEER 20 - replace on fail MF</v>
      </c>
      <c r="G2830" s="3774"/>
      <c r="H2830" s="3774"/>
      <c r="I2830" s="3775"/>
      <c r="J2830" s="3071" t="str">
        <f>$C$1654</f>
        <v>355100_2019_12_</v>
      </c>
      <c r="K2830" s="884">
        <v>0.65</v>
      </c>
      <c r="L2830" s="956"/>
      <c r="M2830" s="783" t="s">
        <v>1198</v>
      </c>
      <c r="N2830" s="157"/>
      <c r="O2830" s="277"/>
      <c r="P2830" s="937"/>
      <c r="Q2830" s="938"/>
      <c r="R2830" s="937"/>
      <c r="S2830" s="924"/>
      <c r="T2830" s="1407"/>
      <c r="U2830" s="157"/>
      <c r="V2830" s="3589"/>
      <c r="W2830" s="884">
        <v>0.65</v>
      </c>
      <c r="X2830" s="884">
        <v>0.65</v>
      </c>
      <c r="Y2830" s="884">
        <v>0.65</v>
      </c>
      <c r="Z2830" s="884">
        <v>0.65</v>
      </c>
      <c r="AA2830" s="884">
        <v>0.65</v>
      </c>
      <c r="AB2830" s="884">
        <v>0.65</v>
      </c>
      <c r="AC2830" s="884"/>
      <c r="AD2830" s="884"/>
      <c r="AE2830" s="884"/>
      <c r="AF2830" s="884"/>
      <c r="AG2830" s="884"/>
      <c r="BB2830" s="647"/>
      <c r="BC2830" s="648"/>
      <c r="BD2830" s="757"/>
      <c r="BE2830" s="659"/>
    </row>
    <row r="2831" spans="1:57" s="64" customFormat="1" ht="15" customHeight="1" outlineLevel="1" x14ac:dyDescent="0.25">
      <c r="A2831" s="2463"/>
      <c r="B2831" s="648"/>
      <c r="C2831" s="385"/>
      <c r="D2831" s="3589"/>
      <c r="E2831" s="3721"/>
      <c r="F2831" s="3773" t="str">
        <f>$E$1656</f>
        <v>ASHP - SEER 20 - replace on fail MF_CompE</v>
      </c>
      <c r="G2831" s="3774"/>
      <c r="H2831" s="3774"/>
      <c r="I2831" s="3775"/>
      <c r="J2831" s="3071" t="str">
        <f>$C$1656</f>
        <v>355101_2019_12_</v>
      </c>
      <c r="K2831" s="884">
        <f>K2830</f>
        <v>0.65</v>
      </c>
      <c r="L2831" s="957"/>
      <c r="M2831" s="783"/>
      <c r="N2831" s="157"/>
      <c r="O2831" s="277"/>
      <c r="P2831" s="937"/>
      <c r="Q2831" s="938"/>
      <c r="R2831" s="937"/>
      <c r="S2831" s="924"/>
      <c r="T2831" s="1407"/>
      <c r="U2831" s="157"/>
      <c r="V2831" s="3589"/>
      <c r="W2831" s="958"/>
      <c r="X2831" s="958"/>
      <c r="Y2831" s="882">
        <v>0.65</v>
      </c>
      <c r="Z2831" s="884">
        <v>0.65</v>
      </c>
      <c r="AA2831" s="884">
        <v>0.65</v>
      </c>
      <c r="AB2831" s="884">
        <v>0.65</v>
      </c>
      <c r="AC2831" s="958"/>
      <c r="AD2831" s="958"/>
      <c r="AE2831" s="958"/>
      <c r="AF2831" s="958"/>
      <c r="AG2831" s="958"/>
      <c r="BB2831" s="647"/>
      <c r="BC2831" s="648"/>
      <c r="BD2831" s="757"/>
      <c r="BE2831" s="659"/>
    </row>
    <row r="2832" spans="1:57" s="64" customFormat="1" ht="15.75" customHeight="1" outlineLevel="1" x14ac:dyDescent="0.25">
      <c r="A2832" s="2463"/>
      <c r="B2832" s="648"/>
      <c r="C2832" s="385"/>
      <c r="D2832" s="3589"/>
      <c r="E2832" s="3721"/>
      <c r="F2832" s="3773" t="str">
        <f>$E$1658</f>
        <v>ASHP - SEER 21 - replace on fail MF</v>
      </c>
      <c r="G2832" s="3774"/>
      <c r="H2832" s="3774"/>
      <c r="I2832" s="3775"/>
      <c r="J2832" s="3071" t="str">
        <f>$C$1658</f>
        <v>355150_2019_12_</v>
      </c>
      <c r="K2832" s="884">
        <v>0.65</v>
      </c>
      <c r="L2832" s="956"/>
      <c r="M2832" s="783" t="s">
        <v>1198</v>
      </c>
      <c r="N2832" s="157"/>
      <c r="O2832" s="277"/>
      <c r="P2832" s="937"/>
      <c r="Q2832" s="938"/>
      <c r="R2832" s="937"/>
      <c r="S2832" s="924"/>
      <c r="T2832" s="1407"/>
      <c r="U2832" s="157"/>
      <c r="V2832" s="3589"/>
      <c r="W2832" s="884">
        <v>0.65</v>
      </c>
      <c r="X2832" s="884">
        <v>0.65</v>
      </c>
      <c r="Y2832" s="884">
        <v>0.65</v>
      </c>
      <c r="Z2832" s="884">
        <v>0.65</v>
      </c>
      <c r="AA2832" s="884">
        <v>0.65</v>
      </c>
      <c r="AB2832" s="884">
        <v>0.65</v>
      </c>
      <c r="AC2832" s="884"/>
      <c r="AD2832" s="884"/>
      <c r="AE2832" s="884"/>
      <c r="AF2832" s="884"/>
      <c r="AG2832" s="884"/>
      <c r="BB2832" s="647"/>
      <c r="BC2832" s="648"/>
      <c r="BD2832" s="757"/>
      <c r="BE2832" s="659"/>
    </row>
    <row r="2833" spans="1:57" s="64" customFormat="1" ht="15.75" customHeight="1" outlineLevel="1" thickBot="1" x14ac:dyDescent="0.3">
      <c r="A2833" s="2463"/>
      <c r="B2833" s="648"/>
      <c r="C2833" s="385"/>
      <c r="D2833" s="3591"/>
      <c r="E2833" s="3722"/>
      <c r="F2833" s="2731" t="str">
        <f>$E$1660</f>
        <v>ASHP - SEER 21 - replace on fail MF_CompE</v>
      </c>
      <c r="G2833" s="2732"/>
      <c r="H2833" s="2732"/>
      <c r="I2833" s="2733"/>
      <c r="J2833" s="2731" t="str">
        <f>$C$1660</f>
        <v>355151_2019_12_</v>
      </c>
      <c r="K2833" s="970">
        <f>K2832</f>
        <v>0.65</v>
      </c>
      <c r="L2833" s="948"/>
      <c r="M2833" s="1809"/>
      <c r="N2833" s="157"/>
      <c r="O2833" s="277"/>
      <c r="P2833" s="937"/>
      <c r="Q2833" s="938"/>
      <c r="R2833" s="937"/>
      <c r="S2833" s="924"/>
      <c r="T2833" s="1407"/>
      <c r="U2833" s="157"/>
      <c r="V2833" s="3591"/>
      <c r="W2833" s="2738"/>
      <c r="X2833" s="2738"/>
      <c r="Y2833" s="2739">
        <v>0.65</v>
      </c>
      <c r="Z2833" s="970">
        <v>0.65</v>
      </c>
      <c r="AA2833" s="970">
        <v>0.65</v>
      </c>
      <c r="AB2833" s="970">
        <v>0.65</v>
      </c>
      <c r="AC2833" s="2738"/>
      <c r="AD2833" s="2738"/>
      <c r="AE2833" s="2738"/>
      <c r="AF2833" s="2738"/>
      <c r="AG2833" s="2738"/>
      <c r="BB2833" s="647"/>
      <c r="BC2833" s="648"/>
      <c r="BD2833" s="757"/>
      <c r="BE2833" s="659"/>
    </row>
    <row r="2834" spans="1:57" s="2137" customFormat="1" ht="15.75" customHeight="1" outlineLevel="1" thickBot="1" x14ac:dyDescent="0.3">
      <c r="A2834" s="2709"/>
      <c r="C2834" s="2691"/>
      <c r="D2834" s="2646" t="s">
        <v>75</v>
      </c>
      <c r="E2834" s="2647" t="s">
        <v>3614</v>
      </c>
      <c r="F2834" s="3265" t="s">
        <v>591</v>
      </c>
      <c r="G2834" s="3266"/>
      <c r="H2834" s="3266"/>
      <c r="I2834" s="3267"/>
      <c r="J2834" s="3265"/>
      <c r="K2834" s="3268">
        <v>1</v>
      </c>
      <c r="L2834" s="954"/>
      <c r="M2834" s="3269" t="s">
        <v>3512</v>
      </c>
      <c r="P2834" s="2690"/>
      <c r="Q2834" s="2689"/>
      <c r="R2834" s="2690"/>
      <c r="T2834" s="2709"/>
      <c r="V2834" s="3261" t="s">
        <v>75</v>
      </c>
      <c r="W2834" s="2735"/>
      <c r="X2834" s="2735"/>
      <c r="Y2834" s="2734"/>
      <c r="Z2834" s="2735"/>
      <c r="AA2834" s="2734"/>
      <c r="AB2834" s="2734">
        <v>1</v>
      </c>
      <c r="AC2834" s="2735"/>
      <c r="AD2834" s="2735"/>
      <c r="AE2834" s="2735"/>
      <c r="AF2834" s="2735"/>
      <c r="AG2834" s="2735"/>
      <c r="BB2834" s="2669"/>
      <c r="BD2834" s="2736"/>
      <c r="BE2834" s="2737"/>
    </row>
    <row r="2835" spans="1:57" s="64" customFormat="1" outlineLevel="1" x14ac:dyDescent="0.25">
      <c r="A2835" s="2463"/>
      <c r="B2835" s="648"/>
      <c r="C2835" s="385"/>
      <c r="D2835" s="3588" t="str">
        <f>D1376</f>
        <v>EUL</v>
      </c>
      <c r="E2835" s="3720" t="str">
        <f>E1376</f>
        <v>Effective Useful Life</v>
      </c>
      <c r="F2835" s="3771" t="str">
        <f t="shared" ref="F2835:F2862" si="230">E1406</f>
        <v>ASHP - SEER 15 ER Elec Resist Furnace: HVAC ER1</v>
      </c>
      <c r="G2835" s="3771"/>
      <c r="H2835" s="3771"/>
      <c r="I2835" s="3771"/>
      <c r="J2835" s="3070" t="str">
        <f t="shared" ref="J2835:J2862" si="231">C1406</f>
        <v>352300_2019_12_</v>
      </c>
      <c r="K2835" s="959">
        <v>6</v>
      </c>
      <c r="L2835" s="833"/>
      <c r="M2835" s="955"/>
      <c r="N2835" s="157"/>
      <c r="O2835" s="277"/>
      <c r="P2835" s="937"/>
      <c r="Q2835" s="937"/>
      <c r="R2835" s="937"/>
      <c r="S2835" s="924"/>
      <c r="T2835" s="1407"/>
      <c r="U2835" s="157"/>
      <c r="V2835" s="3588" t="s">
        <v>722</v>
      </c>
      <c r="W2835" s="959">
        <v>6</v>
      </c>
      <c r="X2835" s="959">
        <v>6</v>
      </c>
      <c r="Y2835" s="959">
        <v>6</v>
      </c>
      <c r="Z2835" s="959">
        <v>6</v>
      </c>
      <c r="AA2835" s="959">
        <v>6</v>
      </c>
      <c r="AB2835" s="959">
        <v>6</v>
      </c>
      <c r="AC2835" s="959"/>
      <c r="AD2835" s="959"/>
      <c r="AE2835" s="959"/>
      <c r="AF2835" s="959"/>
      <c r="AG2835" s="959"/>
      <c r="BB2835" s="647"/>
      <c r="BC2835" s="648"/>
      <c r="BD2835" s="757"/>
      <c r="BE2835" s="659"/>
    </row>
    <row r="2836" spans="1:57" s="64" customFormat="1" ht="15" customHeight="1" outlineLevel="1" x14ac:dyDescent="0.25">
      <c r="A2836" s="2463"/>
      <c r="B2836" s="648"/>
      <c r="C2836" s="385"/>
      <c r="D2836" s="3589"/>
      <c r="E2836" s="3721"/>
      <c r="F2836" s="3779" t="str">
        <f t="shared" si="230"/>
        <v>ASHP - SEER 15 ER Elec Resist Furnace: HVAC ER1</v>
      </c>
      <c r="G2836" s="3779"/>
      <c r="H2836" s="3779"/>
      <c r="I2836" s="3779"/>
      <c r="J2836" s="3073" t="str">
        <f t="shared" si="231"/>
        <v>352300_2019_12_</v>
      </c>
      <c r="K2836" s="960">
        <v>6</v>
      </c>
      <c r="L2836" s="944"/>
      <c r="M2836" s="953"/>
      <c r="N2836" s="157"/>
      <c r="O2836" s="277"/>
      <c r="P2836" s="937"/>
      <c r="Q2836" s="937"/>
      <c r="R2836" s="937"/>
      <c r="S2836" s="924"/>
      <c r="T2836" s="1407"/>
      <c r="U2836" s="157"/>
      <c r="V2836" s="3589"/>
      <c r="W2836" s="960">
        <v>6</v>
      </c>
      <c r="X2836" s="960">
        <v>6</v>
      </c>
      <c r="Y2836" s="960">
        <v>6</v>
      </c>
      <c r="Z2836" s="960">
        <v>6</v>
      </c>
      <c r="AA2836" s="960">
        <v>6</v>
      </c>
      <c r="AB2836" s="960">
        <v>6</v>
      </c>
      <c r="AC2836" s="960"/>
      <c r="AD2836" s="960"/>
      <c r="AE2836" s="960"/>
      <c r="AF2836" s="960"/>
      <c r="AG2836" s="960"/>
      <c r="BB2836" s="647"/>
      <c r="BC2836" s="648"/>
      <c r="BD2836" s="757"/>
      <c r="BE2836" s="659"/>
    </row>
    <row r="2837" spans="1:57" s="64" customFormat="1" ht="15" customHeight="1" outlineLevel="1" x14ac:dyDescent="0.25">
      <c r="A2837" s="2463"/>
      <c r="B2837" s="648"/>
      <c r="C2837" s="385"/>
      <c r="D2837" s="3589"/>
      <c r="E2837" s="3721"/>
      <c r="F2837" s="3779" t="str">
        <f t="shared" si="230"/>
        <v>ASHP - SEER 15 ER Elec Resist Furnace: HVAC ER2</v>
      </c>
      <c r="G2837" s="3779"/>
      <c r="H2837" s="3779"/>
      <c r="I2837" s="3779"/>
      <c r="J2837" s="3073" t="str">
        <f t="shared" si="231"/>
        <v>352300_2019_12_</v>
      </c>
      <c r="K2837" s="960">
        <v>12</v>
      </c>
      <c r="L2837" s="944"/>
      <c r="M2837" s="953"/>
      <c r="N2837" s="157"/>
      <c r="O2837" s="277"/>
      <c r="P2837" s="937"/>
      <c r="Q2837" s="937"/>
      <c r="R2837" s="937"/>
      <c r="S2837" s="924"/>
      <c r="T2837" s="1407"/>
      <c r="U2837" s="157"/>
      <c r="V2837" s="3589"/>
      <c r="W2837" s="960">
        <v>12</v>
      </c>
      <c r="X2837" s="960">
        <v>12</v>
      </c>
      <c r="Y2837" s="960">
        <v>12</v>
      </c>
      <c r="Z2837" s="960">
        <v>12</v>
      </c>
      <c r="AA2837" s="960">
        <v>12</v>
      </c>
      <c r="AB2837" s="960">
        <v>12</v>
      </c>
      <c r="AC2837" s="960"/>
      <c r="AD2837" s="960"/>
      <c r="AE2837" s="960"/>
      <c r="AF2837" s="960"/>
      <c r="AG2837" s="960"/>
      <c r="BB2837" s="647"/>
      <c r="BC2837" s="648"/>
      <c r="BD2837" s="757"/>
      <c r="BE2837" s="659"/>
    </row>
    <row r="2838" spans="1:57" s="64" customFormat="1" ht="15" customHeight="1" outlineLevel="1" x14ac:dyDescent="0.25">
      <c r="A2838" s="2463"/>
      <c r="B2838" s="648"/>
      <c r="C2838" s="385"/>
      <c r="D2838" s="3589"/>
      <c r="E2838" s="3721"/>
      <c r="F2838" s="3779" t="str">
        <f t="shared" si="230"/>
        <v>ASHP - SEER 15 ER Elec Resist Furnace: HVAC ER2</v>
      </c>
      <c r="G2838" s="3779"/>
      <c r="H2838" s="3779"/>
      <c r="I2838" s="3779"/>
      <c r="J2838" s="3073" t="str">
        <f t="shared" si="231"/>
        <v>352300_2019_12_</v>
      </c>
      <c r="K2838" s="960">
        <v>12</v>
      </c>
      <c r="L2838" s="944"/>
      <c r="M2838" s="953"/>
      <c r="N2838" s="157"/>
      <c r="O2838" s="277"/>
      <c r="P2838" s="937"/>
      <c r="Q2838" s="937"/>
      <c r="R2838" s="937"/>
      <c r="S2838" s="924"/>
      <c r="T2838" s="1407"/>
      <c r="U2838" s="157"/>
      <c r="V2838" s="3589"/>
      <c r="W2838" s="960">
        <v>12</v>
      </c>
      <c r="X2838" s="960">
        <v>12</v>
      </c>
      <c r="Y2838" s="960">
        <v>12</v>
      </c>
      <c r="Z2838" s="960">
        <v>12</v>
      </c>
      <c r="AA2838" s="960">
        <v>12</v>
      </c>
      <c r="AB2838" s="960">
        <v>12</v>
      </c>
      <c r="AC2838" s="960"/>
      <c r="AD2838" s="960"/>
      <c r="AE2838" s="960"/>
      <c r="AF2838" s="960"/>
      <c r="AG2838" s="960"/>
      <c r="BB2838" s="647"/>
      <c r="BC2838" s="648"/>
      <c r="BD2838" s="757"/>
      <c r="BE2838" s="659"/>
    </row>
    <row r="2839" spans="1:57" s="64" customFormat="1" ht="15" customHeight="1" outlineLevel="1" x14ac:dyDescent="0.25">
      <c r="A2839" s="2463"/>
      <c r="B2839" s="648"/>
      <c r="C2839" s="385"/>
      <c r="D2839" s="3589"/>
      <c r="E2839" s="3721"/>
      <c r="F2839" s="3779" t="str">
        <f t="shared" si="230"/>
        <v>ASHP - SEER 15 ER with ASHP: HVAC ER1</v>
      </c>
      <c r="G2839" s="3779"/>
      <c r="H2839" s="3779"/>
      <c r="I2839" s="3779"/>
      <c r="J2839" s="3073" t="str">
        <f t="shared" si="231"/>
        <v>352350_2019_12_</v>
      </c>
      <c r="K2839" s="960">
        <v>6</v>
      </c>
      <c r="L2839" s="944"/>
      <c r="M2839" s="953"/>
      <c r="N2839" s="157"/>
      <c r="O2839" s="277"/>
      <c r="P2839" s="937"/>
      <c r="Q2839" s="937"/>
      <c r="R2839" s="937"/>
      <c r="S2839" s="924"/>
      <c r="T2839" s="1407"/>
      <c r="U2839" s="157"/>
      <c r="V2839" s="3589"/>
      <c r="W2839" s="960">
        <v>6</v>
      </c>
      <c r="X2839" s="960">
        <v>6</v>
      </c>
      <c r="Y2839" s="960">
        <v>6</v>
      </c>
      <c r="Z2839" s="960">
        <v>6</v>
      </c>
      <c r="AA2839" s="960">
        <v>6</v>
      </c>
      <c r="AB2839" s="960">
        <v>6</v>
      </c>
      <c r="AC2839" s="960"/>
      <c r="AD2839" s="960"/>
      <c r="AE2839" s="960"/>
      <c r="AF2839" s="960"/>
      <c r="AG2839" s="960"/>
      <c r="BB2839" s="647"/>
      <c r="BC2839" s="648"/>
      <c r="BD2839" s="757"/>
      <c r="BE2839" s="659"/>
    </row>
    <row r="2840" spans="1:57" s="64" customFormat="1" ht="15" customHeight="1" outlineLevel="1" x14ac:dyDescent="0.25">
      <c r="A2840" s="2463"/>
      <c r="B2840" s="648"/>
      <c r="C2840" s="385"/>
      <c r="D2840" s="3589"/>
      <c r="E2840" s="3721"/>
      <c r="F2840" s="3779" t="str">
        <f t="shared" si="230"/>
        <v>ASHP - SEER 15 ER with ASHP: HVAC ER1</v>
      </c>
      <c r="G2840" s="3779"/>
      <c r="H2840" s="3779"/>
      <c r="I2840" s="3779"/>
      <c r="J2840" s="3073" t="str">
        <f t="shared" si="231"/>
        <v>352350_2019_12_</v>
      </c>
      <c r="K2840" s="960">
        <v>6</v>
      </c>
      <c r="L2840" s="944"/>
      <c r="M2840" s="953"/>
      <c r="N2840" s="157"/>
      <c r="O2840" s="277"/>
      <c r="P2840" s="937"/>
      <c r="Q2840" s="937"/>
      <c r="R2840" s="937"/>
      <c r="S2840" s="924"/>
      <c r="T2840" s="1407"/>
      <c r="U2840" s="157"/>
      <c r="V2840" s="3589"/>
      <c r="W2840" s="960">
        <v>6</v>
      </c>
      <c r="X2840" s="960">
        <v>6</v>
      </c>
      <c r="Y2840" s="960">
        <v>6</v>
      </c>
      <c r="Z2840" s="960">
        <v>6</v>
      </c>
      <c r="AA2840" s="960">
        <v>6</v>
      </c>
      <c r="AB2840" s="960">
        <v>6</v>
      </c>
      <c r="AC2840" s="960"/>
      <c r="AD2840" s="960"/>
      <c r="AE2840" s="960"/>
      <c r="AF2840" s="960"/>
      <c r="AG2840" s="960"/>
      <c r="BB2840" s="647"/>
      <c r="BC2840" s="648"/>
      <c r="BD2840" s="757"/>
      <c r="BE2840" s="659"/>
    </row>
    <row r="2841" spans="1:57" s="64" customFormat="1" ht="15" customHeight="1" outlineLevel="1" x14ac:dyDescent="0.25">
      <c r="A2841" s="2463"/>
      <c r="B2841" s="648"/>
      <c r="C2841" s="385"/>
      <c r="D2841" s="3589"/>
      <c r="E2841" s="3721"/>
      <c r="F2841" s="3779" t="str">
        <f t="shared" si="230"/>
        <v>ASHP - SEER 15 ER with ASHP: HVAC ER2</v>
      </c>
      <c r="G2841" s="3779"/>
      <c r="H2841" s="3779"/>
      <c r="I2841" s="3779"/>
      <c r="J2841" s="3073" t="str">
        <f t="shared" si="231"/>
        <v>352350_2019_12_</v>
      </c>
      <c r="K2841" s="960">
        <v>12</v>
      </c>
      <c r="L2841" s="944"/>
      <c r="M2841" s="953"/>
      <c r="N2841" s="157"/>
      <c r="O2841" s="277"/>
      <c r="P2841" s="937"/>
      <c r="Q2841" s="937"/>
      <c r="R2841" s="937"/>
      <c r="S2841" s="924"/>
      <c r="T2841" s="1407"/>
      <c r="U2841" s="157"/>
      <c r="V2841" s="3589"/>
      <c r="W2841" s="960">
        <v>12</v>
      </c>
      <c r="X2841" s="960">
        <v>12</v>
      </c>
      <c r="Y2841" s="960">
        <v>12</v>
      </c>
      <c r="Z2841" s="960">
        <v>12</v>
      </c>
      <c r="AA2841" s="960">
        <v>12</v>
      </c>
      <c r="AB2841" s="960">
        <v>12</v>
      </c>
      <c r="AC2841" s="960"/>
      <c r="AD2841" s="960"/>
      <c r="AE2841" s="960"/>
      <c r="AF2841" s="960"/>
      <c r="AG2841" s="960"/>
      <c r="BB2841" s="647"/>
      <c r="BC2841" s="648"/>
      <c r="BD2841" s="757"/>
      <c r="BE2841" s="659"/>
    </row>
    <row r="2842" spans="1:57" s="64" customFormat="1" ht="15" customHeight="1" outlineLevel="1" x14ac:dyDescent="0.25">
      <c r="A2842" s="2463"/>
      <c r="B2842" s="648"/>
      <c r="C2842" s="385"/>
      <c r="D2842" s="3589"/>
      <c r="E2842" s="3721"/>
      <c r="F2842" s="3779" t="str">
        <f t="shared" si="230"/>
        <v>ASHP - SEER 15 ER with ASHP: HVAC ER2</v>
      </c>
      <c r="G2842" s="3779"/>
      <c r="H2842" s="3779"/>
      <c r="I2842" s="3779"/>
      <c r="J2842" s="3073" t="str">
        <f t="shared" si="231"/>
        <v>352350_2019_12_</v>
      </c>
      <c r="K2842" s="960">
        <v>12</v>
      </c>
      <c r="L2842" s="944"/>
      <c r="M2842" s="953"/>
      <c r="N2842" s="157"/>
      <c r="O2842" s="277"/>
      <c r="P2842" s="937"/>
      <c r="Q2842" s="937"/>
      <c r="R2842" s="937"/>
      <c r="S2842" s="924"/>
      <c r="T2842" s="1407"/>
      <c r="U2842" s="157"/>
      <c r="V2842" s="3589"/>
      <c r="W2842" s="960">
        <v>12</v>
      </c>
      <c r="X2842" s="960">
        <v>12</v>
      </c>
      <c r="Y2842" s="960">
        <v>12</v>
      </c>
      <c r="Z2842" s="960">
        <v>12</v>
      </c>
      <c r="AA2842" s="960">
        <v>12</v>
      </c>
      <c r="AB2842" s="960">
        <v>12</v>
      </c>
      <c r="AC2842" s="960"/>
      <c r="AD2842" s="960"/>
      <c r="AE2842" s="960"/>
      <c r="AF2842" s="960"/>
      <c r="AG2842" s="960"/>
      <c r="BB2842" s="647"/>
      <c r="BC2842" s="648"/>
      <c r="BD2842" s="757"/>
      <c r="BE2842" s="659"/>
    </row>
    <row r="2843" spans="1:57" s="64" customFormat="1" ht="15" customHeight="1" outlineLevel="1" x14ac:dyDescent="0.25">
      <c r="A2843" s="2463"/>
      <c r="B2843" s="648"/>
      <c r="C2843" s="385"/>
      <c r="D2843" s="3589"/>
      <c r="E2843" s="3721"/>
      <c r="F2843" s="3779" t="str">
        <f t="shared" si="230"/>
        <v>ASHP-  SEER 15 Replace at Fail Elec Resist Furnace: HVAC</v>
      </c>
      <c r="G2843" s="3779"/>
      <c r="H2843" s="3779"/>
      <c r="I2843" s="3779"/>
      <c r="J2843" s="3073" t="str">
        <f t="shared" si="231"/>
        <v>352400_2019_12_</v>
      </c>
      <c r="K2843" s="960">
        <v>18</v>
      </c>
      <c r="L2843" s="944"/>
      <c r="M2843" s="953"/>
      <c r="N2843" s="157"/>
      <c r="O2843" s="277"/>
      <c r="P2843" s="937"/>
      <c r="Q2843" s="937"/>
      <c r="R2843" s="937"/>
      <c r="S2843" s="924"/>
      <c r="T2843" s="1407"/>
      <c r="U2843" s="157"/>
      <c r="V2843" s="3589"/>
      <c r="W2843" s="960">
        <v>18</v>
      </c>
      <c r="X2843" s="960">
        <v>18</v>
      </c>
      <c r="Y2843" s="960">
        <v>18</v>
      </c>
      <c r="Z2843" s="960">
        <v>18</v>
      </c>
      <c r="AA2843" s="960">
        <v>18</v>
      </c>
      <c r="AB2843" s="960">
        <v>18</v>
      </c>
      <c r="AC2843" s="960"/>
      <c r="AD2843" s="960"/>
      <c r="AE2843" s="960"/>
      <c r="AF2843" s="960"/>
      <c r="AG2843" s="960"/>
      <c r="BB2843" s="647"/>
      <c r="BC2843" s="648"/>
      <c r="BD2843" s="757"/>
      <c r="BE2843" s="659"/>
    </row>
    <row r="2844" spans="1:57" s="64" customFormat="1" ht="15" customHeight="1" outlineLevel="1" x14ac:dyDescent="0.25">
      <c r="A2844" s="2463"/>
      <c r="B2844" s="648"/>
      <c r="C2844" s="385"/>
      <c r="D2844" s="3589"/>
      <c r="E2844" s="3721"/>
      <c r="F2844" s="3779" t="str">
        <f t="shared" si="230"/>
        <v>ASHP-  SEER 15 Replace at Fail Elec Resist Furnace: HVAC</v>
      </c>
      <c r="G2844" s="3779"/>
      <c r="H2844" s="3779"/>
      <c r="I2844" s="3779"/>
      <c r="J2844" s="3073" t="str">
        <f t="shared" si="231"/>
        <v>352400_2019_12_</v>
      </c>
      <c r="K2844" s="960">
        <v>18</v>
      </c>
      <c r="L2844" s="945"/>
      <c r="M2844" s="953"/>
      <c r="N2844" s="157"/>
      <c r="O2844" s="277"/>
      <c r="P2844" s="937"/>
      <c r="Q2844" s="937"/>
      <c r="R2844" s="937"/>
      <c r="S2844" s="924"/>
      <c r="T2844" s="1407"/>
      <c r="U2844" s="157"/>
      <c r="V2844" s="3589"/>
      <c r="W2844" s="960">
        <v>18</v>
      </c>
      <c r="X2844" s="960">
        <v>18</v>
      </c>
      <c r="Y2844" s="960">
        <v>18</v>
      </c>
      <c r="Z2844" s="960">
        <v>18</v>
      </c>
      <c r="AA2844" s="960">
        <v>18</v>
      </c>
      <c r="AB2844" s="960">
        <v>18</v>
      </c>
      <c r="AC2844" s="960"/>
      <c r="AD2844" s="960"/>
      <c r="AE2844" s="960"/>
      <c r="AF2844" s="960"/>
      <c r="AG2844" s="960"/>
      <c r="BB2844" s="647"/>
      <c r="BC2844" s="648"/>
      <c r="BD2844" s="757"/>
      <c r="BE2844" s="659"/>
    </row>
    <row r="2845" spans="1:57" s="64" customFormat="1" ht="15" customHeight="1" outlineLevel="1" x14ac:dyDescent="0.25">
      <c r="A2845" s="2463"/>
      <c r="B2845" s="648"/>
      <c r="C2845" s="385"/>
      <c r="D2845" s="3589"/>
      <c r="E2845" s="3721"/>
      <c r="F2845" s="3779" t="str">
        <f t="shared" si="230"/>
        <v>ASHP - SEER 15 Replace at Fail with ASHP: HVAC</v>
      </c>
      <c r="G2845" s="3779"/>
      <c r="H2845" s="3779"/>
      <c r="I2845" s="3779"/>
      <c r="J2845" s="3073" t="str">
        <f t="shared" si="231"/>
        <v>352450_2019_12_</v>
      </c>
      <c r="K2845" s="960">
        <v>18</v>
      </c>
      <c r="L2845" s="945"/>
      <c r="M2845" s="953"/>
      <c r="N2845" s="157"/>
      <c r="O2845" s="277"/>
      <c r="P2845" s="937"/>
      <c r="Q2845" s="937"/>
      <c r="R2845" s="937"/>
      <c r="S2845" s="924"/>
      <c r="T2845" s="1407"/>
      <c r="U2845" s="157"/>
      <c r="V2845" s="3589"/>
      <c r="W2845" s="960">
        <v>18</v>
      </c>
      <c r="X2845" s="960">
        <v>18</v>
      </c>
      <c r="Y2845" s="960">
        <v>18</v>
      </c>
      <c r="Z2845" s="960">
        <v>18</v>
      </c>
      <c r="AA2845" s="960">
        <v>18</v>
      </c>
      <c r="AB2845" s="960">
        <v>18</v>
      </c>
      <c r="AC2845" s="960"/>
      <c r="AD2845" s="960"/>
      <c r="AE2845" s="960"/>
      <c r="AF2845" s="960"/>
      <c r="AG2845" s="960"/>
      <c r="BB2845" s="647"/>
      <c r="BC2845" s="648"/>
      <c r="BD2845" s="757"/>
      <c r="BE2845" s="659"/>
    </row>
    <row r="2846" spans="1:57" s="64" customFormat="1" ht="15" customHeight="1" outlineLevel="1" x14ac:dyDescent="0.25">
      <c r="A2846" s="2463"/>
      <c r="B2846" s="648"/>
      <c r="C2846" s="385"/>
      <c r="D2846" s="3589"/>
      <c r="E2846" s="3721"/>
      <c r="F2846" s="3779" t="str">
        <f t="shared" si="230"/>
        <v>ASHP - SEER 15 Replace at Fail with ASHP: HVAC</v>
      </c>
      <c r="G2846" s="3779"/>
      <c r="H2846" s="3779"/>
      <c r="I2846" s="3779"/>
      <c r="J2846" s="3073" t="str">
        <f t="shared" si="231"/>
        <v>352450_2019_12_</v>
      </c>
      <c r="K2846" s="960">
        <v>18</v>
      </c>
      <c r="L2846" s="945"/>
      <c r="M2846" s="953"/>
      <c r="N2846" s="157"/>
      <c r="O2846" s="277"/>
      <c r="P2846" s="937"/>
      <c r="Q2846" s="937"/>
      <c r="R2846" s="937"/>
      <c r="S2846" s="924"/>
      <c r="T2846" s="1407"/>
      <c r="U2846" s="157"/>
      <c r="V2846" s="3589"/>
      <c r="W2846" s="960">
        <v>18</v>
      </c>
      <c r="X2846" s="960">
        <v>18</v>
      </c>
      <c r="Y2846" s="960">
        <v>18</v>
      </c>
      <c r="Z2846" s="960">
        <v>18</v>
      </c>
      <c r="AA2846" s="960">
        <v>18</v>
      </c>
      <c r="AB2846" s="960">
        <v>18</v>
      </c>
      <c r="AC2846" s="960"/>
      <c r="AD2846" s="960"/>
      <c r="AE2846" s="960"/>
      <c r="AF2846" s="960"/>
      <c r="AG2846" s="960"/>
      <c r="BB2846" s="647"/>
      <c r="BC2846" s="648"/>
      <c r="BD2846" s="757"/>
      <c r="BE2846" s="659"/>
    </row>
    <row r="2847" spans="1:57" s="64" customFormat="1" ht="15" customHeight="1" outlineLevel="1" x14ac:dyDescent="0.25">
      <c r="A2847" s="2463"/>
      <c r="B2847" s="648"/>
      <c r="C2847" s="385"/>
      <c r="D2847" s="3589"/>
      <c r="E2847" s="3721"/>
      <c r="F2847" s="3779" t="str">
        <f t="shared" si="230"/>
        <v>ASHP - SEER 16 - replace electric furnace / CAC - early replacement SF ER1</v>
      </c>
      <c r="G2847" s="3779"/>
      <c r="H2847" s="3779"/>
      <c r="I2847" s="3779"/>
      <c r="J2847" s="3073" t="str">
        <f t="shared" si="231"/>
        <v>352500_2019_12_</v>
      </c>
      <c r="K2847" s="960">
        <v>6</v>
      </c>
      <c r="L2847" s="945"/>
      <c r="M2847" s="783"/>
      <c r="N2847" s="157"/>
      <c r="O2847" s="277"/>
      <c r="P2847" s="937"/>
      <c r="Q2847" s="937"/>
      <c r="R2847" s="937"/>
      <c r="S2847" s="924"/>
      <c r="T2847" s="1407"/>
      <c r="U2847" s="157"/>
      <c r="V2847" s="3589"/>
      <c r="W2847" s="960">
        <v>6</v>
      </c>
      <c r="X2847" s="960">
        <v>6</v>
      </c>
      <c r="Y2847" s="960">
        <v>6</v>
      </c>
      <c r="Z2847" s="960">
        <v>6</v>
      </c>
      <c r="AA2847" s="960">
        <v>6</v>
      </c>
      <c r="AB2847" s="960">
        <v>6</v>
      </c>
      <c r="AC2847" s="960"/>
      <c r="AD2847" s="960"/>
      <c r="AE2847" s="960"/>
      <c r="AF2847" s="960"/>
      <c r="AG2847" s="960"/>
      <c r="BB2847" s="647"/>
      <c r="BC2847" s="648"/>
      <c r="BD2847" s="757"/>
      <c r="BE2847" s="659"/>
    </row>
    <row r="2848" spans="1:57" s="64" customFormat="1" ht="15" customHeight="1" outlineLevel="1" x14ac:dyDescent="0.25">
      <c r="A2848" s="2463"/>
      <c r="B2848" s="648"/>
      <c r="C2848" s="385"/>
      <c r="D2848" s="3589"/>
      <c r="E2848" s="3721"/>
      <c r="F2848" s="3779" t="str">
        <f t="shared" si="230"/>
        <v>ASHP - SEER 16 - replace electric furnace / CAC - early replacement SF ER1</v>
      </c>
      <c r="G2848" s="3779"/>
      <c r="H2848" s="3779"/>
      <c r="I2848" s="3779"/>
      <c r="J2848" s="3073" t="str">
        <f t="shared" si="231"/>
        <v>352500_2019_12_</v>
      </c>
      <c r="K2848" s="960">
        <v>6</v>
      </c>
      <c r="L2848" s="945"/>
      <c r="M2848" s="783"/>
      <c r="N2848" s="157"/>
      <c r="O2848" s="277"/>
      <c r="P2848" s="937"/>
      <c r="Q2848" s="937"/>
      <c r="R2848" s="937"/>
      <c r="S2848" s="924"/>
      <c r="T2848" s="1407"/>
      <c r="U2848" s="157"/>
      <c r="V2848" s="3589"/>
      <c r="W2848" s="960">
        <v>6</v>
      </c>
      <c r="X2848" s="960">
        <v>6</v>
      </c>
      <c r="Y2848" s="960">
        <v>6</v>
      </c>
      <c r="Z2848" s="960">
        <v>6</v>
      </c>
      <c r="AA2848" s="960">
        <v>6</v>
      </c>
      <c r="AB2848" s="960">
        <v>6</v>
      </c>
      <c r="AC2848" s="960"/>
      <c r="AD2848" s="960"/>
      <c r="AE2848" s="960"/>
      <c r="AF2848" s="960"/>
      <c r="AG2848" s="960"/>
      <c r="BB2848" s="647"/>
      <c r="BC2848" s="648"/>
      <c r="BD2848" s="757"/>
      <c r="BE2848" s="659"/>
    </row>
    <row r="2849" spans="1:57" s="64" customFormat="1" ht="15" customHeight="1" outlineLevel="1" x14ac:dyDescent="0.25">
      <c r="A2849" s="2463"/>
      <c r="B2849" s="648"/>
      <c r="C2849" s="385"/>
      <c r="D2849" s="3589"/>
      <c r="E2849" s="3721"/>
      <c r="F2849" s="3779" t="str">
        <f t="shared" si="230"/>
        <v>ASHP - SEER 16 - replace electric furnace / CAC - early replacement SF ER2</v>
      </c>
      <c r="G2849" s="3779"/>
      <c r="H2849" s="3779"/>
      <c r="I2849" s="3779"/>
      <c r="J2849" s="3073" t="str">
        <f t="shared" si="231"/>
        <v>352500_2019_12_</v>
      </c>
      <c r="K2849" s="960">
        <v>12</v>
      </c>
      <c r="L2849" s="945"/>
      <c r="M2849" s="783"/>
      <c r="N2849" s="157"/>
      <c r="O2849" s="277"/>
      <c r="P2849" s="937"/>
      <c r="Q2849" s="937"/>
      <c r="R2849" s="937"/>
      <c r="S2849" s="924"/>
      <c r="T2849" s="1407"/>
      <c r="U2849" s="157"/>
      <c r="V2849" s="3589"/>
      <c r="W2849" s="960">
        <v>12</v>
      </c>
      <c r="X2849" s="960">
        <v>12</v>
      </c>
      <c r="Y2849" s="960">
        <v>12</v>
      </c>
      <c r="Z2849" s="960">
        <v>12</v>
      </c>
      <c r="AA2849" s="960">
        <v>12</v>
      </c>
      <c r="AB2849" s="960">
        <v>12</v>
      </c>
      <c r="AC2849" s="960"/>
      <c r="AD2849" s="960"/>
      <c r="AE2849" s="960"/>
      <c r="AF2849" s="960"/>
      <c r="AG2849" s="960"/>
      <c r="BB2849" s="647"/>
      <c r="BC2849" s="648"/>
      <c r="BD2849" s="757"/>
      <c r="BE2849" s="659"/>
    </row>
    <row r="2850" spans="1:57" s="64" customFormat="1" ht="15" customHeight="1" outlineLevel="1" x14ac:dyDescent="0.25">
      <c r="A2850" s="2463"/>
      <c r="B2850" s="648"/>
      <c r="C2850" s="385"/>
      <c r="D2850" s="3589"/>
      <c r="E2850" s="3721"/>
      <c r="F2850" s="3779" t="str">
        <f t="shared" si="230"/>
        <v>ASHP - SEER 16 - replace electric furnace / CAC - early replacement SF ER2</v>
      </c>
      <c r="G2850" s="3779"/>
      <c r="H2850" s="3779"/>
      <c r="I2850" s="3779"/>
      <c r="J2850" s="3073" t="str">
        <f t="shared" si="231"/>
        <v>352500_2019_12_</v>
      </c>
      <c r="K2850" s="960">
        <v>12</v>
      </c>
      <c r="L2850" s="945"/>
      <c r="M2850" s="783"/>
      <c r="N2850" s="157"/>
      <c r="O2850" s="277"/>
      <c r="P2850" s="937"/>
      <c r="Q2850" s="937"/>
      <c r="R2850" s="937"/>
      <c r="S2850" s="924"/>
      <c r="T2850" s="1407"/>
      <c r="U2850" s="157"/>
      <c r="V2850" s="3589"/>
      <c r="W2850" s="960">
        <v>12</v>
      </c>
      <c r="X2850" s="960">
        <v>12</v>
      </c>
      <c r="Y2850" s="960">
        <v>12</v>
      </c>
      <c r="Z2850" s="960">
        <v>12</v>
      </c>
      <c r="AA2850" s="960">
        <v>12</v>
      </c>
      <c r="AB2850" s="960">
        <v>12</v>
      </c>
      <c r="AC2850" s="960"/>
      <c r="AD2850" s="960"/>
      <c r="AE2850" s="960"/>
      <c r="AF2850" s="960"/>
      <c r="AG2850" s="960"/>
      <c r="BB2850" s="647"/>
      <c r="BC2850" s="648"/>
      <c r="BD2850" s="757"/>
      <c r="BE2850" s="659"/>
    </row>
    <row r="2851" spans="1:57" s="64" customFormat="1" ht="15" customHeight="1" outlineLevel="1" x14ac:dyDescent="0.25">
      <c r="A2851" s="2463"/>
      <c r="B2851" s="648"/>
      <c r="C2851" s="385"/>
      <c r="D2851" s="3589"/>
      <c r="E2851" s="3721"/>
      <c r="F2851" s="3779" t="str">
        <f t="shared" si="230"/>
        <v>ASHP SEER 16 replace ASHP - early replacement SF ER1</v>
      </c>
      <c r="G2851" s="3779"/>
      <c r="H2851" s="3779"/>
      <c r="I2851" s="3779"/>
      <c r="J2851" s="3073" t="str">
        <f t="shared" si="231"/>
        <v>352550_2019_12_</v>
      </c>
      <c r="K2851" s="960">
        <v>6</v>
      </c>
      <c r="L2851" s="945"/>
      <c r="M2851" s="783"/>
      <c r="N2851" s="157"/>
      <c r="O2851" s="277"/>
      <c r="P2851" s="937"/>
      <c r="Q2851" s="937"/>
      <c r="R2851" s="937"/>
      <c r="S2851" s="924"/>
      <c r="T2851" s="1407"/>
      <c r="U2851" s="157"/>
      <c r="V2851" s="3589"/>
      <c r="W2851" s="960">
        <v>6</v>
      </c>
      <c r="X2851" s="960">
        <v>6</v>
      </c>
      <c r="Y2851" s="960">
        <v>6</v>
      </c>
      <c r="Z2851" s="960">
        <v>6</v>
      </c>
      <c r="AA2851" s="960">
        <v>6</v>
      </c>
      <c r="AB2851" s="960">
        <v>6</v>
      </c>
      <c r="AC2851" s="960"/>
      <c r="AD2851" s="960"/>
      <c r="AE2851" s="960"/>
      <c r="AF2851" s="960"/>
      <c r="AG2851" s="960"/>
      <c r="BB2851" s="647"/>
      <c r="BC2851" s="648"/>
      <c r="BD2851" s="757"/>
      <c r="BE2851" s="659"/>
    </row>
    <row r="2852" spans="1:57" s="64" customFormat="1" ht="15" customHeight="1" outlineLevel="1" x14ac:dyDescent="0.25">
      <c r="A2852" s="2463"/>
      <c r="B2852" s="648"/>
      <c r="C2852" s="385"/>
      <c r="D2852" s="3589"/>
      <c r="E2852" s="3721"/>
      <c r="F2852" s="3779" t="str">
        <f t="shared" si="230"/>
        <v>ASHP SEER 16 replace ASHP - early replacement SF ER1</v>
      </c>
      <c r="G2852" s="3779"/>
      <c r="H2852" s="3779"/>
      <c r="I2852" s="3779"/>
      <c r="J2852" s="3073" t="str">
        <f t="shared" si="231"/>
        <v>352550_2019_12_</v>
      </c>
      <c r="K2852" s="960">
        <v>6</v>
      </c>
      <c r="L2852" s="945"/>
      <c r="M2852" s="783"/>
      <c r="N2852" s="157"/>
      <c r="O2852" s="277"/>
      <c r="P2852" s="937"/>
      <c r="Q2852" s="937"/>
      <c r="R2852" s="937"/>
      <c r="S2852" s="924"/>
      <c r="T2852" s="1407"/>
      <c r="U2852" s="157"/>
      <c r="V2852" s="3589"/>
      <c r="W2852" s="960">
        <v>6</v>
      </c>
      <c r="X2852" s="960">
        <v>6</v>
      </c>
      <c r="Y2852" s="960">
        <v>6</v>
      </c>
      <c r="Z2852" s="960">
        <v>6</v>
      </c>
      <c r="AA2852" s="960">
        <v>6</v>
      </c>
      <c r="AB2852" s="960">
        <v>6</v>
      </c>
      <c r="AC2852" s="960"/>
      <c r="AD2852" s="960"/>
      <c r="AE2852" s="960"/>
      <c r="AF2852" s="960"/>
      <c r="AG2852" s="960"/>
      <c r="BB2852" s="647"/>
      <c r="BC2852" s="648"/>
      <c r="BD2852" s="757"/>
      <c r="BE2852" s="659"/>
    </row>
    <row r="2853" spans="1:57" s="64" customFormat="1" ht="15" customHeight="1" outlineLevel="1" x14ac:dyDescent="0.25">
      <c r="A2853" s="2463"/>
      <c r="B2853" s="648"/>
      <c r="C2853" s="385"/>
      <c r="D2853" s="3589"/>
      <c r="E2853" s="3721"/>
      <c r="F2853" s="3779" t="str">
        <f t="shared" si="230"/>
        <v>ASHP SEER 16 replace ASHP - early replacement SF ER2</v>
      </c>
      <c r="G2853" s="3779"/>
      <c r="H2853" s="3779"/>
      <c r="I2853" s="3779"/>
      <c r="J2853" s="3073" t="str">
        <f t="shared" si="231"/>
        <v>352550_2019_12_</v>
      </c>
      <c r="K2853" s="960">
        <v>12</v>
      </c>
      <c r="L2853" s="945"/>
      <c r="M2853" s="783"/>
      <c r="N2853" s="157"/>
      <c r="O2853" s="277"/>
      <c r="P2853" s="937"/>
      <c r="Q2853" s="937"/>
      <c r="R2853" s="937"/>
      <c r="S2853" s="924"/>
      <c r="T2853" s="1407"/>
      <c r="U2853" s="157"/>
      <c r="V2853" s="3589"/>
      <c r="W2853" s="960">
        <v>12</v>
      </c>
      <c r="X2853" s="960">
        <v>12</v>
      </c>
      <c r="Y2853" s="960">
        <v>12</v>
      </c>
      <c r="Z2853" s="960">
        <v>12</v>
      </c>
      <c r="AA2853" s="960">
        <v>12</v>
      </c>
      <c r="AB2853" s="960">
        <v>12</v>
      </c>
      <c r="AC2853" s="960"/>
      <c r="AD2853" s="960"/>
      <c r="AE2853" s="960"/>
      <c r="AF2853" s="960"/>
      <c r="AG2853" s="960"/>
      <c r="BB2853" s="647"/>
      <c r="BC2853" s="648"/>
      <c r="BD2853" s="757"/>
      <c r="BE2853" s="659"/>
    </row>
    <row r="2854" spans="1:57" s="64" customFormat="1" ht="15" customHeight="1" outlineLevel="1" x14ac:dyDescent="0.25">
      <c r="A2854" s="2463"/>
      <c r="B2854" s="648"/>
      <c r="C2854" s="385"/>
      <c r="D2854" s="3589"/>
      <c r="E2854" s="3721"/>
      <c r="F2854" s="3779" t="str">
        <f t="shared" si="230"/>
        <v>ASHP SEER 16 replace ASHP - early replacement SF ER2</v>
      </c>
      <c r="G2854" s="3779"/>
      <c r="H2854" s="3779"/>
      <c r="I2854" s="3779"/>
      <c r="J2854" s="3073" t="str">
        <f t="shared" si="231"/>
        <v>352550_2019_12_</v>
      </c>
      <c r="K2854" s="960">
        <v>12</v>
      </c>
      <c r="L2854" s="945"/>
      <c r="M2854" s="783"/>
      <c r="N2854" s="157"/>
      <c r="O2854" s="277"/>
      <c r="P2854" s="937"/>
      <c r="Q2854" s="937"/>
      <c r="R2854" s="937"/>
      <c r="S2854" s="924"/>
      <c r="T2854" s="1407"/>
      <c r="U2854" s="157"/>
      <c r="V2854" s="3589"/>
      <c r="W2854" s="960">
        <v>12</v>
      </c>
      <c r="X2854" s="960">
        <v>12</v>
      </c>
      <c r="Y2854" s="960">
        <v>12</v>
      </c>
      <c r="Z2854" s="960">
        <v>12</v>
      </c>
      <c r="AA2854" s="960">
        <v>12</v>
      </c>
      <c r="AB2854" s="960">
        <v>12</v>
      </c>
      <c r="AC2854" s="960"/>
      <c r="AD2854" s="960"/>
      <c r="AE2854" s="960"/>
      <c r="AF2854" s="960"/>
      <c r="AG2854" s="960"/>
      <c r="BB2854" s="647"/>
      <c r="BC2854" s="648"/>
      <c r="BD2854" s="757"/>
      <c r="BE2854" s="659"/>
    </row>
    <row r="2855" spans="1:57" s="64" customFormat="1" ht="15" customHeight="1" outlineLevel="1" x14ac:dyDescent="0.25">
      <c r="A2855" s="2463"/>
      <c r="B2855" s="648"/>
      <c r="C2855" s="385"/>
      <c r="D2855" s="3589"/>
      <c r="E2855" s="3721"/>
      <c r="F2855" s="3779" t="str">
        <f t="shared" si="230"/>
        <v>ASHP - SEER 16 - replace electric furnace / CAC SF</v>
      </c>
      <c r="G2855" s="3779"/>
      <c r="H2855" s="3779"/>
      <c r="I2855" s="3779"/>
      <c r="J2855" s="3073" t="str">
        <f t="shared" si="231"/>
        <v>352600_2019_12_</v>
      </c>
      <c r="K2855" s="960">
        <v>18</v>
      </c>
      <c r="L2855" s="945"/>
      <c r="M2855" s="783"/>
      <c r="N2855" s="157"/>
      <c r="O2855" s="277"/>
      <c r="P2855" s="937"/>
      <c r="Q2855" s="937"/>
      <c r="R2855" s="937"/>
      <c r="S2855" s="924"/>
      <c r="T2855" s="1407"/>
      <c r="U2855" s="157"/>
      <c r="V2855" s="3589"/>
      <c r="W2855" s="960">
        <v>18</v>
      </c>
      <c r="X2855" s="960">
        <v>18</v>
      </c>
      <c r="Y2855" s="960">
        <v>18</v>
      </c>
      <c r="Z2855" s="960">
        <v>18</v>
      </c>
      <c r="AA2855" s="960">
        <v>18</v>
      </c>
      <c r="AB2855" s="960">
        <v>18</v>
      </c>
      <c r="AC2855" s="960"/>
      <c r="AD2855" s="960"/>
      <c r="AE2855" s="960"/>
      <c r="AF2855" s="960"/>
      <c r="AG2855" s="960"/>
      <c r="BB2855" s="647"/>
      <c r="BC2855" s="648"/>
      <c r="BD2855" s="757"/>
      <c r="BE2855" s="659"/>
    </row>
    <row r="2856" spans="1:57" s="64" customFormat="1" ht="15" customHeight="1" outlineLevel="1" x14ac:dyDescent="0.25">
      <c r="A2856" s="2463"/>
      <c r="B2856" s="648"/>
      <c r="C2856" s="385"/>
      <c r="D2856" s="3589"/>
      <c r="E2856" s="3721"/>
      <c r="F2856" s="3779" t="str">
        <f t="shared" si="230"/>
        <v>ASHP - SEER 16 - replace electric furnace / CAC SF</v>
      </c>
      <c r="G2856" s="3779"/>
      <c r="H2856" s="3779"/>
      <c r="I2856" s="3779"/>
      <c r="J2856" s="3073" t="str">
        <f t="shared" si="231"/>
        <v>352600_2019_12_</v>
      </c>
      <c r="K2856" s="960">
        <v>18</v>
      </c>
      <c r="L2856" s="945"/>
      <c r="M2856" s="783"/>
      <c r="N2856" s="157"/>
      <c r="O2856" s="277"/>
      <c r="P2856" s="937"/>
      <c r="Q2856" s="937"/>
      <c r="R2856" s="937"/>
      <c r="S2856" s="924"/>
      <c r="T2856" s="1407"/>
      <c r="U2856" s="157"/>
      <c r="V2856" s="3589"/>
      <c r="W2856" s="960">
        <v>18</v>
      </c>
      <c r="X2856" s="960">
        <v>18</v>
      </c>
      <c r="Y2856" s="960">
        <v>18</v>
      </c>
      <c r="Z2856" s="960">
        <v>18</v>
      </c>
      <c r="AA2856" s="960">
        <v>18</v>
      </c>
      <c r="AB2856" s="960">
        <v>18</v>
      </c>
      <c r="AC2856" s="960"/>
      <c r="AD2856" s="960"/>
      <c r="AE2856" s="960"/>
      <c r="AF2856" s="960"/>
      <c r="AG2856" s="960"/>
      <c r="BB2856" s="647"/>
      <c r="BC2856" s="648"/>
      <c r="BD2856" s="757"/>
      <c r="BE2856" s="659"/>
    </row>
    <row r="2857" spans="1:57" s="64" customFormat="1" ht="15" customHeight="1" outlineLevel="1" x14ac:dyDescent="0.25">
      <c r="A2857" s="2463"/>
      <c r="B2857" s="648"/>
      <c r="C2857" s="385"/>
      <c r="D2857" s="3589"/>
      <c r="E2857" s="3721"/>
      <c r="F2857" s="3779" t="str">
        <f t="shared" si="230"/>
        <v>ASHP SEER 16 replace ASHP - replace on fail SF</v>
      </c>
      <c r="G2857" s="3779"/>
      <c r="H2857" s="3779"/>
      <c r="I2857" s="3779"/>
      <c r="J2857" s="3073" t="str">
        <f t="shared" si="231"/>
        <v>352650_2019_12_</v>
      </c>
      <c r="K2857" s="960">
        <v>18</v>
      </c>
      <c r="L2857" s="945"/>
      <c r="M2857" s="783"/>
      <c r="N2857" s="157"/>
      <c r="O2857" s="277"/>
      <c r="P2857" s="937"/>
      <c r="Q2857" s="937"/>
      <c r="R2857" s="937"/>
      <c r="S2857" s="924"/>
      <c r="T2857" s="1407"/>
      <c r="U2857" s="157"/>
      <c r="V2857" s="3589"/>
      <c r="W2857" s="960">
        <v>18</v>
      </c>
      <c r="X2857" s="960">
        <v>18</v>
      </c>
      <c r="Y2857" s="960">
        <v>18</v>
      </c>
      <c r="Z2857" s="960">
        <v>18</v>
      </c>
      <c r="AA2857" s="960">
        <v>18</v>
      </c>
      <c r="AB2857" s="960">
        <v>18</v>
      </c>
      <c r="AC2857" s="960"/>
      <c r="AD2857" s="960"/>
      <c r="AE2857" s="960"/>
      <c r="AF2857" s="960"/>
      <c r="AG2857" s="960"/>
      <c r="BB2857" s="647"/>
      <c r="BC2857" s="648"/>
      <c r="BD2857" s="757"/>
      <c r="BE2857" s="659"/>
    </row>
    <row r="2858" spans="1:57" s="64" customFormat="1" ht="15" customHeight="1" outlineLevel="1" x14ac:dyDescent="0.25">
      <c r="A2858" s="2463"/>
      <c r="B2858" s="648"/>
      <c r="C2858" s="385"/>
      <c r="D2858" s="3589"/>
      <c r="E2858" s="3721"/>
      <c r="F2858" s="3779" t="str">
        <f t="shared" si="230"/>
        <v>ASHP SEER 16 replace ASHP - replace on fail SF</v>
      </c>
      <c r="G2858" s="3779"/>
      <c r="H2858" s="3779"/>
      <c r="I2858" s="3779"/>
      <c r="J2858" s="3073" t="str">
        <f t="shared" si="231"/>
        <v>352650_2019_12_</v>
      </c>
      <c r="K2858" s="960">
        <v>18</v>
      </c>
      <c r="L2858" s="945"/>
      <c r="M2858" s="783"/>
      <c r="N2858" s="157"/>
      <c r="O2858" s="277"/>
      <c r="P2858" s="937"/>
      <c r="Q2858" s="937"/>
      <c r="R2858" s="937"/>
      <c r="S2858" s="924"/>
      <c r="T2858" s="1407"/>
      <c r="U2858" s="157"/>
      <c r="V2858" s="3589"/>
      <c r="W2858" s="960">
        <v>18</v>
      </c>
      <c r="X2858" s="960">
        <v>18</v>
      </c>
      <c r="Y2858" s="960">
        <v>18</v>
      </c>
      <c r="Z2858" s="960">
        <v>18</v>
      </c>
      <c r="AA2858" s="960">
        <v>18</v>
      </c>
      <c r="AB2858" s="960">
        <v>18</v>
      </c>
      <c r="AC2858" s="960"/>
      <c r="AD2858" s="960"/>
      <c r="AE2858" s="960"/>
      <c r="AF2858" s="960"/>
      <c r="AG2858" s="960"/>
      <c r="BB2858" s="647"/>
      <c r="BC2858" s="648"/>
      <c r="BD2858" s="757"/>
      <c r="BE2858" s="659"/>
    </row>
    <row r="2859" spans="1:57" s="64" customFormat="1" ht="15" customHeight="1" outlineLevel="1" x14ac:dyDescent="0.25">
      <c r="A2859" s="2463"/>
      <c r="B2859" s="648"/>
      <c r="C2859" s="385"/>
      <c r="D2859" s="3589"/>
      <c r="E2859" s="3721"/>
      <c r="F2859" s="3779" t="str">
        <f t="shared" si="230"/>
        <v>ASHP SEER 15 MF ER replace ASHP: HVAC ER1</v>
      </c>
      <c r="G2859" s="3779"/>
      <c r="H2859" s="3779"/>
      <c r="I2859" s="3779"/>
      <c r="J2859" s="3073" t="str">
        <f t="shared" si="231"/>
        <v>352700_2019_12_</v>
      </c>
      <c r="K2859" s="960">
        <v>6</v>
      </c>
      <c r="L2859" s="945"/>
      <c r="M2859" s="783"/>
      <c r="N2859" s="157"/>
      <c r="O2859" s="277"/>
      <c r="P2859" s="937"/>
      <c r="Q2859" s="937"/>
      <c r="R2859" s="937"/>
      <c r="S2859" s="924"/>
      <c r="T2859" s="1407"/>
      <c r="U2859" s="157"/>
      <c r="V2859" s="3589"/>
      <c r="W2859" s="960">
        <v>6</v>
      </c>
      <c r="X2859" s="960">
        <v>6</v>
      </c>
      <c r="Y2859" s="960">
        <v>6</v>
      </c>
      <c r="Z2859" s="960">
        <v>6</v>
      </c>
      <c r="AA2859" s="960">
        <v>6</v>
      </c>
      <c r="AB2859" s="960">
        <v>6</v>
      </c>
      <c r="AC2859" s="960"/>
      <c r="AD2859" s="960"/>
      <c r="AE2859" s="960"/>
      <c r="AF2859" s="960"/>
      <c r="AG2859" s="960"/>
      <c r="BB2859" s="647"/>
      <c r="BC2859" s="648"/>
      <c r="BD2859" s="757"/>
      <c r="BE2859" s="659"/>
    </row>
    <row r="2860" spans="1:57" s="64" customFormat="1" ht="15" customHeight="1" outlineLevel="1" x14ac:dyDescent="0.25">
      <c r="A2860" s="2463"/>
      <c r="B2860" s="648"/>
      <c r="C2860" s="385"/>
      <c r="D2860" s="3589"/>
      <c r="E2860" s="3721"/>
      <c r="F2860" s="3779" t="str">
        <f t="shared" si="230"/>
        <v>ASHP SEER 15 MF ER replace ASHP: HVAC ER1</v>
      </c>
      <c r="G2860" s="3779"/>
      <c r="H2860" s="3779"/>
      <c r="I2860" s="3779"/>
      <c r="J2860" s="3073" t="str">
        <f t="shared" si="231"/>
        <v>352700_2019_12_</v>
      </c>
      <c r="K2860" s="960">
        <v>6</v>
      </c>
      <c r="L2860" s="945"/>
      <c r="M2860" s="783"/>
      <c r="N2860" s="157"/>
      <c r="O2860" s="277"/>
      <c r="P2860" s="937"/>
      <c r="Q2860" s="937"/>
      <c r="R2860" s="937"/>
      <c r="S2860" s="924"/>
      <c r="T2860" s="1407"/>
      <c r="U2860" s="157"/>
      <c r="V2860" s="3589"/>
      <c r="W2860" s="960">
        <v>6</v>
      </c>
      <c r="X2860" s="960">
        <v>6</v>
      </c>
      <c r="Y2860" s="960">
        <v>6</v>
      </c>
      <c r="Z2860" s="960">
        <v>6</v>
      </c>
      <c r="AA2860" s="960">
        <v>6</v>
      </c>
      <c r="AB2860" s="960">
        <v>6</v>
      </c>
      <c r="AC2860" s="960"/>
      <c r="AD2860" s="960"/>
      <c r="AE2860" s="960"/>
      <c r="AF2860" s="960"/>
      <c r="AG2860" s="960"/>
      <c r="BB2860" s="647"/>
      <c r="BC2860" s="648"/>
      <c r="BD2860" s="757"/>
      <c r="BE2860" s="659"/>
    </row>
    <row r="2861" spans="1:57" s="64" customFormat="1" ht="15" customHeight="1" outlineLevel="1" x14ac:dyDescent="0.25">
      <c r="A2861" s="2463"/>
      <c r="B2861" s="648"/>
      <c r="C2861" s="385"/>
      <c r="D2861" s="3589"/>
      <c r="E2861" s="3721"/>
      <c r="F2861" s="3779" t="str">
        <f t="shared" si="230"/>
        <v>ASHP SEER 15 MF ER replace ASHP: HVAC ER2</v>
      </c>
      <c r="G2861" s="3779"/>
      <c r="H2861" s="3779"/>
      <c r="I2861" s="3779"/>
      <c r="J2861" s="3073" t="str">
        <f t="shared" si="231"/>
        <v>352700_2019_12_</v>
      </c>
      <c r="K2861" s="960">
        <v>12</v>
      </c>
      <c r="L2861" s="945"/>
      <c r="M2861" s="783"/>
      <c r="N2861" s="157"/>
      <c r="O2861" s="277"/>
      <c r="P2861" s="937"/>
      <c r="Q2861" s="937"/>
      <c r="R2861" s="937"/>
      <c r="S2861" s="924"/>
      <c r="T2861" s="1407"/>
      <c r="U2861" s="157"/>
      <c r="V2861" s="3589"/>
      <c r="W2861" s="960">
        <v>12</v>
      </c>
      <c r="X2861" s="960">
        <v>12</v>
      </c>
      <c r="Y2861" s="960">
        <v>12</v>
      </c>
      <c r="Z2861" s="960">
        <v>12</v>
      </c>
      <c r="AA2861" s="960">
        <v>12</v>
      </c>
      <c r="AB2861" s="960">
        <v>12</v>
      </c>
      <c r="AC2861" s="960"/>
      <c r="AD2861" s="960"/>
      <c r="AE2861" s="960"/>
      <c r="AF2861" s="960"/>
      <c r="AG2861" s="960"/>
      <c r="BB2861" s="647"/>
      <c r="BC2861" s="648"/>
      <c r="BD2861" s="757"/>
      <c r="BE2861" s="659"/>
    </row>
    <row r="2862" spans="1:57" s="64" customFormat="1" ht="15" customHeight="1" outlineLevel="1" x14ac:dyDescent="0.25">
      <c r="A2862" s="2463"/>
      <c r="B2862" s="648"/>
      <c r="C2862" s="385"/>
      <c r="D2862" s="3589"/>
      <c r="E2862" s="3721"/>
      <c r="F2862" s="3779" t="str">
        <f t="shared" si="230"/>
        <v>ASHP SEER 15 MF ER replace ASHP: HVAC ER2</v>
      </c>
      <c r="G2862" s="3779"/>
      <c r="H2862" s="3779"/>
      <c r="I2862" s="3779"/>
      <c r="J2862" s="3073" t="str">
        <f t="shared" si="231"/>
        <v>352700_2019_12_</v>
      </c>
      <c r="K2862" s="960">
        <v>12</v>
      </c>
      <c r="L2862" s="945"/>
      <c r="M2862" s="783"/>
      <c r="N2862" s="157"/>
      <c r="O2862" s="277"/>
      <c r="P2862" s="937"/>
      <c r="Q2862" s="937"/>
      <c r="R2862" s="937"/>
      <c r="S2862" s="924"/>
      <c r="T2862" s="1407"/>
      <c r="U2862" s="157"/>
      <c r="V2862" s="3589"/>
      <c r="W2862" s="960">
        <v>12</v>
      </c>
      <c r="X2862" s="960">
        <v>12</v>
      </c>
      <c r="Y2862" s="960">
        <v>12</v>
      </c>
      <c r="Z2862" s="960">
        <v>12</v>
      </c>
      <c r="AA2862" s="960">
        <v>12</v>
      </c>
      <c r="AB2862" s="960">
        <v>12</v>
      </c>
      <c r="AC2862" s="960"/>
      <c r="AD2862" s="960"/>
      <c r="AE2862" s="960"/>
      <c r="AF2862" s="960"/>
      <c r="AG2862" s="960"/>
      <c r="BB2862" s="647"/>
      <c r="BC2862" s="648"/>
      <c r="BD2862" s="757"/>
      <c r="BE2862" s="659"/>
    </row>
    <row r="2863" spans="1:57" s="64" customFormat="1" ht="15" customHeight="1" outlineLevel="1" x14ac:dyDescent="0.25">
      <c r="A2863" s="2463"/>
      <c r="B2863" s="648"/>
      <c r="C2863" s="385"/>
      <c r="D2863" s="3589"/>
      <c r="E2863" s="3721"/>
      <c r="F2863" s="3779" t="str">
        <f>E1438</f>
        <v>ASHP SEER 15 MF ER replace Elec Resist Furnace: HVAC ER1</v>
      </c>
      <c r="G2863" s="3779"/>
      <c r="H2863" s="3779"/>
      <c r="I2863" s="3779"/>
      <c r="J2863" s="3073" t="str">
        <f>C1438</f>
        <v>352750_2019_12_</v>
      </c>
      <c r="K2863" s="960">
        <v>6</v>
      </c>
      <c r="L2863" s="945"/>
      <c r="M2863" s="783"/>
      <c r="N2863" s="157"/>
      <c r="O2863" s="277"/>
      <c r="P2863" s="937"/>
      <c r="Q2863" s="937"/>
      <c r="R2863" s="937"/>
      <c r="S2863" s="924"/>
      <c r="T2863" s="1407"/>
      <c r="U2863" s="157"/>
      <c r="V2863" s="3589"/>
      <c r="W2863" s="960">
        <v>6</v>
      </c>
      <c r="X2863" s="960">
        <v>6</v>
      </c>
      <c r="Y2863" s="960">
        <v>6</v>
      </c>
      <c r="Z2863" s="960">
        <v>6</v>
      </c>
      <c r="AA2863" s="960">
        <v>6</v>
      </c>
      <c r="AB2863" s="960">
        <v>6</v>
      </c>
      <c r="AC2863" s="960"/>
      <c r="AD2863" s="960"/>
      <c r="AE2863" s="960"/>
      <c r="AF2863" s="960"/>
      <c r="AG2863" s="960"/>
      <c r="BB2863" s="647"/>
      <c r="BC2863" s="648"/>
      <c r="BD2863" s="757"/>
      <c r="BE2863" s="659"/>
    </row>
    <row r="2864" spans="1:57" s="64" customFormat="1" ht="15" customHeight="1" outlineLevel="1" x14ac:dyDescent="0.25">
      <c r="A2864" s="2463"/>
      <c r="B2864" s="648"/>
      <c r="C2864" s="385"/>
      <c r="D2864" s="3589"/>
      <c r="E2864" s="3721"/>
      <c r="F2864" s="3779" t="str">
        <f>E1439</f>
        <v>ASHP SEER 15 MF ER replace Elec Resist Furnace: HVAC ER1</v>
      </c>
      <c r="G2864" s="3779"/>
      <c r="H2864" s="3779"/>
      <c r="I2864" s="3779"/>
      <c r="J2864" s="3073" t="str">
        <f>C1439</f>
        <v>352750_2019_12_</v>
      </c>
      <c r="K2864" s="960">
        <v>6</v>
      </c>
      <c r="L2864" s="945"/>
      <c r="M2864" s="783"/>
      <c r="N2864" s="157"/>
      <c r="O2864" s="277"/>
      <c r="P2864" s="937"/>
      <c r="Q2864" s="937"/>
      <c r="R2864" s="937"/>
      <c r="S2864" s="924"/>
      <c r="T2864" s="1407"/>
      <c r="U2864" s="157"/>
      <c r="V2864" s="3589"/>
      <c r="W2864" s="960">
        <v>6</v>
      </c>
      <c r="X2864" s="960">
        <v>6</v>
      </c>
      <c r="Y2864" s="960">
        <v>6</v>
      </c>
      <c r="Z2864" s="960">
        <v>6</v>
      </c>
      <c r="AA2864" s="960">
        <v>6</v>
      </c>
      <c r="AB2864" s="960">
        <v>6</v>
      </c>
      <c r="AC2864" s="960"/>
      <c r="AD2864" s="960"/>
      <c r="AE2864" s="960"/>
      <c r="AF2864" s="960"/>
      <c r="AG2864" s="960"/>
      <c r="BB2864" s="647"/>
      <c r="BC2864" s="648"/>
      <c r="BD2864" s="757"/>
      <c r="BE2864" s="659"/>
    </row>
    <row r="2865" spans="1:57" s="64" customFormat="1" ht="15" customHeight="1" outlineLevel="1" x14ac:dyDescent="0.25">
      <c r="A2865" s="2463"/>
      <c r="B2865" s="648"/>
      <c r="C2865" s="385"/>
      <c r="D2865" s="3589"/>
      <c r="E2865" s="3721"/>
      <c r="F2865" s="3779" t="str">
        <f>E1440</f>
        <v>ASHP SEER 15 MF ER replace Elec Resist Furnace: HVAC ER2</v>
      </c>
      <c r="G2865" s="3779"/>
      <c r="H2865" s="3779"/>
      <c r="I2865" s="3779"/>
      <c r="J2865" s="3073" t="str">
        <f>C1440</f>
        <v>352750_2019_12_</v>
      </c>
      <c r="K2865" s="960">
        <v>12</v>
      </c>
      <c r="L2865" s="945"/>
      <c r="M2865" s="783"/>
      <c r="N2865" s="157"/>
      <c r="O2865" s="277"/>
      <c r="P2865" s="937"/>
      <c r="Q2865" s="937"/>
      <c r="R2865" s="937"/>
      <c r="S2865" s="924"/>
      <c r="T2865" s="1407"/>
      <c r="U2865" s="157"/>
      <c r="V2865" s="3589"/>
      <c r="W2865" s="960">
        <v>12</v>
      </c>
      <c r="X2865" s="960">
        <v>12</v>
      </c>
      <c r="Y2865" s="960">
        <v>12</v>
      </c>
      <c r="Z2865" s="960">
        <v>12</v>
      </c>
      <c r="AA2865" s="960">
        <v>12</v>
      </c>
      <c r="AB2865" s="960">
        <v>12</v>
      </c>
      <c r="AC2865" s="960"/>
      <c r="AD2865" s="960"/>
      <c r="AE2865" s="960"/>
      <c r="AF2865" s="960"/>
      <c r="AG2865" s="960"/>
      <c r="BB2865" s="647"/>
      <c r="BC2865" s="648"/>
      <c r="BD2865" s="757"/>
      <c r="BE2865" s="659"/>
    </row>
    <row r="2866" spans="1:57" s="64" customFormat="1" ht="15" customHeight="1" outlineLevel="1" x14ac:dyDescent="0.25">
      <c r="A2866" s="2463"/>
      <c r="B2866" s="648"/>
      <c r="C2866" s="385"/>
      <c r="D2866" s="3589"/>
      <c r="E2866" s="3721"/>
      <c r="F2866" s="3779" t="str">
        <f>E1441</f>
        <v>ASHP SEER 15 MF ER replace Elec Resist Furnace: HVAC ER2</v>
      </c>
      <c r="G2866" s="3779"/>
      <c r="H2866" s="3779"/>
      <c r="I2866" s="3779"/>
      <c r="J2866" s="3073" t="str">
        <f>C1441</f>
        <v>352750_2019_12_</v>
      </c>
      <c r="K2866" s="960">
        <v>12</v>
      </c>
      <c r="L2866" s="945"/>
      <c r="M2866" s="783"/>
      <c r="N2866" s="157"/>
      <c r="O2866" s="277"/>
      <c r="P2866" s="937"/>
      <c r="Q2866" s="937"/>
      <c r="R2866" s="937"/>
      <c r="S2866" s="924"/>
      <c r="T2866" s="1407"/>
      <c r="U2866" s="157"/>
      <c r="V2866" s="3589"/>
      <c r="W2866" s="960">
        <v>12</v>
      </c>
      <c r="X2866" s="960">
        <v>12</v>
      </c>
      <c r="Y2866" s="960">
        <v>12</v>
      </c>
      <c r="Z2866" s="960">
        <v>12</v>
      </c>
      <c r="AA2866" s="960">
        <v>12</v>
      </c>
      <c r="AB2866" s="960">
        <v>12</v>
      </c>
      <c r="AC2866" s="960"/>
      <c r="AD2866" s="960"/>
      <c r="AE2866" s="960"/>
      <c r="AF2866" s="960"/>
      <c r="AG2866" s="960"/>
      <c r="BB2866" s="647"/>
      <c r="BC2866" s="648"/>
      <c r="BD2866" s="757"/>
      <c r="BE2866" s="659"/>
    </row>
    <row r="2867" spans="1:57" s="64" customFormat="1" ht="15" customHeight="1" outlineLevel="1" x14ac:dyDescent="0.25">
      <c r="A2867" s="2463"/>
      <c r="B2867" s="648"/>
      <c r="C2867" s="385"/>
      <c r="D2867" s="3589"/>
      <c r="E2867" s="3721"/>
      <c r="F2867" s="3779" t="str">
        <f>E1446</f>
        <v>ASHP SEER 15 MF replace at Fail Elec Resist Furnace: HVAC</v>
      </c>
      <c r="G2867" s="3779"/>
      <c r="H2867" s="3779"/>
      <c r="I2867" s="3779"/>
      <c r="J2867" s="3073" t="str">
        <f>C1446</f>
        <v>352800_2019_12_</v>
      </c>
      <c r="K2867" s="960">
        <v>18</v>
      </c>
      <c r="L2867" s="945"/>
      <c r="M2867" s="783"/>
      <c r="N2867" s="157"/>
      <c r="O2867" s="277"/>
      <c r="P2867" s="937"/>
      <c r="Q2867" s="937"/>
      <c r="R2867" s="937"/>
      <c r="S2867" s="924"/>
      <c r="T2867" s="1407"/>
      <c r="U2867" s="157"/>
      <c r="V2867" s="3589"/>
      <c r="W2867" s="960">
        <v>18</v>
      </c>
      <c r="X2867" s="960">
        <v>18</v>
      </c>
      <c r="Y2867" s="960">
        <v>18</v>
      </c>
      <c r="Z2867" s="960">
        <v>18</v>
      </c>
      <c r="AA2867" s="960">
        <v>18</v>
      </c>
      <c r="AB2867" s="960">
        <v>18</v>
      </c>
      <c r="AC2867" s="960"/>
      <c r="AD2867" s="960"/>
      <c r="AE2867" s="960"/>
      <c r="AF2867" s="960"/>
      <c r="AG2867" s="960"/>
      <c r="BB2867" s="647"/>
      <c r="BC2867" s="648"/>
      <c r="BD2867" s="757"/>
      <c r="BE2867" s="659"/>
    </row>
    <row r="2868" spans="1:57" s="64" customFormat="1" ht="15" customHeight="1" outlineLevel="1" x14ac:dyDescent="0.25">
      <c r="A2868" s="2463"/>
      <c r="B2868" s="648"/>
      <c r="C2868" s="385"/>
      <c r="D2868" s="3589"/>
      <c r="E2868" s="3721"/>
      <c r="F2868" s="3779" t="str">
        <f>E1447</f>
        <v>ASHP SEER 15 MF replace at Fail Elec Resist Furnace: HVAC</v>
      </c>
      <c r="G2868" s="3779"/>
      <c r="H2868" s="3779"/>
      <c r="I2868" s="3779"/>
      <c r="J2868" s="3073" t="str">
        <f>C1447</f>
        <v>352800_2019_12_</v>
      </c>
      <c r="K2868" s="960">
        <v>18</v>
      </c>
      <c r="L2868" s="945"/>
      <c r="M2868" s="783"/>
      <c r="N2868" s="157"/>
      <c r="O2868" s="277"/>
      <c r="P2868" s="937"/>
      <c r="Q2868" s="938"/>
      <c r="R2868" s="937"/>
      <c r="S2868" s="924"/>
      <c r="T2868" s="1407"/>
      <c r="U2868" s="157"/>
      <c r="V2868" s="3589"/>
      <c r="W2868" s="960">
        <v>18</v>
      </c>
      <c r="X2868" s="960">
        <v>18</v>
      </c>
      <c r="Y2868" s="960">
        <v>18</v>
      </c>
      <c r="Z2868" s="960">
        <v>18</v>
      </c>
      <c r="AA2868" s="960">
        <v>18</v>
      </c>
      <c r="AB2868" s="960">
        <v>18</v>
      </c>
      <c r="AC2868" s="960"/>
      <c r="AD2868" s="960"/>
      <c r="AE2868" s="960"/>
      <c r="AF2868" s="960"/>
      <c r="AG2868" s="960"/>
      <c r="BB2868" s="647"/>
      <c r="BC2868" s="648"/>
      <c r="BD2868" s="757"/>
      <c r="BE2868" s="659"/>
    </row>
    <row r="2869" spans="1:57" s="64" customFormat="1" ht="15" customHeight="1" outlineLevel="1" x14ac:dyDescent="0.25">
      <c r="A2869" s="2463"/>
      <c r="B2869" s="648"/>
      <c r="C2869" s="385"/>
      <c r="D2869" s="3589"/>
      <c r="E2869" s="3721"/>
      <c r="F2869" s="3779" t="str">
        <f>E1450</f>
        <v>ASHP SEER 16 MF ER replace ASHP: HVAC ER1</v>
      </c>
      <c r="G2869" s="3779"/>
      <c r="H2869" s="3779"/>
      <c r="I2869" s="3779"/>
      <c r="J2869" s="3073" t="str">
        <f>C1450</f>
        <v>352850_2019_12_</v>
      </c>
      <c r="K2869" s="960">
        <v>6</v>
      </c>
      <c r="L2869" s="945"/>
      <c r="M2869" s="783"/>
      <c r="N2869" s="157"/>
      <c r="O2869" s="277"/>
      <c r="P2869" s="937"/>
      <c r="Q2869" s="938"/>
      <c r="R2869" s="937"/>
      <c r="S2869" s="924"/>
      <c r="T2869" s="1407"/>
      <c r="U2869" s="157"/>
      <c r="V2869" s="3589"/>
      <c r="W2869" s="960">
        <v>6</v>
      </c>
      <c r="X2869" s="960">
        <v>6</v>
      </c>
      <c r="Y2869" s="960">
        <v>6</v>
      </c>
      <c r="Z2869" s="960">
        <v>6</v>
      </c>
      <c r="AA2869" s="960">
        <v>6</v>
      </c>
      <c r="AB2869" s="960">
        <v>6</v>
      </c>
      <c r="AC2869" s="960"/>
      <c r="AD2869" s="960"/>
      <c r="AE2869" s="960"/>
      <c r="AF2869" s="960"/>
      <c r="AG2869" s="960"/>
      <c r="BB2869" s="647"/>
      <c r="BC2869" s="648"/>
      <c r="BD2869" s="757"/>
      <c r="BE2869" s="659"/>
    </row>
    <row r="2870" spans="1:57" s="64" customFormat="1" ht="15" customHeight="1" outlineLevel="1" x14ac:dyDescent="0.25">
      <c r="A2870" s="2463"/>
      <c r="B2870" s="648"/>
      <c r="C2870" s="385"/>
      <c r="D2870" s="3589"/>
      <c r="E2870" s="3721"/>
      <c r="F2870" s="3779" t="str">
        <f>E1451</f>
        <v>ASHP SEER 16 MF ER replace ASHP: HVAC ER1</v>
      </c>
      <c r="G2870" s="3779"/>
      <c r="H2870" s="3779"/>
      <c r="I2870" s="3779"/>
      <c r="J2870" s="3073" t="str">
        <f>C1451</f>
        <v>352850_2019_12_</v>
      </c>
      <c r="K2870" s="960">
        <v>6</v>
      </c>
      <c r="L2870" s="945"/>
      <c r="M2870" s="783"/>
      <c r="N2870" s="157"/>
      <c r="O2870" s="277"/>
      <c r="P2870" s="937"/>
      <c r="Q2870" s="938"/>
      <c r="R2870" s="937"/>
      <c r="S2870" s="924"/>
      <c r="T2870" s="1407"/>
      <c r="U2870" s="157"/>
      <c r="V2870" s="3589"/>
      <c r="W2870" s="960">
        <v>6</v>
      </c>
      <c r="X2870" s="960">
        <v>6</v>
      </c>
      <c r="Y2870" s="960">
        <v>6</v>
      </c>
      <c r="Z2870" s="960">
        <v>6</v>
      </c>
      <c r="AA2870" s="960">
        <v>6</v>
      </c>
      <c r="AB2870" s="960">
        <v>6</v>
      </c>
      <c r="AC2870" s="960"/>
      <c r="AD2870" s="960"/>
      <c r="AE2870" s="960"/>
      <c r="AF2870" s="960"/>
      <c r="AG2870" s="960"/>
      <c r="BB2870" s="647"/>
      <c r="BC2870" s="648"/>
      <c r="BD2870" s="757"/>
      <c r="BE2870" s="659"/>
    </row>
    <row r="2871" spans="1:57" s="64" customFormat="1" ht="15" customHeight="1" outlineLevel="1" x14ac:dyDescent="0.25">
      <c r="A2871" s="2463"/>
      <c r="B2871" s="648"/>
      <c r="C2871" s="385"/>
      <c r="D2871" s="3589"/>
      <c r="E2871" s="3721"/>
      <c r="F2871" s="3779" t="str">
        <f>E1452</f>
        <v>ASHP SEER 16 MF ER replace ASHP: HVAC ER2</v>
      </c>
      <c r="G2871" s="3779"/>
      <c r="H2871" s="3779"/>
      <c r="I2871" s="3779"/>
      <c r="J2871" s="3073" t="str">
        <f>C1452</f>
        <v>352850_2019_12_</v>
      </c>
      <c r="K2871" s="960">
        <v>12</v>
      </c>
      <c r="L2871" s="945"/>
      <c r="M2871" s="783"/>
      <c r="N2871" s="157"/>
      <c r="O2871" s="277"/>
      <c r="P2871" s="937"/>
      <c r="Q2871" s="938"/>
      <c r="R2871" s="937"/>
      <c r="S2871" s="924"/>
      <c r="T2871" s="1407"/>
      <c r="U2871" s="157"/>
      <c r="V2871" s="3589"/>
      <c r="W2871" s="960">
        <v>12</v>
      </c>
      <c r="X2871" s="960">
        <v>12</v>
      </c>
      <c r="Y2871" s="960">
        <v>12</v>
      </c>
      <c r="Z2871" s="960">
        <v>12</v>
      </c>
      <c r="AA2871" s="960">
        <v>12</v>
      </c>
      <c r="AB2871" s="960">
        <v>12</v>
      </c>
      <c r="AC2871" s="960"/>
      <c r="AD2871" s="960"/>
      <c r="AE2871" s="960"/>
      <c r="AF2871" s="960"/>
      <c r="AG2871" s="960"/>
      <c r="BB2871" s="647"/>
      <c r="BC2871" s="648"/>
      <c r="BD2871" s="757"/>
      <c r="BE2871" s="659"/>
    </row>
    <row r="2872" spans="1:57" s="64" customFormat="1" ht="15" customHeight="1" outlineLevel="1" x14ac:dyDescent="0.25">
      <c r="A2872" s="2463"/>
      <c r="B2872" s="648"/>
      <c r="C2872" s="385"/>
      <c r="D2872" s="3589"/>
      <c r="E2872" s="3721"/>
      <c r="F2872" s="3779" t="str">
        <f>E1453</f>
        <v>ASHP SEER 16 MF ER replace ASHP: HVAC ER2</v>
      </c>
      <c r="G2872" s="3779"/>
      <c r="H2872" s="3779"/>
      <c r="I2872" s="3779"/>
      <c r="J2872" s="3073" t="str">
        <f>C1453</f>
        <v>352850_2019_12_</v>
      </c>
      <c r="K2872" s="960">
        <v>12</v>
      </c>
      <c r="L2872" s="945"/>
      <c r="M2872" s="783"/>
      <c r="N2872" s="157"/>
      <c r="O2872" s="277"/>
      <c r="P2872" s="937"/>
      <c r="Q2872" s="938"/>
      <c r="R2872" s="937"/>
      <c r="S2872" s="924"/>
      <c r="T2872" s="1407"/>
      <c r="U2872" s="157"/>
      <c r="V2872" s="3589"/>
      <c r="W2872" s="960">
        <v>12</v>
      </c>
      <c r="X2872" s="960">
        <v>12</v>
      </c>
      <c r="Y2872" s="960">
        <v>12</v>
      </c>
      <c r="Z2872" s="960">
        <v>12</v>
      </c>
      <c r="AA2872" s="960">
        <v>12</v>
      </c>
      <c r="AB2872" s="960">
        <v>12</v>
      </c>
      <c r="AC2872" s="960"/>
      <c r="AD2872" s="960"/>
      <c r="AE2872" s="960"/>
      <c r="AF2872" s="960"/>
      <c r="AG2872" s="960"/>
      <c r="BB2872" s="647"/>
      <c r="BC2872" s="648"/>
      <c r="BD2872" s="757"/>
      <c r="BE2872" s="659"/>
    </row>
    <row r="2873" spans="1:57" s="64" customFormat="1" ht="15" customHeight="1" outlineLevel="1" x14ac:dyDescent="0.25">
      <c r="A2873" s="2463"/>
      <c r="B2873" s="648"/>
      <c r="C2873" s="385"/>
      <c r="D2873" s="3589"/>
      <c r="E2873" s="3721"/>
      <c r="F2873" s="3779" t="str">
        <f>E1458</f>
        <v>ASHP - SEER 16 - replace on fail MF</v>
      </c>
      <c r="G2873" s="3779"/>
      <c r="H2873" s="3779"/>
      <c r="I2873" s="3779"/>
      <c r="J2873" s="3073" t="str">
        <f>C1458</f>
        <v>352900_2019_12_</v>
      </c>
      <c r="K2873" s="960">
        <v>18</v>
      </c>
      <c r="L2873" s="945"/>
      <c r="M2873" s="783"/>
      <c r="N2873" s="157"/>
      <c r="O2873" s="277"/>
      <c r="P2873" s="937"/>
      <c r="Q2873" s="938"/>
      <c r="R2873" s="937"/>
      <c r="S2873" s="924"/>
      <c r="T2873" s="1407"/>
      <c r="U2873" s="157"/>
      <c r="V2873" s="3589"/>
      <c r="W2873" s="960">
        <v>18</v>
      </c>
      <c r="X2873" s="960">
        <v>18</v>
      </c>
      <c r="Y2873" s="960">
        <v>18</v>
      </c>
      <c r="Z2873" s="960">
        <v>18</v>
      </c>
      <c r="AA2873" s="960">
        <v>18</v>
      </c>
      <c r="AB2873" s="960">
        <v>18</v>
      </c>
      <c r="AC2873" s="960"/>
      <c r="AD2873" s="960"/>
      <c r="AE2873" s="960"/>
      <c r="AF2873" s="960"/>
      <c r="AG2873" s="960"/>
      <c r="BB2873" s="647"/>
      <c r="BC2873" s="648"/>
      <c r="BD2873" s="757"/>
      <c r="BE2873" s="659"/>
    </row>
    <row r="2874" spans="1:57" s="64" customFormat="1" ht="15" customHeight="1" outlineLevel="1" x14ac:dyDescent="0.25">
      <c r="A2874" s="1393"/>
      <c r="B2874" s="648"/>
      <c r="C2874" s="385"/>
      <c r="D2874" s="3589"/>
      <c r="E2874" s="3721"/>
      <c r="F2874" s="3779" t="str">
        <f>E1459</f>
        <v>ASHP - SEER 16 - replace on fail MF</v>
      </c>
      <c r="G2874" s="3779"/>
      <c r="H2874" s="3779"/>
      <c r="I2874" s="3779"/>
      <c r="J2874" s="3073" t="str">
        <f>C1459</f>
        <v>352900_2019_12_</v>
      </c>
      <c r="K2874" s="960">
        <v>18</v>
      </c>
      <c r="L2874" s="945"/>
      <c r="M2874" s="783"/>
      <c r="N2874" s="157"/>
      <c r="O2874" s="277"/>
      <c r="P2874" s="277"/>
      <c r="Q2874" s="277"/>
      <c r="R2874" s="277"/>
      <c r="S2874" s="157"/>
      <c r="T2874" s="157"/>
      <c r="U2874" s="157"/>
      <c r="V2874" s="3589"/>
      <c r="W2874" s="960">
        <v>18</v>
      </c>
      <c r="X2874" s="960">
        <v>18</v>
      </c>
      <c r="Y2874" s="960">
        <v>18</v>
      </c>
      <c r="Z2874" s="960">
        <v>18</v>
      </c>
      <c r="AA2874" s="960">
        <v>18</v>
      </c>
      <c r="AB2874" s="960">
        <v>18</v>
      </c>
      <c r="AC2874" s="960"/>
      <c r="AD2874" s="960"/>
      <c r="AE2874" s="960"/>
      <c r="AF2874" s="960"/>
      <c r="AG2874" s="960"/>
      <c r="BB2874" s="647"/>
      <c r="BC2874" s="648"/>
      <c r="BD2874" s="757"/>
      <c r="BE2874" s="659"/>
    </row>
    <row r="2875" spans="1:57" s="64" customFormat="1" ht="15" customHeight="1" outlineLevel="1" x14ac:dyDescent="0.25">
      <c r="A2875" s="2463"/>
      <c r="B2875" s="648"/>
      <c r="C2875" s="385"/>
      <c r="D2875" s="3589"/>
      <c r="E2875" s="3721"/>
      <c r="F2875" s="3779" t="str">
        <f>E1462</f>
        <v>ASHP - SEER 16 - replace electric furnace / CAC MF</v>
      </c>
      <c r="G2875" s="3779"/>
      <c r="H2875" s="3779"/>
      <c r="I2875" s="3779"/>
      <c r="J2875" s="3073" t="str">
        <f>C1462</f>
        <v>352950_2019_12_</v>
      </c>
      <c r="K2875" s="960">
        <v>18</v>
      </c>
      <c r="L2875" s="945"/>
      <c r="M2875" s="953"/>
      <c r="N2875" s="157"/>
      <c r="O2875" s="277"/>
      <c r="P2875" s="937"/>
      <c r="Q2875" s="938"/>
      <c r="R2875" s="937"/>
      <c r="S2875" s="924"/>
      <c r="T2875" s="1407"/>
      <c r="U2875" s="157"/>
      <c r="V2875" s="3589"/>
      <c r="W2875" s="960">
        <v>18</v>
      </c>
      <c r="X2875" s="960">
        <v>18</v>
      </c>
      <c r="Y2875" s="960">
        <v>18</v>
      </c>
      <c r="Z2875" s="960">
        <v>18</v>
      </c>
      <c r="AA2875" s="960">
        <v>18</v>
      </c>
      <c r="AB2875" s="960">
        <v>18</v>
      </c>
      <c r="AC2875" s="960"/>
      <c r="AD2875" s="960"/>
      <c r="AE2875" s="960"/>
      <c r="AF2875" s="960"/>
      <c r="AG2875" s="960"/>
      <c r="BB2875" s="647"/>
      <c r="BC2875" s="648"/>
      <c r="BD2875" s="757"/>
      <c r="BE2875" s="659"/>
    </row>
    <row r="2876" spans="1:57" s="64" customFormat="1" ht="15" customHeight="1" outlineLevel="1" x14ac:dyDescent="0.25">
      <c r="A2876" s="1393"/>
      <c r="B2876" s="648"/>
      <c r="C2876" s="385"/>
      <c r="D2876" s="3589"/>
      <c r="E2876" s="3721"/>
      <c r="F2876" s="3779" t="str">
        <f>E1463</f>
        <v>ASHP - SEER 16 - replace electric furnace / CAC MF</v>
      </c>
      <c r="G2876" s="3779"/>
      <c r="H2876" s="3779"/>
      <c r="I2876" s="3779"/>
      <c r="J2876" s="3073" t="str">
        <f>C1463</f>
        <v>352950_2019_12_</v>
      </c>
      <c r="K2876" s="960">
        <v>18</v>
      </c>
      <c r="L2876" s="945"/>
      <c r="M2876" s="953"/>
      <c r="N2876" s="157"/>
      <c r="O2876" s="277"/>
      <c r="P2876" s="277"/>
      <c r="Q2876" s="277"/>
      <c r="R2876" s="277"/>
      <c r="S2876" s="157"/>
      <c r="T2876" s="157"/>
      <c r="U2876" s="157"/>
      <c r="V2876" s="3589"/>
      <c r="W2876" s="960">
        <v>18</v>
      </c>
      <c r="X2876" s="960">
        <v>18</v>
      </c>
      <c r="Y2876" s="960">
        <v>18</v>
      </c>
      <c r="Z2876" s="960">
        <v>18</v>
      </c>
      <c r="AA2876" s="960">
        <v>18</v>
      </c>
      <c r="AB2876" s="960">
        <v>18</v>
      </c>
      <c r="AC2876" s="960"/>
      <c r="AD2876" s="960"/>
      <c r="AE2876" s="960"/>
      <c r="AF2876" s="960"/>
      <c r="AG2876" s="960"/>
      <c r="BB2876" s="647"/>
      <c r="BC2876" s="648"/>
      <c r="BD2876" s="757"/>
      <c r="BE2876" s="659"/>
    </row>
    <row r="2877" spans="1:57" s="64" customFormat="1" ht="15" customHeight="1" outlineLevel="1" x14ac:dyDescent="0.25">
      <c r="A2877" s="2463"/>
      <c r="B2877" s="648"/>
      <c r="C2877" s="385"/>
      <c r="D2877" s="3589"/>
      <c r="E2877" s="3721"/>
      <c r="F2877" s="3779" t="str">
        <f>E1466</f>
        <v>ASHP - SEER 16 - replace electric furnace / CAC - early replacement MF ER1</v>
      </c>
      <c r="G2877" s="3779"/>
      <c r="H2877" s="3779"/>
      <c r="I2877" s="3779"/>
      <c r="J2877" s="3073" t="str">
        <f>C1466</f>
        <v>353000_2019_12_</v>
      </c>
      <c r="K2877" s="960">
        <v>6</v>
      </c>
      <c r="L2877" s="945"/>
      <c r="M2877" s="953"/>
      <c r="N2877" s="157"/>
      <c r="O2877" s="277"/>
      <c r="P2877" s="937"/>
      <c r="Q2877" s="938"/>
      <c r="R2877" s="937"/>
      <c r="S2877" s="924"/>
      <c r="T2877" s="1407"/>
      <c r="U2877" s="157"/>
      <c r="V2877" s="3589"/>
      <c r="W2877" s="960">
        <v>6</v>
      </c>
      <c r="X2877" s="960">
        <v>6</v>
      </c>
      <c r="Y2877" s="960">
        <v>6</v>
      </c>
      <c r="Z2877" s="960">
        <v>6</v>
      </c>
      <c r="AA2877" s="960">
        <v>6</v>
      </c>
      <c r="AB2877" s="960">
        <v>6</v>
      </c>
      <c r="AC2877" s="960"/>
      <c r="AD2877" s="960"/>
      <c r="AE2877" s="960"/>
      <c r="AF2877" s="960"/>
      <c r="AG2877" s="960"/>
      <c r="BB2877" s="647"/>
      <c r="BC2877" s="648"/>
      <c r="BD2877" s="757"/>
      <c r="BE2877" s="659"/>
    </row>
    <row r="2878" spans="1:57" s="64" customFormat="1" ht="15" customHeight="1" outlineLevel="1" x14ac:dyDescent="0.25">
      <c r="A2878" s="1393"/>
      <c r="B2878" s="648"/>
      <c r="C2878" s="385"/>
      <c r="D2878" s="3589"/>
      <c r="E2878" s="3721"/>
      <c r="F2878" s="3779" t="str">
        <f>E1467</f>
        <v>ASHP - SEER 16 - replace electric furnace / CAC - early replacement MF ER1</v>
      </c>
      <c r="G2878" s="3779"/>
      <c r="H2878" s="3779"/>
      <c r="I2878" s="3779"/>
      <c r="J2878" s="3073" t="str">
        <f>C1467</f>
        <v>353000_2019_12_</v>
      </c>
      <c r="K2878" s="960">
        <v>6</v>
      </c>
      <c r="L2878" s="945"/>
      <c r="M2878" s="953"/>
      <c r="N2878" s="157"/>
      <c r="O2878" s="277"/>
      <c r="P2878" s="277"/>
      <c r="Q2878" s="277"/>
      <c r="R2878" s="277"/>
      <c r="S2878" s="157"/>
      <c r="T2878" s="157"/>
      <c r="U2878" s="157"/>
      <c r="V2878" s="3589"/>
      <c r="W2878" s="960">
        <v>6</v>
      </c>
      <c r="X2878" s="960">
        <v>6</v>
      </c>
      <c r="Y2878" s="960">
        <v>6</v>
      </c>
      <c r="Z2878" s="960">
        <v>6</v>
      </c>
      <c r="AA2878" s="960">
        <v>6</v>
      </c>
      <c r="AB2878" s="960">
        <v>6</v>
      </c>
      <c r="AC2878" s="960"/>
      <c r="AD2878" s="960"/>
      <c r="AE2878" s="960"/>
      <c r="AF2878" s="960"/>
      <c r="AG2878" s="960"/>
      <c r="BB2878" s="647"/>
      <c r="BC2878" s="648"/>
      <c r="BD2878" s="757"/>
      <c r="BE2878" s="659"/>
    </row>
    <row r="2879" spans="1:57" s="64" customFormat="1" ht="15" customHeight="1" outlineLevel="1" x14ac:dyDescent="0.25">
      <c r="A2879" s="1393"/>
      <c r="B2879" s="648"/>
      <c r="C2879" s="385"/>
      <c r="D2879" s="3589"/>
      <c r="E2879" s="3721"/>
      <c r="F2879" s="3779" t="str">
        <f>E1468</f>
        <v>ASHP - SEER 16 - replace electric furnace / CAC - early replacement MF ER2</v>
      </c>
      <c r="G2879" s="3779"/>
      <c r="H2879" s="3779"/>
      <c r="I2879" s="3779"/>
      <c r="J2879" s="3073" t="str">
        <f>C1468</f>
        <v>353000_2019_12_</v>
      </c>
      <c r="K2879" s="960">
        <v>12</v>
      </c>
      <c r="L2879" s="945"/>
      <c r="M2879" s="953"/>
      <c r="N2879" s="157"/>
      <c r="O2879" s="277"/>
      <c r="P2879" s="277"/>
      <c r="Q2879" s="277"/>
      <c r="R2879" s="277"/>
      <c r="S2879" s="157"/>
      <c r="T2879" s="157"/>
      <c r="U2879" s="157"/>
      <c r="V2879" s="3589"/>
      <c r="W2879" s="960">
        <v>12</v>
      </c>
      <c r="X2879" s="960">
        <v>12</v>
      </c>
      <c r="Y2879" s="960">
        <v>12</v>
      </c>
      <c r="Z2879" s="960">
        <v>12</v>
      </c>
      <c r="AA2879" s="960">
        <v>12</v>
      </c>
      <c r="AB2879" s="960">
        <v>12</v>
      </c>
      <c r="AC2879" s="960"/>
      <c r="AD2879" s="960"/>
      <c r="AE2879" s="960"/>
      <c r="AF2879" s="960"/>
      <c r="AG2879" s="960"/>
      <c r="BB2879" s="647"/>
      <c r="BC2879" s="648"/>
      <c r="BD2879" s="757"/>
      <c r="BE2879" s="659"/>
    </row>
    <row r="2880" spans="1:57" s="64" customFormat="1" ht="15" customHeight="1" outlineLevel="1" x14ac:dyDescent="0.25">
      <c r="A2880" s="2463"/>
      <c r="B2880" s="648"/>
      <c r="C2880" s="385"/>
      <c r="D2880" s="3589"/>
      <c r="E2880" s="3721"/>
      <c r="F2880" s="3779" t="str">
        <f>E1469</f>
        <v>ASHP - SEER 16 - replace electric furnace / CAC - early replacement MF ER2</v>
      </c>
      <c r="G2880" s="3779"/>
      <c r="H2880" s="3779"/>
      <c r="I2880" s="3779"/>
      <c r="J2880" s="3073" t="str">
        <f>C1469</f>
        <v>353000_2019_12_</v>
      </c>
      <c r="K2880" s="960">
        <v>12</v>
      </c>
      <c r="L2880" s="945"/>
      <c r="M2880" s="953"/>
      <c r="N2880" s="157"/>
      <c r="O2880" s="277"/>
      <c r="P2880" s="937"/>
      <c r="Q2880" s="938"/>
      <c r="R2880" s="937"/>
      <c r="S2880" s="924"/>
      <c r="T2880" s="1407"/>
      <c r="U2880" s="157"/>
      <c r="V2880" s="3589"/>
      <c r="W2880" s="960">
        <v>12</v>
      </c>
      <c r="X2880" s="960">
        <v>12</v>
      </c>
      <c r="Y2880" s="960">
        <v>12</v>
      </c>
      <c r="Z2880" s="960">
        <v>12</v>
      </c>
      <c r="AA2880" s="960">
        <v>12</v>
      </c>
      <c r="AB2880" s="960">
        <v>12</v>
      </c>
      <c r="AC2880" s="960"/>
      <c r="AD2880" s="960"/>
      <c r="AE2880" s="960"/>
      <c r="AF2880" s="960"/>
      <c r="AG2880" s="960"/>
      <c r="BB2880" s="647"/>
      <c r="BC2880" s="648"/>
      <c r="BD2880" s="757"/>
      <c r="BE2880" s="659"/>
    </row>
    <row r="2881" spans="1:57" s="64" customFormat="1" ht="15" customHeight="1" outlineLevel="1" x14ac:dyDescent="0.25">
      <c r="A2881" s="2463"/>
      <c r="B2881" s="648"/>
      <c r="C2881" s="385"/>
      <c r="D2881" s="3589"/>
      <c r="E2881" s="3721"/>
      <c r="F2881" s="3779" t="str">
        <f>E1474</f>
        <v xml:space="preserve">ASHP SEER 15 - replace on Fail MF </v>
      </c>
      <c r="G2881" s="3779"/>
      <c r="H2881" s="3779"/>
      <c r="I2881" s="3779"/>
      <c r="J2881" s="3073" t="str">
        <f>C1474</f>
        <v>353050_2019_12_</v>
      </c>
      <c r="K2881" s="960">
        <v>18</v>
      </c>
      <c r="L2881" s="945"/>
      <c r="M2881" s="953"/>
      <c r="N2881" s="157"/>
      <c r="O2881" s="277"/>
      <c r="P2881" s="937"/>
      <c r="Q2881" s="938"/>
      <c r="R2881" s="937"/>
      <c r="S2881" s="924"/>
      <c r="T2881" s="1407"/>
      <c r="U2881" s="157"/>
      <c r="V2881" s="3589"/>
      <c r="W2881" s="960">
        <v>18</v>
      </c>
      <c r="X2881" s="960">
        <v>18</v>
      </c>
      <c r="Y2881" s="960">
        <v>18</v>
      </c>
      <c r="Z2881" s="960">
        <v>18</v>
      </c>
      <c r="AA2881" s="960">
        <v>18</v>
      </c>
      <c r="AB2881" s="960">
        <v>18</v>
      </c>
      <c r="AC2881" s="960"/>
      <c r="AD2881" s="960"/>
      <c r="AE2881" s="960"/>
      <c r="AF2881" s="960"/>
      <c r="AG2881" s="960"/>
      <c r="BB2881" s="647"/>
      <c r="BC2881" s="648"/>
      <c r="BD2881" s="757"/>
      <c r="BE2881" s="659"/>
    </row>
    <row r="2882" spans="1:57" s="64" customFormat="1" ht="15" customHeight="1" outlineLevel="1" x14ac:dyDescent="0.25">
      <c r="A2882" s="1393"/>
      <c r="B2882" s="648"/>
      <c r="C2882" s="385"/>
      <c r="D2882" s="3589"/>
      <c r="E2882" s="3721"/>
      <c r="F2882" s="3779" t="str">
        <f>E1475</f>
        <v xml:space="preserve">ASHP SEER 15 - replace on Fail MF </v>
      </c>
      <c r="G2882" s="3779"/>
      <c r="H2882" s="3779"/>
      <c r="I2882" s="3779"/>
      <c r="J2882" s="3073" t="str">
        <f>C1475</f>
        <v>353050_2019_12_</v>
      </c>
      <c r="K2882" s="960">
        <v>18</v>
      </c>
      <c r="L2882" s="945"/>
      <c r="M2882" s="953"/>
      <c r="N2882" s="157"/>
      <c r="O2882" s="277"/>
      <c r="P2882" s="277"/>
      <c r="Q2882" s="277"/>
      <c r="R2882" s="277"/>
      <c r="S2882" s="157"/>
      <c r="T2882" s="157"/>
      <c r="U2882" s="157"/>
      <c r="V2882" s="3589"/>
      <c r="W2882" s="960">
        <v>18</v>
      </c>
      <c r="X2882" s="960">
        <v>18</v>
      </c>
      <c r="Y2882" s="960">
        <v>18</v>
      </c>
      <c r="Z2882" s="960">
        <v>18</v>
      </c>
      <c r="AA2882" s="960">
        <v>18</v>
      </c>
      <c r="AB2882" s="960">
        <v>18</v>
      </c>
      <c r="AC2882" s="960"/>
      <c r="AD2882" s="960"/>
      <c r="AE2882" s="960"/>
      <c r="AF2882" s="960"/>
      <c r="AG2882" s="960"/>
      <c r="BB2882" s="647"/>
      <c r="BC2882" s="648"/>
      <c r="BD2882" s="757"/>
      <c r="BE2882" s="659"/>
    </row>
    <row r="2883" spans="1:57" s="64" customFormat="1" ht="15" customHeight="1" outlineLevel="1" x14ac:dyDescent="0.25">
      <c r="A2883" s="1393"/>
      <c r="B2883" s="648"/>
      <c r="C2883" s="385"/>
      <c r="D2883" s="3589"/>
      <c r="E2883" s="3721"/>
      <c r="F2883" s="3779" t="str">
        <f>E1478</f>
        <v>ASHP - SEER 17 - replace electric furnace / CAC SF</v>
      </c>
      <c r="G2883" s="3779"/>
      <c r="H2883" s="3779"/>
      <c r="I2883" s="3779"/>
      <c r="J2883" s="3073" t="str">
        <f>C1478</f>
        <v>353100_2019_12_</v>
      </c>
      <c r="K2883" s="960">
        <v>18</v>
      </c>
      <c r="L2883" s="945"/>
      <c r="M2883" s="953"/>
      <c r="N2883" s="157"/>
      <c r="O2883" s="277"/>
      <c r="P2883" s="277"/>
      <c r="Q2883" s="277"/>
      <c r="R2883" s="277"/>
      <c r="S2883" s="157"/>
      <c r="T2883" s="157"/>
      <c r="U2883" s="157"/>
      <c r="V2883" s="3589"/>
      <c r="W2883" s="960">
        <v>18</v>
      </c>
      <c r="X2883" s="960">
        <v>18</v>
      </c>
      <c r="Y2883" s="960">
        <v>18</v>
      </c>
      <c r="Z2883" s="960">
        <v>18</v>
      </c>
      <c r="AA2883" s="960">
        <v>18</v>
      </c>
      <c r="AB2883" s="960">
        <v>18</v>
      </c>
      <c r="AC2883" s="960"/>
      <c r="AD2883" s="960"/>
      <c r="AE2883" s="960"/>
      <c r="AF2883" s="960"/>
      <c r="AG2883" s="960"/>
      <c r="BB2883" s="647"/>
      <c r="BC2883" s="648"/>
      <c r="BD2883" s="757"/>
      <c r="BE2883" s="659"/>
    </row>
    <row r="2884" spans="1:57" s="64" customFormat="1" ht="15" customHeight="1" outlineLevel="1" x14ac:dyDescent="0.25">
      <c r="A2884" s="2463"/>
      <c r="B2884" s="648"/>
      <c r="C2884" s="385"/>
      <c r="D2884" s="3589"/>
      <c r="E2884" s="3721"/>
      <c r="F2884" s="3779" t="str">
        <f>E1479</f>
        <v>ASHP - SEER 17 - replace electric furnace / CAC SF</v>
      </c>
      <c r="G2884" s="3779"/>
      <c r="H2884" s="3779"/>
      <c r="I2884" s="3779"/>
      <c r="J2884" s="3073" t="str">
        <f>C1479</f>
        <v>353100_2019_12_</v>
      </c>
      <c r="K2884" s="960">
        <v>18</v>
      </c>
      <c r="L2884" s="945"/>
      <c r="M2884" s="953"/>
      <c r="N2884" s="157"/>
      <c r="O2884" s="277"/>
      <c r="P2884" s="937"/>
      <c r="Q2884" s="938"/>
      <c r="R2884" s="937"/>
      <c r="S2884" s="924"/>
      <c r="T2884" s="1407"/>
      <c r="U2884" s="157"/>
      <c r="V2884" s="3589"/>
      <c r="W2884" s="960">
        <v>18</v>
      </c>
      <c r="X2884" s="960">
        <v>18</v>
      </c>
      <c r="Y2884" s="960">
        <v>18</v>
      </c>
      <c r="Z2884" s="960">
        <v>18</v>
      </c>
      <c r="AA2884" s="960">
        <v>18</v>
      </c>
      <c r="AB2884" s="960">
        <v>18</v>
      </c>
      <c r="AC2884" s="960"/>
      <c r="AD2884" s="960"/>
      <c r="AE2884" s="960"/>
      <c r="AF2884" s="960"/>
      <c r="AG2884" s="960"/>
      <c r="BB2884" s="647"/>
      <c r="BC2884" s="648"/>
      <c r="BD2884" s="757"/>
      <c r="BE2884" s="659"/>
    </row>
    <row r="2885" spans="1:57" s="64" customFormat="1" ht="15" customHeight="1" outlineLevel="1" x14ac:dyDescent="0.25">
      <c r="A2885" s="2463"/>
      <c r="B2885" s="648"/>
      <c r="C2885" s="385"/>
      <c r="D2885" s="3589"/>
      <c r="E2885" s="3721"/>
      <c r="F2885" s="3779" t="str">
        <f>E1480</f>
        <v>ASHP - SEER 17 - replace electric furnace / CAC MF</v>
      </c>
      <c r="G2885" s="3779"/>
      <c r="H2885" s="3779"/>
      <c r="I2885" s="3779"/>
      <c r="J2885" s="3073" t="str">
        <f>C1480</f>
        <v>353150_2019_12_</v>
      </c>
      <c r="K2885" s="960">
        <v>18</v>
      </c>
      <c r="L2885" s="945"/>
      <c r="M2885" s="953"/>
      <c r="N2885" s="157"/>
      <c r="O2885" s="277"/>
      <c r="P2885" s="937"/>
      <c r="Q2885" s="938"/>
      <c r="R2885" s="937"/>
      <c r="S2885" s="924"/>
      <c r="T2885" s="1407"/>
      <c r="U2885" s="157"/>
      <c r="V2885" s="3589"/>
      <c r="W2885" s="960">
        <v>18</v>
      </c>
      <c r="X2885" s="960">
        <v>18</v>
      </c>
      <c r="Y2885" s="960">
        <v>18</v>
      </c>
      <c r="Z2885" s="960">
        <v>18</v>
      </c>
      <c r="AA2885" s="960">
        <v>18</v>
      </c>
      <c r="AB2885" s="960">
        <v>18</v>
      </c>
      <c r="AC2885" s="960"/>
      <c r="AD2885" s="960"/>
      <c r="AE2885" s="960"/>
      <c r="AF2885" s="960"/>
      <c r="AG2885" s="960"/>
      <c r="BB2885" s="647"/>
      <c r="BC2885" s="648"/>
      <c r="BD2885" s="757"/>
      <c r="BE2885" s="659"/>
    </row>
    <row r="2886" spans="1:57" s="64" customFormat="1" ht="15" customHeight="1" outlineLevel="1" x14ac:dyDescent="0.25">
      <c r="A2886" s="2463"/>
      <c r="B2886" s="648"/>
      <c r="C2886" s="385"/>
      <c r="D2886" s="3589"/>
      <c r="E2886" s="3721"/>
      <c r="F2886" s="3779" t="str">
        <f>E1481</f>
        <v>ASHP - SEER 17 - replace electric furnace / CAC MF</v>
      </c>
      <c r="G2886" s="3779"/>
      <c r="H2886" s="3779"/>
      <c r="I2886" s="3779"/>
      <c r="J2886" s="3073" t="str">
        <f>C1481</f>
        <v>353150_2019_12_</v>
      </c>
      <c r="K2886" s="960">
        <v>18</v>
      </c>
      <c r="L2886" s="945"/>
      <c r="M2886" s="953"/>
      <c r="N2886" s="157"/>
      <c r="O2886" s="277"/>
      <c r="P2886" s="937"/>
      <c r="Q2886" s="938"/>
      <c r="R2886" s="937"/>
      <c r="S2886" s="924"/>
      <c r="T2886" s="1407"/>
      <c r="U2886" s="157"/>
      <c r="V2886" s="3589"/>
      <c r="W2886" s="960">
        <v>18</v>
      </c>
      <c r="X2886" s="960">
        <v>18</v>
      </c>
      <c r="Y2886" s="960">
        <v>18</v>
      </c>
      <c r="Z2886" s="960">
        <v>18</v>
      </c>
      <c r="AA2886" s="960">
        <v>18</v>
      </c>
      <c r="AB2886" s="960">
        <v>18</v>
      </c>
      <c r="AC2886" s="960"/>
      <c r="AD2886" s="960"/>
      <c r="AE2886" s="960"/>
      <c r="AF2886" s="960"/>
      <c r="AG2886" s="960"/>
      <c r="BB2886" s="647"/>
      <c r="BC2886" s="648"/>
      <c r="BD2886" s="757"/>
      <c r="BE2886" s="659"/>
    </row>
    <row r="2887" spans="1:57" s="64" customFormat="1" ht="15" customHeight="1" outlineLevel="1" x14ac:dyDescent="0.25">
      <c r="A2887" s="2463"/>
      <c r="B2887" s="648"/>
      <c r="C2887" s="385"/>
      <c r="D2887" s="3589"/>
      <c r="E2887" s="3721"/>
      <c r="F2887" s="3779" t="str">
        <f>E1484</f>
        <v>ASHP - SEER 18 - replace electric furnace / CAC SF</v>
      </c>
      <c r="G2887" s="3779"/>
      <c r="H2887" s="3779"/>
      <c r="I2887" s="3779"/>
      <c r="J2887" s="3073" t="str">
        <f>C1484</f>
        <v>353200_2019_12_</v>
      </c>
      <c r="K2887" s="960">
        <v>18</v>
      </c>
      <c r="L2887" s="945"/>
      <c r="M2887" s="953"/>
      <c r="N2887" s="157"/>
      <c r="O2887" s="277"/>
      <c r="P2887" s="937"/>
      <c r="Q2887" s="938"/>
      <c r="R2887" s="937"/>
      <c r="S2887" s="924"/>
      <c r="T2887" s="1407"/>
      <c r="U2887" s="157"/>
      <c r="V2887" s="3589"/>
      <c r="W2887" s="960">
        <v>18</v>
      </c>
      <c r="X2887" s="960">
        <v>18</v>
      </c>
      <c r="Y2887" s="960">
        <v>18</v>
      </c>
      <c r="Z2887" s="960">
        <v>18</v>
      </c>
      <c r="AA2887" s="960">
        <v>18</v>
      </c>
      <c r="AB2887" s="960">
        <v>18</v>
      </c>
      <c r="AC2887" s="960"/>
      <c r="AD2887" s="960"/>
      <c r="AE2887" s="960"/>
      <c r="AF2887" s="960"/>
      <c r="AG2887" s="960"/>
      <c r="BB2887" s="647"/>
      <c r="BC2887" s="648"/>
      <c r="BD2887" s="757"/>
      <c r="BE2887" s="659"/>
    </row>
    <row r="2888" spans="1:57" s="64" customFormat="1" ht="15" customHeight="1" outlineLevel="1" x14ac:dyDescent="0.25">
      <c r="A2888" s="2463"/>
      <c r="B2888" s="648"/>
      <c r="C2888" s="385"/>
      <c r="D2888" s="3589"/>
      <c r="E2888" s="3721"/>
      <c r="F2888" s="3779" t="str">
        <f>E1485</f>
        <v>ASHP - SEER 18 - replace electric furnace / CAC SF</v>
      </c>
      <c r="G2888" s="3779"/>
      <c r="H2888" s="3779"/>
      <c r="I2888" s="3779"/>
      <c r="J2888" s="3073" t="str">
        <f>C1485</f>
        <v>353200_2019_12_</v>
      </c>
      <c r="K2888" s="960">
        <v>18</v>
      </c>
      <c r="L2888" s="945"/>
      <c r="M2888" s="953"/>
      <c r="N2888" s="157"/>
      <c r="O2888" s="277"/>
      <c r="P2888" s="937"/>
      <c r="Q2888" s="938"/>
      <c r="R2888" s="937"/>
      <c r="S2888" s="924"/>
      <c r="T2888" s="1407"/>
      <c r="U2888" s="157"/>
      <c r="V2888" s="3589"/>
      <c r="W2888" s="960">
        <v>18</v>
      </c>
      <c r="X2888" s="960">
        <v>18</v>
      </c>
      <c r="Y2888" s="960">
        <v>18</v>
      </c>
      <c r="Z2888" s="960">
        <v>18</v>
      </c>
      <c r="AA2888" s="960">
        <v>18</v>
      </c>
      <c r="AB2888" s="960">
        <v>18</v>
      </c>
      <c r="AC2888" s="960"/>
      <c r="AD2888" s="960"/>
      <c r="AE2888" s="960"/>
      <c r="AF2888" s="960"/>
      <c r="AG2888" s="960"/>
      <c r="BB2888" s="647"/>
      <c r="BC2888" s="648"/>
      <c r="BD2888" s="757"/>
      <c r="BE2888" s="659"/>
    </row>
    <row r="2889" spans="1:57" s="64" customFormat="1" ht="15" customHeight="1" outlineLevel="1" x14ac:dyDescent="0.25">
      <c r="A2889" s="2463"/>
      <c r="B2889" s="648"/>
      <c r="C2889" s="385"/>
      <c r="D2889" s="3589"/>
      <c r="E2889" s="3721"/>
      <c r="F2889" s="3779" t="str">
        <f>E1486</f>
        <v>ASHP - SEER 18 - replace electric furnace / CAC MF</v>
      </c>
      <c r="G2889" s="3779"/>
      <c r="H2889" s="3779"/>
      <c r="I2889" s="3779"/>
      <c r="J2889" s="3073" t="str">
        <f>C1486</f>
        <v>353250_2019_12_</v>
      </c>
      <c r="K2889" s="960">
        <v>18</v>
      </c>
      <c r="L2889" s="945"/>
      <c r="M2889" s="953"/>
      <c r="N2889" s="157"/>
      <c r="O2889" s="277"/>
      <c r="P2889" s="937"/>
      <c r="Q2889" s="938"/>
      <c r="R2889" s="937"/>
      <c r="S2889" s="924"/>
      <c r="T2889" s="1407"/>
      <c r="U2889" s="157"/>
      <c r="V2889" s="3589"/>
      <c r="W2889" s="960">
        <v>18</v>
      </c>
      <c r="X2889" s="960">
        <v>18</v>
      </c>
      <c r="Y2889" s="960">
        <v>18</v>
      </c>
      <c r="Z2889" s="960">
        <v>18</v>
      </c>
      <c r="AA2889" s="960">
        <v>18</v>
      </c>
      <c r="AB2889" s="960">
        <v>18</v>
      </c>
      <c r="AC2889" s="960"/>
      <c r="AD2889" s="960"/>
      <c r="AE2889" s="960"/>
      <c r="AF2889" s="960"/>
      <c r="AG2889" s="960"/>
      <c r="BB2889" s="647"/>
      <c r="BC2889" s="648"/>
      <c r="BD2889" s="757"/>
      <c r="BE2889" s="659"/>
    </row>
    <row r="2890" spans="1:57" s="64" customFormat="1" ht="15" customHeight="1" outlineLevel="1" x14ac:dyDescent="0.25">
      <c r="A2890" s="2463"/>
      <c r="B2890" s="648"/>
      <c r="C2890" s="385"/>
      <c r="D2890" s="3589"/>
      <c r="E2890" s="3721"/>
      <c r="F2890" s="3779" t="str">
        <f>E1487</f>
        <v>ASHP - SEER 18 - replace electric furnace / CAC MF</v>
      </c>
      <c r="G2890" s="3779"/>
      <c r="H2890" s="3779"/>
      <c r="I2890" s="3779"/>
      <c r="J2890" s="3073" t="str">
        <f>C1487</f>
        <v>353250_2019_12_</v>
      </c>
      <c r="K2890" s="961">
        <v>18</v>
      </c>
      <c r="L2890" s="945"/>
      <c r="M2890" s="953"/>
      <c r="N2890" s="157"/>
      <c r="O2890" s="277"/>
      <c r="P2890" s="937"/>
      <c r="Q2890" s="938"/>
      <c r="R2890" s="937"/>
      <c r="S2890" s="924"/>
      <c r="T2890" s="1407"/>
      <c r="U2890" s="157"/>
      <c r="V2890" s="3589"/>
      <c r="W2890" s="961">
        <v>18</v>
      </c>
      <c r="X2890" s="961">
        <v>18</v>
      </c>
      <c r="Y2890" s="961">
        <v>18</v>
      </c>
      <c r="Z2890" s="961">
        <v>18</v>
      </c>
      <c r="AA2890" s="961">
        <v>18</v>
      </c>
      <c r="AB2890" s="961">
        <v>18</v>
      </c>
      <c r="AC2890" s="961"/>
      <c r="AD2890" s="961"/>
      <c r="AE2890" s="961"/>
      <c r="AF2890" s="961"/>
      <c r="AG2890" s="961"/>
      <c r="BB2890" s="647"/>
      <c r="BC2890" s="648"/>
      <c r="BD2890" s="757"/>
      <c r="BE2890" s="659"/>
    </row>
    <row r="2891" spans="1:57" s="64" customFormat="1" outlineLevel="1" x14ac:dyDescent="0.25">
      <c r="A2891" s="2463"/>
      <c r="B2891" s="648"/>
      <c r="C2891" s="385"/>
      <c r="D2891" s="3589"/>
      <c r="E2891" s="3721"/>
      <c r="F2891" s="3779" t="str">
        <f>E1490</f>
        <v>ASHP - SEER 19 - replace electric furnace / CAC SF</v>
      </c>
      <c r="G2891" s="3779"/>
      <c r="H2891" s="3779"/>
      <c r="I2891" s="3779"/>
      <c r="J2891" s="3073" t="str">
        <f>C1490</f>
        <v>353300_2019_12_</v>
      </c>
      <c r="K2891" s="960">
        <v>18</v>
      </c>
      <c r="L2891" s="956"/>
      <c r="M2891" s="953"/>
      <c r="N2891" s="157"/>
      <c r="O2891" s="277"/>
      <c r="P2891" s="937"/>
      <c r="Q2891" s="938"/>
      <c r="R2891" s="937"/>
      <c r="S2891" s="924"/>
      <c r="T2891" s="1407"/>
      <c r="U2891" s="157"/>
      <c r="V2891" s="3589"/>
      <c r="W2891" s="960">
        <v>18</v>
      </c>
      <c r="X2891" s="960">
        <v>18</v>
      </c>
      <c r="Y2891" s="960">
        <v>18</v>
      </c>
      <c r="Z2891" s="960">
        <v>18</v>
      </c>
      <c r="AA2891" s="960">
        <v>18</v>
      </c>
      <c r="AB2891" s="960">
        <v>18</v>
      </c>
      <c r="AC2891" s="960"/>
      <c r="AD2891" s="960"/>
      <c r="AE2891" s="960"/>
      <c r="AF2891" s="960"/>
      <c r="AG2891" s="960"/>
      <c r="BB2891" s="647"/>
      <c r="BC2891" s="648"/>
      <c r="BD2891" s="757"/>
      <c r="BE2891" s="659"/>
    </row>
    <row r="2892" spans="1:57" s="64" customFormat="1" outlineLevel="1" x14ac:dyDescent="0.25">
      <c r="A2892" s="2463"/>
      <c r="B2892" s="648"/>
      <c r="C2892" s="385"/>
      <c r="D2892" s="3589"/>
      <c r="E2892" s="3721"/>
      <c r="F2892" s="3779" t="str">
        <f>E1491</f>
        <v>ASHP - SEER 19 - replace electric furnace / CAC SF</v>
      </c>
      <c r="G2892" s="3779"/>
      <c r="H2892" s="3779"/>
      <c r="I2892" s="3779"/>
      <c r="J2892" s="3073" t="str">
        <f>C1491</f>
        <v>353300_2019_12_</v>
      </c>
      <c r="K2892" s="960">
        <v>18</v>
      </c>
      <c r="L2892" s="956"/>
      <c r="M2892" s="953"/>
      <c r="N2892" s="157"/>
      <c r="O2892" s="277"/>
      <c r="P2892" s="937"/>
      <c r="Q2892" s="938"/>
      <c r="R2892" s="937"/>
      <c r="S2892" s="924"/>
      <c r="T2892" s="1407"/>
      <c r="U2892" s="157"/>
      <c r="V2892" s="3589"/>
      <c r="W2892" s="960">
        <v>18</v>
      </c>
      <c r="X2892" s="960">
        <v>18</v>
      </c>
      <c r="Y2892" s="960">
        <v>18</v>
      </c>
      <c r="Z2892" s="960">
        <v>18</v>
      </c>
      <c r="AA2892" s="960">
        <v>18</v>
      </c>
      <c r="AB2892" s="960">
        <v>18</v>
      </c>
      <c r="AC2892" s="960"/>
      <c r="AD2892" s="960"/>
      <c r="AE2892" s="960"/>
      <c r="AF2892" s="960"/>
      <c r="AG2892" s="960"/>
      <c r="BB2892" s="647"/>
      <c r="BC2892" s="648"/>
      <c r="BD2892" s="757"/>
      <c r="BE2892" s="659"/>
    </row>
    <row r="2893" spans="1:57" s="64" customFormat="1" outlineLevel="1" x14ac:dyDescent="0.25">
      <c r="A2893" s="2463"/>
      <c r="B2893" s="648"/>
      <c r="C2893" s="385"/>
      <c r="D2893" s="3589"/>
      <c r="E2893" s="3721"/>
      <c r="F2893" s="3779" t="str">
        <f>E1492</f>
        <v>ASHP - SEER 19 - replace electric furnace / CAC MF</v>
      </c>
      <c r="G2893" s="3779"/>
      <c r="H2893" s="3779"/>
      <c r="I2893" s="3779"/>
      <c r="J2893" s="3073" t="str">
        <f>C1492</f>
        <v>353350_2019_12_</v>
      </c>
      <c r="K2893" s="960">
        <v>18</v>
      </c>
      <c r="L2893" s="956"/>
      <c r="M2893" s="953"/>
      <c r="N2893" s="157"/>
      <c r="O2893" s="277"/>
      <c r="P2893" s="937"/>
      <c r="Q2893" s="938"/>
      <c r="R2893" s="937"/>
      <c r="S2893" s="924"/>
      <c r="T2893" s="1407"/>
      <c r="U2893" s="157"/>
      <c r="V2893" s="3589"/>
      <c r="W2893" s="960">
        <v>18</v>
      </c>
      <c r="X2893" s="960">
        <v>18</v>
      </c>
      <c r="Y2893" s="960">
        <v>18</v>
      </c>
      <c r="Z2893" s="960">
        <v>18</v>
      </c>
      <c r="AA2893" s="960">
        <v>18</v>
      </c>
      <c r="AB2893" s="960">
        <v>18</v>
      </c>
      <c r="AC2893" s="960"/>
      <c r="AD2893" s="960"/>
      <c r="AE2893" s="960"/>
      <c r="AF2893" s="960"/>
      <c r="AG2893" s="960"/>
      <c r="BB2893" s="647"/>
      <c r="BC2893" s="648"/>
      <c r="BD2893" s="757"/>
      <c r="BE2893" s="659"/>
    </row>
    <row r="2894" spans="1:57" s="64" customFormat="1" outlineLevel="1" x14ac:dyDescent="0.25">
      <c r="A2894" s="2463"/>
      <c r="B2894" s="648"/>
      <c r="C2894" s="385"/>
      <c r="D2894" s="3589"/>
      <c r="E2894" s="3721"/>
      <c r="F2894" s="3779" t="str">
        <f>E1493</f>
        <v>ASHP - SEER 19 - replace electric furnace / CAC MF</v>
      </c>
      <c r="G2894" s="3779"/>
      <c r="H2894" s="3779"/>
      <c r="I2894" s="3779"/>
      <c r="J2894" s="3073" t="str">
        <f>C1493</f>
        <v>353350_2019_12_</v>
      </c>
      <c r="K2894" s="960">
        <v>18</v>
      </c>
      <c r="L2894" s="956"/>
      <c r="M2894" s="953"/>
      <c r="N2894" s="157"/>
      <c r="O2894" s="277"/>
      <c r="P2894" s="937"/>
      <c r="Q2894" s="938"/>
      <c r="R2894" s="937"/>
      <c r="S2894" s="924"/>
      <c r="T2894" s="1407"/>
      <c r="U2894" s="157"/>
      <c r="V2894" s="3589"/>
      <c r="W2894" s="960">
        <v>18</v>
      </c>
      <c r="X2894" s="960">
        <v>18</v>
      </c>
      <c r="Y2894" s="960">
        <v>18</v>
      </c>
      <c r="Z2894" s="960">
        <v>18</v>
      </c>
      <c r="AA2894" s="960">
        <v>18</v>
      </c>
      <c r="AB2894" s="960">
        <v>18</v>
      </c>
      <c r="AC2894" s="960"/>
      <c r="AD2894" s="960"/>
      <c r="AE2894" s="960"/>
      <c r="AF2894" s="960"/>
      <c r="AG2894" s="960"/>
      <c r="BB2894" s="647"/>
      <c r="BC2894" s="648"/>
      <c r="BD2894" s="757"/>
      <c r="BE2894" s="659"/>
    </row>
    <row r="2895" spans="1:57" s="64" customFormat="1" outlineLevel="1" x14ac:dyDescent="0.25">
      <c r="A2895" s="2463"/>
      <c r="B2895" s="648"/>
      <c r="C2895" s="385"/>
      <c r="D2895" s="3589"/>
      <c r="E2895" s="3721"/>
      <c r="F2895" s="3779" t="str">
        <f t="shared" ref="F2895:F2902" si="232">E1496</f>
        <v>ASHP - SEER 20 - replace electric furnace / CAC - early replacement SF ER1</v>
      </c>
      <c r="G2895" s="3779"/>
      <c r="H2895" s="3779"/>
      <c r="I2895" s="3779"/>
      <c r="J2895" s="3073" t="str">
        <f t="shared" ref="J2895:J2902" si="233">C1496</f>
        <v>353400_2019_12_</v>
      </c>
      <c r="K2895" s="960">
        <v>6</v>
      </c>
      <c r="L2895" s="956"/>
      <c r="M2895" s="953"/>
      <c r="N2895" s="157"/>
      <c r="O2895" s="277"/>
      <c r="P2895" s="937"/>
      <c r="Q2895" s="938"/>
      <c r="R2895" s="937"/>
      <c r="S2895" s="924"/>
      <c r="T2895" s="1407"/>
      <c r="U2895" s="157"/>
      <c r="V2895" s="3589"/>
      <c r="W2895" s="960">
        <v>6</v>
      </c>
      <c r="X2895" s="960">
        <v>6</v>
      </c>
      <c r="Y2895" s="960">
        <v>6</v>
      </c>
      <c r="Z2895" s="960">
        <v>6</v>
      </c>
      <c r="AA2895" s="960">
        <v>6</v>
      </c>
      <c r="AB2895" s="960">
        <v>6</v>
      </c>
      <c r="AC2895" s="960"/>
      <c r="AD2895" s="960"/>
      <c r="AE2895" s="960"/>
      <c r="AF2895" s="960"/>
      <c r="AG2895" s="960"/>
      <c r="BB2895" s="647"/>
      <c r="BC2895" s="648"/>
      <c r="BD2895" s="757"/>
      <c r="BE2895" s="659"/>
    </row>
    <row r="2896" spans="1:57" s="64" customFormat="1" outlineLevel="1" x14ac:dyDescent="0.25">
      <c r="A2896" s="2463"/>
      <c r="B2896" s="648"/>
      <c r="C2896" s="385"/>
      <c r="D2896" s="3589"/>
      <c r="E2896" s="3721"/>
      <c r="F2896" s="3779" t="str">
        <f t="shared" si="232"/>
        <v>ASHP - SEER 20 - replace electric furnace / CAC - early replacement SF ER1</v>
      </c>
      <c r="G2896" s="3779"/>
      <c r="H2896" s="3779"/>
      <c r="I2896" s="3779"/>
      <c r="J2896" s="3073" t="str">
        <f t="shared" si="233"/>
        <v>353400_2019_12_</v>
      </c>
      <c r="K2896" s="960">
        <v>6</v>
      </c>
      <c r="L2896" s="956"/>
      <c r="M2896" s="953"/>
      <c r="N2896" s="157"/>
      <c r="O2896" s="277"/>
      <c r="P2896" s="937"/>
      <c r="Q2896" s="938"/>
      <c r="R2896" s="937"/>
      <c r="S2896" s="924"/>
      <c r="T2896" s="1407"/>
      <c r="U2896" s="157"/>
      <c r="V2896" s="3589"/>
      <c r="W2896" s="960">
        <v>6</v>
      </c>
      <c r="X2896" s="960">
        <v>6</v>
      </c>
      <c r="Y2896" s="960">
        <v>6</v>
      </c>
      <c r="Z2896" s="960">
        <v>6</v>
      </c>
      <c r="AA2896" s="960">
        <v>6</v>
      </c>
      <c r="AB2896" s="960">
        <v>6</v>
      </c>
      <c r="AC2896" s="960"/>
      <c r="AD2896" s="960"/>
      <c r="AE2896" s="960"/>
      <c r="AF2896" s="960"/>
      <c r="AG2896" s="960"/>
      <c r="BB2896" s="647"/>
      <c r="BC2896" s="648"/>
      <c r="BD2896" s="757"/>
      <c r="BE2896" s="659"/>
    </row>
    <row r="2897" spans="1:57" s="64" customFormat="1" outlineLevel="1" x14ac:dyDescent="0.25">
      <c r="A2897" s="2463"/>
      <c r="B2897" s="648"/>
      <c r="C2897" s="385"/>
      <c r="D2897" s="3589"/>
      <c r="E2897" s="3721"/>
      <c r="F2897" s="3779" t="str">
        <f t="shared" si="232"/>
        <v>ASHP - SEER 20 - replace electric furnace / CAC - early replacement SF ER2</v>
      </c>
      <c r="G2897" s="3779"/>
      <c r="H2897" s="3779"/>
      <c r="I2897" s="3779"/>
      <c r="J2897" s="3073" t="str">
        <f t="shared" si="233"/>
        <v>353400_2019_12_</v>
      </c>
      <c r="K2897" s="960">
        <v>12</v>
      </c>
      <c r="L2897" s="956"/>
      <c r="M2897" s="953"/>
      <c r="N2897" s="157"/>
      <c r="O2897" s="277"/>
      <c r="P2897" s="937"/>
      <c r="Q2897" s="938"/>
      <c r="R2897" s="937"/>
      <c r="S2897" s="924"/>
      <c r="T2897" s="1407"/>
      <c r="U2897" s="157"/>
      <c r="V2897" s="3589"/>
      <c r="W2897" s="960">
        <v>12</v>
      </c>
      <c r="X2897" s="960">
        <v>12</v>
      </c>
      <c r="Y2897" s="960">
        <v>12</v>
      </c>
      <c r="Z2897" s="960">
        <v>12</v>
      </c>
      <c r="AA2897" s="960">
        <v>12</v>
      </c>
      <c r="AB2897" s="960">
        <v>12</v>
      </c>
      <c r="AC2897" s="960"/>
      <c r="AD2897" s="960"/>
      <c r="AE2897" s="960"/>
      <c r="AF2897" s="960"/>
      <c r="AG2897" s="960"/>
      <c r="BB2897" s="647"/>
      <c r="BC2897" s="648"/>
      <c r="BD2897" s="757"/>
      <c r="BE2897" s="659"/>
    </row>
    <row r="2898" spans="1:57" s="64" customFormat="1" outlineLevel="1" x14ac:dyDescent="0.25">
      <c r="A2898" s="2463"/>
      <c r="B2898" s="648"/>
      <c r="C2898" s="385"/>
      <c r="D2898" s="3589"/>
      <c r="E2898" s="3721"/>
      <c r="F2898" s="3779" t="str">
        <f t="shared" si="232"/>
        <v>ASHP - SEER 20 - replace electric furnace / CAC - early replacement SF ER2</v>
      </c>
      <c r="G2898" s="3779"/>
      <c r="H2898" s="3779"/>
      <c r="I2898" s="3779"/>
      <c r="J2898" s="3073" t="str">
        <f t="shared" si="233"/>
        <v>353400_2019_12_</v>
      </c>
      <c r="K2898" s="960">
        <v>12</v>
      </c>
      <c r="L2898" s="956"/>
      <c r="M2898" s="953"/>
      <c r="N2898" s="157"/>
      <c r="O2898" s="277"/>
      <c r="P2898" s="937"/>
      <c r="Q2898" s="938"/>
      <c r="R2898" s="937"/>
      <c r="S2898" s="924"/>
      <c r="T2898" s="1407"/>
      <c r="U2898" s="157"/>
      <c r="V2898" s="3589"/>
      <c r="W2898" s="960">
        <v>12</v>
      </c>
      <c r="X2898" s="960">
        <v>12</v>
      </c>
      <c r="Y2898" s="960">
        <v>12</v>
      </c>
      <c r="Z2898" s="960">
        <v>12</v>
      </c>
      <c r="AA2898" s="960">
        <v>12</v>
      </c>
      <c r="AB2898" s="960">
        <v>12</v>
      </c>
      <c r="AC2898" s="960"/>
      <c r="AD2898" s="960"/>
      <c r="AE2898" s="960"/>
      <c r="AF2898" s="960"/>
      <c r="AG2898" s="960"/>
      <c r="BB2898" s="647"/>
      <c r="BC2898" s="648"/>
      <c r="BD2898" s="757"/>
      <c r="BE2898" s="659"/>
    </row>
    <row r="2899" spans="1:57" s="64" customFormat="1" outlineLevel="1" x14ac:dyDescent="0.25">
      <c r="A2899" s="2463"/>
      <c r="B2899" s="648"/>
      <c r="C2899" s="385"/>
      <c r="D2899" s="3589"/>
      <c r="E2899" s="3721"/>
      <c r="F2899" s="3779" t="str">
        <f t="shared" si="232"/>
        <v>ASHP - SEER 20 - replace electric furnace / CAC SF</v>
      </c>
      <c r="G2899" s="3779"/>
      <c r="H2899" s="3779"/>
      <c r="I2899" s="3779"/>
      <c r="J2899" s="3073" t="str">
        <f t="shared" si="233"/>
        <v>353450_2019_12_</v>
      </c>
      <c r="K2899" s="960">
        <v>18</v>
      </c>
      <c r="L2899" s="956"/>
      <c r="M2899" s="953"/>
      <c r="N2899" s="157"/>
      <c r="O2899" s="277"/>
      <c r="P2899" s="937"/>
      <c r="Q2899" s="938"/>
      <c r="R2899" s="937"/>
      <c r="S2899" s="924"/>
      <c r="T2899" s="1407"/>
      <c r="U2899" s="157"/>
      <c r="V2899" s="3589"/>
      <c r="W2899" s="960">
        <v>18</v>
      </c>
      <c r="X2899" s="960">
        <v>18</v>
      </c>
      <c r="Y2899" s="960">
        <v>18</v>
      </c>
      <c r="Z2899" s="960">
        <v>18</v>
      </c>
      <c r="AA2899" s="960">
        <v>18</v>
      </c>
      <c r="AB2899" s="960">
        <v>18</v>
      </c>
      <c r="AC2899" s="960"/>
      <c r="AD2899" s="960"/>
      <c r="AE2899" s="960"/>
      <c r="AF2899" s="960"/>
      <c r="AG2899" s="960"/>
      <c r="BB2899" s="647"/>
      <c r="BC2899" s="648"/>
      <c r="BD2899" s="757"/>
      <c r="BE2899" s="659"/>
    </row>
    <row r="2900" spans="1:57" s="64" customFormat="1" outlineLevel="1" x14ac:dyDescent="0.25">
      <c r="A2900" s="2463"/>
      <c r="B2900" s="648"/>
      <c r="C2900" s="385"/>
      <c r="D2900" s="3589"/>
      <c r="E2900" s="3721"/>
      <c r="F2900" s="3779" t="str">
        <f t="shared" si="232"/>
        <v>ASHP - SEER 20 - replace electric furnace / CAC SF</v>
      </c>
      <c r="G2900" s="3779"/>
      <c r="H2900" s="3779"/>
      <c r="I2900" s="3779"/>
      <c r="J2900" s="3073" t="str">
        <f t="shared" si="233"/>
        <v>353450_2019_12_</v>
      </c>
      <c r="K2900" s="960">
        <v>18</v>
      </c>
      <c r="L2900" s="956"/>
      <c r="M2900" s="953"/>
      <c r="N2900" s="157"/>
      <c r="O2900" s="277"/>
      <c r="P2900" s="937"/>
      <c r="Q2900" s="938"/>
      <c r="R2900" s="937"/>
      <c r="S2900" s="924"/>
      <c r="T2900" s="1407"/>
      <c r="U2900" s="157"/>
      <c r="V2900" s="3589"/>
      <c r="W2900" s="960">
        <v>18</v>
      </c>
      <c r="X2900" s="960">
        <v>18</v>
      </c>
      <c r="Y2900" s="960">
        <v>18</v>
      </c>
      <c r="Z2900" s="960">
        <v>18</v>
      </c>
      <c r="AA2900" s="960">
        <v>18</v>
      </c>
      <c r="AB2900" s="960">
        <v>18</v>
      </c>
      <c r="AC2900" s="960"/>
      <c r="AD2900" s="960"/>
      <c r="AE2900" s="960"/>
      <c r="AF2900" s="960"/>
      <c r="AG2900" s="960"/>
      <c r="BB2900" s="647"/>
      <c r="BC2900" s="648"/>
      <c r="BD2900" s="757"/>
      <c r="BE2900" s="659"/>
    </row>
    <row r="2901" spans="1:57" s="64" customFormat="1" outlineLevel="1" x14ac:dyDescent="0.25">
      <c r="A2901" s="2463"/>
      <c r="B2901" s="648"/>
      <c r="C2901" s="385"/>
      <c r="D2901" s="3589"/>
      <c r="E2901" s="3721"/>
      <c r="F2901" s="3779" t="str">
        <f t="shared" si="232"/>
        <v>ASHP - SEER 20 - replace electric furnace / CAC MF</v>
      </c>
      <c r="G2901" s="3779"/>
      <c r="H2901" s="3779"/>
      <c r="I2901" s="3779"/>
      <c r="J2901" s="3073" t="str">
        <f t="shared" si="233"/>
        <v>353500_2019_12_</v>
      </c>
      <c r="K2901" s="960">
        <v>18</v>
      </c>
      <c r="L2901" s="956"/>
      <c r="M2901" s="953"/>
      <c r="N2901" s="157"/>
      <c r="O2901" s="277"/>
      <c r="P2901" s="937"/>
      <c r="Q2901" s="938"/>
      <c r="R2901" s="937"/>
      <c r="S2901" s="924"/>
      <c r="T2901" s="1407"/>
      <c r="U2901" s="157"/>
      <c r="V2901" s="3589"/>
      <c r="W2901" s="960">
        <v>18</v>
      </c>
      <c r="X2901" s="960">
        <v>18</v>
      </c>
      <c r="Y2901" s="960">
        <v>18</v>
      </c>
      <c r="Z2901" s="960">
        <v>18</v>
      </c>
      <c r="AA2901" s="960">
        <v>18</v>
      </c>
      <c r="AB2901" s="960">
        <v>18</v>
      </c>
      <c r="AC2901" s="960"/>
      <c r="AD2901" s="960"/>
      <c r="AE2901" s="960"/>
      <c r="AF2901" s="960"/>
      <c r="AG2901" s="960"/>
      <c r="BB2901" s="647"/>
      <c r="BC2901" s="648"/>
      <c r="BD2901" s="757"/>
      <c r="BE2901" s="659"/>
    </row>
    <row r="2902" spans="1:57" s="64" customFormat="1" outlineLevel="1" x14ac:dyDescent="0.25">
      <c r="A2902" s="2463"/>
      <c r="B2902" s="648"/>
      <c r="C2902" s="385"/>
      <c r="D2902" s="3589"/>
      <c r="E2902" s="3721"/>
      <c r="F2902" s="3779" t="str">
        <f t="shared" si="232"/>
        <v>ASHP - SEER 20 - replace electric furnace / CAC MF</v>
      </c>
      <c r="G2902" s="3779"/>
      <c r="H2902" s="3779"/>
      <c r="I2902" s="3779"/>
      <c r="J2902" s="3073" t="str">
        <f t="shared" si="233"/>
        <v>353500_2019_12_</v>
      </c>
      <c r="K2902" s="960">
        <v>18</v>
      </c>
      <c r="L2902" s="956"/>
      <c r="M2902" s="953"/>
      <c r="N2902" s="157"/>
      <c r="O2902" s="277"/>
      <c r="P2902" s="937"/>
      <c r="Q2902" s="938"/>
      <c r="R2902" s="937"/>
      <c r="S2902" s="924"/>
      <c r="T2902" s="1407"/>
      <c r="U2902" s="157"/>
      <c r="V2902" s="3589"/>
      <c r="W2902" s="960">
        <v>18</v>
      </c>
      <c r="X2902" s="960">
        <v>18</v>
      </c>
      <c r="Y2902" s="960">
        <v>18</v>
      </c>
      <c r="Z2902" s="960">
        <v>18</v>
      </c>
      <c r="AA2902" s="960">
        <v>18</v>
      </c>
      <c r="AB2902" s="960">
        <v>18</v>
      </c>
      <c r="AC2902" s="960"/>
      <c r="AD2902" s="960"/>
      <c r="AE2902" s="960"/>
      <c r="AF2902" s="960"/>
      <c r="AG2902" s="960"/>
      <c r="BB2902" s="647"/>
      <c r="BC2902" s="648"/>
      <c r="BD2902" s="757"/>
      <c r="BE2902" s="659"/>
    </row>
    <row r="2903" spans="1:57" s="64" customFormat="1" outlineLevel="1" x14ac:dyDescent="0.25">
      <c r="A2903" s="2463"/>
      <c r="B2903" s="648"/>
      <c r="C2903" s="385"/>
      <c r="D2903" s="3589"/>
      <c r="E2903" s="3721"/>
      <c r="F2903" s="3779" t="str">
        <f t="shared" ref="F2903:F2910" si="234">E1506</f>
        <v>ASHP - SEER 21 - replace electric furnace / CAC - early replacement SF ER1</v>
      </c>
      <c r="G2903" s="3779"/>
      <c r="H2903" s="3779"/>
      <c r="I2903" s="3779"/>
      <c r="J2903" s="3073" t="str">
        <f t="shared" ref="J2903:J2910" si="235">C1506</f>
        <v>353550_2019_12_</v>
      </c>
      <c r="K2903" s="960">
        <v>6</v>
      </c>
      <c r="L2903" s="956"/>
      <c r="M2903" s="953"/>
      <c r="N2903" s="157"/>
      <c r="O2903" s="277"/>
      <c r="P2903" s="937"/>
      <c r="Q2903" s="938"/>
      <c r="R2903" s="937"/>
      <c r="S2903" s="924"/>
      <c r="T2903" s="1407"/>
      <c r="U2903" s="157"/>
      <c r="V2903" s="3589"/>
      <c r="W2903" s="960">
        <v>6</v>
      </c>
      <c r="X2903" s="960">
        <v>6</v>
      </c>
      <c r="Y2903" s="960">
        <v>6</v>
      </c>
      <c r="Z2903" s="960">
        <v>6</v>
      </c>
      <c r="AA2903" s="960">
        <v>6</v>
      </c>
      <c r="AB2903" s="960">
        <v>6</v>
      </c>
      <c r="AC2903" s="960"/>
      <c r="AD2903" s="960"/>
      <c r="AE2903" s="960"/>
      <c r="AF2903" s="960"/>
      <c r="AG2903" s="960"/>
      <c r="BB2903" s="647"/>
      <c r="BC2903" s="648"/>
      <c r="BD2903" s="757"/>
      <c r="BE2903" s="659"/>
    </row>
    <row r="2904" spans="1:57" s="64" customFormat="1" outlineLevel="1" x14ac:dyDescent="0.25">
      <c r="A2904" s="2463"/>
      <c r="B2904" s="648"/>
      <c r="C2904" s="385"/>
      <c r="D2904" s="3589"/>
      <c r="E2904" s="3721"/>
      <c r="F2904" s="3779" t="str">
        <f t="shared" si="234"/>
        <v>ASHP - SEER 21 - replace electric furnace / CAC - early replacement SF ER1</v>
      </c>
      <c r="G2904" s="3779"/>
      <c r="H2904" s="3779"/>
      <c r="I2904" s="3779"/>
      <c r="J2904" s="3073" t="str">
        <f t="shared" si="235"/>
        <v>353550_2019_12_</v>
      </c>
      <c r="K2904" s="960">
        <v>6</v>
      </c>
      <c r="L2904" s="956"/>
      <c r="M2904" s="953"/>
      <c r="N2904" s="157"/>
      <c r="O2904" s="277"/>
      <c r="P2904" s="937"/>
      <c r="Q2904" s="938"/>
      <c r="R2904" s="937"/>
      <c r="S2904" s="924"/>
      <c r="T2904" s="1407"/>
      <c r="U2904" s="157"/>
      <c r="V2904" s="3589"/>
      <c r="W2904" s="960">
        <v>6</v>
      </c>
      <c r="X2904" s="960">
        <v>6</v>
      </c>
      <c r="Y2904" s="960">
        <v>6</v>
      </c>
      <c r="Z2904" s="960">
        <v>6</v>
      </c>
      <c r="AA2904" s="960">
        <v>6</v>
      </c>
      <c r="AB2904" s="960">
        <v>6</v>
      </c>
      <c r="AC2904" s="960"/>
      <c r="AD2904" s="960"/>
      <c r="AE2904" s="960"/>
      <c r="AF2904" s="960"/>
      <c r="AG2904" s="960"/>
      <c r="BB2904" s="647"/>
      <c r="BC2904" s="648"/>
      <c r="BD2904" s="757"/>
      <c r="BE2904" s="659"/>
    </row>
    <row r="2905" spans="1:57" s="64" customFormat="1" outlineLevel="1" x14ac:dyDescent="0.25">
      <c r="A2905" s="2463"/>
      <c r="B2905" s="648"/>
      <c r="C2905" s="385"/>
      <c r="D2905" s="3589"/>
      <c r="E2905" s="3721"/>
      <c r="F2905" s="3779" t="str">
        <f t="shared" si="234"/>
        <v>ASHP - SEER 21 - replace electric furnace / CAC - early replacement SF ER2</v>
      </c>
      <c r="G2905" s="3779"/>
      <c r="H2905" s="3779"/>
      <c r="I2905" s="3779"/>
      <c r="J2905" s="3073" t="str">
        <f t="shared" si="235"/>
        <v>353550_2019_12_</v>
      </c>
      <c r="K2905" s="960">
        <v>12</v>
      </c>
      <c r="L2905" s="956"/>
      <c r="M2905" s="953"/>
      <c r="N2905" s="157"/>
      <c r="O2905" s="277"/>
      <c r="P2905" s="937"/>
      <c r="Q2905" s="938"/>
      <c r="R2905" s="937"/>
      <c r="S2905" s="924"/>
      <c r="T2905" s="1407"/>
      <c r="U2905" s="157"/>
      <c r="V2905" s="3589"/>
      <c r="W2905" s="960">
        <v>12</v>
      </c>
      <c r="X2905" s="960">
        <v>12</v>
      </c>
      <c r="Y2905" s="960">
        <v>12</v>
      </c>
      <c r="Z2905" s="960">
        <v>12</v>
      </c>
      <c r="AA2905" s="960">
        <v>12</v>
      </c>
      <c r="AB2905" s="960">
        <v>12</v>
      </c>
      <c r="AC2905" s="960"/>
      <c r="AD2905" s="960"/>
      <c r="AE2905" s="960"/>
      <c r="AF2905" s="960"/>
      <c r="AG2905" s="960"/>
      <c r="BB2905" s="647"/>
      <c r="BC2905" s="648"/>
      <c r="BD2905" s="757"/>
      <c r="BE2905" s="659"/>
    </row>
    <row r="2906" spans="1:57" s="64" customFormat="1" outlineLevel="1" x14ac:dyDescent="0.25">
      <c r="A2906" s="2463"/>
      <c r="B2906" s="648"/>
      <c r="C2906" s="385"/>
      <c r="D2906" s="3589"/>
      <c r="E2906" s="3721"/>
      <c r="F2906" s="3779" t="str">
        <f t="shared" si="234"/>
        <v>ASHP - SEER 21 - replace electric furnace / CAC - early replacement SF ER2</v>
      </c>
      <c r="G2906" s="3779"/>
      <c r="H2906" s="3779"/>
      <c r="I2906" s="3779"/>
      <c r="J2906" s="3073" t="str">
        <f t="shared" si="235"/>
        <v>353550_2019_12_</v>
      </c>
      <c r="K2906" s="960">
        <v>12</v>
      </c>
      <c r="L2906" s="956"/>
      <c r="M2906" s="953"/>
      <c r="N2906" s="157"/>
      <c r="O2906" s="277"/>
      <c r="P2906" s="937"/>
      <c r="Q2906" s="938"/>
      <c r="R2906" s="937"/>
      <c r="S2906" s="924"/>
      <c r="T2906" s="1407"/>
      <c r="U2906" s="157"/>
      <c r="V2906" s="3589"/>
      <c r="W2906" s="960">
        <v>12</v>
      </c>
      <c r="X2906" s="960">
        <v>12</v>
      </c>
      <c r="Y2906" s="960">
        <v>12</v>
      </c>
      <c r="Z2906" s="960">
        <v>12</v>
      </c>
      <c r="AA2906" s="960">
        <v>12</v>
      </c>
      <c r="AB2906" s="960">
        <v>12</v>
      </c>
      <c r="AC2906" s="960"/>
      <c r="AD2906" s="960"/>
      <c r="AE2906" s="960"/>
      <c r="AF2906" s="960"/>
      <c r="AG2906" s="960"/>
      <c r="BB2906" s="647"/>
      <c r="BC2906" s="648"/>
      <c r="BD2906" s="757"/>
      <c r="BE2906" s="659"/>
    </row>
    <row r="2907" spans="1:57" s="64" customFormat="1" outlineLevel="1" x14ac:dyDescent="0.25">
      <c r="A2907" s="2463"/>
      <c r="B2907" s="648"/>
      <c r="C2907" s="385"/>
      <c r="D2907" s="3589"/>
      <c r="E2907" s="3721"/>
      <c r="F2907" s="3779" t="str">
        <f t="shared" si="234"/>
        <v>ASHP - SEER 21 - replace electric furnace / CAC - early replacement MF ER1</v>
      </c>
      <c r="G2907" s="3779"/>
      <c r="H2907" s="3779"/>
      <c r="I2907" s="3779"/>
      <c r="J2907" s="3073" t="str">
        <f t="shared" si="235"/>
        <v>353600_2019_12_</v>
      </c>
      <c r="K2907" s="960">
        <v>6</v>
      </c>
      <c r="L2907" s="956"/>
      <c r="M2907" s="953"/>
      <c r="N2907" s="157"/>
      <c r="O2907" s="277"/>
      <c r="P2907" s="937"/>
      <c r="Q2907" s="938"/>
      <c r="R2907" s="937"/>
      <c r="S2907" s="924"/>
      <c r="T2907" s="1407"/>
      <c r="U2907" s="157"/>
      <c r="V2907" s="3589"/>
      <c r="W2907" s="960">
        <v>6</v>
      </c>
      <c r="X2907" s="960">
        <v>6</v>
      </c>
      <c r="Y2907" s="960">
        <v>6</v>
      </c>
      <c r="Z2907" s="960">
        <v>6</v>
      </c>
      <c r="AA2907" s="960">
        <v>6</v>
      </c>
      <c r="AB2907" s="960">
        <v>6</v>
      </c>
      <c r="AC2907" s="960"/>
      <c r="AD2907" s="960"/>
      <c r="AE2907" s="960"/>
      <c r="AF2907" s="960"/>
      <c r="AG2907" s="960"/>
      <c r="BB2907" s="647"/>
      <c r="BC2907" s="648"/>
      <c r="BD2907" s="757"/>
      <c r="BE2907" s="659"/>
    </row>
    <row r="2908" spans="1:57" s="64" customFormat="1" outlineLevel="1" x14ac:dyDescent="0.25">
      <c r="A2908" s="2463"/>
      <c r="B2908" s="648"/>
      <c r="C2908" s="385"/>
      <c r="D2908" s="3589"/>
      <c r="E2908" s="3721"/>
      <c r="F2908" s="3779" t="str">
        <f t="shared" si="234"/>
        <v>ASHP - SEER 21 - replace electric furnace / CAC - early replacement MF ER1</v>
      </c>
      <c r="G2908" s="3779"/>
      <c r="H2908" s="3779"/>
      <c r="I2908" s="3779"/>
      <c r="J2908" s="3073" t="str">
        <f t="shared" si="235"/>
        <v>353600_2019_12_</v>
      </c>
      <c r="K2908" s="960">
        <v>6</v>
      </c>
      <c r="L2908" s="956"/>
      <c r="M2908" s="953"/>
      <c r="N2908" s="157"/>
      <c r="O2908" s="277"/>
      <c r="P2908" s="937"/>
      <c r="Q2908" s="938"/>
      <c r="R2908" s="937"/>
      <c r="S2908" s="924"/>
      <c r="T2908" s="1407"/>
      <c r="U2908" s="157"/>
      <c r="V2908" s="3589"/>
      <c r="W2908" s="960">
        <v>6</v>
      </c>
      <c r="X2908" s="960">
        <v>6</v>
      </c>
      <c r="Y2908" s="960">
        <v>6</v>
      </c>
      <c r="Z2908" s="960">
        <v>6</v>
      </c>
      <c r="AA2908" s="960">
        <v>6</v>
      </c>
      <c r="AB2908" s="960">
        <v>6</v>
      </c>
      <c r="AC2908" s="960"/>
      <c r="AD2908" s="960"/>
      <c r="AE2908" s="960"/>
      <c r="AF2908" s="960"/>
      <c r="AG2908" s="960"/>
      <c r="BB2908" s="647"/>
      <c r="BC2908" s="648"/>
      <c r="BD2908" s="757"/>
      <c r="BE2908" s="659"/>
    </row>
    <row r="2909" spans="1:57" s="64" customFormat="1" outlineLevel="1" x14ac:dyDescent="0.25">
      <c r="A2909" s="2463"/>
      <c r="B2909" s="648"/>
      <c r="C2909" s="385"/>
      <c r="D2909" s="3589"/>
      <c r="E2909" s="3721"/>
      <c r="F2909" s="3779" t="str">
        <f t="shared" si="234"/>
        <v>ASHP - SEER 21 - replace electric furnace / CAC - early replacement MF ER2</v>
      </c>
      <c r="G2909" s="3779"/>
      <c r="H2909" s="3779"/>
      <c r="I2909" s="3779"/>
      <c r="J2909" s="3073" t="str">
        <f t="shared" si="235"/>
        <v>353600_2019_12_</v>
      </c>
      <c r="K2909" s="960">
        <v>12</v>
      </c>
      <c r="L2909" s="956"/>
      <c r="M2909" s="953"/>
      <c r="N2909" s="157"/>
      <c r="O2909" s="277"/>
      <c r="P2909" s="937"/>
      <c r="Q2909" s="938"/>
      <c r="R2909" s="937"/>
      <c r="S2909" s="924"/>
      <c r="T2909" s="1407"/>
      <c r="U2909" s="157"/>
      <c r="V2909" s="3589"/>
      <c r="W2909" s="960">
        <v>12</v>
      </c>
      <c r="X2909" s="960">
        <v>12</v>
      </c>
      <c r="Y2909" s="960">
        <v>12</v>
      </c>
      <c r="Z2909" s="960">
        <v>12</v>
      </c>
      <c r="AA2909" s="960">
        <v>12</v>
      </c>
      <c r="AB2909" s="960">
        <v>12</v>
      </c>
      <c r="AC2909" s="960"/>
      <c r="AD2909" s="960"/>
      <c r="AE2909" s="960"/>
      <c r="AF2909" s="960"/>
      <c r="AG2909" s="960"/>
      <c r="BB2909" s="647"/>
      <c r="BC2909" s="648"/>
      <c r="BD2909" s="757"/>
      <c r="BE2909" s="659"/>
    </row>
    <row r="2910" spans="1:57" s="64" customFormat="1" outlineLevel="1" x14ac:dyDescent="0.25">
      <c r="A2910" s="2463"/>
      <c r="B2910" s="648"/>
      <c r="C2910" s="385"/>
      <c r="D2910" s="3589"/>
      <c r="E2910" s="3721"/>
      <c r="F2910" s="3779" t="str">
        <f t="shared" si="234"/>
        <v>ASHP - SEER 21 - replace electric furnace / CAC - early replacement MF ER2</v>
      </c>
      <c r="G2910" s="3779"/>
      <c r="H2910" s="3779"/>
      <c r="I2910" s="3779"/>
      <c r="J2910" s="3073" t="str">
        <f t="shared" si="235"/>
        <v>353600_2019_12_</v>
      </c>
      <c r="K2910" s="960">
        <v>12</v>
      </c>
      <c r="L2910" s="956"/>
      <c r="M2910" s="953"/>
      <c r="N2910" s="157"/>
      <c r="O2910" s="277"/>
      <c r="P2910" s="937"/>
      <c r="Q2910" s="938"/>
      <c r="R2910" s="937"/>
      <c r="S2910" s="924"/>
      <c r="T2910" s="1407"/>
      <c r="U2910" s="157"/>
      <c r="V2910" s="3589"/>
      <c r="W2910" s="960">
        <v>12</v>
      </c>
      <c r="X2910" s="960">
        <v>12</v>
      </c>
      <c r="Y2910" s="960">
        <v>12</v>
      </c>
      <c r="Z2910" s="960">
        <v>12</v>
      </c>
      <c r="AA2910" s="960">
        <v>12</v>
      </c>
      <c r="AB2910" s="960">
        <v>12</v>
      </c>
      <c r="AC2910" s="960"/>
      <c r="AD2910" s="960"/>
      <c r="AE2910" s="960"/>
      <c r="AF2910" s="960"/>
      <c r="AG2910" s="960"/>
      <c r="BB2910" s="647"/>
      <c r="BC2910" s="648"/>
      <c r="BD2910" s="757"/>
      <c r="BE2910" s="659"/>
    </row>
    <row r="2911" spans="1:57" s="64" customFormat="1" outlineLevel="1" x14ac:dyDescent="0.25">
      <c r="A2911" s="2463"/>
      <c r="B2911" s="648"/>
      <c r="C2911" s="385"/>
      <c r="D2911" s="3589"/>
      <c r="E2911" s="3721"/>
      <c r="F2911" s="3779" t="str">
        <f>E1518</f>
        <v>ASHP - SEER 21 - replace electric furnace / CAC SF</v>
      </c>
      <c r="G2911" s="3779"/>
      <c r="H2911" s="3779"/>
      <c r="I2911" s="3779"/>
      <c r="J2911" s="3073" t="str">
        <f>C1518</f>
        <v>353650_2019_12_</v>
      </c>
      <c r="K2911" s="960">
        <v>18</v>
      </c>
      <c r="L2911" s="956"/>
      <c r="M2911" s="953"/>
      <c r="N2911" s="157"/>
      <c r="O2911" s="277"/>
      <c r="P2911" s="937"/>
      <c r="Q2911" s="938"/>
      <c r="R2911" s="937"/>
      <c r="S2911" s="924"/>
      <c r="T2911" s="1407"/>
      <c r="U2911" s="157"/>
      <c r="V2911" s="3589"/>
      <c r="W2911" s="960">
        <v>18</v>
      </c>
      <c r="X2911" s="960">
        <v>18</v>
      </c>
      <c r="Y2911" s="960">
        <v>18</v>
      </c>
      <c r="Z2911" s="960">
        <v>18</v>
      </c>
      <c r="AA2911" s="960">
        <v>18</v>
      </c>
      <c r="AB2911" s="960">
        <v>18</v>
      </c>
      <c r="AC2911" s="960"/>
      <c r="AD2911" s="960"/>
      <c r="AE2911" s="960"/>
      <c r="AF2911" s="960"/>
      <c r="AG2911" s="960"/>
      <c r="BB2911" s="647"/>
      <c r="BC2911" s="648"/>
      <c r="BD2911" s="757"/>
      <c r="BE2911" s="659"/>
    </row>
    <row r="2912" spans="1:57" s="64" customFormat="1" outlineLevel="1" x14ac:dyDescent="0.25">
      <c r="A2912" s="2463"/>
      <c r="B2912" s="648"/>
      <c r="C2912" s="385"/>
      <c r="D2912" s="3589"/>
      <c r="E2912" s="3721"/>
      <c r="F2912" s="3779" t="str">
        <f>E1519</f>
        <v>ASHP - SEER 21 - replace electric furnace / CAC SF</v>
      </c>
      <c r="G2912" s="3779"/>
      <c r="H2912" s="3779"/>
      <c r="I2912" s="3779"/>
      <c r="J2912" s="3073" t="str">
        <f>C1519</f>
        <v>353650_2019_12_</v>
      </c>
      <c r="K2912" s="960">
        <v>18</v>
      </c>
      <c r="L2912" s="956"/>
      <c r="M2912" s="953"/>
      <c r="N2912" s="157"/>
      <c r="O2912" s="277"/>
      <c r="P2912" s="937"/>
      <c r="Q2912" s="938"/>
      <c r="R2912" s="937"/>
      <c r="S2912" s="924"/>
      <c r="T2912" s="1407"/>
      <c r="U2912" s="157"/>
      <c r="V2912" s="3589"/>
      <c r="W2912" s="960">
        <v>18</v>
      </c>
      <c r="X2912" s="960">
        <v>18</v>
      </c>
      <c r="Y2912" s="960">
        <v>18</v>
      </c>
      <c r="Z2912" s="960">
        <v>18</v>
      </c>
      <c r="AA2912" s="960">
        <v>18</v>
      </c>
      <c r="AB2912" s="960">
        <v>18</v>
      </c>
      <c r="AC2912" s="960"/>
      <c r="AD2912" s="960"/>
      <c r="AE2912" s="960"/>
      <c r="AF2912" s="960"/>
      <c r="AG2912" s="960"/>
      <c r="BB2912" s="647"/>
      <c r="BC2912" s="648"/>
      <c r="BD2912" s="757"/>
      <c r="BE2912" s="659"/>
    </row>
    <row r="2913" spans="1:57" s="64" customFormat="1" outlineLevel="1" x14ac:dyDescent="0.25">
      <c r="A2913" s="2463"/>
      <c r="B2913" s="648"/>
      <c r="C2913" s="385"/>
      <c r="D2913" s="3589"/>
      <c r="E2913" s="3721"/>
      <c r="F2913" s="3779" t="str">
        <f>E1520</f>
        <v>ASHP-  SEER 21+ replace at Fail Elec Resist Furnace MF</v>
      </c>
      <c r="G2913" s="3779"/>
      <c r="H2913" s="3779"/>
      <c r="I2913" s="3779"/>
      <c r="J2913" s="3073" t="str">
        <f>C1520</f>
        <v>353700_2019_12_</v>
      </c>
      <c r="K2913" s="960">
        <v>18</v>
      </c>
      <c r="L2913" s="956"/>
      <c r="M2913" s="953"/>
      <c r="N2913" s="157"/>
      <c r="O2913" s="277"/>
      <c r="P2913" s="937"/>
      <c r="Q2913" s="938"/>
      <c r="R2913" s="937"/>
      <c r="S2913" s="924"/>
      <c r="T2913" s="1407"/>
      <c r="U2913" s="157"/>
      <c r="V2913" s="3589"/>
      <c r="W2913" s="960">
        <v>18</v>
      </c>
      <c r="X2913" s="960">
        <v>18</v>
      </c>
      <c r="Y2913" s="960">
        <v>18</v>
      </c>
      <c r="Z2913" s="960">
        <v>18</v>
      </c>
      <c r="AA2913" s="960">
        <v>18</v>
      </c>
      <c r="AB2913" s="960">
        <v>18</v>
      </c>
      <c r="AC2913" s="960"/>
      <c r="AD2913" s="960"/>
      <c r="AE2913" s="960"/>
      <c r="AF2913" s="960"/>
      <c r="AG2913" s="960"/>
      <c r="BB2913" s="647"/>
      <c r="BC2913" s="648"/>
      <c r="BD2913" s="757"/>
      <c r="BE2913" s="659"/>
    </row>
    <row r="2914" spans="1:57" s="64" customFormat="1" outlineLevel="1" x14ac:dyDescent="0.25">
      <c r="A2914" s="2463"/>
      <c r="B2914" s="648"/>
      <c r="C2914" s="385"/>
      <c r="D2914" s="3589"/>
      <c r="E2914" s="3721"/>
      <c r="F2914" s="3779" t="str">
        <f>E1521</f>
        <v>ASHP-  SEER 21+ replace at Fail Elec Resist Furnace MF</v>
      </c>
      <c r="G2914" s="3779"/>
      <c r="H2914" s="3779"/>
      <c r="I2914" s="3779"/>
      <c r="J2914" s="3073" t="str">
        <f>C1521</f>
        <v>353700_2019_12_</v>
      </c>
      <c r="K2914" s="960">
        <v>18</v>
      </c>
      <c r="L2914" s="956"/>
      <c r="M2914" s="953"/>
      <c r="N2914" s="157"/>
      <c r="O2914" s="277"/>
      <c r="P2914" s="937"/>
      <c r="Q2914" s="938"/>
      <c r="R2914" s="937"/>
      <c r="S2914" s="924"/>
      <c r="T2914" s="1407"/>
      <c r="U2914" s="157"/>
      <c r="V2914" s="3589"/>
      <c r="W2914" s="960">
        <v>18</v>
      </c>
      <c r="X2914" s="960">
        <v>18</v>
      </c>
      <c r="Y2914" s="960">
        <v>18</v>
      </c>
      <c r="Z2914" s="960">
        <v>18</v>
      </c>
      <c r="AA2914" s="960">
        <v>18</v>
      </c>
      <c r="AB2914" s="960">
        <v>18</v>
      </c>
      <c r="AC2914" s="960"/>
      <c r="AD2914" s="960"/>
      <c r="AE2914" s="960"/>
      <c r="AF2914" s="960"/>
      <c r="AG2914" s="960"/>
      <c r="BB2914" s="647"/>
      <c r="BC2914" s="648"/>
      <c r="BD2914" s="757"/>
      <c r="BE2914" s="659"/>
    </row>
    <row r="2915" spans="1:57" s="64" customFormat="1" outlineLevel="1" x14ac:dyDescent="0.25">
      <c r="A2915" s="2463"/>
      <c r="B2915" s="648"/>
      <c r="C2915" s="385"/>
      <c r="D2915" s="3589"/>
      <c r="E2915" s="3721"/>
      <c r="F2915" s="3779" t="str">
        <f t="shared" ref="F2915:F2940" si="236">E1524</f>
        <v>ASHP SEER 17 replace ASHP - early replacement SF ER1</v>
      </c>
      <c r="G2915" s="3779"/>
      <c r="H2915" s="3779"/>
      <c r="I2915" s="3779"/>
      <c r="J2915" s="3073" t="str">
        <f t="shared" ref="J2915:J2940" si="237">C1524</f>
        <v>353750_2019_12_</v>
      </c>
      <c r="K2915" s="960">
        <v>6</v>
      </c>
      <c r="L2915" s="956"/>
      <c r="M2915" s="953"/>
      <c r="N2915" s="157"/>
      <c r="O2915" s="277"/>
      <c r="P2915" s="937"/>
      <c r="Q2915" s="938"/>
      <c r="R2915" s="937"/>
      <c r="S2915" s="924"/>
      <c r="T2915" s="1407"/>
      <c r="U2915" s="157"/>
      <c r="V2915" s="3589"/>
      <c r="W2915" s="960">
        <v>6</v>
      </c>
      <c r="X2915" s="960">
        <v>6</v>
      </c>
      <c r="Y2915" s="960">
        <v>6</v>
      </c>
      <c r="Z2915" s="960">
        <v>6</v>
      </c>
      <c r="AA2915" s="960">
        <v>6</v>
      </c>
      <c r="AB2915" s="960">
        <v>6</v>
      </c>
      <c r="AC2915" s="960"/>
      <c r="AD2915" s="960"/>
      <c r="AE2915" s="960"/>
      <c r="AF2915" s="960"/>
      <c r="AG2915" s="960"/>
      <c r="BB2915" s="647"/>
      <c r="BC2915" s="648"/>
      <c r="BD2915" s="757"/>
      <c r="BE2915" s="659"/>
    </row>
    <row r="2916" spans="1:57" s="64" customFormat="1" ht="15" customHeight="1" outlineLevel="1" x14ac:dyDescent="0.25">
      <c r="A2916" s="2463"/>
      <c r="B2916" s="648"/>
      <c r="C2916" s="385"/>
      <c r="D2916" s="3589"/>
      <c r="E2916" s="3721"/>
      <c r="F2916" s="3779" t="str">
        <f t="shared" si="236"/>
        <v>ASHP SEER 17 replace ASHP - early replacement SF ER1</v>
      </c>
      <c r="G2916" s="3779"/>
      <c r="H2916" s="3779"/>
      <c r="I2916" s="3779"/>
      <c r="J2916" s="3073" t="str">
        <f t="shared" si="237"/>
        <v>353750_2019_12_</v>
      </c>
      <c r="K2916" s="960">
        <v>6</v>
      </c>
      <c r="L2916" s="945"/>
      <c r="M2916" s="783"/>
      <c r="N2916" s="157"/>
      <c r="O2916" s="277"/>
      <c r="P2916" s="937"/>
      <c r="Q2916" s="938"/>
      <c r="R2916" s="937"/>
      <c r="S2916" s="924"/>
      <c r="T2916" s="1407"/>
      <c r="U2916" s="157"/>
      <c r="V2916" s="3589"/>
      <c r="W2916" s="960">
        <v>6</v>
      </c>
      <c r="X2916" s="960">
        <v>6</v>
      </c>
      <c r="Y2916" s="960">
        <v>6</v>
      </c>
      <c r="Z2916" s="960">
        <v>6</v>
      </c>
      <c r="AA2916" s="960">
        <v>6</v>
      </c>
      <c r="AB2916" s="960">
        <v>6</v>
      </c>
      <c r="AC2916" s="960"/>
      <c r="AD2916" s="960"/>
      <c r="AE2916" s="960"/>
      <c r="AF2916" s="960"/>
      <c r="AG2916" s="960"/>
      <c r="BB2916" s="647"/>
      <c r="BC2916" s="648"/>
      <c r="BD2916" s="757"/>
      <c r="BE2916" s="659"/>
    </row>
    <row r="2917" spans="1:57" s="64" customFormat="1" ht="15" customHeight="1" outlineLevel="1" x14ac:dyDescent="0.25">
      <c r="A2917" s="2463"/>
      <c r="B2917" s="648"/>
      <c r="C2917" s="385"/>
      <c r="D2917" s="3589"/>
      <c r="E2917" s="3721"/>
      <c r="F2917" s="3779" t="str">
        <f t="shared" si="236"/>
        <v>ASHP SEER 17 replace ASHP - early replacement SF ER2</v>
      </c>
      <c r="G2917" s="3779"/>
      <c r="H2917" s="3779"/>
      <c r="I2917" s="3779"/>
      <c r="J2917" s="3073" t="str">
        <f t="shared" si="237"/>
        <v>353750_2019_12_</v>
      </c>
      <c r="K2917" s="960">
        <v>12</v>
      </c>
      <c r="L2917" s="945"/>
      <c r="M2917" s="783"/>
      <c r="N2917" s="157"/>
      <c r="O2917" s="277"/>
      <c r="P2917" s="937"/>
      <c r="Q2917" s="938"/>
      <c r="R2917" s="937"/>
      <c r="S2917" s="924"/>
      <c r="T2917" s="1407"/>
      <c r="U2917" s="157"/>
      <c r="V2917" s="3589"/>
      <c r="W2917" s="960">
        <v>12</v>
      </c>
      <c r="X2917" s="960">
        <v>12</v>
      </c>
      <c r="Y2917" s="960">
        <v>12</v>
      </c>
      <c r="Z2917" s="960">
        <v>12</v>
      </c>
      <c r="AA2917" s="960">
        <v>12</v>
      </c>
      <c r="AB2917" s="960">
        <v>12</v>
      </c>
      <c r="AC2917" s="960"/>
      <c r="AD2917" s="960"/>
      <c r="AE2917" s="960"/>
      <c r="AF2917" s="960"/>
      <c r="AG2917" s="960"/>
      <c r="BB2917" s="647"/>
      <c r="BC2917" s="648"/>
      <c r="BD2917" s="757"/>
      <c r="BE2917" s="659"/>
    </row>
    <row r="2918" spans="1:57" s="64" customFormat="1" ht="15" customHeight="1" outlineLevel="1" x14ac:dyDescent="0.25">
      <c r="A2918" s="2463"/>
      <c r="B2918" s="648"/>
      <c r="C2918" s="385"/>
      <c r="D2918" s="3589"/>
      <c r="E2918" s="3721"/>
      <c r="F2918" s="3779" t="str">
        <f t="shared" si="236"/>
        <v>ASHP SEER 17 replace ASHP - early replacement SF ER2</v>
      </c>
      <c r="G2918" s="3779"/>
      <c r="H2918" s="3779"/>
      <c r="I2918" s="3779"/>
      <c r="J2918" s="3073" t="str">
        <f t="shared" si="237"/>
        <v>353750_2019_12_</v>
      </c>
      <c r="K2918" s="960">
        <v>12</v>
      </c>
      <c r="L2918" s="945"/>
      <c r="M2918" s="783"/>
      <c r="N2918" s="157"/>
      <c r="O2918" s="277"/>
      <c r="P2918" s="937"/>
      <c r="Q2918" s="938"/>
      <c r="R2918" s="937"/>
      <c r="S2918" s="924"/>
      <c r="T2918" s="1407"/>
      <c r="U2918" s="157"/>
      <c r="V2918" s="3589"/>
      <c r="W2918" s="960">
        <v>12</v>
      </c>
      <c r="X2918" s="960">
        <v>12</v>
      </c>
      <c r="Y2918" s="960">
        <v>12</v>
      </c>
      <c r="Z2918" s="960">
        <v>12</v>
      </c>
      <c r="AA2918" s="960">
        <v>12</v>
      </c>
      <c r="AB2918" s="960">
        <v>12</v>
      </c>
      <c r="AC2918" s="960"/>
      <c r="AD2918" s="960"/>
      <c r="AE2918" s="960"/>
      <c r="AF2918" s="960"/>
      <c r="AG2918" s="960"/>
      <c r="BB2918" s="647"/>
      <c r="BC2918" s="648"/>
      <c r="BD2918" s="757"/>
      <c r="BE2918" s="659"/>
    </row>
    <row r="2919" spans="1:57" s="64" customFormat="1" ht="15" customHeight="1" outlineLevel="1" x14ac:dyDescent="0.25">
      <c r="A2919" s="2463"/>
      <c r="B2919" s="648"/>
      <c r="C2919" s="385"/>
      <c r="D2919" s="3589"/>
      <c r="E2919" s="3721"/>
      <c r="F2919" s="3779" t="str">
        <f t="shared" si="236"/>
        <v>ASHP SEER 17 replace ASHP - replace on fail SF</v>
      </c>
      <c r="G2919" s="3779"/>
      <c r="H2919" s="3779"/>
      <c r="I2919" s="3779"/>
      <c r="J2919" s="3073" t="str">
        <f t="shared" si="237"/>
        <v>353800_2019_12_</v>
      </c>
      <c r="K2919" s="960">
        <v>18</v>
      </c>
      <c r="L2919" s="956"/>
      <c r="M2919" s="783"/>
      <c r="N2919" s="157"/>
      <c r="O2919" s="277"/>
      <c r="P2919" s="937"/>
      <c r="Q2919" s="938"/>
      <c r="R2919" s="937"/>
      <c r="S2919" s="924"/>
      <c r="T2919" s="1407"/>
      <c r="U2919" s="157"/>
      <c r="V2919" s="3589"/>
      <c r="W2919" s="960">
        <v>18</v>
      </c>
      <c r="X2919" s="960">
        <v>18</v>
      </c>
      <c r="Y2919" s="960">
        <v>18</v>
      </c>
      <c r="Z2919" s="960">
        <v>18</v>
      </c>
      <c r="AA2919" s="960">
        <v>18</v>
      </c>
      <c r="AB2919" s="960">
        <v>18</v>
      </c>
      <c r="AC2919" s="960"/>
      <c r="AD2919" s="960"/>
      <c r="AE2919" s="960"/>
      <c r="AF2919" s="960"/>
      <c r="AG2919" s="960"/>
      <c r="BB2919" s="647"/>
      <c r="BC2919" s="648"/>
      <c r="BD2919" s="757"/>
      <c r="BE2919" s="659"/>
    </row>
    <row r="2920" spans="1:57" s="64" customFormat="1" ht="15" customHeight="1" outlineLevel="1" x14ac:dyDescent="0.25">
      <c r="A2920" s="2463"/>
      <c r="B2920" s="648"/>
      <c r="C2920" s="385"/>
      <c r="D2920" s="3589"/>
      <c r="E2920" s="3721"/>
      <c r="F2920" s="3779" t="str">
        <f t="shared" si="236"/>
        <v>ASHP SEER 17 replace ASHP - replace on fail SF</v>
      </c>
      <c r="G2920" s="3779"/>
      <c r="H2920" s="3779"/>
      <c r="I2920" s="3779"/>
      <c r="J2920" s="3073" t="str">
        <f t="shared" si="237"/>
        <v>353800_2019_12_</v>
      </c>
      <c r="K2920" s="960">
        <v>18</v>
      </c>
      <c r="L2920" s="944"/>
      <c r="M2920" s="953"/>
      <c r="N2920" s="157"/>
      <c r="O2920" s="277"/>
      <c r="P2920" s="937"/>
      <c r="Q2920" s="937"/>
      <c r="R2920" s="937"/>
      <c r="S2920" s="924"/>
      <c r="T2920" s="1407"/>
      <c r="U2920" s="157"/>
      <c r="V2920" s="3589"/>
      <c r="W2920" s="960">
        <v>18</v>
      </c>
      <c r="X2920" s="960">
        <v>18</v>
      </c>
      <c r="Y2920" s="960">
        <v>18</v>
      </c>
      <c r="Z2920" s="960">
        <v>18</v>
      </c>
      <c r="AA2920" s="960">
        <v>18</v>
      </c>
      <c r="AB2920" s="960">
        <v>18</v>
      </c>
      <c r="AC2920" s="960"/>
      <c r="AD2920" s="960"/>
      <c r="AE2920" s="960"/>
      <c r="AF2920" s="960"/>
      <c r="AG2920" s="960"/>
      <c r="BB2920" s="647"/>
      <c r="BC2920" s="648"/>
      <c r="BD2920" s="757"/>
      <c r="BE2920" s="659"/>
    </row>
    <row r="2921" spans="1:57" s="64" customFormat="1" ht="15" customHeight="1" outlineLevel="1" x14ac:dyDescent="0.25">
      <c r="A2921" s="2463"/>
      <c r="B2921" s="648"/>
      <c r="C2921" s="385"/>
      <c r="D2921" s="3589"/>
      <c r="E2921" s="3721"/>
      <c r="F2921" s="3779" t="str">
        <f t="shared" si="236"/>
        <v>ASHP SEER 18 replace ASHP - early replacement SF ER1</v>
      </c>
      <c r="G2921" s="3779"/>
      <c r="H2921" s="3779"/>
      <c r="I2921" s="3779"/>
      <c r="J2921" s="3073" t="str">
        <f t="shared" si="237"/>
        <v>353850_2019_12_</v>
      </c>
      <c r="K2921" s="960">
        <v>6</v>
      </c>
      <c r="L2921" s="944"/>
      <c r="M2921" s="953"/>
      <c r="N2921" s="157"/>
      <c r="O2921" s="277"/>
      <c r="P2921" s="937"/>
      <c r="Q2921" s="937"/>
      <c r="R2921" s="937"/>
      <c r="S2921" s="924"/>
      <c r="T2921" s="1407"/>
      <c r="U2921" s="157"/>
      <c r="V2921" s="3589"/>
      <c r="W2921" s="960">
        <v>6</v>
      </c>
      <c r="X2921" s="960">
        <v>6</v>
      </c>
      <c r="Y2921" s="960">
        <v>6</v>
      </c>
      <c r="Z2921" s="960">
        <v>6</v>
      </c>
      <c r="AA2921" s="960">
        <v>6</v>
      </c>
      <c r="AB2921" s="960">
        <v>6</v>
      </c>
      <c r="AC2921" s="960"/>
      <c r="AD2921" s="960"/>
      <c r="AE2921" s="960"/>
      <c r="AF2921" s="960"/>
      <c r="AG2921" s="960"/>
      <c r="BB2921" s="647"/>
      <c r="BC2921" s="648"/>
      <c r="BD2921" s="757"/>
      <c r="BE2921" s="659"/>
    </row>
    <row r="2922" spans="1:57" s="64" customFormat="1" ht="15" customHeight="1" outlineLevel="1" x14ac:dyDescent="0.25">
      <c r="A2922" s="2463"/>
      <c r="B2922" s="648"/>
      <c r="C2922" s="385"/>
      <c r="D2922" s="3589"/>
      <c r="E2922" s="3721"/>
      <c r="F2922" s="3779" t="str">
        <f t="shared" si="236"/>
        <v>ASHP SEER 18 replace ASHP - early replacement SF ER1</v>
      </c>
      <c r="G2922" s="3779"/>
      <c r="H2922" s="3779"/>
      <c r="I2922" s="3779"/>
      <c r="J2922" s="3073" t="str">
        <f t="shared" si="237"/>
        <v>353850_2019_12_</v>
      </c>
      <c r="K2922" s="960">
        <v>6</v>
      </c>
      <c r="L2922" s="944"/>
      <c r="M2922" s="953"/>
      <c r="N2922" s="157"/>
      <c r="O2922" s="277"/>
      <c r="P2922" s="937"/>
      <c r="Q2922" s="937"/>
      <c r="R2922" s="937"/>
      <c r="S2922" s="924"/>
      <c r="T2922" s="1407"/>
      <c r="U2922" s="157"/>
      <c r="V2922" s="3589"/>
      <c r="W2922" s="960">
        <v>6</v>
      </c>
      <c r="X2922" s="960">
        <v>6</v>
      </c>
      <c r="Y2922" s="960">
        <v>6</v>
      </c>
      <c r="Z2922" s="960">
        <v>6</v>
      </c>
      <c r="AA2922" s="960">
        <v>6</v>
      </c>
      <c r="AB2922" s="960">
        <v>6</v>
      </c>
      <c r="AC2922" s="960"/>
      <c r="AD2922" s="960"/>
      <c r="AE2922" s="960"/>
      <c r="AF2922" s="960"/>
      <c r="AG2922" s="960"/>
      <c r="BB2922" s="647"/>
      <c r="BC2922" s="648"/>
      <c r="BD2922" s="757"/>
      <c r="BE2922" s="659"/>
    </row>
    <row r="2923" spans="1:57" s="64" customFormat="1" ht="15" customHeight="1" outlineLevel="1" x14ac:dyDescent="0.25">
      <c r="A2923" s="2463"/>
      <c r="B2923" s="648"/>
      <c r="C2923" s="385"/>
      <c r="D2923" s="3589"/>
      <c r="E2923" s="3721"/>
      <c r="F2923" s="3779" t="str">
        <f t="shared" si="236"/>
        <v>ASHP SEER 18 replace ASHP - early replacement SF ER2</v>
      </c>
      <c r="G2923" s="3779"/>
      <c r="H2923" s="3779"/>
      <c r="I2923" s="3779"/>
      <c r="J2923" s="3073" t="str">
        <f t="shared" si="237"/>
        <v>353850_2019_12_</v>
      </c>
      <c r="K2923" s="960">
        <v>12</v>
      </c>
      <c r="L2923" s="944"/>
      <c r="M2923" s="953"/>
      <c r="N2923" s="157"/>
      <c r="O2923" s="277"/>
      <c r="P2923" s="937"/>
      <c r="Q2923" s="937"/>
      <c r="R2923" s="937"/>
      <c r="S2923" s="924"/>
      <c r="T2923" s="1407"/>
      <c r="U2923" s="157"/>
      <c r="V2923" s="3589"/>
      <c r="W2923" s="960">
        <v>12</v>
      </c>
      <c r="X2923" s="960">
        <v>12</v>
      </c>
      <c r="Y2923" s="960">
        <v>12</v>
      </c>
      <c r="Z2923" s="960">
        <v>12</v>
      </c>
      <c r="AA2923" s="960">
        <v>12</v>
      </c>
      <c r="AB2923" s="960">
        <v>12</v>
      </c>
      <c r="AC2923" s="960"/>
      <c r="AD2923" s="960"/>
      <c r="AE2923" s="960"/>
      <c r="AF2923" s="960"/>
      <c r="AG2923" s="960"/>
      <c r="BB2923" s="647"/>
      <c r="BC2923" s="648"/>
      <c r="BD2923" s="757"/>
      <c r="BE2923" s="659"/>
    </row>
    <row r="2924" spans="1:57" s="64" customFormat="1" ht="15" customHeight="1" outlineLevel="1" x14ac:dyDescent="0.25">
      <c r="A2924" s="2463"/>
      <c r="B2924" s="648"/>
      <c r="C2924" s="385"/>
      <c r="D2924" s="3589"/>
      <c r="E2924" s="3721"/>
      <c r="F2924" s="3779" t="str">
        <f t="shared" si="236"/>
        <v>ASHP SEER 18 replace ASHP - early replacement SF ER2</v>
      </c>
      <c r="G2924" s="3779"/>
      <c r="H2924" s="3779"/>
      <c r="I2924" s="3779"/>
      <c r="J2924" s="3073" t="str">
        <f t="shared" si="237"/>
        <v>353850_2019_12_</v>
      </c>
      <c r="K2924" s="960">
        <v>12</v>
      </c>
      <c r="L2924" s="944"/>
      <c r="M2924" s="953"/>
      <c r="N2924" s="157"/>
      <c r="O2924" s="277"/>
      <c r="P2924" s="937"/>
      <c r="Q2924" s="937"/>
      <c r="R2924" s="937"/>
      <c r="S2924" s="924"/>
      <c r="T2924" s="1407"/>
      <c r="U2924" s="157"/>
      <c r="V2924" s="3589"/>
      <c r="W2924" s="960">
        <v>12</v>
      </c>
      <c r="X2924" s="960">
        <v>12</v>
      </c>
      <c r="Y2924" s="960">
        <v>12</v>
      </c>
      <c r="Z2924" s="960">
        <v>12</v>
      </c>
      <c r="AA2924" s="960">
        <v>12</v>
      </c>
      <c r="AB2924" s="960">
        <v>12</v>
      </c>
      <c r="AC2924" s="960"/>
      <c r="AD2924" s="960"/>
      <c r="AE2924" s="960"/>
      <c r="AF2924" s="960"/>
      <c r="AG2924" s="960"/>
      <c r="BB2924" s="647"/>
      <c r="BC2924" s="648"/>
      <c r="BD2924" s="757"/>
      <c r="BE2924" s="659"/>
    </row>
    <row r="2925" spans="1:57" s="64" customFormat="1" ht="15" customHeight="1" outlineLevel="1" x14ac:dyDescent="0.25">
      <c r="A2925" s="2463"/>
      <c r="B2925" s="648"/>
      <c r="C2925" s="385"/>
      <c r="D2925" s="3589"/>
      <c r="E2925" s="3721"/>
      <c r="F2925" s="3779" t="str">
        <f t="shared" si="236"/>
        <v>ASHP - SEER 18 - replace on fail SF</v>
      </c>
      <c r="G2925" s="3779"/>
      <c r="H2925" s="3779"/>
      <c r="I2925" s="3779"/>
      <c r="J2925" s="3073" t="str">
        <f t="shared" si="237"/>
        <v>353950_2019_12_</v>
      </c>
      <c r="K2925" s="960">
        <v>18</v>
      </c>
      <c r="L2925" s="944"/>
      <c r="M2925" s="953"/>
      <c r="N2925" s="157"/>
      <c r="O2925" s="277"/>
      <c r="P2925" s="937"/>
      <c r="Q2925" s="937"/>
      <c r="R2925" s="937"/>
      <c r="S2925" s="924"/>
      <c r="T2925" s="1407"/>
      <c r="U2925" s="157"/>
      <c r="V2925" s="3589"/>
      <c r="W2925" s="960">
        <v>18</v>
      </c>
      <c r="X2925" s="960">
        <v>18</v>
      </c>
      <c r="Y2925" s="960">
        <v>18</v>
      </c>
      <c r="Z2925" s="960">
        <v>18</v>
      </c>
      <c r="AA2925" s="960">
        <v>18</v>
      </c>
      <c r="AB2925" s="960">
        <v>18</v>
      </c>
      <c r="AC2925" s="960"/>
      <c r="AD2925" s="960"/>
      <c r="AE2925" s="960"/>
      <c r="AF2925" s="960"/>
      <c r="AG2925" s="960"/>
      <c r="BB2925" s="647"/>
      <c r="BC2925" s="648"/>
      <c r="BD2925" s="757"/>
      <c r="BE2925" s="659"/>
    </row>
    <row r="2926" spans="1:57" s="64" customFormat="1" ht="15" customHeight="1" outlineLevel="1" x14ac:dyDescent="0.25">
      <c r="A2926" s="2463"/>
      <c r="B2926" s="648"/>
      <c r="C2926" s="385"/>
      <c r="D2926" s="3589"/>
      <c r="E2926" s="3721"/>
      <c r="F2926" s="3779" t="str">
        <f t="shared" si="236"/>
        <v>ASHP - SEER 18 - replace on fail SF</v>
      </c>
      <c r="G2926" s="3779"/>
      <c r="H2926" s="3779"/>
      <c r="I2926" s="3779"/>
      <c r="J2926" s="3073" t="str">
        <f t="shared" si="237"/>
        <v>353950_2019_12_</v>
      </c>
      <c r="K2926" s="960">
        <v>18</v>
      </c>
      <c r="L2926" s="945"/>
      <c r="M2926" s="953"/>
      <c r="N2926" s="157"/>
      <c r="O2926" s="277"/>
      <c r="P2926" s="937"/>
      <c r="Q2926" s="937"/>
      <c r="R2926" s="937"/>
      <c r="S2926" s="924"/>
      <c r="T2926" s="1407"/>
      <c r="U2926" s="157"/>
      <c r="V2926" s="3589"/>
      <c r="W2926" s="960">
        <v>18</v>
      </c>
      <c r="X2926" s="960">
        <v>18</v>
      </c>
      <c r="Y2926" s="960">
        <v>18</v>
      </c>
      <c r="Z2926" s="960">
        <v>18</v>
      </c>
      <c r="AA2926" s="960">
        <v>18</v>
      </c>
      <c r="AB2926" s="960">
        <v>18</v>
      </c>
      <c r="AC2926" s="960"/>
      <c r="AD2926" s="960"/>
      <c r="AE2926" s="960"/>
      <c r="AF2926" s="960"/>
      <c r="AG2926" s="960"/>
      <c r="BB2926" s="647"/>
      <c r="BC2926" s="648"/>
      <c r="BD2926" s="757"/>
      <c r="BE2926" s="659"/>
    </row>
    <row r="2927" spans="1:57" s="64" customFormat="1" ht="15" customHeight="1" outlineLevel="1" x14ac:dyDescent="0.25">
      <c r="A2927" s="2463"/>
      <c r="B2927" s="648"/>
      <c r="C2927" s="385"/>
      <c r="D2927" s="3589"/>
      <c r="E2927" s="3721"/>
      <c r="F2927" s="3779" t="str">
        <f t="shared" si="236"/>
        <v>ASHP SEER 19 replace ASHP - early replacement SF ER1</v>
      </c>
      <c r="G2927" s="3779"/>
      <c r="H2927" s="3779"/>
      <c r="I2927" s="3779"/>
      <c r="J2927" s="3073" t="str">
        <f t="shared" si="237"/>
        <v>354000_2019_12_</v>
      </c>
      <c r="K2927" s="960">
        <v>6</v>
      </c>
      <c r="L2927" s="945"/>
      <c r="M2927" s="953"/>
      <c r="N2927" s="157"/>
      <c r="O2927" s="277"/>
      <c r="P2927" s="937"/>
      <c r="Q2927" s="937"/>
      <c r="R2927" s="937"/>
      <c r="S2927" s="924"/>
      <c r="T2927" s="1407"/>
      <c r="U2927" s="157"/>
      <c r="V2927" s="3589"/>
      <c r="W2927" s="960">
        <v>6</v>
      </c>
      <c r="X2927" s="960">
        <v>6</v>
      </c>
      <c r="Y2927" s="960">
        <v>6</v>
      </c>
      <c r="Z2927" s="960">
        <v>6</v>
      </c>
      <c r="AA2927" s="960">
        <v>6</v>
      </c>
      <c r="AB2927" s="960">
        <v>6</v>
      </c>
      <c r="AC2927" s="960"/>
      <c r="AD2927" s="960"/>
      <c r="AE2927" s="960"/>
      <c r="AF2927" s="960"/>
      <c r="AG2927" s="960"/>
      <c r="BB2927" s="647"/>
      <c r="BC2927" s="648"/>
      <c r="BD2927" s="757"/>
      <c r="BE2927" s="659"/>
    </row>
    <row r="2928" spans="1:57" s="64" customFormat="1" ht="15" customHeight="1" outlineLevel="1" x14ac:dyDescent="0.25">
      <c r="A2928" s="2463"/>
      <c r="B2928" s="648"/>
      <c r="C2928" s="385"/>
      <c r="D2928" s="3589"/>
      <c r="E2928" s="3721"/>
      <c r="F2928" s="3779" t="str">
        <f t="shared" si="236"/>
        <v>ASHP SEER 19 replace ASHP - early replacement SF ER1</v>
      </c>
      <c r="G2928" s="3779"/>
      <c r="H2928" s="3779"/>
      <c r="I2928" s="3779"/>
      <c r="J2928" s="3073" t="str">
        <f t="shared" si="237"/>
        <v>354000_2019_12_</v>
      </c>
      <c r="K2928" s="960">
        <v>6</v>
      </c>
      <c r="L2928" s="945"/>
      <c r="M2928" s="953"/>
      <c r="N2928" s="157"/>
      <c r="O2928" s="277"/>
      <c r="P2928" s="937"/>
      <c r="Q2928" s="937"/>
      <c r="R2928" s="937"/>
      <c r="S2928" s="924"/>
      <c r="T2928" s="1407"/>
      <c r="U2928" s="157"/>
      <c r="V2928" s="3589"/>
      <c r="W2928" s="960">
        <v>6</v>
      </c>
      <c r="X2928" s="960">
        <v>6</v>
      </c>
      <c r="Y2928" s="960">
        <v>6</v>
      </c>
      <c r="Z2928" s="960">
        <v>6</v>
      </c>
      <c r="AA2928" s="960">
        <v>6</v>
      </c>
      <c r="AB2928" s="960">
        <v>6</v>
      </c>
      <c r="AC2928" s="960"/>
      <c r="AD2928" s="960"/>
      <c r="AE2928" s="960"/>
      <c r="AF2928" s="960"/>
      <c r="AG2928" s="960"/>
      <c r="BB2928" s="647"/>
      <c r="BC2928" s="648"/>
      <c r="BD2928" s="757"/>
      <c r="BE2928" s="659"/>
    </row>
    <row r="2929" spans="1:57" s="64" customFormat="1" ht="15" customHeight="1" outlineLevel="1" x14ac:dyDescent="0.25">
      <c r="A2929" s="2463"/>
      <c r="B2929" s="648"/>
      <c r="C2929" s="385"/>
      <c r="D2929" s="3589"/>
      <c r="E2929" s="3721"/>
      <c r="F2929" s="3779" t="str">
        <f t="shared" si="236"/>
        <v>ASHP SEER 19 replace ASHP - early replacement SF ER2</v>
      </c>
      <c r="G2929" s="3779"/>
      <c r="H2929" s="3779"/>
      <c r="I2929" s="3779"/>
      <c r="J2929" s="3073" t="str">
        <f t="shared" si="237"/>
        <v>354000_2019_12_</v>
      </c>
      <c r="K2929" s="960">
        <v>12</v>
      </c>
      <c r="L2929" s="945"/>
      <c r="M2929" s="783"/>
      <c r="N2929" s="157"/>
      <c r="O2929" s="277"/>
      <c r="P2929" s="937"/>
      <c r="Q2929" s="937"/>
      <c r="R2929" s="937"/>
      <c r="S2929" s="924"/>
      <c r="T2929" s="1407"/>
      <c r="U2929" s="157"/>
      <c r="V2929" s="3589"/>
      <c r="W2929" s="960">
        <v>12</v>
      </c>
      <c r="X2929" s="960">
        <v>12</v>
      </c>
      <c r="Y2929" s="960">
        <v>12</v>
      </c>
      <c r="Z2929" s="960">
        <v>12</v>
      </c>
      <c r="AA2929" s="960">
        <v>12</v>
      </c>
      <c r="AB2929" s="960">
        <v>12</v>
      </c>
      <c r="AC2929" s="960"/>
      <c r="AD2929" s="960"/>
      <c r="AE2929" s="960"/>
      <c r="AF2929" s="960"/>
      <c r="AG2929" s="960"/>
      <c r="BB2929" s="647"/>
      <c r="BC2929" s="648"/>
      <c r="BD2929" s="757"/>
      <c r="BE2929" s="659"/>
    </row>
    <row r="2930" spans="1:57" s="64" customFormat="1" ht="15" customHeight="1" outlineLevel="1" x14ac:dyDescent="0.25">
      <c r="A2930" s="2463"/>
      <c r="B2930" s="648"/>
      <c r="C2930" s="385"/>
      <c r="D2930" s="3589"/>
      <c r="E2930" s="3721"/>
      <c r="F2930" s="3779" t="str">
        <f t="shared" si="236"/>
        <v>ASHP SEER 19 replace ASHP - early replacement SF ER2</v>
      </c>
      <c r="G2930" s="3779"/>
      <c r="H2930" s="3779"/>
      <c r="I2930" s="3779"/>
      <c r="J2930" s="3073" t="str">
        <f t="shared" si="237"/>
        <v>354000_2019_12_</v>
      </c>
      <c r="K2930" s="960">
        <v>12</v>
      </c>
      <c r="L2930" s="945"/>
      <c r="M2930" s="783"/>
      <c r="N2930" s="157"/>
      <c r="O2930" s="277"/>
      <c r="P2930" s="937"/>
      <c r="Q2930" s="937"/>
      <c r="R2930" s="937"/>
      <c r="S2930" s="924"/>
      <c r="T2930" s="1407"/>
      <c r="U2930" s="157"/>
      <c r="V2930" s="3589"/>
      <c r="W2930" s="960">
        <v>12</v>
      </c>
      <c r="X2930" s="960">
        <v>12</v>
      </c>
      <c r="Y2930" s="960">
        <v>12</v>
      </c>
      <c r="Z2930" s="960">
        <v>12</v>
      </c>
      <c r="AA2930" s="960">
        <v>12</v>
      </c>
      <c r="AB2930" s="960">
        <v>12</v>
      </c>
      <c r="AC2930" s="960"/>
      <c r="AD2930" s="960"/>
      <c r="AE2930" s="960"/>
      <c r="AF2930" s="960"/>
      <c r="AG2930" s="960"/>
      <c r="BB2930" s="647"/>
      <c r="BC2930" s="648"/>
      <c r="BD2930" s="757"/>
      <c r="BE2930" s="659"/>
    </row>
    <row r="2931" spans="1:57" s="64" customFormat="1" ht="15" customHeight="1" outlineLevel="1" x14ac:dyDescent="0.25">
      <c r="A2931" s="2463"/>
      <c r="B2931" s="648"/>
      <c r="C2931" s="385"/>
      <c r="D2931" s="3589"/>
      <c r="E2931" s="3721"/>
      <c r="F2931" s="3779" t="str">
        <f t="shared" si="236"/>
        <v>ASHP SEER 19 replace ASHP - replace on fail SF</v>
      </c>
      <c r="G2931" s="3779"/>
      <c r="H2931" s="3779"/>
      <c r="I2931" s="3779"/>
      <c r="J2931" s="3073" t="str">
        <f t="shared" si="237"/>
        <v>354050_2019_12_</v>
      </c>
      <c r="K2931" s="960">
        <v>18</v>
      </c>
      <c r="L2931" s="945"/>
      <c r="M2931" s="783"/>
      <c r="N2931" s="157"/>
      <c r="O2931" s="277"/>
      <c r="P2931" s="937"/>
      <c r="Q2931" s="937"/>
      <c r="R2931" s="937"/>
      <c r="S2931" s="924"/>
      <c r="T2931" s="1407"/>
      <c r="U2931" s="157"/>
      <c r="V2931" s="3589"/>
      <c r="W2931" s="960">
        <v>18</v>
      </c>
      <c r="X2931" s="960">
        <v>18</v>
      </c>
      <c r="Y2931" s="960">
        <v>18</v>
      </c>
      <c r="Z2931" s="960">
        <v>18</v>
      </c>
      <c r="AA2931" s="960">
        <v>18</v>
      </c>
      <c r="AB2931" s="960">
        <v>18</v>
      </c>
      <c r="AC2931" s="960"/>
      <c r="AD2931" s="960"/>
      <c r="AE2931" s="960"/>
      <c r="AF2931" s="960"/>
      <c r="AG2931" s="960"/>
      <c r="BB2931" s="647"/>
      <c r="BC2931" s="648"/>
      <c r="BD2931" s="757"/>
      <c r="BE2931" s="659"/>
    </row>
    <row r="2932" spans="1:57" s="64" customFormat="1" ht="15" customHeight="1" outlineLevel="1" x14ac:dyDescent="0.25">
      <c r="A2932" s="2463"/>
      <c r="B2932" s="648"/>
      <c r="C2932" s="385"/>
      <c r="D2932" s="3589"/>
      <c r="E2932" s="3721"/>
      <c r="F2932" s="3779" t="str">
        <f t="shared" si="236"/>
        <v>ASHP SEER 19 replace ASHP - replace on fail SF</v>
      </c>
      <c r="G2932" s="3779"/>
      <c r="H2932" s="3779"/>
      <c r="I2932" s="3779"/>
      <c r="J2932" s="3073" t="str">
        <f t="shared" si="237"/>
        <v>354050_2019_12_</v>
      </c>
      <c r="K2932" s="960">
        <v>18</v>
      </c>
      <c r="L2932" s="945"/>
      <c r="M2932" s="783"/>
      <c r="N2932" s="157"/>
      <c r="O2932" s="277"/>
      <c r="P2932" s="937"/>
      <c r="Q2932" s="937"/>
      <c r="R2932" s="937"/>
      <c r="S2932" s="924"/>
      <c r="T2932" s="1407"/>
      <c r="U2932" s="157"/>
      <c r="V2932" s="3589"/>
      <c r="W2932" s="960">
        <v>18</v>
      </c>
      <c r="X2932" s="960">
        <v>18</v>
      </c>
      <c r="Y2932" s="960">
        <v>18</v>
      </c>
      <c r="Z2932" s="960">
        <v>18</v>
      </c>
      <c r="AA2932" s="960">
        <v>18</v>
      </c>
      <c r="AB2932" s="960">
        <v>18</v>
      </c>
      <c r="AC2932" s="960"/>
      <c r="AD2932" s="960"/>
      <c r="AE2932" s="960"/>
      <c r="AF2932" s="960"/>
      <c r="AG2932" s="960"/>
      <c r="BB2932" s="647"/>
      <c r="BC2932" s="648"/>
      <c r="BD2932" s="757"/>
      <c r="BE2932" s="659"/>
    </row>
    <row r="2933" spans="1:57" s="64" customFormat="1" ht="15" customHeight="1" outlineLevel="1" x14ac:dyDescent="0.25">
      <c r="A2933" s="2463"/>
      <c r="B2933" s="648"/>
      <c r="C2933" s="385"/>
      <c r="D2933" s="3589"/>
      <c r="E2933" s="3721"/>
      <c r="F2933" s="3779" t="str">
        <f t="shared" si="236"/>
        <v>ASHP - SEER 17 - replace electric furnace / CAC - early replacement SF ER1</v>
      </c>
      <c r="G2933" s="3779"/>
      <c r="H2933" s="3779"/>
      <c r="I2933" s="3779"/>
      <c r="J2933" s="3073" t="str">
        <f t="shared" si="237"/>
        <v>354100_2019_12_</v>
      </c>
      <c r="K2933" s="960">
        <v>6</v>
      </c>
      <c r="L2933" s="945"/>
      <c r="M2933" s="783"/>
      <c r="N2933" s="157"/>
      <c r="O2933" s="277"/>
      <c r="P2933" s="937"/>
      <c r="Q2933" s="937"/>
      <c r="R2933" s="937"/>
      <c r="S2933" s="924"/>
      <c r="T2933" s="1407"/>
      <c r="U2933" s="157"/>
      <c r="V2933" s="3589"/>
      <c r="W2933" s="960">
        <v>6</v>
      </c>
      <c r="X2933" s="960">
        <v>6</v>
      </c>
      <c r="Y2933" s="960">
        <v>6</v>
      </c>
      <c r="Z2933" s="960">
        <v>6</v>
      </c>
      <c r="AA2933" s="960">
        <v>6</v>
      </c>
      <c r="AB2933" s="960">
        <v>6</v>
      </c>
      <c r="AC2933" s="960"/>
      <c r="AD2933" s="960"/>
      <c r="AE2933" s="960"/>
      <c r="AF2933" s="960"/>
      <c r="AG2933" s="960"/>
      <c r="BB2933" s="647"/>
      <c r="BC2933" s="648"/>
      <c r="BD2933" s="757"/>
      <c r="BE2933" s="659"/>
    </row>
    <row r="2934" spans="1:57" s="64" customFormat="1" ht="15" customHeight="1" outlineLevel="1" x14ac:dyDescent="0.25">
      <c r="A2934" s="2463"/>
      <c r="B2934" s="648"/>
      <c r="C2934" s="385"/>
      <c r="D2934" s="3589"/>
      <c r="E2934" s="3721"/>
      <c r="F2934" s="3779" t="str">
        <f t="shared" si="236"/>
        <v>ASHP - SEER 17 - replace electric furnace / CAC - early replacement SF ER1</v>
      </c>
      <c r="G2934" s="3779"/>
      <c r="H2934" s="3779"/>
      <c r="I2934" s="3779"/>
      <c r="J2934" s="3073" t="str">
        <f t="shared" si="237"/>
        <v>354100_2019_12_</v>
      </c>
      <c r="K2934" s="960">
        <v>6</v>
      </c>
      <c r="L2934" s="945"/>
      <c r="M2934" s="783"/>
      <c r="N2934" s="157"/>
      <c r="O2934" s="277"/>
      <c r="P2934" s="937"/>
      <c r="Q2934" s="937"/>
      <c r="R2934" s="937"/>
      <c r="S2934" s="924"/>
      <c r="T2934" s="1407"/>
      <c r="U2934" s="157"/>
      <c r="V2934" s="3589"/>
      <c r="W2934" s="960">
        <v>6</v>
      </c>
      <c r="X2934" s="960">
        <v>6</v>
      </c>
      <c r="Y2934" s="960">
        <v>6</v>
      </c>
      <c r="Z2934" s="960">
        <v>6</v>
      </c>
      <c r="AA2934" s="960">
        <v>6</v>
      </c>
      <c r="AB2934" s="960">
        <v>6</v>
      </c>
      <c r="AC2934" s="960"/>
      <c r="AD2934" s="960"/>
      <c r="AE2934" s="960"/>
      <c r="AF2934" s="960"/>
      <c r="AG2934" s="960"/>
      <c r="BB2934" s="647"/>
      <c r="BC2934" s="648"/>
      <c r="BD2934" s="757"/>
      <c r="BE2934" s="659"/>
    </row>
    <row r="2935" spans="1:57" s="64" customFormat="1" ht="15" customHeight="1" outlineLevel="1" x14ac:dyDescent="0.25">
      <c r="A2935" s="2463"/>
      <c r="B2935" s="648"/>
      <c r="C2935" s="385"/>
      <c r="D2935" s="3589"/>
      <c r="E2935" s="3721"/>
      <c r="F2935" s="3779" t="str">
        <f t="shared" si="236"/>
        <v>ASHP - SEER 17 - replace electric furnace / CAC - early replacement SF ER2</v>
      </c>
      <c r="G2935" s="3779"/>
      <c r="H2935" s="3779"/>
      <c r="I2935" s="3779"/>
      <c r="J2935" s="3073" t="str">
        <f t="shared" si="237"/>
        <v>354100_2019_12_</v>
      </c>
      <c r="K2935" s="960">
        <v>12</v>
      </c>
      <c r="L2935" s="945"/>
      <c r="M2935" s="783"/>
      <c r="N2935" s="157"/>
      <c r="O2935" s="277"/>
      <c r="P2935" s="937"/>
      <c r="Q2935" s="937"/>
      <c r="R2935" s="937"/>
      <c r="S2935" s="924"/>
      <c r="T2935" s="1407"/>
      <c r="U2935" s="157"/>
      <c r="V2935" s="3589"/>
      <c r="W2935" s="960">
        <v>12</v>
      </c>
      <c r="X2935" s="960">
        <v>12</v>
      </c>
      <c r="Y2935" s="960">
        <v>12</v>
      </c>
      <c r="Z2935" s="960">
        <v>12</v>
      </c>
      <c r="AA2935" s="960">
        <v>12</v>
      </c>
      <c r="AB2935" s="960">
        <v>12</v>
      </c>
      <c r="AC2935" s="960"/>
      <c r="AD2935" s="960"/>
      <c r="AE2935" s="960"/>
      <c r="AF2935" s="960"/>
      <c r="AG2935" s="960"/>
      <c r="BB2935" s="647"/>
      <c r="BC2935" s="648"/>
      <c r="BD2935" s="757"/>
      <c r="BE2935" s="659"/>
    </row>
    <row r="2936" spans="1:57" s="64" customFormat="1" ht="15" customHeight="1" outlineLevel="1" x14ac:dyDescent="0.25">
      <c r="A2936" s="2463"/>
      <c r="B2936" s="648"/>
      <c r="C2936" s="385"/>
      <c r="D2936" s="3589"/>
      <c r="E2936" s="3721"/>
      <c r="F2936" s="3779" t="str">
        <f t="shared" si="236"/>
        <v>ASHP - SEER 17 - replace electric furnace / CAC - early replacement SF ER2</v>
      </c>
      <c r="G2936" s="3779"/>
      <c r="H2936" s="3779"/>
      <c r="I2936" s="3779"/>
      <c r="J2936" s="3073" t="str">
        <f t="shared" si="237"/>
        <v>354100_2019_12_</v>
      </c>
      <c r="K2936" s="960">
        <v>12</v>
      </c>
      <c r="L2936" s="945"/>
      <c r="M2936" s="783"/>
      <c r="N2936" s="157"/>
      <c r="O2936" s="277"/>
      <c r="P2936" s="937"/>
      <c r="Q2936" s="937"/>
      <c r="R2936" s="937"/>
      <c r="S2936" s="924"/>
      <c r="T2936" s="1407"/>
      <c r="U2936" s="157"/>
      <c r="V2936" s="3589"/>
      <c r="W2936" s="960">
        <v>12</v>
      </c>
      <c r="X2936" s="960">
        <v>12</v>
      </c>
      <c r="Y2936" s="960">
        <v>12</v>
      </c>
      <c r="Z2936" s="960">
        <v>12</v>
      </c>
      <c r="AA2936" s="960">
        <v>12</v>
      </c>
      <c r="AB2936" s="960">
        <v>12</v>
      </c>
      <c r="AC2936" s="960"/>
      <c r="AD2936" s="960"/>
      <c r="AE2936" s="960"/>
      <c r="AF2936" s="960"/>
      <c r="AG2936" s="960"/>
      <c r="BB2936" s="647"/>
      <c r="BC2936" s="648"/>
      <c r="BD2936" s="757"/>
      <c r="BE2936" s="659"/>
    </row>
    <row r="2937" spans="1:57" s="64" customFormat="1" ht="15" customHeight="1" outlineLevel="1" x14ac:dyDescent="0.25">
      <c r="A2937" s="2463"/>
      <c r="B2937" s="648"/>
      <c r="C2937" s="385"/>
      <c r="D2937" s="3589"/>
      <c r="E2937" s="3721"/>
      <c r="F2937" s="3779" t="str">
        <f t="shared" si="236"/>
        <v>ASHP - SEER 17 - replace electric furnace / CAC - early replacement MF ER1</v>
      </c>
      <c r="G2937" s="3779"/>
      <c r="H2937" s="3779"/>
      <c r="I2937" s="3779"/>
      <c r="J2937" s="3073" t="str">
        <f t="shared" si="237"/>
        <v>354150_2019_12_</v>
      </c>
      <c r="K2937" s="960">
        <v>6</v>
      </c>
      <c r="L2937" s="945"/>
      <c r="M2937" s="783"/>
      <c r="N2937" s="157"/>
      <c r="O2937" s="277"/>
      <c r="P2937" s="937"/>
      <c r="Q2937" s="937"/>
      <c r="R2937" s="937"/>
      <c r="S2937" s="924"/>
      <c r="T2937" s="1407"/>
      <c r="U2937" s="157"/>
      <c r="V2937" s="3589"/>
      <c r="W2937" s="960">
        <v>6</v>
      </c>
      <c r="X2937" s="960">
        <v>6</v>
      </c>
      <c r="Y2937" s="960">
        <v>6</v>
      </c>
      <c r="Z2937" s="960">
        <v>6</v>
      </c>
      <c r="AA2937" s="960">
        <v>6</v>
      </c>
      <c r="AB2937" s="960">
        <v>6</v>
      </c>
      <c r="AC2937" s="960"/>
      <c r="AD2937" s="960"/>
      <c r="AE2937" s="960"/>
      <c r="AF2937" s="960"/>
      <c r="AG2937" s="960"/>
      <c r="BB2937" s="647"/>
      <c r="BC2937" s="648"/>
      <c r="BD2937" s="757"/>
      <c r="BE2937" s="659"/>
    </row>
    <row r="2938" spans="1:57" s="64" customFormat="1" ht="15" customHeight="1" outlineLevel="1" x14ac:dyDescent="0.25">
      <c r="A2938" s="2463"/>
      <c r="B2938" s="648"/>
      <c r="C2938" s="385"/>
      <c r="D2938" s="3589"/>
      <c r="E2938" s="3721"/>
      <c r="F2938" s="3779" t="str">
        <f t="shared" si="236"/>
        <v>ASHP - SEER 17 - replace electric furnace / CAC - early replacement MF ER1</v>
      </c>
      <c r="G2938" s="3779"/>
      <c r="H2938" s="3779"/>
      <c r="I2938" s="3779"/>
      <c r="J2938" s="3073" t="str">
        <f t="shared" si="237"/>
        <v>354150_2019_12_</v>
      </c>
      <c r="K2938" s="960">
        <v>6</v>
      </c>
      <c r="L2938" s="945"/>
      <c r="M2938" s="783"/>
      <c r="N2938" s="157"/>
      <c r="O2938" s="277"/>
      <c r="P2938" s="937"/>
      <c r="Q2938" s="937"/>
      <c r="R2938" s="937"/>
      <c r="S2938" s="924"/>
      <c r="T2938" s="1407"/>
      <c r="U2938" s="157"/>
      <c r="V2938" s="3589"/>
      <c r="W2938" s="960">
        <v>6</v>
      </c>
      <c r="X2938" s="960">
        <v>6</v>
      </c>
      <c r="Y2938" s="960">
        <v>6</v>
      </c>
      <c r="Z2938" s="960">
        <v>6</v>
      </c>
      <c r="AA2938" s="960">
        <v>6</v>
      </c>
      <c r="AB2938" s="960">
        <v>6</v>
      </c>
      <c r="AC2938" s="960"/>
      <c r="AD2938" s="960"/>
      <c r="AE2938" s="960"/>
      <c r="AF2938" s="960"/>
      <c r="AG2938" s="960"/>
      <c r="BB2938" s="647"/>
      <c r="BC2938" s="648"/>
      <c r="BD2938" s="757"/>
      <c r="BE2938" s="659"/>
    </row>
    <row r="2939" spans="1:57" s="64" customFormat="1" ht="15" customHeight="1" outlineLevel="1" x14ac:dyDescent="0.25">
      <c r="A2939" s="2463"/>
      <c r="B2939" s="648"/>
      <c r="C2939" s="385"/>
      <c r="D2939" s="3589"/>
      <c r="E2939" s="3721"/>
      <c r="F2939" s="3779" t="str">
        <f t="shared" si="236"/>
        <v>ASHP - SEER 17 - replace electric furnace / CAC - early replacement MF ER2</v>
      </c>
      <c r="G2939" s="3779"/>
      <c r="H2939" s="3779"/>
      <c r="I2939" s="3779"/>
      <c r="J2939" s="3073" t="str">
        <f t="shared" si="237"/>
        <v>354150_2019_12_</v>
      </c>
      <c r="K2939" s="960">
        <v>12</v>
      </c>
      <c r="L2939" s="945"/>
      <c r="M2939" s="783"/>
      <c r="N2939" s="157"/>
      <c r="O2939" s="277"/>
      <c r="P2939" s="937"/>
      <c r="Q2939" s="937"/>
      <c r="R2939" s="937"/>
      <c r="S2939" s="924"/>
      <c r="T2939" s="1407"/>
      <c r="U2939" s="157"/>
      <c r="V2939" s="3589"/>
      <c r="W2939" s="960">
        <v>12</v>
      </c>
      <c r="X2939" s="960">
        <v>12</v>
      </c>
      <c r="Y2939" s="960">
        <v>12</v>
      </c>
      <c r="Z2939" s="960">
        <v>12</v>
      </c>
      <c r="AA2939" s="960">
        <v>12</v>
      </c>
      <c r="AB2939" s="960">
        <v>12</v>
      </c>
      <c r="AC2939" s="960"/>
      <c r="AD2939" s="960"/>
      <c r="AE2939" s="960"/>
      <c r="AF2939" s="960"/>
      <c r="AG2939" s="960"/>
      <c r="BB2939" s="647"/>
      <c r="BC2939" s="648"/>
      <c r="BD2939" s="757"/>
      <c r="BE2939" s="659"/>
    </row>
    <row r="2940" spans="1:57" s="64" customFormat="1" ht="15" customHeight="1" outlineLevel="1" x14ac:dyDescent="0.25">
      <c r="A2940" s="2463"/>
      <c r="B2940" s="648"/>
      <c r="C2940" s="385"/>
      <c r="D2940" s="3589"/>
      <c r="E2940" s="3721"/>
      <c r="F2940" s="3779" t="str">
        <f t="shared" si="236"/>
        <v>ASHP - SEER 17 - replace electric furnace / CAC - early replacement MF ER2</v>
      </c>
      <c r="G2940" s="3779"/>
      <c r="H2940" s="3779"/>
      <c r="I2940" s="3779"/>
      <c r="J2940" s="3073" t="str">
        <f t="shared" si="237"/>
        <v>354150_2019_12_</v>
      </c>
      <c r="K2940" s="960">
        <v>12</v>
      </c>
      <c r="L2940" s="945"/>
      <c r="M2940" s="783"/>
      <c r="N2940" s="157"/>
      <c r="O2940" s="277"/>
      <c r="P2940" s="937"/>
      <c r="Q2940" s="937"/>
      <c r="R2940" s="937"/>
      <c r="S2940" s="924"/>
      <c r="T2940" s="1407"/>
      <c r="U2940" s="157"/>
      <c r="V2940" s="3589"/>
      <c r="W2940" s="960">
        <v>12</v>
      </c>
      <c r="X2940" s="960">
        <v>12</v>
      </c>
      <c r="Y2940" s="960">
        <v>12</v>
      </c>
      <c r="Z2940" s="960">
        <v>12</v>
      </c>
      <c r="AA2940" s="960">
        <v>12</v>
      </c>
      <c r="AB2940" s="960">
        <v>12</v>
      </c>
      <c r="AC2940" s="960"/>
      <c r="AD2940" s="960"/>
      <c r="AE2940" s="960"/>
      <c r="AF2940" s="960"/>
      <c r="AG2940" s="960"/>
      <c r="BB2940" s="647"/>
      <c r="BC2940" s="648"/>
      <c r="BD2940" s="757"/>
      <c r="BE2940" s="659"/>
    </row>
    <row r="2941" spans="1:57" s="64" customFormat="1" ht="15" customHeight="1" outlineLevel="1" x14ac:dyDescent="0.25">
      <c r="A2941" s="2463"/>
      <c r="B2941" s="648"/>
      <c r="C2941" s="385"/>
      <c r="D2941" s="3589"/>
      <c r="E2941" s="3721"/>
      <c r="F2941" s="3779" t="str">
        <f>E1554</f>
        <v>ASHP SEER 17 replace ASHP - early replacement MF ER1</v>
      </c>
      <c r="G2941" s="3779"/>
      <c r="H2941" s="3779"/>
      <c r="I2941" s="3779"/>
      <c r="J2941" s="3073" t="str">
        <f>C1554</f>
        <v>354200_2019_12_</v>
      </c>
      <c r="K2941" s="960">
        <v>6</v>
      </c>
      <c r="L2941" s="945"/>
      <c r="M2941" s="783"/>
      <c r="N2941" s="157"/>
      <c r="O2941" s="277"/>
      <c r="P2941" s="937"/>
      <c r="Q2941" s="937"/>
      <c r="R2941" s="937"/>
      <c r="S2941" s="924"/>
      <c r="T2941" s="1407"/>
      <c r="U2941" s="157"/>
      <c r="V2941" s="3589"/>
      <c r="W2941" s="960">
        <v>6</v>
      </c>
      <c r="X2941" s="960">
        <v>6</v>
      </c>
      <c r="Y2941" s="960">
        <v>6</v>
      </c>
      <c r="Z2941" s="960">
        <v>6</v>
      </c>
      <c r="AA2941" s="960">
        <v>6</v>
      </c>
      <c r="AB2941" s="960">
        <v>6</v>
      </c>
      <c r="AC2941" s="960"/>
      <c r="AD2941" s="960"/>
      <c r="AE2941" s="960"/>
      <c r="AF2941" s="960"/>
      <c r="AG2941" s="960"/>
      <c r="BB2941" s="647"/>
      <c r="BC2941" s="648"/>
      <c r="BD2941" s="757"/>
      <c r="BE2941" s="659"/>
    </row>
    <row r="2942" spans="1:57" s="64" customFormat="1" ht="15" customHeight="1" outlineLevel="1" x14ac:dyDescent="0.25">
      <c r="A2942" s="2463"/>
      <c r="B2942" s="648"/>
      <c r="C2942" s="385"/>
      <c r="D2942" s="3589"/>
      <c r="E2942" s="3721"/>
      <c r="F2942" s="3779" t="str">
        <f>E1555</f>
        <v>ASHP SEER 17 replace ASHP - early replacement MF ER1</v>
      </c>
      <c r="G2942" s="3779"/>
      <c r="H2942" s="3779"/>
      <c r="I2942" s="3779"/>
      <c r="J2942" s="3073" t="str">
        <f>C1555</f>
        <v>354200_2019_12_</v>
      </c>
      <c r="K2942" s="960">
        <v>6</v>
      </c>
      <c r="L2942" s="945"/>
      <c r="M2942" s="783"/>
      <c r="N2942" s="157"/>
      <c r="O2942" s="277"/>
      <c r="P2942" s="937"/>
      <c r="Q2942" s="937"/>
      <c r="R2942" s="937"/>
      <c r="S2942" s="924"/>
      <c r="T2942" s="1407"/>
      <c r="U2942" s="157"/>
      <c r="V2942" s="3589"/>
      <c r="W2942" s="960">
        <v>6</v>
      </c>
      <c r="X2942" s="960">
        <v>6</v>
      </c>
      <c r="Y2942" s="960">
        <v>6</v>
      </c>
      <c r="Z2942" s="960">
        <v>6</v>
      </c>
      <c r="AA2942" s="960">
        <v>6</v>
      </c>
      <c r="AB2942" s="960">
        <v>6</v>
      </c>
      <c r="AC2942" s="960"/>
      <c r="AD2942" s="960"/>
      <c r="AE2942" s="960"/>
      <c r="AF2942" s="960"/>
      <c r="AG2942" s="960"/>
      <c r="BB2942" s="647"/>
      <c r="BC2942" s="648"/>
      <c r="BD2942" s="757"/>
      <c r="BE2942" s="659"/>
    </row>
    <row r="2943" spans="1:57" s="64" customFormat="1" ht="15" customHeight="1" outlineLevel="1" x14ac:dyDescent="0.25">
      <c r="A2943" s="2463"/>
      <c r="B2943" s="648"/>
      <c r="C2943" s="385"/>
      <c r="D2943" s="3589"/>
      <c r="E2943" s="3721"/>
      <c r="F2943" s="3779" t="str">
        <f>E1556</f>
        <v>ASHP SEER 17 replace ASHP - early replacement MF ER2</v>
      </c>
      <c r="G2943" s="3779"/>
      <c r="H2943" s="3779"/>
      <c r="I2943" s="3779"/>
      <c r="J2943" s="3073" t="str">
        <f>C1556</f>
        <v>354200_2019_12_</v>
      </c>
      <c r="K2943" s="960">
        <v>12</v>
      </c>
      <c r="L2943" s="945"/>
      <c r="M2943" s="783"/>
      <c r="N2943" s="157"/>
      <c r="O2943" s="277"/>
      <c r="P2943" s="937"/>
      <c r="Q2943" s="937"/>
      <c r="R2943" s="937"/>
      <c r="S2943" s="924"/>
      <c r="T2943" s="1407"/>
      <c r="U2943" s="157"/>
      <c r="V2943" s="3589"/>
      <c r="W2943" s="960">
        <v>12</v>
      </c>
      <c r="X2943" s="960">
        <v>12</v>
      </c>
      <c r="Y2943" s="960">
        <v>12</v>
      </c>
      <c r="Z2943" s="960">
        <v>12</v>
      </c>
      <c r="AA2943" s="960">
        <v>12</v>
      </c>
      <c r="AB2943" s="960">
        <v>12</v>
      </c>
      <c r="AC2943" s="960"/>
      <c r="AD2943" s="960"/>
      <c r="AE2943" s="960"/>
      <c r="AF2943" s="960"/>
      <c r="AG2943" s="960"/>
      <c r="BB2943" s="647"/>
      <c r="BC2943" s="648"/>
      <c r="BD2943" s="757"/>
      <c r="BE2943" s="659"/>
    </row>
    <row r="2944" spans="1:57" s="64" customFormat="1" ht="15" customHeight="1" outlineLevel="1" x14ac:dyDescent="0.25">
      <c r="A2944" s="2463"/>
      <c r="B2944" s="648"/>
      <c r="C2944" s="385"/>
      <c r="D2944" s="3589"/>
      <c r="E2944" s="3721"/>
      <c r="F2944" s="3779" t="str">
        <f>E1557</f>
        <v>ASHP SEER 17 replace ASHP - early replacement MF ER2</v>
      </c>
      <c r="G2944" s="3779"/>
      <c r="H2944" s="3779"/>
      <c r="I2944" s="3779"/>
      <c r="J2944" s="3073" t="str">
        <f>C1557</f>
        <v>354200_2019_12_</v>
      </c>
      <c r="K2944" s="960">
        <v>12</v>
      </c>
      <c r="L2944" s="945"/>
      <c r="M2944" s="783"/>
      <c r="N2944" s="157"/>
      <c r="O2944" s="277"/>
      <c r="P2944" s="937"/>
      <c r="Q2944" s="937"/>
      <c r="R2944" s="937"/>
      <c r="S2944" s="924"/>
      <c r="T2944" s="1407"/>
      <c r="U2944" s="157"/>
      <c r="V2944" s="3589"/>
      <c r="W2944" s="960">
        <v>12</v>
      </c>
      <c r="X2944" s="960">
        <v>12</v>
      </c>
      <c r="Y2944" s="960">
        <v>12</v>
      </c>
      <c r="Z2944" s="960">
        <v>12</v>
      </c>
      <c r="AA2944" s="960">
        <v>12</v>
      </c>
      <c r="AB2944" s="960">
        <v>12</v>
      </c>
      <c r="AC2944" s="960"/>
      <c r="AD2944" s="960"/>
      <c r="AE2944" s="960"/>
      <c r="AF2944" s="960"/>
      <c r="AG2944" s="960"/>
      <c r="BB2944" s="647"/>
      <c r="BC2944" s="648"/>
      <c r="BD2944" s="757"/>
      <c r="BE2944" s="659"/>
    </row>
    <row r="2945" spans="1:57" s="64" customFormat="1" ht="15" customHeight="1" outlineLevel="1" x14ac:dyDescent="0.25">
      <c r="A2945" s="2463"/>
      <c r="B2945" s="648"/>
      <c r="C2945" s="385"/>
      <c r="D2945" s="3589"/>
      <c r="E2945" s="3721"/>
      <c r="F2945" s="3779" t="str">
        <f t="shared" ref="F2945:F2952" si="238">E1562</f>
        <v>ASHP - SEER 18 - replace electric furnace / CAC - early replacement SF ER1</v>
      </c>
      <c r="G2945" s="3779"/>
      <c r="H2945" s="3779"/>
      <c r="I2945" s="3779"/>
      <c r="J2945" s="3073" t="str">
        <f t="shared" ref="J2945:J2952" si="239">C1562</f>
        <v>354250_2019_12_</v>
      </c>
      <c r="K2945" s="960">
        <v>6</v>
      </c>
      <c r="L2945" s="945"/>
      <c r="M2945" s="783"/>
      <c r="N2945" s="157"/>
      <c r="O2945" s="277"/>
      <c r="P2945" s="937"/>
      <c r="Q2945" s="937"/>
      <c r="R2945" s="937"/>
      <c r="S2945" s="924"/>
      <c r="T2945" s="1407"/>
      <c r="U2945" s="157"/>
      <c r="V2945" s="3589"/>
      <c r="W2945" s="960">
        <v>6</v>
      </c>
      <c r="X2945" s="960">
        <v>6</v>
      </c>
      <c r="Y2945" s="960">
        <v>6</v>
      </c>
      <c r="Z2945" s="960">
        <v>6</v>
      </c>
      <c r="AA2945" s="960">
        <v>6</v>
      </c>
      <c r="AB2945" s="960">
        <v>6</v>
      </c>
      <c r="AC2945" s="960"/>
      <c r="AD2945" s="960"/>
      <c r="AE2945" s="960"/>
      <c r="AF2945" s="960"/>
      <c r="AG2945" s="960"/>
      <c r="BB2945" s="647"/>
      <c r="BC2945" s="648"/>
      <c r="BD2945" s="757"/>
      <c r="BE2945" s="659"/>
    </row>
    <row r="2946" spans="1:57" s="64" customFormat="1" ht="15" customHeight="1" outlineLevel="1" x14ac:dyDescent="0.25">
      <c r="A2946" s="2463"/>
      <c r="B2946" s="648"/>
      <c r="C2946" s="385"/>
      <c r="D2946" s="3589"/>
      <c r="E2946" s="3721"/>
      <c r="F2946" s="3779" t="str">
        <f t="shared" si="238"/>
        <v>ASHP - SEER 18 - replace electric furnace / CAC - early replacement SF ER1</v>
      </c>
      <c r="G2946" s="3779"/>
      <c r="H2946" s="3779"/>
      <c r="I2946" s="3779"/>
      <c r="J2946" s="3073" t="str">
        <f t="shared" si="239"/>
        <v>354250_2019_12_</v>
      </c>
      <c r="K2946" s="960">
        <v>6</v>
      </c>
      <c r="L2946" s="945"/>
      <c r="M2946" s="783"/>
      <c r="N2946" s="157"/>
      <c r="O2946" s="277"/>
      <c r="P2946" s="937"/>
      <c r="Q2946" s="937"/>
      <c r="R2946" s="937"/>
      <c r="S2946" s="924"/>
      <c r="T2946" s="1407"/>
      <c r="U2946" s="157"/>
      <c r="V2946" s="3589"/>
      <c r="W2946" s="960">
        <v>6</v>
      </c>
      <c r="X2946" s="960">
        <v>6</v>
      </c>
      <c r="Y2946" s="960">
        <v>6</v>
      </c>
      <c r="Z2946" s="960">
        <v>6</v>
      </c>
      <c r="AA2946" s="960">
        <v>6</v>
      </c>
      <c r="AB2946" s="960">
        <v>6</v>
      </c>
      <c r="AC2946" s="960"/>
      <c r="AD2946" s="960"/>
      <c r="AE2946" s="960"/>
      <c r="AF2946" s="960"/>
      <c r="AG2946" s="960"/>
      <c r="BB2946" s="647"/>
      <c r="BC2946" s="648"/>
      <c r="BD2946" s="757"/>
      <c r="BE2946" s="659"/>
    </row>
    <row r="2947" spans="1:57" s="64" customFormat="1" ht="15" customHeight="1" outlineLevel="1" x14ac:dyDescent="0.25">
      <c r="A2947" s="2463"/>
      <c r="B2947" s="648"/>
      <c r="C2947" s="385"/>
      <c r="D2947" s="3589"/>
      <c r="E2947" s="3721"/>
      <c r="F2947" s="3779" t="str">
        <f t="shared" si="238"/>
        <v>ASHP - SEER 18 - replace electric furnace / CAC - early replacement SF ER2</v>
      </c>
      <c r="G2947" s="3779"/>
      <c r="H2947" s="3779"/>
      <c r="I2947" s="3779"/>
      <c r="J2947" s="3073" t="str">
        <f t="shared" si="239"/>
        <v>354250_2019_12_</v>
      </c>
      <c r="K2947" s="960">
        <v>12</v>
      </c>
      <c r="L2947" s="945"/>
      <c r="M2947" s="783"/>
      <c r="N2947" s="157"/>
      <c r="O2947" s="277"/>
      <c r="P2947" s="937"/>
      <c r="Q2947" s="937"/>
      <c r="R2947" s="937"/>
      <c r="S2947" s="924"/>
      <c r="T2947" s="1407"/>
      <c r="U2947" s="157"/>
      <c r="V2947" s="3589"/>
      <c r="W2947" s="960">
        <v>12</v>
      </c>
      <c r="X2947" s="960">
        <v>12</v>
      </c>
      <c r="Y2947" s="960">
        <v>12</v>
      </c>
      <c r="Z2947" s="960">
        <v>12</v>
      </c>
      <c r="AA2947" s="960">
        <v>12</v>
      </c>
      <c r="AB2947" s="960">
        <v>12</v>
      </c>
      <c r="AC2947" s="960"/>
      <c r="AD2947" s="960"/>
      <c r="AE2947" s="960"/>
      <c r="AF2947" s="960"/>
      <c r="AG2947" s="960"/>
      <c r="BB2947" s="647"/>
      <c r="BC2947" s="648"/>
      <c r="BD2947" s="757"/>
      <c r="BE2947" s="659"/>
    </row>
    <row r="2948" spans="1:57" s="64" customFormat="1" ht="15" customHeight="1" outlineLevel="1" x14ac:dyDescent="0.25">
      <c r="A2948" s="2463"/>
      <c r="B2948" s="648"/>
      <c r="C2948" s="385"/>
      <c r="D2948" s="3589"/>
      <c r="E2948" s="3721"/>
      <c r="F2948" s="3779" t="str">
        <f t="shared" si="238"/>
        <v>ASHP - SEER 18 - replace electric furnace / CAC - early replacement SF ER2</v>
      </c>
      <c r="G2948" s="3779"/>
      <c r="H2948" s="3779"/>
      <c r="I2948" s="3779"/>
      <c r="J2948" s="3073" t="str">
        <f t="shared" si="239"/>
        <v>354250_2019_12_</v>
      </c>
      <c r="K2948" s="960">
        <v>12</v>
      </c>
      <c r="L2948" s="945"/>
      <c r="M2948" s="783"/>
      <c r="N2948" s="157"/>
      <c r="O2948" s="277"/>
      <c r="P2948" s="937"/>
      <c r="Q2948" s="937"/>
      <c r="R2948" s="937"/>
      <c r="S2948" s="924"/>
      <c r="T2948" s="1407"/>
      <c r="U2948" s="157"/>
      <c r="V2948" s="3589"/>
      <c r="W2948" s="960">
        <v>12</v>
      </c>
      <c r="X2948" s="960">
        <v>12</v>
      </c>
      <c r="Y2948" s="960">
        <v>12</v>
      </c>
      <c r="Z2948" s="960">
        <v>12</v>
      </c>
      <c r="AA2948" s="960">
        <v>12</v>
      </c>
      <c r="AB2948" s="960">
        <v>12</v>
      </c>
      <c r="AC2948" s="960"/>
      <c r="AD2948" s="960"/>
      <c r="AE2948" s="960"/>
      <c r="AF2948" s="960"/>
      <c r="AG2948" s="960"/>
      <c r="BB2948" s="647"/>
      <c r="BC2948" s="648"/>
      <c r="BD2948" s="757"/>
      <c r="BE2948" s="659"/>
    </row>
    <row r="2949" spans="1:57" s="64" customFormat="1" ht="15" customHeight="1" outlineLevel="1" x14ac:dyDescent="0.25">
      <c r="A2949" s="2463"/>
      <c r="B2949" s="648"/>
      <c r="C2949" s="385"/>
      <c r="D2949" s="3589"/>
      <c r="E2949" s="3721"/>
      <c r="F2949" s="3779" t="str">
        <f t="shared" si="238"/>
        <v>ASHP - SEER 18 - replace electric furnace / CAC - early replacement MF ER1</v>
      </c>
      <c r="G2949" s="3779"/>
      <c r="H2949" s="3779"/>
      <c r="I2949" s="3779"/>
      <c r="J2949" s="3073" t="str">
        <f t="shared" si="239"/>
        <v>354300_2019_12_</v>
      </c>
      <c r="K2949" s="960">
        <v>6</v>
      </c>
      <c r="L2949" s="945"/>
      <c r="M2949" s="783"/>
      <c r="N2949" s="157"/>
      <c r="O2949" s="277"/>
      <c r="P2949" s="937"/>
      <c r="Q2949" s="937"/>
      <c r="R2949" s="937"/>
      <c r="S2949" s="924"/>
      <c r="T2949" s="1407"/>
      <c r="U2949" s="157"/>
      <c r="V2949" s="3589"/>
      <c r="W2949" s="960">
        <v>6</v>
      </c>
      <c r="X2949" s="960">
        <v>6</v>
      </c>
      <c r="Y2949" s="960">
        <v>6</v>
      </c>
      <c r="Z2949" s="960">
        <v>6</v>
      </c>
      <c r="AA2949" s="960">
        <v>6</v>
      </c>
      <c r="AB2949" s="960">
        <v>6</v>
      </c>
      <c r="AC2949" s="960"/>
      <c r="AD2949" s="960"/>
      <c r="AE2949" s="960"/>
      <c r="AF2949" s="960"/>
      <c r="AG2949" s="960"/>
      <c r="BB2949" s="647"/>
      <c r="BC2949" s="648"/>
      <c r="BD2949" s="757"/>
      <c r="BE2949" s="659"/>
    </row>
    <row r="2950" spans="1:57" s="64" customFormat="1" ht="15" customHeight="1" outlineLevel="1" x14ac:dyDescent="0.25">
      <c r="A2950" s="2463"/>
      <c r="B2950" s="648"/>
      <c r="C2950" s="385"/>
      <c r="D2950" s="3589"/>
      <c r="E2950" s="3721"/>
      <c r="F2950" s="3779" t="str">
        <f t="shared" si="238"/>
        <v>ASHP - SEER 18 - replace electric furnace / CAC - early replacement MF ER1</v>
      </c>
      <c r="G2950" s="3779"/>
      <c r="H2950" s="3779"/>
      <c r="I2950" s="3779"/>
      <c r="J2950" s="3073" t="str">
        <f t="shared" si="239"/>
        <v>354300_2019_12_</v>
      </c>
      <c r="K2950" s="960">
        <v>6</v>
      </c>
      <c r="L2950" s="945"/>
      <c r="M2950" s="783"/>
      <c r="N2950" s="157"/>
      <c r="O2950" s="277"/>
      <c r="P2950" s="937"/>
      <c r="Q2950" s="937"/>
      <c r="R2950" s="937"/>
      <c r="S2950" s="924"/>
      <c r="T2950" s="1407"/>
      <c r="U2950" s="157"/>
      <c r="V2950" s="3589"/>
      <c r="W2950" s="960">
        <v>6</v>
      </c>
      <c r="X2950" s="960">
        <v>6</v>
      </c>
      <c r="Y2950" s="960">
        <v>6</v>
      </c>
      <c r="Z2950" s="960">
        <v>6</v>
      </c>
      <c r="AA2950" s="960">
        <v>6</v>
      </c>
      <c r="AB2950" s="960">
        <v>6</v>
      </c>
      <c r="AC2950" s="960"/>
      <c r="AD2950" s="960"/>
      <c r="AE2950" s="960"/>
      <c r="AF2950" s="960"/>
      <c r="AG2950" s="960"/>
      <c r="BB2950" s="647"/>
      <c r="BC2950" s="648"/>
      <c r="BD2950" s="757"/>
      <c r="BE2950" s="659"/>
    </row>
    <row r="2951" spans="1:57" s="64" customFormat="1" ht="15" customHeight="1" outlineLevel="1" x14ac:dyDescent="0.25">
      <c r="A2951" s="2463"/>
      <c r="B2951" s="648"/>
      <c r="C2951" s="385"/>
      <c r="D2951" s="3589"/>
      <c r="E2951" s="3721"/>
      <c r="F2951" s="3779" t="str">
        <f t="shared" si="238"/>
        <v>ASHP - SEER 18 - replace electric furnace / CAC - early replacement MF ER2</v>
      </c>
      <c r="G2951" s="3779"/>
      <c r="H2951" s="3779"/>
      <c r="I2951" s="3779"/>
      <c r="J2951" s="3073" t="str">
        <f t="shared" si="239"/>
        <v>354300_2019_12_</v>
      </c>
      <c r="K2951" s="960">
        <v>12</v>
      </c>
      <c r="L2951" s="945"/>
      <c r="M2951" s="783"/>
      <c r="N2951" s="157"/>
      <c r="O2951" s="277"/>
      <c r="P2951" s="937"/>
      <c r="Q2951" s="937"/>
      <c r="R2951" s="937"/>
      <c r="S2951" s="924"/>
      <c r="T2951" s="1407"/>
      <c r="U2951" s="157"/>
      <c r="V2951" s="3589"/>
      <c r="W2951" s="960">
        <v>12</v>
      </c>
      <c r="X2951" s="960">
        <v>12</v>
      </c>
      <c r="Y2951" s="960">
        <v>12</v>
      </c>
      <c r="Z2951" s="960">
        <v>12</v>
      </c>
      <c r="AA2951" s="960">
        <v>12</v>
      </c>
      <c r="AB2951" s="960">
        <v>12</v>
      </c>
      <c r="AC2951" s="960"/>
      <c r="AD2951" s="960"/>
      <c r="AE2951" s="960"/>
      <c r="AF2951" s="960"/>
      <c r="AG2951" s="960"/>
      <c r="BB2951" s="647"/>
      <c r="BC2951" s="648"/>
      <c r="BD2951" s="757"/>
      <c r="BE2951" s="659"/>
    </row>
    <row r="2952" spans="1:57" s="64" customFormat="1" ht="15" customHeight="1" outlineLevel="1" x14ac:dyDescent="0.25">
      <c r="A2952" s="2463"/>
      <c r="B2952" s="648"/>
      <c r="C2952" s="385"/>
      <c r="D2952" s="3589"/>
      <c r="E2952" s="3721"/>
      <c r="F2952" s="3779" t="str">
        <f t="shared" si="238"/>
        <v>ASHP - SEER 18 - replace electric furnace / CAC - early replacement MF ER2</v>
      </c>
      <c r="G2952" s="3779"/>
      <c r="H2952" s="3779"/>
      <c r="I2952" s="3779"/>
      <c r="J2952" s="3073" t="str">
        <f t="shared" si="239"/>
        <v>354300_2019_12_</v>
      </c>
      <c r="K2952" s="960">
        <v>12</v>
      </c>
      <c r="L2952" s="945"/>
      <c r="M2952" s="783"/>
      <c r="N2952" s="157"/>
      <c r="O2952" s="277"/>
      <c r="P2952" s="937"/>
      <c r="Q2952" s="938"/>
      <c r="R2952" s="937"/>
      <c r="S2952" s="924"/>
      <c r="T2952" s="1407"/>
      <c r="U2952" s="157"/>
      <c r="V2952" s="3589"/>
      <c r="W2952" s="960">
        <v>12</v>
      </c>
      <c r="X2952" s="960">
        <v>12</v>
      </c>
      <c r="Y2952" s="960">
        <v>12</v>
      </c>
      <c r="Z2952" s="960">
        <v>12</v>
      </c>
      <c r="AA2952" s="960">
        <v>12</v>
      </c>
      <c r="AB2952" s="960">
        <v>12</v>
      </c>
      <c r="AC2952" s="960"/>
      <c r="AD2952" s="960"/>
      <c r="AE2952" s="960"/>
      <c r="AF2952" s="960"/>
      <c r="AG2952" s="960"/>
      <c r="BB2952" s="647"/>
      <c r="BC2952" s="648"/>
      <c r="BD2952" s="757"/>
      <c r="BE2952" s="659"/>
    </row>
    <row r="2953" spans="1:57" s="64" customFormat="1" ht="15" customHeight="1" outlineLevel="1" x14ac:dyDescent="0.25">
      <c r="A2953" s="2463"/>
      <c r="B2953" s="648"/>
      <c r="C2953" s="385"/>
      <c r="D2953" s="3589"/>
      <c r="E2953" s="3721"/>
      <c r="F2953" s="3779" t="str">
        <f>E1574</f>
        <v>ASHP SEER 18 replace ASHP - early replacement MF ER1</v>
      </c>
      <c r="G2953" s="3779"/>
      <c r="H2953" s="3779"/>
      <c r="I2953" s="3779"/>
      <c r="J2953" s="3073" t="str">
        <f>C1574</f>
        <v>354350_2019_12_</v>
      </c>
      <c r="K2953" s="960">
        <v>6</v>
      </c>
      <c r="L2953" s="945"/>
      <c r="M2953" s="783"/>
      <c r="N2953" s="157"/>
      <c r="O2953" s="277"/>
      <c r="P2953" s="937"/>
      <c r="Q2953" s="938"/>
      <c r="R2953" s="937"/>
      <c r="S2953" s="924"/>
      <c r="T2953" s="1407"/>
      <c r="U2953" s="157"/>
      <c r="V2953" s="3589"/>
      <c r="W2953" s="960">
        <v>6</v>
      </c>
      <c r="X2953" s="960">
        <v>6</v>
      </c>
      <c r="Y2953" s="960">
        <v>6</v>
      </c>
      <c r="Z2953" s="960">
        <v>6</v>
      </c>
      <c r="AA2953" s="960">
        <v>6</v>
      </c>
      <c r="AB2953" s="960">
        <v>6</v>
      </c>
      <c r="AC2953" s="960"/>
      <c r="AD2953" s="960"/>
      <c r="AE2953" s="960"/>
      <c r="AF2953" s="960"/>
      <c r="AG2953" s="960"/>
      <c r="BB2953" s="647"/>
      <c r="BC2953" s="648"/>
      <c r="BD2953" s="757"/>
      <c r="BE2953" s="659"/>
    </row>
    <row r="2954" spans="1:57" s="64" customFormat="1" ht="15" customHeight="1" outlineLevel="1" x14ac:dyDescent="0.25">
      <c r="A2954" s="2463"/>
      <c r="B2954" s="648"/>
      <c r="C2954" s="385"/>
      <c r="D2954" s="3589"/>
      <c r="E2954" s="3721"/>
      <c r="F2954" s="3779" t="str">
        <f>E1575</f>
        <v>ASHP SEER 18 replace ASHP - early replacement MF ER1</v>
      </c>
      <c r="G2954" s="3779"/>
      <c r="H2954" s="3779"/>
      <c r="I2954" s="3779"/>
      <c r="J2954" s="3073" t="str">
        <f>C1575</f>
        <v>354350_2019_12_</v>
      </c>
      <c r="K2954" s="960">
        <v>6</v>
      </c>
      <c r="L2954" s="945"/>
      <c r="M2954" s="783"/>
      <c r="N2954" s="157"/>
      <c r="O2954" s="277"/>
      <c r="P2954" s="937"/>
      <c r="Q2954" s="938"/>
      <c r="R2954" s="937"/>
      <c r="S2954" s="924"/>
      <c r="T2954" s="1407"/>
      <c r="U2954" s="157"/>
      <c r="V2954" s="3589"/>
      <c r="W2954" s="960">
        <v>6</v>
      </c>
      <c r="X2954" s="960">
        <v>6</v>
      </c>
      <c r="Y2954" s="960">
        <v>6</v>
      </c>
      <c r="Z2954" s="960">
        <v>6</v>
      </c>
      <c r="AA2954" s="960">
        <v>6</v>
      </c>
      <c r="AB2954" s="960">
        <v>6</v>
      </c>
      <c r="AC2954" s="960"/>
      <c r="AD2954" s="960"/>
      <c r="AE2954" s="960"/>
      <c r="AF2954" s="960"/>
      <c r="AG2954" s="960"/>
      <c r="BB2954" s="647"/>
      <c r="BC2954" s="648"/>
      <c r="BD2954" s="757"/>
      <c r="BE2954" s="659"/>
    </row>
    <row r="2955" spans="1:57" s="64" customFormat="1" ht="15" customHeight="1" outlineLevel="1" x14ac:dyDescent="0.25">
      <c r="A2955" s="2463"/>
      <c r="B2955" s="648"/>
      <c r="C2955" s="385"/>
      <c r="D2955" s="3589"/>
      <c r="E2955" s="3721"/>
      <c r="F2955" s="3779" t="str">
        <f>E1576</f>
        <v>ASHP SEER 18 replace ASHP - early replacement MF ER2</v>
      </c>
      <c r="G2955" s="3779"/>
      <c r="H2955" s="3779"/>
      <c r="I2955" s="3779"/>
      <c r="J2955" s="3073" t="str">
        <f>C1576</f>
        <v>354350_2019_12_</v>
      </c>
      <c r="K2955" s="960">
        <v>12</v>
      </c>
      <c r="L2955" s="945"/>
      <c r="M2955" s="783"/>
      <c r="N2955" s="157"/>
      <c r="O2955" s="277"/>
      <c r="P2955" s="937"/>
      <c r="Q2955" s="938"/>
      <c r="R2955" s="937"/>
      <c r="S2955" s="924"/>
      <c r="T2955" s="1407"/>
      <c r="U2955" s="157"/>
      <c r="V2955" s="3589"/>
      <c r="W2955" s="960">
        <v>12</v>
      </c>
      <c r="X2955" s="960">
        <v>12</v>
      </c>
      <c r="Y2955" s="960">
        <v>12</v>
      </c>
      <c r="Z2955" s="960">
        <v>12</v>
      </c>
      <c r="AA2955" s="960">
        <v>12</v>
      </c>
      <c r="AB2955" s="960">
        <v>12</v>
      </c>
      <c r="AC2955" s="960"/>
      <c r="AD2955" s="960"/>
      <c r="AE2955" s="960"/>
      <c r="AF2955" s="960"/>
      <c r="AG2955" s="960"/>
      <c r="BB2955" s="647"/>
      <c r="BC2955" s="648"/>
      <c r="BD2955" s="757"/>
      <c r="BE2955" s="659"/>
    </row>
    <row r="2956" spans="1:57" s="64" customFormat="1" ht="15" customHeight="1" outlineLevel="1" x14ac:dyDescent="0.25">
      <c r="A2956" s="2463"/>
      <c r="B2956" s="648"/>
      <c r="C2956" s="385"/>
      <c r="D2956" s="3589"/>
      <c r="E2956" s="3721"/>
      <c r="F2956" s="3779" t="str">
        <f>E1577</f>
        <v>ASHP SEER 18 replace ASHP - early replacement MF ER2</v>
      </c>
      <c r="G2956" s="3779"/>
      <c r="H2956" s="3779"/>
      <c r="I2956" s="3779"/>
      <c r="J2956" s="3073" t="str">
        <f>C1577</f>
        <v>354350_2019_12_</v>
      </c>
      <c r="K2956" s="960">
        <v>12</v>
      </c>
      <c r="L2956" s="945"/>
      <c r="M2956" s="783"/>
      <c r="N2956" s="157"/>
      <c r="O2956" s="277"/>
      <c r="P2956" s="937"/>
      <c r="Q2956" s="938"/>
      <c r="R2956" s="937"/>
      <c r="S2956" s="924"/>
      <c r="T2956" s="1407"/>
      <c r="U2956" s="157"/>
      <c r="V2956" s="3589"/>
      <c r="W2956" s="960">
        <v>12</v>
      </c>
      <c r="X2956" s="960">
        <v>12</v>
      </c>
      <c r="Y2956" s="960">
        <v>12</v>
      </c>
      <c r="Z2956" s="960">
        <v>12</v>
      </c>
      <c r="AA2956" s="960">
        <v>12</v>
      </c>
      <c r="AB2956" s="960">
        <v>12</v>
      </c>
      <c r="AC2956" s="960"/>
      <c r="AD2956" s="960"/>
      <c r="AE2956" s="960"/>
      <c r="AF2956" s="960"/>
      <c r="AG2956" s="960"/>
      <c r="BB2956" s="647"/>
      <c r="BC2956" s="648"/>
      <c r="BD2956" s="757"/>
      <c r="BE2956" s="659"/>
    </row>
    <row r="2957" spans="1:57" s="64" customFormat="1" ht="15" customHeight="1" outlineLevel="1" x14ac:dyDescent="0.25">
      <c r="A2957" s="2463"/>
      <c r="B2957" s="648"/>
      <c r="C2957" s="385"/>
      <c r="D2957" s="3589"/>
      <c r="E2957" s="3721"/>
      <c r="F2957" s="3779" t="str">
        <f t="shared" ref="F2957:F2964" si="240">E1582</f>
        <v>ASHP - SEER 19 - replace electric furnace / CAC - early replacement SF ER1</v>
      </c>
      <c r="G2957" s="3779"/>
      <c r="H2957" s="3779"/>
      <c r="I2957" s="3779"/>
      <c r="J2957" s="3073" t="str">
        <f t="shared" ref="J2957:J2964" si="241">C1582</f>
        <v>354400_2019_12_</v>
      </c>
      <c r="K2957" s="960">
        <v>6</v>
      </c>
      <c r="L2957" s="945"/>
      <c r="M2957" s="783"/>
      <c r="N2957" s="157"/>
      <c r="O2957" s="277"/>
      <c r="P2957" s="937"/>
      <c r="Q2957" s="938"/>
      <c r="R2957" s="937"/>
      <c r="S2957" s="924"/>
      <c r="T2957" s="1407"/>
      <c r="U2957" s="157"/>
      <c r="V2957" s="3589"/>
      <c r="W2957" s="960">
        <v>6</v>
      </c>
      <c r="X2957" s="960">
        <v>6</v>
      </c>
      <c r="Y2957" s="960">
        <v>6</v>
      </c>
      <c r="Z2957" s="960">
        <v>6</v>
      </c>
      <c r="AA2957" s="960">
        <v>6</v>
      </c>
      <c r="AB2957" s="960">
        <v>6</v>
      </c>
      <c r="AC2957" s="960"/>
      <c r="AD2957" s="960"/>
      <c r="AE2957" s="960"/>
      <c r="AF2957" s="960"/>
      <c r="AG2957" s="960"/>
      <c r="BB2957" s="647"/>
      <c r="BC2957" s="648"/>
      <c r="BD2957" s="757"/>
      <c r="BE2957" s="659"/>
    </row>
    <row r="2958" spans="1:57" s="64" customFormat="1" ht="15" customHeight="1" outlineLevel="1" x14ac:dyDescent="0.25">
      <c r="A2958" s="1393"/>
      <c r="B2958" s="648"/>
      <c r="C2958" s="385"/>
      <c r="D2958" s="3589"/>
      <c r="E2958" s="3721"/>
      <c r="F2958" s="3779" t="str">
        <f t="shared" si="240"/>
        <v>ASHP - SEER 19 - replace electric furnace / CAC - early replacement SF ER1</v>
      </c>
      <c r="G2958" s="3779"/>
      <c r="H2958" s="3779"/>
      <c r="I2958" s="3779"/>
      <c r="J2958" s="3073" t="str">
        <f t="shared" si="241"/>
        <v>354400_2019_12_</v>
      </c>
      <c r="K2958" s="960">
        <v>6</v>
      </c>
      <c r="L2958" s="945"/>
      <c r="M2958" s="783"/>
      <c r="N2958" s="157"/>
      <c r="O2958" s="277"/>
      <c r="P2958" s="277"/>
      <c r="Q2958" s="277"/>
      <c r="R2958" s="277"/>
      <c r="S2958" s="157"/>
      <c r="T2958" s="157"/>
      <c r="U2958" s="157"/>
      <c r="V2958" s="3589"/>
      <c r="W2958" s="960">
        <v>6</v>
      </c>
      <c r="X2958" s="960">
        <v>6</v>
      </c>
      <c r="Y2958" s="960">
        <v>6</v>
      </c>
      <c r="Z2958" s="960">
        <v>6</v>
      </c>
      <c r="AA2958" s="960">
        <v>6</v>
      </c>
      <c r="AB2958" s="960">
        <v>6</v>
      </c>
      <c r="AC2958" s="960"/>
      <c r="AD2958" s="960"/>
      <c r="AE2958" s="960"/>
      <c r="AF2958" s="960"/>
      <c r="AG2958" s="960"/>
      <c r="BB2958" s="647"/>
      <c r="BC2958" s="648"/>
      <c r="BD2958" s="757"/>
      <c r="BE2958" s="659"/>
    </row>
    <row r="2959" spans="1:57" s="64" customFormat="1" ht="15" customHeight="1" outlineLevel="1" x14ac:dyDescent="0.25">
      <c r="A2959" s="2463"/>
      <c r="B2959" s="648"/>
      <c r="C2959" s="385"/>
      <c r="D2959" s="3589"/>
      <c r="E2959" s="3721"/>
      <c r="F2959" s="3779" t="str">
        <f t="shared" si="240"/>
        <v>ASHP - SEER 19 - replace electric furnace / CAC - early replacement SF ER2</v>
      </c>
      <c r="G2959" s="3779"/>
      <c r="H2959" s="3779"/>
      <c r="I2959" s="3779"/>
      <c r="J2959" s="3073" t="str">
        <f t="shared" si="241"/>
        <v>354400_2019_12_</v>
      </c>
      <c r="K2959" s="960">
        <v>12</v>
      </c>
      <c r="L2959" s="945"/>
      <c r="M2959" s="953"/>
      <c r="N2959" s="157"/>
      <c r="O2959" s="277"/>
      <c r="P2959" s="937"/>
      <c r="Q2959" s="938"/>
      <c r="R2959" s="937"/>
      <c r="S2959" s="924"/>
      <c r="T2959" s="1407"/>
      <c r="U2959" s="157"/>
      <c r="V2959" s="3589"/>
      <c r="W2959" s="960">
        <v>12</v>
      </c>
      <c r="X2959" s="960">
        <v>12</v>
      </c>
      <c r="Y2959" s="960">
        <v>12</v>
      </c>
      <c r="Z2959" s="960">
        <v>12</v>
      </c>
      <c r="AA2959" s="960">
        <v>12</v>
      </c>
      <c r="AB2959" s="960">
        <v>12</v>
      </c>
      <c r="AC2959" s="960"/>
      <c r="AD2959" s="960"/>
      <c r="AE2959" s="960"/>
      <c r="AF2959" s="960"/>
      <c r="AG2959" s="960"/>
      <c r="BB2959" s="647"/>
      <c r="BC2959" s="648"/>
      <c r="BD2959" s="757"/>
      <c r="BE2959" s="659"/>
    </row>
    <row r="2960" spans="1:57" s="64" customFormat="1" ht="15" customHeight="1" outlineLevel="1" x14ac:dyDescent="0.25">
      <c r="A2960" s="1393"/>
      <c r="B2960" s="648"/>
      <c r="C2960" s="385"/>
      <c r="D2960" s="3589"/>
      <c r="E2960" s="3721"/>
      <c r="F2960" s="3779" t="str">
        <f t="shared" si="240"/>
        <v>ASHP - SEER 19 - replace electric furnace / CAC - early replacement SF ER2</v>
      </c>
      <c r="G2960" s="3779"/>
      <c r="H2960" s="3779"/>
      <c r="I2960" s="3779"/>
      <c r="J2960" s="3073" t="str">
        <f t="shared" si="241"/>
        <v>354400_2019_12_</v>
      </c>
      <c r="K2960" s="960">
        <v>12</v>
      </c>
      <c r="L2960" s="945"/>
      <c r="M2960" s="953"/>
      <c r="N2960" s="157"/>
      <c r="O2960" s="277"/>
      <c r="P2960" s="277"/>
      <c r="Q2960" s="277"/>
      <c r="R2960" s="277"/>
      <c r="S2960" s="157"/>
      <c r="T2960" s="157"/>
      <c r="U2960" s="157"/>
      <c r="V2960" s="3589"/>
      <c r="W2960" s="960">
        <v>12</v>
      </c>
      <c r="X2960" s="960">
        <v>12</v>
      </c>
      <c r="Y2960" s="960">
        <v>12</v>
      </c>
      <c r="Z2960" s="960">
        <v>12</v>
      </c>
      <c r="AA2960" s="960">
        <v>12</v>
      </c>
      <c r="AB2960" s="960">
        <v>12</v>
      </c>
      <c r="AC2960" s="960"/>
      <c r="AD2960" s="960"/>
      <c r="AE2960" s="960"/>
      <c r="AF2960" s="960"/>
      <c r="AG2960" s="960"/>
      <c r="BB2960" s="647"/>
      <c r="BC2960" s="648"/>
      <c r="BD2960" s="757"/>
      <c r="BE2960" s="659"/>
    </row>
    <row r="2961" spans="1:57" s="64" customFormat="1" ht="15" customHeight="1" outlineLevel="1" x14ac:dyDescent="0.25">
      <c r="A2961" s="2463"/>
      <c r="B2961" s="648"/>
      <c r="C2961" s="385"/>
      <c r="D2961" s="3589"/>
      <c r="E2961" s="3721"/>
      <c r="F2961" s="3779" t="str">
        <f t="shared" si="240"/>
        <v>ASHP - SEER 19 - replace electric furnace / CAC - early replacement MF ER1</v>
      </c>
      <c r="G2961" s="3779"/>
      <c r="H2961" s="3779"/>
      <c r="I2961" s="3779"/>
      <c r="J2961" s="3073" t="str">
        <f t="shared" si="241"/>
        <v>354450_2019_12_</v>
      </c>
      <c r="K2961" s="960">
        <v>6</v>
      </c>
      <c r="L2961" s="945"/>
      <c r="M2961" s="953"/>
      <c r="N2961" s="157"/>
      <c r="O2961" s="277"/>
      <c r="P2961" s="937"/>
      <c r="Q2961" s="938"/>
      <c r="R2961" s="937"/>
      <c r="S2961" s="924"/>
      <c r="T2961" s="1407"/>
      <c r="U2961" s="157"/>
      <c r="V2961" s="3589"/>
      <c r="W2961" s="960">
        <v>6</v>
      </c>
      <c r="X2961" s="960">
        <v>6</v>
      </c>
      <c r="Y2961" s="960">
        <v>6</v>
      </c>
      <c r="Z2961" s="960">
        <v>6</v>
      </c>
      <c r="AA2961" s="960">
        <v>6</v>
      </c>
      <c r="AB2961" s="960">
        <v>6</v>
      </c>
      <c r="AC2961" s="960"/>
      <c r="AD2961" s="960"/>
      <c r="AE2961" s="960"/>
      <c r="AF2961" s="960"/>
      <c r="AG2961" s="960"/>
      <c r="BB2961" s="647"/>
      <c r="BC2961" s="648"/>
      <c r="BD2961" s="757"/>
      <c r="BE2961" s="659"/>
    </row>
    <row r="2962" spans="1:57" s="64" customFormat="1" ht="15" customHeight="1" outlineLevel="1" x14ac:dyDescent="0.25">
      <c r="A2962" s="1393"/>
      <c r="B2962" s="648"/>
      <c r="C2962" s="385"/>
      <c r="D2962" s="3589"/>
      <c r="E2962" s="3721"/>
      <c r="F2962" s="3779" t="str">
        <f t="shared" si="240"/>
        <v>ASHP - SEER 19 - replace electric furnace / CAC - early replacement MF ER1</v>
      </c>
      <c r="G2962" s="3779"/>
      <c r="H2962" s="3779"/>
      <c r="I2962" s="3779"/>
      <c r="J2962" s="3073" t="str">
        <f t="shared" si="241"/>
        <v>354450_2019_12_</v>
      </c>
      <c r="K2962" s="960">
        <v>6</v>
      </c>
      <c r="L2962" s="945"/>
      <c r="M2962" s="953"/>
      <c r="N2962" s="157"/>
      <c r="O2962" s="277"/>
      <c r="P2962" s="277"/>
      <c r="Q2962" s="277"/>
      <c r="R2962" s="277"/>
      <c r="S2962" s="157"/>
      <c r="T2962" s="157"/>
      <c r="U2962" s="157"/>
      <c r="V2962" s="3589"/>
      <c r="W2962" s="960">
        <v>6</v>
      </c>
      <c r="X2962" s="960">
        <v>6</v>
      </c>
      <c r="Y2962" s="960">
        <v>6</v>
      </c>
      <c r="Z2962" s="960">
        <v>6</v>
      </c>
      <c r="AA2962" s="960">
        <v>6</v>
      </c>
      <c r="AB2962" s="960">
        <v>6</v>
      </c>
      <c r="AC2962" s="960"/>
      <c r="AD2962" s="960"/>
      <c r="AE2962" s="960"/>
      <c r="AF2962" s="960"/>
      <c r="AG2962" s="960"/>
      <c r="BB2962" s="647"/>
      <c r="BC2962" s="648"/>
      <c r="BD2962" s="757"/>
      <c r="BE2962" s="659"/>
    </row>
    <row r="2963" spans="1:57" s="64" customFormat="1" ht="15" customHeight="1" outlineLevel="1" x14ac:dyDescent="0.25">
      <c r="A2963" s="1393"/>
      <c r="B2963" s="648"/>
      <c r="C2963" s="385"/>
      <c r="D2963" s="3589"/>
      <c r="E2963" s="3721"/>
      <c r="F2963" s="3779" t="str">
        <f t="shared" si="240"/>
        <v>ASHP - SEER 19 - replace electric furnace / CAC - early replacement MF ER2</v>
      </c>
      <c r="G2963" s="3779"/>
      <c r="H2963" s="3779"/>
      <c r="I2963" s="3779"/>
      <c r="J2963" s="3073" t="str">
        <f t="shared" si="241"/>
        <v>354450_2019_12_</v>
      </c>
      <c r="K2963" s="960">
        <v>12</v>
      </c>
      <c r="L2963" s="945"/>
      <c r="M2963" s="953"/>
      <c r="N2963" s="157"/>
      <c r="O2963" s="277"/>
      <c r="P2963" s="277"/>
      <c r="Q2963" s="277"/>
      <c r="R2963" s="277"/>
      <c r="S2963" s="157"/>
      <c r="T2963" s="157"/>
      <c r="U2963" s="157"/>
      <c r="V2963" s="3589"/>
      <c r="W2963" s="960">
        <v>12</v>
      </c>
      <c r="X2963" s="960">
        <v>12</v>
      </c>
      <c r="Y2963" s="960">
        <v>12</v>
      </c>
      <c r="Z2963" s="960">
        <v>12</v>
      </c>
      <c r="AA2963" s="960">
        <v>12</v>
      </c>
      <c r="AB2963" s="960">
        <v>12</v>
      </c>
      <c r="AC2963" s="960"/>
      <c r="AD2963" s="960"/>
      <c r="AE2963" s="960"/>
      <c r="AF2963" s="960"/>
      <c r="AG2963" s="960"/>
      <c r="BB2963" s="647"/>
      <c r="BC2963" s="648"/>
      <c r="BD2963" s="757"/>
      <c r="BE2963" s="659"/>
    </row>
    <row r="2964" spans="1:57" s="64" customFormat="1" ht="15" customHeight="1" outlineLevel="1" x14ac:dyDescent="0.25">
      <c r="A2964" s="2463"/>
      <c r="B2964" s="648"/>
      <c r="C2964" s="385"/>
      <c r="D2964" s="3589"/>
      <c r="E2964" s="3721"/>
      <c r="F2964" s="3779" t="str">
        <f t="shared" si="240"/>
        <v>ASHP - SEER 19 - replace electric furnace / CAC - early replacement MF ER2</v>
      </c>
      <c r="G2964" s="3779"/>
      <c r="H2964" s="3779"/>
      <c r="I2964" s="3779"/>
      <c r="J2964" s="3073" t="str">
        <f t="shared" si="241"/>
        <v>354450_2019_12_</v>
      </c>
      <c r="K2964" s="960">
        <v>12</v>
      </c>
      <c r="L2964" s="945"/>
      <c r="M2964" s="953"/>
      <c r="N2964" s="157"/>
      <c r="O2964" s="277"/>
      <c r="P2964" s="937"/>
      <c r="Q2964" s="938"/>
      <c r="R2964" s="937"/>
      <c r="S2964" s="924"/>
      <c r="T2964" s="1407"/>
      <c r="U2964" s="157"/>
      <c r="V2964" s="3589"/>
      <c r="W2964" s="960">
        <v>12</v>
      </c>
      <c r="X2964" s="960">
        <v>12</v>
      </c>
      <c r="Y2964" s="960">
        <v>12</v>
      </c>
      <c r="Z2964" s="960">
        <v>12</v>
      </c>
      <c r="AA2964" s="960">
        <v>12</v>
      </c>
      <c r="AB2964" s="960">
        <v>12</v>
      </c>
      <c r="AC2964" s="960"/>
      <c r="AD2964" s="960"/>
      <c r="AE2964" s="960"/>
      <c r="AF2964" s="960"/>
      <c r="AG2964" s="960"/>
      <c r="BB2964" s="647"/>
      <c r="BC2964" s="648"/>
      <c r="BD2964" s="757"/>
      <c r="BE2964" s="659"/>
    </row>
    <row r="2965" spans="1:57" s="64" customFormat="1" ht="15" customHeight="1" outlineLevel="1" x14ac:dyDescent="0.25">
      <c r="A2965" s="2463"/>
      <c r="B2965" s="648"/>
      <c r="C2965" s="385"/>
      <c r="D2965" s="3589"/>
      <c r="E2965" s="3721"/>
      <c r="F2965" s="3779" t="str">
        <f>E1594</f>
        <v>ASHP SEER 19 replace ASHP - early replacement MF ER1</v>
      </c>
      <c r="G2965" s="3779"/>
      <c r="H2965" s="3779"/>
      <c r="I2965" s="3779"/>
      <c r="J2965" s="3073" t="str">
        <f>C1594</f>
        <v>354500_2019_12_</v>
      </c>
      <c r="K2965" s="960">
        <v>6</v>
      </c>
      <c r="L2965" s="945"/>
      <c r="M2965" s="953"/>
      <c r="N2965" s="157"/>
      <c r="O2965" s="277"/>
      <c r="P2965" s="937"/>
      <c r="Q2965" s="938"/>
      <c r="R2965" s="937"/>
      <c r="S2965" s="924"/>
      <c r="T2965" s="1407"/>
      <c r="U2965" s="157"/>
      <c r="V2965" s="3589"/>
      <c r="W2965" s="960">
        <v>6</v>
      </c>
      <c r="X2965" s="960">
        <v>6</v>
      </c>
      <c r="Y2965" s="960">
        <v>6</v>
      </c>
      <c r="Z2965" s="960">
        <v>6</v>
      </c>
      <c r="AA2965" s="960">
        <v>6</v>
      </c>
      <c r="AB2965" s="960">
        <v>6</v>
      </c>
      <c r="AC2965" s="960"/>
      <c r="AD2965" s="960"/>
      <c r="AE2965" s="960"/>
      <c r="AF2965" s="960"/>
      <c r="AG2965" s="960"/>
      <c r="BB2965" s="647"/>
      <c r="BC2965" s="648"/>
      <c r="BD2965" s="757"/>
      <c r="BE2965" s="659"/>
    </row>
    <row r="2966" spans="1:57" s="64" customFormat="1" ht="15" customHeight="1" outlineLevel="1" x14ac:dyDescent="0.25">
      <c r="A2966" s="1393"/>
      <c r="B2966" s="648"/>
      <c r="C2966" s="385"/>
      <c r="D2966" s="3589"/>
      <c r="E2966" s="3721"/>
      <c r="F2966" s="3779" t="str">
        <f>E1595</f>
        <v>ASHP SEER 19 replace ASHP - early replacement MF ER1</v>
      </c>
      <c r="G2966" s="3779"/>
      <c r="H2966" s="3779"/>
      <c r="I2966" s="3779"/>
      <c r="J2966" s="3073" t="str">
        <f>C1595</f>
        <v>354500_2019_12_</v>
      </c>
      <c r="K2966" s="960">
        <v>6</v>
      </c>
      <c r="L2966" s="945"/>
      <c r="M2966" s="953"/>
      <c r="N2966" s="157"/>
      <c r="O2966" s="277"/>
      <c r="P2966" s="277"/>
      <c r="Q2966" s="277"/>
      <c r="R2966" s="277"/>
      <c r="S2966" s="157"/>
      <c r="T2966" s="157"/>
      <c r="U2966" s="157"/>
      <c r="V2966" s="3589"/>
      <c r="W2966" s="960">
        <v>6</v>
      </c>
      <c r="X2966" s="960">
        <v>6</v>
      </c>
      <c r="Y2966" s="960">
        <v>6</v>
      </c>
      <c r="Z2966" s="960">
        <v>6</v>
      </c>
      <c r="AA2966" s="960">
        <v>6</v>
      </c>
      <c r="AB2966" s="960">
        <v>6</v>
      </c>
      <c r="AC2966" s="960"/>
      <c r="AD2966" s="960"/>
      <c r="AE2966" s="960"/>
      <c r="AF2966" s="960"/>
      <c r="AG2966" s="960"/>
      <c r="BB2966" s="647"/>
      <c r="BC2966" s="648"/>
      <c r="BD2966" s="757"/>
      <c r="BE2966" s="659"/>
    </row>
    <row r="2967" spans="1:57" s="64" customFormat="1" ht="15" customHeight="1" outlineLevel="1" x14ac:dyDescent="0.25">
      <c r="A2967" s="1393"/>
      <c r="B2967" s="648"/>
      <c r="C2967" s="385"/>
      <c r="D2967" s="3589"/>
      <c r="E2967" s="3721"/>
      <c r="F2967" s="3779" t="str">
        <f>E1596</f>
        <v>ASHP SEER 19 replace ASHP - early replacement MF ER2</v>
      </c>
      <c r="G2967" s="3779"/>
      <c r="H2967" s="3779"/>
      <c r="I2967" s="3779"/>
      <c r="J2967" s="3073" t="str">
        <f>C1596</f>
        <v>354500_2019_12_</v>
      </c>
      <c r="K2967" s="960">
        <v>12</v>
      </c>
      <c r="L2967" s="945"/>
      <c r="M2967" s="953"/>
      <c r="N2967" s="157"/>
      <c r="O2967" s="277"/>
      <c r="P2967" s="277"/>
      <c r="Q2967" s="277"/>
      <c r="R2967" s="277"/>
      <c r="S2967" s="157"/>
      <c r="T2967" s="157"/>
      <c r="U2967" s="157"/>
      <c r="V2967" s="3589"/>
      <c r="W2967" s="960">
        <v>12</v>
      </c>
      <c r="X2967" s="960">
        <v>12</v>
      </c>
      <c r="Y2967" s="960">
        <v>12</v>
      </c>
      <c r="Z2967" s="960">
        <v>12</v>
      </c>
      <c r="AA2967" s="960">
        <v>12</v>
      </c>
      <c r="AB2967" s="960">
        <v>12</v>
      </c>
      <c r="AC2967" s="960"/>
      <c r="AD2967" s="960"/>
      <c r="AE2967" s="960"/>
      <c r="AF2967" s="960"/>
      <c r="AG2967" s="960"/>
      <c r="BB2967" s="647"/>
      <c r="BC2967" s="648"/>
      <c r="BD2967" s="757"/>
      <c r="BE2967" s="659"/>
    </row>
    <row r="2968" spans="1:57" s="64" customFormat="1" ht="15" customHeight="1" outlineLevel="1" x14ac:dyDescent="0.25">
      <c r="A2968" s="2463"/>
      <c r="B2968" s="648"/>
      <c r="C2968" s="385"/>
      <c r="D2968" s="3589"/>
      <c r="E2968" s="3721"/>
      <c r="F2968" s="3779" t="str">
        <f>E1597</f>
        <v>ASHP SEER 19 replace ASHP - early replacement MF ER2</v>
      </c>
      <c r="G2968" s="3779"/>
      <c r="H2968" s="3779"/>
      <c r="I2968" s="3779"/>
      <c r="J2968" s="3073" t="str">
        <f>C1597</f>
        <v>354500_2019_12_</v>
      </c>
      <c r="K2968" s="960">
        <v>12</v>
      </c>
      <c r="L2968" s="945"/>
      <c r="M2968" s="953"/>
      <c r="N2968" s="157"/>
      <c r="O2968" s="277"/>
      <c r="P2968" s="937"/>
      <c r="Q2968" s="938"/>
      <c r="R2968" s="937"/>
      <c r="S2968" s="924"/>
      <c r="T2968" s="1407"/>
      <c r="U2968" s="157"/>
      <c r="V2968" s="3589"/>
      <c r="W2968" s="960">
        <v>12</v>
      </c>
      <c r="X2968" s="960">
        <v>12</v>
      </c>
      <c r="Y2968" s="960">
        <v>12</v>
      </c>
      <c r="Z2968" s="960">
        <v>12</v>
      </c>
      <c r="AA2968" s="960">
        <v>12</v>
      </c>
      <c r="AB2968" s="960">
        <v>12</v>
      </c>
      <c r="AC2968" s="960"/>
      <c r="AD2968" s="960"/>
      <c r="AE2968" s="960"/>
      <c r="AF2968" s="960"/>
      <c r="AG2968" s="960"/>
      <c r="BB2968" s="647"/>
      <c r="BC2968" s="648"/>
      <c r="BD2968" s="757"/>
      <c r="BE2968" s="659"/>
    </row>
    <row r="2969" spans="1:57" s="64" customFormat="1" ht="15" customHeight="1" outlineLevel="1" x14ac:dyDescent="0.25">
      <c r="A2969" s="2463"/>
      <c r="B2969" s="648"/>
      <c r="C2969" s="385"/>
      <c r="D2969" s="3589"/>
      <c r="E2969" s="3721"/>
      <c r="F2969" s="3779" t="str">
        <f t="shared" ref="F2969:F2978" si="242">E1602</f>
        <v>ASHP SEER 20 replace ASHP - early replacement SF ER1</v>
      </c>
      <c r="G2969" s="3779"/>
      <c r="H2969" s="3779"/>
      <c r="I2969" s="3779"/>
      <c r="J2969" s="3073" t="str">
        <f t="shared" ref="J2969:J2978" si="243">C1602</f>
        <v>354550_2019_12_</v>
      </c>
      <c r="K2969" s="960">
        <v>6</v>
      </c>
      <c r="L2969" s="945"/>
      <c r="M2969" s="953"/>
      <c r="N2969" s="157"/>
      <c r="O2969" s="277"/>
      <c r="P2969" s="937"/>
      <c r="Q2969" s="938"/>
      <c r="R2969" s="937"/>
      <c r="S2969" s="924"/>
      <c r="T2969" s="1407"/>
      <c r="U2969" s="157"/>
      <c r="V2969" s="3589"/>
      <c r="W2969" s="960">
        <v>6</v>
      </c>
      <c r="X2969" s="960">
        <v>6</v>
      </c>
      <c r="Y2969" s="960">
        <v>6</v>
      </c>
      <c r="Z2969" s="960">
        <v>6</v>
      </c>
      <c r="AA2969" s="960">
        <v>6</v>
      </c>
      <c r="AB2969" s="960">
        <v>6</v>
      </c>
      <c r="AC2969" s="960"/>
      <c r="AD2969" s="960"/>
      <c r="AE2969" s="960"/>
      <c r="AF2969" s="960"/>
      <c r="AG2969" s="960"/>
      <c r="BB2969" s="647"/>
      <c r="BC2969" s="648"/>
      <c r="BD2969" s="757"/>
      <c r="BE2969" s="659"/>
    </row>
    <row r="2970" spans="1:57" s="64" customFormat="1" ht="15" customHeight="1" outlineLevel="1" x14ac:dyDescent="0.25">
      <c r="A2970" s="2463"/>
      <c r="B2970" s="648"/>
      <c r="C2970" s="385"/>
      <c r="D2970" s="3589"/>
      <c r="E2970" s="3721"/>
      <c r="F2970" s="3779" t="str">
        <f t="shared" si="242"/>
        <v>ASHP SEER 20 replace ASHP - early replacement SF ER1</v>
      </c>
      <c r="G2970" s="3779"/>
      <c r="H2970" s="3779"/>
      <c r="I2970" s="3779"/>
      <c r="J2970" s="3073" t="str">
        <f t="shared" si="243"/>
        <v>354550_2019_12_</v>
      </c>
      <c r="K2970" s="960">
        <v>6</v>
      </c>
      <c r="L2970" s="945"/>
      <c r="M2970" s="953"/>
      <c r="N2970" s="157"/>
      <c r="O2970" s="277"/>
      <c r="P2970" s="937"/>
      <c r="Q2970" s="938"/>
      <c r="R2970" s="937"/>
      <c r="S2970" s="924"/>
      <c r="T2970" s="1407"/>
      <c r="U2970" s="157"/>
      <c r="V2970" s="3589"/>
      <c r="W2970" s="960">
        <v>6</v>
      </c>
      <c r="X2970" s="960">
        <v>6</v>
      </c>
      <c r="Y2970" s="960">
        <v>6</v>
      </c>
      <c r="Z2970" s="960">
        <v>6</v>
      </c>
      <c r="AA2970" s="960">
        <v>6</v>
      </c>
      <c r="AB2970" s="960">
        <v>6</v>
      </c>
      <c r="AC2970" s="960"/>
      <c r="AD2970" s="960"/>
      <c r="AE2970" s="960"/>
      <c r="AF2970" s="960"/>
      <c r="AG2970" s="960"/>
      <c r="BB2970" s="647"/>
      <c r="BC2970" s="648"/>
      <c r="BD2970" s="757"/>
      <c r="BE2970" s="659"/>
    </row>
    <row r="2971" spans="1:57" s="64" customFormat="1" ht="15" customHeight="1" outlineLevel="1" x14ac:dyDescent="0.25">
      <c r="A2971" s="2463"/>
      <c r="B2971" s="648"/>
      <c r="C2971" s="385"/>
      <c r="D2971" s="3589"/>
      <c r="E2971" s="3721"/>
      <c r="F2971" s="3779" t="str">
        <f t="shared" si="242"/>
        <v>ASHP SEER 20 replace ASHP - early replacement SF ER2</v>
      </c>
      <c r="G2971" s="3779"/>
      <c r="H2971" s="3779"/>
      <c r="I2971" s="3779"/>
      <c r="J2971" s="3073" t="str">
        <f t="shared" si="243"/>
        <v>354550_2019_12_</v>
      </c>
      <c r="K2971" s="960">
        <v>12</v>
      </c>
      <c r="L2971" s="945"/>
      <c r="M2971" s="953"/>
      <c r="N2971" s="157"/>
      <c r="O2971" s="277"/>
      <c r="P2971" s="937"/>
      <c r="Q2971" s="938"/>
      <c r="R2971" s="937"/>
      <c r="S2971" s="924"/>
      <c r="T2971" s="1407"/>
      <c r="U2971" s="157"/>
      <c r="V2971" s="3589"/>
      <c r="W2971" s="960">
        <v>12</v>
      </c>
      <c r="X2971" s="960">
        <v>12</v>
      </c>
      <c r="Y2971" s="960">
        <v>12</v>
      </c>
      <c r="Z2971" s="960">
        <v>12</v>
      </c>
      <c r="AA2971" s="960">
        <v>12</v>
      </c>
      <c r="AB2971" s="960">
        <v>12</v>
      </c>
      <c r="AC2971" s="960"/>
      <c r="AD2971" s="960"/>
      <c r="AE2971" s="960"/>
      <c r="AF2971" s="960"/>
      <c r="AG2971" s="960"/>
      <c r="BB2971" s="647"/>
      <c r="BC2971" s="648"/>
      <c r="BD2971" s="757"/>
      <c r="BE2971" s="659"/>
    </row>
    <row r="2972" spans="1:57" s="64" customFormat="1" ht="15" customHeight="1" outlineLevel="1" x14ac:dyDescent="0.25">
      <c r="A2972" s="2463"/>
      <c r="B2972" s="648"/>
      <c r="C2972" s="385"/>
      <c r="D2972" s="3589"/>
      <c r="E2972" s="3721"/>
      <c r="F2972" s="3779" t="str">
        <f t="shared" si="242"/>
        <v>ASHP SEER 20 replace ASHP - early replacement SF ER2</v>
      </c>
      <c r="G2972" s="3779"/>
      <c r="H2972" s="3779"/>
      <c r="I2972" s="3779"/>
      <c r="J2972" s="3073" t="str">
        <f t="shared" si="243"/>
        <v>354550_2019_12_</v>
      </c>
      <c r="K2972" s="960">
        <v>12</v>
      </c>
      <c r="L2972" s="945"/>
      <c r="M2972" s="953"/>
      <c r="N2972" s="157"/>
      <c r="O2972" s="277"/>
      <c r="P2972" s="937"/>
      <c r="Q2972" s="938"/>
      <c r="R2972" s="937"/>
      <c r="S2972" s="924"/>
      <c r="T2972" s="1407"/>
      <c r="U2972" s="157"/>
      <c r="V2972" s="3589"/>
      <c r="W2972" s="960">
        <v>12</v>
      </c>
      <c r="X2972" s="960">
        <v>12</v>
      </c>
      <c r="Y2972" s="960">
        <v>12</v>
      </c>
      <c r="Z2972" s="960">
        <v>12</v>
      </c>
      <c r="AA2972" s="960">
        <v>12</v>
      </c>
      <c r="AB2972" s="960">
        <v>12</v>
      </c>
      <c r="AC2972" s="960"/>
      <c r="AD2972" s="960"/>
      <c r="AE2972" s="960"/>
      <c r="AF2972" s="960"/>
      <c r="AG2972" s="960"/>
      <c r="BB2972" s="647"/>
      <c r="BC2972" s="648"/>
      <c r="BD2972" s="757"/>
      <c r="BE2972" s="659"/>
    </row>
    <row r="2973" spans="1:57" s="64" customFormat="1" ht="15" customHeight="1" outlineLevel="1" x14ac:dyDescent="0.25">
      <c r="A2973" s="2463"/>
      <c r="B2973" s="648"/>
      <c r="C2973" s="385"/>
      <c r="D2973" s="3589"/>
      <c r="E2973" s="3721"/>
      <c r="F2973" s="3779" t="str">
        <f t="shared" si="242"/>
        <v>ASHP SEER 20 replace ASHP - replace on fail SF</v>
      </c>
      <c r="G2973" s="3779"/>
      <c r="H2973" s="3779"/>
      <c r="I2973" s="3779"/>
      <c r="J2973" s="3073" t="str">
        <f t="shared" si="243"/>
        <v>354600_2019_12_</v>
      </c>
      <c r="K2973" s="960">
        <v>18</v>
      </c>
      <c r="L2973" s="945"/>
      <c r="M2973" s="953"/>
      <c r="N2973" s="157"/>
      <c r="O2973" s="277"/>
      <c r="P2973" s="937"/>
      <c r="Q2973" s="938"/>
      <c r="R2973" s="937"/>
      <c r="S2973" s="924"/>
      <c r="T2973" s="1407"/>
      <c r="U2973" s="157"/>
      <c r="V2973" s="3589"/>
      <c r="W2973" s="960">
        <v>18</v>
      </c>
      <c r="X2973" s="960">
        <v>18</v>
      </c>
      <c r="Y2973" s="960">
        <v>18</v>
      </c>
      <c r="Z2973" s="960">
        <v>18</v>
      </c>
      <c r="AA2973" s="960">
        <v>18</v>
      </c>
      <c r="AB2973" s="960">
        <v>18</v>
      </c>
      <c r="AC2973" s="960"/>
      <c r="AD2973" s="960"/>
      <c r="AE2973" s="960"/>
      <c r="AF2973" s="960"/>
      <c r="AG2973" s="960"/>
      <c r="BB2973" s="647"/>
      <c r="BC2973" s="648"/>
      <c r="BD2973" s="757"/>
      <c r="BE2973" s="659"/>
    </row>
    <row r="2974" spans="1:57" s="64" customFormat="1" ht="15" customHeight="1" outlineLevel="1" x14ac:dyDescent="0.25">
      <c r="A2974" s="2463"/>
      <c r="B2974" s="648"/>
      <c r="C2974" s="385"/>
      <c r="D2974" s="3589"/>
      <c r="E2974" s="3721"/>
      <c r="F2974" s="3779" t="str">
        <f t="shared" si="242"/>
        <v>ASHP SEER 20 replace ASHP - replace on fail SF</v>
      </c>
      <c r="G2974" s="3779"/>
      <c r="H2974" s="3779"/>
      <c r="I2974" s="3779"/>
      <c r="J2974" s="3073" t="str">
        <f t="shared" si="243"/>
        <v>354600_2019_12_</v>
      </c>
      <c r="K2974" s="961">
        <v>18</v>
      </c>
      <c r="L2974" s="945"/>
      <c r="M2974" s="953"/>
      <c r="N2974" s="157"/>
      <c r="O2974" s="277"/>
      <c r="P2974" s="937"/>
      <c r="Q2974" s="938"/>
      <c r="R2974" s="937"/>
      <c r="S2974" s="924"/>
      <c r="T2974" s="1407"/>
      <c r="U2974" s="157"/>
      <c r="V2974" s="3589"/>
      <c r="W2974" s="961">
        <v>18</v>
      </c>
      <c r="X2974" s="961">
        <v>18</v>
      </c>
      <c r="Y2974" s="961">
        <v>18</v>
      </c>
      <c r="Z2974" s="961">
        <v>18</v>
      </c>
      <c r="AA2974" s="961">
        <v>18</v>
      </c>
      <c r="AB2974" s="961">
        <v>18</v>
      </c>
      <c r="AC2974" s="961"/>
      <c r="AD2974" s="961"/>
      <c r="AE2974" s="961"/>
      <c r="AF2974" s="961"/>
      <c r="AG2974" s="961"/>
      <c r="BB2974" s="647"/>
      <c r="BC2974" s="648"/>
      <c r="BD2974" s="757"/>
      <c r="BE2974" s="659"/>
    </row>
    <row r="2975" spans="1:57" s="64" customFormat="1" outlineLevel="1" x14ac:dyDescent="0.25">
      <c r="A2975" s="2463"/>
      <c r="B2975" s="648"/>
      <c r="C2975" s="385"/>
      <c r="D2975" s="3589"/>
      <c r="E2975" s="3721"/>
      <c r="F2975" s="3779" t="str">
        <f t="shared" si="242"/>
        <v>ASHP - SEER 20 - replace electric furnace / CAC - early replacement MF ER1</v>
      </c>
      <c r="G2975" s="3779"/>
      <c r="H2975" s="3779"/>
      <c r="I2975" s="3779"/>
      <c r="J2975" s="3073" t="str">
        <f t="shared" si="243"/>
        <v>354650_2019_12_</v>
      </c>
      <c r="K2975" s="960">
        <v>6</v>
      </c>
      <c r="L2975" s="956"/>
      <c r="M2975" s="953"/>
      <c r="N2975" s="157"/>
      <c r="O2975" s="277"/>
      <c r="P2975" s="937"/>
      <c r="Q2975" s="938"/>
      <c r="R2975" s="937"/>
      <c r="S2975" s="924"/>
      <c r="T2975" s="1407"/>
      <c r="U2975" s="157"/>
      <c r="V2975" s="3589"/>
      <c r="W2975" s="960">
        <v>6</v>
      </c>
      <c r="X2975" s="960">
        <v>6</v>
      </c>
      <c r="Y2975" s="960">
        <v>6</v>
      </c>
      <c r="Z2975" s="960">
        <v>6</v>
      </c>
      <c r="AA2975" s="960">
        <v>6</v>
      </c>
      <c r="AB2975" s="960">
        <v>6</v>
      </c>
      <c r="AC2975" s="960"/>
      <c r="AD2975" s="960"/>
      <c r="AE2975" s="960"/>
      <c r="AF2975" s="960"/>
      <c r="AG2975" s="960"/>
      <c r="BB2975" s="647"/>
      <c r="BC2975" s="648"/>
      <c r="BD2975" s="757"/>
      <c r="BE2975" s="659"/>
    </row>
    <row r="2976" spans="1:57" s="64" customFormat="1" outlineLevel="1" x14ac:dyDescent="0.25">
      <c r="A2976" s="2463"/>
      <c r="B2976" s="648"/>
      <c r="C2976" s="385"/>
      <c r="D2976" s="3589"/>
      <c r="E2976" s="3721"/>
      <c r="F2976" s="3779" t="str">
        <f t="shared" si="242"/>
        <v>ASHP - SEER 20 - replace electric furnace / CAC - early replacement MF ER1</v>
      </c>
      <c r="G2976" s="3779"/>
      <c r="H2976" s="3779"/>
      <c r="I2976" s="3779"/>
      <c r="J2976" s="3073" t="str">
        <f t="shared" si="243"/>
        <v>354650_2019_12_</v>
      </c>
      <c r="K2976" s="960">
        <v>6</v>
      </c>
      <c r="L2976" s="956"/>
      <c r="M2976" s="953"/>
      <c r="N2976" s="157"/>
      <c r="O2976" s="277"/>
      <c r="P2976" s="937"/>
      <c r="Q2976" s="938"/>
      <c r="R2976" s="937"/>
      <c r="S2976" s="924"/>
      <c r="T2976" s="1407"/>
      <c r="U2976" s="157"/>
      <c r="V2976" s="3589"/>
      <c r="W2976" s="960">
        <v>6</v>
      </c>
      <c r="X2976" s="960">
        <v>6</v>
      </c>
      <c r="Y2976" s="960">
        <v>6</v>
      </c>
      <c r="Z2976" s="960">
        <v>6</v>
      </c>
      <c r="AA2976" s="960">
        <v>6</v>
      </c>
      <c r="AB2976" s="960">
        <v>6</v>
      </c>
      <c r="AC2976" s="960"/>
      <c r="AD2976" s="960"/>
      <c r="AE2976" s="960"/>
      <c r="AF2976" s="960"/>
      <c r="AG2976" s="960"/>
      <c r="BB2976" s="647"/>
      <c r="BC2976" s="648"/>
      <c r="BD2976" s="757"/>
      <c r="BE2976" s="659"/>
    </row>
    <row r="2977" spans="1:57" s="64" customFormat="1" outlineLevel="1" x14ac:dyDescent="0.25">
      <c r="A2977" s="2463"/>
      <c r="B2977" s="648"/>
      <c r="C2977" s="385"/>
      <c r="D2977" s="3589"/>
      <c r="E2977" s="3721"/>
      <c r="F2977" s="3779" t="str">
        <f t="shared" si="242"/>
        <v>ASHP - SEER 20 - replace electric furnace / CAC - early replacement MF ER2</v>
      </c>
      <c r="G2977" s="3779"/>
      <c r="H2977" s="3779"/>
      <c r="I2977" s="3779"/>
      <c r="J2977" s="3073" t="str">
        <f t="shared" si="243"/>
        <v>354650_2019_12_</v>
      </c>
      <c r="K2977" s="960">
        <v>12</v>
      </c>
      <c r="L2977" s="956"/>
      <c r="M2977" s="953"/>
      <c r="N2977" s="157"/>
      <c r="O2977" s="277"/>
      <c r="P2977" s="937"/>
      <c r="Q2977" s="938"/>
      <c r="R2977" s="937"/>
      <c r="S2977" s="924"/>
      <c r="T2977" s="1407"/>
      <c r="U2977" s="157"/>
      <c r="V2977" s="3589"/>
      <c r="W2977" s="960">
        <v>12</v>
      </c>
      <c r="X2977" s="960">
        <v>12</v>
      </c>
      <c r="Y2977" s="960">
        <v>12</v>
      </c>
      <c r="Z2977" s="960">
        <v>12</v>
      </c>
      <c r="AA2977" s="960">
        <v>12</v>
      </c>
      <c r="AB2977" s="960">
        <v>12</v>
      </c>
      <c r="AC2977" s="960"/>
      <c r="AD2977" s="960"/>
      <c r="AE2977" s="960"/>
      <c r="AF2977" s="960"/>
      <c r="AG2977" s="960"/>
      <c r="BB2977" s="647"/>
      <c r="BC2977" s="648"/>
      <c r="BD2977" s="757"/>
      <c r="BE2977" s="659"/>
    </row>
    <row r="2978" spans="1:57" s="64" customFormat="1" outlineLevel="1" x14ac:dyDescent="0.25">
      <c r="A2978" s="2463"/>
      <c r="B2978" s="648"/>
      <c r="C2978" s="385"/>
      <c r="D2978" s="3589"/>
      <c r="E2978" s="3721"/>
      <c r="F2978" s="3779" t="str">
        <f t="shared" si="242"/>
        <v>ASHP - SEER 20 - replace electric furnace / CAC - early replacement MF ER2</v>
      </c>
      <c r="G2978" s="3779"/>
      <c r="H2978" s="3779"/>
      <c r="I2978" s="3779"/>
      <c r="J2978" s="3073" t="str">
        <f t="shared" si="243"/>
        <v>354650_2019_12_</v>
      </c>
      <c r="K2978" s="960">
        <v>12</v>
      </c>
      <c r="L2978" s="956"/>
      <c r="M2978" s="953"/>
      <c r="N2978" s="157"/>
      <c r="O2978" s="277"/>
      <c r="P2978" s="937"/>
      <c r="Q2978" s="938"/>
      <c r="R2978" s="937"/>
      <c r="S2978" s="924"/>
      <c r="T2978" s="1407"/>
      <c r="U2978" s="157"/>
      <c r="V2978" s="3589"/>
      <c r="W2978" s="960">
        <v>12</v>
      </c>
      <c r="X2978" s="960">
        <v>12</v>
      </c>
      <c r="Y2978" s="960">
        <v>12</v>
      </c>
      <c r="Z2978" s="960">
        <v>12</v>
      </c>
      <c r="AA2978" s="960">
        <v>12</v>
      </c>
      <c r="AB2978" s="960">
        <v>12</v>
      </c>
      <c r="AC2978" s="960"/>
      <c r="AD2978" s="960"/>
      <c r="AE2978" s="960"/>
      <c r="AF2978" s="960"/>
      <c r="AG2978" s="960"/>
      <c r="BB2978" s="647"/>
      <c r="BC2978" s="648"/>
      <c r="BD2978" s="757"/>
      <c r="BE2978" s="659"/>
    </row>
    <row r="2979" spans="1:57" s="64" customFormat="1" outlineLevel="1" x14ac:dyDescent="0.25">
      <c r="A2979" s="2463"/>
      <c r="B2979" s="648"/>
      <c r="C2979" s="385"/>
      <c r="D2979" s="3589"/>
      <c r="E2979" s="3721"/>
      <c r="F2979" s="3779" t="str">
        <f>E1616</f>
        <v>ASHP SEER 20 replace ASHP - early replacement MF ER1</v>
      </c>
      <c r="G2979" s="3779"/>
      <c r="H2979" s="3779"/>
      <c r="I2979" s="3779"/>
      <c r="J2979" s="3073" t="str">
        <f>C1616</f>
        <v>354700_2019_12_</v>
      </c>
      <c r="K2979" s="960">
        <v>6</v>
      </c>
      <c r="L2979" s="956"/>
      <c r="M2979" s="953"/>
      <c r="N2979" s="157"/>
      <c r="O2979" s="277"/>
      <c r="P2979" s="937"/>
      <c r="Q2979" s="938"/>
      <c r="R2979" s="937"/>
      <c r="S2979" s="924"/>
      <c r="T2979" s="1407"/>
      <c r="U2979" s="157"/>
      <c r="V2979" s="3589"/>
      <c r="W2979" s="960">
        <v>6</v>
      </c>
      <c r="X2979" s="960">
        <v>6</v>
      </c>
      <c r="Y2979" s="960">
        <v>6</v>
      </c>
      <c r="Z2979" s="960">
        <v>6</v>
      </c>
      <c r="AA2979" s="960">
        <v>6</v>
      </c>
      <c r="AB2979" s="960">
        <v>6</v>
      </c>
      <c r="AC2979" s="960"/>
      <c r="AD2979" s="960"/>
      <c r="AE2979" s="960"/>
      <c r="AF2979" s="960"/>
      <c r="AG2979" s="960"/>
      <c r="BB2979" s="647"/>
      <c r="BC2979" s="648"/>
      <c r="BD2979" s="757"/>
      <c r="BE2979" s="659"/>
    </row>
    <row r="2980" spans="1:57" s="64" customFormat="1" outlineLevel="1" x14ac:dyDescent="0.25">
      <c r="A2980" s="2463"/>
      <c r="B2980" s="648"/>
      <c r="C2980" s="385"/>
      <c r="D2980" s="3589"/>
      <c r="E2980" s="3721"/>
      <c r="F2980" s="3779" t="str">
        <f>E1617</f>
        <v>ASHP SEER 20 replace ASHP - early replacement MF ER1</v>
      </c>
      <c r="G2980" s="3779"/>
      <c r="H2980" s="3779"/>
      <c r="I2980" s="3779"/>
      <c r="J2980" s="3073" t="str">
        <f>C1617</f>
        <v>354700_2019_12_</v>
      </c>
      <c r="K2980" s="960">
        <v>6</v>
      </c>
      <c r="L2980" s="956"/>
      <c r="M2980" s="953"/>
      <c r="N2980" s="157"/>
      <c r="O2980" s="277"/>
      <c r="P2980" s="937"/>
      <c r="Q2980" s="938"/>
      <c r="R2980" s="937"/>
      <c r="S2980" s="924"/>
      <c r="T2980" s="1407"/>
      <c r="U2980" s="157"/>
      <c r="V2980" s="3589"/>
      <c r="W2980" s="960">
        <v>6</v>
      </c>
      <c r="X2980" s="960">
        <v>6</v>
      </c>
      <c r="Y2980" s="960">
        <v>6</v>
      </c>
      <c r="Z2980" s="960">
        <v>6</v>
      </c>
      <c r="AA2980" s="960">
        <v>6</v>
      </c>
      <c r="AB2980" s="960">
        <v>6</v>
      </c>
      <c r="AC2980" s="960"/>
      <c r="AD2980" s="960"/>
      <c r="AE2980" s="960"/>
      <c r="AF2980" s="960"/>
      <c r="AG2980" s="960"/>
      <c r="BB2980" s="647"/>
      <c r="BC2980" s="648"/>
      <c r="BD2980" s="757"/>
      <c r="BE2980" s="659"/>
    </row>
    <row r="2981" spans="1:57" s="64" customFormat="1" outlineLevel="1" x14ac:dyDescent="0.25">
      <c r="A2981" s="2463"/>
      <c r="B2981" s="648"/>
      <c r="C2981" s="385"/>
      <c r="D2981" s="3589"/>
      <c r="E2981" s="3721"/>
      <c r="F2981" s="3779" t="str">
        <f>E1618</f>
        <v>ASHP SEER 20 replace ASHP - early replacement MF ER2</v>
      </c>
      <c r="G2981" s="3779"/>
      <c r="H2981" s="3779"/>
      <c r="I2981" s="3779"/>
      <c r="J2981" s="3073" t="str">
        <f>C1618</f>
        <v>354700_2019_12_</v>
      </c>
      <c r="K2981" s="960">
        <v>12</v>
      </c>
      <c r="L2981" s="956"/>
      <c r="M2981" s="953"/>
      <c r="N2981" s="157"/>
      <c r="O2981" s="277"/>
      <c r="P2981" s="937"/>
      <c r="Q2981" s="938"/>
      <c r="R2981" s="937"/>
      <c r="S2981" s="924"/>
      <c r="T2981" s="1407"/>
      <c r="U2981" s="157"/>
      <c r="V2981" s="3589"/>
      <c r="W2981" s="960">
        <v>12</v>
      </c>
      <c r="X2981" s="960">
        <v>12</v>
      </c>
      <c r="Y2981" s="960">
        <v>12</v>
      </c>
      <c r="Z2981" s="960">
        <v>12</v>
      </c>
      <c r="AA2981" s="960">
        <v>12</v>
      </c>
      <c r="AB2981" s="960">
        <v>12</v>
      </c>
      <c r="AC2981" s="960"/>
      <c r="AD2981" s="960"/>
      <c r="AE2981" s="960"/>
      <c r="AF2981" s="960"/>
      <c r="AG2981" s="960"/>
      <c r="BB2981" s="647"/>
      <c r="BC2981" s="648"/>
      <c r="BD2981" s="757"/>
      <c r="BE2981" s="659"/>
    </row>
    <row r="2982" spans="1:57" s="64" customFormat="1" outlineLevel="1" x14ac:dyDescent="0.25">
      <c r="A2982" s="2463"/>
      <c r="B2982" s="648"/>
      <c r="C2982" s="385"/>
      <c r="D2982" s="3589"/>
      <c r="E2982" s="3721"/>
      <c r="F2982" s="3779" t="str">
        <f>E1619</f>
        <v>ASHP SEER 20 replace ASHP - early replacement MF ER2</v>
      </c>
      <c r="G2982" s="3779"/>
      <c r="H2982" s="3779"/>
      <c r="I2982" s="3779"/>
      <c r="J2982" s="3073" t="str">
        <f>C1619</f>
        <v>354700_2019_12_</v>
      </c>
      <c r="K2982" s="960">
        <v>12</v>
      </c>
      <c r="L2982" s="956"/>
      <c r="M2982" s="953"/>
      <c r="N2982" s="157"/>
      <c r="O2982" s="277"/>
      <c r="P2982" s="937"/>
      <c r="Q2982" s="938"/>
      <c r="R2982" s="937"/>
      <c r="S2982" s="924"/>
      <c r="T2982" s="1407"/>
      <c r="U2982" s="157"/>
      <c r="V2982" s="3589"/>
      <c r="W2982" s="960">
        <v>12</v>
      </c>
      <c r="X2982" s="960">
        <v>12</v>
      </c>
      <c r="Y2982" s="960">
        <v>12</v>
      </c>
      <c r="Z2982" s="960">
        <v>12</v>
      </c>
      <c r="AA2982" s="960">
        <v>12</v>
      </c>
      <c r="AB2982" s="960">
        <v>12</v>
      </c>
      <c r="AC2982" s="960"/>
      <c r="AD2982" s="960"/>
      <c r="AE2982" s="960"/>
      <c r="AF2982" s="960"/>
      <c r="AG2982" s="960"/>
      <c r="BB2982" s="647"/>
      <c r="BC2982" s="648"/>
      <c r="BD2982" s="757"/>
      <c r="BE2982" s="659"/>
    </row>
    <row r="2983" spans="1:57" s="64" customFormat="1" outlineLevel="1" x14ac:dyDescent="0.25">
      <c r="A2983" s="2463"/>
      <c r="B2983" s="648"/>
      <c r="C2983" s="385"/>
      <c r="D2983" s="3589"/>
      <c r="E2983" s="3721"/>
      <c r="F2983" s="3779" t="str">
        <f t="shared" ref="F2983:F2990" si="244">E1624</f>
        <v>ASHP SEER 21 replace ASHP - early replacement SF ER1</v>
      </c>
      <c r="G2983" s="3779"/>
      <c r="H2983" s="3779"/>
      <c r="I2983" s="3779"/>
      <c r="J2983" s="3073" t="str">
        <f t="shared" ref="J2983:J2990" si="245">C1624</f>
        <v>354750_2019_12_</v>
      </c>
      <c r="K2983" s="960">
        <v>6</v>
      </c>
      <c r="L2983" s="956"/>
      <c r="M2983" s="953"/>
      <c r="N2983" s="157"/>
      <c r="O2983" s="277"/>
      <c r="P2983" s="937"/>
      <c r="Q2983" s="938"/>
      <c r="R2983" s="937"/>
      <c r="S2983" s="924"/>
      <c r="T2983" s="1407"/>
      <c r="U2983" s="157"/>
      <c r="V2983" s="3589"/>
      <c r="W2983" s="960">
        <v>6</v>
      </c>
      <c r="X2983" s="960">
        <v>6</v>
      </c>
      <c r="Y2983" s="960">
        <v>6</v>
      </c>
      <c r="Z2983" s="960">
        <v>6</v>
      </c>
      <c r="AA2983" s="960">
        <v>6</v>
      </c>
      <c r="AB2983" s="960">
        <v>6</v>
      </c>
      <c r="AC2983" s="960"/>
      <c r="AD2983" s="960"/>
      <c r="AE2983" s="960"/>
      <c r="AF2983" s="960"/>
      <c r="AG2983" s="960"/>
      <c r="BB2983" s="647"/>
      <c r="BC2983" s="648"/>
      <c r="BD2983" s="757"/>
      <c r="BE2983" s="659"/>
    </row>
    <row r="2984" spans="1:57" s="64" customFormat="1" outlineLevel="1" x14ac:dyDescent="0.25">
      <c r="A2984" s="2463"/>
      <c r="B2984" s="648"/>
      <c r="C2984" s="385"/>
      <c r="D2984" s="3589"/>
      <c r="E2984" s="3721"/>
      <c r="F2984" s="3779" t="str">
        <f t="shared" si="244"/>
        <v>ASHP SEER 21 replace ASHP - early replacement SF ER1</v>
      </c>
      <c r="G2984" s="3779"/>
      <c r="H2984" s="3779"/>
      <c r="I2984" s="3779"/>
      <c r="J2984" s="3073" t="str">
        <f t="shared" si="245"/>
        <v>354750_2019_12_</v>
      </c>
      <c r="K2984" s="960">
        <v>6</v>
      </c>
      <c r="L2984" s="956"/>
      <c r="M2984" s="953"/>
      <c r="N2984" s="157"/>
      <c r="O2984" s="277"/>
      <c r="P2984" s="937"/>
      <c r="Q2984" s="938"/>
      <c r="R2984" s="937"/>
      <c r="S2984" s="924"/>
      <c r="T2984" s="1407"/>
      <c r="U2984" s="157"/>
      <c r="V2984" s="3589"/>
      <c r="W2984" s="960">
        <v>6</v>
      </c>
      <c r="X2984" s="960">
        <v>6</v>
      </c>
      <c r="Y2984" s="960">
        <v>6</v>
      </c>
      <c r="Z2984" s="960">
        <v>6</v>
      </c>
      <c r="AA2984" s="960">
        <v>6</v>
      </c>
      <c r="AB2984" s="960">
        <v>6</v>
      </c>
      <c r="AC2984" s="960"/>
      <c r="AD2984" s="960"/>
      <c r="AE2984" s="960"/>
      <c r="AF2984" s="960"/>
      <c r="AG2984" s="960"/>
      <c r="BB2984" s="647"/>
      <c r="BC2984" s="648"/>
      <c r="BD2984" s="757"/>
      <c r="BE2984" s="659"/>
    </row>
    <row r="2985" spans="1:57" s="64" customFormat="1" outlineLevel="1" x14ac:dyDescent="0.25">
      <c r="A2985" s="2463"/>
      <c r="B2985" s="648"/>
      <c r="C2985" s="385"/>
      <c r="D2985" s="3589"/>
      <c r="E2985" s="3721"/>
      <c r="F2985" s="3779" t="str">
        <f t="shared" si="244"/>
        <v>ASHP SEER 21 replace ASHP - early replacement SF ER2</v>
      </c>
      <c r="G2985" s="3779"/>
      <c r="H2985" s="3779"/>
      <c r="I2985" s="3779"/>
      <c r="J2985" s="3073" t="str">
        <f t="shared" si="245"/>
        <v>354750_2019_12_</v>
      </c>
      <c r="K2985" s="960">
        <v>12</v>
      </c>
      <c r="L2985" s="956"/>
      <c r="M2985" s="953"/>
      <c r="N2985" s="157"/>
      <c r="O2985" s="277"/>
      <c r="P2985" s="937"/>
      <c r="Q2985" s="938"/>
      <c r="R2985" s="937"/>
      <c r="S2985" s="924"/>
      <c r="T2985" s="1407"/>
      <c r="U2985" s="157"/>
      <c r="V2985" s="3589"/>
      <c r="W2985" s="960">
        <v>12</v>
      </c>
      <c r="X2985" s="960">
        <v>12</v>
      </c>
      <c r="Y2985" s="960">
        <v>12</v>
      </c>
      <c r="Z2985" s="960">
        <v>12</v>
      </c>
      <c r="AA2985" s="960">
        <v>12</v>
      </c>
      <c r="AB2985" s="960">
        <v>12</v>
      </c>
      <c r="AC2985" s="960"/>
      <c r="AD2985" s="960"/>
      <c r="AE2985" s="960"/>
      <c r="AF2985" s="960"/>
      <c r="AG2985" s="960"/>
      <c r="BB2985" s="647"/>
      <c r="BC2985" s="648"/>
      <c r="BD2985" s="757"/>
      <c r="BE2985" s="659"/>
    </row>
    <row r="2986" spans="1:57" s="64" customFormat="1" outlineLevel="1" x14ac:dyDescent="0.25">
      <c r="A2986" s="2463"/>
      <c r="B2986" s="648"/>
      <c r="C2986" s="385"/>
      <c r="D2986" s="3589"/>
      <c r="E2986" s="3721"/>
      <c r="F2986" s="3779" t="str">
        <f t="shared" si="244"/>
        <v>ASHP SEER 21 replace ASHP - early replacement SF ER2</v>
      </c>
      <c r="G2986" s="3779"/>
      <c r="H2986" s="3779"/>
      <c r="I2986" s="3779"/>
      <c r="J2986" s="3073" t="str">
        <f t="shared" si="245"/>
        <v>354750_2019_12_</v>
      </c>
      <c r="K2986" s="960">
        <v>12</v>
      </c>
      <c r="L2986" s="956"/>
      <c r="M2986" s="953"/>
      <c r="N2986" s="157"/>
      <c r="O2986" s="277"/>
      <c r="P2986" s="937"/>
      <c r="Q2986" s="938"/>
      <c r="R2986" s="937"/>
      <c r="S2986" s="924"/>
      <c r="T2986" s="1407"/>
      <c r="U2986" s="157"/>
      <c r="V2986" s="3589"/>
      <c r="W2986" s="960">
        <v>12</v>
      </c>
      <c r="X2986" s="960">
        <v>12</v>
      </c>
      <c r="Y2986" s="960">
        <v>12</v>
      </c>
      <c r="Z2986" s="960">
        <v>12</v>
      </c>
      <c r="AA2986" s="960">
        <v>12</v>
      </c>
      <c r="AB2986" s="960">
        <v>12</v>
      </c>
      <c r="AC2986" s="960"/>
      <c r="AD2986" s="960"/>
      <c r="AE2986" s="960"/>
      <c r="AF2986" s="960"/>
      <c r="AG2986" s="960"/>
      <c r="BB2986" s="647"/>
      <c r="BC2986" s="648"/>
      <c r="BD2986" s="757"/>
      <c r="BE2986" s="659"/>
    </row>
    <row r="2987" spans="1:57" s="64" customFormat="1" outlineLevel="1" x14ac:dyDescent="0.25">
      <c r="A2987" s="2463"/>
      <c r="B2987" s="648"/>
      <c r="C2987" s="385"/>
      <c r="D2987" s="3589"/>
      <c r="E2987" s="3721"/>
      <c r="F2987" s="3779" t="str">
        <f t="shared" si="244"/>
        <v>ASHP SEER 21 replace ASHP - replace on fail SF</v>
      </c>
      <c r="G2987" s="3779"/>
      <c r="H2987" s="3779"/>
      <c r="I2987" s="3779"/>
      <c r="J2987" s="3073" t="str">
        <f t="shared" si="245"/>
        <v>354800_2019_12_</v>
      </c>
      <c r="K2987" s="960">
        <v>18</v>
      </c>
      <c r="L2987" s="956"/>
      <c r="M2987" s="953"/>
      <c r="N2987" s="157"/>
      <c r="O2987" s="277"/>
      <c r="P2987" s="937"/>
      <c r="Q2987" s="938"/>
      <c r="R2987" s="937"/>
      <c r="S2987" s="924"/>
      <c r="T2987" s="1407"/>
      <c r="U2987" s="157"/>
      <c r="V2987" s="3589"/>
      <c r="W2987" s="960">
        <v>18</v>
      </c>
      <c r="X2987" s="960">
        <v>18</v>
      </c>
      <c r="Y2987" s="960">
        <v>18</v>
      </c>
      <c r="Z2987" s="960">
        <v>18</v>
      </c>
      <c r="AA2987" s="960">
        <v>18</v>
      </c>
      <c r="AB2987" s="960">
        <v>18</v>
      </c>
      <c r="AC2987" s="960"/>
      <c r="AD2987" s="960"/>
      <c r="AE2987" s="960"/>
      <c r="AF2987" s="960"/>
      <c r="AG2987" s="960"/>
      <c r="BB2987" s="647"/>
      <c r="BC2987" s="648"/>
      <c r="BD2987" s="757"/>
      <c r="BE2987" s="659"/>
    </row>
    <row r="2988" spans="1:57" s="64" customFormat="1" outlineLevel="1" x14ac:dyDescent="0.25">
      <c r="A2988" s="2463"/>
      <c r="B2988" s="648"/>
      <c r="C2988" s="385"/>
      <c r="D2988" s="3589"/>
      <c r="E2988" s="3721"/>
      <c r="F2988" s="3779" t="str">
        <f t="shared" si="244"/>
        <v>ASHP SEER 21 replace ASHP - replace on fail SF</v>
      </c>
      <c r="G2988" s="3779"/>
      <c r="H2988" s="3779"/>
      <c r="I2988" s="3779"/>
      <c r="J2988" s="3073" t="str">
        <f t="shared" si="245"/>
        <v>354800_2019_12_</v>
      </c>
      <c r="K2988" s="960">
        <v>18</v>
      </c>
      <c r="L2988" s="956"/>
      <c r="M2988" s="953"/>
      <c r="N2988" s="157"/>
      <c r="O2988" s="277"/>
      <c r="P2988" s="937"/>
      <c r="Q2988" s="938"/>
      <c r="R2988" s="937"/>
      <c r="S2988" s="924"/>
      <c r="T2988" s="1407"/>
      <c r="U2988" s="157"/>
      <c r="V2988" s="3589"/>
      <c r="W2988" s="960">
        <v>18</v>
      </c>
      <c r="X2988" s="960">
        <v>18</v>
      </c>
      <c r="Y2988" s="960">
        <v>18</v>
      </c>
      <c r="Z2988" s="960">
        <v>18</v>
      </c>
      <c r="AA2988" s="960">
        <v>18</v>
      </c>
      <c r="AB2988" s="960">
        <v>18</v>
      </c>
      <c r="AC2988" s="960"/>
      <c r="AD2988" s="960"/>
      <c r="AE2988" s="960"/>
      <c r="AF2988" s="960"/>
      <c r="AG2988" s="960"/>
      <c r="BB2988" s="647"/>
      <c r="BC2988" s="648"/>
      <c r="BD2988" s="757"/>
      <c r="BE2988" s="659"/>
    </row>
    <row r="2989" spans="1:57" s="64" customFormat="1" outlineLevel="1" x14ac:dyDescent="0.25">
      <c r="A2989" s="2463"/>
      <c r="B2989" s="648"/>
      <c r="C2989" s="385"/>
      <c r="D2989" s="3589"/>
      <c r="E2989" s="3721"/>
      <c r="F2989" s="3779" t="str">
        <f t="shared" si="244"/>
        <v>ASHP - SEER 21 - replace electric furnace / CAC MF</v>
      </c>
      <c r="G2989" s="3779"/>
      <c r="H2989" s="3779"/>
      <c r="I2989" s="3779"/>
      <c r="J2989" s="3073" t="str">
        <f t="shared" si="245"/>
        <v>354850_2019_12_</v>
      </c>
      <c r="K2989" s="960">
        <v>18</v>
      </c>
      <c r="L2989" s="956"/>
      <c r="M2989" s="953"/>
      <c r="N2989" s="157"/>
      <c r="O2989" s="277"/>
      <c r="P2989" s="937"/>
      <c r="Q2989" s="938"/>
      <c r="R2989" s="937"/>
      <c r="S2989" s="924"/>
      <c r="T2989" s="1407"/>
      <c r="U2989" s="157"/>
      <c r="V2989" s="3589"/>
      <c r="W2989" s="960">
        <v>18</v>
      </c>
      <c r="X2989" s="960">
        <v>18</v>
      </c>
      <c r="Y2989" s="960">
        <v>18</v>
      </c>
      <c r="Z2989" s="960">
        <v>18</v>
      </c>
      <c r="AA2989" s="960">
        <v>18</v>
      </c>
      <c r="AB2989" s="960">
        <v>18</v>
      </c>
      <c r="AC2989" s="960"/>
      <c r="AD2989" s="960"/>
      <c r="AE2989" s="960"/>
      <c r="AF2989" s="960"/>
      <c r="AG2989" s="960"/>
      <c r="BB2989" s="647"/>
      <c r="BC2989" s="648"/>
      <c r="BD2989" s="757"/>
      <c r="BE2989" s="659"/>
    </row>
    <row r="2990" spans="1:57" s="64" customFormat="1" outlineLevel="1" x14ac:dyDescent="0.25">
      <c r="A2990" s="2463"/>
      <c r="B2990" s="648"/>
      <c r="C2990" s="385"/>
      <c r="D2990" s="3589"/>
      <c r="E2990" s="3721"/>
      <c r="F2990" s="3779" t="str">
        <f t="shared" si="244"/>
        <v>ASHP - SEER 21 - replace electric furnace / CAC MF</v>
      </c>
      <c r="G2990" s="3779"/>
      <c r="H2990" s="3779"/>
      <c r="I2990" s="3779"/>
      <c r="J2990" s="3073" t="str">
        <f t="shared" si="245"/>
        <v>354850_2019_12_</v>
      </c>
      <c r="K2990" s="960">
        <v>18</v>
      </c>
      <c r="L2990" s="956"/>
      <c r="M2990" s="953"/>
      <c r="N2990" s="157"/>
      <c r="O2990" s="277"/>
      <c r="P2990" s="937"/>
      <c r="Q2990" s="938"/>
      <c r="R2990" s="937"/>
      <c r="S2990" s="924"/>
      <c r="T2990" s="1407"/>
      <c r="U2990" s="157"/>
      <c r="V2990" s="3589"/>
      <c r="W2990" s="960">
        <v>18</v>
      </c>
      <c r="X2990" s="960">
        <v>18</v>
      </c>
      <c r="Y2990" s="960">
        <v>18</v>
      </c>
      <c r="Z2990" s="960">
        <v>18</v>
      </c>
      <c r="AA2990" s="960">
        <v>18</v>
      </c>
      <c r="AB2990" s="960">
        <v>18</v>
      </c>
      <c r="AC2990" s="960"/>
      <c r="AD2990" s="960"/>
      <c r="AE2990" s="960"/>
      <c r="AF2990" s="960"/>
      <c r="AG2990" s="960"/>
      <c r="BB2990" s="647"/>
      <c r="BC2990" s="648"/>
      <c r="BD2990" s="757"/>
      <c r="BE2990" s="659"/>
    </row>
    <row r="2991" spans="1:57" s="64" customFormat="1" outlineLevel="1" x14ac:dyDescent="0.25">
      <c r="A2991" s="2463"/>
      <c r="B2991" s="648"/>
      <c r="C2991" s="385"/>
      <c r="D2991" s="3589"/>
      <c r="E2991" s="3721"/>
      <c r="F2991" s="3779" t="str">
        <f>E1634</f>
        <v>ASHP SEER 21 replace ASHP - early replacement MF ER1</v>
      </c>
      <c r="G2991" s="3779"/>
      <c r="H2991" s="3779"/>
      <c r="I2991" s="3779"/>
      <c r="J2991" s="3073" t="str">
        <f>C1634</f>
        <v>354900_2019_12_</v>
      </c>
      <c r="K2991" s="960">
        <v>6</v>
      </c>
      <c r="L2991" s="956"/>
      <c r="M2991" s="953"/>
      <c r="N2991" s="157"/>
      <c r="O2991" s="277"/>
      <c r="P2991" s="937"/>
      <c r="Q2991" s="938"/>
      <c r="R2991" s="937"/>
      <c r="S2991" s="924"/>
      <c r="T2991" s="1407"/>
      <c r="U2991" s="157"/>
      <c r="V2991" s="3589"/>
      <c r="W2991" s="960">
        <v>6</v>
      </c>
      <c r="X2991" s="960">
        <v>6</v>
      </c>
      <c r="Y2991" s="960">
        <v>6</v>
      </c>
      <c r="Z2991" s="960">
        <v>6</v>
      </c>
      <c r="AA2991" s="960">
        <v>6</v>
      </c>
      <c r="AB2991" s="960">
        <v>6</v>
      </c>
      <c r="AC2991" s="960"/>
      <c r="AD2991" s="960"/>
      <c r="AE2991" s="960"/>
      <c r="AF2991" s="960"/>
      <c r="AG2991" s="960"/>
      <c r="BB2991" s="647"/>
      <c r="BC2991" s="648"/>
      <c r="BD2991" s="757"/>
      <c r="BE2991" s="659"/>
    </row>
    <row r="2992" spans="1:57" s="64" customFormat="1" outlineLevel="1" x14ac:dyDescent="0.25">
      <c r="A2992" s="2463"/>
      <c r="B2992" s="648"/>
      <c r="C2992" s="385"/>
      <c r="D2992" s="3589"/>
      <c r="E2992" s="3721"/>
      <c r="F2992" s="3779" t="str">
        <f>E1635</f>
        <v>ASHP SEER 21 replace ASHP - early replacement MF ER1</v>
      </c>
      <c r="G2992" s="3779"/>
      <c r="H2992" s="3779"/>
      <c r="I2992" s="3779"/>
      <c r="J2992" s="3073" t="str">
        <f>C1635</f>
        <v>354900_2019_12_</v>
      </c>
      <c r="K2992" s="960">
        <v>6</v>
      </c>
      <c r="L2992" s="956"/>
      <c r="M2992" s="953"/>
      <c r="N2992" s="157"/>
      <c r="O2992" s="277"/>
      <c r="P2992" s="937"/>
      <c r="Q2992" s="938"/>
      <c r="R2992" s="937"/>
      <c r="S2992" s="924"/>
      <c r="T2992" s="1407"/>
      <c r="U2992" s="157"/>
      <c r="V2992" s="3589"/>
      <c r="W2992" s="960">
        <v>6</v>
      </c>
      <c r="X2992" s="960">
        <v>6</v>
      </c>
      <c r="Y2992" s="960">
        <v>6</v>
      </c>
      <c r="Z2992" s="960">
        <v>6</v>
      </c>
      <c r="AA2992" s="960">
        <v>6</v>
      </c>
      <c r="AB2992" s="960">
        <v>6</v>
      </c>
      <c r="AC2992" s="960"/>
      <c r="AD2992" s="960"/>
      <c r="AE2992" s="960"/>
      <c r="AF2992" s="960"/>
      <c r="AG2992" s="960"/>
      <c r="BB2992" s="647"/>
      <c r="BC2992" s="648"/>
      <c r="BD2992" s="757"/>
      <c r="BE2992" s="659"/>
    </row>
    <row r="2993" spans="1:57" s="64" customFormat="1" outlineLevel="1" x14ac:dyDescent="0.25">
      <c r="A2993" s="2463"/>
      <c r="B2993" s="648"/>
      <c r="C2993" s="385"/>
      <c r="D2993" s="3589"/>
      <c r="E2993" s="3721"/>
      <c r="F2993" s="3779" t="str">
        <f>E1636</f>
        <v>ASHP SEER 21 replace ASHP - early replacement MF ER2</v>
      </c>
      <c r="G2993" s="3779"/>
      <c r="H2993" s="3779"/>
      <c r="I2993" s="3779"/>
      <c r="J2993" s="3073" t="str">
        <f>C1636</f>
        <v>354900_2019_12_</v>
      </c>
      <c r="K2993" s="960">
        <v>12</v>
      </c>
      <c r="L2993" s="956"/>
      <c r="M2993" s="953"/>
      <c r="N2993" s="157"/>
      <c r="O2993" s="277"/>
      <c r="P2993" s="937"/>
      <c r="Q2993" s="938"/>
      <c r="R2993" s="937"/>
      <c r="S2993" s="924"/>
      <c r="T2993" s="1407"/>
      <c r="U2993" s="157"/>
      <c r="V2993" s="3589"/>
      <c r="W2993" s="960">
        <v>12</v>
      </c>
      <c r="X2993" s="960">
        <v>12</v>
      </c>
      <c r="Y2993" s="960">
        <v>12</v>
      </c>
      <c r="Z2993" s="960">
        <v>12</v>
      </c>
      <c r="AA2993" s="960">
        <v>12</v>
      </c>
      <c r="AB2993" s="960">
        <v>12</v>
      </c>
      <c r="AC2993" s="960"/>
      <c r="AD2993" s="960"/>
      <c r="AE2993" s="960"/>
      <c r="AF2993" s="960"/>
      <c r="AG2993" s="960"/>
      <c r="BB2993" s="647"/>
      <c r="BC2993" s="648"/>
      <c r="BD2993" s="757"/>
      <c r="BE2993" s="659"/>
    </row>
    <row r="2994" spans="1:57" s="64" customFormat="1" outlineLevel="1" x14ac:dyDescent="0.25">
      <c r="A2994" s="2463"/>
      <c r="B2994" s="648"/>
      <c r="C2994" s="385"/>
      <c r="D2994" s="3589"/>
      <c r="E2994" s="3721"/>
      <c r="F2994" s="3779" t="str">
        <f>E1637</f>
        <v>ASHP SEER 21 replace ASHP - early replacement MF ER2</v>
      </c>
      <c r="G2994" s="3779"/>
      <c r="H2994" s="3779"/>
      <c r="I2994" s="3779"/>
      <c r="J2994" s="3073" t="str">
        <f>C1637</f>
        <v>354900_2019_12_</v>
      </c>
      <c r="K2994" s="960">
        <v>12</v>
      </c>
      <c r="L2994" s="956"/>
      <c r="M2994" s="953"/>
      <c r="N2994" s="157"/>
      <c r="O2994" s="277"/>
      <c r="P2994" s="937"/>
      <c r="Q2994" s="938"/>
      <c r="R2994" s="937"/>
      <c r="S2994" s="924"/>
      <c r="T2994" s="1407"/>
      <c r="U2994" s="157"/>
      <c r="V2994" s="3589"/>
      <c r="W2994" s="960">
        <v>12</v>
      </c>
      <c r="X2994" s="960">
        <v>12</v>
      </c>
      <c r="Y2994" s="960">
        <v>12</v>
      </c>
      <c r="Z2994" s="960">
        <v>12</v>
      </c>
      <c r="AA2994" s="960">
        <v>12</v>
      </c>
      <c r="AB2994" s="960">
        <v>12</v>
      </c>
      <c r="AC2994" s="960"/>
      <c r="AD2994" s="960"/>
      <c r="AE2994" s="960"/>
      <c r="AF2994" s="960"/>
      <c r="AG2994" s="960"/>
      <c r="BB2994" s="647"/>
      <c r="BC2994" s="648"/>
      <c r="BD2994" s="757"/>
      <c r="BE2994" s="659"/>
    </row>
    <row r="2995" spans="1:57" s="64" customFormat="1" outlineLevel="1" x14ac:dyDescent="0.25">
      <c r="A2995" s="2463"/>
      <c r="B2995" s="648"/>
      <c r="C2995" s="385"/>
      <c r="D2995" s="3589"/>
      <c r="E2995" s="3721"/>
      <c r="F2995" s="3779" t="str">
        <f>E1642</f>
        <v>ASHP - SEER 17 - replace on fail MF</v>
      </c>
      <c r="G2995" s="3779"/>
      <c r="H2995" s="3779"/>
      <c r="I2995" s="3779"/>
      <c r="J2995" s="3073" t="str">
        <f>C1642</f>
        <v>354950_2019_12_</v>
      </c>
      <c r="K2995" s="960">
        <v>18</v>
      </c>
      <c r="L2995" s="956"/>
      <c r="M2995" s="953"/>
      <c r="N2995" s="157"/>
      <c r="O2995" s="277"/>
      <c r="P2995" s="937"/>
      <c r="Q2995" s="938"/>
      <c r="R2995" s="937"/>
      <c r="S2995" s="924"/>
      <c r="T2995" s="1407"/>
      <c r="U2995" s="157"/>
      <c r="V2995" s="3589"/>
      <c r="W2995" s="960">
        <v>18</v>
      </c>
      <c r="X2995" s="960">
        <v>18</v>
      </c>
      <c r="Y2995" s="960">
        <v>18</v>
      </c>
      <c r="Z2995" s="960">
        <v>18</v>
      </c>
      <c r="AA2995" s="960">
        <v>18</v>
      </c>
      <c r="AB2995" s="960">
        <v>18</v>
      </c>
      <c r="AC2995" s="960"/>
      <c r="AD2995" s="960"/>
      <c r="AE2995" s="960"/>
      <c r="AF2995" s="960"/>
      <c r="AG2995" s="960"/>
      <c r="BB2995" s="647"/>
      <c r="BC2995" s="648"/>
      <c r="BD2995" s="757"/>
      <c r="BE2995" s="659"/>
    </row>
    <row r="2996" spans="1:57" s="64" customFormat="1" outlineLevel="1" x14ac:dyDescent="0.25">
      <c r="A2996" s="2463"/>
      <c r="B2996" s="648"/>
      <c r="C2996" s="385"/>
      <c r="D2996" s="3589"/>
      <c r="E2996" s="3721"/>
      <c r="F2996" s="3779" t="str">
        <f>E1643</f>
        <v>ASHP - SEER 17 - replace on fail MF</v>
      </c>
      <c r="G2996" s="3779"/>
      <c r="H2996" s="3779"/>
      <c r="I2996" s="3779"/>
      <c r="J2996" s="3073" t="str">
        <f>C1643</f>
        <v>354950_2019_12_</v>
      </c>
      <c r="K2996" s="960">
        <v>18</v>
      </c>
      <c r="L2996" s="956"/>
      <c r="M2996" s="953"/>
      <c r="N2996" s="157"/>
      <c r="O2996" s="277"/>
      <c r="P2996" s="937"/>
      <c r="Q2996" s="938"/>
      <c r="R2996" s="937"/>
      <c r="S2996" s="924"/>
      <c r="T2996" s="1407"/>
      <c r="U2996" s="157"/>
      <c r="V2996" s="3589"/>
      <c r="W2996" s="960">
        <v>18</v>
      </c>
      <c r="X2996" s="960">
        <v>18</v>
      </c>
      <c r="Y2996" s="960">
        <v>18</v>
      </c>
      <c r="Z2996" s="960">
        <v>18</v>
      </c>
      <c r="AA2996" s="960">
        <v>18</v>
      </c>
      <c r="AB2996" s="960">
        <v>18</v>
      </c>
      <c r="AC2996" s="960"/>
      <c r="AD2996" s="960"/>
      <c r="AE2996" s="960"/>
      <c r="AF2996" s="960"/>
      <c r="AG2996" s="960"/>
      <c r="BB2996" s="647"/>
      <c r="BC2996" s="648"/>
      <c r="BD2996" s="757"/>
      <c r="BE2996" s="659"/>
    </row>
    <row r="2997" spans="1:57" s="64" customFormat="1" outlineLevel="1" x14ac:dyDescent="0.25">
      <c r="A2997" s="2463"/>
      <c r="B2997" s="648"/>
      <c r="C2997" s="385"/>
      <c r="D2997" s="3589"/>
      <c r="E2997" s="3721"/>
      <c r="F2997" s="3779" t="str">
        <f>E1646</f>
        <v>ASHP - SEER 18 - replace on fail MF</v>
      </c>
      <c r="G2997" s="3779"/>
      <c r="H2997" s="3779"/>
      <c r="I2997" s="3779"/>
      <c r="J2997" s="3073" t="str">
        <f>C1646</f>
        <v>355000_2019_12_</v>
      </c>
      <c r="K2997" s="960">
        <v>18</v>
      </c>
      <c r="L2997" s="956"/>
      <c r="M2997" s="953"/>
      <c r="N2997" s="157"/>
      <c r="O2997" s="277"/>
      <c r="P2997" s="937"/>
      <c r="Q2997" s="938"/>
      <c r="R2997" s="937"/>
      <c r="S2997" s="924"/>
      <c r="T2997" s="1407"/>
      <c r="U2997" s="157"/>
      <c r="V2997" s="3589"/>
      <c r="W2997" s="960">
        <v>18</v>
      </c>
      <c r="X2997" s="960">
        <v>18</v>
      </c>
      <c r="Y2997" s="960">
        <v>18</v>
      </c>
      <c r="Z2997" s="960">
        <v>18</v>
      </c>
      <c r="AA2997" s="960">
        <v>18</v>
      </c>
      <c r="AB2997" s="960">
        <v>18</v>
      </c>
      <c r="AC2997" s="960"/>
      <c r="AD2997" s="960"/>
      <c r="AE2997" s="960"/>
      <c r="AF2997" s="960"/>
      <c r="AG2997" s="960"/>
      <c r="BB2997" s="647"/>
      <c r="BC2997" s="648"/>
      <c r="BD2997" s="757"/>
      <c r="BE2997" s="659"/>
    </row>
    <row r="2998" spans="1:57" s="64" customFormat="1" outlineLevel="1" x14ac:dyDescent="0.25">
      <c r="A2998" s="2463"/>
      <c r="B2998" s="648"/>
      <c r="C2998" s="385"/>
      <c r="D2998" s="3589"/>
      <c r="E2998" s="3721"/>
      <c r="F2998" s="3779" t="str">
        <f>E1647</f>
        <v>ASHP - SEER 18 - replace on fail MF</v>
      </c>
      <c r="G2998" s="3779"/>
      <c r="H2998" s="3779"/>
      <c r="I2998" s="3779"/>
      <c r="J2998" s="3073" t="str">
        <f>C1647</f>
        <v>355000_2019_12_</v>
      </c>
      <c r="K2998" s="960">
        <v>18</v>
      </c>
      <c r="L2998" s="956"/>
      <c r="M2998" s="953"/>
      <c r="N2998" s="157"/>
      <c r="O2998" s="277"/>
      <c r="P2998" s="937"/>
      <c r="Q2998" s="938"/>
      <c r="R2998" s="937"/>
      <c r="S2998" s="924"/>
      <c r="T2998" s="1407"/>
      <c r="U2998" s="157"/>
      <c r="V2998" s="3589"/>
      <c r="W2998" s="960">
        <v>18</v>
      </c>
      <c r="X2998" s="960">
        <v>18</v>
      </c>
      <c r="Y2998" s="960">
        <v>18</v>
      </c>
      <c r="Z2998" s="960">
        <v>18</v>
      </c>
      <c r="AA2998" s="960">
        <v>18</v>
      </c>
      <c r="AB2998" s="960">
        <v>18</v>
      </c>
      <c r="AC2998" s="960"/>
      <c r="AD2998" s="960"/>
      <c r="AE2998" s="960"/>
      <c r="AF2998" s="960"/>
      <c r="AG2998" s="960"/>
      <c r="BB2998" s="647"/>
      <c r="BC2998" s="648"/>
      <c r="BD2998" s="757"/>
      <c r="BE2998" s="659"/>
    </row>
    <row r="2999" spans="1:57" s="64" customFormat="1" outlineLevel="1" x14ac:dyDescent="0.25">
      <c r="A2999" s="2463"/>
      <c r="B2999" s="648"/>
      <c r="C2999" s="385"/>
      <c r="D2999" s="3589"/>
      <c r="E2999" s="3721"/>
      <c r="F2999" s="3779" t="str">
        <f>E1650</f>
        <v>ASHP - SEER 19 - replace on fail MF</v>
      </c>
      <c r="G2999" s="3779"/>
      <c r="H2999" s="3779"/>
      <c r="I2999" s="3779"/>
      <c r="J2999" s="3073" t="str">
        <f>C1650</f>
        <v>355050_2019_12_</v>
      </c>
      <c r="K2999" s="960">
        <v>18</v>
      </c>
      <c r="L2999" s="956"/>
      <c r="M2999" s="953"/>
      <c r="N2999" s="157"/>
      <c r="O2999" s="277"/>
      <c r="P2999" s="937"/>
      <c r="Q2999" s="938"/>
      <c r="R2999" s="937"/>
      <c r="S2999" s="924"/>
      <c r="T2999" s="1407"/>
      <c r="U2999" s="157"/>
      <c r="V2999" s="3589"/>
      <c r="W2999" s="960">
        <v>18</v>
      </c>
      <c r="X2999" s="960">
        <v>18</v>
      </c>
      <c r="Y2999" s="960">
        <v>18</v>
      </c>
      <c r="Z2999" s="960">
        <v>18</v>
      </c>
      <c r="AA2999" s="960">
        <v>18</v>
      </c>
      <c r="AB2999" s="960">
        <v>18</v>
      </c>
      <c r="AC2999" s="960"/>
      <c r="AD2999" s="960"/>
      <c r="AE2999" s="960"/>
      <c r="AF2999" s="960"/>
      <c r="AG2999" s="960"/>
      <c r="BB2999" s="647"/>
      <c r="BC2999" s="648"/>
      <c r="BD2999" s="757"/>
      <c r="BE2999" s="659"/>
    </row>
    <row r="3000" spans="1:57" s="64" customFormat="1" ht="15" customHeight="1" outlineLevel="1" x14ac:dyDescent="0.25">
      <c r="A3000" s="2463"/>
      <c r="B3000" s="648"/>
      <c r="C3000" s="385"/>
      <c r="D3000" s="3589"/>
      <c r="E3000" s="3721"/>
      <c r="F3000" s="3779" t="str">
        <f>E1651</f>
        <v>ASHP - SEER 19 - replace on fail MF</v>
      </c>
      <c r="G3000" s="3779"/>
      <c r="H3000" s="3779"/>
      <c r="I3000" s="3779"/>
      <c r="J3000" s="3073" t="str">
        <f>C1651</f>
        <v>355050_2019_12_</v>
      </c>
      <c r="K3000" s="960">
        <v>18</v>
      </c>
      <c r="L3000" s="945"/>
      <c r="M3000" s="783"/>
      <c r="N3000" s="157"/>
      <c r="O3000" s="277"/>
      <c r="P3000" s="937"/>
      <c r="Q3000" s="938"/>
      <c r="R3000" s="937"/>
      <c r="S3000" s="924"/>
      <c r="T3000" s="1407"/>
      <c r="U3000" s="157"/>
      <c r="V3000" s="3589"/>
      <c r="W3000" s="960">
        <v>18</v>
      </c>
      <c r="X3000" s="960">
        <v>18</v>
      </c>
      <c r="Y3000" s="960">
        <v>18</v>
      </c>
      <c r="Z3000" s="960">
        <v>18</v>
      </c>
      <c r="AA3000" s="960">
        <v>18</v>
      </c>
      <c r="AB3000" s="960">
        <v>18</v>
      </c>
      <c r="AC3000" s="960"/>
      <c r="AD3000" s="960"/>
      <c r="AE3000" s="960"/>
      <c r="AF3000" s="960"/>
      <c r="AG3000" s="960"/>
      <c r="BB3000" s="647"/>
      <c r="BC3000" s="648"/>
      <c r="BD3000" s="757"/>
      <c r="BE3000" s="659"/>
    </row>
    <row r="3001" spans="1:57" s="64" customFormat="1" ht="15" customHeight="1" outlineLevel="1" x14ac:dyDescent="0.25">
      <c r="A3001" s="2463"/>
      <c r="B3001" s="648"/>
      <c r="C3001" s="385"/>
      <c r="D3001" s="3589"/>
      <c r="E3001" s="3721"/>
      <c r="F3001" s="3779" t="str">
        <f>E1654</f>
        <v>ASHP - SEER 20 - replace on fail MF</v>
      </c>
      <c r="G3001" s="3779"/>
      <c r="H3001" s="3779"/>
      <c r="I3001" s="3779"/>
      <c r="J3001" s="3073" t="str">
        <f>C1654</f>
        <v>355100_2019_12_</v>
      </c>
      <c r="K3001" s="960">
        <v>18</v>
      </c>
      <c r="L3001" s="945"/>
      <c r="M3001" s="783"/>
      <c r="N3001" s="157"/>
      <c r="O3001" s="277"/>
      <c r="P3001" s="937"/>
      <c r="Q3001" s="938"/>
      <c r="R3001" s="937"/>
      <c r="S3001" s="924"/>
      <c r="T3001" s="1407"/>
      <c r="U3001" s="157"/>
      <c r="V3001" s="3589"/>
      <c r="W3001" s="960">
        <v>18</v>
      </c>
      <c r="X3001" s="960">
        <v>18</v>
      </c>
      <c r="Y3001" s="960">
        <v>18</v>
      </c>
      <c r="Z3001" s="960">
        <v>18</v>
      </c>
      <c r="AA3001" s="960">
        <v>18</v>
      </c>
      <c r="AB3001" s="960">
        <v>18</v>
      </c>
      <c r="AC3001" s="960"/>
      <c r="AD3001" s="960"/>
      <c r="AE3001" s="960"/>
      <c r="AF3001" s="960"/>
      <c r="AG3001" s="960"/>
      <c r="BB3001" s="647"/>
      <c r="BC3001" s="648"/>
      <c r="BD3001" s="757"/>
      <c r="BE3001" s="659"/>
    </row>
    <row r="3002" spans="1:57" s="64" customFormat="1" ht="15" customHeight="1" outlineLevel="1" x14ac:dyDescent="0.25">
      <c r="A3002" s="2463"/>
      <c r="B3002" s="648"/>
      <c r="C3002" s="385"/>
      <c r="D3002" s="3589"/>
      <c r="E3002" s="3721"/>
      <c r="F3002" s="3779" t="str">
        <f>E1655</f>
        <v>ASHP - SEER 20 - replace on fail MF</v>
      </c>
      <c r="G3002" s="3779"/>
      <c r="H3002" s="3779"/>
      <c r="I3002" s="3779"/>
      <c r="J3002" s="3073" t="str">
        <f>C1655</f>
        <v>355100_2019_12_</v>
      </c>
      <c r="K3002" s="960">
        <v>18</v>
      </c>
      <c r="L3002" s="945"/>
      <c r="M3002" s="783"/>
      <c r="N3002" s="157"/>
      <c r="O3002" s="277"/>
      <c r="P3002" s="937"/>
      <c r="Q3002" s="938"/>
      <c r="R3002" s="937"/>
      <c r="S3002" s="924"/>
      <c r="T3002" s="1407"/>
      <c r="U3002" s="157"/>
      <c r="V3002" s="3589"/>
      <c r="W3002" s="960">
        <v>18</v>
      </c>
      <c r="X3002" s="960">
        <v>18</v>
      </c>
      <c r="Y3002" s="960">
        <v>18</v>
      </c>
      <c r="Z3002" s="960">
        <v>18</v>
      </c>
      <c r="AA3002" s="960">
        <v>18</v>
      </c>
      <c r="AB3002" s="960">
        <v>18</v>
      </c>
      <c r="AC3002" s="960"/>
      <c r="AD3002" s="960"/>
      <c r="AE3002" s="960"/>
      <c r="AF3002" s="960"/>
      <c r="AG3002" s="960"/>
      <c r="BB3002" s="647"/>
      <c r="BC3002" s="648"/>
      <c r="BD3002" s="757"/>
      <c r="BE3002" s="659"/>
    </row>
    <row r="3003" spans="1:57" s="64" customFormat="1" ht="15" customHeight="1" outlineLevel="1" x14ac:dyDescent="0.25">
      <c r="A3003" s="2463"/>
      <c r="B3003" s="648"/>
      <c r="C3003" s="385"/>
      <c r="D3003" s="3589"/>
      <c r="E3003" s="3721"/>
      <c r="F3003" s="3779" t="str">
        <f>E1658</f>
        <v>ASHP - SEER 21 - replace on fail MF</v>
      </c>
      <c r="G3003" s="3779"/>
      <c r="H3003" s="3779"/>
      <c r="I3003" s="3779"/>
      <c r="J3003" s="3073" t="str">
        <f>C1658</f>
        <v>355150_2019_12_</v>
      </c>
      <c r="K3003" s="960">
        <v>18</v>
      </c>
      <c r="L3003" s="956"/>
      <c r="M3003" s="783"/>
      <c r="N3003" s="157"/>
      <c r="O3003" s="277"/>
      <c r="P3003" s="937"/>
      <c r="Q3003" s="938"/>
      <c r="R3003" s="937"/>
      <c r="S3003" s="924"/>
      <c r="T3003" s="1407"/>
      <c r="U3003" s="157"/>
      <c r="V3003" s="3589"/>
      <c r="W3003" s="960">
        <v>18</v>
      </c>
      <c r="X3003" s="960">
        <v>18</v>
      </c>
      <c r="Y3003" s="960">
        <v>18</v>
      </c>
      <c r="Z3003" s="960">
        <v>18</v>
      </c>
      <c r="AA3003" s="960">
        <v>18</v>
      </c>
      <c r="AB3003" s="960">
        <v>18</v>
      </c>
      <c r="AC3003" s="960"/>
      <c r="AD3003" s="960"/>
      <c r="AE3003" s="960"/>
      <c r="AF3003" s="960"/>
      <c r="AG3003" s="960"/>
      <c r="BB3003" s="647"/>
      <c r="BC3003" s="648"/>
      <c r="BD3003" s="757"/>
      <c r="BE3003" s="659"/>
    </row>
    <row r="3004" spans="1:57" s="64" customFormat="1" ht="15.75" customHeight="1" outlineLevel="1" thickBot="1" x14ac:dyDescent="0.3">
      <c r="A3004" s="2463"/>
      <c r="B3004" s="648"/>
      <c r="C3004" s="385"/>
      <c r="D3004" s="3687"/>
      <c r="E3004" s="3742"/>
      <c r="F3004" s="3779" t="str">
        <f>E1659</f>
        <v>ASHP - SEER 21 - replace on fail MF</v>
      </c>
      <c r="G3004" s="3779"/>
      <c r="H3004" s="3779"/>
      <c r="I3004" s="3779"/>
      <c r="J3004" s="3073" t="str">
        <f>C1659</f>
        <v>355150_2019_12_</v>
      </c>
      <c r="K3004" s="962">
        <v>18</v>
      </c>
      <c r="L3004" s="963"/>
      <c r="M3004" s="783"/>
      <c r="N3004" s="157"/>
      <c r="O3004" s="277"/>
      <c r="P3004" s="937"/>
      <c r="Q3004" s="938"/>
      <c r="R3004" s="937"/>
      <c r="S3004" s="924"/>
      <c r="T3004" s="1407"/>
      <c r="U3004" s="157"/>
      <c r="V3004" s="3687"/>
      <c r="W3004" s="962">
        <v>18</v>
      </c>
      <c r="X3004" s="962">
        <v>18</v>
      </c>
      <c r="Y3004" s="962">
        <v>18</v>
      </c>
      <c r="Z3004" s="962">
        <v>18</v>
      </c>
      <c r="AA3004" s="962">
        <v>18</v>
      </c>
      <c r="AB3004" s="962">
        <v>18</v>
      </c>
      <c r="AC3004" s="962"/>
      <c r="AD3004" s="962"/>
      <c r="AE3004" s="962"/>
      <c r="AF3004" s="962"/>
      <c r="AG3004" s="962"/>
      <c r="BB3004" s="647"/>
      <c r="BC3004" s="648"/>
      <c r="BD3004" s="757"/>
      <c r="BE3004" s="659"/>
    </row>
    <row r="3005" spans="1:57" s="64" customFormat="1" outlineLevel="1" x14ac:dyDescent="0.25">
      <c r="A3005" s="2463"/>
      <c r="B3005" s="648"/>
      <c r="C3005" s="385"/>
      <c r="D3005" s="3588" t="str">
        <f>D1388</f>
        <v>Inc. Cost</v>
      </c>
      <c r="E3005" s="3720" t="str">
        <f>E1388</f>
        <v>Incremental Cost ($)</v>
      </c>
      <c r="F3005" s="3771" t="str">
        <f t="shared" ref="F3005:F3032" si="246">E1406</f>
        <v>ASHP - SEER 15 ER Elec Resist Furnace: HVAC ER1</v>
      </c>
      <c r="G3005" s="3771"/>
      <c r="H3005" s="3771"/>
      <c r="I3005" s="3771"/>
      <c r="J3005" s="3070" t="str">
        <f t="shared" ref="J3005:J3032" si="247">C1406</f>
        <v>352300_2019_12_</v>
      </c>
      <c r="K3005" s="965">
        <f>(($R$1696*L3005)+$R$1684)-(($Q$1696*L3005)/((1+$R$1698)^($R$1699-1)))</f>
        <v>989.09301697589126</v>
      </c>
      <c r="L3005" s="761">
        <f>VLOOKUP(J3005,$J$1682:$L$1809,3,FALSE)*M3005</f>
        <v>2.8714285714285714</v>
      </c>
      <c r="M3005" s="1814">
        <f>VLOOKUP(J3005,$J$2706:$K$2833,2,FALSE)</f>
        <v>1</v>
      </c>
      <c r="N3005" s="1249"/>
      <c r="O3005" s="277"/>
      <c r="P3005" s="937"/>
      <c r="Q3005" s="937"/>
      <c r="R3005" s="937"/>
      <c r="S3005" s="924"/>
      <c r="T3005" s="1407"/>
      <c r="U3005" s="157"/>
      <c r="V3005" s="3588" t="s">
        <v>722</v>
      </c>
      <c r="W3005" s="965">
        <v>2365.1309007383738</v>
      </c>
      <c r="X3005" s="966">
        <f>$Q$1684*(X$1682/12000)*X$2706</f>
        <v>3120.6296154662073</v>
      </c>
      <c r="Y3005" s="964">
        <v>1119.3961863407253</v>
      </c>
      <c r="Z3005" s="965">
        <v>1119.3961863407253</v>
      </c>
      <c r="AA3005" s="965">
        <v>1119.3961863407253</v>
      </c>
      <c r="AB3005" s="965">
        <v>303</v>
      </c>
      <c r="AC3005" s="880"/>
      <c r="AD3005" s="880"/>
      <c r="AE3005" s="880"/>
      <c r="AF3005" s="880"/>
      <c r="AG3005" s="880"/>
      <c r="BB3005" s="647"/>
      <c r="BC3005" s="648"/>
      <c r="BD3005" s="757"/>
      <c r="BE3005" s="659"/>
    </row>
    <row r="3006" spans="1:57" s="64" customFormat="1" ht="15" customHeight="1" outlineLevel="1" x14ac:dyDescent="0.25">
      <c r="A3006" s="2463"/>
      <c r="B3006" s="648"/>
      <c r="C3006" s="385"/>
      <c r="D3006" s="3589"/>
      <c r="E3006" s="3721"/>
      <c r="F3006" s="3779" t="str">
        <f t="shared" si="246"/>
        <v>ASHP - SEER 15 ER Elec Resist Furnace: HVAC ER1</v>
      </c>
      <c r="G3006" s="3779"/>
      <c r="H3006" s="3779"/>
      <c r="I3006" s="3779"/>
      <c r="J3006" s="3073" t="str">
        <f t="shared" si="247"/>
        <v>352300_2019_12_</v>
      </c>
      <c r="K3006" s="602"/>
      <c r="L3006" s="767"/>
      <c r="M3006" s="1815" t="str">
        <f>IF(K3006&gt;0,VLOOKUP(J3006,$J$2706:$K$2833,2,FALSE),"")</f>
        <v/>
      </c>
      <c r="N3006" s="1249"/>
      <c r="O3006" s="277"/>
      <c r="P3006" s="937"/>
      <c r="Q3006" s="937"/>
      <c r="R3006" s="937"/>
      <c r="S3006" s="924"/>
      <c r="T3006" s="1407"/>
      <c r="U3006" s="157"/>
      <c r="V3006" s="3589"/>
      <c r="W3006" s="602"/>
      <c r="X3006" s="915"/>
      <c r="Y3006" s="602"/>
      <c r="Z3006" s="602"/>
      <c r="AA3006" s="602"/>
      <c r="AB3006" s="602"/>
      <c r="AC3006" s="884"/>
      <c r="AD3006" s="884"/>
      <c r="AE3006" s="884"/>
      <c r="AF3006" s="884"/>
      <c r="AG3006" s="884"/>
      <c r="BB3006" s="647"/>
      <c r="BC3006" s="648"/>
      <c r="BD3006" s="757"/>
      <c r="BE3006" s="659"/>
    </row>
    <row r="3007" spans="1:57" s="64" customFormat="1" ht="15" customHeight="1" outlineLevel="1" x14ac:dyDescent="0.25">
      <c r="A3007" s="2463"/>
      <c r="B3007" s="648"/>
      <c r="C3007" s="385"/>
      <c r="D3007" s="3589"/>
      <c r="E3007" s="3721"/>
      <c r="F3007" s="3779" t="str">
        <f t="shared" si="246"/>
        <v>ASHP - SEER 15 ER Elec Resist Furnace: HVAC ER2</v>
      </c>
      <c r="G3007" s="3779"/>
      <c r="H3007" s="3779"/>
      <c r="I3007" s="3779"/>
      <c r="J3007" s="3073" t="str">
        <f t="shared" si="247"/>
        <v>352300_2019_12_</v>
      </c>
      <c r="K3007" s="602"/>
      <c r="L3007" s="767"/>
      <c r="M3007" s="1815" t="str">
        <f>IF(K3007&gt;0,VLOOKUP(J3007,$J$2706:$K$2833,2,FALSE),"")</f>
        <v/>
      </c>
      <c r="N3007" s="1249"/>
      <c r="O3007" s="277"/>
      <c r="P3007" s="937"/>
      <c r="Q3007" s="937"/>
      <c r="R3007" s="937"/>
      <c r="S3007" s="924"/>
      <c r="T3007" s="1407"/>
      <c r="U3007" s="157"/>
      <c r="V3007" s="3589"/>
      <c r="W3007" s="602"/>
      <c r="X3007" s="915"/>
      <c r="Y3007" s="602"/>
      <c r="Z3007" s="602"/>
      <c r="AA3007" s="602"/>
      <c r="AB3007" s="602"/>
      <c r="AC3007" s="884"/>
      <c r="AD3007" s="884"/>
      <c r="AE3007" s="884"/>
      <c r="AF3007" s="884"/>
      <c r="AG3007" s="884"/>
      <c r="BB3007" s="647"/>
      <c r="BC3007" s="648"/>
      <c r="BD3007" s="757"/>
      <c r="BE3007" s="659"/>
    </row>
    <row r="3008" spans="1:57" s="64" customFormat="1" ht="15" customHeight="1" outlineLevel="1" x14ac:dyDescent="0.25">
      <c r="A3008" s="2463"/>
      <c r="B3008" s="648"/>
      <c r="C3008" s="385"/>
      <c r="D3008" s="3589"/>
      <c r="E3008" s="3721"/>
      <c r="F3008" s="3779" t="str">
        <f t="shared" si="246"/>
        <v>ASHP - SEER 15 ER Elec Resist Furnace: HVAC ER2</v>
      </c>
      <c r="G3008" s="3779"/>
      <c r="H3008" s="3779"/>
      <c r="I3008" s="3779"/>
      <c r="J3008" s="3073" t="str">
        <f t="shared" si="247"/>
        <v>352300_2019_12_</v>
      </c>
      <c r="K3008" s="602"/>
      <c r="L3008" s="767"/>
      <c r="M3008" s="1815" t="str">
        <f>IF(K3008&gt;0,VLOOKUP(J3008,$J$2706:$K$2833,2,FALSE),"")</f>
        <v/>
      </c>
      <c r="N3008" s="1249"/>
      <c r="O3008" s="277"/>
      <c r="P3008" s="937"/>
      <c r="Q3008" s="937"/>
      <c r="R3008" s="937"/>
      <c r="S3008" s="924"/>
      <c r="T3008" s="1407"/>
      <c r="U3008" s="157"/>
      <c r="V3008" s="3589"/>
      <c r="W3008" s="602"/>
      <c r="X3008" s="915"/>
      <c r="Y3008" s="602"/>
      <c r="Z3008" s="602"/>
      <c r="AA3008" s="602"/>
      <c r="AB3008" s="602"/>
      <c r="AC3008" s="884"/>
      <c r="AD3008" s="884"/>
      <c r="AE3008" s="884"/>
      <c r="AF3008" s="884"/>
      <c r="AG3008" s="884"/>
      <c r="BB3008" s="647"/>
      <c r="BC3008" s="648"/>
      <c r="BD3008" s="757"/>
      <c r="BE3008" s="659"/>
    </row>
    <row r="3009" spans="1:57" s="64" customFormat="1" ht="15" customHeight="1" outlineLevel="1" x14ac:dyDescent="0.25">
      <c r="A3009" s="2463"/>
      <c r="B3009" s="648"/>
      <c r="C3009" s="385"/>
      <c r="D3009" s="3589"/>
      <c r="E3009" s="3721"/>
      <c r="F3009" s="3779" t="str">
        <f t="shared" si="246"/>
        <v>ASHP - SEER 15 ER with ASHP: HVAC ER1</v>
      </c>
      <c r="G3009" s="3779"/>
      <c r="H3009" s="3779"/>
      <c r="I3009" s="3779"/>
      <c r="J3009" s="3073" t="str">
        <f t="shared" si="247"/>
        <v>352350_2019_12_</v>
      </c>
      <c r="K3009" s="602">
        <f>(($R$1696*L3009)+$R$1684)-(($Q$1696*L3009)/((1+$R$1698)^($R$1699-1)))</f>
        <v>1044.1498640171662</v>
      </c>
      <c r="L3009" s="767">
        <f>VLOOKUP(J3009,$J$1682:$L$1809,3,FALSE)*M3009</f>
        <v>3.1018518518518516</v>
      </c>
      <c r="M3009" s="1815">
        <f>VLOOKUP(J3009,$J$2706:$K$2833,2,FALSE)</f>
        <v>1</v>
      </c>
      <c r="N3009" s="1249"/>
      <c r="O3009" s="277"/>
      <c r="P3009" s="937"/>
      <c r="Q3009" s="937"/>
      <c r="R3009" s="937"/>
      <c r="S3009" s="924"/>
      <c r="T3009" s="1407"/>
      <c r="U3009" s="157"/>
      <c r="V3009" s="3589"/>
      <c r="W3009" s="602">
        <v>2618.5377829603426</v>
      </c>
      <c r="X3009" s="915">
        <f>$Q$1684*(X$1684/12000)*X$2708</f>
        <v>3120.6296154662073</v>
      </c>
      <c r="Y3009" s="605">
        <v>1127.8416641304575</v>
      </c>
      <c r="Z3009" s="602">
        <v>1127.8416641304575</v>
      </c>
      <c r="AA3009" s="602">
        <v>1127.8416641304575</v>
      </c>
      <c r="AB3009" s="602">
        <v>303</v>
      </c>
      <c r="AC3009" s="884"/>
      <c r="AD3009" s="884"/>
      <c r="AE3009" s="884"/>
      <c r="AF3009" s="884"/>
      <c r="AG3009" s="884"/>
      <c r="BB3009" s="647"/>
      <c r="BC3009" s="648"/>
      <c r="BD3009" s="757"/>
      <c r="BE3009" s="659"/>
    </row>
    <row r="3010" spans="1:57" s="64" customFormat="1" ht="15" customHeight="1" outlineLevel="1" x14ac:dyDescent="0.25">
      <c r="A3010" s="2463"/>
      <c r="B3010" s="648"/>
      <c r="C3010" s="385"/>
      <c r="D3010" s="3589"/>
      <c r="E3010" s="3721"/>
      <c r="F3010" s="3779" t="str">
        <f t="shared" si="246"/>
        <v>ASHP - SEER 15 ER with ASHP: HVAC ER1</v>
      </c>
      <c r="G3010" s="3779"/>
      <c r="H3010" s="3779"/>
      <c r="I3010" s="3779"/>
      <c r="J3010" s="3073" t="str">
        <f t="shared" si="247"/>
        <v>352350_2019_12_</v>
      </c>
      <c r="K3010" s="602"/>
      <c r="L3010" s="767" t="str">
        <f>IF(K3010&gt;0,VLOOKUP(J3010,$J$1682:$L$1809,3,FALSE),"")</f>
        <v/>
      </c>
      <c r="M3010" s="1815" t="str">
        <f>IF(K3010&gt;0,VLOOKUP(J3010,$J$2706:$K$2833,2,FALSE),"")</f>
        <v/>
      </c>
      <c r="N3010" s="1249"/>
      <c r="O3010" s="277"/>
      <c r="P3010" s="937"/>
      <c r="Q3010" s="937"/>
      <c r="R3010" s="937"/>
      <c r="S3010" s="924"/>
      <c r="T3010" s="1407"/>
      <c r="U3010" s="157"/>
      <c r="V3010" s="3589"/>
      <c r="W3010" s="602"/>
      <c r="X3010" s="915"/>
      <c r="Y3010" s="605"/>
      <c r="Z3010" s="602"/>
      <c r="AA3010" s="602"/>
      <c r="AB3010" s="602"/>
      <c r="AC3010" s="884"/>
      <c r="AD3010" s="884"/>
      <c r="AE3010" s="884"/>
      <c r="AF3010" s="884"/>
      <c r="AG3010" s="884"/>
      <c r="BB3010" s="647"/>
      <c r="BC3010" s="648"/>
      <c r="BD3010" s="757"/>
      <c r="BE3010" s="659"/>
    </row>
    <row r="3011" spans="1:57" s="64" customFormat="1" ht="15" customHeight="1" outlineLevel="1" x14ac:dyDescent="0.25">
      <c r="A3011" s="2463"/>
      <c r="B3011" s="648"/>
      <c r="C3011" s="385"/>
      <c r="D3011" s="3589"/>
      <c r="E3011" s="3721"/>
      <c r="F3011" s="3779" t="str">
        <f t="shared" si="246"/>
        <v>ASHP - SEER 15 ER with ASHP: HVAC ER2</v>
      </c>
      <c r="G3011" s="3779"/>
      <c r="H3011" s="3779"/>
      <c r="I3011" s="3779"/>
      <c r="J3011" s="3073" t="str">
        <f t="shared" si="247"/>
        <v>352350_2019_12_</v>
      </c>
      <c r="K3011" s="602"/>
      <c r="L3011" s="767" t="str">
        <f>IF(K3011&gt;0,VLOOKUP(J3011,$J$1682:$L$1809,3,FALSE),"")</f>
        <v/>
      </c>
      <c r="M3011" s="1815" t="str">
        <f>IF(K3011&gt;0,VLOOKUP(J3011,$J$2706:$K$2833,2,FALSE),"")</f>
        <v/>
      </c>
      <c r="N3011" s="1249"/>
      <c r="O3011" s="277"/>
      <c r="P3011" s="937"/>
      <c r="Q3011" s="937"/>
      <c r="R3011" s="937"/>
      <c r="S3011" s="924"/>
      <c r="T3011" s="1407"/>
      <c r="U3011" s="157"/>
      <c r="V3011" s="3589"/>
      <c r="W3011" s="602"/>
      <c r="X3011" s="915"/>
      <c r="Y3011" s="605"/>
      <c r="Z3011" s="602"/>
      <c r="AA3011" s="602"/>
      <c r="AB3011" s="602"/>
      <c r="AC3011" s="884"/>
      <c r="AD3011" s="884"/>
      <c r="AE3011" s="884"/>
      <c r="AF3011" s="884"/>
      <c r="AG3011" s="884"/>
      <c r="BB3011" s="647"/>
      <c r="BC3011" s="648"/>
      <c r="BD3011" s="757"/>
      <c r="BE3011" s="659"/>
    </row>
    <row r="3012" spans="1:57" s="64" customFormat="1" ht="15" customHeight="1" outlineLevel="1" x14ac:dyDescent="0.25">
      <c r="A3012" s="2463"/>
      <c r="B3012" s="648"/>
      <c r="C3012" s="385"/>
      <c r="D3012" s="3589"/>
      <c r="E3012" s="3721"/>
      <c r="F3012" s="3779" t="str">
        <f t="shared" si="246"/>
        <v>ASHP - SEER 15 ER with ASHP: HVAC ER2</v>
      </c>
      <c r="G3012" s="3779"/>
      <c r="H3012" s="3779"/>
      <c r="I3012" s="3779"/>
      <c r="J3012" s="3073" t="str">
        <f t="shared" si="247"/>
        <v>352350_2019_12_</v>
      </c>
      <c r="K3012" s="602"/>
      <c r="L3012" s="767" t="str">
        <f>IF(K3012&gt;0,VLOOKUP(J3012,$J$1682:$L$1809,3,FALSE),"")</f>
        <v/>
      </c>
      <c r="M3012" s="1815" t="str">
        <f>IF(K3012&gt;0,VLOOKUP(J3012,$J$2706:$K$2833,2,FALSE),"")</f>
        <v/>
      </c>
      <c r="N3012" s="1249"/>
      <c r="O3012" s="277"/>
      <c r="P3012" s="937"/>
      <c r="Q3012" s="937"/>
      <c r="R3012" s="937"/>
      <c r="S3012" s="924"/>
      <c r="T3012" s="1407"/>
      <c r="U3012" s="157"/>
      <c r="V3012" s="3589"/>
      <c r="W3012" s="602"/>
      <c r="X3012" s="915"/>
      <c r="Y3012" s="605"/>
      <c r="Z3012" s="602"/>
      <c r="AA3012" s="602"/>
      <c r="AB3012" s="602"/>
      <c r="AC3012" s="884"/>
      <c r="AD3012" s="884"/>
      <c r="AE3012" s="884"/>
      <c r="AF3012" s="884"/>
      <c r="AG3012" s="884"/>
      <c r="BB3012" s="647"/>
      <c r="BC3012" s="648"/>
      <c r="BD3012" s="757"/>
      <c r="BE3012" s="659"/>
    </row>
    <row r="3013" spans="1:57" s="64" customFormat="1" ht="15" customHeight="1" outlineLevel="1" x14ac:dyDescent="0.25">
      <c r="A3013" s="2463"/>
      <c r="B3013" s="648"/>
      <c r="C3013" s="385"/>
      <c r="D3013" s="3589"/>
      <c r="E3013" s="3721"/>
      <c r="F3013" s="3779" t="str">
        <f t="shared" si="246"/>
        <v>ASHP-  SEER 15 Replace at Fail Elec Resist Furnace: HVAC</v>
      </c>
      <c r="G3013" s="3779"/>
      <c r="H3013" s="3779"/>
      <c r="I3013" s="3779"/>
      <c r="J3013" s="3073" t="str">
        <f t="shared" si="247"/>
        <v>352400_2019_12_</v>
      </c>
      <c r="K3013" s="602">
        <f>$R$1684*K$2710</f>
        <v>303</v>
      </c>
      <c r="L3013" s="767">
        <f>VLOOKUP(J3013,$J$1682:$L$1809,3,FALSE)*M3013</f>
        <v>2.9893617021276597</v>
      </c>
      <c r="M3013" s="1815">
        <f>VLOOKUP(J3013,$J$2706:$K$2833,2,FALSE)</f>
        <v>1</v>
      </c>
      <c r="N3013" s="1249"/>
      <c r="O3013" s="277"/>
      <c r="P3013" s="937"/>
      <c r="Q3013" s="937"/>
      <c r="R3013" s="937"/>
      <c r="S3013" s="924"/>
      <c r="T3013" s="1407"/>
      <c r="U3013" s="157"/>
      <c r="V3013" s="3589"/>
      <c r="W3013" s="602">
        <v>787.80000000000007</v>
      </c>
      <c r="X3013" s="915">
        <f>$R$1684*(X$1686/12000)*X$2710</f>
        <v>927.18000000000006</v>
      </c>
      <c r="Y3013" s="605">
        <v>303</v>
      </c>
      <c r="Z3013" s="602">
        <v>303</v>
      </c>
      <c r="AA3013" s="602">
        <v>303</v>
      </c>
      <c r="AB3013" s="602">
        <v>303</v>
      </c>
      <c r="AC3013" s="884"/>
      <c r="AD3013" s="884"/>
      <c r="AE3013" s="884"/>
      <c r="AF3013" s="884"/>
      <c r="AG3013" s="884"/>
      <c r="BB3013" s="647"/>
      <c r="BC3013" s="648"/>
      <c r="BD3013" s="757"/>
      <c r="BE3013" s="659"/>
    </row>
    <row r="3014" spans="1:57" s="64" customFormat="1" ht="15" customHeight="1" outlineLevel="1" x14ac:dyDescent="0.25">
      <c r="A3014" s="2463"/>
      <c r="B3014" s="648"/>
      <c r="C3014" s="385"/>
      <c r="D3014" s="3589"/>
      <c r="E3014" s="3721"/>
      <c r="F3014" s="3779" t="str">
        <f t="shared" si="246"/>
        <v>ASHP-  SEER 15 Replace at Fail Elec Resist Furnace: HVAC</v>
      </c>
      <c r="G3014" s="3779"/>
      <c r="H3014" s="3779"/>
      <c r="I3014" s="3779"/>
      <c r="J3014" s="3073" t="str">
        <f t="shared" si="247"/>
        <v>352400_2019_12_</v>
      </c>
      <c r="K3014" s="602"/>
      <c r="L3014" s="767" t="str">
        <f>IF(K3014&gt;0,VLOOKUP(J3014,$J$1682:$L$1809,3,FALSE),"")</f>
        <v/>
      </c>
      <c r="M3014" s="1815" t="str">
        <f>IF(K3014&gt;0,VLOOKUP(J3014,$J$2706:$K$2833,2,FALSE),"")</f>
        <v/>
      </c>
      <c r="N3014" s="1249"/>
      <c r="O3014" s="277"/>
      <c r="P3014" s="937"/>
      <c r="Q3014" s="937"/>
      <c r="R3014" s="937"/>
      <c r="S3014" s="924"/>
      <c r="T3014" s="1407"/>
      <c r="U3014" s="157"/>
      <c r="V3014" s="3589"/>
      <c r="W3014" s="602"/>
      <c r="X3014" s="915"/>
      <c r="Y3014" s="605"/>
      <c r="Z3014" s="602"/>
      <c r="AA3014" s="602"/>
      <c r="AB3014" s="602"/>
      <c r="AC3014" s="884"/>
      <c r="AD3014" s="884"/>
      <c r="AE3014" s="884"/>
      <c r="AF3014" s="884"/>
      <c r="AG3014" s="884"/>
      <c r="BB3014" s="647"/>
      <c r="BC3014" s="648"/>
      <c r="BD3014" s="757"/>
      <c r="BE3014" s="659"/>
    </row>
    <row r="3015" spans="1:57" s="64" customFormat="1" ht="15" customHeight="1" outlineLevel="1" x14ac:dyDescent="0.25">
      <c r="A3015" s="2463"/>
      <c r="B3015" s="648"/>
      <c r="C3015" s="385"/>
      <c r="D3015" s="3589"/>
      <c r="E3015" s="3721"/>
      <c r="F3015" s="3779" t="str">
        <f t="shared" si="246"/>
        <v>ASHP - SEER 15 Replace at Fail with ASHP: HVAC</v>
      </c>
      <c r="G3015" s="3779"/>
      <c r="H3015" s="3779"/>
      <c r="I3015" s="3779"/>
      <c r="J3015" s="3073" t="str">
        <f t="shared" si="247"/>
        <v>352450_2019_12_</v>
      </c>
      <c r="K3015" s="602">
        <f>$R$1684*K$2710</f>
        <v>303</v>
      </c>
      <c r="L3015" s="767">
        <f>VLOOKUP(J3015,$J$1682:$L$1809,3,FALSE)*M3015</f>
        <v>2.89</v>
      </c>
      <c r="M3015" s="1815">
        <f>VLOOKUP(J3015,$J$2706:$K$2833,2,FALSE)</f>
        <v>1</v>
      </c>
      <c r="N3015" s="1249"/>
      <c r="O3015" s="277"/>
      <c r="P3015" s="937"/>
      <c r="Q3015" s="937"/>
      <c r="R3015" s="937"/>
      <c r="S3015" s="924"/>
      <c r="T3015" s="1407"/>
      <c r="U3015" s="157"/>
      <c r="V3015" s="3589"/>
      <c r="W3015" s="602">
        <v>939.30000000000007</v>
      </c>
      <c r="X3015" s="915">
        <f>$R$1684*(X$1687/12000)*X$2711</f>
        <v>927.18000000000006</v>
      </c>
      <c r="Y3015" s="605">
        <v>303</v>
      </c>
      <c r="Z3015" s="602">
        <v>303</v>
      </c>
      <c r="AA3015" s="602">
        <v>303</v>
      </c>
      <c r="AB3015" s="602">
        <v>303</v>
      </c>
      <c r="AC3015" s="884"/>
      <c r="AD3015" s="884"/>
      <c r="AE3015" s="884"/>
      <c r="AF3015" s="884"/>
      <c r="AG3015" s="884"/>
      <c r="BB3015" s="647"/>
      <c r="BC3015" s="648"/>
      <c r="BD3015" s="757"/>
      <c r="BE3015" s="659"/>
    </row>
    <row r="3016" spans="1:57" s="64" customFormat="1" ht="15" customHeight="1" outlineLevel="1" x14ac:dyDescent="0.25">
      <c r="A3016" s="2463"/>
      <c r="B3016" s="648"/>
      <c r="C3016" s="385"/>
      <c r="D3016" s="3589"/>
      <c r="E3016" s="3721"/>
      <c r="F3016" s="3779" t="str">
        <f t="shared" si="246"/>
        <v>ASHP - SEER 15 Replace at Fail with ASHP: HVAC</v>
      </c>
      <c r="G3016" s="3779"/>
      <c r="H3016" s="3779"/>
      <c r="I3016" s="3779"/>
      <c r="J3016" s="3073" t="str">
        <f t="shared" si="247"/>
        <v>352450_2019_12_</v>
      </c>
      <c r="K3016" s="602"/>
      <c r="L3016" s="767" t="str">
        <f>IF(K3016&gt;0,VLOOKUP(J3016,$J$1682:$L$1809,3,FALSE),"")</f>
        <v/>
      </c>
      <c r="M3016" s="1815" t="str">
        <f>IF(K3016&gt;0,VLOOKUP(J3016,$J$2706:$K$2833,2,FALSE),"")</f>
        <v/>
      </c>
      <c r="N3016" s="1249"/>
      <c r="O3016" s="277"/>
      <c r="P3016" s="937"/>
      <c r="Q3016" s="937"/>
      <c r="R3016" s="937"/>
      <c r="S3016" s="924"/>
      <c r="T3016" s="1407"/>
      <c r="U3016" s="157"/>
      <c r="V3016" s="3589"/>
      <c r="W3016" s="602"/>
      <c r="X3016" s="915"/>
      <c r="Y3016" s="605"/>
      <c r="Z3016" s="602"/>
      <c r="AA3016" s="602"/>
      <c r="AB3016" s="602"/>
      <c r="AC3016" s="884"/>
      <c r="AD3016" s="884"/>
      <c r="AE3016" s="884"/>
      <c r="AF3016" s="884"/>
      <c r="AG3016" s="884"/>
      <c r="BB3016" s="647"/>
      <c r="BC3016" s="648"/>
      <c r="BD3016" s="757"/>
      <c r="BE3016" s="659"/>
    </row>
    <row r="3017" spans="1:57" s="64" customFormat="1" ht="15" customHeight="1" outlineLevel="1" x14ac:dyDescent="0.25">
      <c r="A3017" s="2463"/>
      <c r="B3017" s="648"/>
      <c r="C3017" s="385"/>
      <c r="D3017" s="3589"/>
      <c r="E3017" s="3721"/>
      <c r="F3017" s="3779" t="str">
        <f t="shared" si="246"/>
        <v>ASHP - SEER 16 - replace electric furnace / CAC - early replacement SF ER1</v>
      </c>
      <c r="G3017" s="3779"/>
      <c r="H3017" s="3779"/>
      <c r="I3017" s="3779"/>
      <c r="J3017" s="3073" t="str">
        <f t="shared" si="247"/>
        <v>352500_2019_12_</v>
      </c>
      <c r="K3017" s="602">
        <f>(($R$1696*L3017)+$R$1685)-(($Q$1696*L3017)/((1+$R$1698)^($R$1699-1)))</f>
        <v>1142.384378503531</v>
      </c>
      <c r="L3017" s="767">
        <f>VLOOKUP(J3017,$J$1682:$L$1809,3,FALSE)*M3017</f>
        <v>2.9479813664596275</v>
      </c>
      <c r="M3017" s="1815">
        <f>VLOOKUP(J3017,$J$2706:$K$2833,2,FALSE)</f>
        <v>1</v>
      </c>
      <c r="N3017" s="1249"/>
      <c r="O3017" s="277"/>
      <c r="P3017" s="937"/>
      <c r="Q3017" s="937"/>
      <c r="R3017" s="937"/>
      <c r="S3017" s="924"/>
      <c r="T3017" s="1407"/>
      <c r="U3017" s="157"/>
      <c r="V3017" s="3589"/>
      <c r="W3017" s="602">
        <v>2896.6077829603428</v>
      </c>
      <c r="X3017" s="915">
        <f>$Q$1685*(X$1688/12000)*X$2712</f>
        <v>3533.7296154662076</v>
      </c>
      <c r="Y3017" s="605">
        <v>1287.9206457115542</v>
      </c>
      <c r="Z3017" s="602">
        <v>1287.9206457115542</v>
      </c>
      <c r="AA3017" s="602">
        <v>1287.9206457115542</v>
      </c>
      <c r="AB3017" s="602">
        <v>438</v>
      </c>
      <c r="AC3017" s="884"/>
      <c r="AD3017" s="884"/>
      <c r="AE3017" s="884"/>
      <c r="AF3017" s="884"/>
      <c r="AG3017" s="884"/>
      <c r="BB3017" s="647"/>
      <c r="BC3017" s="648"/>
      <c r="BD3017" s="757"/>
      <c r="BE3017" s="659"/>
    </row>
    <row r="3018" spans="1:57" s="64" customFormat="1" ht="15" customHeight="1" outlineLevel="1" x14ac:dyDescent="0.25">
      <c r="A3018" s="2463"/>
      <c r="B3018" s="648"/>
      <c r="C3018" s="385"/>
      <c r="D3018" s="3589"/>
      <c r="E3018" s="3721"/>
      <c r="F3018" s="3779" t="str">
        <f t="shared" si="246"/>
        <v>ASHP - SEER 16 - replace electric furnace / CAC - early replacement SF ER1</v>
      </c>
      <c r="G3018" s="3779"/>
      <c r="H3018" s="3779"/>
      <c r="I3018" s="3779"/>
      <c r="J3018" s="3073" t="str">
        <f t="shared" si="247"/>
        <v>352500_2019_12_</v>
      </c>
      <c r="K3018" s="602"/>
      <c r="L3018" s="767" t="str">
        <f>IF(K3018&gt;0,VLOOKUP(J3018,$J$1682:$L$1809,3,FALSE),"")</f>
        <v/>
      </c>
      <c r="M3018" s="1815" t="str">
        <f>IF(K3018&gt;0,VLOOKUP(J3018,$J$2706:$K$2833,2,FALSE),"")</f>
        <v/>
      </c>
      <c r="N3018" s="1249"/>
      <c r="O3018" s="277"/>
      <c r="P3018" s="937"/>
      <c r="Q3018" s="937"/>
      <c r="R3018" s="937"/>
      <c r="S3018" s="924"/>
      <c r="T3018" s="1407"/>
      <c r="U3018" s="157"/>
      <c r="V3018" s="3589"/>
      <c r="W3018" s="602"/>
      <c r="X3018" s="915"/>
      <c r="Y3018" s="605"/>
      <c r="Z3018" s="602"/>
      <c r="AA3018" s="602"/>
      <c r="AB3018" s="602"/>
      <c r="AC3018" s="884"/>
      <c r="AD3018" s="884"/>
      <c r="AE3018" s="884"/>
      <c r="AF3018" s="884"/>
      <c r="AG3018" s="884"/>
      <c r="BB3018" s="647"/>
      <c r="BC3018" s="648"/>
      <c r="BD3018" s="757"/>
      <c r="BE3018" s="659"/>
    </row>
    <row r="3019" spans="1:57" s="64" customFormat="1" ht="15" customHeight="1" outlineLevel="1" x14ac:dyDescent="0.25">
      <c r="A3019" s="2463"/>
      <c r="B3019" s="648"/>
      <c r="C3019" s="385"/>
      <c r="D3019" s="3589"/>
      <c r="E3019" s="3721"/>
      <c r="F3019" s="3779" t="str">
        <f t="shared" si="246"/>
        <v>ASHP - SEER 16 - replace electric furnace / CAC - early replacement SF ER2</v>
      </c>
      <c r="G3019" s="3779"/>
      <c r="H3019" s="3779"/>
      <c r="I3019" s="3779"/>
      <c r="J3019" s="3073" t="str">
        <f t="shared" si="247"/>
        <v>352500_2019_12_</v>
      </c>
      <c r="K3019" s="602"/>
      <c r="L3019" s="767" t="str">
        <f>IF(K3019&gt;0,VLOOKUP(J3019,$J$1682:$L$1809,3,FALSE),"")</f>
        <v/>
      </c>
      <c r="M3019" s="1815" t="str">
        <f>IF(K3019&gt;0,VLOOKUP(J3019,$J$2706:$K$2833,2,FALSE),"")</f>
        <v/>
      </c>
      <c r="N3019" s="1249"/>
      <c r="O3019" s="277"/>
      <c r="P3019" s="937"/>
      <c r="Q3019" s="937"/>
      <c r="R3019" s="937"/>
      <c r="S3019" s="924"/>
      <c r="T3019" s="1407"/>
      <c r="U3019" s="157"/>
      <c r="V3019" s="3589"/>
      <c r="W3019" s="602"/>
      <c r="X3019" s="915"/>
      <c r="Y3019" s="605"/>
      <c r="Z3019" s="602"/>
      <c r="AA3019" s="602"/>
      <c r="AB3019" s="602"/>
      <c r="AC3019" s="884"/>
      <c r="AD3019" s="884"/>
      <c r="AE3019" s="884"/>
      <c r="AF3019" s="884"/>
      <c r="AG3019" s="884"/>
      <c r="BB3019" s="647"/>
      <c r="BC3019" s="648"/>
      <c r="BD3019" s="757"/>
      <c r="BE3019" s="659"/>
    </row>
    <row r="3020" spans="1:57" s="64" customFormat="1" ht="15" customHeight="1" outlineLevel="1" x14ac:dyDescent="0.25">
      <c r="A3020" s="2463"/>
      <c r="B3020" s="648"/>
      <c r="C3020" s="385"/>
      <c r="D3020" s="3589"/>
      <c r="E3020" s="3721"/>
      <c r="F3020" s="3779" t="str">
        <f t="shared" si="246"/>
        <v>ASHP - SEER 16 - replace electric furnace / CAC - early replacement SF ER2</v>
      </c>
      <c r="G3020" s="3779"/>
      <c r="H3020" s="3779"/>
      <c r="I3020" s="3779"/>
      <c r="J3020" s="3073" t="str">
        <f t="shared" si="247"/>
        <v>352500_2019_12_</v>
      </c>
      <c r="K3020" s="602"/>
      <c r="L3020" s="767" t="str">
        <f>IF(K3020&gt;0,VLOOKUP(J3020,$J$1682:$L$1809,3,FALSE),"")</f>
        <v/>
      </c>
      <c r="M3020" s="1815" t="str">
        <f>IF(K3020&gt;0,VLOOKUP(J3020,$J$2706:$K$2833,2,FALSE),"")</f>
        <v/>
      </c>
      <c r="N3020" s="1249"/>
      <c r="O3020" s="277"/>
      <c r="P3020" s="937"/>
      <c r="Q3020" s="937"/>
      <c r="R3020" s="937"/>
      <c r="S3020" s="924"/>
      <c r="T3020" s="1407"/>
      <c r="U3020" s="157"/>
      <c r="V3020" s="3589"/>
      <c r="W3020" s="602"/>
      <c r="X3020" s="915"/>
      <c r="Y3020" s="605"/>
      <c r="Z3020" s="602"/>
      <c r="AA3020" s="602"/>
      <c r="AB3020" s="602"/>
      <c r="AC3020" s="884"/>
      <c r="AD3020" s="884"/>
      <c r="AE3020" s="884"/>
      <c r="AF3020" s="884"/>
      <c r="AG3020" s="884"/>
      <c r="BB3020" s="647"/>
      <c r="BC3020" s="648"/>
      <c r="BD3020" s="757"/>
      <c r="BE3020" s="659"/>
    </row>
    <row r="3021" spans="1:57" s="64" customFormat="1" ht="15" customHeight="1" outlineLevel="1" x14ac:dyDescent="0.25">
      <c r="A3021" s="2463"/>
      <c r="B3021" s="648"/>
      <c r="C3021" s="385"/>
      <c r="D3021" s="3589"/>
      <c r="E3021" s="3721"/>
      <c r="F3021" s="3779" t="str">
        <f t="shared" si="246"/>
        <v>ASHP SEER 16 replace ASHP - early replacement SF ER1</v>
      </c>
      <c r="G3021" s="3779"/>
      <c r="H3021" s="3779"/>
      <c r="I3021" s="3779"/>
      <c r="J3021" s="3073" t="str">
        <f t="shared" si="247"/>
        <v>352550_2019_12_</v>
      </c>
      <c r="K3021" s="602">
        <f>(($R$1696*L3021)+$R$1685)-(($Q$1696*L3021)/((1+$R$1698)^($R$1699-1)))</f>
        <v>1181.0521038690172</v>
      </c>
      <c r="L3021" s="767">
        <f>VLOOKUP(J3021,$J$1682:$L$1809,3,FALSE)*M3021</f>
        <v>3.1098130841121496</v>
      </c>
      <c r="M3021" s="1815">
        <f>VLOOKUP(J3021,$J$2706:$K$2833,2,FALSE)</f>
        <v>1</v>
      </c>
      <c r="N3021" s="1249"/>
      <c r="O3021" s="277"/>
      <c r="P3021" s="937"/>
      <c r="Q3021" s="937"/>
      <c r="R3021" s="937"/>
      <c r="S3021" s="924"/>
      <c r="T3021" s="1407"/>
      <c r="U3021" s="157"/>
      <c r="V3021" s="3589"/>
      <c r="W3021" s="602">
        <v>3083.4857044416549</v>
      </c>
      <c r="X3021" s="915">
        <f>$Q$1685*(X$1690/12000)*X$2714</f>
        <v>3533.7296154662076</v>
      </c>
      <c r="Y3021" s="605">
        <v>1279.4751679218225</v>
      </c>
      <c r="Z3021" s="602">
        <v>1279.4751679218225</v>
      </c>
      <c r="AA3021" s="602">
        <v>1279.4751679218225</v>
      </c>
      <c r="AB3021" s="602">
        <v>438</v>
      </c>
      <c r="AC3021" s="884"/>
      <c r="AD3021" s="884"/>
      <c r="AE3021" s="884"/>
      <c r="AF3021" s="884"/>
      <c r="AG3021" s="884"/>
      <c r="BB3021" s="647"/>
      <c r="BC3021" s="648"/>
      <c r="BD3021" s="757"/>
      <c r="BE3021" s="659"/>
    </row>
    <row r="3022" spans="1:57" s="64" customFormat="1" ht="15" customHeight="1" outlineLevel="1" x14ac:dyDescent="0.25">
      <c r="A3022" s="2463"/>
      <c r="B3022" s="648"/>
      <c r="C3022" s="385"/>
      <c r="D3022" s="3589"/>
      <c r="E3022" s="3721"/>
      <c r="F3022" s="3779" t="str">
        <f t="shared" si="246"/>
        <v>ASHP SEER 16 replace ASHP - early replacement SF ER1</v>
      </c>
      <c r="G3022" s="3779"/>
      <c r="H3022" s="3779"/>
      <c r="I3022" s="3779"/>
      <c r="J3022" s="3073" t="str">
        <f t="shared" si="247"/>
        <v>352550_2019_12_</v>
      </c>
      <c r="K3022" s="602"/>
      <c r="L3022" s="767" t="str">
        <f>IF(K3022&gt;0,VLOOKUP(J3022,$J$1682:$L$1809,3,FALSE),"")</f>
        <v/>
      </c>
      <c r="M3022" s="1815" t="str">
        <f>IF(K3022&gt;0,VLOOKUP(J3022,$J$2706:$K$2833,2,FALSE),"")</f>
        <v/>
      </c>
      <c r="N3022" s="1249"/>
      <c r="O3022" s="277"/>
      <c r="P3022" s="937"/>
      <c r="Q3022" s="937"/>
      <c r="R3022" s="937"/>
      <c r="S3022" s="924"/>
      <c r="T3022" s="1407"/>
      <c r="U3022" s="157"/>
      <c r="V3022" s="3589"/>
      <c r="W3022" s="602"/>
      <c r="X3022" s="915"/>
      <c r="Y3022" s="605"/>
      <c r="Z3022" s="602"/>
      <c r="AA3022" s="602"/>
      <c r="AB3022" s="602"/>
      <c r="AC3022" s="884"/>
      <c r="AD3022" s="884"/>
      <c r="AE3022" s="884"/>
      <c r="AF3022" s="884"/>
      <c r="AG3022" s="884"/>
      <c r="BB3022" s="647"/>
      <c r="BC3022" s="648"/>
      <c r="BD3022" s="757"/>
      <c r="BE3022" s="659"/>
    </row>
    <row r="3023" spans="1:57" s="64" customFormat="1" ht="15" customHeight="1" outlineLevel="1" x14ac:dyDescent="0.25">
      <c r="A3023" s="2463"/>
      <c r="B3023" s="648"/>
      <c r="C3023" s="385"/>
      <c r="D3023" s="3589"/>
      <c r="E3023" s="3721"/>
      <c r="F3023" s="3779" t="str">
        <f t="shared" si="246"/>
        <v>ASHP SEER 16 replace ASHP - early replacement SF ER2</v>
      </c>
      <c r="G3023" s="3779"/>
      <c r="H3023" s="3779"/>
      <c r="I3023" s="3779"/>
      <c r="J3023" s="3073" t="str">
        <f t="shared" si="247"/>
        <v>352550_2019_12_</v>
      </c>
      <c r="K3023" s="602"/>
      <c r="L3023" s="767" t="str">
        <f>IF(K3023&gt;0,VLOOKUP(J3023,$J$1682:$L$1809,3,FALSE),"")</f>
        <v/>
      </c>
      <c r="M3023" s="1815" t="str">
        <f>IF(K3023&gt;0,VLOOKUP(J3023,$J$2706:$K$2833,2,FALSE),"")</f>
        <v/>
      </c>
      <c r="N3023" s="1249"/>
      <c r="O3023" s="277"/>
      <c r="P3023" s="937"/>
      <c r="Q3023" s="937"/>
      <c r="R3023" s="937"/>
      <c r="S3023" s="924"/>
      <c r="T3023" s="1407"/>
      <c r="U3023" s="157"/>
      <c r="V3023" s="3589"/>
      <c r="W3023" s="602"/>
      <c r="X3023" s="915"/>
      <c r="Y3023" s="605"/>
      <c r="Z3023" s="602"/>
      <c r="AA3023" s="602"/>
      <c r="AB3023" s="602"/>
      <c r="AC3023" s="884"/>
      <c r="AD3023" s="884"/>
      <c r="AE3023" s="884"/>
      <c r="AF3023" s="884"/>
      <c r="AG3023" s="884"/>
      <c r="BB3023" s="647"/>
      <c r="BC3023" s="648"/>
      <c r="BD3023" s="757"/>
      <c r="BE3023" s="659"/>
    </row>
    <row r="3024" spans="1:57" s="64" customFormat="1" ht="15" customHeight="1" outlineLevel="1" x14ac:dyDescent="0.25">
      <c r="A3024" s="2463"/>
      <c r="B3024" s="648"/>
      <c r="C3024" s="385"/>
      <c r="D3024" s="3589"/>
      <c r="E3024" s="3721"/>
      <c r="F3024" s="3779" t="str">
        <f t="shared" si="246"/>
        <v>ASHP SEER 16 replace ASHP - early replacement SF ER2</v>
      </c>
      <c r="G3024" s="3779"/>
      <c r="H3024" s="3779"/>
      <c r="I3024" s="3779"/>
      <c r="J3024" s="3073" t="str">
        <f t="shared" si="247"/>
        <v>352550_2019_12_</v>
      </c>
      <c r="K3024" s="602"/>
      <c r="L3024" s="767" t="str">
        <f>IF(K3024&gt;0,VLOOKUP(J3024,$J$1682:$L$1809,3,FALSE),"")</f>
        <v/>
      </c>
      <c r="M3024" s="1815" t="str">
        <f>IF(K3024&gt;0,VLOOKUP(J3024,$J$2706:$K$2833,2,FALSE),"")</f>
        <v/>
      </c>
      <c r="N3024" s="1249"/>
      <c r="O3024" s="277"/>
      <c r="P3024" s="937"/>
      <c r="Q3024" s="937"/>
      <c r="R3024" s="937"/>
      <c r="S3024" s="924"/>
      <c r="T3024" s="1407"/>
      <c r="U3024" s="157"/>
      <c r="V3024" s="3589"/>
      <c r="W3024" s="602"/>
      <c r="X3024" s="915"/>
      <c r="Y3024" s="605"/>
      <c r="Z3024" s="602"/>
      <c r="AA3024" s="602"/>
      <c r="AB3024" s="602"/>
      <c r="AC3024" s="884"/>
      <c r="AD3024" s="884"/>
      <c r="AE3024" s="884"/>
      <c r="AF3024" s="884"/>
      <c r="AG3024" s="884"/>
      <c r="BB3024" s="647"/>
      <c r="BC3024" s="648"/>
      <c r="BD3024" s="757"/>
      <c r="BE3024" s="659"/>
    </row>
    <row r="3025" spans="1:57" s="64" customFormat="1" ht="15" customHeight="1" outlineLevel="1" x14ac:dyDescent="0.25">
      <c r="A3025" s="2463"/>
      <c r="B3025" s="648"/>
      <c r="C3025" s="385"/>
      <c r="D3025" s="3589"/>
      <c r="E3025" s="3721"/>
      <c r="F3025" s="3779" t="str">
        <f t="shared" si="246"/>
        <v>ASHP - SEER 16 - replace electric furnace / CAC SF</v>
      </c>
      <c r="G3025" s="3779"/>
      <c r="H3025" s="3779"/>
      <c r="I3025" s="3779"/>
      <c r="J3025" s="3073" t="str">
        <f t="shared" si="247"/>
        <v>352600_2019_12_</v>
      </c>
      <c r="K3025" s="602">
        <f>$R$1685*K$2710</f>
        <v>438</v>
      </c>
      <c r="L3025" s="767">
        <f>VLOOKUP(J3025,$J$1682:$L$1809,3,FALSE)*M3025</f>
        <v>2.9523809523809521</v>
      </c>
      <c r="M3025" s="1815">
        <f>VLOOKUP(J3025,$J$2706:$K$2833,2,FALSE)</f>
        <v>1</v>
      </c>
      <c r="N3025" s="1249"/>
      <c r="O3025" s="277"/>
      <c r="P3025" s="937"/>
      <c r="Q3025" s="937"/>
      <c r="R3025" s="937"/>
      <c r="S3025" s="924"/>
      <c r="T3025" s="1407"/>
      <c r="U3025" s="157"/>
      <c r="V3025" s="3589"/>
      <c r="W3025" s="602">
        <v>1256.6400000000001</v>
      </c>
      <c r="X3025" s="915">
        <f>$R$1685*(X$1692/12000)*X$2716</f>
        <v>1340.28</v>
      </c>
      <c r="Y3025" s="605">
        <v>392.7</v>
      </c>
      <c r="Z3025" s="602">
        <v>392.7</v>
      </c>
      <c r="AA3025" s="602">
        <v>392.7</v>
      </c>
      <c r="AB3025" s="602">
        <v>438</v>
      </c>
      <c r="AC3025" s="884"/>
      <c r="AD3025" s="884"/>
      <c r="AE3025" s="884"/>
      <c r="AF3025" s="884"/>
      <c r="AG3025" s="884"/>
      <c r="BB3025" s="647"/>
      <c r="BC3025" s="648"/>
      <c r="BD3025" s="757"/>
      <c r="BE3025" s="659"/>
    </row>
    <row r="3026" spans="1:57" s="64" customFormat="1" ht="15" customHeight="1" outlineLevel="1" x14ac:dyDescent="0.25">
      <c r="A3026" s="2463"/>
      <c r="B3026" s="648"/>
      <c r="C3026" s="385"/>
      <c r="D3026" s="3589"/>
      <c r="E3026" s="3721"/>
      <c r="F3026" s="3779" t="str">
        <f t="shared" si="246"/>
        <v>ASHP - SEER 16 - replace electric furnace / CAC SF</v>
      </c>
      <c r="G3026" s="3779"/>
      <c r="H3026" s="3779"/>
      <c r="I3026" s="3779"/>
      <c r="J3026" s="3073" t="str">
        <f t="shared" si="247"/>
        <v>352600_2019_12_</v>
      </c>
      <c r="K3026" s="602"/>
      <c r="L3026" s="767" t="str">
        <f>IF(K3026&gt;0,VLOOKUP(J3026,$J$1682:$L$1809,3,FALSE),"")</f>
        <v/>
      </c>
      <c r="M3026" s="1815" t="str">
        <f>IF(K3026&gt;0,VLOOKUP(J3026,$J$2706:$K$2833,2,FALSE),"")</f>
        <v/>
      </c>
      <c r="N3026" s="1249"/>
      <c r="O3026" s="277"/>
      <c r="P3026" s="937"/>
      <c r="Q3026" s="937"/>
      <c r="R3026" s="937"/>
      <c r="S3026" s="924"/>
      <c r="T3026" s="1407"/>
      <c r="U3026" s="157"/>
      <c r="V3026" s="3589"/>
      <c r="W3026" s="602"/>
      <c r="X3026" s="915"/>
      <c r="Y3026" s="605"/>
      <c r="Z3026" s="602"/>
      <c r="AA3026" s="602"/>
      <c r="AB3026" s="602"/>
      <c r="AC3026" s="884"/>
      <c r="AD3026" s="884"/>
      <c r="AE3026" s="884"/>
      <c r="AF3026" s="884"/>
      <c r="AG3026" s="884"/>
      <c r="BB3026" s="647"/>
      <c r="BC3026" s="648"/>
      <c r="BD3026" s="757"/>
      <c r="BE3026" s="659"/>
    </row>
    <row r="3027" spans="1:57" s="64" customFormat="1" ht="15" customHeight="1" outlineLevel="1" x14ac:dyDescent="0.25">
      <c r="A3027" s="2463"/>
      <c r="B3027" s="648"/>
      <c r="C3027" s="385"/>
      <c r="D3027" s="3589"/>
      <c r="E3027" s="3721"/>
      <c r="F3027" s="3779" t="str">
        <f t="shared" si="246"/>
        <v>ASHP SEER 16 replace ASHP - replace on fail SF</v>
      </c>
      <c r="G3027" s="3779"/>
      <c r="H3027" s="3779"/>
      <c r="I3027" s="3779"/>
      <c r="J3027" s="3073" t="str">
        <f t="shared" si="247"/>
        <v>352650_2019_12_</v>
      </c>
      <c r="K3027" s="602">
        <f>$R$1685*K$2710</f>
        <v>438</v>
      </c>
      <c r="L3027" s="767">
        <f>VLOOKUP(J3027,$J$1682:$L$1809,3,FALSE)*M3027</f>
        <v>3.25</v>
      </c>
      <c r="M3027" s="1815">
        <f>VLOOKUP(J3027,$J$2706:$K$2833,2,FALSE)</f>
        <v>1</v>
      </c>
      <c r="N3027" s="1249"/>
      <c r="O3027" s="277"/>
      <c r="P3027" s="937"/>
      <c r="Q3027" s="937"/>
      <c r="R3027" s="937"/>
      <c r="S3027" s="924"/>
      <c r="T3027" s="1407"/>
      <c r="U3027" s="157"/>
      <c r="V3027" s="3589"/>
      <c r="W3027" s="602">
        <v>999.9</v>
      </c>
      <c r="X3027" s="915">
        <f>$R$1684*(X$1693/12000)*X$2717</f>
        <v>927.18000000000006</v>
      </c>
      <c r="Y3027" s="605">
        <v>392.7</v>
      </c>
      <c r="Z3027" s="602">
        <v>392.7</v>
      </c>
      <c r="AA3027" s="602">
        <v>392.7</v>
      </c>
      <c r="AB3027" s="602">
        <v>438</v>
      </c>
      <c r="AC3027" s="884"/>
      <c r="AD3027" s="884"/>
      <c r="AE3027" s="884"/>
      <c r="AF3027" s="884"/>
      <c r="AG3027" s="884"/>
      <c r="BB3027" s="647"/>
      <c r="BC3027" s="648"/>
      <c r="BD3027" s="757"/>
      <c r="BE3027" s="659"/>
    </row>
    <row r="3028" spans="1:57" s="64" customFormat="1" ht="15" customHeight="1" outlineLevel="1" x14ac:dyDescent="0.25">
      <c r="A3028" s="2463"/>
      <c r="B3028" s="648"/>
      <c r="C3028" s="385"/>
      <c r="D3028" s="3589"/>
      <c r="E3028" s="3721"/>
      <c r="F3028" s="3779" t="str">
        <f t="shared" si="246"/>
        <v>ASHP SEER 16 replace ASHP - replace on fail SF</v>
      </c>
      <c r="G3028" s="3779"/>
      <c r="H3028" s="3779"/>
      <c r="I3028" s="3779"/>
      <c r="J3028" s="3073" t="str">
        <f t="shared" si="247"/>
        <v>352650_2019_12_</v>
      </c>
      <c r="K3028" s="602"/>
      <c r="L3028" s="767" t="str">
        <f>IF(K3028&gt;0,VLOOKUP(J3028,$J$1682:$L$1809,3,FALSE),"")</f>
        <v/>
      </c>
      <c r="M3028" s="1815" t="str">
        <f>IF(K3028&gt;0,VLOOKUP(J3028,$J$2706:$K$2833,2,FALSE),"")</f>
        <v/>
      </c>
      <c r="N3028" s="1249"/>
      <c r="O3028" s="277"/>
      <c r="P3028" s="937"/>
      <c r="Q3028" s="937"/>
      <c r="R3028" s="937"/>
      <c r="S3028" s="924"/>
      <c r="T3028" s="1407"/>
      <c r="U3028" s="157"/>
      <c r="V3028" s="3589"/>
      <c r="W3028" s="602"/>
      <c r="X3028" s="605"/>
      <c r="Y3028" s="605"/>
      <c r="Z3028" s="602"/>
      <c r="AA3028" s="602"/>
      <c r="AB3028" s="602"/>
      <c r="AC3028" s="884"/>
      <c r="AD3028" s="884"/>
      <c r="AE3028" s="884"/>
      <c r="AF3028" s="884"/>
      <c r="AG3028" s="884"/>
      <c r="BB3028" s="647"/>
      <c r="BC3028" s="648"/>
      <c r="BD3028" s="757"/>
      <c r="BE3028" s="659"/>
    </row>
    <row r="3029" spans="1:57" s="64" customFormat="1" ht="15" customHeight="1" outlineLevel="1" x14ac:dyDescent="0.25">
      <c r="A3029" s="2463"/>
      <c r="B3029" s="648"/>
      <c r="C3029" s="385"/>
      <c r="D3029" s="3589"/>
      <c r="E3029" s="3721"/>
      <c r="F3029" s="3779" t="str">
        <f t="shared" si="246"/>
        <v>ASHP SEER 15 MF ER replace ASHP: HVAC ER1</v>
      </c>
      <c r="G3029" s="3779"/>
      <c r="H3029" s="3779"/>
      <c r="I3029" s="3779"/>
      <c r="J3029" s="3073" t="str">
        <f t="shared" si="247"/>
        <v>352700_2019_12_</v>
      </c>
      <c r="K3029" s="602">
        <f>(($R$1696*L3029)+$R$1684)-(($Q$1696*L3029)/((1+$R$1698)^($R$1699-1)))</f>
        <v>749.51513822467041</v>
      </c>
      <c r="L3029" s="767">
        <f>VLOOKUP(J3029,$J$1682:$L$1809,3,FALSE)*M3029</f>
        <v>1.8687500000000001</v>
      </c>
      <c r="M3029" s="1815">
        <f>VLOOKUP(J3029,$J$2706:$K$2833,2,FALSE)</f>
        <v>0.65</v>
      </c>
      <c r="N3029" s="1249"/>
      <c r="O3029" s="277"/>
      <c r="P3029" s="937"/>
      <c r="Q3029" s="937"/>
      <c r="R3029" s="937"/>
      <c r="S3029" s="924"/>
      <c r="T3029" s="1407"/>
      <c r="U3029" s="157"/>
      <c r="V3029" s="3589"/>
      <c r="W3029" s="602">
        <v>2618.5377829603426</v>
      </c>
      <c r="X3029" s="605">
        <f>$Q$1684*(X$1694/12000)*X$2718</f>
        <v>2054.9244036484993</v>
      </c>
      <c r="Y3029" s="605">
        <v>870.25459154364216</v>
      </c>
      <c r="Z3029" s="602">
        <v>870.25459154364216</v>
      </c>
      <c r="AA3029" s="602">
        <v>870.25459154364216</v>
      </c>
      <c r="AB3029" s="602">
        <v>303</v>
      </c>
      <c r="AC3029" s="884"/>
      <c r="AD3029" s="884"/>
      <c r="AE3029" s="884"/>
      <c r="AF3029" s="884"/>
      <c r="AG3029" s="884"/>
      <c r="BB3029" s="647"/>
      <c r="BC3029" s="648"/>
      <c r="BD3029" s="757"/>
      <c r="BE3029" s="659"/>
    </row>
    <row r="3030" spans="1:57" s="64" customFormat="1" ht="15" customHeight="1" outlineLevel="1" x14ac:dyDescent="0.25">
      <c r="A3030" s="2463"/>
      <c r="B3030" s="648"/>
      <c r="C3030" s="385"/>
      <c r="D3030" s="3589"/>
      <c r="E3030" s="3721"/>
      <c r="F3030" s="3779" t="str">
        <f t="shared" si="246"/>
        <v>ASHP SEER 15 MF ER replace ASHP: HVAC ER1</v>
      </c>
      <c r="G3030" s="3779"/>
      <c r="H3030" s="3779"/>
      <c r="I3030" s="3779"/>
      <c r="J3030" s="3073" t="str">
        <f t="shared" si="247"/>
        <v>352700_2019_12_</v>
      </c>
      <c r="K3030" s="602"/>
      <c r="L3030" s="767" t="str">
        <f>IF(K3030&gt;0,VLOOKUP(J3030,$J$1682:$L$1809,3,FALSE),"")</f>
        <v/>
      </c>
      <c r="M3030" s="1815" t="str">
        <f>IF(K3030&gt;0,VLOOKUP(J3030,$J$2706:$K$2833,2,FALSE),"")</f>
        <v/>
      </c>
      <c r="N3030" s="1249"/>
      <c r="O3030" s="277"/>
      <c r="P3030" s="937"/>
      <c r="Q3030" s="937"/>
      <c r="R3030" s="937"/>
      <c r="S3030" s="924"/>
      <c r="T3030" s="1407"/>
      <c r="U3030" s="157"/>
      <c r="V3030" s="3589"/>
      <c r="W3030" s="602"/>
      <c r="X3030" s="605"/>
      <c r="Y3030" s="605"/>
      <c r="Z3030" s="602"/>
      <c r="AA3030" s="602"/>
      <c r="AB3030" s="602"/>
      <c r="AC3030" s="884"/>
      <c r="AD3030" s="884"/>
      <c r="AE3030" s="884"/>
      <c r="AF3030" s="884"/>
      <c r="AG3030" s="884"/>
      <c r="BB3030" s="647"/>
      <c r="BC3030" s="648"/>
      <c r="BD3030" s="757"/>
      <c r="BE3030" s="659"/>
    </row>
    <row r="3031" spans="1:57" s="64" customFormat="1" ht="15" customHeight="1" outlineLevel="1" x14ac:dyDescent="0.25">
      <c r="A3031" s="2463"/>
      <c r="B3031" s="648"/>
      <c r="C3031" s="385"/>
      <c r="D3031" s="3589"/>
      <c r="E3031" s="3721"/>
      <c r="F3031" s="3779" t="str">
        <f t="shared" si="246"/>
        <v>ASHP SEER 15 MF ER replace ASHP: HVAC ER2</v>
      </c>
      <c r="G3031" s="3779"/>
      <c r="H3031" s="3779"/>
      <c r="I3031" s="3779"/>
      <c r="J3031" s="3073" t="str">
        <f t="shared" si="247"/>
        <v>352700_2019_12_</v>
      </c>
      <c r="K3031" s="602"/>
      <c r="L3031" s="767" t="str">
        <f>IF(K3031&gt;0,VLOOKUP(J3031,$J$1682:$L$1809,3,FALSE),"")</f>
        <v/>
      </c>
      <c r="M3031" s="1815" t="str">
        <f>IF(K3031&gt;0,VLOOKUP(J3031,$J$2706:$K$2833,2,FALSE),"")</f>
        <v/>
      </c>
      <c r="N3031" s="1249"/>
      <c r="O3031" s="277"/>
      <c r="P3031" s="937"/>
      <c r="Q3031" s="937"/>
      <c r="R3031" s="937"/>
      <c r="S3031" s="924"/>
      <c r="T3031" s="1407"/>
      <c r="U3031" s="157"/>
      <c r="V3031" s="3589"/>
      <c r="W3031" s="602"/>
      <c r="X3031" s="605"/>
      <c r="Y3031" s="605"/>
      <c r="Z3031" s="602"/>
      <c r="AA3031" s="602"/>
      <c r="AB3031" s="602"/>
      <c r="AC3031" s="884"/>
      <c r="AD3031" s="884"/>
      <c r="AE3031" s="884"/>
      <c r="AF3031" s="884"/>
      <c r="AG3031" s="884"/>
      <c r="BB3031" s="647"/>
      <c r="BC3031" s="648"/>
      <c r="BD3031" s="757"/>
      <c r="BE3031" s="659"/>
    </row>
    <row r="3032" spans="1:57" s="64" customFormat="1" ht="15" customHeight="1" outlineLevel="1" x14ac:dyDescent="0.25">
      <c r="A3032" s="2463"/>
      <c r="B3032" s="648"/>
      <c r="C3032" s="385"/>
      <c r="D3032" s="3589"/>
      <c r="E3032" s="3721"/>
      <c r="F3032" s="3779" t="str">
        <f t="shared" si="246"/>
        <v>ASHP SEER 15 MF ER replace ASHP: HVAC ER2</v>
      </c>
      <c r="G3032" s="3779"/>
      <c r="H3032" s="3779"/>
      <c r="I3032" s="3779"/>
      <c r="J3032" s="3073" t="str">
        <f t="shared" si="247"/>
        <v>352700_2019_12_</v>
      </c>
      <c r="K3032" s="602"/>
      <c r="L3032" s="767" t="str">
        <f>IF(K3032&gt;0,VLOOKUP(J3032,$J$1682:$L$1809,3,FALSE),"")</f>
        <v/>
      </c>
      <c r="M3032" s="1815" t="str">
        <f>IF(K3032&gt;0,VLOOKUP(J3032,$J$2706:$K$2833,2,FALSE),"")</f>
        <v/>
      </c>
      <c r="N3032" s="1249"/>
      <c r="O3032" s="277"/>
      <c r="P3032" s="937"/>
      <c r="Q3032" s="937"/>
      <c r="R3032" s="937"/>
      <c r="S3032" s="924"/>
      <c r="T3032" s="1407"/>
      <c r="U3032" s="157"/>
      <c r="V3032" s="3589"/>
      <c r="W3032" s="602"/>
      <c r="X3032" s="605"/>
      <c r="Y3032" s="605"/>
      <c r="Z3032" s="602"/>
      <c r="AA3032" s="602"/>
      <c r="AB3032" s="602"/>
      <c r="AC3032" s="884"/>
      <c r="AD3032" s="884"/>
      <c r="AE3032" s="884"/>
      <c r="AF3032" s="884"/>
      <c r="AG3032" s="884"/>
      <c r="BB3032" s="647"/>
      <c r="BC3032" s="648"/>
      <c r="BD3032" s="757"/>
      <c r="BE3032" s="659"/>
    </row>
    <row r="3033" spans="1:57" s="64" customFormat="1" ht="15" customHeight="1" outlineLevel="1" x14ac:dyDescent="0.25">
      <c r="A3033" s="2463"/>
      <c r="B3033" s="648"/>
      <c r="C3033" s="385"/>
      <c r="D3033" s="3589"/>
      <c r="E3033" s="3721"/>
      <c r="F3033" s="3779" t="str">
        <f>E1438</f>
        <v>ASHP SEER 15 MF ER replace Elec Resist Furnace: HVAC ER1</v>
      </c>
      <c r="G3033" s="3779"/>
      <c r="H3033" s="3779"/>
      <c r="I3033" s="3779"/>
      <c r="J3033" s="3073" t="str">
        <f>C1438</f>
        <v>352750_2019_12_</v>
      </c>
      <c r="K3033" s="602">
        <f>(($R$1696*L3033)+$R$1684)-(($Q$1696*L3033)/((1+$R$1698)^($R$1699-1)))</f>
        <v>730.10143656272817</v>
      </c>
      <c r="L3033" s="767">
        <f>VLOOKUP(J3033,$J$1682:$L$1809,3,FALSE)*M3033</f>
        <v>1.7875000000000001</v>
      </c>
      <c r="M3033" s="1815">
        <f>VLOOKUP(J3033,$J$2706:$K$2833,2,FALSE)</f>
        <v>0.65</v>
      </c>
      <c r="N3033" s="1249"/>
      <c r="O3033" s="277"/>
      <c r="P3033" s="937"/>
      <c r="Q3033" s="937"/>
      <c r="R3033" s="937"/>
      <c r="S3033" s="924"/>
      <c r="T3033" s="1407"/>
      <c r="U3033" s="157"/>
      <c r="V3033" s="3589"/>
      <c r="W3033" s="602">
        <v>2365.1309007383738</v>
      </c>
      <c r="X3033" s="605">
        <f>$Q$1684*(X$1698/12000)*X$2722</f>
        <v>1856.0607516825155</v>
      </c>
      <c r="Y3033" s="605">
        <v>815.35898591038654</v>
      </c>
      <c r="Z3033" s="602">
        <v>815.35898591038654</v>
      </c>
      <c r="AA3033" s="602">
        <v>815.35898591038654</v>
      </c>
      <c r="AB3033" s="602">
        <v>303</v>
      </c>
      <c r="AC3033" s="884"/>
      <c r="AD3033" s="884"/>
      <c r="AE3033" s="884"/>
      <c r="AF3033" s="884"/>
      <c r="AG3033" s="884"/>
      <c r="BB3033" s="647"/>
      <c r="BC3033" s="648"/>
      <c r="BD3033" s="757"/>
      <c r="BE3033" s="659"/>
    </row>
    <row r="3034" spans="1:57" s="64" customFormat="1" ht="15" customHeight="1" outlineLevel="1" x14ac:dyDescent="0.25">
      <c r="A3034" s="2463"/>
      <c r="B3034" s="648"/>
      <c r="C3034" s="385"/>
      <c r="D3034" s="3589"/>
      <c r="E3034" s="3721"/>
      <c r="F3034" s="3779" t="str">
        <f>E1439</f>
        <v>ASHP SEER 15 MF ER replace Elec Resist Furnace: HVAC ER1</v>
      </c>
      <c r="G3034" s="3779"/>
      <c r="H3034" s="3779"/>
      <c r="I3034" s="3779"/>
      <c r="J3034" s="3073" t="str">
        <f>C1439</f>
        <v>352750_2019_12_</v>
      </c>
      <c r="K3034" s="602"/>
      <c r="L3034" s="767" t="str">
        <f>IF(K3034&gt;0,VLOOKUP(J3034,$J$1682:$L$1809,3,FALSE),"")</f>
        <v/>
      </c>
      <c r="M3034" s="1815" t="str">
        <f>IF(K3034&gt;0,VLOOKUP(J3034,$J$2706:$K$2833,2,FALSE),"")</f>
        <v/>
      </c>
      <c r="N3034" s="1249"/>
      <c r="O3034" s="277"/>
      <c r="P3034" s="937"/>
      <c r="Q3034" s="937"/>
      <c r="R3034" s="937"/>
      <c r="S3034" s="924"/>
      <c r="T3034" s="1407"/>
      <c r="U3034" s="157"/>
      <c r="V3034" s="3589"/>
      <c r="W3034" s="602"/>
      <c r="X3034" s="605"/>
      <c r="Y3034" s="605"/>
      <c r="Z3034" s="602"/>
      <c r="AA3034" s="602"/>
      <c r="AB3034" s="602"/>
      <c r="AC3034" s="884"/>
      <c r="AD3034" s="884"/>
      <c r="AE3034" s="884"/>
      <c r="AF3034" s="884"/>
      <c r="AG3034" s="884"/>
      <c r="BB3034" s="647"/>
      <c r="BC3034" s="648"/>
      <c r="BD3034" s="757"/>
      <c r="BE3034" s="659"/>
    </row>
    <row r="3035" spans="1:57" s="64" customFormat="1" ht="15" customHeight="1" outlineLevel="1" x14ac:dyDescent="0.25">
      <c r="A3035" s="2463"/>
      <c r="B3035" s="648"/>
      <c r="C3035" s="385"/>
      <c r="D3035" s="3589"/>
      <c r="E3035" s="3721"/>
      <c r="F3035" s="3779" t="str">
        <f>E1440</f>
        <v>ASHP SEER 15 MF ER replace Elec Resist Furnace: HVAC ER2</v>
      </c>
      <c r="G3035" s="3779"/>
      <c r="H3035" s="3779"/>
      <c r="I3035" s="3779"/>
      <c r="J3035" s="3073" t="str">
        <f>C1440</f>
        <v>352750_2019_12_</v>
      </c>
      <c r="K3035" s="602"/>
      <c r="L3035" s="767" t="str">
        <f>IF(K3035&gt;0,VLOOKUP(J3035,$J$1682:$L$1809,3,FALSE),"")</f>
        <v/>
      </c>
      <c r="M3035" s="1815" t="str">
        <f>IF(K3035&gt;0,VLOOKUP(J3035,$J$2706:$K$2833,2,FALSE),"")</f>
        <v/>
      </c>
      <c r="N3035" s="1249"/>
      <c r="O3035" s="277"/>
      <c r="P3035" s="937"/>
      <c r="Q3035" s="937"/>
      <c r="R3035" s="937"/>
      <c r="S3035" s="924"/>
      <c r="T3035" s="1407"/>
      <c r="U3035" s="157"/>
      <c r="V3035" s="3589"/>
      <c r="W3035" s="602"/>
      <c r="X3035" s="605"/>
      <c r="Y3035" s="605"/>
      <c r="Z3035" s="602"/>
      <c r="AA3035" s="602"/>
      <c r="AB3035" s="602"/>
      <c r="AC3035" s="884"/>
      <c r="AD3035" s="884"/>
      <c r="AE3035" s="884"/>
      <c r="AF3035" s="884"/>
      <c r="AG3035" s="884"/>
      <c r="BB3035" s="647"/>
      <c r="BC3035" s="648"/>
      <c r="BD3035" s="757"/>
      <c r="BE3035" s="659"/>
    </row>
    <row r="3036" spans="1:57" s="64" customFormat="1" ht="15" customHeight="1" outlineLevel="1" x14ac:dyDescent="0.25">
      <c r="A3036" s="2463"/>
      <c r="B3036" s="648"/>
      <c r="C3036" s="385"/>
      <c r="D3036" s="3589"/>
      <c r="E3036" s="3721"/>
      <c r="F3036" s="3779" t="str">
        <f>E1441</f>
        <v>ASHP SEER 15 MF ER replace Elec Resist Furnace: HVAC ER2</v>
      </c>
      <c r="G3036" s="3779"/>
      <c r="H3036" s="3779"/>
      <c r="I3036" s="3779"/>
      <c r="J3036" s="3073" t="str">
        <f>C1441</f>
        <v>352750_2019_12_</v>
      </c>
      <c r="K3036" s="602"/>
      <c r="L3036" s="767" t="str">
        <f>IF(K3036&gt;0,VLOOKUP(J3036,$J$1682:$L$1809,3,FALSE),"")</f>
        <v/>
      </c>
      <c r="M3036" s="1815" t="str">
        <f>IF(K3036&gt;0,VLOOKUP(J3036,$J$2706:$K$2833,2,FALSE),"")</f>
        <v/>
      </c>
      <c r="N3036" s="1249"/>
      <c r="O3036" s="277"/>
      <c r="P3036" s="937"/>
      <c r="Q3036" s="937"/>
      <c r="R3036" s="937"/>
      <c r="S3036" s="924"/>
      <c r="T3036" s="1407"/>
      <c r="U3036" s="157"/>
      <c r="V3036" s="3589"/>
      <c r="W3036" s="602"/>
      <c r="X3036" s="605"/>
      <c r="Y3036" s="605"/>
      <c r="Z3036" s="602"/>
      <c r="AA3036" s="602"/>
      <c r="AB3036" s="602"/>
      <c r="AC3036" s="884"/>
      <c r="AD3036" s="884"/>
      <c r="AE3036" s="884"/>
      <c r="AF3036" s="884"/>
      <c r="AG3036" s="884"/>
      <c r="BB3036" s="647"/>
      <c r="BC3036" s="648"/>
      <c r="BD3036" s="757"/>
      <c r="BE3036" s="659"/>
    </row>
    <row r="3037" spans="1:57" s="64" customFormat="1" ht="15" customHeight="1" outlineLevel="1" x14ac:dyDescent="0.25">
      <c r="A3037" s="2463"/>
      <c r="B3037" s="648"/>
      <c r="C3037" s="385"/>
      <c r="D3037" s="3589"/>
      <c r="E3037" s="3721"/>
      <c r="F3037" s="3779" t="str">
        <f>E1446</f>
        <v>ASHP SEER 15 MF replace at Fail Elec Resist Furnace: HVAC</v>
      </c>
      <c r="G3037" s="3779"/>
      <c r="H3037" s="3779"/>
      <c r="I3037" s="3779"/>
      <c r="J3037" s="3073" t="str">
        <f>C1446</f>
        <v>352800_2019_12_</v>
      </c>
      <c r="K3037" s="602">
        <f>$R$1684*K$2710</f>
        <v>303</v>
      </c>
      <c r="L3037" s="767">
        <f>VLOOKUP(J3037,$J$1682:$L$1809,3,FALSE)*M3037</f>
        <v>1.6900000000000002</v>
      </c>
      <c r="M3037" s="1815">
        <f>VLOOKUP(J3037,$J$2706:$K$2833,2,FALSE)</f>
        <v>0.65</v>
      </c>
      <c r="N3037" s="1249"/>
      <c r="O3037" s="277"/>
      <c r="P3037" s="937"/>
      <c r="Q3037" s="937"/>
      <c r="R3037" s="937"/>
      <c r="S3037" s="924"/>
      <c r="T3037" s="1407"/>
      <c r="U3037" s="157"/>
      <c r="V3037" s="3589"/>
      <c r="W3037" s="602">
        <v>787.80000000000007</v>
      </c>
      <c r="X3037" s="605">
        <f>$R$1684*(X$1702/12000)*X$2726</f>
        <v>512.07000000000005</v>
      </c>
      <c r="Y3037" s="605">
        <v>303</v>
      </c>
      <c r="Z3037" s="602">
        <v>303</v>
      </c>
      <c r="AA3037" s="602">
        <v>303</v>
      </c>
      <c r="AB3037" s="602">
        <v>303</v>
      </c>
      <c r="AC3037" s="884"/>
      <c r="AD3037" s="884"/>
      <c r="AE3037" s="884"/>
      <c r="AF3037" s="884"/>
      <c r="AG3037" s="884"/>
      <c r="BB3037" s="647"/>
      <c r="BC3037" s="648"/>
      <c r="BD3037" s="757"/>
      <c r="BE3037" s="659"/>
    </row>
    <row r="3038" spans="1:57" s="64" customFormat="1" ht="15" customHeight="1" outlineLevel="1" x14ac:dyDescent="0.25">
      <c r="A3038" s="2463"/>
      <c r="B3038" s="648"/>
      <c r="C3038" s="385"/>
      <c r="D3038" s="3589"/>
      <c r="E3038" s="3721"/>
      <c r="F3038" s="3779" t="str">
        <f>E1447</f>
        <v>ASHP SEER 15 MF replace at Fail Elec Resist Furnace: HVAC</v>
      </c>
      <c r="G3038" s="3779"/>
      <c r="H3038" s="3779"/>
      <c r="I3038" s="3779"/>
      <c r="J3038" s="3073" t="str">
        <f>C1447</f>
        <v>352800_2019_12_</v>
      </c>
      <c r="K3038" s="602"/>
      <c r="L3038" s="767" t="str">
        <f>IF(K3038&gt;0,VLOOKUP(J3038,$J$1682:$L$1809,3,FALSE),"")</f>
        <v/>
      </c>
      <c r="M3038" s="1815" t="str">
        <f>IF(K3038&gt;0,VLOOKUP(J3038,$J$2706:$K$2833,2,FALSE),"")</f>
        <v/>
      </c>
      <c r="N3038" s="1249"/>
      <c r="O3038" s="277"/>
      <c r="P3038" s="937"/>
      <c r="Q3038" s="938"/>
      <c r="R3038" s="937"/>
      <c r="S3038" s="924"/>
      <c r="T3038" s="1407"/>
      <c r="U3038" s="157"/>
      <c r="V3038" s="3589"/>
      <c r="W3038" s="602"/>
      <c r="X3038" s="605"/>
      <c r="Y3038" s="605"/>
      <c r="Z3038" s="602"/>
      <c r="AA3038" s="602"/>
      <c r="AB3038" s="602"/>
      <c r="AC3038" s="884"/>
      <c r="AD3038" s="884"/>
      <c r="AE3038" s="884"/>
      <c r="AF3038" s="884"/>
      <c r="AG3038" s="884"/>
      <c r="BB3038" s="647"/>
      <c r="BC3038" s="648"/>
      <c r="BD3038" s="757"/>
      <c r="BE3038" s="659"/>
    </row>
    <row r="3039" spans="1:57" s="64" customFormat="1" ht="15" customHeight="1" outlineLevel="1" x14ac:dyDescent="0.25">
      <c r="A3039" s="2463"/>
      <c r="B3039" s="648"/>
      <c r="C3039" s="385"/>
      <c r="D3039" s="3589"/>
      <c r="E3039" s="3721"/>
      <c r="F3039" s="3779" t="str">
        <f>E1450</f>
        <v>ASHP SEER 16 MF ER replace ASHP: HVAC ER1</v>
      </c>
      <c r="G3039" s="3779"/>
      <c r="H3039" s="3779"/>
      <c r="I3039" s="3779"/>
      <c r="J3039" s="3073" t="str">
        <f>C1450</f>
        <v>352850_2019_12_</v>
      </c>
      <c r="K3039" s="602">
        <f>(($R$1696*L3039)+$R$1685)-(($Q$1696*L3039)/((1+$R$1698)^($R$1699-1)))</f>
        <v>950.52172387527389</v>
      </c>
      <c r="L3039" s="767">
        <f>VLOOKUP(J3039,$J$1682:$L$1809,3,FALSE)*M3039</f>
        <v>2.145</v>
      </c>
      <c r="M3039" s="1815">
        <f>VLOOKUP(J3039,$J$2706:$K$2833,2,FALSE)</f>
        <v>0.65</v>
      </c>
      <c r="N3039" s="1249"/>
      <c r="O3039" s="277"/>
      <c r="P3039" s="937"/>
      <c r="Q3039" s="938"/>
      <c r="R3039" s="937"/>
      <c r="S3039" s="924"/>
      <c r="T3039" s="1407"/>
      <c r="U3039" s="157"/>
      <c r="V3039" s="3589"/>
      <c r="W3039" s="602">
        <v>3083.4857044416549</v>
      </c>
      <c r="X3039" s="605">
        <f>$Q$1685*(X$1704/12000)*X$2728</f>
        <v>2477.0751716258214</v>
      </c>
      <c r="Y3039" s="605">
        <v>996.5516619658124</v>
      </c>
      <c r="Z3039" s="602">
        <v>996.5516619658124</v>
      </c>
      <c r="AA3039" s="602">
        <v>996.5516619658124</v>
      </c>
      <c r="AB3039" s="602">
        <v>438</v>
      </c>
      <c r="AC3039" s="884"/>
      <c r="AD3039" s="884"/>
      <c r="AE3039" s="884"/>
      <c r="AF3039" s="884"/>
      <c r="AG3039" s="884"/>
      <c r="BB3039" s="647"/>
      <c r="BC3039" s="648"/>
      <c r="BD3039" s="757"/>
      <c r="BE3039" s="659"/>
    </row>
    <row r="3040" spans="1:57" s="64" customFormat="1" ht="15" customHeight="1" outlineLevel="1" x14ac:dyDescent="0.25">
      <c r="A3040" s="2463"/>
      <c r="B3040" s="648"/>
      <c r="C3040" s="385"/>
      <c r="D3040" s="3589"/>
      <c r="E3040" s="3721"/>
      <c r="F3040" s="3779" t="str">
        <f>E1451</f>
        <v>ASHP SEER 16 MF ER replace ASHP: HVAC ER1</v>
      </c>
      <c r="G3040" s="3779"/>
      <c r="H3040" s="3779"/>
      <c r="I3040" s="3779"/>
      <c r="J3040" s="3073" t="str">
        <f>C1451</f>
        <v>352850_2019_12_</v>
      </c>
      <c r="K3040" s="602"/>
      <c r="L3040" s="767" t="str">
        <f>IF(K3040&gt;0,VLOOKUP(J3040,$J$1682:$L$1809,3,FALSE),"")</f>
        <v/>
      </c>
      <c r="M3040" s="1815" t="str">
        <f>IF(K3040&gt;0,VLOOKUP(J3040,$J$2706:$K$2833,2,FALSE),"")</f>
        <v/>
      </c>
      <c r="N3040" s="1249"/>
      <c r="O3040" s="277"/>
      <c r="P3040" s="937"/>
      <c r="Q3040" s="938"/>
      <c r="R3040" s="937"/>
      <c r="S3040" s="924"/>
      <c r="T3040" s="1407"/>
      <c r="U3040" s="157"/>
      <c r="V3040" s="3589"/>
      <c r="W3040" s="602"/>
      <c r="X3040" s="605"/>
      <c r="Y3040" s="605"/>
      <c r="Z3040" s="602"/>
      <c r="AA3040" s="602"/>
      <c r="AB3040" s="602"/>
      <c r="AC3040" s="884"/>
      <c r="AD3040" s="884"/>
      <c r="AE3040" s="884"/>
      <c r="AF3040" s="884"/>
      <c r="AG3040" s="884"/>
      <c r="BB3040" s="647"/>
      <c r="BC3040" s="648"/>
      <c r="BD3040" s="757"/>
      <c r="BE3040" s="659"/>
    </row>
    <row r="3041" spans="1:57" s="64" customFormat="1" ht="15" customHeight="1" outlineLevel="1" x14ac:dyDescent="0.25">
      <c r="A3041" s="2463"/>
      <c r="B3041" s="648"/>
      <c r="C3041" s="385"/>
      <c r="D3041" s="3589"/>
      <c r="E3041" s="3721"/>
      <c r="F3041" s="3779" t="str">
        <f>E1452</f>
        <v>ASHP SEER 16 MF ER replace ASHP: HVAC ER2</v>
      </c>
      <c r="G3041" s="3779"/>
      <c r="H3041" s="3779"/>
      <c r="I3041" s="3779"/>
      <c r="J3041" s="3073" t="str">
        <f>C1452</f>
        <v>352850_2019_12_</v>
      </c>
      <c r="K3041" s="602"/>
      <c r="L3041" s="767" t="str">
        <f>IF(K3041&gt;0,VLOOKUP(J3041,$J$1682:$L$1809,3,FALSE),"")</f>
        <v/>
      </c>
      <c r="M3041" s="1815" t="str">
        <f>IF(K3041&gt;0,VLOOKUP(J3041,$J$2706:$K$2833,2,FALSE),"")</f>
        <v/>
      </c>
      <c r="N3041" s="1249"/>
      <c r="O3041" s="277"/>
      <c r="P3041" s="937"/>
      <c r="Q3041" s="938"/>
      <c r="R3041" s="937"/>
      <c r="S3041" s="924"/>
      <c r="T3041" s="1407"/>
      <c r="U3041" s="157"/>
      <c r="V3041" s="3589"/>
      <c r="W3041" s="602"/>
      <c r="X3041" s="605"/>
      <c r="Y3041" s="605"/>
      <c r="Z3041" s="602"/>
      <c r="AA3041" s="602"/>
      <c r="AB3041" s="602"/>
      <c r="AC3041" s="884"/>
      <c r="AD3041" s="884"/>
      <c r="AE3041" s="884"/>
      <c r="AF3041" s="884"/>
      <c r="AG3041" s="884"/>
      <c r="BB3041" s="647"/>
      <c r="BC3041" s="648"/>
      <c r="BD3041" s="757"/>
      <c r="BE3041" s="659"/>
    </row>
    <row r="3042" spans="1:57" s="64" customFormat="1" ht="15" customHeight="1" outlineLevel="1" x14ac:dyDescent="0.25">
      <c r="A3042" s="2463"/>
      <c r="B3042" s="648"/>
      <c r="C3042" s="385"/>
      <c r="D3042" s="3589"/>
      <c r="E3042" s="3721"/>
      <c r="F3042" s="3779" t="str">
        <f>E1453</f>
        <v>ASHP SEER 16 MF ER replace ASHP: HVAC ER2</v>
      </c>
      <c r="G3042" s="3779"/>
      <c r="H3042" s="3779"/>
      <c r="I3042" s="3779"/>
      <c r="J3042" s="3073" t="str">
        <f>C1453</f>
        <v>352850_2019_12_</v>
      </c>
      <c r="K3042" s="602"/>
      <c r="L3042" s="767" t="str">
        <f>IF(K3042&gt;0,VLOOKUP(J3042,$J$1682:$L$1809,3,FALSE),"")</f>
        <v/>
      </c>
      <c r="M3042" s="1815" t="str">
        <f>IF(K3042&gt;0,VLOOKUP(J3042,$J$2706:$K$2833,2,FALSE),"")</f>
        <v/>
      </c>
      <c r="N3042" s="1249"/>
      <c r="O3042" s="277"/>
      <c r="P3042" s="937"/>
      <c r="Q3042" s="938"/>
      <c r="R3042" s="937"/>
      <c r="S3042" s="924"/>
      <c r="T3042" s="1407"/>
      <c r="U3042" s="157"/>
      <c r="V3042" s="3589"/>
      <c r="W3042" s="602"/>
      <c r="X3042" s="605"/>
      <c r="Y3042" s="605"/>
      <c r="Z3042" s="602"/>
      <c r="AA3042" s="602"/>
      <c r="AB3042" s="602"/>
      <c r="AC3042" s="884"/>
      <c r="AD3042" s="884"/>
      <c r="AE3042" s="884"/>
      <c r="AF3042" s="884"/>
      <c r="AG3042" s="884"/>
      <c r="BB3042" s="647"/>
      <c r="BC3042" s="648"/>
      <c r="BD3042" s="757"/>
      <c r="BE3042" s="659"/>
    </row>
    <row r="3043" spans="1:57" s="64" customFormat="1" ht="15" customHeight="1" outlineLevel="1" x14ac:dyDescent="0.25">
      <c r="A3043" s="2463"/>
      <c r="B3043" s="648"/>
      <c r="C3043" s="385"/>
      <c r="D3043" s="3589"/>
      <c r="E3043" s="3721"/>
      <c r="F3043" s="3779" t="str">
        <f>E1458</f>
        <v>ASHP - SEER 16 - replace on fail MF</v>
      </c>
      <c r="G3043" s="3779"/>
      <c r="H3043" s="3779"/>
      <c r="I3043" s="3779"/>
      <c r="J3043" s="3073" t="str">
        <f>C1458</f>
        <v>352900_2019_12_</v>
      </c>
      <c r="K3043" s="602">
        <f>$R$1685*K$2710</f>
        <v>438</v>
      </c>
      <c r="L3043" s="767">
        <f>VLOOKUP(J3043,$J$1682:$L$1809,3,FALSE)*M3043</f>
        <v>2.145</v>
      </c>
      <c r="M3043" s="1815">
        <f>VLOOKUP(J3043,$J$2706:$K$2833,2,FALSE)</f>
        <v>0.65</v>
      </c>
      <c r="N3043" s="1249"/>
      <c r="O3043" s="277"/>
      <c r="P3043" s="937"/>
      <c r="Q3043" s="938"/>
      <c r="R3043" s="937"/>
      <c r="S3043" s="924"/>
      <c r="T3043" s="1407"/>
      <c r="U3043" s="157"/>
      <c r="V3043" s="3589"/>
      <c r="W3043" s="602">
        <v>1295.9099999999999</v>
      </c>
      <c r="X3043" s="605">
        <f>$R$1685*(X$1708/12000)*X$2732</f>
        <v>939.51</v>
      </c>
      <c r="Y3043" s="605">
        <v>392.7</v>
      </c>
      <c r="Z3043" s="602">
        <v>392.7</v>
      </c>
      <c r="AA3043" s="602">
        <v>392.7</v>
      </c>
      <c r="AB3043" s="602">
        <v>438</v>
      </c>
      <c r="AC3043" s="884"/>
      <c r="AD3043" s="884"/>
      <c r="AE3043" s="884"/>
      <c r="AF3043" s="884"/>
      <c r="AG3043" s="884"/>
      <c r="BB3043" s="647"/>
      <c r="BC3043" s="648"/>
      <c r="BD3043" s="757"/>
      <c r="BE3043" s="659"/>
    </row>
    <row r="3044" spans="1:57" s="64" customFormat="1" ht="15" customHeight="1" outlineLevel="1" x14ac:dyDescent="0.25">
      <c r="A3044" s="1393"/>
      <c r="B3044" s="648"/>
      <c r="C3044" s="385"/>
      <c r="D3044" s="3589"/>
      <c r="E3044" s="3721"/>
      <c r="F3044" s="3779" t="str">
        <f>E1459</f>
        <v>ASHP - SEER 16 - replace on fail MF</v>
      </c>
      <c r="G3044" s="3779"/>
      <c r="H3044" s="3779"/>
      <c r="I3044" s="3779"/>
      <c r="J3044" s="3073" t="str">
        <f>C1459</f>
        <v>352900_2019_12_</v>
      </c>
      <c r="K3044" s="602"/>
      <c r="L3044" s="767" t="str">
        <f>IF(K3044&gt;0,VLOOKUP(J3044,$J$1682:$L$1809,3,FALSE),"")</f>
        <v/>
      </c>
      <c r="M3044" s="1815" t="str">
        <f>IF(K3044&gt;0,VLOOKUP(J3044,$J$2706:$K$2833,2,FALSE),"")</f>
        <v/>
      </c>
      <c r="N3044" s="1249"/>
      <c r="O3044" s="277"/>
      <c r="P3044" s="937"/>
      <c r="Q3044" s="277"/>
      <c r="R3044" s="277"/>
      <c r="S3044" s="157"/>
      <c r="T3044" s="157"/>
      <c r="U3044" s="157"/>
      <c r="V3044" s="3589"/>
      <c r="W3044" s="602"/>
      <c r="X3044" s="605"/>
      <c r="Y3044" s="605"/>
      <c r="Z3044" s="602"/>
      <c r="AA3044" s="602"/>
      <c r="AB3044" s="602"/>
      <c r="AC3044" s="884"/>
      <c r="AD3044" s="884"/>
      <c r="AE3044" s="884"/>
      <c r="AF3044" s="884"/>
      <c r="AG3044" s="884"/>
      <c r="BB3044" s="647"/>
      <c r="BC3044" s="648"/>
      <c r="BD3044" s="757"/>
      <c r="BE3044" s="659"/>
    </row>
    <row r="3045" spans="1:57" s="64" customFormat="1" ht="15" customHeight="1" outlineLevel="1" x14ac:dyDescent="0.25">
      <c r="A3045" s="2463"/>
      <c r="B3045" s="648"/>
      <c r="C3045" s="385"/>
      <c r="D3045" s="3589"/>
      <c r="E3045" s="3721"/>
      <c r="F3045" s="3779" t="str">
        <f>E1462</f>
        <v>ASHP - SEER 16 - replace electric furnace / CAC MF</v>
      </c>
      <c r="G3045" s="3779"/>
      <c r="H3045" s="3779"/>
      <c r="I3045" s="3779"/>
      <c r="J3045" s="3073" t="str">
        <f>C1462</f>
        <v>352950_2019_12_</v>
      </c>
      <c r="K3045" s="602">
        <f>$R$1685*K$2710</f>
        <v>438</v>
      </c>
      <c r="L3045" s="767">
        <f>VLOOKUP(J3045,$J$1682:$L$1809,3,FALSE)*M3045</f>
        <v>1.3</v>
      </c>
      <c r="M3045" s="1815">
        <f>VLOOKUP(J3045,$J$2706:$K$2833,2,FALSE)</f>
        <v>0.65</v>
      </c>
      <c r="N3045" s="1249"/>
      <c r="O3045" s="277"/>
      <c r="P3045" s="937"/>
      <c r="Q3045" s="938"/>
      <c r="R3045" s="937"/>
      <c r="S3045" s="924"/>
      <c r="T3045" s="1407"/>
      <c r="U3045" s="157"/>
      <c r="V3045" s="3589"/>
      <c r="W3045" s="602">
        <v>1256.6400000000001</v>
      </c>
      <c r="X3045" s="605">
        <f>$R$1685*(X$1710/12000)*X$2734</f>
        <v>911.04000000000008</v>
      </c>
      <c r="Y3045" s="605">
        <v>392.7</v>
      </c>
      <c r="Z3045" s="602">
        <v>392.7</v>
      </c>
      <c r="AA3045" s="602">
        <v>392.7</v>
      </c>
      <c r="AB3045" s="602">
        <v>438</v>
      </c>
      <c r="AC3045" s="884"/>
      <c r="AD3045" s="884"/>
      <c r="AE3045" s="884"/>
      <c r="AF3045" s="884"/>
      <c r="AG3045" s="884"/>
      <c r="BB3045" s="647"/>
      <c r="BC3045" s="648"/>
      <c r="BD3045" s="757"/>
      <c r="BE3045" s="659"/>
    </row>
    <row r="3046" spans="1:57" s="64" customFormat="1" ht="15" customHeight="1" outlineLevel="1" x14ac:dyDescent="0.25">
      <c r="A3046" s="1393"/>
      <c r="B3046" s="648"/>
      <c r="C3046" s="385"/>
      <c r="D3046" s="3589"/>
      <c r="E3046" s="3721"/>
      <c r="F3046" s="3779" t="str">
        <f>E1463</f>
        <v>ASHP - SEER 16 - replace electric furnace / CAC MF</v>
      </c>
      <c r="G3046" s="3779"/>
      <c r="H3046" s="3779"/>
      <c r="I3046" s="3779"/>
      <c r="J3046" s="3073" t="str">
        <f>C1463</f>
        <v>352950_2019_12_</v>
      </c>
      <c r="K3046" s="602"/>
      <c r="L3046" s="767" t="str">
        <f>IF(K3046&gt;0,VLOOKUP(J3046,$J$1682:$L$1809,3,FALSE),"")</f>
        <v/>
      </c>
      <c r="M3046" s="1815" t="str">
        <f>IF(K3046&gt;0,VLOOKUP(J3046,$J$2706:$K$2833,2,FALSE),"")</f>
        <v/>
      </c>
      <c r="N3046" s="1249"/>
      <c r="O3046" s="277"/>
      <c r="P3046" s="937"/>
      <c r="Q3046" s="277"/>
      <c r="R3046" s="277"/>
      <c r="S3046" s="157"/>
      <c r="T3046" s="157"/>
      <c r="U3046" s="157"/>
      <c r="V3046" s="3589"/>
      <c r="W3046" s="602"/>
      <c r="X3046" s="605"/>
      <c r="Y3046" s="605"/>
      <c r="Z3046" s="602"/>
      <c r="AA3046" s="602"/>
      <c r="AB3046" s="602"/>
      <c r="AC3046" s="884"/>
      <c r="AD3046" s="884"/>
      <c r="AE3046" s="884"/>
      <c r="AF3046" s="884"/>
      <c r="AG3046" s="884"/>
      <c r="BB3046" s="647"/>
      <c r="BC3046" s="648"/>
      <c r="BD3046" s="757"/>
      <c r="BE3046" s="659"/>
    </row>
    <row r="3047" spans="1:57" s="64" customFormat="1" ht="15" customHeight="1" outlineLevel="1" x14ac:dyDescent="0.25">
      <c r="A3047" s="2463"/>
      <c r="B3047" s="648"/>
      <c r="C3047" s="385"/>
      <c r="D3047" s="3589"/>
      <c r="E3047" s="3721"/>
      <c r="F3047" s="3779" t="str">
        <f>E1466</f>
        <v>ASHP - SEER 16 - replace electric furnace / CAC - early replacement MF ER1</v>
      </c>
      <c r="G3047" s="3779"/>
      <c r="H3047" s="3779"/>
      <c r="I3047" s="3779"/>
      <c r="J3047" s="3073" t="str">
        <f>C1466</f>
        <v>353000_2019_12_</v>
      </c>
      <c r="K3047" s="602">
        <f>(($R$1696*L3047)+$R$1685)-(($Q$1696*L3047)/((1+$R$1698)^($R$1699-1)))</f>
        <v>950.52172387527389</v>
      </c>
      <c r="L3047" s="767">
        <f>VLOOKUP(J3047,$J$1682:$L$1809,3,FALSE)*M3047</f>
        <v>2.145</v>
      </c>
      <c r="M3047" s="1815">
        <f>VLOOKUP(J3047,$J$2706:$K$2833,2,FALSE)</f>
        <v>0.65</v>
      </c>
      <c r="N3047" s="1249"/>
      <c r="O3047" s="277"/>
      <c r="P3047" s="937"/>
      <c r="Q3047" s="938"/>
      <c r="R3047" s="937"/>
      <c r="S3047" s="924"/>
      <c r="T3047" s="1407"/>
      <c r="U3047" s="157"/>
      <c r="V3047" s="3589"/>
      <c r="W3047" s="602">
        <v>2896.6077829603428</v>
      </c>
      <c r="X3047" s="605">
        <f>$Q$1685*(X$1712/12000)*X$2736</f>
        <v>2326.9494036484994</v>
      </c>
      <c r="Y3047" s="605">
        <v>959.95459154364198</v>
      </c>
      <c r="Z3047" s="602">
        <v>959.95459154364198</v>
      </c>
      <c r="AA3047" s="602">
        <v>959.95459154364198</v>
      </c>
      <c r="AB3047" s="602">
        <v>438</v>
      </c>
      <c r="AC3047" s="884"/>
      <c r="AD3047" s="884"/>
      <c r="AE3047" s="884"/>
      <c r="AF3047" s="884"/>
      <c r="AG3047" s="884"/>
      <c r="BB3047" s="647"/>
      <c r="BC3047" s="648"/>
      <c r="BD3047" s="757"/>
      <c r="BE3047" s="659"/>
    </row>
    <row r="3048" spans="1:57" s="64" customFormat="1" ht="15" customHeight="1" outlineLevel="1" x14ac:dyDescent="0.25">
      <c r="A3048" s="1393"/>
      <c r="B3048" s="648"/>
      <c r="C3048" s="385"/>
      <c r="D3048" s="3589"/>
      <c r="E3048" s="3721"/>
      <c r="F3048" s="3779" t="str">
        <f>E1467</f>
        <v>ASHP - SEER 16 - replace electric furnace / CAC - early replacement MF ER1</v>
      </c>
      <c r="G3048" s="3779"/>
      <c r="H3048" s="3779"/>
      <c r="I3048" s="3779"/>
      <c r="J3048" s="3073" t="str">
        <f>C1467</f>
        <v>353000_2019_12_</v>
      </c>
      <c r="K3048" s="602"/>
      <c r="L3048" s="767" t="str">
        <f>IF(K3048&gt;0,VLOOKUP(J3048,$J$1682:$L$1809,3,FALSE),"")</f>
        <v/>
      </c>
      <c r="M3048" s="1815" t="str">
        <f>IF(K3048&gt;0,VLOOKUP(J3048,$J$2706:$K$2833,2,FALSE),"")</f>
        <v/>
      </c>
      <c r="N3048" s="1249"/>
      <c r="O3048" s="277"/>
      <c r="P3048" s="937"/>
      <c r="Q3048" s="277"/>
      <c r="R3048" s="277"/>
      <c r="S3048" s="157"/>
      <c r="T3048" s="157"/>
      <c r="U3048" s="157"/>
      <c r="V3048" s="3589"/>
      <c r="W3048" s="602"/>
      <c r="X3048" s="605"/>
      <c r="Y3048" s="605"/>
      <c r="Z3048" s="602"/>
      <c r="AA3048" s="602"/>
      <c r="AB3048" s="602"/>
      <c r="AC3048" s="884"/>
      <c r="AD3048" s="884"/>
      <c r="AE3048" s="884"/>
      <c r="AF3048" s="884"/>
      <c r="AG3048" s="884"/>
      <c r="BB3048" s="647"/>
      <c r="BC3048" s="648"/>
      <c r="BD3048" s="757"/>
      <c r="BE3048" s="659"/>
    </row>
    <row r="3049" spans="1:57" s="64" customFormat="1" ht="15" customHeight="1" outlineLevel="1" x14ac:dyDescent="0.25">
      <c r="A3049" s="1393"/>
      <c r="B3049" s="648"/>
      <c r="C3049" s="385"/>
      <c r="D3049" s="3589"/>
      <c r="E3049" s="3721"/>
      <c r="F3049" s="3779" t="str">
        <f>E1468</f>
        <v>ASHP - SEER 16 - replace electric furnace / CAC - early replacement MF ER2</v>
      </c>
      <c r="G3049" s="3779"/>
      <c r="H3049" s="3779"/>
      <c r="I3049" s="3779"/>
      <c r="J3049" s="3073" t="str">
        <f>C1468</f>
        <v>353000_2019_12_</v>
      </c>
      <c r="K3049" s="602"/>
      <c r="L3049" s="767" t="str">
        <f>IF(K3049&gt;0,VLOOKUP(J3049,$J$1682:$L$1809,3,FALSE),"")</f>
        <v/>
      </c>
      <c r="M3049" s="1815" t="str">
        <f>IF(K3049&gt;0,VLOOKUP(J3049,$J$2706:$K$2833,2,FALSE),"")</f>
        <v/>
      </c>
      <c r="N3049" s="1249"/>
      <c r="O3049" s="277"/>
      <c r="P3049" s="937"/>
      <c r="Q3049" s="277"/>
      <c r="R3049" s="277"/>
      <c r="S3049" s="157"/>
      <c r="T3049" s="157"/>
      <c r="U3049" s="157"/>
      <c r="V3049" s="3589"/>
      <c r="W3049" s="602"/>
      <c r="X3049" s="605"/>
      <c r="Y3049" s="605"/>
      <c r="Z3049" s="602"/>
      <c r="AA3049" s="602"/>
      <c r="AB3049" s="602"/>
      <c r="AC3049" s="884"/>
      <c r="AD3049" s="884"/>
      <c r="AE3049" s="884"/>
      <c r="AF3049" s="884"/>
      <c r="AG3049" s="884"/>
      <c r="BB3049" s="647"/>
      <c r="BC3049" s="648"/>
      <c r="BD3049" s="757"/>
      <c r="BE3049" s="659"/>
    </row>
    <row r="3050" spans="1:57" s="64" customFormat="1" ht="15" customHeight="1" outlineLevel="1" x14ac:dyDescent="0.25">
      <c r="A3050" s="2463"/>
      <c r="B3050" s="648"/>
      <c r="C3050" s="385"/>
      <c r="D3050" s="3589"/>
      <c r="E3050" s="3721"/>
      <c r="F3050" s="3779" t="str">
        <f>E1469</f>
        <v>ASHP - SEER 16 - replace electric furnace / CAC - early replacement MF ER2</v>
      </c>
      <c r="G3050" s="3779"/>
      <c r="H3050" s="3779"/>
      <c r="I3050" s="3779"/>
      <c r="J3050" s="3073" t="str">
        <f>C1469</f>
        <v>353000_2019_12_</v>
      </c>
      <c r="K3050" s="602"/>
      <c r="L3050" s="767" t="str">
        <f>IF(K3050&gt;0,VLOOKUP(J3050,$J$1682:$L$1809,3,FALSE),"")</f>
        <v/>
      </c>
      <c r="M3050" s="1815" t="str">
        <f>IF(K3050&gt;0,VLOOKUP(J3050,$J$2706:$K$2833,2,FALSE),"")</f>
        <v/>
      </c>
      <c r="N3050" s="1249"/>
      <c r="O3050" s="277"/>
      <c r="P3050" s="937"/>
      <c r="Q3050" s="938"/>
      <c r="R3050" s="937"/>
      <c r="S3050" s="924"/>
      <c r="T3050" s="1407"/>
      <c r="U3050" s="157"/>
      <c r="V3050" s="3589"/>
      <c r="W3050" s="602"/>
      <c r="X3050" s="605"/>
      <c r="Y3050" s="605"/>
      <c r="Z3050" s="602"/>
      <c r="AA3050" s="602"/>
      <c r="AB3050" s="602"/>
      <c r="AC3050" s="884"/>
      <c r="AD3050" s="884"/>
      <c r="AE3050" s="884"/>
      <c r="AF3050" s="884"/>
      <c r="AG3050" s="884"/>
      <c r="BB3050" s="647"/>
      <c r="BC3050" s="648"/>
      <c r="BD3050" s="757"/>
      <c r="BE3050" s="659"/>
    </row>
    <row r="3051" spans="1:57" s="64" customFormat="1" ht="15" customHeight="1" outlineLevel="1" x14ac:dyDescent="0.25">
      <c r="A3051" s="2463"/>
      <c r="B3051" s="648"/>
      <c r="C3051" s="385"/>
      <c r="D3051" s="3589"/>
      <c r="E3051" s="3721"/>
      <c r="F3051" s="3779" t="str">
        <f>E1474</f>
        <v xml:space="preserve">ASHP SEER 15 - replace on Fail MF </v>
      </c>
      <c r="G3051" s="3779"/>
      <c r="H3051" s="3779"/>
      <c r="I3051" s="3779"/>
      <c r="J3051" s="3073" t="str">
        <f>C1474</f>
        <v>353050_2019_12_</v>
      </c>
      <c r="K3051" s="602">
        <f>$R$1684*K$2710</f>
        <v>303</v>
      </c>
      <c r="L3051" s="767">
        <f>VLOOKUP(J3051,$J$1682:$L$1809,3,FALSE)*M3051</f>
        <v>2.0150000000000001</v>
      </c>
      <c r="M3051" s="1815">
        <f>VLOOKUP(J3051,$J$2706:$K$2833,2,FALSE)</f>
        <v>0.65</v>
      </c>
      <c r="N3051" s="1249"/>
      <c r="O3051" s="277"/>
      <c r="P3051" s="937"/>
      <c r="Q3051" s="938"/>
      <c r="R3051" s="937"/>
      <c r="S3051" s="924"/>
      <c r="T3051" s="1407"/>
      <c r="U3051" s="157"/>
      <c r="V3051" s="3589"/>
      <c r="W3051" s="602">
        <v>939.30000000000007</v>
      </c>
      <c r="X3051" s="605">
        <f>$R$1684*(X$1716/12000)*X$2740</f>
        <v>610.54500000000007</v>
      </c>
      <c r="Y3051" s="605">
        <v>303</v>
      </c>
      <c r="Z3051" s="602">
        <v>303</v>
      </c>
      <c r="AA3051" s="602">
        <v>303</v>
      </c>
      <c r="AB3051" s="602">
        <v>303</v>
      </c>
      <c r="AC3051" s="884"/>
      <c r="AD3051" s="884"/>
      <c r="AE3051" s="884"/>
      <c r="AF3051" s="884"/>
      <c r="AG3051" s="884"/>
      <c r="BB3051" s="647"/>
      <c r="BC3051" s="648"/>
      <c r="BD3051" s="757"/>
      <c r="BE3051" s="659"/>
    </row>
    <row r="3052" spans="1:57" s="64" customFormat="1" ht="15" customHeight="1" outlineLevel="1" x14ac:dyDescent="0.25">
      <c r="A3052" s="1393"/>
      <c r="B3052" s="648"/>
      <c r="C3052" s="385"/>
      <c r="D3052" s="3589"/>
      <c r="E3052" s="3721"/>
      <c r="F3052" s="3779" t="str">
        <f>E1475</f>
        <v xml:space="preserve">ASHP SEER 15 - replace on Fail MF </v>
      </c>
      <c r="G3052" s="3779"/>
      <c r="H3052" s="3779"/>
      <c r="I3052" s="3779"/>
      <c r="J3052" s="3073" t="str">
        <f>C1475</f>
        <v>353050_2019_12_</v>
      </c>
      <c r="K3052" s="602"/>
      <c r="L3052" s="767" t="str">
        <f>IF(K3052&gt;0,VLOOKUP(J3052,$J$1682:$L$1809,3,FALSE),"")</f>
        <v/>
      </c>
      <c r="M3052" s="1815" t="str">
        <f>IF(K3052&gt;0,VLOOKUP(J3052,$J$2706:$K$2833,2,FALSE),"")</f>
        <v/>
      </c>
      <c r="N3052" s="1249"/>
      <c r="O3052" s="277"/>
      <c r="P3052" s="937"/>
      <c r="Q3052" s="277"/>
      <c r="R3052" s="277"/>
      <c r="S3052" s="157"/>
      <c r="T3052" s="157"/>
      <c r="U3052" s="157"/>
      <c r="V3052" s="3589"/>
      <c r="W3052" s="602"/>
      <c r="X3052" s="605"/>
      <c r="Y3052" s="605"/>
      <c r="Z3052" s="602"/>
      <c r="AA3052" s="602"/>
      <c r="AB3052" s="602"/>
      <c r="AC3052" s="884"/>
      <c r="AD3052" s="884"/>
      <c r="AE3052" s="884"/>
      <c r="AF3052" s="884"/>
      <c r="AG3052" s="884"/>
      <c r="BB3052" s="647"/>
      <c r="BC3052" s="648"/>
      <c r="BD3052" s="757"/>
      <c r="BE3052" s="659"/>
    </row>
    <row r="3053" spans="1:57" s="64" customFormat="1" ht="15" customHeight="1" outlineLevel="1" x14ac:dyDescent="0.25">
      <c r="A3053" s="1393"/>
      <c r="B3053" s="648"/>
      <c r="C3053" s="385"/>
      <c r="D3053" s="3589"/>
      <c r="E3053" s="3721"/>
      <c r="F3053" s="3779" t="str">
        <f>E1478</f>
        <v>ASHP - SEER 17 - replace electric furnace / CAC SF</v>
      </c>
      <c r="G3053" s="3779"/>
      <c r="H3053" s="3779"/>
      <c r="I3053" s="3779"/>
      <c r="J3053" s="3073" t="str">
        <f>C1478</f>
        <v>353100_2019_12_</v>
      </c>
      <c r="K3053" s="602">
        <f>$R$1686*K$2710</f>
        <v>724</v>
      </c>
      <c r="L3053" s="767">
        <f>VLOOKUP(J3053,$J$1682:$L$1809,3,FALSE)*M3053</f>
        <v>2.8</v>
      </c>
      <c r="M3053" s="1815">
        <f>VLOOKUP(J3053,$J$2706:$K$2833,2,FALSE)</f>
        <v>1</v>
      </c>
      <c r="N3053" s="1249"/>
      <c r="O3053" s="277"/>
      <c r="P3053" s="937"/>
      <c r="Q3053" s="277"/>
      <c r="R3053" s="277"/>
      <c r="S3053" s="157"/>
      <c r="T3053" s="157"/>
      <c r="U3053" s="157"/>
      <c r="V3053" s="3589"/>
      <c r="W3053" s="602">
        <v>1624</v>
      </c>
      <c r="X3053" s="605">
        <f>$R$1686*(X$1718/12000)*X$2742</f>
        <v>2027.1999999999998</v>
      </c>
      <c r="Y3053" s="605">
        <v>580</v>
      </c>
      <c r="Z3053" s="602">
        <v>580</v>
      </c>
      <c r="AA3053" s="602">
        <v>580</v>
      </c>
      <c r="AB3053" s="602">
        <v>724</v>
      </c>
      <c r="AC3053" s="884"/>
      <c r="AD3053" s="884"/>
      <c r="AE3053" s="884"/>
      <c r="AF3053" s="884"/>
      <c r="AG3053" s="884"/>
      <c r="BB3053" s="647"/>
      <c r="BC3053" s="648"/>
      <c r="BD3053" s="757"/>
      <c r="BE3053" s="659"/>
    </row>
    <row r="3054" spans="1:57" s="64" customFormat="1" ht="15" customHeight="1" outlineLevel="1" x14ac:dyDescent="0.25">
      <c r="A3054" s="2463"/>
      <c r="B3054" s="648"/>
      <c r="C3054" s="385"/>
      <c r="D3054" s="3589"/>
      <c r="E3054" s="3721"/>
      <c r="F3054" s="3779" t="str">
        <f>E1479</f>
        <v>ASHP - SEER 17 - replace electric furnace / CAC SF</v>
      </c>
      <c r="G3054" s="3779"/>
      <c r="H3054" s="3779"/>
      <c r="I3054" s="3779"/>
      <c r="J3054" s="3073" t="str">
        <f>C1479</f>
        <v>353100_2019_12_</v>
      </c>
      <c r="K3054" s="602"/>
      <c r="L3054" s="767" t="str">
        <f>IF(K3054&gt;0,VLOOKUP(J3054,$J$1682:$L$1809,3,FALSE),"")</f>
        <v/>
      </c>
      <c r="M3054" s="1815" t="str">
        <f>IF(K3054&gt;0,VLOOKUP(J3054,$J$2706:$K$2833,2,FALSE),"")</f>
        <v/>
      </c>
      <c r="N3054" s="1249"/>
      <c r="O3054" s="277"/>
      <c r="P3054" s="937"/>
      <c r="Q3054" s="938"/>
      <c r="R3054" s="937"/>
      <c r="S3054" s="924"/>
      <c r="T3054" s="1407"/>
      <c r="U3054" s="157"/>
      <c r="V3054" s="3589"/>
      <c r="W3054" s="602"/>
      <c r="X3054" s="605"/>
      <c r="Y3054" s="605"/>
      <c r="Z3054" s="602"/>
      <c r="AA3054" s="602"/>
      <c r="AB3054" s="602"/>
      <c r="AC3054" s="884"/>
      <c r="AD3054" s="884"/>
      <c r="AE3054" s="884"/>
      <c r="AF3054" s="884"/>
      <c r="AG3054" s="884"/>
      <c r="BB3054" s="647"/>
      <c r="BC3054" s="648"/>
      <c r="BD3054" s="757"/>
      <c r="BE3054" s="659"/>
    </row>
    <row r="3055" spans="1:57" s="64" customFormat="1" ht="15" customHeight="1" outlineLevel="1" x14ac:dyDescent="0.25">
      <c r="A3055" s="2463"/>
      <c r="B3055" s="648"/>
      <c r="C3055" s="385"/>
      <c r="D3055" s="3589"/>
      <c r="E3055" s="3721"/>
      <c r="F3055" s="3779" t="str">
        <f>E1480</f>
        <v>ASHP - SEER 17 - replace electric furnace / CAC MF</v>
      </c>
      <c r="G3055" s="3779"/>
      <c r="H3055" s="3779"/>
      <c r="I3055" s="3779"/>
      <c r="J3055" s="3073" t="str">
        <f>C1480</f>
        <v>353150_2019_12_</v>
      </c>
      <c r="K3055" s="602">
        <f>$R$1686*K$2710</f>
        <v>724</v>
      </c>
      <c r="L3055" s="767">
        <f>VLOOKUP(J3055,$J$1682:$L$1809,3,FALSE)*M3055</f>
        <v>1.8199999999999998</v>
      </c>
      <c r="M3055" s="1815">
        <f>VLOOKUP(J3055,$J$2706:$K$2833,2,FALSE)</f>
        <v>0.65</v>
      </c>
      <c r="N3055" s="1249"/>
      <c r="O3055" s="277"/>
      <c r="P3055" s="937"/>
      <c r="Q3055" s="938"/>
      <c r="R3055" s="937"/>
      <c r="S3055" s="924"/>
      <c r="T3055" s="1407"/>
      <c r="U3055" s="157"/>
      <c r="V3055" s="3589"/>
      <c r="W3055" s="602">
        <v>1624</v>
      </c>
      <c r="X3055" s="605">
        <f>$R$1686*(X$1719/12000)*X$2743</f>
        <v>1317.6799999999998</v>
      </c>
      <c r="Y3055" s="605">
        <v>580</v>
      </c>
      <c r="Z3055" s="602">
        <v>580</v>
      </c>
      <c r="AA3055" s="602">
        <v>580</v>
      </c>
      <c r="AB3055" s="602">
        <v>724</v>
      </c>
      <c r="AC3055" s="884"/>
      <c r="AD3055" s="884"/>
      <c r="AE3055" s="884"/>
      <c r="AF3055" s="884"/>
      <c r="AG3055" s="884"/>
      <c r="BB3055" s="647"/>
      <c r="BC3055" s="648"/>
      <c r="BD3055" s="757"/>
      <c r="BE3055" s="659"/>
    </row>
    <row r="3056" spans="1:57" s="64" customFormat="1" ht="15" customHeight="1" outlineLevel="1" x14ac:dyDescent="0.25">
      <c r="A3056" s="2463"/>
      <c r="B3056" s="648"/>
      <c r="C3056" s="385"/>
      <c r="D3056" s="3589"/>
      <c r="E3056" s="3721"/>
      <c r="F3056" s="3779" t="str">
        <f>E1481</f>
        <v>ASHP - SEER 17 - replace electric furnace / CAC MF</v>
      </c>
      <c r="G3056" s="3779"/>
      <c r="H3056" s="3779"/>
      <c r="I3056" s="3779"/>
      <c r="J3056" s="3073" t="str">
        <f>C1481</f>
        <v>353150_2019_12_</v>
      </c>
      <c r="K3056" s="602"/>
      <c r="L3056" s="767" t="str">
        <f>IF(K3056&gt;0,VLOOKUP(J3056,$J$1682:$L$1809,3,FALSE),"")</f>
        <v/>
      </c>
      <c r="M3056" s="1815" t="str">
        <f>IF(K3056&gt;0,VLOOKUP(J3056,$J$2706:$K$2833,2,FALSE),"")</f>
        <v/>
      </c>
      <c r="N3056" s="1249"/>
      <c r="O3056" s="277"/>
      <c r="P3056" s="937"/>
      <c r="Q3056" s="938"/>
      <c r="R3056" s="937"/>
      <c r="S3056" s="924"/>
      <c r="T3056" s="1407"/>
      <c r="U3056" s="157"/>
      <c r="V3056" s="3589"/>
      <c r="W3056" s="602"/>
      <c r="X3056" s="605"/>
      <c r="Y3056" s="605"/>
      <c r="Z3056" s="602"/>
      <c r="AA3056" s="602"/>
      <c r="AB3056" s="602"/>
      <c r="AC3056" s="884"/>
      <c r="AD3056" s="884"/>
      <c r="AE3056" s="884"/>
      <c r="AF3056" s="884"/>
      <c r="AG3056" s="884"/>
      <c r="BB3056" s="647"/>
      <c r="BC3056" s="648"/>
      <c r="BD3056" s="757"/>
      <c r="BE3056" s="659"/>
    </row>
    <row r="3057" spans="1:57" s="64" customFormat="1" ht="15" customHeight="1" outlineLevel="1" x14ac:dyDescent="0.25">
      <c r="A3057" s="2463"/>
      <c r="B3057" s="648"/>
      <c r="C3057" s="385"/>
      <c r="D3057" s="3589"/>
      <c r="E3057" s="3721"/>
      <c r="F3057" s="3779" t="str">
        <f>E1484</f>
        <v>ASHP - SEER 18 - replace electric furnace / CAC SF</v>
      </c>
      <c r="G3057" s="3779"/>
      <c r="H3057" s="3779"/>
      <c r="I3057" s="3779"/>
      <c r="J3057" s="3073" t="str">
        <f>C1484</f>
        <v>353200_2019_12_</v>
      </c>
      <c r="K3057" s="602">
        <f>$R$1687*K$2710</f>
        <v>962.92000000000007</v>
      </c>
      <c r="L3057" s="767">
        <f>VLOOKUP(J3057,$J$1682:$L$1809,3,FALSE)*M3057</f>
        <v>3</v>
      </c>
      <c r="M3057" s="1815">
        <f>VLOOKUP(J3057,$J$2706:$K$2833,2,FALSE)</f>
        <v>1</v>
      </c>
      <c r="N3057" s="1249"/>
      <c r="O3057" s="277"/>
      <c r="P3057" s="937"/>
      <c r="Q3057" s="938"/>
      <c r="R3057" s="937"/>
      <c r="S3057" s="924"/>
      <c r="T3057" s="1407"/>
      <c r="U3057" s="157"/>
      <c r="V3057" s="3589"/>
      <c r="W3057" s="602">
        <v>1997.3333333333333</v>
      </c>
      <c r="X3057" s="605">
        <f>$R$1687*(X$1721/12000)*X$2745</f>
        <v>2696.1759999999999</v>
      </c>
      <c r="Y3057" s="605">
        <v>713.33333333333337</v>
      </c>
      <c r="Z3057" s="602">
        <v>713.33333333333337</v>
      </c>
      <c r="AA3057" s="602">
        <v>713.33333333333337</v>
      </c>
      <c r="AB3057" s="602">
        <v>962.92000000000007</v>
      </c>
      <c r="AC3057" s="884"/>
      <c r="AD3057" s="884"/>
      <c r="AE3057" s="884"/>
      <c r="AF3057" s="884"/>
      <c r="AG3057" s="884"/>
      <c r="BB3057" s="647"/>
      <c r="BC3057" s="648"/>
      <c r="BD3057" s="757"/>
      <c r="BE3057" s="659"/>
    </row>
    <row r="3058" spans="1:57" s="64" customFormat="1" ht="15" customHeight="1" outlineLevel="1" x14ac:dyDescent="0.25">
      <c r="A3058" s="2463"/>
      <c r="B3058" s="648"/>
      <c r="C3058" s="385"/>
      <c r="D3058" s="3589"/>
      <c r="E3058" s="3721"/>
      <c r="F3058" s="3779" t="str">
        <f>E1485</f>
        <v>ASHP - SEER 18 - replace electric furnace / CAC SF</v>
      </c>
      <c r="G3058" s="3779"/>
      <c r="H3058" s="3779"/>
      <c r="I3058" s="3779"/>
      <c r="J3058" s="3073" t="str">
        <f>C1485</f>
        <v>353200_2019_12_</v>
      </c>
      <c r="K3058" s="602"/>
      <c r="L3058" s="767" t="str">
        <f>IF(K3058&gt;0,VLOOKUP(J3058,$J$1682:$L$1809,3,FALSE),"")</f>
        <v/>
      </c>
      <c r="M3058" s="1815" t="str">
        <f>IF(K3058&gt;0,VLOOKUP(J3058,$J$2706:$K$2833,2,FALSE),"")</f>
        <v/>
      </c>
      <c r="N3058" s="1249"/>
      <c r="O3058" s="277"/>
      <c r="P3058" s="937"/>
      <c r="Q3058" s="938"/>
      <c r="R3058" s="937"/>
      <c r="S3058" s="924"/>
      <c r="T3058" s="1407"/>
      <c r="U3058" s="157"/>
      <c r="V3058" s="3589"/>
      <c r="W3058" s="602"/>
      <c r="X3058" s="605"/>
      <c r="Y3058" s="605"/>
      <c r="Z3058" s="602"/>
      <c r="AA3058" s="602"/>
      <c r="AB3058" s="602"/>
      <c r="AC3058" s="884"/>
      <c r="AD3058" s="884"/>
      <c r="AE3058" s="884"/>
      <c r="AF3058" s="884"/>
      <c r="AG3058" s="884"/>
      <c r="BB3058" s="647"/>
      <c r="BC3058" s="648"/>
      <c r="BD3058" s="757"/>
      <c r="BE3058" s="659"/>
    </row>
    <row r="3059" spans="1:57" s="64" customFormat="1" ht="15" customHeight="1" outlineLevel="1" x14ac:dyDescent="0.25">
      <c r="A3059" s="2463"/>
      <c r="B3059" s="648"/>
      <c r="C3059" s="385"/>
      <c r="D3059" s="3589"/>
      <c r="E3059" s="3721"/>
      <c r="F3059" s="3779" t="str">
        <f>E1486</f>
        <v>ASHP - SEER 18 - replace electric furnace / CAC MF</v>
      </c>
      <c r="G3059" s="3779"/>
      <c r="H3059" s="3779"/>
      <c r="I3059" s="3779"/>
      <c r="J3059" s="3073" t="str">
        <f>C1486</f>
        <v>353250_2019_12_</v>
      </c>
      <c r="K3059" s="602">
        <f>$R$1687*K$2710</f>
        <v>962.92000000000007</v>
      </c>
      <c r="L3059" s="767">
        <f>VLOOKUP(J3059,$J$1682:$L$1809,3,FALSE)*M3059</f>
        <v>2.6</v>
      </c>
      <c r="M3059" s="1815">
        <f>VLOOKUP(J3059,$J$2706:$K$2833,2,FALSE)</f>
        <v>0.65</v>
      </c>
      <c r="N3059" s="1249"/>
      <c r="O3059" s="277"/>
      <c r="P3059" s="937"/>
      <c r="Q3059" s="938"/>
      <c r="R3059" s="937"/>
      <c r="S3059" s="924"/>
      <c r="T3059" s="1407"/>
      <c r="U3059" s="157"/>
      <c r="V3059" s="3589"/>
      <c r="W3059" s="602">
        <v>1997.3333333333333</v>
      </c>
      <c r="X3059" s="605">
        <f>$R$1687*(X$1722/12000)*X$2746</f>
        <v>1752.5144</v>
      </c>
      <c r="Y3059" s="605">
        <v>713.33333333333337</v>
      </c>
      <c r="Z3059" s="602">
        <v>713.33333333333337</v>
      </c>
      <c r="AA3059" s="602">
        <v>713.33333333333337</v>
      </c>
      <c r="AB3059" s="602">
        <v>962.92000000000007</v>
      </c>
      <c r="AC3059" s="884"/>
      <c r="AD3059" s="884"/>
      <c r="AE3059" s="884"/>
      <c r="AF3059" s="884"/>
      <c r="AG3059" s="884"/>
      <c r="BB3059" s="647"/>
      <c r="BC3059" s="648"/>
      <c r="BD3059" s="757"/>
      <c r="BE3059" s="659"/>
    </row>
    <row r="3060" spans="1:57" s="64" customFormat="1" ht="15" customHeight="1" outlineLevel="1" x14ac:dyDescent="0.25">
      <c r="A3060" s="2463"/>
      <c r="B3060" s="648"/>
      <c r="C3060" s="385"/>
      <c r="D3060" s="3589"/>
      <c r="E3060" s="3721"/>
      <c r="F3060" s="3779" t="str">
        <f>E1487</f>
        <v>ASHP - SEER 18 - replace electric furnace / CAC MF</v>
      </c>
      <c r="G3060" s="3779"/>
      <c r="H3060" s="3779"/>
      <c r="I3060" s="3779"/>
      <c r="J3060" s="3073" t="str">
        <f>C1487</f>
        <v>353250_2019_12_</v>
      </c>
      <c r="K3060" s="602"/>
      <c r="L3060" s="767" t="str">
        <f>IF(K3060&gt;0,VLOOKUP(J3060,$J$1682:$L$1809,3,FALSE),"")</f>
        <v/>
      </c>
      <c r="M3060" s="1815" t="str">
        <f>IF(K3060&gt;0,VLOOKUP(J3060,$J$2706:$K$2833,2,FALSE),"")</f>
        <v/>
      </c>
      <c r="N3060" s="1249"/>
      <c r="O3060" s="277"/>
      <c r="P3060" s="937"/>
      <c r="Q3060" s="938"/>
      <c r="R3060" s="937"/>
      <c r="S3060" s="924"/>
      <c r="T3060" s="1407"/>
      <c r="U3060" s="157"/>
      <c r="V3060" s="3589"/>
      <c r="W3060" s="602"/>
      <c r="X3060" s="605"/>
      <c r="Y3060" s="605"/>
      <c r="Z3060" s="602"/>
      <c r="AA3060" s="602"/>
      <c r="AB3060" s="602"/>
      <c r="AC3060" s="883"/>
      <c r="AD3060" s="883"/>
      <c r="AE3060" s="883"/>
      <c r="AF3060" s="883"/>
      <c r="AG3060" s="883"/>
      <c r="BB3060" s="647"/>
      <c r="BC3060" s="648"/>
      <c r="BD3060" s="757"/>
      <c r="BE3060" s="659"/>
    </row>
    <row r="3061" spans="1:57" s="64" customFormat="1" outlineLevel="1" x14ac:dyDescent="0.25">
      <c r="A3061" s="2463"/>
      <c r="B3061" s="648"/>
      <c r="C3061" s="385"/>
      <c r="D3061" s="3589"/>
      <c r="E3061" s="3721"/>
      <c r="F3061" s="3779" t="str">
        <f>E1490</f>
        <v>ASHP - SEER 19 - replace electric furnace / CAC SF</v>
      </c>
      <c r="G3061" s="3779"/>
      <c r="H3061" s="3779"/>
      <c r="I3061" s="3779"/>
      <c r="J3061" s="3073" t="str">
        <f>C1490</f>
        <v>353300_2019_12_</v>
      </c>
      <c r="K3061" s="602">
        <f>$R$1688*K$2710</f>
        <v>1203.6500000000003</v>
      </c>
      <c r="L3061" s="767">
        <f>VLOOKUP(J3061,$J$1682:$L$1809,3,FALSE)*M3061</f>
        <v>2.8</v>
      </c>
      <c r="M3061" s="1815">
        <f>VLOOKUP(J3061,$J$2706:$K$2833,2,FALSE)</f>
        <v>1</v>
      </c>
      <c r="N3061" s="1249"/>
      <c r="O3061" s="277"/>
      <c r="P3061" s="937"/>
      <c r="Q3061" s="938"/>
      <c r="R3061" s="937"/>
      <c r="S3061" s="924"/>
      <c r="T3061" s="1407"/>
      <c r="U3061" s="157"/>
      <c r="V3061" s="3589"/>
      <c r="W3061" s="602">
        <v>2277.3333333333335</v>
      </c>
      <c r="X3061" s="605">
        <f>$R$1688*(X$1724/12000)*X$2748</f>
        <v>3370.2200000000007</v>
      </c>
      <c r="Y3061" s="605">
        <v>813.33333333333337</v>
      </c>
      <c r="Z3061" s="602">
        <v>813.33333333333337</v>
      </c>
      <c r="AA3061" s="602">
        <v>813.33333333333337</v>
      </c>
      <c r="AB3061" s="602">
        <v>1203.6500000000003</v>
      </c>
      <c r="AC3061" s="884"/>
      <c r="AD3061" s="884"/>
      <c r="AE3061" s="884"/>
      <c r="AF3061" s="884"/>
      <c r="AG3061" s="884"/>
      <c r="BB3061" s="647"/>
      <c r="BC3061" s="648"/>
      <c r="BD3061" s="757"/>
      <c r="BE3061" s="659"/>
    </row>
    <row r="3062" spans="1:57" s="64" customFormat="1" outlineLevel="1" x14ac:dyDescent="0.25">
      <c r="A3062" s="2463"/>
      <c r="B3062" s="648"/>
      <c r="C3062" s="385"/>
      <c r="D3062" s="3589"/>
      <c r="E3062" s="3721"/>
      <c r="F3062" s="3779" t="str">
        <f>E1491</f>
        <v>ASHP - SEER 19 - replace electric furnace / CAC SF</v>
      </c>
      <c r="G3062" s="3779"/>
      <c r="H3062" s="3779"/>
      <c r="I3062" s="3779"/>
      <c r="J3062" s="3073" t="str">
        <f>C1491</f>
        <v>353300_2019_12_</v>
      </c>
      <c r="K3062" s="602"/>
      <c r="L3062" s="767" t="str">
        <f>IF(K3062&gt;0,VLOOKUP(J3062,$J$1682:$L$1809,3,FALSE),"")</f>
        <v/>
      </c>
      <c r="M3062" s="1815" t="str">
        <f>IF(K3062&gt;0,VLOOKUP(J3062,$J$2706:$K$2833,2,FALSE),"")</f>
        <v/>
      </c>
      <c r="N3062" s="1249"/>
      <c r="O3062" s="277"/>
      <c r="P3062" s="937"/>
      <c r="Q3062" s="938"/>
      <c r="R3062" s="937"/>
      <c r="S3062" s="924"/>
      <c r="T3062" s="1407"/>
      <c r="U3062" s="157"/>
      <c r="V3062" s="3589"/>
      <c r="W3062" s="602"/>
      <c r="X3062" s="605"/>
      <c r="Y3062" s="605"/>
      <c r="Z3062" s="602"/>
      <c r="AA3062" s="602"/>
      <c r="AB3062" s="602"/>
      <c r="AC3062" s="884"/>
      <c r="AD3062" s="884"/>
      <c r="AE3062" s="884"/>
      <c r="AF3062" s="884"/>
      <c r="AG3062" s="884"/>
      <c r="BB3062" s="647"/>
      <c r="BC3062" s="648"/>
      <c r="BD3062" s="757"/>
      <c r="BE3062" s="659"/>
    </row>
    <row r="3063" spans="1:57" s="64" customFormat="1" outlineLevel="1" x14ac:dyDescent="0.25">
      <c r="A3063" s="2463"/>
      <c r="B3063" s="648"/>
      <c r="C3063" s="385"/>
      <c r="D3063" s="3589"/>
      <c r="E3063" s="3721"/>
      <c r="F3063" s="3779" t="str">
        <f>E1492</f>
        <v>ASHP - SEER 19 - replace electric furnace / CAC MF</v>
      </c>
      <c r="G3063" s="3779"/>
      <c r="H3063" s="3779"/>
      <c r="I3063" s="3779"/>
      <c r="J3063" s="3073" t="str">
        <f>C1492</f>
        <v>353350_2019_12_</v>
      </c>
      <c r="K3063" s="602">
        <f>$R$1688*K$2710</f>
        <v>1203.6500000000003</v>
      </c>
      <c r="L3063" s="767">
        <f>VLOOKUP(J3063,$J$1682:$L$1809,3,FALSE)*M3063</f>
        <v>1.8199999999999998</v>
      </c>
      <c r="M3063" s="1815">
        <f>VLOOKUP(J3063,$J$2706:$K$2833,2,FALSE)</f>
        <v>0.65</v>
      </c>
      <c r="N3063" s="1249"/>
      <c r="O3063" s="277"/>
      <c r="P3063" s="937"/>
      <c r="Q3063" s="938"/>
      <c r="R3063" s="937"/>
      <c r="S3063" s="924"/>
      <c r="T3063" s="1407"/>
      <c r="U3063" s="157"/>
      <c r="V3063" s="3589"/>
      <c r="W3063" s="602">
        <v>2277.3333333333335</v>
      </c>
      <c r="X3063" s="605">
        <f>$R$1688*(X$1725/12000)*X$2749</f>
        <v>2190.6430000000005</v>
      </c>
      <c r="Y3063" s="605">
        <v>813.33333333333337</v>
      </c>
      <c r="Z3063" s="602">
        <v>813.33333333333337</v>
      </c>
      <c r="AA3063" s="602">
        <v>813.33333333333337</v>
      </c>
      <c r="AB3063" s="602">
        <v>1203.6500000000003</v>
      </c>
      <c r="AC3063" s="884"/>
      <c r="AD3063" s="884"/>
      <c r="AE3063" s="884"/>
      <c r="AF3063" s="884"/>
      <c r="AG3063" s="884"/>
      <c r="BB3063" s="647"/>
      <c r="BC3063" s="648"/>
      <c r="BD3063" s="757"/>
      <c r="BE3063" s="659"/>
    </row>
    <row r="3064" spans="1:57" s="64" customFormat="1" outlineLevel="1" x14ac:dyDescent="0.25">
      <c r="A3064" s="2463"/>
      <c r="B3064" s="648"/>
      <c r="C3064" s="385"/>
      <c r="D3064" s="3589"/>
      <c r="E3064" s="3721"/>
      <c r="F3064" s="3779" t="str">
        <f>E1493</f>
        <v>ASHP - SEER 19 - replace electric furnace / CAC MF</v>
      </c>
      <c r="G3064" s="3779"/>
      <c r="H3064" s="3779"/>
      <c r="I3064" s="3779"/>
      <c r="J3064" s="3073" t="str">
        <f>C1493</f>
        <v>353350_2019_12_</v>
      </c>
      <c r="K3064" s="602"/>
      <c r="L3064" s="767" t="str">
        <f>IF(K3064&gt;0,VLOOKUP(J3064,$J$1682:$L$1809,3,FALSE),"")</f>
        <v/>
      </c>
      <c r="M3064" s="1815" t="str">
        <f>IF(K3064&gt;0,VLOOKUP(J3064,$J$2706:$K$2833,2,FALSE),"")</f>
        <v/>
      </c>
      <c r="N3064" s="1249"/>
      <c r="O3064" s="277"/>
      <c r="P3064" s="937"/>
      <c r="Q3064" s="938"/>
      <c r="R3064" s="937"/>
      <c r="S3064" s="924"/>
      <c r="T3064" s="1407"/>
      <c r="U3064" s="157"/>
      <c r="V3064" s="3589"/>
      <c r="W3064" s="602"/>
      <c r="X3064" s="605"/>
      <c r="Y3064" s="605"/>
      <c r="Z3064" s="602"/>
      <c r="AA3064" s="602"/>
      <c r="AB3064" s="602"/>
      <c r="AC3064" s="884"/>
      <c r="AD3064" s="884"/>
      <c r="AE3064" s="884"/>
      <c r="AF3064" s="884"/>
      <c r="AG3064" s="884"/>
      <c r="BB3064" s="647"/>
      <c r="BC3064" s="648"/>
      <c r="BD3064" s="757"/>
      <c r="BE3064" s="659"/>
    </row>
    <row r="3065" spans="1:57" s="64" customFormat="1" outlineLevel="1" x14ac:dyDescent="0.25">
      <c r="A3065" s="2463"/>
      <c r="B3065" s="648"/>
      <c r="C3065" s="385"/>
      <c r="D3065" s="3589"/>
      <c r="E3065" s="3721"/>
      <c r="F3065" s="3779" t="str">
        <f t="shared" ref="F3065:F3072" si="248">E1496</f>
        <v>ASHP - SEER 20 - replace electric furnace / CAC - early replacement SF ER1</v>
      </c>
      <c r="G3065" s="3779"/>
      <c r="H3065" s="3779"/>
      <c r="I3065" s="3779"/>
      <c r="J3065" s="3073" t="str">
        <f t="shared" ref="J3065:J3072" si="249">C1496</f>
        <v>353400_2019_12_</v>
      </c>
      <c r="K3065" s="602">
        <f>(($R$1696*L3065)+$R$1689)-(($Q$1696*L3065)/((1+$R$1698)^($R$1699-1)))</f>
        <v>2185.0873864864097</v>
      </c>
      <c r="L3065" s="767">
        <f>VLOOKUP(J3065,$J$1682:$L$1809,3,FALSE)*M3065</f>
        <v>3.1</v>
      </c>
      <c r="M3065" s="1815">
        <f>VLOOKUP(J3065,$J$2706:$K$2833,2,FALSE)</f>
        <v>1</v>
      </c>
      <c r="N3065" s="1249"/>
      <c r="O3065" s="277"/>
      <c r="P3065" s="937"/>
      <c r="Q3065" s="938"/>
      <c r="R3065" s="937"/>
      <c r="S3065" s="924"/>
      <c r="T3065" s="1407"/>
      <c r="U3065" s="157"/>
      <c r="V3065" s="3589"/>
      <c r="W3065" s="602">
        <v>5275.2377829603429</v>
      </c>
      <c r="X3065" s="605">
        <f>$Q$1689*(X$1727/12000)*X$2751</f>
        <v>6699.7001594592275</v>
      </c>
      <c r="Y3065" s="605">
        <v>2032.6993716056036</v>
      </c>
      <c r="Z3065" s="602">
        <v>2032.6993716056036</v>
      </c>
      <c r="AA3065" s="602">
        <v>2032.6993716056036</v>
      </c>
      <c r="AB3065" s="602">
        <v>1444.3799999999994</v>
      </c>
      <c r="AC3065" s="884"/>
      <c r="AD3065" s="884"/>
      <c r="AE3065" s="884"/>
      <c r="AF3065" s="884"/>
      <c r="AG3065" s="884"/>
      <c r="BB3065" s="647"/>
      <c r="BC3065" s="648"/>
      <c r="BD3065" s="757"/>
      <c r="BE3065" s="659"/>
    </row>
    <row r="3066" spans="1:57" s="64" customFormat="1" outlineLevel="1" x14ac:dyDescent="0.25">
      <c r="A3066" s="2463"/>
      <c r="B3066" s="648"/>
      <c r="C3066" s="385"/>
      <c r="D3066" s="3589"/>
      <c r="E3066" s="3721"/>
      <c r="F3066" s="3779" t="str">
        <f t="shared" si="248"/>
        <v>ASHP - SEER 20 - replace electric furnace / CAC - early replacement SF ER1</v>
      </c>
      <c r="G3066" s="3779"/>
      <c r="H3066" s="3779"/>
      <c r="I3066" s="3779"/>
      <c r="J3066" s="3073" t="str">
        <f t="shared" si="249"/>
        <v>353400_2019_12_</v>
      </c>
      <c r="K3066" s="602"/>
      <c r="L3066" s="767" t="str">
        <f>IF(K3066&gt;0,VLOOKUP(J3066,$J$1682:$L$1809,3,FALSE),"")</f>
        <v/>
      </c>
      <c r="M3066" s="1815" t="str">
        <f>IF(K3066&gt;0,VLOOKUP(J3066,$J$2706:$K$2833,2,FALSE),"")</f>
        <v/>
      </c>
      <c r="N3066" s="1249"/>
      <c r="O3066" s="277"/>
      <c r="P3066" s="937"/>
      <c r="Q3066" s="938"/>
      <c r="R3066" s="937"/>
      <c r="S3066" s="924"/>
      <c r="T3066" s="1407"/>
      <c r="U3066" s="157"/>
      <c r="V3066" s="3589"/>
      <c r="W3066" s="602"/>
      <c r="X3066" s="605"/>
      <c r="Y3066" s="605"/>
      <c r="Z3066" s="602"/>
      <c r="AA3066" s="602"/>
      <c r="AB3066" s="602"/>
      <c r="AC3066" s="884"/>
      <c r="AD3066" s="884"/>
      <c r="AE3066" s="884"/>
      <c r="AF3066" s="884"/>
      <c r="AG3066" s="884"/>
      <c r="BB3066" s="647"/>
      <c r="BC3066" s="648"/>
      <c r="BD3066" s="757"/>
      <c r="BE3066" s="659"/>
    </row>
    <row r="3067" spans="1:57" s="64" customFormat="1" outlineLevel="1" x14ac:dyDescent="0.25">
      <c r="A3067" s="2463"/>
      <c r="B3067" s="648"/>
      <c r="C3067" s="385"/>
      <c r="D3067" s="3589"/>
      <c r="E3067" s="3721"/>
      <c r="F3067" s="3779" t="str">
        <f t="shared" si="248"/>
        <v>ASHP - SEER 20 - replace electric furnace / CAC - early replacement SF ER2</v>
      </c>
      <c r="G3067" s="3779"/>
      <c r="H3067" s="3779"/>
      <c r="I3067" s="3779"/>
      <c r="J3067" s="3073" t="str">
        <f t="shared" si="249"/>
        <v>353400_2019_12_</v>
      </c>
      <c r="K3067" s="602"/>
      <c r="L3067" s="767" t="str">
        <f>IF(K3067&gt;0,VLOOKUP(J3067,$J$1682:$L$1809,3,FALSE),"")</f>
        <v/>
      </c>
      <c r="M3067" s="1815" t="str">
        <f>IF(K3067&gt;0,VLOOKUP(J3067,$J$2706:$K$2833,2,FALSE),"")</f>
        <v/>
      </c>
      <c r="N3067" s="1249"/>
      <c r="O3067" s="277"/>
      <c r="P3067" s="937"/>
      <c r="Q3067" s="938"/>
      <c r="R3067" s="937"/>
      <c r="S3067" s="924"/>
      <c r="T3067" s="1407"/>
      <c r="U3067" s="157"/>
      <c r="V3067" s="3589"/>
      <c r="W3067" s="602"/>
      <c r="X3067" s="605"/>
      <c r="Y3067" s="605"/>
      <c r="Z3067" s="602"/>
      <c r="AA3067" s="602"/>
      <c r="AB3067" s="602"/>
      <c r="AC3067" s="884"/>
      <c r="AD3067" s="884"/>
      <c r="AE3067" s="884"/>
      <c r="AF3067" s="884"/>
      <c r="AG3067" s="884"/>
      <c r="BB3067" s="647"/>
      <c r="BC3067" s="648"/>
      <c r="BD3067" s="757"/>
      <c r="BE3067" s="659"/>
    </row>
    <row r="3068" spans="1:57" s="64" customFormat="1" outlineLevel="1" x14ac:dyDescent="0.25">
      <c r="A3068" s="2463"/>
      <c r="B3068" s="648"/>
      <c r="C3068" s="385"/>
      <c r="D3068" s="3589"/>
      <c r="E3068" s="3721"/>
      <c r="F3068" s="3779" t="str">
        <f t="shared" si="248"/>
        <v>ASHP - SEER 20 - replace electric furnace / CAC - early replacement SF ER2</v>
      </c>
      <c r="G3068" s="3779"/>
      <c r="H3068" s="3779"/>
      <c r="I3068" s="3779"/>
      <c r="J3068" s="3073" t="str">
        <f t="shared" si="249"/>
        <v>353400_2019_12_</v>
      </c>
      <c r="K3068" s="602"/>
      <c r="L3068" s="767" t="str">
        <f>IF(K3068&gt;0,VLOOKUP(J3068,$J$1682:$L$1809,3,FALSE),"")</f>
        <v/>
      </c>
      <c r="M3068" s="1815" t="str">
        <f>IF(K3068&gt;0,VLOOKUP(J3068,$J$2706:$K$2833,2,FALSE),"")</f>
        <v/>
      </c>
      <c r="N3068" s="1249"/>
      <c r="O3068" s="277"/>
      <c r="P3068" s="937"/>
      <c r="Q3068" s="938"/>
      <c r="R3068" s="937"/>
      <c r="S3068" s="924"/>
      <c r="T3068" s="1407"/>
      <c r="U3068" s="157"/>
      <c r="V3068" s="3589"/>
      <c r="W3068" s="602"/>
      <c r="X3068" s="605"/>
      <c r="Y3068" s="605"/>
      <c r="Z3068" s="602"/>
      <c r="AA3068" s="602"/>
      <c r="AB3068" s="602"/>
      <c r="AC3068" s="884"/>
      <c r="AD3068" s="884"/>
      <c r="AE3068" s="884"/>
      <c r="AF3068" s="884"/>
      <c r="AG3068" s="884"/>
      <c r="BB3068" s="647"/>
      <c r="BC3068" s="648"/>
      <c r="BD3068" s="757"/>
      <c r="BE3068" s="659"/>
    </row>
    <row r="3069" spans="1:57" s="64" customFormat="1" outlineLevel="1" x14ac:dyDescent="0.25">
      <c r="A3069" s="2463"/>
      <c r="B3069" s="648"/>
      <c r="C3069" s="385"/>
      <c r="D3069" s="3589"/>
      <c r="E3069" s="3721"/>
      <c r="F3069" s="3779" t="str">
        <f t="shared" si="248"/>
        <v>ASHP - SEER 20 - replace electric furnace / CAC SF</v>
      </c>
      <c r="G3069" s="3779"/>
      <c r="H3069" s="3779"/>
      <c r="I3069" s="3779"/>
      <c r="J3069" s="3073" t="str">
        <f t="shared" si="249"/>
        <v>353450_2019_12_</v>
      </c>
      <c r="K3069" s="602">
        <f>$R$1689*K$2710</f>
        <v>1444.3799999999994</v>
      </c>
      <c r="L3069" s="767">
        <f>VLOOKUP(J3069,$J$1682:$L$1809,3,FALSE)*M3069</f>
        <v>3.2</v>
      </c>
      <c r="M3069" s="1815">
        <f>VLOOKUP(J3069,$J$2706:$K$2833,2,FALSE)</f>
        <v>1</v>
      </c>
      <c r="N3069" s="1249"/>
      <c r="O3069" s="277"/>
      <c r="P3069" s="937"/>
      <c r="Q3069" s="938"/>
      <c r="R3069" s="937"/>
      <c r="S3069" s="924"/>
      <c r="T3069" s="1407"/>
      <c r="U3069" s="157"/>
      <c r="V3069" s="3589"/>
      <c r="W3069" s="602">
        <v>3712</v>
      </c>
      <c r="X3069" s="605">
        <f>$R$1689*(X$1729/12000)*X$2753</f>
        <v>4622.0159999999987</v>
      </c>
      <c r="Y3069" s="605">
        <v>1160</v>
      </c>
      <c r="Z3069" s="602">
        <v>1160</v>
      </c>
      <c r="AA3069" s="602">
        <v>1160</v>
      </c>
      <c r="AB3069" s="602">
        <v>1444.3799999999994</v>
      </c>
      <c r="AC3069" s="884"/>
      <c r="AD3069" s="884"/>
      <c r="AE3069" s="884"/>
      <c r="AF3069" s="884"/>
      <c r="AG3069" s="884"/>
      <c r="BB3069" s="647"/>
      <c r="BC3069" s="648"/>
      <c r="BD3069" s="757"/>
      <c r="BE3069" s="659"/>
    </row>
    <row r="3070" spans="1:57" s="64" customFormat="1" outlineLevel="1" x14ac:dyDescent="0.25">
      <c r="A3070" s="2463"/>
      <c r="B3070" s="648"/>
      <c r="C3070" s="385"/>
      <c r="D3070" s="3589"/>
      <c r="E3070" s="3721"/>
      <c r="F3070" s="3779" t="str">
        <f t="shared" si="248"/>
        <v>ASHP - SEER 20 - replace electric furnace / CAC SF</v>
      </c>
      <c r="G3070" s="3779"/>
      <c r="H3070" s="3779"/>
      <c r="I3070" s="3779"/>
      <c r="J3070" s="3073" t="str">
        <f t="shared" si="249"/>
        <v>353450_2019_12_</v>
      </c>
      <c r="K3070" s="602"/>
      <c r="L3070" s="767" t="str">
        <f>IF(K3070&gt;0,VLOOKUP(J3070,$J$1682:$L$1809,3,FALSE),"")</f>
        <v/>
      </c>
      <c r="M3070" s="1815" t="str">
        <f>IF(K3070&gt;0,VLOOKUP(J3070,$J$2706:$K$2833,2,FALSE),"")</f>
        <v/>
      </c>
      <c r="N3070" s="1249"/>
      <c r="O3070" s="277"/>
      <c r="P3070" s="937"/>
      <c r="Q3070" s="938"/>
      <c r="R3070" s="937"/>
      <c r="S3070" s="924"/>
      <c r="T3070" s="1407"/>
      <c r="U3070" s="157"/>
      <c r="V3070" s="3589"/>
      <c r="W3070" s="602"/>
      <c r="X3070" s="605"/>
      <c r="Y3070" s="605"/>
      <c r="Z3070" s="602"/>
      <c r="AA3070" s="602"/>
      <c r="AB3070" s="602"/>
      <c r="AC3070" s="884"/>
      <c r="AD3070" s="884"/>
      <c r="AE3070" s="884"/>
      <c r="AF3070" s="884"/>
      <c r="AG3070" s="884"/>
      <c r="BB3070" s="647"/>
      <c r="BC3070" s="648"/>
      <c r="BD3070" s="757"/>
      <c r="BE3070" s="659"/>
    </row>
    <row r="3071" spans="1:57" s="64" customFormat="1" outlineLevel="1" x14ac:dyDescent="0.25">
      <c r="A3071" s="2463"/>
      <c r="B3071" s="648"/>
      <c r="C3071" s="385"/>
      <c r="D3071" s="3589"/>
      <c r="E3071" s="3721"/>
      <c r="F3071" s="3779" t="str">
        <f t="shared" si="248"/>
        <v>ASHP - SEER 20 - replace electric furnace / CAC MF</v>
      </c>
      <c r="G3071" s="3779"/>
      <c r="H3071" s="3779"/>
      <c r="I3071" s="3779"/>
      <c r="J3071" s="3073" t="str">
        <f t="shared" si="249"/>
        <v>353500_2019_12_</v>
      </c>
      <c r="K3071" s="602">
        <f>$R$1689*K$2710</f>
        <v>1444.3799999999994</v>
      </c>
      <c r="L3071" s="767">
        <f>VLOOKUP(J3071,$J$1682:$L$1809,3,FALSE)*M3071</f>
        <v>2.08</v>
      </c>
      <c r="M3071" s="1815">
        <f>VLOOKUP(J3071,$J$2706:$K$2833,2,FALSE)</f>
        <v>0.65</v>
      </c>
      <c r="N3071" s="1249"/>
      <c r="O3071" s="277"/>
      <c r="P3071" s="937"/>
      <c r="Q3071" s="938"/>
      <c r="R3071" s="937"/>
      <c r="S3071" s="924"/>
      <c r="T3071" s="1407"/>
      <c r="U3071" s="157"/>
      <c r="V3071" s="3589"/>
      <c r="W3071" s="602">
        <v>3596</v>
      </c>
      <c r="X3071" s="605">
        <f>$R$1689*(X$1730/12000)*X$2754</f>
        <v>3004.3103999999994</v>
      </c>
      <c r="Y3071" s="605">
        <v>1160</v>
      </c>
      <c r="Z3071" s="602">
        <v>1160</v>
      </c>
      <c r="AA3071" s="602">
        <v>1160</v>
      </c>
      <c r="AB3071" s="602">
        <v>1444.3799999999994</v>
      </c>
      <c r="AC3071" s="884"/>
      <c r="AD3071" s="884"/>
      <c r="AE3071" s="884"/>
      <c r="AF3071" s="884"/>
      <c r="AG3071" s="884"/>
      <c r="BB3071" s="647"/>
      <c r="BC3071" s="648"/>
      <c r="BD3071" s="757"/>
      <c r="BE3071" s="659"/>
    </row>
    <row r="3072" spans="1:57" s="64" customFormat="1" outlineLevel="1" x14ac:dyDescent="0.25">
      <c r="A3072" s="2463"/>
      <c r="B3072" s="648"/>
      <c r="C3072" s="385"/>
      <c r="D3072" s="3589"/>
      <c r="E3072" s="3721"/>
      <c r="F3072" s="3779" t="str">
        <f t="shared" si="248"/>
        <v>ASHP - SEER 20 - replace electric furnace / CAC MF</v>
      </c>
      <c r="G3072" s="3779"/>
      <c r="H3072" s="3779"/>
      <c r="I3072" s="3779"/>
      <c r="J3072" s="3073" t="str">
        <f t="shared" si="249"/>
        <v>353500_2019_12_</v>
      </c>
      <c r="K3072" s="602"/>
      <c r="L3072" s="767" t="str">
        <f>IF(K3072&gt;0,VLOOKUP(J3072,$J$1682:$L$1809,3,FALSE),"")</f>
        <v/>
      </c>
      <c r="M3072" s="1815" t="str">
        <f>IF(K3072&gt;0,VLOOKUP(J3072,$J$2706:$K$2833,2,FALSE),"")</f>
        <v/>
      </c>
      <c r="N3072" s="1249"/>
      <c r="O3072" s="277"/>
      <c r="P3072" s="937"/>
      <c r="Q3072" s="938"/>
      <c r="R3072" s="937"/>
      <c r="S3072" s="924"/>
      <c r="T3072" s="1407"/>
      <c r="U3072" s="157"/>
      <c r="V3072" s="3589"/>
      <c r="W3072" s="602"/>
      <c r="X3072" s="605"/>
      <c r="Y3072" s="605"/>
      <c r="Z3072" s="602"/>
      <c r="AA3072" s="602"/>
      <c r="AB3072" s="602"/>
      <c r="AC3072" s="884"/>
      <c r="AD3072" s="884"/>
      <c r="AE3072" s="884"/>
      <c r="AF3072" s="884"/>
      <c r="AG3072" s="884"/>
      <c r="BB3072" s="647"/>
      <c r="BC3072" s="648"/>
      <c r="BD3072" s="757"/>
      <c r="BE3072" s="659"/>
    </row>
    <row r="3073" spans="1:57" s="64" customFormat="1" outlineLevel="1" x14ac:dyDescent="0.25">
      <c r="A3073" s="2463"/>
      <c r="B3073" s="648"/>
      <c r="C3073" s="385"/>
      <c r="D3073" s="3589"/>
      <c r="E3073" s="3721"/>
      <c r="F3073" s="3779" t="str">
        <f t="shared" ref="F3073:F3080" si="250">E1506</f>
        <v>ASHP - SEER 21 - replace electric furnace / CAC - early replacement SF ER1</v>
      </c>
      <c r="G3073" s="3779"/>
      <c r="H3073" s="3779"/>
      <c r="I3073" s="3779"/>
      <c r="J3073" s="3073" t="str">
        <f t="shared" ref="J3073:J3080" si="251">C1506</f>
        <v>353550_2019_12_</v>
      </c>
      <c r="K3073" s="602">
        <f>(($R$1696*L3073)+$R$1690)-(($Q$1696*L3073)/((1+$R$1698)^($R$1699-1)))</f>
        <v>2430.6319864864099</v>
      </c>
      <c r="L3073" s="767">
        <f>VLOOKUP(J3073,$J$1682:$L$1809,3,FALSE)*M3073</f>
        <v>3.1</v>
      </c>
      <c r="M3073" s="1815">
        <f>VLOOKUP(J3073,$J$2706:$K$2833,2,FALSE)</f>
        <v>1</v>
      </c>
      <c r="N3073" s="1249"/>
      <c r="O3073" s="277"/>
      <c r="P3073" s="937"/>
      <c r="Q3073" s="938"/>
      <c r="R3073" s="937"/>
      <c r="S3073" s="924"/>
      <c r="T3073" s="1407"/>
      <c r="U3073" s="157"/>
      <c r="V3073" s="3589"/>
      <c r="W3073" s="602">
        <v>5275.2377829603429</v>
      </c>
      <c r="X3073" s="605">
        <f>$Q$1690*(X$1732/12000)*X$2756</f>
        <v>7460.8884194592283</v>
      </c>
      <c r="Y3073" s="605">
        <v>2032.6993716056036</v>
      </c>
      <c r="Z3073" s="602">
        <v>2032.6993716056036</v>
      </c>
      <c r="AA3073" s="602">
        <v>2032.6993716056036</v>
      </c>
      <c r="AB3073" s="602">
        <v>1689.9245999999991</v>
      </c>
      <c r="AC3073" s="884"/>
      <c r="AD3073" s="884"/>
      <c r="AE3073" s="884"/>
      <c r="AF3073" s="884"/>
      <c r="AG3073" s="884"/>
      <c r="BB3073" s="647"/>
      <c r="BC3073" s="648"/>
      <c r="BD3073" s="757"/>
      <c r="BE3073" s="659"/>
    </row>
    <row r="3074" spans="1:57" s="64" customFormat="1" outlineLevel="1" x14ac:dyDescent="0.25">
      <c r="A3074" s="2463"/>
      <c r="B3074" s="648"/>
      <c r="C3074" s="385"/>
      <c r="D3074" s="3589"/>
      <c r="E3074" s="3721"/>
      <c r="F3074" s="3779" t="str">
        <f t="shared" si="250"/>
        <v>ASHP - SEER 21 - replace electric furnace / CAC - early replacement SF ER1</v>
      </c>
      <c r="G3074" s="3779"/>
      <c r="H3074" s="3779"/>
      <c r="I3074" s="3779"/>
      <c r="J3074" s="3073" t="str">
        <f t="shared" si="251"/>
        <v>353550_2019_12_</v>
      </c>
      <c r="K3074" s="602"/>
      <c r="L3074" s="767" t="str">
        <f>IF(K3074&gt;0,VLOOKUP(J3074,$J$1682:$L$1809,3,FALSE),"")</f>
        <v/>
      </c>
      <c r="M3074" s="1815" t="str">
        <f>IF(K3074&gt;0,VLOOKUP(J3074,$J$2706:$K$2833,2,FALSE),"")</f>
        <v/>
      </c>
      <c r="N3074" s="1249"/>
      <c r="O3074" s="277"/>
      <c r="P3074" s="937"/>
      <c r="Q3074" s="938"/>
      <c r="R3074" s="937"/>
      <c r="S3074" s="924"/>
      <c r="T3074" s="1407"/>
      <c r="U3074" s="157"/>
      <c r="V3074" s="3589"/>
      <c r="W3074" s="602"/>
      <c r="X3074" s="605"/>
      <c r="Y3074" s="605"/>
      <c r="Z3074" s="602"/>
      <c r="AA3074" s="602"/>
      <c r="AB3074" s="602"/>
      <c r="AC3074" s="884"/>
      <c r="AD3074" s="884"/>
      <c r="AE3074" s="884"/>
      <c r="AF3074" s="884"/>
      <c r="AG3074" s="884"/>
      <c r="BB3074" s="647"/>
      <c r="BC3074" s="648"/>
      <c r="BD3074" s="757"/>
      <c r="BE3074" s="659"/>
    </row>
    <row r="3075" spans="1:57" s="64" customFormat="1" outlineLevel="1" x14ac:dyDescent="0.25">
      <c r="A3075" s="2463"/>
      <c r="B3075" s="648"/>
      <c r="C3075" s="385"/>
      <c r="D3075" s="3589"/>
      <c r="E3075" s="3721"/>
      <c r="F3075" s="3779" t="str">
        <f t="shared" si="250"/>
        <v>ASHP - SEER 21 - replace electric furnace / CAC - early replacement SF ER2</v>
      </c>
      <c r="G3075" s="3779"/>
      <c r="H3075" s="3779"/>
      <c r="I3075" s="3779"/>
      <c r="J3075" s="3073" t="str">
        <f t="shared" si="251"/>
        <v>353550_2019_12_</v>
      </c>
      <c r="K3075" s="602"/>
      <c r="L3075" s="767" t="str">
        <f>IF(K3075&gt;0,VLOOKUP(J3075,$J$1682:$L$1809,3,FALSE),"")</f>
        <v/>
      </c>
      <c r="M3075" s="1815" t="str">
        <f>IF(K3075&gt;0,VLOOKUP(J3075,$J$2706:$K$2833,2,FALSE),"")</f>
        <v/>
      </c>
      <c r="N3075" s="1249"/>
      <c r="O3075" s="277"/>
      <c r="P3075" s="937"/>
      <c r="Q3075" s="938"/>
      <c r="R3075" s="937"/>
      <c r="S3075" s="924"/>
      <c r="T3075" s="1407"/>
      <c r="U3075" s="157"/>
      <c r="V3075" s="3589"/>
      <c r="W3075" s="602"/>
      <c r="X3075" s="605"/>
      <c r="Y3075" s="605"/>
      <c r="Z3075" s="602"/>
      <c r="AA3075" s="602"/>
      <c r="AB3075" s="602"/>
      <c r="AC3075" s="884"/>
      <c r="AD3075" s="884"/>
      <c r="AE3075" s="884"/>
      <c r="AF3075" s="884"/>
      <c r="AG3075" s="884"/>
      <c r="BB3075" s="647"/>
      <c r="BC3075" s="648"/>
      <c r="BD3075" s="757"/>
      <c r="BE3075" s="659"/>
    </row>
    <row r="3076" spans="1:57" s="64" customFormat="1" outlineLevel="1" x14ac:dyDescent="0.25">
      <c r="A3076" s="2463"/>
      <c r="B3076" s="648"/>
      <c r="C3076" s="385"/>
      <c r="D3076" s="3589"/>
      <c r="E3076" s="3721"/>
      <c r="F3076" s="3779" t="str">
        <f t="shared" si="250"/>
        <v>ASHP - SEER 21 - replace electric furnace / CAC - early replacement SF ER2</v>
      </c>
      <c r="G3076" s="3779"/>
      <c r="H3076" s="3779"/>
      <c r="I3076" s="3779"/>
      <c r="J3076" s="3073" t="str">
        <f t="shared" si="251"/>
        <v>353550_2019_12_</v>
      </c>
      <c r="K3076" s="602"/>
      <c r="L3076" s="767" t="str">
        <f>IF(K3076&gt;0,VLOOKUP(J3076,$J$1682:$L$1809,3,FALSE),"")</f>
        <v/>
      </c>
      <c r="M3076" s="1815" t="str">
        <f>IF(K3076&gt;0,VLOOKUP(J3076,$J$2706:$K$2833,2,FALSE),"")</f>
        <v/>
      </c>
      <c r="N3076" s="1249"/>
      <c r="O3076" s="277"/>
      <c r="P3076" s="937"/>
      <c r="Q3076" s="938"/>
      <c r="R3076" s="937"/>
      <c r="S3076" s="924"/>
      <c r="T3076" s="1407"/>
      <c r="U3076" s="157"/>
      <c r="V3076" s="3589"/>
      <c r="W3076" s="602"/>
      <c r="X3076" s="605"/>
      <c r="Y3076" s="605"/>
      <c r="Z3076" s="602"/>
      <c r="AA3076" s="602"/>
      <c r="AB3076" s="602"/>
      <c r="AC3076" s="884"/>
      <c r="AD3076" s="884"/>
      <c r="AE3076" s="884"/>
      <c r="AF3076" s="884"/>
      <c r="AG3076" s="884"/>
      <c r="BB3076" s="647"/>
      <c r="BC3076" s="648"/>
      <c r="BD3076" s="757"/>
      <c r="BE3076" s="659"/>
    </row>
    <row r="3077" spans="1:57" s="64" customFormat="1" outlineLevel="1" x14ac:dyDescent="0.25">
      <c r="A3077" s="2463"/>
      <c r="B3077" s="648"/>
      <c r="C3077" s="385"/>
      <c r="D3077" s="3589"/>
      <c r="E3077" s="3721"/>
      <c r="F3077" s="3779" t="str">
        <f t="shared" si="250"/>
        <v>ASHP - SEER 21 - replace electric furnace / CAC - early replacement MF ER1</v>
      </c>
      <c r="G3077" s="3779"/>
      <c r="H3077" s="3779"/>
      <c r="I3077" s="3779"/>
      <c r="J3077" s="3073" t="str">
        <f t="shared" si="251"/>
        <v>353600_2019_12_</v>
      </c>
      <c r="K3077" s="602">
        <f>(($R$1696*L3077)+$R$1690)-(($Q$1696*L3077)/((1+$R$1698)^($R$1699-1)))</f>
        <v>2171.3844012161662</v>
      </c>
      <c r="L3077" s="767">
        <f>VLOOKUP(J3077,$J$1682:$L$1809,3,FALSE)*M3077</f>
        <v>2.0150000000000001</v>
      </c>
      <c r="M3077" s="1815">
        <f>VLOOKUP(J3077,$J$2706:$K$2833,2,FALSE)</f>
        <v>0.65</v>
      </c>
      <c r="N3077" s="1249"/>
      <c r="O3077" s="277"/>
      <c r="P3077" s="937"/>
      <c r="Q3077" s="938"/>
      <c r="R3077" s="937"/>
      <c r="S3077" s="924"/>
      <c r="T3077" s="1407"/>
      <c r="U3077" s="157"/>
      <c r="V3077" s="3589"/>
      <c r="W3077" s="602">
        <v>5275.2377829603429</v>
      </c>
      <c r="X3077" s="605">
        <f>$Q$1690*(X$1734/12000)*X$2758</f>
        <v>4849.5774726484988</v>
      </c>
      <c r="Y3077" s="605">
        <v>1727.2545915436422</v>
      </c>
      <c r="Z3077" s="602">
        <v>1727.2545915436422</v>
      </c>
      <c r="AA3077" s="602">
        <v>1727.2545915436422</v>
      </c>
      <c r="AB3077" s="602">
        <v>1689.9245999999991</v>
      </c>
      <c r="AC3077" s="884"/>
      <c r="AD3077" s="884"/>
      <c r="AE3077" s="884"/>
      <c r="AF3077" s="884"/>
      <c r="AG3077" s="884"/>
      <c r="BB3077" s="647"/>
      <c r="BC3077" s="648"/>
      <c r="BD3077" s="757"/>
      <c r="BE3077" s="659"/>
    </row>
    <row r="3078" spans="1:57" s="64" customFormat="1" outlineLevel="1" x14ac:dyDescent="0.25">
      <c r="A3078" s="2463"/>
      <c r="B3078" s="648"/>
      <c r="C3078" s="385"/>
      <c r="D3078" s="3589"/>
      <c r="E3078" s="3721"/>
      <c r="F3078" s="3779" t="str">
        <f t="shared" si="250"/>
        <v>ASHP - SEER 21 - replace electric furnace / CAC - early replacement MF ER1</v>
      </c>
      <c r="G3078" s="3779"/>
      <c r="H3078" s="3779"/>
      <c r="I3078" s="3779"/>
      <c r="J3078" s="3073" t="str">
        <f t="shared" si="251"/>
        <v>353600_2019_12_</v>
      </c>
      <c r="K3078" s="602"/>
      <c r="L3078" s="767" t="str">
        <f>IF(K3078&gt;0,VLOOKUP(J3078,$J$1682:$L$1809,3,FALSE),"")</f>
        <v/>
      </c>
      <c r="M3078" s="1815" t="str">
        <f>IF(K3078&gt;0,VLOOKUP(J3078,$J$2706:$K$2833,2,FALSE),"")</f>
        <v/>
      </c>
      <c r="N3078" s="1249"/>
      <c r="O3078" s="277"/>
      <c r="P3078" s="937"/>
      <c r="Q3078" s="938"/>
      <c r="R3078" s="937"/>
      <c r="S3078" s="924"/>
      <c r="T3078" s="1407"/>
      <c r="U3078" s="157"/>
      <c r="V3078" s="3589"/>
      <c r="W3078" s="602"/>
      <c r="X3078" s="605"/>
      <c r="Y3078" s="605"/>
      <c r="Z3078" s="602"/>
      <c r="AA3078" s="602"/>
      <c r="AB3078" s="602"/>
      <c r="AC3078" s="884"/>
      <c r="AD3078" s="884"/>
      <c r="AE3078" s="884"/>
      <c r="AF3078" s="884"/>
      <c r="AG3078" s="884"/>
      <c r="BB3078" s="647"/>
      <c r="BC3078" s="648"/>
      <c r="BD3078" s="757"/>
      <c r="BE3078" s="659"/>
    </row>
    <row r="3079" spans="1:57" s="64" customFormat="1" outlineLevel="1" x14ac:dyDescent="0.25">
      <c r="A3079" s="2463"/>
      <c r="B3079" s="648"/>
      <c r="C3079" s="385"/>
      <c r="D3079" s="3589"/>
      <c r="E3079" s="3721"/>
      <c r="F3079" s="3779" t="str">
        <f t="shared" si="250"/>
        <v>ASHP - SEER 21 - replace electric furnace / CAC - early replacement MF ER2</v>
      </c>
      <c r="G3079" s="3779"/>
      <c r="H3079" s="3779"/>
      <c r="I3079" s="3779"/>
      <c r="J3079" s="3073" t="str">
        <f t="shared" si="251"/>
        <v>353600_2019_12_</v>
      </c>
      <c r="K3079" s="602"/>
      <c r="L3079" s="767" t="str">
        <f>IF(K3079&gt;0,VLOOKUP(J3079,$J$1682:$L$1809,3,FALSE),"")</f>
        <v/>
      </c>
      <c r="M3079" s="1815" t="str">
        <f>IF(K3079&gt;0,VLOOKUP(J3079,$J$2706:$K$2833,2,FALSE),"")</f>
        <v/>
      </c>
      <c r="N3079" s="1249"/>
      <c r="O3079" s="277"/>
      <c r="P3079" s="937"/>
      <c r="Q3079" s="938"/>
      <c r="R3079" s="937"/>
      <c r="S3079" s="924"/>
      <c r="T3079" s="1407"/>
      <c r="U3079" s="157"/>
      <c r="V3079" s="3589"/>
      <c r="W3079" s="602"/>
      <c r="X3079" s="605"/>
      <c r="Y3079" s="605"/>
      <c r="Z3079" s="602"/>
      <c r="AA3079" s="602"/>
      <c r="AB3079" s="602"/>
      <c r="AC3079" s="884"/>
      <c r="AD3079" s="884"/>
      <c r="AE3079" s="884"/>
      <c r="AF3079" s="884"/>
      <c r="AG3079" s="884"/>
      <c r="BB3079" s="647"/>
      <c r="BC3079" s="648"/>
      <c r="BD3079" s="757"/>
      <c r="BE3079" s="659"/>
    </row>
    <row r="3080" spans="1:57" s="64" customFormat="1" outlineLevel="1" x14ac:dyDescent="0.25">
      <c r="A3080" s="2463"/>
      <c r="B3080" s="648"/>
      <c r="C3080" s="385"/>
      <c r="D3080" s="3589"/>
      <c r="E3080" s="3721"/>
      <c r="F3080" s="3779" t="str">
        <f t="shared" si="250"/>
        <v>ASHP - SEER 21 - replace electric furnace / CAC - early replacement MF ER2</v>
      </c>
      <c r="G3080" s="3779"/>
      <c r="H3080" s="3779"/>
      <c r="I3080" s="3779"/>
      <c r="J3080" s="3073" t="str">
        <f t="shared" si="251"/>
        <v>353600_2019_12_</v>
      </c>
      <c r="K3080" s="602"/>
      <c r="L3080" s="767" t="str">
        <f>IF(K3080&gt;0,VLOOKUP(J3080,$J$1682:$L$1809,3,FALSE),"")</f>
        <v/>
      </c>
      <c r="M3080" s="1815" t="str">
        <f>IF(K3080&gt;0,VLOOKUP(J3080,$J$2706:$K$2833,2,FALSE),"")</f>
        <v/>
      </c>
      <c r="N3080" s="1249"/>
      <c r="O3080" s="277"/>
      <c r="P3080" s="937"/>
      <c r="Q3080" s="938"/>
      <c r="R3080" s="937"/>
      <c r="S3080" s="924"/>
      <c r="T3080" s="1407"/>
      <c r="U3080" s="157"/>
      <c r="V3080" s="3589"/>
      <c r="W3080" s="602"/>
      <c r="X3080" s="605"/>
      <c r="Y3080" s="605"/>
      <c r="Z3080" s="602"/>
      <c r="AA3080" s="602"/>
      <c r="AB3080" s="602"/>
      <c r="AC3080" s="884"/>
      <c r="AD3080" s="884"/>
      <c r="AE3080" s="884"/>
      <c r="AF3080" s="884"/>
      <c r="AG3080" s="884"/>
      <c r="BB3080" s="647"/>
      <c r="BC3080" s="648"/>
      <c r="BD3080" s="757"/>
      <c r="BE3080" s="659"/>
    </row>
    <row r="3081" spans="1:57" s="64" customFormat="1" outlineLevel="1" x14ac:dyDescent="0.25">
      <c r="A3081" s="2463"/>
      <c r="B3081" s="648"/>
      <c r="C3081" s="385"/>
      <c r="D3081" s="3589"/>
      <c r="E3081" s="3721"/>
      <c r="F3081" s="3779" t="str">
        <f>E1518</f>
        <v>ASHP - SEER 21 - replace electric furnace / CAC SF</v>
      </c>
      <c r="G3081" s="3779"/>
      <c r="H3081" s="3779"/>
      <c r="I3081" s="3779"/>
      <c r="J3081" s="3073" t="str">
        <f>C1518</f>
        <v>353650_2019_12_</v>
      </c>
      <c r="K3081" s="602">
        <f>$R$1690*K$2710</f>
        <v>1689.9245999999991</v>
      </c>
      <c r="L3081" s="767">
        <f>VLOOKUP(J3081,$J$1682:$L$1809,3,FALSE)*M3081</f>
        <v>3.2</v>
      </c>
      <c r="M3081" s="1815">
        <f>VLOOKUP(J3081,$J$2706:$K$2833,2,FALSE)</f>
        <v>1</v>
      </c>
      <c r="N3081" s="1249"/>
      <c r="O3081" s="277"/>
      <c r="P3081" s="937"/>
      <c r="Q3081" s="938"/>
      <c r="R3081" s="937"/>
      <c r="S3081" s="924"/>
      <c r="T3081" s="1407"/>
      <c r="U3081" s="157"/>
      <c r="V3081" s="3589"/>
      <c r="W3081" s="602">
        <v>3712</v>
      </c>
      <c r="X3081" s="605">
        <f>$R$1690*(X$1738/12000)*X$2762</f>
        <v>5407.758719999998</v>
      </c>
      <c r="Y3081" s="605">
        <v>1160</v>
      </c>
      <c r="Z3081" s="602">
        <v>1160</v>
      </c>
      <c r="AA3081" s="602">
        <v>1160</v>
      </c>
      <c r="AB3081" s="602">
        <v>1689.9245999999991</v>
      </c>
      <c r="AC3081" s="884"/>
      <c r="AD3081" s="884"/>
      <c r="AE3081" s="884"/>
      <c r="AF3081" s="884"/>
      <c r="AG3081" s="884"/>
      <c r="BB3081" s="647"/>
      <c r="BC3081" s="648"/>
      <c r="BD3081" s="757"/>
      <c r="BE3081" s="659"/>
    </row>
    <row r="3082" spans="1:57" s="64" customFormat="1" outlineLevel="1" x14ac:dyDescent="0.25">
      <c r="A3082" s="2463"/>
      <c r="B3082" s="648"/>
      <c r="C3082" s="385"/>
      <c r="D3082" s="3589"/>
      <c r="E3082" s="3721"/>
      <c r="F3082" s="3779" t="str">
        <f>E1519</f>
        <v>ASHP - SEER 21 - replace electric furnace / CAC SF</v>
      </c>
      <c r="G3082" s="3779"/>
      <c r="H3082" s="3779"/>
      <c r="I3082" s="3779"/>
      <c r="J3082" s="3073" t="str">
        <f>C1519</f>
        <v>353650_2019_12_</v>
      </c>
      <c r="K3082" s="602"/>
      <c r="L3082" s="767" t="str">
        <f>IF(K3082&gt;0,VLOOKUP(J3082,$J$1682:$L$1809,3,FALSE),"")</f>
        <v/>
      </c>
      <c r="M3082" s="1815" t="str">
        <f>IF(K3082&gt;0,VLOOKUP(J3082,$J$2706:$K$2833,2,FALSE),"")</f>
        <v/>
      </c>
      <c r="N3082" s="1249"/>
      <c r="O3082" s="277"/>
      <c r="P3082" s="937"/>
      <c r="Q3082" s="938"/>
      <c r="R3082" s="937"/>
      <c r="S3082" s="924"/>
      <c r="T3082" s="1407"/>
      <c r="U3082" s="157"/>
      <c r="V3082" s="3589"/>
      <c r="W3082" s="602"/>
      <c r="X3082" s="605"/>
      <c r="Y3082" s="605"/>
      <c r="Z3082" s="602"/>
      <c r="AA3082" s="602"/>
      <c r="AB3082" s="602"/>
      <c r="AC3082" s="884"/>
      <c r="AD3082" s="884"/>
      <c r="AE3082" s="884"/>
      <c r="AF3082" s="884"/>
      <c r="AG3082" s="884"/>
      <c r="BB3082" s="647"/>
      <c r="BC3082" s="648"/>
      <c r="BD3082" s="757"/>
      <c r="BE3082" s="659"/>
    </row>
    <row r="3083" spans="1:57" s="64" customFormat="1" outlineLevel="1" x14ac:dyDescent="0.25">
      <c r="A3083" s="2463"/>
      <c r="B3083" s="648"/>
      <c r="C3083" s="385"/>
      <c r="D3083" s="3589"/>
      <c r="E3083" s="3721"/>
      <c r="F3083" s="3779" t="str">
        <f>E1520</f>
        <v>ASHP-  SEER 21+ replace at Fail Elec Resist Furnace MF</v>
      </c>
      <c r="G3083" s="3779"/>
      <c r="H3083" s="3779"/>
      <c r="I3083" s="3779"/>
      <c r="J3083" s="3073" t="str">
        <f>C1520</f>
        <v>353700_2019_12_</v>
      </c>
      <c r="K3083" s="602">
        <f>$R$1690*K$2710</f>
        <v>1689.9245999999991</v>
      </c>
      <c r="L3083" s="767">
        <f>VLOOKUP(J3083,$J$1682:$L$1809,3,FALSE)*M3083</f>
        <v>2.08</v>
      </c>
      <c r="M3083" s="1815">
        <f>VLOOKUP(J3083,$J$2706:$K$2833,2,FALSE)</f>
        <v>0.65</v>
      </c>
      <c r="N3083" s="1249"/>
      <c r="O3083" s="277"/>
      <c r="P3083" s="937"/>
      <c r="Q3083" s="938"/>
      <c r="R3083" s="937"/>
      <c r="S3083" s="924"/>
      <c r="T3083" s="1407"/>
      <c r="U3083" s="157"/>
      <c r="V3083" s="3589"/>
      <c r="W3083" s="602">
        <v>3712</v>
      </c>
      <c r="X3083" s="605">
        <f>$R$1690*(X$1739/12000)*X$2763</f>
        <v>3515.0431679999988</v>
      </c>
      <c r="Y3083" s="605">
        <v>1160</v>
      </c>
      <c r="Z3083" s="602">
        <v>1160</v>
      </c>
      <c r="AA3083" s="602">
        <v>1160</v>
      </c>
      <c r="AB3083" s="602">
        <v>1689.9245999999991</v>
      </c>
      <c r="AC3083" s="884"/>
      <c r="AD3083" s="884"/>
      <c r="AE3083" s="884"/>
      <c r="AF3083" s="884"/>
      <c r="AG3083" s="884"/>
      <c r="BB3083" s="647"/>
      <c r="BC3083" s="648"/>
      <c r="BD3083" s="757"/>
      <c r="BE3083" s="659"/>
    </row>
    <row r="3084" spans="1:57" s="64" customFormat="1" outlineLevel="1" x14ac:dyDescent="0.25">
      <c r="A3084" s="2463"/>
      <c r="B3084" s="648"/>
      <c r="C3084" s="385"/>
      <c r="D3084" s="3589"/>
      <c r="E3084" s="3721"/>
      <c r="F3084" s="3779" t="str">
        <f>E1521</f>
        <v>ASHP-  SEER 21+ replace at Fail Elec Resist Furnace MF</v>
      </c>
      <c r="G3084" s="3779"/>
      <c r="H3084" s="3779"/>
      <c r="I3084" s="3779"/>
      <c r="J3084" s="3073" t="str">
        <f>C1521</f>
        <v>353700_2019_12_</v>
      </c>
      <c r="K3084" s="602"/>
      <c r="L3084" s="767" t="str">
        <f>IF(K3084&gt;0,VLOOKUP(J3084,$J$1682:$L$1809,3,FALSE),"")</f>
        <v/>
      </c>
      <c r="M3084" s="1815" t="str">
        <f>IF(K3084&gt;0,VLOOKUP(J3084,$J$2706:$K$2833,2,FALSE),"")</f>
        <v/>
      </c>
      <c r="N3084" s="1249"/>
      <c r="O3084" s="277"/>
      <c r="P3084" s="937"/>
      <c r="Q3084" s="938"/>
      <c r="R3084" s="937"/>
      <c r="S3084" s="924"/>
      <c r="T3084" s="1407"/>
      <c r="U3084" s="157"/>
      <c r="V3084" s="3589"/>
      <c r="W3084" s="602"/>
      <c r="X3084" s="915"/>
      <c r="Y3084" s="605"/>
      <c r="Z3084" s="602"/>
      <c r="AA3084" s="602"/>
      <c r="AB3084" s="602"/>
      <c r="AC3084" s="884"/>
      <c r="AD3084" s="884"/>
      <c r="AE3084" s="884"/>
      <c r="AF3084" s="884"/>
      <c r="AG3084" s="884"/>
      <c r="BB3084" s="647"/>
      <c r="BC3084" s="648"/>
      <c r="BD3084" s="757"/>
      <c r="BE3084" s="659"/>
    </row>
    <row r="3085" spans="1:57" s="64" customFormat="1" outlineLevel="1" x14ac:dyDescent="0.25">
      <c r="A3085" s="2463"/>
      <c r="B3085" s="648"/>
      <c r="C3085" s="385"/>
      <c r="D3085" s="3589"/>
      <c r="E3085" s="3721"/>
      <c r="F3085" s="3779" t="str">
        <f t="shared" ref="F3085:F3110" si="252">E1524</f>
        <v>ASHP SEER 17 replace ASHP - early replacement SF ER1</v>
      </c>
      <c r="G3085" s="3779"/>
      <c r="H3085" s="3779"/>
      <c r="I3085" s="3779"/>
      <c r="J3085" s="3073" t="str">
        <f t="shared" ref="J3085:J3110" si="253">C1524</f>
        <v>353750_2019_12_</v>
      </c>
      <c r="K3085" s="602">
        <f>(($R$1696*L3085)+$R$1686)-(($Q$1696*L3085)/((1+$R$1698)^($R$1699-1)))</f>
        <v>1512.4949598081143</v>
      </c>
      <c r="L3085" s="767">
        <f>VLOOKUP(J3085,$J$1682:$L$1809,3,FALSE)*M3085</f>
        <v>3.3</v>
      </c>
      <c r="M3085" s="1815">
        <f>VLOOKUP(J3085,$J$2706:$K$2833,2,FALSE)</f>
        <v>1</v>
      </c>
      <c r="N3085" s="1249"/>
      <c r="O3085" s="277"/>
      <c r="P3085" s="937"/>
      <c r="Q3085" s="938"/>
      <c r="R3085" s="937"/>
      <c r="S3085" s="924"/>
      <c r="T3085" s="1407"/>
      <c r="U3085" s="157"/>
      <c r="V3085" s="3589"/>
      <c r="W3085" s="602">
        <v>3701.5757044416546</v>
      </c>
      <c r="X3085" s="915">
        <f>$Q$1686*(X$1741/12000)*X$2765</f>
        <v>4754.6848794243406</v>
      </c>
      <c r="Y3085" s="605">
        <v>1509.0025568704818</v>
      </c>
      <c r="Z3085" s="602">
        <v>1509.0025568704818</v>
      </c>
      <c r="AA3085" s="602">
        <v>1509.0025568704818</v>
      </c>
      <c r="AB3085" s="602">
        <v>724</v>
      </c>
      <c r="AC3085" s="884"/>
      <c r="AD3085" s="884"/>
      <c r="AE3085" s="884"/>
      <c r="AF3085" s="884"/>
      <c r="AG3085" s="884"/>
      <c r="BB3085" s="647"/>
      <c r="BC3085" s="648"/>
      <c r="BD3085" s="757"/>
      <c r="BE3085" s="659"/>
    </row>
    <row r="3086" spans="1:57" s="64" customFormat="1" ht="15" customHeight="1" outlineLevel="1" x14ac:dyDescent="0.25">
      <c r="A3086" s="2463"/>
      <c r="B3086" s="648"/>
      <c r="C3086" s="385"/>
      <c r="D3086" s="3589"/>
      <c r="E3086" s="3721"/>
      <c r="F3086" s="3779" t="str">
        <f t="shared" si="252"/>
        <v>ASHP SEER 17 replace ASHP - early replacement SF ER1</v>
      </c>
      <c r="G3086" s="3779"/>
      <c r="H3086" s="3779"/>
      <c r="I3086" s="3779"/>
      <c r="J3086" s="3073" t="str">
        <f t="shared" si="253"/>
        <v>353750_2019_12_</v>
      </c>
      <c r="K3086" s="602"/>
      <c r="L3086" s="767" t="str">
        <f>IF(K3086&gt;0,VLOOKUP(J3086,$J$1682:$L$1809,3,FALSE),"")</f>
        <v/>
      </c>
      <c r="M3086" s="1815" t="str">
        <f>IF(K3086&gt;0,VLOOKUP(J3086,$J$2706:$K$2833,2,FALSE),"")</f>
        <v/>
      </c>
      <c r="N3086" s="1249"/>
      <c r="O3086" s="277"/>
      <c r="P3086" s="937"/>
      <c r="Q3086" s="938"/>
      <c r="R3086" s="937"/>
      <c r="S3086" s="924"/>
      <c r="T3086" s="1407"/>
      <c r="U3086" s="157"/>
      <c r="V3086" s="3589"/>
      <c r="W3086" s="602"/>
      <c r="X3086" s="915"/>
      <c r="Y3086" s="605"/>
      <c r="Z3086" s="602"/>
      <c r="AA3086" s="602"/>
      <c r="AB3086" s="602"/>
      <c r="AC3086" s="884"/>
      <c r="AD3086" s="884"/>
      <c r="AE3086" s="884"/>
      <c r="AF3086" s="884"/>
      <c r="AG3086" s="884"/>
      <c r="BB3086" s="647"/>
      <c r="BC3086" s="648"/>
      <c r="BD3086" s="757"/>
      <c r="BE3086" s="659"/>
    </row>
    <row r="3087" spans="1:57" s="64" customFormat="1" ht="15" customHeight="1" outlineLevel="1" x14ac:dyDescent="0.25">
      <c r="A3087" s="2463"/>
      <c r="B3087" s="648"/>
      <c r="C3087" s="385"/>
      <c r="D3087" s="3589"/>
      <c r="E3087" s="3721"/>
      <c r="F3087" s="3779" t="str">
        <f t="shared" si="252"/>
        <v>ASHP SEER 17 replace ASHP - early replacement SF ER2</v>
      </c>
      <c r="G3087" s="3779"/>
      <c r="H3087" s="3779"/>
      <c r="I3087" s="3779"/>
      <c r="J3087" s="3073" t="str">
        <f t="shared" si="253"/>
        <v>353750_2019_12_</v>
      </c>
      <c r="K3087" s="602"/>
      <c r="L3087" s="767" t="str">
        <f>IF(K3087&gt;0,VLOOKUP(J3087,$J$1682:$L$1809,3,FALSE),"")</f>
        <v/>
      </c>
      <c r="M3087" s="1815" t="str">
        <f>IF(K3087&gt;0,VLOOKUP(J3087,$J$2706:$K$2833,2,FALSE),"")</f>
        <v/>
      </c>
      <c r="N3087" s="1249"/>
      <c r="O3087" s="277"/>
      <c r="P3087" s="937"/>
      <c r="Q3087" s="938"/>
      <c r="R3087" s="937"/>
      <c r="S3087" s="924"/>
      <c r="T3087" s="1407"/>
      <c r="U3087" s="157"/>
      <c r="V3087" s="3589"/>
      <c r="W3087" s="602"/>
      <c r="X3087" s="915"/>
      <c r="Y3087" s="605"/>
      <c r="Z3087" s="602"/>
      <c r="AA3087" s="602"/>
      <c r="AB3087" s="602"/>
      <c r="AC3087" s="884"/>
      <c r="AD3087" s="884"/>
      <c r="AE3087" s="884"/>
      <c r="AF3087" s="884"/>
      <c r="AG3087" s="884"/>
      <c r="BB3087" s="647"/>
      <c r="BC3087" s="648"/>
      <c r="BD3087" s="757"/>
      <c r="BE3087" s="659"/>
    </row>
    <row r="3088" spans="1:57" s="64" customFormat="1" ht="15" customHeight="1" outlineLevel="1" x14ac:dyDescent="0.25">
      <c r="A3088" s="2463"/>
      <c r="B3088" s="648"/>
      <c r="C3088" s="385"/>
      <c r="D3088" s="3589"/>
      <c r="E3088" s="3721"/>
      <c r="F3088" s="3779" t="str">
        <f t="shared" si="252"/>
        <v>ASHP SEER 17 replace ASHP - early replacement SF ER2</v>
      </c>
      <c r="G3088" s="3779"/>
      <c r="H3088" s="3779"/>
      <c r="I3088" s="3779"/>
      <c r="J3088" s="3073" t="str">
        <f t="shared" si="253"/>
        <v>353750_2019_12_</v>
      </c>
      <c r="K3088" s="602"/>
      <c r="L3088" s="767" t="str">
        <f>IF(K3088&gt;0,VLOOKUP(J3088,$J$1682:$L$1809,3,FALSE),"")</f>
        <v/>
      </c>
      <c r="M3088" s="1815" t="str">
        <f>IF(K3088&gt;0,VLOOKUP(J3088,$J$2706:$K$2833,2,FALSE),"")</f>
        <v/>
      </c>
      <c r="N3088" s="1249"/>
      <c r="O3088" s="277"/>
      <c r="P3088" s="937"/>
      <c r="Q3088" s="938"/>
      <c r="R3088" s="937"/>
      <c r="S3088" s="924"/>
      <c r="T3088" s="1407"/>
      <c r="U3088" s="157"/>
      <c r="V3088" s="3589"/>
      <c r="W3088" s="602"/>
      <c r="X3088" s="915"/>
      <c r="Y3088" s="605"/>
      <c r="Z3088" s="602"/>
      <c r="AA3088" s="602"/>
      <c r="AB3088" s="602"/>
      <c r="AC3088" s="884"/>
      <c r="AD3088" s="884"/>
      <c r="AE3088" s="884"/>
      <c r="AF3088" s="884"/>
      <c r="AG3088" s="884"/>
      <c r="BB3088" s="647"/>
      <c r="BC3088" s="648"/>
      <c r="BD3088" s="757"/>
      <c r="BE3088" s="659"/>
    </row>
    <row r="3089" spans="1:57" s="64" customFormat="1" ht="15" customHeight="1" outlineLevel="1" x14ac:dyDescent="0.25">
      <c r="A3089" s="2463"/>
      <c r="B3089" s="648"/>
      <c r="C3089" s="385"/>
      <c r="D3089" s="3589"/>
      <c r="E3089" s="3721"/>
      <c r="F3089" s="3779" t="str">
        <f t="shared" si="252"/>
        <v>ASHP SEER 17 replace ASHP - replace on fail SF</v>
      </c>
      <c r="G3089" s="3779"/>
      <c r="H3089" s="3779"/>
      <c r="I3089" s="3779"/>
      <c r="J3089" s="3073" t="str">
        <f t="shared" si="253"/>
        <v>353800_2019_12_</v>
      </c>
      <c r="K3089" s="602">
        <f>$R$1686*K$2710</f>
        <v>724</v>
      </c>
      <c r="L3089" s="767">
        <f>VLOOKUP(J3089,$J$1682:$L$1809,3,FALSE)*M3089</f>
        <v>3.3</v>
      </c>
      <c r="M3089" s="1815">
        <f>VLOOKUP(J3089,$J$2706:$K$2833,2,FALSE)</f>
        <v>1</v>
      </c>
      <c r="N3089" s="1249"/>
      <c r="O3089" s="277"/>
      <c r="P3089" s="937"/>
      <c r="Q3089" s="938"/>
      <c r="R3089" s="937"/>
      <c r="S3089" s="924"/>
      <c r="T3089" s="1407"/>
      <c r="U3089" s="157"/>
      <c r="V3089" s="3589"/>
      <c r="W3089" s="602">
        <v>1914</v>
      </c>
      <c r="X3089" s="915">
        <f>$R$1686*(X$1743/12000)*X$2767</f>
        <v>2389.1999999999998</v>
      </c>
      <c r="Y3089" s="605">
        <v>580</v>
      </c>
      <c r="Z3089" s="602">
        <v>580</v>
      </c>
      <c r="AA3089" s="602">
        <v>580</v>
      </c>
      <c r="AB3089" s="602">
        <v>724</v>
      </c>
      <c r="AC3089" s="884"/>
      <c r="AD3089" s="884"/>
      <c r="AE3089" s="884"/>
      <c r="AF3089" s="884"/>
      <c r="AG3089" s="884"/>
      <c r="BB3089" s="647"/>
      <c r="BC3089" s="648"/>
      <c r="BD3089" s="757"/>
      <c r="BE3089" s="659"/>
    </row>
    <row r="3090" spans="1:57" s="64" customFormat="1" ht="15" customHeight="1" outlineLevel="1" x14ac:dyDescent="0.25">
      <c r="A3090" s="2463"/>
      <c r="B3090" s="648"/>
      <c r="C3090" s="385"/>
      <c r="D3090" s="3589"/>
      <c r="E3090" s="3721"/>
      <c r="F3090" s="3779" t="str">
        <f t="shared" si="252"/>
        <v>ASHP SEER 17 replace ASHP - replace on fail SF</v>
      </c>
      <c r="G3090" s="3779"/>
      <c r="H3090" s="3779"/>
      <c r="I3090" s="3779"/>
      <c r="J3090" s="3073" t="str">
        <f t="shared" si="253"/>
        <v>353800_2019_12_</v>
      </c>
      <c r="K3090" s="602"/>
      <c r="L3090" s="767" t="str">
        <f>IF(K3090&gt;0,VLOOKUP(J3090,$J$1682:$L$1809,3,FALSE),"")</f>
        <v/>
      </c>
      <c r="M3090" s="1815" t="str">
        <f>IF(K3090&gt;0,VLOOKUP(J3090,$J$2706:$K$2833,2,FALSE),"")</f>
        <v/>
      </c>
      <c r="N3090" s="1249"/>
      <c r="O3090" s="277"/>
      <c r="P3090" s="937"/>
      <c r="Q3090" s="937"/>
      <c r="R3090" s="937"/>
      <c r="S3090" s="924"/>
      <c r="T3090" s="1407"/>
      <c r="U3090" s="157"/>
      <c r="V3090" s="3589"/>
      <c r="W3090" s="602"/>
      <c r="X3090" s="915"/>
      <c r="Y3090" s="605"/>
      <c r="Z3090" s="602"/>
      <c r="AA3090" s="602"/>
      <c r="AB3090" s="602"/>
      <c r="AC3090" s="884"/>
      <c r="AD3090" s="884"/>
      <c r="AE3090" s="884"/>
      <c r="AF3090" s="884"/>
      <c r="AG3090" s="884"/>
      <c r="BB3090" s="647"/>
      <c r="BC3090" s="648"/>
      <c r="BD3090" s="757"/>
      <c r="BE3090" s="659"/>
    </row>
    <row r="3091" spans="1:57" s="64" customFormat="1" ht="15" customHeight="1" outlineLevel="1" x14ac:dyDescent="0.25">
      <c r="A3091" s="2463"/>
      <c r="B3091" s="648"/>
      <c r="C3091" s="385"/>
      <c r="D3091" s="3589"/>
      <c r="E3091" s="3721"/>
      <c r="F3091" s="3779" t="str">
        <f t="shared" si="252"/>
        <v>ASHP SEER 18 replace ASHP - early replacement SF ER1</v>
      </c>
      <c r="G3091" s="3779"/>
      <c r="H3091" s="3779"/>
      <c r="I3091" s="3779"/>
      <c r="J3091" s="3073" t="str">
        <f t="shared" si="253"/>
        <v>353850_2019_12_</v>
      </c>
      <c r="K3091" s="602">
        <f>(($R$1696*L3091)+$R$1687)-(($Q$1696*L3091)/((1+$R$1698)^($R$1699-1)))</f>
        <v>1811.1494264602443</v>
      </c>
      <c r="L3091" s="767">
        <f>VLOOKUP(J3091,$J$1682:$L$1809,3,FALSE)*M3091</f>
        <v>3.55</v>
      </c>
      <c r="M3091" s="1815">
        <f>VLOOKUP(J3091,$J$2706:$K$2833,2,FALSE)</f>
        <v>1</v>
      </c>
      <c r="N3091" s="1249"/>
      <c r="O3091" s="277"/>
      <c r="P3091" s="937"/>
      <c r="Q3091" s="937"/>
      <c r="R3091" s="937"/>
      <c r="S3091" s="924"/>
      <c r="T3091" s="1407"/>
      <c r="U3091" s="157"/>
      <c r="V3091" s="3589"/>
      <c r="W3091" s="602">
        <v>4141.575704441655</v>
      </c>
      <c r="X3091" s="915">
        <f>$Q$1687*(X$1744/12000)*X$2768</f>
        <v>5543.1208794243412</v>
      </c>
      <c r="Y3091" s="605">
        <v>1642.3358902038149</v>
      </c>
      <c r="Z3091" s="602">
        <v>1642.3358902038149</v>
      </c>
      <c r="AA3091" s="602">
        <v>1642.3358902038149</v>
      </c>
      <c r="AB3091" s="602">
        <v>962.92000000000007</v>
      </c>
      <c r="AC3091" s="884"/>
      <c r="AD3091" s="884"/>
      <c r="AE3091" s="884"/>
      <c r="AF3091" s="884"/>
      <c r="AG3091" s="884"/>
      <c r="BB3091" s="647"/>
      <c r="BC3091" s="648"/>
      <c r="BD3091" s="757"/>
      <c r="BE3091" s="659"/>
    </row>
    <row r="3092" spans="1:57" s="64" customFormat="1" ht="15" customHeight="1" outlineLevel="1" x14ac:dyDescent="0.25">
      <c r="A3092" s="2463"/>
      <c r="B3092" s="648"/>
      <c r="C3092" s="385"/>
      <c r="D3092" s="3589"/>
      <c r="E3092" s="3721"/>
      <c r="F3092" s="3779" t="str">
        <f t="shared" si="252"/>
        <v>ASHP SEER 18 replace ASHP - early replacement SF ER1</v>
      </c>
      <c r="G3092" s="3779"/>
      <c r="H3092" s="3779"/>
      <c r="I3092" s="3779"/>
      <c r="J3092" s="3073" t="str">
        <f t="shared" si="253"/>
        <v>353850_2019_12_</v>
      </c>
      <c r="K3092" s="602"/>
      <c r="L3092" s="767" t="str">
        <f>IF(K3092&gt;0,VLOOKUP(J3092,$J$1682:$L$1809,3,FALSE),"")</f>
        <v/>
      </c>
      <c r="M3092" s="1815" t="str">
        <f>IF(K3092&gt;0,VLOOKUP(J3092,$J$2706:$K$2833,2,FALSE),"")</f>
        <v/>
      </c>
      <c r="N3092" s="1249"/>
      <c r="O3092" s="277"/>
      <c r="P3092" s="937"/>
      <c r="Q3092" s="937"/>
      <c r="R3092" s="937"/>
      <c r="S3092" s="924"/>
      <c r="T3092" s="1407"/>
      <c r="U3092" s="157"/>
      <c r="V3092" s="3589"/>
      <c r="W3092" s="602"/>
      <c r="X3092" s="915"/>
      <c r="Y3092" s="605"/>
      <c r="Z3092" s="602"/>
      <c r="AA3092" s="602"/>
      <c r="AB3092" s="602"/>
      <c r="AC3092" s="884"/>
      <c r="AD3092" s="884"/>
      <c r="AE3092" s="884"/>
      <c r="AF3092" s="884"/>
      <c r="AG3092" s="884"/>
      <c r="BB3092" s="647"/>
      <c r="BC3092" s="648"/>
      <c r="BD3092" s="757"/>
      <c r="BE3092" s="659"/>
    </row>
    <row r="3093" spans="1:57" s="64" customFormat="1" ht="15" customHeight="1" outlineLevel="1" x14ac:dyDescent="0.25">
      <c r="A3093" s="2463"/>
      <c r="B3093" s="648"/>
      <c r="C3093" s="385"/>
      <c r="D3093" s="3589"/>
      <c r="E3093" s="3721"/>
      <c r="F3093" s="3779" t="str">
        <f t="shared" si="252"/>
        <v>ASHP SEER 18 replace ASHP - early replacement SF ER2</v>
      </c>
      <c r="G3093" s="3779"/>
      <c r="H3093" s="3779"/>
      <c r="I3093" s="3779"/>
      <c r="J3093" s="3073" t="str">
        <f t="shared" si="253"/>
        <v>353850_2019_12_</v>
      </c>
      <c r="K3093" s="602"/>
      <c r="L3093" s="767" t="str">
        <f>IF(K3093&gt;0,VLOOKUP(J3093,$J$1682:$L$1809,3,FALSE),"")</f>
        <v/>
      </c>
      <c r="M3093" s="1815" t="str">
        <f>IF(K3093&gt;0,VLOOKUP(J3093,$J$2706:$K$2833,2,FALSE),"")</f>
        <v/>
      </c>
      <c r="N3093" s="1249"/>
      <c r="O3093" s="277"/>
      <c r="P3093" s="937"/>
      <c r="Q3093" s="937"/>
      <c r="R3093" s="937"/>
      <c r="S3093" s="924"/>
      <c r="T3093" s="1407"/>
      <c r="U3093" s="157"/>
      <c r="V3093" s="3589"/>
      <c r="W3093" s="602"/>
      <c r="X3093" s="915"/>
      <c r="Y3093" s="605"/>
      <c r="Z3093" s="602"/>
      <c r="AA3093" s="602"/>
      <c r="AB3093" s="602"/>
      <c r="AC3093" s="884"/>
      <c r="AD3093" s="884"/>
      <c r="AE3093" s="884"/>
      <c r="AF3093" s="884"/>
      <c r="AG3093" s="884"/>
      <c r="BB3093" s="647"/>
      <c r="BC3093" s="648"/>
      <c r="BD3093" s="757"/>
      <c r="BE3093" s="659"/>
    </row>
    <row r="3094" spans="1:57" s="64" customFormat="1" ht="15" customHeight="1" outlineLevel="1" x14ac:dyDescent="0.25">
      <c r="A3094" s="2463"/>
      <c r="B3094" s="648"/>
      <c r="C3094" s="385"/>
      <c r="D3094" s="3589"/>
      <c r="E3094" s="3721"/>
      <c r="F3094" s="3779" t="str">
        <f t="shared" si="252"/>
        <v>ASHP SEER 18 replace ASHP - early replacement SF ER2</v>
      </c>
      <c r="G3094" s="3779"/>
      <c r="H3094" s="3779"/>
      <c r="I3094" s="3779"/>
      <c r="J3094" s="3073" t="str">
        <f t="shared" si="253"/>
        <v>353850_2019_12_</v>
      </c>
      <c r="K3094" s="602"/>
      <c r="L3094" s="767" t="str">
        <f>IF(K3094&gt;0,VLOOKUP(J3094,$J$1682:$L$1809,3,FALSE),"")</f>
        <v/>
      </c>
      <c r="M3094" s="1815" t="str">
        <f>IF(K3094&gt;0,VLOOKUP(J3094,$J$2706:$K$2833,2,FALSE),"")</f>
        <v/>
      </c>
      <c r="N3094" s="1249"/>
      <c r="O3094" s="277"/>
      <c r="P3094" s="937"/>
      <c r="Q3094" s="937"/>
      <c r="R3094" s="937"/>
      <c r="S3094" s="924"/>
      <c r="T3094" s="1407"/>
      <c r="U3094" s="157"/>
      <c r="V3094" s="3589"/>
      <c r="W3094" s="602"/>
      <c r="X3094" s="915"/>
      <c r="Y3094" s="605"/>
      <c r="Z3094" s="602"/>
      <c r="AA3094" s="602"/>
      <c r="AB3094" s="602"/>
      <c r="AC3094" s="884"/>
      <c r="AD3094" s="884"/>
      <c r="AE3094" s="884"/>
      <c r="AF3094" s="884"/>
      <c r="AG3094" s="884"/>
      <c r="BB3094" s="647"/>
      <c r="BC3094" s="648"/>
      <c r="BD3094" s="757"/>
      <c r="BE3094" s="659"/>
    </row>
    <row r="3095" spans="1:57" s="64" customFormat="1" ht="15" customHeight="1" outlineLevel="1" x14ac:dyDescent="0.25">
      <c r="A3095" s="2463"/>
      <c r="B3095" s="648"/>
      <c r="C3095" s="385"/>
      <c r="D3095" s="3589"/>
      <c r="E3095" s="3721"/>
      <c r="F3095" s="3779" t="str">
        <f t="shared" si="252"/>
        <v>ASHP - SEER 18 - replace on fail SF</v>
      </c>
      <c r="G3095" s="3779"/>
      <c r="H3095" s="3779"/>
      <c r="I3095" s="3779"/>
      <c r="J3095" s="3073" t="str">
        <f t="shared" si="253"/>
        <v>353950_2019_12_</v>
      </c>
      <c r="K3095" s="602">
        <f>$R$1687*K$2710</f>
        <v>962.92000000000007</v>
      </c>
      <c r="L3095" s="767">
        <f>VLOOKUP(J3095,$J$1682:$L$1809,3,FALSE)*M3095</f>
        <v>3.3</v>
      </c>
      <c r="M3095" s="1815">
        <f>VLOOKUP(J3095,$J$2706:$K$2833,2,FALSE)</f>
        <v>1</v>
      </c>
      <c r="N3095" s="1249"/>
      <c r="O3095" s="277"/>
      <c r="P3095" s="937"/>
      <c r="Q3095" s="937"/>
      <c r="R3095" s="937"/>
      <c r="S3095" s="924"/>
      <c r="T3095" s="1407"/>
      <c r="U3095" s="157"/>
      <c r="V3095" s="3589"/>
      <c r="W3095" s="602">
        <v>2354</v>
      </c>
      <c r="X3095" s="915">
        <f>$R$1687*(X$1746/12000)*X$2770</f>
        <v>3177.636</v>
      </c>
      <c r="Y3095" s="605">
        <v>713.33333333333337</v>
      </c>
      <c r="Z3095" s="602">
        <v>713.33333333333337</v>
      </c>
      <c r="AA3095" s="602">
        <v>713.33333333333337</v>
      </c>
      <c r="AB3095" s="602">
        <v>962.92000000000007</v>
      </c>
      <c r="AC3095" s="884"/>
      <c r="AD3095" s="884"/>
      <c r="AE3095" s="884"/>
      <c r="AF3095" s="884"/>
      <c r="AG3095" s="884"/>
      <c r="BB3095" s="647"/>
      <c r="BC3095" s="648"/>
      <c r="BD3095" s="757"/>
      <c r="BE3095" s="659"/>
    </row>
    <row r="3096" spans="1:57" s="64" customFormat="1" ht="15" customHeight="1" outlineLevel="1" x14ac:dyDescent="0.25">
      <c r="A3096" s="2463"/>
      <c r="B3096" s="648"/>
      <c r="C3096" s="385"/>
      <c r="D3096" s="3589"/>
      <c r="E3096" s="3721"/>
      <c r="F3096" s="3779" t="str">
        <f t="shared" si="252"/>
        <v>ASHP - SEER 18 - replace on fail SF</v>
      </c>
      <c r="G3096" s="3779"/>
      <c r="H3096" s="3779"/>
      <c r="I3096" s="3779"/>
      <c r="J3096" s="3073" t="str">
        <f t="shared" si="253"/>
        <v>353950_2019_12_</v>
      </c>
      <c r="K3096" s="602"/>
      <c r="L3096" s="767" t="str">
        <f>IF(K3096&gt;0,VLOOKUP(J3096,$J$1682:$L$1809,3,FALSE),"")</f>
        <v/>
      </c>
      <c r="M3096" s="1815" t="str">
        <f>IF(K3096&gt;0,VLOOKUP(J3096,$J$2706:$K$2833,2,FALSE),"")</f>
        <v/>
      </c>
      <c r="N3096" s="1249"/>
      <c r="O3096" s="277"/>
      <c r="P3096" s="937"/>
      <c r="Q3096" s="937"/>
      <c r="R3096" s="937"/>
      <c r="S3096" s="924"/>
      <c r="T3096" s="1407"/>
      <c r="U3096" s="157"/>
      <c r="V3096" s="3589"/>
      <c r="W3096" s="602"/>
      <c r="X3096" s="915"/>
      <c r="Y3096" s="605"/>
      <c r="Z3096" s="602"/>
      <c r="AA3096" s="602"/>
      <c r="AB3096" s="602"/>
      <c r="AC3096" s="884"/>
      <c r="AD3096" s="884"/>
      <c r="AE3096" s="884"/>
      <c r="AF3096" s="884"/>
      <c r="AG3096" s="884"/>
      <c r="BB3096" s="647"/>
      <c r="BC3096" s="648"/>
      <c r="BD3096" s="757"/>
      <c r="BE3096" s="659"/>
    </row>
    <row r="3097" spans="1:57" s="64" customFormat="1" ht="15" customHeight="1" outlineLevel="1" x14ac:dyDescent="0.25">
      <c r="A3097" s="2463"/>
      <c r="B3097" s="648"/>
      <c r="C3097" s="385"/>
      <c r="D3097" s="3589"/>
      <c r="E3097" s="3721"/>
      <c r="F3097" s="3779" t="str">
        <f t="shared" si="252"/>
        <v>ASHP SEER 19 replace ASHP - early replacement SF ER1</v>
      </c>
      <c r="G3097" s="3779"/>
      <c r="H3097" s="3779"/>
      <c r="I3097" s="3779"/>
      <c r="J3097" s="3073" t="str">
        <f t="shared" si="253"/>
        <v>354000_2019_12_</v>
      </c>
      <c r="K3097" s="602">
        <f>(($R$1696*L3097)+$R$1688)-(($Q$1696*L3097)/((1+$R$1698)^($R$1699-1)))</f>
        <v>1992.1449598081149</v>
      </c>
      <c r="L3097" s="767">
        <f>VLOOKUP(J3097,$J$1682:$L$1809,3,FALSE)*M3097</f>
        <v>3.3</v>
      </c>
      <c r="M3097" s="1815">
        <f>VLOOKUP(J3097,$J$2706:$K$2833,2,FALSE)</f>
        <v>1</v>
      </c>
      <c r="N3097" s="1249"/>
      <c r="O3097" s="277"/>
      <c r="P3097" s="937"/>
      <c r="Q3097" s="937"/>
      <c r="R3097" s="937"/>
      <c r="S3097" s="924"/>
      <c r="T3097" s="1407"/>
      <c r="U3097" s="157"/>
      <c r="V3097" s="3589"/>
      <c r="W3097" s="602">
        <v>4471.575704441655</v>
      </c>
      <c r="X3097" s="605">
        <f>$Q$1688*(X$1747/12000)*$K$2771</f>
        <v>6337.5298794243427</v>
      </c>
      <c r="Y3097" s="605">
        <v>1742.3358902038149</v>
      </c>
      <c r="Z3097" s="602">
        <v>1742.3358902038149</v>
      </c>
      <c r="AA3097" s="602">
        <v>1742.3358902038149</v>
      </c>
      <c r="AB3097" s="602">
        <v>1203.6500000000003</v>
      </c>
      <c r="AC3097" s="884"/>
      <c r="AD3097" s="884"/>
      <c r="AE3097" s="884"/>
      <c r="AF3097" s="884"/>
      <c r="AG3097" s="884"/>
      <c r="BB3097" s="647"/>
      <c r="BC3097" s="648"/>
      <c r="BD3097" s="757"/>
      <c r="BE3097" s="659"/>
    </row>
    <row r="3098" spans="1:57" s="64" customFormat="1" ht="15" customHeight="1" outlineLevel="1" x14ac:dyDescent="0.25">
      <c r="A3098" s="2463"/>
      <c r="B3098" s="648"/>
      <c r="C3098" s="385"/>
      <c r="D3098" s="3589"/>
      <c r="E3098" s="3721"/>
      <c r="F3098" s="3779" t="str">
        <f t="shared" si="252"/>
        <v>ASHP SEER 19 replace ASHP - early replacement SF ER1</v>
      </c>
      <c r="G3098" s="3779"/>
      <c r="H3098" s="3779"/>
      <c r="I3098" s="3779"/>
      <c r="J3098" s="3073" t="str">
        <f t="shared" si="253"/>
        <v>354000_2019_12_</v>
      </c>
      <c r="K3098" s="602"/>
      <c r="L3098" s="767" t="str">
        <f>IF(K3098&gt;0,VLOOKUP(J3098,$J$1682:$L$1809,3,FALSE),"")</f>
        <v/>
      </c>
      <c r="M3098" s="1815" t="str">
        <f>IF(K3098&gt;0,VLOOKUP(J3098,$J$2706:$K$2833,2,FALSE),"")</f>
        <v/>
      </c>
      <c r="N3098" s="1249"/>
      <c r="O3098" s="277"/>
      <c r="P3098" s="937"/>
      <c r="Q3098" s="937"/>
      <c r="R3098" s="937"/>
      <c r="S3098" s="924"/>
      <c r="T3098" s="1407"/>
      <c r="U3098" s="157"/>
      <c r="V3098" s="3589"/>
      <c r="W3098" s="602"/>
      <c r="X3098" s="605"/>
      <c r="Y3098" s="605"/>
      <c r="Z3098" s="602"/>
      <c r="AA3098" s="602"/>
      <c r="AB3098" s="602"/>
      <c r="AC3098" s="884"/>
      <c r="AD3098" s="884"/>
      <c r="AE3098" s="884"/>
      <c r="AF3098" s="884"/>
      <c r="AG3098" s="884"/>
      <c r="BB3098" s="647"/>
      <c r="BC3098" s="648"/>
      <c r="BD3098" s="757"/>
      <c r="BE3098" s="659"/>
    </row>
    <row r="3099" spans="1:57" s="64" customFormat="1" ht="15" customHeight="1" outlineLevel="1" x14ac:dyDescent="0.25">
      <c r="A3099" s="2463"/>
      <c r="B3099" s="648"/>
      <c r="C3099" s="385"/>
      <c r="D3099" s="3589"/>
      <c r="E3099" s="3721"/>
      <c r="F3099" s="3779" t="str">
        <f t="shared" si="252"/>
        <v>ASHP SEER 19 replace ASHP - early replacement SF ER2</v>
      </c>
      <c r="G3099" s="3779"/>
      <c r="H3099" s="3779"/>
      <c r="I3099" s="3779"/>
      <c r="J3099" s="3073" t="str">
        <f t="shared" si="253"/>
        <v>354000_2019_12_</v>
      </c>
      <c r="K3099" s="602"/>
      <c r="L3099" s="767" t="str">
        <f>IF(K3099&gt;0,VLOOKUP(J3099,$J$1682:$L$1809,3,FALSE),"")</f>
        <v/>
      </c>
      <c r="M3099" s="1815" t="str">
        <f>IF(K3099&gt;0,VLOOKUP(J3099,$J$2706:$K$2833,2,FALSE),"")</f>
        <v/>
      </c>
      <c r="N3099" s="1249"/>
      <c r="O3099" s="277"/>
      <c r="P3099" s="937"/>
      <c r="Q3099" s="937"/>
      <c r="R3099" s="937"/>
      <c r="S3099" s="924"/>
      <c r="T3099" s="1407"/>
      <c r="U3099" s="157"/>
      <c r="V3099" s="3589"/>
      <c r="W3099" s="602"/>
      <c r="X3099" s="605"/>
      <c r="Y3099" s="605"/>
      <c r="Z3099" s="602"/>
      <c r="AA3099" s="602"/>
      <c r="AB3099" s="602"/>
      <c r="AC3099" s="884"/>
      <c r="AD3099" s="884"/>
      <c r="AE3099" s="884"/>
      <c r="AF3099" s="884"/>
      <c r="AG3099" s="884"/>
      <c r="BB3099" s="647"/>
      <c r="BC3099" s="648"/>
      <c r="BD3099" s="757"/>
      <c r="BE3099" s="659"/>
    </row>
    <row r="3100" spans="1:57" s="64" customFormat="1" ht="15" customHeight="1" outlineLevel="1" x14ac:dyDescent="0.25">
      <c r="A3100" s="2463"/>
      <c r="B3100" s="648"/>
      <c r="C3100" s="385"/>
      <c r="D3100" s="3589"/>
      <c r="E3100" s="3721"/>
      <c r="F3100" s="3779" t="str">
        <f t="shared" si="252"/>
        <v>ASHP SEER 19 replace ASHP - early replacement SF ER2</v>
      </c>
      <c r="G3100" s="3779"/>
      <c r="H3100" s="3779"/>
      <c r="I3100" s="3779"/>
      <c r="J3100" s="3073" t="str">
        <f t="shared" si="253"/>
        <v>354000_2019_12_</v>
      </c>
      <c r="K3100" s="602"/>
      <c r="L3100" s="767" t="str">
        <f>IF(K3100&gt;0,VLOOKUP(J3100,$J$1682:$L$1809,3,FALSE),"")</f>
        <v/>
      </c>
      <c r="M3100" s="1815" t="str">
        <f>IF(K3100&gt;0,VLOOKUP(J3100,$J$2706:$K$2833,2,FALSE),"")</f>
        <v/>
      </c>
      <c r="N3100" s="1249"/>
      <c r="O3100" s="277"/>
      <c r="P3100" s="937"/>
      <c r="Q3100" s="937"/>
      <c r="R3100" s="937"/>
      <c r="S3100" s="924"/>
      <c r="T3100" s="1407"/>
      <c r="U3100" s="157"/>
      <c r="V3100" s="3589"/>
      <c r="W3100" s="602"/>
      <c r="X3100" s="605"/>
      <c r="Y3100" s="605"/>
      <c r="Z3100" s="602"/>
      <c r="AA3100" s="602"/>
      <c r="AB3100" s="602"/>
      <c r="AC3100" s="884"/>
      <c r="AD3100" s="884"/>
      <c r="AE3100" s="884"/>
      <c r="AF3100" s="884"/>
      <c r="AG3100" s="884"/>
      <c r="BB3100" s="647"/>
      <c r="BC3100" s="648"/>
      <c r="BD3100" s="757"/>
      <c r="BE3100" s="659"/>
    </row>
    <row r="3101" spans="1:57" s="64" customFormat="1" ht="15" customHeight="1" outlineLevel="1" x14ac:dyDescent="0.25">
      <c r="A3101" s="2463"/>
      <c r="B3101" s="648"/>
      <c r="C3101" s="385"/>
      <c r="D3101" s="3589"/>
      <c r="E3101" s="3721"/>
      <c r="F3101" s="3779" t="str">
        <f t="shared" si="252"/>
        <v>ASHP SEER 19 replace ASHP - replace on fail SF</v>
      </c>
      <c r="G3101" s="3779"/>
      <c r="H3101" s="3779"/>
      <c r="I3101" s="3779"/>
      <c r="J3101" s="3073" t="str">
        <f t="shared" si="253"/>
        <v>354050_2019_12_</v>
      </c>
      <c r="K3101" s="602">
        <f>$R$1688*K$2710</f>
        <v>1203.6500000000003</v>
      </c>
      <c r="L3101" s="767">
        <f>VLOOKUP(J3101,$J$1682:$L$1809,3,FALSE)*M3101</f>
        <v>3.3</v>
      </c>
      <c r="M3101" s="1815">
        <f>VLOOKUP(J3101,$J$2706:$K$2833,2,FALSE)</f>
        <v>1</v>
      </c>
      <c r="N3101" s="1249"/>
      <c r="O3101" s="277"/>
      <c r="P3101" s="937"/>
      <c r="Q3101" s="937"/>
      <c r="R3101" s="937"/>
      <c r="S3101" s="924"/>
      <c r="T3101" s="1407"/>
      <c r="U3101" s="157"/>
      <c r="V3101" s="3589"/>
      <c r="W3101" s="602">
        <v>2684</v>
      </c>
      <c r="X3101" s="605">
        <f>$R$1688*(X$1749/12000)*X$2773</f>
        <v>3972.045000000001</v>
      </c>
      <c r="Y3101" s="605">
        <v>813.33333333333337</v>
      </c>
      <c r="Z3101" s="602">
        <v>813.33333333333337</v>
      </c>
      <c r="AA3101" s="602">
        <v>813.33333333333337</v>
      </c>
      <c r="AB3101" s="602">
        <v>1203.6500000000003</v>
      </c>
      <c r="AC3101" s="884"/>
      <c r="AD3101" s="884"/>
      <c r="AE3101" s="884"/>
      <c r="AF3101" s="884"/>
      <c r="AG3101" s="884"/>
      <c r="BB3101" s="647"/>
      <c r="BC3101" s="648"/>
      <c r="BD3101" s="757"/>
      <c r="BE3101" s="659"/>
    </row>
    <row r="3102" spans="1:57" s="64" customFormat="1" ht="15" customHeight="1" outlineLevel="1" x14ac:dyDescent="0.25">
      <c r="A3102" s="2463"/>
      <c r="B3102" s="648"/>
      <c r="C3102" s="385"/>
      <c r="D3102" s="3589"/>
      <c r="E3102" s="3721"/>
      <c r="F3102" s="3779" t="str">
        <f t="shared" si="252"/>
        <v>ASHP SEER 19 replace ASHP - replace on fail SF</v>
      </c>
      <c r="G3102" s="3779"/>
      <c r="H3102" s="3779"/>
      <c r="I3102" s="3779"/>
      <c r="J3102" s="3073" t="str">
        <f t="shared" si="253"/>
        <v>354050_2019_12_</v>
      </c>
      <c r="K3102" s="602"/>
      <c r="L3102" s="767" t="str">
        <f>IF(K3102&gt;0,VLOOKUP(J3102,$J$1682:$L$1809,3,FALSE),"")</f>
        <v/>
      </c>
      <c r="M3102" s="1815" t="str">
        <f>IF(K3102&gt;0,VLOOKUP(J3102,$J$2706:$K$2833,2,FALSE),"")</f>
        <v/>
      </c>
      <c r="N3102" s="1249"/>
      <c r="O3102" s="277"/>
      <c r="P3102" s="937"/>
      <c r="Q3102" s="937"/>
      <c r="R3102" s="937"/>
      <c r="S3102" s="924"/>
      <c r="T3102" s="1407"/>
      <c r="U3102" s="157"/>
      <c r="V3102" s="3589"/>
      <c r="W3102" s="602"/>
      <c r="X3102" s="605"/>
      <c r="Y3102" s="605"/>
      <c r="Z3102" s="602"/>
      <c r="AA3102" s="602"/>
      <c r="AB3102" s="602"/>
      <c r="AC3102" s="884"/>
      <c r="AD3102" s="884"/>
      <c r="AE3102" s="884"/>
      <c r="AF3102" s="884"/>
      <c r="AG3102" s="884"/>
      <c r="BB3102" s="647"/>
      <c r="BC3102" s="648"/>
      <c r="BD3102" s="757"/>
      <c r="BE3102" s="659"/>
    </row>
    <row r="3103" spans="1:57" s="64" customFormat="1" ht="15" customHeight="1" outlineLevel="1" x14ac:dyDescent="0.25">
      <c r="A3103" s="2463"/>
      <c r="B3103" s="648"/>
      <c r="C3103" s="385"/>
      <c r="D3103" s="3589"/>
      <c r="E3103" s="3721"/>
      <c r="F3103" s="3779" t="str">
        <f t="shared" si="252"/>
        <v>ASHP - SEER 17 - replace electric furnace / CAC - early replacement SF ER1</v>
      </c>
      <c r="G3103" s="3779"/>
      <c r="H3103" s="3779"/>
      <c r="I3103" s="3779"/>
      <c r="J3103" s="3073" t="str">
        <f t="shared" si="253"/>
        <v>354100_2019_12_</v>
      </c>
      <c r="K3103" s="602">
        <f>(($R$1696*L3103)+$R$1686)-(($Q$1696*L3103)/((1+$R$1698)^($R$1699-1)))</f>
        <v>1464.7073864864105</v>
      </c>
      <c r="L3103" s="767">
        <f>VLOOKUP(J3103,$J$1682:$L$1809,3,FALSE)*M3103</f>
        <v>3.1</v>
      </c>
      <c r="M3103" s="1815">
        <f>VLOOKUP(J3103,$J$2706:$K$2833,2,FALSE)</f>
        <v>1</v>
      </c>
      <c r="N3103" s="1249"/>
      <c r="O3103" s="277"/>
      <c r="P3103" s="937"/>
      <c r="Q3103" s="937"/>
      <c r="R3103" s="937"/>
      <c r="S3103" s="924"/>
      <c r="T3103" s="1407"/>
      <c r="U3103" s="157"/>
      <c r="V3103" s="3589"/>
      <c r="W3103" s="602">
        <v>3824.9615612563771</v>
      </c>
      <c r="X3103" s="605">
        <f>(X$1750/12000)*$Q$1686*X$2774</f>
        <v>4466.5221594592294</v>
      </c>
      <c r="Y3103" s="605">
        <v>1452.6993716056036</v>
      </c>
      <c r="Z3103" s="602">
        <v>1452.6993716056036</v>
      </c>
      <c r="AA3103" s="602">
        <v>1452.6993716056036</v>
      </c>
      <c r="AB3103" s="602">
        <v>724</v>
      </c>
      <c r="AC3103" s="884"/>
      <c r="AD3103" s="884"/>
      <c r="AE3103" s="884"/>
      <c r="AF3103" s="884"/>
      <c r="AG3103" s="884"/>
      <c r="BB3103" s="647"/>
      <c r="BC3103" s="648"/>
      <c r="BD3103" s="757"/>
      <c r="BE3103" s="659"/>
    </row>
    <row r="3104" spans="1:57" s="64" customFormat="1" ht="15" customHeight="1" outlineLevel="1" x14ac:dyDescent="0.25">
      <c r="A3104" s="2463"/>
      <c r="B3104" s="648"/>
      <c r="C3104" s="385"/>
      <c r="D3104" s="3589"/>
      <c r="E3104" s="3721"/>
      <c r="F3104" s="3779" t="str">
        <f t="shared" si="252"/>
        <v>ASHP - SEER 17 - replace electric furnace / CAC - early replacement SF ER1</v>
      </c>
      <c r="G3104" s="3779"/>
      <c r="H3104" s="3779"/>
      <c r="I3104" s="3779"/>
      <c r="J3104" s="3073" t="str">
        <f t="shared" si="253"/>
        <v>354100_2019_12_</v>
      </c>
      <c r="K3104" s="602"/>
      <c r="L3104" s="767" t="str">
        <f>IF(K3104&gt;0,VLOOKUP(J3104,$J$1682:$L$1809,3,FALSE),"")</f>
        <v/>
      </c>
      <c r="M3104" s="1815" t="str">
        <f>IF(K3104&gt;0,VLOOKUP(J3104,$J$2706:$K$2833,2,FALSE),"")</f>
        <v/>
      </c>
      <c r="N3104" s="1249"/>
      <c r="O3104" s="277"/>
      <c r="P3104" s="937"/>
      <c r="Q3104" s="937"/>
      <c r="R3104" s="937"/>
      <c r="S3104" s="924"/>
      <c r="T3104" s="1407"/>
      <c r="U3104" s="157"/>
      <c r="V3104" s="3589"/>
      <c r="W3104" s="602"/>
      <c r="X3104" s="605"/>
      <c r="Y3104" s="605"/>
      <c r="Z3104" s="602"/>
      <c r="AA3104" s="602"/>
      <c r="AB3104" s="602"/>
      <c r="AC3104" s="884"/>
      <c r="AD3104" s="884"/>
      <c r="AE3104" s="884"/>
      <c r="AF3104" s="884"/>
      <c r="AG3104" s="884"/>
      <c r="BB3104" s="647"/>
      <c r="BC3104" s="648"/>
      <c r="BD3104" s="757"/>
      <c r="BE3104" s="659"/>
    </row>
    <row r="3105" spans="1:57" s="64" customFormat="1" ht="15" customHeight="1" outlineLevel="1" x14ac:dyDescent="0.25">
      <c r="A3105" s="2463"/>
      <c r="B3105" s="648"/>
      <c r="C3105" s="385"/>
      <c r="D3105" s="3589"/>
      <c r="E3105" s="3721"/>
      <c r="F3105" s="3779" t="str">
        <f t="shared" si="252"/>
        <v>ASHP - SEER 17 - replace electric furnace / CAC - early replacement SF ER2</v>
      </c>
      <c r="G3105" s="3779"/>
      <c r="H3105" s="3779"/>
      <c r="I3105" s="3779"/>
      <c r="J3105" s="3073" t="str">
        <f t="shared" si="253"/>
        <v>354100_2019_12_</v>
      </c>
      <c r="K3105" s="602"/>
      <c r="L3105" s="767" t="str">
        <f>IF(K3105&gt;0,VLOOKUP(J3105,$J$1682:$L$1809,3,FALSE),"")</f>
        <v/>
      </c>
      <c r="M3105" s="1815" t="str">
        <f>IF(K3105&gt;0,VLOOKUP(J3105,$J$2706:$K$2833,2,FALSE),"")</f>
        <v/>
      </c>
      <c r="N3105" s="1249"/>
      <c r="O3105" s="277"/>
      <c r="P3105" s="937"/>
      <c r="Q3105" s="937"/>
      <c r="R3105" s="937"/>
      <c r="S3105" s="924"/>
      <c r="T3105" s="1407"/>
      <c r="U3105" s="157"/>
      <c r="V3105" s="3589"/>
      <c r="W3105" s="602"/>
      <c r="X3105" s="605"/>
      <c r="Y3105" s="605"/>
      <c r="Z3105" s="602"/>
      <c r="AA3105" s="602"/>
      <c r="AB3105" s="602"/>
      <c r="AC3105" s="884"/>
      <c r="AD3105" s="884"/>
      <c r="AE3105" s="884"/>
      <c r="AF3105" s="884"/>
      <c r="AG3105" s="884"/>
      <c r="BB3105" s="647"/>
      <c r="BC3105" s="648"/>
      <c r="BD3105" s="757"/>
      <c r="BE3105" s="659"/>
    </row>
    <row r="3106" spans="1:57" s="64" customFormat="1" ht="15" customHeight="1" outlineLevel="1" x14ac:dyDescent="0.25">
      <c r="A3106" s="2463"/>
      <c r="B3106" s="648"/>
      <c r="C3106" s="385"/>
      <c r="D3106" s="3589"/>
      <c r="E3106" s="3721"/>
      <c r="F3106" s="3779" t="str">
        <f t="shared" si="252"/>
        <v>ASHP - SEER 17 - replace electric furnace / CAC - early replacement SF ER2</v>
      </c>
      <c r="G3106" s="3779"/>
      <c r="H3106" s="3779"/>
      <c r="I3106" s="3779"/>
      <c r="J3106" s="3073" t="str">
        <f t="shared" si="253"/>
        <v>354100_2019_12_</v>
      </c>
      <c r="K3106" s="602"/>
      <c r="L3106" s="767" t="str">
        <f>IF(K3106&gt;0,VLOOKUP(J3106,$J$1682:$L$1809,3,FALSE),"")</f>
        <v/>
      </c>
      <c r="M3106" s="1815" t="str">
        <f>IF(K3106&gt;0,VLOOKUP(J3106,$J$2706:$K$2833,2,FALSE),"")</f>
        <v/>
      </c>
      <c r="N3106" s="1249"/>
      <c r="O3106" s="277"/>
      <c r="P3106" s="937"/>
      <c r="Q3106" s="937"/>
      <c r="R3106" s="937"/>
      <c r="S3106" s="924"/>
      <c r="T3106" s="1407"/>
      <c r="U3106" s="157"/>
      <c r="V3106" s="3589"/>
      <c r="W3106" s="602"/>
      <c r="X3106" s="605"/>
      <c r="Y3106" s="605"/>
      <c r="Z3106" s="602"/>
      <c r="AA3106" s="602"/>
      <c r="AB3106" s="602"/>
      <c r="AC3106" s="884"/>
      <c r="AD3106" s="884"/>
      <c r="AE3106" s="884"/>
      <c r="AF3106" s="884"/>
      <c r="AG3106" s="884"/>
      <c r="BB3106" s="647"/>
      <c r="BC3106" s="648"/>
      <c r="BD3106" s="757"/>
      <c r="BE3106" s="659"/>
    </row>
    <row r="3107" spans="1:57" s="64" customFormat="1" ht="15" customHeight="1" outlineLevel="1" x14ac:dyDescent="0.25">
      <c r="A3107" s="2463"/>
      <c r="B3107" s="648"/>
      <c r="C3107" s="385"/>
      <c r="D3107" s="3589"/>
      <c r="E3107" s="3721"/>
      <c r="F3107" s="3779" t="str">
        <f t="shared" si="252"/>
        <v>ASHP - SEER 17 - replace electric furnace / CAC - early replacement MF ER1</v>
      </c>
      <c r="G3107" s="3779"/>
      <c r="H3107" s="3779"/>
      <c r="I3107" s="3779"/>
      <c r="J3107" s="3073" t="str">
        <f t="shared" si="253"/>
        <v>354150_2019_12_</v>
      </c>
      <c r="K3107" s="602">
        <f>(($R$1696*L3107)+$R$1686)-(($Q$1696*L3107)/((1+$R$1698)^($R$1699-1)))</f>
        <v>1205.4598012161669</v>
      </c>
      <c r="L3107" s="767">
        <f>VLOOKUP(J3107,$J$1682:$L$1809,3,FALSE)*M3107</f>
        <v>2.0150000000000001</v>
      </c>
      <c r="M3107" s="1815">
        <f>VLOOKUP(J3107,$J$2706:$K$2833,2,FALSE)</f>
        <v>0.65</v>
      </c>
      <c r="N3107" s="1249"/>
      <c r="O3107" s="277"/>
      <c r="P3107" s="937"/>
      <c r="Q3107" s="937"/>
      <c r="R3107" s="937"/>
      <c r="S3107" s="924"/>
      <c r="T3107" s="1407"/>
      <c r="U3107" s="157"/>
      <c r="V3107" s="3589"/>
      <c r="W3107" s="602">
        <v>3824.9615612563771</v>
      </c>
      <c r="X3107" s="605">
        <f>(X$1752/12000)*$Q$1686*X$2776</f>
        <v>2903.2394036484993</v>
      </c>
      <c r="Y3107" s="605">
        <v>1147.2545915436422</v>
      </c>
      <c r="Z3107" s="602">
        <v>1147.2545915436422</v>
      </c>
      <c r="AA3107" s="602">
        <v>1147.2545915436422</v>
      </c>
      <c r="AB3107" s="602">
        <v>724</v>
      </c>
      <c r="AC3107" s="884"/>
      <c r="AD3107" s="884"/>
      <c r="AE3107" s="884"/>
      <c r="AF3107" s="884"/>
      <c r="AG3107" s="884"/>
      <c r="BB3107" s="647"/>
      <c r="BC3107" s="648"/>
      <c r="BD3107" s="757"/>
      <c r="BE3107" s="659"/>
    </row>
    <row r="3108" spans="1:57" s="64" customFormat="1" ht="15" customHeight="1" outlineLevel="1" x14ac:dyDescent="0.25">
      <c r="A3108" s="2463"/>
      <c r="B3108" s="648"/>
      <c r="C3108" s="385"/>
      <c r="D3108" s="3589"/>
      <c r="E3108" s="3721"/>
      <c r="F3108" s="3779" t="str">
        <f t="shared" si="252"/>
        <v>ASHP - SEER 17 - replace electric furnace / CAC - early replacement MF ER1</v>
      </c>
      <c r="G3108" s="3779"/>
      <c r="H3108" s="3779"/>
      <c r="I3108" s="3779"/>
      <c r="J3108" s="3073" t="str">
        <f t="shared" si="253"/>
        <v>354150_2019_12_</v>
      </c>
      <c r="K3108" s="602"/>
      <c r="L3108" s="767" t="str">
        <f>IF(K3108&gt;0,VLOOKUP(J3108,$J$1682:$L$1809,3,FALSE),"")</f>
        <v/>
      </c>
      <c r="M3108" s="1815" t="str">
        <f>IF(K3108&gt;0,VLOOKUP(J3108,$J$2706:$K$2833,2,FALSE),"")</f>
        <v/>
      </c>
      <c r="N3108" s="1249"/>
      <c r="O3108" s="277"/>
      <c r="P3108" s="937"/>
      <c r="Q3108" s="937"/>
      <c r="R3108" s="937"/>
      <c r="S3108" s="924"/>
      <c r="T3108" s="1407"/>
      <c r="U3108" s="157"/>
      <c r="V3108" s="3589"/>
      <c r="W3108" s="602"/>
      <c r="X3108" s="605"/>
      <c r="Y3108" s="605"/>
      <c r="Z3108" s="602"/>
      <c r="AA3108" s="602"/>
      <c r="AB3108" s="602"/>
      <c r="AC3108" s="884"/>
      <c r="AD3108" s="884"/>
      <c r="AE3108" s="884"/>
      <c r="AF3108" s="884"/>
      <c r="AG3108" s="884"/>
      <c r="BB3108" s="647"/>
      <c r="BC3108" s="648"/>
      <c r="BD3108" s="757"/>
      <c r="BE3108" s="659"/>
    </row>
    <row r="3109" spans="1:57" s="64" customFormat="1" ht="15" customHeight="1" outlineLevel="1" x14ac:dyDescent="0.25">
      <c r="A3109" s="2463"/>
      <c r="B3109" s="648"/>
      <c r="C3109" s="385"/>
      <c r="D3109" s="3589"/>
      <c r="E3109" s="3721"/>
      <c r="F3109" s="3779" t="str">
        <f t="shared" si="252"/>
        <v>ASHP - SEER 17 - replace electric furnace / CAC - early replacement MF ER2</v>
      </c>
      <c r="G3109" s="3779"/>
      <c r="H3109" s="3779"/>
      <c r="I3109" s="3779"/>
      <c r="J3109" s="3073" t="str">
        <f t="shared" si="253"/>
        <v>354150_2019_12_</v>
      </c>
      <c r="K3109" s="602"/>
      <c r="L3109" s="767" t="str">
        <f>IF(K3109&gt;0,VLOOKUP(J3109,$J$1682:$L$1809,3,FALSE),"")</f>
        <v/>
      </c>
      <c r="M3109" s="1815" t="str">
        <f>IF(K3109&gt;0,VLOOKUP(J3109,$J$2706:$K$2833,2,FALSE),"")</f>
        <v/>
      </c>
      <c r="N3109" s="1249"/>
      <c r="O3109" s="277"/>
      <c r="P3109" s="937"/>
      <c r="Q3109" s="937"/>
      <c r="R3109" s="937"/>
      <c r="S3109" s="924"/>
      <c r="T3109" s="1407"/>
      <c r="U3109" s="157"/>
      <c r="V3109" s="3589"/>
      <c r="W3109" s="602"/>
      <c r="X3109" s="605"/>
      <c r="Y3109" s="605"/>
      <c r="Z3109" s="602"/>
      <c r="AA3109" s="602"/>
      <c r="AB3109" s="602"/>
      <c r="AC3109" s="884"/>
      <c r="AD3109" s="884"/>
      <c r="AE3109" s="884"/>
      <c r="AF3109" s="884"/>
      <c r="AG3109" s="884"/>
      <c r="BB3109" s="647"/>
      <c r="BC3109" s="648"/>
      <c r="BD3109" s="757"/>
      <c r="BE3109" s="659"/>
    </row>
    <row r="3110" spans="1:57" s="64" customFormat="1" ht="15" customHeight="1" outlineLevel="1" x14ac:dyDescent="0.25">
      <c r="A3110" s="2463"/>
      <c r="B3110" s="648"/>
      <c r="C3110" s="385"/>
      <c r="D3110" s="3589"/>
      <c r="E3110" s="3721"/>
      <c r="F3110" s="3779" t="str">
        <f t="shared" si="252"/>
        <v>ASHP - SEER 17 - replace electric furnace / CAC - early replacement MF ER2</v>
      </c>
      <c r="G3110" s="3779"/>
      <c r="H3110" s="3779"/>
      <c r="I3110" s="3779"/>
      <c r="J3110" s="3073" t="str">
        <f t="shared" si="253"/>
        <v>354150_2019_12_</v>
      </c>
      <c r="K3110" s="602"/>
      <c r="L3110" s="767" t="str">
        <f>IF(K3110&gt;0,VLOOKUP(J3110,$J$1682:$L$1809,3,FALSE),"")</f>
        <v/>
      </c>
      <c r="M3110" s="1815" t="str">
        <f>IF(K3110&gt;0,VLOOKUP(J3110,$J$2706:$K$2833,2,FALSE),"")</f>
        <v/>
      </c>
      <c r="N3110" s="1249"/>
      <c r="O3110" s="277"/>
      <c r="P3110" s="937"/>
      <c r="Q3110" s="937"/>
      <c r="R3110" s="937"/>
      <c r="S3110" s="924"/>
      <c r="T3110" s="1407"/>
      <c r="U3110" s="157"/>
      <c r="V3110" s="3589"/>
      <c r="W3110" s="602"/>
      <c r="X3110" s="605"/>
      <c r="Y3110" s="605"/>
      <c r="Z3110" s="602"/>
      <c r="AA3110" s="602"/>
      <c r="AB3110" s="602"/>
      <c r="AC3110" s="884"/>
      <c r="AD3110" s="884"/>
      <c r="AE3110" s="884"/>
      <c r="AF3110" s="884"/>
      <c r="AG3110" s="884"/>
      <c r="BB3110" s="647"/>
      <c r="BC3110" s="648"/>
      <c r="BD3110" s="757"/>
      <c r="BE3110" s="659"/>
    </row>
    <row r="3111" spans="1:57" s="64" customFormat="1" ht="15" customHeight="1" outlineLevel="1" x14ac:dyDescent="0.25">
      <c r="A3111" s="2463"/>
      <c r="B3111" s="648"/>
      <c r="C3111" s="385"/>
      <c r="D3111" s="3589"/>
      <c r="E3111" s="3721"/>
      <c r="F3111" s="3779" t="str">
        <f>E1554</f>
        <v>ASHP SEER 17 replace ASHP - early replacement MF ER1</v>
      </c>
      <c r="G3111" s="3779"/>
      <c r="H3111" s="3779"/>
      <c r="I3111" s="3779"/>
      <c r="J3111" s="3073" t="str">
        <f>C1554</f>
        <v>354200_2019_12_</v>
      </c>
      <c r="K3111" s="602">
        <f>(($R$1696*L3111)+$R$1686)-(($Q$1696*L3111)/((1+$R$1698)^($R$1699-1)))</f>
        <v>1236.5217238752739</v>
      </c>
      <c r="L3111" s="767">
        <f>VLOOKUP(J3111,$J$1682:$L$1809,3,FALSE)*M3111</f>
        <v>2.145</v>
      </c>
      <c r="M3111" s="1815">
        <f>VLOOKUP(J3111,$J$2706:$K$2833,2,FALSE)</f>
        <v>0.65</v>
      </c>
      <c r="N3111" s="1249"/>
      <c r="O3111" s="277"/>
      <c r="P3111" s="937"/>
      <c r="Q3111" s="937"/>
      <c r="R3111" s="937"/>
      <c r="S3111" s="924"/>
      <c r="T3111" s="1407"/>
      <c r="U3111" s="157"/>
      <c r="V3111" s="3589"/>
      <c r="W3111" s="602">
        <v>6101.9914642916983</v>
      </c>
      <c r="X3111" s="605">
        <f>(X$1756/12000)*$Q$1686*X$2780</f>
        <v>3090.5451716258217</v>
      </c>
      <c r="Y3111" s="605">
        <v>1183.8516619658126</v>
      </c>
      <c r="Z3111" s="602">
        <v>1183.8516619658126</v>
      </c>
      <c r="AA3111" s="602">
        <v>1183.8516619658126</v>
      </c>
      <c r="AB3111" s="602">
        <v>724</v>
      </c>
      <c r="AC3111" s="884"/>
      <c r="AD3111" s="884"/>
      <c r="AE3111" s="884"/>
      <c r="AF3111" s="884"/>
      <c r="AG3111" s="884"/>
      <c r="BB3111" s="647"/>
      <c r="BC3111" s="648"/>
      <c r="BD3111" s="757"/>
      <c r="BE3111" s="659"/>
    </row>
    <row r="3112" spans="1:57" s="64" customFormat="1" ht="15" customHeight="1" outlineLevel="1" x14ac:dyDescent="0.25">
      <c r="A3112" s="2463"/>
      <c r="B3112" s="648"/>
      <c r="C3112" s="385"/>
      <c r="D3112" s="3589"/>
      <c r="E3112" s="3721"/>
      <c r="F3112" s="3779" t="str">
        <f>E1555</f>
        <v>ASHP SEER 17 replace ASHP - early replacement MF ER1</v>
      </c>
      <c r="G3112" s="3779"/>
      <c r="H3112" s="3779"/>
      <c r="I3112" s="3779"/>
      <c r="J3112" s="3073" t="str">
        <f>C1555</f>
        <v>354200_2019_12_</v>
      </c>
      <c r="K3112" s="602"/>
      <c r="L3112" s="767" t="str">
        <f>IF(K3112&gt;0,VLOOKUP(J3112,$J$1682:$L$1809,3,FALSE),"")</f>
        <v/>
      </c>
      <c r="M3112" s="1815" t="str">
        <f>IF(K3112&gt;0,VLOOKUP(J3112,$J$2706:$K$2833,2,FALSE),"")</f>
        <v/>
      </c>
      <c r="N3112" s="1249"/>
      <c r="O3112" s="277"/>
      <c r="P3112" s="937"/>
      <c r="Q3112" s="937"/>
      <c r="R3112" s="937"/>
      <c r="S3112" s="924"/>
      <c r="T3112" s="1407"/>
      <c r="U3112" s="157"/>
      <c r="V3112" s="3589"/>
      <c r="W3112" s="602"/>
      <c r="X3112" s="605"/>
      <c r="Y3112" s="605"/>
      <c r="Z3112" s="602"/>
      <c r="AA3112" s="602"/>
      <c r="AB3112" s="602"/>
      <c r="AC3112" s="884"/>
      <c r="AD3112" s="884"/>
      <c r="AE3112" s="884"/>
      <c r="AF3112" s="884"/>
      <c r="AG3112" s="884"/>
      <c r="BB3112" s="647"/>
      <c r="BC3112" s="648"/>
      <c r="BD3112" s="757"/>
      <c r="BE3112" s="659"/>
    </row>
    <row r="3113" spans="1:57" s="64" customFormat="1" ht="15" customHeight="1" outlineLevel="1" x14ac:dyDescent="0.25">
      <c r="A3113" s="2463"/>
      <c r="B3113" s="648"/>
      <c r="C3113" s="385"/>
      <c r="D3113" s="3589"/>
      <c r="E3113" s="3721"/>
      <c r="F3113" s="3779" t="str">
        <f>E1556</f>
        <v>ASHP SEER 17 replace ASHP - early replacement MF ER2</v>
      </c>
      <c r="G3113" s="3779"/>
      <c r="H3113" s="3779"/>
      <c r="I3113" s="3779"/>
      <c r="J3113" s="3073" t="str">
        <f>C1556</f>
        <v>354200_2019_12_</v>
      </c>
      <c r="K3113" s="602"/>
      <c r="L3113" s="767" t="str">
        <f>IF(K3113&gt;0,VLOOKUP(J3113,$J$1682:$L$1809,3,FALSE),"")</f>
        <v/>
      </c>
      <c r="M3113" s="1815" t="str">
        <f>IF(K3113&gt;0,VLOOKUP(J3113,$J$2706:$K$2833,2,FALSE),"")</f>
        <v/>
      </c>
      <c r="N3113" s="1249"/>
      <c r="O3113" s="277"/>
      <c r="P3113" s="937"/>
      <c r="Q3113" s="937"/>
      <c r="R3113" s="937"/>
      <c r="S3113" s="924"/>
      <c r="T3113" s="1407"/>
      <c r="U3113" s="157"/>
      <c r="V3113" s="3589"/>
      <c r="W3113" s="602"/>
      <c r="X3113" s="605"/>
      <c r="Y3113" s="605"/>
      <c r="Z3113" s="602"/>
      <c r="AA3113" s="602"/>
      <c r="AB3113" s="602"/>
      <c r="AC3113" s="884"/>
      <c r="AD3113" s="884"/>
      <c r="AE3113" s="884"/>
      <c r="AF3113" s="884"/>
      <c r="AG3113" s="884"/>
      <c r="BB3113" s="647"/>
      <c r="BC3113" s="648"/>
      <c r="BD3113" s="757"/>
      <c r="BE3113" s="659"/>
    </row>
    <row r="3114" spans="1:57" s="64" customFormat="1" ht="15" customHeight="1" outlineLevel="1" x14ac:dyDescent="0.25">
      <c r="A3114" s="2463"/>
      <c r="B3114" s="648"/>
      <c r="C3114" s="385"/>
      <c r="D3114" s="3589"/>
      <c r="E3114" s="3721"/>
      <c r="F3114" s="3779" t="str">
        <f>E1557</f>
        <v>ASHP SEER 17 replace ASHP - early replacement MF ER2</v>
      </c>
      <c r="G3114" s="3779"/>
      <c r="H3114" s="3779"/>
      <c r="I3114" s="3779"/>
      <c r="J3114" s="3073" t="str">
        <f>C1557</f>
        <v>354200_2019_12_</v>
      </c>
      <c r="K3114" s="602"/>
      <c r="L3114" s="767" t="str">
        <f>IF(K3114&gt;0,VLOOKUP(J3114,$J$1682:$L$1809,3,FALSE),"")</f>
        <v/>
      </c>
      <c r="M3114" s="1815" t="str">
        <f>IF(K3114&gt;0,VLOOKUP(J3114,$J$2706:$K$2833,2,FALSE),"")</f>
        <v/>
      </c>
      <c r="N3114" s="1249"/>
      <c r="O3114" s="277"/>
      <c r="P3114" s="937"/>
      <c r="Q3114" s="937"/>
      <c r="R3114" s="937"/>
      <c r="S3114" s="924"/>
      <c r="T3114" s="1407"/>
      <c r="U3114" s="157"/>
      <c r="V3114" s="3589"/>
      <c r="W3114" s="602"/>
      <c r="X3114" s="605"/>
      <c r="Y3114" s="605"/>
      <c r="Z3114" s="602"/>
      <c r="AA3114" s="602"/>
      <c r="AB3114" s="602"/>
      <c r="AC3114" s="884"/>
      <c r="AD3114" s="884"/>
      <c r="AE3114" s="884"/>
      <c r="AF3114" s="884"/>
      <c r="AG3114" s="884"/>
      <c r="BB3114" s="647"/>
      <c r="BC3114" s="648"/>
      <c r="BD3114" s="757"/>
      <c r="BE3114" s="659"/>
    </row>
    <row r="3115" spans="1:57" s="64" customFormat="1" ht="15" customHeight="1" outlineLevel="1" x14ac:dyDescent="0.25">
      <c r="A3115" s="2463"/>
      <c r="B3115" s="648"/>
      <c r="C3115" s="385"/>
      <c r="D3115" s="3589"/>
      <c r="E3115" s="3721"/>
      <c r="F3115" s="3779" t="str">
        <f t="shared" ref="F3115:F3122" si="254">E1562</f>
        <v>ASHP - SEER 18 - replace electric furnace / CAC - early replacement SF ER1</v>
      </c>
      <c r="G3115" s="3779"/>
      <c r="H3115" s="3779"/>
      <c r="I3115" s="3779"/>
      <c r="J3115" s="3073" t="str">
        <f t="shared" ref="J3115:J3122" si="255">C1562</f>
        <v>354250_2019_12_</v>
      </c>
      <c r="K3115" s="602">
        <f>(($R$1696*L3115)+$R$1687)-(($Q$1696*L3115)/((1+$R$1698)^($R$1699-1)))</f>
        <v>1778.604441180808</v>
      </c>
      <c r="L3115" s="767">
        <f>VLOOKUP(J3115,$J$1682:$L$1809,3,FALSE)*M3115</f>
        <v>3.4137931034482758</v>
      </c>
      <c r="M3115" s="1815">
        <f>VLOOKUP(J3115,$J$2706:$K$2833,2,FALSE)</f>
        <v>1</v>
      </c>
      <c r="N3115" s="1249"/>
      <c r="O3115" s="277"/>
      <c r="P3115" s="937"/>
      <c r="Q3115" s="937"/>
      <c r="R3115" s="937"/>
      <c r="S3115" s="924"/>
      <c r="T3115" s="1407"/>
      <c r="U3115" s="157"/>
      <c r="V3115" s="3589"/>
      <c r="W3115" s="602">
        <v>4279.6282279230445</v>
      </c>
      <c r="X3115" s="605">
        <f>(X$1760/12000)*$Q$1687*X$2784</f>
        <v>5207.1741594592304</v>
      </c>
      <c r="Y3115" s="605">
        <v>1586.0327049389366</v>
      </c>
      <c r="Z3115" s="602">
        <v>1586.0327049389366</v>
      </c>
      <c r="AA3115" s="602">
        <v>1586.0327049389366</v>
      </c>
      <c r="AB3115" s="602">
        <v>962.92000000000007</v>
      </c>
      <c r="AC3115" s="884"/>
      <c r="AD3115" s="884"/>
      <c r="AE3115" s="884"/>
      <c r="AF3115" s="884"/>
      <c r="AG3115" s="884"/>
      <c r="BB3115" s="647"/>
      <c r="BC3115" s="648"/>
      <c r="BD3115" s="757"/>
      <c r="BE3115" s="659"/>
    </row>
    <row r="3116" spans="1:57" s="64" customFormat="1" ht="15" customHeight="1" outlineLevel="1" x14ac:dyDescent="0.25">
      <c r="A3116" s="2463"/>
      <c r="B3116" s="648"/>
      <c r="C3116" s="385"/>
      <c r="D3116" s="3589"/>
      <c r="E3116" s="3721"/>
      <c r="F3116" s="3779" t="str">
        <f t="shared" si="254"/>
        <v>ASHP - SEER 18 - replace electric furnace / CAC - early replacement SF ER1</v>
      </c>
      <c r="G3116" s="3779"/>
      <c r="H3116" s="3779"/>
      <c r="I3116" s="3779"/>
      <c r="J3116" s="3073" t="str">
        <f t="shared" si="255"/>
        <v>354250_2019_12_</v>
      </c>
      <c r="K3116" s="602"/>
      <c r="L3116" s="767" t="str">
        <f>IF(K3116&gt;0,VLOOKUP(J3116,$J$1682:$L$1809,3,FALSE),"")</f>
        <v/>
      </c>
      <c r="M3116" s="1815" t="str">
        <f>IF(K3116&gt;0,VLOOKUP(J3116,$J$2706:$K$2833,2,FALSE),"")</f>
        <v/>
      </c>
      <c r="N3116" s="1249"/>
      <c r="O3116" s="277"/>
      <c r="P3116" s="937"/>
      <c r="Q3116" s="937"/>
      <c r="R3116" s="937"/>
      <c r="S3116" s="924"/>
      <c r="T3116" s="1407"/>
      <c r="U3116" s="157"/>
      <c r="V3116" s="3589"/>
      <c r="W3116" s="602"/>
      <c r="X3116" s="605"/>
      <c r="Y3116" s="605"/>
      <c r="Z3116" s="602"/>
      <c r="AA3116" s="602"/>
      <c r="AB3116" s="602"/>
      <c r="AC3116" s="884"/>
      <c r="AD3116" s="884"/>
      <c r="AE3116" s="884"/>
      <c r="AF3116" s="884"/>
      <c r="AG3116" s="884"/>
      <c r="BB3116" s="647"/>
      <c r="BC3116" s="648"/>
      <c r="BD3116" s="757"/>
      <c r="BE3116" s="659"/>
    </row>
    <row r="3117" spans="1:57" s="64" customFormat="1" ht="15" customHeight="1" outlineLevel="1" x14ac:dyDescent="0.25">
      <c r="A3117" s="2463"/>
      <c r="B3117" s="648"/>
      <c r="C3117" s="385"/>
      <c r="D3117" s="3589"/>
      <c r="E3117" s="3721"/>
      <c r="F3117" s="3779" t="str">
        <f t="shared" si="254"/>
        <v>ASHP - SEER 18 - replace electric furnace / CAC - early replacement SF ER2</v>
      </c>
      <c r="G3117" s="3779"/>
      <c r="H3117" s="3779"/>
      <c r="I3117" s="3779"/>
      <c r="J3117" s="3073" t="str">
        <f t="shared" si="255"/>
        <v>354250_2019_12_</v>
      </c>
      <c r="K3117" s="602"/>
      <c r="L3117" s="767" t="str">
        <f>IF(K3117&gt;0,VLOOKUP(J3117,$J$1682:$L$1809,3,FALSE),"")</f>
        <v/>
      </c>
      <c r="M3117" s="1815" t="str">
        <f>IF(K3117&gt;0,VLOOKUP(J3117,$J$2706:$K$2833,2,FALSE),"")</f>
        <v/>
      </c>
      <c r="N3117" s="1249"/>
      <c r="O3117" s="277"/>
      <c r="P3117" s="937"/>
      <c r="Q3117" s="937"/>
      <c r="R3117" s="937"/>
      <c r="S3117" s="924"/>
      <c r="T3117" s="1407"/>
      <c r="U3117" s="157"/>
      <c r="V3117" s="3589"/>
      <c r="W3117" s="602"/>
      <c r="X3117" s="605"/>
      <c r="Y3117" s="605"/>
      <c r="Z3117" s="602"/>
      <c r="AA3117" s="602"/>
      <c r="AB3117" s="602"/>
      <c r="AC3117" s="884"/>
      <c r="AD3117" s="884"/>
      <c r="AE3117" s="884"/>
      <c r="AF3117" s="884"/>
      <c r="AG3117" s="884"/>
      <c r="BB3117" s="647"/>
      <c r="BC3117" s="648"/>
      <c r="BD3117" s="757"/>
      <c r="BE3117" s="659"/>
    </row>
    <row r="3118" spans="1:57" s="64" customFormat="1" ht="15" customHeight="1" outlineLevel="1" x14ac:dyDescent="0.25">
      <c r="A3118" s="2463"/>
      <c r="B3118" s="648"/>
      <c r="C3118" s="385"/>
      <c r="D3118" s="3589"/>
      <c r="E3118" s="3721"/>
      <c r="F3118" s="3779" t="str">
        <f t="shared" si="254"/>
        <v>ASHP - SEER 18 - replace electric furnace / CAC - early replacement SF ER2</v>
      </c>
      <c r="G3118" s="3779"/>
      <c r="H3118" s="3779"/>
      <c r="I3118" s="3779"/>
      <c r="J3118" s="3073" t="str">
        <f t="shared" si="255"/>
        <v>354250_2019_12_</v>
      </c>
      <c r="K3118" s="602"/>
      <c r="L3118" s="767" t="str">
        <f>IF(K3118&gt;0,VLOOKUP(J3118,$J$1682:$L$1809,3,FALSE),"")</f>
        <v/>
      </c>
      <c r="M3118" s="1815" t="str">
        <f>IF(K3118&gt;0,VLOOKUP(J3118,$J$2706:$K$2833,2,FALSE),"")</f>
        <v/>
      </c>
      <c r="N3118" s="1249"/>
      <c r="O3118" s="277"/>
      <c r="P3118" s="937"/>
      <c r="Q3118" s="937"/>
      <c r="R3118" s="937"/>
      <c r="S3118" s="924"/>
      <c r="T3118" s="1407"/>
      <c r="U3118" s="157"/>
      <c r="V3118" s="3589"/>
      <c r="W3118" s="602"/>
      <c r="X3118" s="605"/>
      <c r="Y3118" s="605"/>
      <c r="Z3118" s="602"/>
      <c r="AA3118" s="602"/>
      <c r="AB3118" s="602"/>
      <c r="AC3118" s="884"/>
      <c r="AD3118" s="884"/>
      <c r="AE3118" s="884"/>
      <c r="AF3118" s="884"/>
      <c r="AG3118" s="884"/>
      <c r="BB3118" s="647"/>
      <c r="BC3118" s="648"/>
      <c r="BD3118" s="757"/>
      <c r="BE3118" s="659"/>
    </row>
    <row r="3119" spans="1:57" s="64" customFormat="1" ht="15" customHeight="1" outlineLevel="1" x14ac:dyDescent="0.25">
      <c r="A3119" s="2463"/>
      <c r="B3119" s="648"/>
      <c r="C3119" s="385"/>
      <c r="D3119" s="3589"/>
      <c r="E3119" s="3721"/>
      <c r="F3119" s="3779" t="str">
        <f t="shared" si="254"/>
        <v>ASHP - SEER 18 - replace electric furnace / CAC - early replacement MF ER1</v>
      </c>
      <c r="G3119" s="3779"/>
      <c r="H3119" s="3779"/>
      <c r="I3119" s="3779"/>
      <c r="J3119" s="3073" t="str">
        <f t="shared" si="255"/>
        <v>354300_2019_12_</v>
      </c>
      <c r="K3119" s="602">
        <f>(($R$1696*L3119)+$R$1687)-(($Q$1696*L3119)/((1+$R$1698)^($R$1699-1)))</f>
        <v>1584.1584531821509</v>
      </c>
      <c r="L3119" s="767">
        <f>VLOOKUP(J3119,$J$1682:$L$1809,3,FALSE)*M3119</f>
        <v>2.6</v>
      </c>
      <c r="M3119" s="1815">
        <f>VLOOKUP(J3119,$J$2706:$K$2833,2,FALSE)</f>
        <v>0.65</v>
      </c>
      <c r="N3119" s="1249"/>
      <c r="O3119" s="277"/>
      <c r="P3119" s="937"/>
      <c r="Q3119" s="937"/>
      <c r="R3119" s="937"/>
      <c r="S3119" s="924"/>
      <c r="T3119" s="1407"/>
      <c r="U3119" s="157"/>
      <c r="V3119" s="3589"/>
      <c r="W3119" s="602">
        <v>4279.6282279230445</v>
      </c>
      <c r="X3119" s="605">
        <f>(X$1762/12000)*$Q$1687*X$2786</f>
        <v>3384.6632036484998</v>
      </c>
      <c r="Y3119" s="605">
        <v>1280.5879248769756</v>
      </c>
      <c r="Z3119" s="602">
        <v>1280.5879248769756</v>
      </c>
      <c r="AA3119" s="602">
        <v>1280.5879248769756</v>
      </c>
      <c r="AB3119" s="602">
        <v>962.92000000000007</v>
      </c>
      <c r="AC3119" s="884"/>
      <c r="AD3119" s="884"/>
      <c r="AE3119" s="884"/>
      <c r="AF3119" s="884"/>
      <c r="AG3119" s="884"/>
      <c r="BB3119" s="647"/>
      <c r="BC3119" s="648"/>
      <c r="BD3119" s="757"/>
      <c r="BE3119" s="659"/>
    </row>
    <row r="3120" spans="1:57" s="64" customFormat="1" ht="15" customHeight="1" outlineLevel="1" x14ac:dyDescent="0.25">
      <c r="A3120" s="2463"/>
      <c r="B3120" s="648"/>
      <c r="C3120" s="385"/>
      <c r="D3120" s="3589"/>
      <c r="E3120" s="3721"/>
      <c r="F3120" s="3779" t="str">
        <f t="shared" si="254"/>
        <v>ASHP - SEER 18 - replace electric furnace / CAC - early replacement MF ER1</v>
      </c>
      <c r="G3120" s="3779"/>
      <c r="H3120" s="3779"/>
      <c r="I3120" s="3779"/>
      <c r="J3120" s="3073" t="str">
        <f t="shared" si="255"/>
        <v>354300_2019_12_</v>
      </c>
      <c r="K3120" s="602"/>
      <c r="L3120" s="767" t="str">
        <f>IF(K3120&gt;0,VLOOKUP(J3120,$J$1682:$L$1809,3,FALSE),"")</f>
        <v/>
      </c>
      <c r="M3120" s="1815" t="str">
        <f>IF(K3120&gt;0,VLOOKUP(J3120,$J$2706:$K$2833,2,FALSE),"")</f>
        <v/>
      </c>
      <c r="N3120" s="1249"/>
      <c r="O3120" s="277"/>
      <c r="P3120" s="937"/>
      <c r="Q3120" s="937"/>
      <c r="R3120" s="937"/>
      <c r="S3120" s="924"/>
      <c r="T3120" s="1407"/>
      <c r="U3120" s="157"/>
      <c r="V3120" s="3589"/>
      <c r="W3120" s="602"/>
      <c r="X3120" s="605"/>
      <c r="Y3120" s="605"/>
      <c r="Z3120" s="602"/>
      <c r="AA3120" s="602"/>
      <c r="AB3120" s="602"/>
      <c r="AC3120" s="884"/>
      <c r="AD3120" s="884"/>
      <c r="AE3120" s="884"/>
      <c r="AF3120" s="884"/>
      <c r="AG3120" s="884"/>
      <c r="BB3120" s="647"/>
      <c r="BC3120" s="648"/>
      <c r="BD3120" s="757"/>
      <c r="BE3120" s="659"/>
    </row>
    <row r="3121" spans="1:57" s="64" customFormat="1" ht="15" customHeight="1" outlineLevel="1" x14ac:dyDescent="0.25">
      <c r="A3121" s="2463"/>
      <c r="B3121" s="648"/>
      <c r="C3121" s="385"/>
      <c r="D3121" s="3589"/>
      <c r="E3121" s="3721"/>
      <c r="F3121" s="3779" t="str">
        <f t="shared" si="254"/>
        <v>ASHP - SEER 18 - replace electric furnace / CAC - early replacement MF ER2</v>
      </c>
      <c r="G3121" s="3779"/>
      <c r="H3121" s="3779"/>
      <c r="I3121" s="3779"/>
      <c r="J3121" s="3073" t="str">
        <f t="shared" si="255"/>
        <v>354300_2019_12_</v>
      </c>
      <c r="K3121" s="602"/>
      <c r="L3121" s="767" t="str">
        <f>IF(K3121&gt;0,VLOOKUP(J3121,$J$1682:$L$1809,3,FALSE),"")</f>
        <v/>
      </c>
      <c r="M3121" s="1815" t="str">
        <f>IF(K3121&gt;0,VLOOKUP(J3121,$J$2706:$K$2833,2,FALSE),"")</f>
        <v/>
      </c>
      <c r="N3121" s="1249"/>
      <c r="O3121" s="277"/>
      <c r="P3121" s="937"/>
      <c r="Q3121" s="937"/>
      <c r="R3121" s="937"/>
      <c r="S3121" s="924"/>
      <c r="T3121" s="1407"/>
      <c r="U3121" s="157"/>
      <c r="V3121" s="3589"/>
      <c r="W3121" s="602"/>
      <c r="X3121" s="605"/>
      <c r="Y3121" s="605"/>
      <c r="Z3121" s="602"/>
      <c r="AA3121" s="602"/>
      <c r="AB3121" s="602"/>
      <c r="AC3121" s="884"/>
      <c r="AD3121" s="884"/>
      <c r="AE3121" s="884"/>
      <c r="AF3121" s="884"/>
      <c r="AG3121" s="884"/>
      <c r="BB3121" s="647"/>
      <c r="BC3121" s="648"/>
      <c r="BD3121" s="757"/>
      <c r="BE3121" s="659"/>
    </row>
    <row r="3122" spans="1:57" s="64" customFormat="1" ht="15" customHeight="1" outlineLevel="1" x14ac:dyDescent="0.25">
      <c r="A3122" s="2463"/>
      <c r="B3122" s="648"/>
      <c r="C3122" s="385"/>
      <c r="D3122" s="3589"/>
      <c r="E3122" s="3721"/>
      <c r="F3122" s="3779" t="str">
        <f t="shared" si="254"/>
        <v>ASHP - SEER 18 - replace electric furnace / CAC - early replacement MF ER2</v>
      </c>
      <c r="G3122" s="3779"/>
      <c r="H3122" s="3779"/>
      <c r="I3122" s="3779"/>
      <c r="J3122" s="3073" t="str">
        <f t="shared" si="255"/>
        <v>354300_2019_12_</v>
      </c>
      <c r="K3122" s="602"/>
      <c r="L3122" s="767" t="str">
        <f>IF(K3122&gt;0,VLOOKUP(J3122,$J$1682:$L$1809,3,FALSE),"")</f>
        <v/>
      </c>
      <c r="M3122" s="1815" t="str">
        <f>IF(K3122&gt;0,VLOOKUP(J3122,$J$2706:$K$2833,2,FALSE),"")</f>
        <v/>
      </c>
      <c r="N3122" s="1249"/>
      <c r="O3122" s="277"/>
      <c r="P3122" s="937"/>
      <c r="Q3122" s="938"/>
      <c r="R3122" s="937"/>
      <c r="S3122" s="924"/>
      <c r="T3122" s="1407"/>
      <c r="U3122" s="157"/>
      <c r="V3122" s="3589"/>
      <c r="W3122" s="602"/>
      <c r="X3122" s="605"/>
      <c r="Y3122" s="605"/>
      <c r="Z3122" s="602"/>
      <c r="AA3122" s="602"/>
      <c r="AB3122" s="602"/>
      <c r="AC3122" s="884"/>
      <c r="AD3122" s="884"/>
      <c r="AE3122" s="884"/>
      <c r="AF3122" s="884"/>
      <c r="AG3122" s="884"/>
      <c r="BB3122" s="647"/>
      <c r="BC3122" s="648"/>
      <c r="BD3122" s="757"/>
      <c r="BE3122" s="659"/>
    </row>
    <row r="3123" spans="1:57" s="64" customFormat="1" ht="15" customHeight="1" outlineLevel="1" x14ac:dyDescent="0.25">
      <c r="A3123" s="2463"/>
      <c r="B3123" s="648"/>
      <c r="C3123" s="385"/>
      <c r="D3123" s="3589"/>
      <c r="E3123" s="3721"/>
      <c r="F3123" s="3779" t="str">
        <f>E1574</f>
        <v>ASHP SEER 18 replace ASHP - early replacement MF ER1</v>
      </c>
      <c r="G3123" s="3779"/>
      <c r="H3123" s="3779"/>
      <c r="I3123" s="3779"/>
      <c r="J3123" s="3073" t="str">
        <f>C1574</f>
        <v>354350_2019_12_</v>
      </c>
      <c r="K3123" s="602">
        <f>(($R$1696*L3123)+$R$1687)-(($Q$1696*L3123)/((1+$R$1698)^($R$1699-1)))</f>
        <v>1475.441723875274</v>
      </c>
      <c r="L3123" s="767">
        <f>VLOOKUP(J3123,$J$1682:$L$1809,3,FALSE)*M3123</f>
        <v>2.145</v>
      </c>
      <c r="M3123" s="1815">
        <f>VLOOKUP(J3123,$J$2706:$K$2833,2,FALSE)</f>
        <v>0.65</v>
      </c>
      <c r="N3123" s="1249"/>
      <c r="O3123" s="277"/>
      <c r="P3123" s="937"/>
      <c r="Q3123" s="938"/>
      <c r="R3123" s="937"/>
      <c r="S3123" s="924"/>
      <c r="T3123" s="1407"/>
      <c r="U3123" s="157"/>
      <c r="V3123" s="3589"/>
      <c r="W3123" s="602">
        <v>6827.3247976250323</v>
      </c>
      <c r="X3123" s="605">
        <f>(X$1766/12000)*$Q$1687*X$2790</f>
        <v>3603.0285716258218</v>
      </c>
      <c r="Y3123" s="605">
        <v>1317.1849952991461</v>
      </c>
      <c r="Z3123" s="602">
        <v>1317.1849952991461</v>
      </c>
      <c r="AA3123" s="602">
        <v>1317.1849952991461</v>
      </c>
      <c r="AB3123" s="602">
        <v>962.92000000000007</v>
      </c>
      <c r="AC3123" s="884"/>
      <c r="AD3123" s="884"/>
      <c r="AE3123" s="884"/>
      <c r="AF3123" s="884"/>
      <c r="AG3123" s="884"/>
      <c r="BB3123" s="647"/>
      <c r="BC3123" s="648"/>
      <c r="BD3123" s="757"/>
      <c r="BE3123" s="659"/>
    </row>
    <row r="3124" spans="1:57" s="64" customFormat="1" ht="15" customHeight="1" outlineLevel="1" x14ac:dyDescent="0.25">
      <c r="A3124" s="2463"/>
      <c r="B3124" s="648"/>
      <c r="C3124" s="385"/>
      <c r="D3124" s="3589"/>
      <c r="E3124" s="3721"/>
      <c r="F3124" s="3779" t="str">
        <f>E1575</f>
        <v>ASHP SEER 18 replace ASHP - early replacement MF ER1</v>
      </c>
      <c r="G3124" s="3779"/>
      <c r="H3124" s="3779"/>
      <c r="I3124" s="3779"/>
      <c r="J3124" s="3073" t="str">
        <f>C1575</f>
        <v>354350_2019_12_</v>
      </c>
      <c r="K3124" s="602"/>
      <c r="L3124" s="767" t="str">
        <f>IF(K3124&gt;0,VLOOKUP(J3124,$J$1682:$L$1809,3,FALSE),"")</f>
        <v/>
      </c>
      <c r="M3124" s="1815" t="str">
        <f>IF(K3124&gt;0,VLOOKUP(J3124,$J$2706:$K$2833,2,FALSE),"")</f>
        <v/>
      </c>
      <c r="N3124" s="1249"/>
      <c r="O3124" s="277"/>
      <c r="P3124" s="937"/>
      <c r="Q3124" s="938"/>
      <c r="R3124" s="937"/>
      <c r="S3124" s="924"/>
      <c r="T3124" s="1407"/>
      <c r="U3124" s="157"/>
      <c r="V3124" s="3589"/>
      <c r="W3124" s="602"/>
      <c r="X3124" s="605"/>
      <c r="Y3124" s="605"/>
      <c r="Z3124" s="602"/>
      <c r="AA3124" s="602"/>
      <c r="AB3124" s="602"/>
      <c r="AC3124" s="884"/>
      <c r="AD3124" s="884"/>
      <c r="AE3124" s="884"/>
      <c r="AF3124" s="884"/>
      <c r="AG3124" s="884"/>
      <c r="BB3124" s="647"/>
      <c r="BC3124" s="648"/>
      <c r="BD3124" s="757"/>
      <c r="BE3124" s="659"/>
    </row>
    <row r="3125" spans="1:57" s="64" customFormat="1" ht="15" customHeight="1" outlineLevel="1" x14ac:dyDescent="0.25">
      <c r="A3125" s="2463"/>
      <c r="B3125" s="648"/>
      <c r="C3125" s="385"/>
      <c r="D3125" s="3589"/>
      <c r="E3125" s="3721"/>
      <c r="F3125" s="3779" t="str">
        <f>E1576</f>
        <v>ASHP SEER 18 replace ASHP - early replacement MF ER2</v>
      </c>
      <c r="G3125" s="3779"/>
      <c r="H3125" s="3779"/>
      <c r="I3125" s="3779"/>
      <c r="J3125" s="3073" t="str">
        <f>C1576</f>
        <v>354350_2019_12_</v>
      </c>
      <c r="K3125" s="602"/>
      <c r="L3125" s="767" t="str">
        <f>IF(K3125&gt;0,VLOOKUP(J3125,$J$1682:$L$1809,3,FALSE),"")</f>
        <v/>
      </c>
      <c r="M3125" s="1815" t="str">
        <f>IF(K3125&gt;0,VLOOKUP(J3125,$J$2706:$K$2833,2,FALSE),"")</f>
        <v/>
      </c>
      <c r="N3125" s="1249"/>
      <c r="O3125" s="277"/>
      <c r="P3125" s="937"/>
      <c r="Q3125" s="938"/>
      <c r="R3125" s="937"/>
      <c r="S3125" s="924"/>
      <c r="T3125" s="1407"/>
      <c r="U3125" s="157"/>
      <c r="V3125" s="3589"/>
      <c r="W3125" s="602"/>
      <c r="X3125" s="605"/>
      <c r="Y3125" s="605"/>
      <c r="Z3125" s="602"/>
      <c r="AA3125" s="602"/>
      <c r="AB3125" s="602"/>
      <c r="AC3125" s="884"/>
      <c r="AD3125" s="884"/>
      <c r="AE3125" s="884"/>
      <c r="AF3125" s="884"/>
      <c r="AG3125" s="884"/>
      <c r="BB3125" s="647"/>
      <c r="BC3125" s="648"/>
      <c r="BD3125" s="757"/>
      <c r="BE3125" s="659"/>
    </row>
    <row r="3126" spans="1:57" s="64" customFormat="1" ht="15" customHeight="1" outlineLevel="1" x14ac:dyDescent="0.25">
      <c r="A3126" s="2463"/>
      <c r="B3126" s="648"/>
      <c r="C3126" s="385"/>
      <c r="D3126" s="3589"/>
      <c r="E3126" s="3721"/>
      <c r="F3126" s="3779" t="str">
        <f>E1577</f>
        <v>ASHP SEER 18 replace ASHP - early replacement MF ER2</v>
      </c>
      <c r="G3126" s="3779"/>
      <c r="H3126" s="3779"/>
      <c r="I3126" s="3779"/>
      <c r="J3126" s="3073" t="str">
        <f>C1577</f>
        <v>354350_2019_12_</v>
      </c>
      <c r="K3126" s="602"/>
      <c r="L3126" s="767" t="str">
        <f>IF(K3126&gt;0,VLOOKUP(J3126,$J$1682:$L$1809,3,FALSE),"")</f>
        <v/>
      </c>
      <c r="M3126" s="1815" t="str">
        <f>IF(K3126&gt;0,VLOOKUP(J3126,$J$2706:$K$2833,2,FALSE),"")</f>
        <v/>
      </c>
      <c r="N3126" s="1249"/>
      <c r="O3126" s="277"/>
      <c r="P3126" s="937"/>
      <c r="Q3126" s="938"/>
      <c r="R3126" s="937"/>
      <c r="S3126" s="924"/>
      <c r="T3126" s="1407"/>
      <c r="U3126" s="157"/>
      <c r="V3126" s="3589"/>
      <c r="W3126" s="602"/>
      <c r="X3126" s="605"/>
      <c r="Y3126" s="605"/>
      <c r="Z3126" s="602"/>
      <c r="AA3126" s="602"/>
      <c r="AB3126" s="602"/>
      <c r="AC3126" s="884"/>
      <c r="AD3126" s="884"/>
      <c r="AE3126" s="884"/>
      <c r="AF3126" s="884"/>
      <c r="AG3126" s="884"/>
      <c r="BB3126" s="647"/>
      <c r="BC3126" s="648"/>
      <c r="BD3126" s="757"/>
      <c r="BE3126" s="659"/>
    </row>
    <row r="3127" spans="1:57" s="64" customFormat="1" ht="15" customHeight="1" outlineLevel="1" x14ac:dyDescent="0.25">
      <c r="A3127" s="2463"/>
      <c r="B3127" s="648"/>
      <c r="C3127" s="385"/>
      <c r="D3127" s="3589"/>
      <c r="E3127" s="3721"/>
      <c r="F3127" s="3779" t="str">
        <f t="shared" ref="F3127:F3134" si="256">E1582</f>
        <v>ASHP - SEER 19 - replace electric furnace / CAC - early replacement SF ER1</v>
      </c>
      <c r="G3127" s="3779"/>
      <c r="H3127" s="3779"/>
      <c r="I3127" s="3779"/>
      <c r="J3127" s="3073" t="str">
        <f t="shared" ref="J3127:J3134" si="257">C1582</f>
        <v>354400_2019_12_</v>
      </c>
      <c r="K3127" s="602">
        <f>(($R$1696*L3127)+$R$1688)-(($Q$1696*L3127)/((1+$R$1698)^($R$1699-1)))</f>
        <v>1944.3573864864111</v>
      </c>
      <c r="L3127" s="767">
        <f>VLOOKUP(J3127,$J$1682:$L$1809,3,FALSE)*M3127</f>
        <v>3.1</v>
      </c>
      <c r="M3127" s="1815">
        <f>VLOOKUP(J3127,$J$2706:$K$2833,2,FALSE)</f>
        <v>1</v>
      </c>
      <c r="N3127" s="1249"/>
      <c r="O3127" s="277"/>
      <c r="P3127" s="937"/>
      <c r="Q3127" s="938"/>
      <c r="R3127" s="937"/>
      <c r="S3127" s="924"/>
      <c r="T3127" s="1407"/>
      <c r="U3127" s="157"/>
      <c r="V3127" s="3589"/>
      <c r="W3127" s="602">
        <v>4620.6282279230445</v>
      </c>
      <c r="X3127" s="605">
        <f>(X$1770/12000)*$Q$1688*X$2794</f>
        <v>5953.4371594592312</v>
      </c>
      <c r="Y3127" s="605">
        <v>1686.0327049389366</v>
      </c>
      <c r="Z3127" s="602">
        <v>1686.0327049389366</v>
      </c>
      <c r="AA3127" s="602">
        <v>1686.0327049389366</v>
      </c>
      <c r="AB3127" s="602">
        <v>1203.6500000000003</v>
      </c>
      <c r="AC3127" s="884"/>
      <c r="AD3127" s="884"/>
      <c r="AE3127" s="884"/>
      <c r="AF3127" s="884"/>
      <c r="AG3127" s="884"/>
      <c r="BB3127" s="647"/>
      <c r="BC3127" s="648"/>
      <c r="BD3127" s="757"/>
      <c r="BE3127" s="659"/>
    </row>
    <row r="3128" spans="1:57" s="64" customFormat="1" ht="15" customHeight="1" outlineLevel="1" x14ac:dyDescent="0.25">
      <c r="A3128" s="1393"/>
      <c r="B3128" s="648"/>
      <c r="C3128" s="385"/>
      <c r="D3128" s="3589"/>
      <c r="E3128" s="3721"/>
      <c r="F3128" s="3779" t="str">
        <f t="shared" si="256"/>
        <v>ASHP - SEER 19 - replace electric furnace / CAC - early replacement SF ER1</v>
      </c>
      <c r="G3128" s="3779"/>
      <c r="H3128" s="3779"/>
      <c r="I3128" s="3779"/>
      <c r="J3128" s="3073" t="str">
        <f t="shared" si="257"/>
        <v>354400_2019_12_</v>
      </c>
      <c r="K3128" s="602"/>
      <c r="L3128" s="767" t="str">
        <f>IF(K3128&gt;0,VLOOKUP(J3128,$J$1682:$L$1809,3,FALSE),"")</f>
        <v/>
      </c>
      <c r="M3128" s="1815" t="str">
        <f>IF(K3128&gt;0,VLOOKUP(J3128,$J$2706:$K$2833,2,FALSE),"")</f>
        <v/>
      </c>
      <c r="N3128" s="1249"/>
      <c r="O3128" s="277"/>
      <c r="P3128" s="937"/>
      <c r="Q3128" s="277"/>
      <c r="R3128" s="277"/>
      <c r="S3128" s="157"/>
      <c r="T3128" s="157"/>
      <c r="U3128" s="157"/>
      <c r="V3128" s="3589"/>
      <c r="W3128" s="602"/>
      <c r="X3128" s="605"/>
      <c r="Y3128" s="605"/>
      <c r="Z3128" s="602"/>
      <c r="AA3128" s="602"/>
      <c r="AB3128" s="602"/>
      <c r="AC3128" s="884"/>
      <c r="AD3128" s="884"/>
      <c r="AE3128" s="884"/>
      <c r="AF3128" s="884"/>
      <c r="AG3128" s="884"/>
      <c r="BB3128" s="647"/>
      <c r="BC3128" s="648"/>
      <c r="BD3128" s="757"/>
      <c r="BE3128" s="659"/>
    </row>
    <row r="3129" spans="1:57" s="64" customFormat="1" ht="15" customHeight="1" outlineLevel="1" x14ac:dyDescent="0.25">
      <c r="A3129" s="2463"/>
      <c r="B3129" s="648"/>
      <c r="C3129" s="385"/>
      <c r="D3129" s="3589"/>
      <c r="E3129" s="3721"/>
      <c r="F3129" s="3779" t="str">
        <f t="shared" si="256"/>
        <v>ASHP - SEER 19 - replace electric furnace / CAC - early replacement SF ER2</v>
      </c>
      <c r="G3129" s="3779"/>
      <c r="H3129" s="3779"/>
      <c r="I3129" s="3779"/>
      <c r="J3129" s="3073" t="str">
        <f t="shared" si="257"/>
        <v>354400_2019_12_</v>
      </c>
      <c r="K3129" s="602"/>
      <c r="L3129" s="767" t="str">
        <f>IF(K3129&gt;0,VLOOKUP(J3129,$J$1682:$L$1809,3,FALSE),"")</f>
        <v/>
      </c>
      <c r="M3129" s="1815" t="str">
        <f>IF(K3129&gt;0,VLOOKUP(J3129,$J$2706:$K$2833,2,FALSE),"")</f>
        <v/>
      </c>
      <c r="N3129" s="1249"/>
      <c r="O3129" s="277"/>
      <c r="P3129" s="937"/>
      <c r="Q3129" s="938"/>
      <c r="R3129" s="937"/>
      <c r="S3129" s="924"/>
      <c r="T3129" s="1407"/>
      <c r="U3129" s="157"/>
      <c r="V3129" s="3589"/>
      <c r="W3129" s="602"/>
      <c r="X3129" s="605"/>
      <c r="Y3129" s="605"/>
      <c r="Z3129" s="602"/>
      <c r="AA3129" s="602"/>
      <c r="AB3129" s="602"/>
      <c r="AC3129" s="884"/>
      <c r="AD3129" s="884"/>
      <c r="AE3129" s="884"/>
      <c r="AF3129" s="884"/>
      <c r="AG3129" s="884"/>
      <c r="BB3129" s="647"/>
      <c r="BC3129" s="648"/>
      <c r="BD3129" s="757"/>
      <c r="BE3129" s="659"/>
    </row>
    <row r="3130" spans="1:57" s="64" customFormat="1" ht="15" customHeight="1" outlineLevel="1" x14ac:dyDescent="0.25">
      <c r="A3130" s="1393"/>
      <c r="B3130" s="648"/>
      <c r="C3130" s="385"/>
      <c r="D3130" s="3589"/>
      <c r="E3130" s="3721"/>
      <c r="F3130" s="3779" t="str">
        <f t="shared" si="256"/>
        <v>ASHP - SEER 19 - replace electric furnace / CAC - early replacement SF ER2</v>
      </c>
      <c r="G3130" s="3779"/>
      <c r="H3130" s="3779"/>
      <c r="I3130" s="3779"/>
      <c r="J3130" s="3073" t="str">
        <f t="shared" si="257"/>
        <v>354400_2019_12_</v>
      </c>
      <c r="K3130" s="602"/>
      <c r="L3130" s="767" t="str">
        <f>IF(K3130&gt;0,VLOOKUP(J3130,$J$1682:$L$1809,3,FALSE),"")</f>
        <v/>
      </c>
      <c r="M3130" s="1815" t="str">
        <f>IF(K3130&gt;0,VLOOKUP(J3130,$J$2706:$K$2833,2,FALSE),"")</f>
        <v/>
      </c>
      <c r="N3130" s="1249"/>
      <c r="O3130" s="277"/>
      <c r="P3130" s="937"/>
      <c r="Q3130" s="277"/>
      <c r="R3130" s="277"/>
      <c r="S3130" s="157"/>
      <c r="T3130" s="157"/>
      <c r="U3130" s="157"/>
      <c r="V3130" s="3589"/>
      <c r="W3130" s="602"/>
      <c r="X3130" s="605"/>
      <c r="Y3130" s="605"/>
      <c r="Z3130" s="602"/>
      <c r="AA3130" s="602"/>
      <c r="AB3130" s="602"/>
      <c r="AC3130" s="884"/>
      <c r="AD3130" s="884"/>
      <c r="AE3130" s="884"/>
      <c r="AF3130" s="884"/>
      <c r="AG3130" s="884"/>
      <c r="BB3130" s="647"/>
      <c r="BC3130" s="648"/>
      <c r="BD3130" s="757"/>
      <c r="BE3130" s="659"/>
    </row>
    <row r="3131" spans="1:57" s="64" customFormat="1" ht="15" customHeight="1" outlineLevel="1" x14ac:dyDescent="0.25">
      <c r="A3131" s="2463"/>
      <c r="B3131" s="648"/>
      <c r="C3131" s="385"/>
      <c r="D3131" s="3589"/>
      <c r="E3131" s="3721"/>
      <c r="F3131" s="3779" t="str">
        <f t="shared" si="256"/>
        <v>ASHP - SEER 19 - replace electric furnace / CAC - early replacement MF ER1</v>
      </c>
      <c r="G3131" s="3779"/>
      <c r="H3131" s="3779"/>
      <c r="I3131" s="3779"/>
      <c r="J3131" s="3073" t="str">
        <f t="shared" si="257"/>
        <v>354450_2019_12_</v>
      </c>
      <c r="K3131" s="602">
        <f>(($R$1696*L3131)+$R$1688)-(($Q$1696*L3131)/((1+$R$1698)^($R$1699-1)))</f>
        <v>1685.1098012161674</v>
      </c>
      <c r="L3131" s="767">
        <f>VLOOKUP(J3131,$J$1682:$L$1809,3,FALSE)*M3131</f>
        <v>2.0150000000000001</v>
      </c>
      <c r="M3131" s="1815">
        <f>VLOOKUP(J3131,$J$2706:$K$2833,2,FALSE)</f>
        <v>0.65</v>
      </c>
      <c r="N3131" s="1249"/>
      <c r="O3131" s="277"/>
      <c r="P3131" s="937"/>
      <c r="Q3131" s="938"/>
      <c r="R3131" s="937"/>
      <c r="S3131" s="924"/>
      <c r="T3131" s="1407"/>
      <c r="U3131" s="157"/>
      <c r="V3131" s="3589"/>
      <c r="W3131" s="602">
        <v>4620.6282279230445</v>
      </c>
      <c r="X3131" s="605">
        <f>(X$1772/12000)*$Q$1688*X$2796</f>
        <v>3869.7341536485005</v>
      </c>
      <c r="Y3131" s="605">
        <v>1380.5879248769756</v>
      </c>
      <c r="Z3131" s="602">
        <v>1380.5879248769756</v>
      </c>
      <c r="AA3131" s="602">
        <v>1380.5879248769756</v>
      </c>
      <c r="AB3131" s="602">
        <v>1203.6500000000003</v>
      </c>
      <c r="AC3131" s="884"/>
      <c r="AD3131" s="884"/>
      <c r="AE3131" s="884"/>
      <c r="AF3131" s="884"/>
      <c r="AG3131" s="884"/>
      <c r="BB3131" s="647"/>
      <c r="BC3131" s="648"/>
      <c r="BD3131" s="757"/>
      <c r="BE3131" s="659"/>
    </row>
    <row r="3132" spans="1:57" s="64" customFormat="1" ht="15" customHeight="1" outlineLevel="1" x14ac:dyDescent="0.25">
      <c r="A3132" s="1393"/>
      <c r="B3132" s="648"/>
      <c r="C3132" s="385"/>
      <c r="D3132" s="3589"/>
      <c r="E3132" s="3721"/>
      <c r="F3132" s="3779" t="str">
        <f t="shared" si="256"/>
        <v>ASHP - SEER 19 - replace electric furnace / CAC - early replacement MF ER1</v>
      </c>
      <c r="G3132" s="3779"/>
      <c r="H3132" s="3779"/>
      <c r="I3132" s="3779"/>
      <c r="J3132" s="3073" t="str">
        <f t="shared" si="257"/>
        <v>354450_2019_12_</v>
      </c>
      <c r="K3132" s="602"/>
      <c r="L3132" s="767" t="str">
        <f>IF(K3132&gt;0,VLOOKUP(J3132,$J$1682:$L$1809,3,FALSE),"")</f>
        <v/>
      </c>
      <c r="M3132" s="1815" t="str">
        <f>IF(K3132&gt;0,VLOOKUP(J3132,$J$2706:$K$2833,2,FALSE),"")</f>
        <v/>
      </c>
      <c r="N3132" s="1249"/>
      <c r="O3132" s="277"/>
      <c r="P3132" s="937"/>
      <c r="Q3132" s="277"/>
      <c r="R3132" s="277"/>
      <c r="S3132" s="157"/>
      <c r="T3132" s="157"/>
      <c r="U3132" s="157"/>
      <c r="V3132" s="3589"/>
      <c r="W3132" s="602"/>
      <c r="X3132" s="605"/>
      <c r="Y3132" s="605"/>
      <c r="Z3132" s="602"/>
      <c r="AA3132" s="602"/>
      <c r="AB3132" s="602"/>
      <c r="AC3132" s="884"/>
      <c r="AD3132" s="884"/>
      <c r="AE3132" s="884"/>
      <c r="AF3132" s="884"/>
      <c r="AG3132" s="884"/>
      <c r="BB3132" s="647"/>
      <c r="BC3132" s="648"/>
      <c r="BD3132" s="757"/>
      <c r="BE3132" s="659"/>
    </row>
    <row r="3133" spans="1:57" s="64" customFormat="1" ht="15" customHeight="1" outlineLevel="1" x14ac:dyDescent="0.25">
      <c r="A3133" s="1393"/>
      <c r="B3133" s="648"/>
      <c r="C3133" s="385"/>
      <c r="D3133" s="3589"/>
      <c r="E3133" s="3721"/>
      <c r="F3133" s="3779" t="str">
        <f t="shared" si="256"/>
        <v>ASHP - SEER 19 - replace electric furnace / CAC - early replacement MF ER2</v>
      </c>
      <c r="G3133" s="3779"/>
      <c r="H3133" s="3779"/>
      <c r="I3133" s="3779"/>
      <c r="J3133" s="3073" t="str">
        <f t="shared" si="257"/>
        <v>354450_2019_12_</v>
      </c>
      <c r="K3133" s="602"/>
      <c r="L3133" s="767" t="str">
        <f>IF(K3133&gt;0,VLOOKUP(J3133,$J$1682:$L$1809,3,FALSE),"")</f>
        <v/>
      </c>
      <c r="M3133" s="1815" t="str">
        <f>IF(K3133&gt;0,VLOOKUP(J3133,$J$2706:$K$2833,2,FALSE),"")</f>
        <v/>
      </c>
      <c r="N3133" s="1249"/>
      <c r="O3133" s="277"/>
      <c r="P3133" s="937"/>
      <c r="Q3133" s="277"/>
      <c r="R3133" s="277"/>
      <c r="S3133" s="157"/>
      <c r="T3133" s="157"/>
      <c r="U3133" s="157"/>
      <c r="V3133" s="3589"/>
      <c r="W3133" s="602"/>
      <c r="X3133" s="605"/>
      <c r="Y3133" s="605"/>
      <c r="Z3133" s="602"/>
      <c r="AA3133" s="602"/>
      <c r="AB3133" s="602"/>
      <c r="AC3133" s="884"/>
      <c r="AD3133" s="884"/>
      <c r="AE3133" s="884"/>
      <c r="AF3133" s="884"/>
      <c r="AG3133" s="884"/>
      <c r="BB3133" s="647"/>
      <c r="BC3133" s="648"/>
      <c r="BD3133" s="757"/>
      <c r="BE3133" s="659"/>
    </row>
    <row r="3134" spans="1:57" s="64" customFormat="1" ht="15" customHeight="1" outlineLevel="1" x14ac:dyDescent="0.25">
      <c r="A3134" s="2463"/>
      <c r="B3134" s="648"/>
      <c r="C3134" s="385"/>
      <c r="D3134" s="3589"/>
      <c r="E3134" s="3721"/>
      <c r="F3134" s="3779" t="str">
        <f t="shared" si="256"/>
        <v>ASHP - SEER 19 - replace electric furnace / CAC - early replacement MF ER2</v>
      </c>
      <c r="G3134" s="3779"/>
      <c r="H3134" s="3779"/>
      <c r="I3134" s="3779"/>
      <c r="J3134" s="3073" t="str">
        <f t="shared" si="257"/>
        <v>354450_2019_12_</v>
      </c>
      <c r="K3134" s="602"/>
      <c r="L3134" s="767" t="str">
        <f>IF(K3134&gt;0,VLOOKUP(J3134,$J$1682:$L$1809,3,FALSE),"")</f>
        <v/>
      </c>
      <c r="M3134" s="1815" t="str">
        <f>IF(K3134&gt;0,VLOOKUP(J3134,$J$2706:$K$2833,2,FALSE),"")</f>
        <v/>
      </c>
      <c r="N3134" s="1249"/>
      <c r="O3134" s="277"/>
      <c r="P3134" s="937"/>
      <c r="Q3134" s="938"/>
      <c r="R3134" s="937"/>
      <c r="S3134" s="924"/>
      <c r="T3134" s="1407"/>
      <c r="U3134" s="157"/>
      <c r="V3134" s="3589"/>
      <c r="W3134" s="602"/>
      <c r="X3134" s="605"/>
      <c r="Y3134" s="605"/>
      <c r="Z3134" s="602"/>
      <c r="AA3134" s="602"/>
      <c r="AB3134" s="602"/>
      <c r="AC3134" s="884"/>
      <c r="AD3134" s="884"/>
      <c r="AE3134" s="884"/>
      <c r="AF3134" s="884"/>
      <c r="AG3134" s="884"/>
      <c r="BB3134" s="647"/>
      <c r="BC3134" s="648"/>
      <c r="BD3134" s="757"/>
      <c r="BE3134" s="659"/>
    </row>
    <row r="3135" spans="1:57" s="64" customFormat="1" ht="15" customHeight="1" outlineLevel="1" x14ac:dyDescent="0.25">
      <c r="A3135" s="2463"/>
      <c r="B3135" s="648"/>
      <c r="C3135" s="385"/>
      <c r="D3135" s="3589"/>
      <c r="E3135" s="3721"/>
      <c r="F3135" s="3779" t="str">
        <f>E1594</f>
        <v>ASHP SEER 19 replace ASHP - early replacement MF ER1</v>
      </c>
      <c r="G3135" s="3779"/>
      <c r="H3135" s="3779"/>
      <c r="I3135" s="3779"/>
      <c r="J3135" s="3073" t="str">
        <f>C1594</f>
        <v>354500_2019_12_</v>
      </c>
      <c r="K3135" s="602">
        <f>(($R$1696*L3135)+$R$1688)-(($Q$1696*L3135)/((1+$R$1698)^($R$1699-1)))</f>
        <v>1716.1717238752744</v>
      </c>
      <c r="L3135" s="767">
        <f>VLOOKUP(J3135,$J$1682:$L$1809,3,FALSE)*M3135</f>
        <v>2.145</v>
      </c>
      <c r="M3135" s="1815">
        <f>VLOOKUP(J3135,$J$2706:$K$2833,2,FALSE)</f>
        <v>0.65</v>
      </c>
      <c r="N3135" s="1249"/>
      <c r="O3135" s="277"/>
      <c r="P3135" s="937"/>
      <c r="Q3135" s="938"/>
      <c r="R3135" s="937"/>
      <c r="S3135" s="924"/>
      <c r="T3135" s="1407"/>
      <c r="U3135" s="157"/>
      <c r="V3135" s="3589"/>
      <c r="W3135" s="602">
        <v>7371.3247976250323</v>
      </c>
      <c r="X3135" s="605">
        <f>(X$1776/12000)*$Q$1688*X$2800</f>
        <v>4119.3944216258233</v>
      </c>
      <c r="Y3135" s="605">
        <v>1417.1849952991461</v>
      </c>
      <c r="Z3135" s="602">
        <v>1417.1849952991461</v>
      </c>
      <c r="AA3135" s="602">
        <v>1417.1849952991461</v>
      </c>
      <c r="AB3135" s="602">
        <v>1203.6500000000003</v>
      </c>
      <c r="AC3135" s="884"/>
      <c r="AD3135" s="884"/>
      <c r="AE3135" s="884"/>
      <c r="AF3135" s="884"/>
      <c r="AG3135" s="884"/>
      <c r="BB3135" s="647"/>
      <c r="BC3135" s="648"/>
      <c r="BD3135" s="757"/>
      <c r="BE3135" s="659"/>
    </row>
    <row r="3136" spans="1:57" s="64" customFormat="1" ht="15" customHeight="1" outlineLevel="1" x14ac:dyDescent="0.25">
      <c r="A3136" s="1393"/>
      <c r="B3136" s="648"/>
      <c r="C3136" s="385"/>
      <c r="D3136" s="3589"/>
      <c r="E3136" s="3721"/>
      <c r="F3136" s="3779" t="str">
        <f>E1595</f>
        <v>ASHP SEER 19 replace ASHP - early replacement MF ER1</v>
      </c>
      <c r="G3136" s="3779"/>
      <c r="H3136" s="3779"/>
      <c r="I3136" s="3779"/>
      <c r="J3136" s="3073" t="str">
        <f>C1595</f>
        <v>354500_2019_12_</v>
      </c>
      <c r="K3136" s="602"/>
      <c r="L3136" s="767" t="str">
        <f>IF(K3136&gt;0,VLOOKUP(J3136,$J$1682:$L$1809,3,FALSE),"")</f>
        <v/>
      </c>
      <c r="M3136" s="1815" t="str">
        <f>IF(K3136&gt;0,VLOOKUP(J3136,$J$2706:$K$2833,2,FALSE),"")</f>
        <v/>
      </c>
      <c r="N3136" s="1249"/>
      <c r="O3136" s="277"/>
      <c r="P3136" s="937"/>
      <c r="Q3136" s="277"/>
      <c r="R3136" s="277"/>
      <c r="S3136" s="157"/>
      <c r="T3136" s="157"/>
      <c r="U3136" s="157"/>
      <c r="V3136" s="3589"/>
      <c r="W3136" s="602"/>
      <c r="X3136" s="605"/>
      <c r="Y3136" s="605"/>
      <c r="Z3136" s="602"/>
      <c r="AA3136" s="602"/>
      <c r="AB3136" s="602"/>
      <c r="AC3136" s="884"/>
      <c r="AD3136" s="884"/>
      <c r="AE3136" s="884"/>
      <c r="AF3136" s="884"/>
      <c r="AG3136" s="884"/>
      <c r="BB3136" s="647"/>
      <c r="BC3136" s="648"/>
      <c r="BD3136" s="757"/>
      <c r="BE3136" s="659"/>
    </row>
    <row r="3137" spans="1:57" s="64" customFormat="1" ht="15" customHeight="1" outlineLevel="1" x14ac:dyDescent="0.25">
      <c r="A3137" s="1393"/>
      <c r="B3137" s="648"/>
      <c r="C3137" s="385"/>
      <c r="D3137" s="3589"/>
      <c r="E3137" s="3721"/>
      <c r="F3137" s="3779" t="str">
        <f>E1596</f>
        <v>ASHP SEER 19 replace ASHP - early replacement MF ER2</v>
      </c>
      <c r="G3137" s="3779"/>
      <c r="H3137" s="3779"/>
      <c r="I3137" s="3779"/>
      <c r="J3137" s="3073" t="str">
        <f>C1596</f>
        <v>354500_2019_12_</v>
      </c>
      <c r="K3137" s="602"/>
      <c r="L3137" s="767" t="str">
        <f>IF(K3137&gt;0,VLOOKUP(J3137,$J$1682:$L$1809,3,FALSE),"")</f>
        <v/>
      </c>
      <c r="M3137" s="1815" t="str">
        <f>IF(K3137&gt;0,VLOOKUP(J3137,$J$2706:$K$2833,2,FALSE),"")</f>
        <v/>
      </c>
      <c r="N3137" s="1249"/>
      <c r="O3137" s="277"/>
      <c r="P3137" s="937"/>
      <c r="Q3137" s="277"/>
      <c r="R3137" s="277"/>
      <c r="S3137" s="157"/>
      <c r="T3137" s="157"/>
      <c r="U3137" s="157"/>
      <c r="V3137" s="3589"/>
      <c r="W3137" s="602"/>
      <c r="X3137" s="605"/>
      <c r="Y3137" s="605"/>
      <c r="Z3137" s="602"/>
      <c r="AA3137" s="602"/>
      <c r="AB3137" s="602"/>
      <c r="AC3137" s="884"/>
      <c r="AD3137" s="884"/>
      <c r="AE3137" s="884"/>
      <c r="AF3137" s="884"/>
      <c r="AG3137" s="884"/>
      <c r="BB3137" s="647"/>
      <c r="BC3137" s="648"/>
      <c r="BD3137" s="757"/>
      <c r="BE3137" s="659"/>
    </row>
    <row r="3138" spans="1:57" s="64" customFormat="1" ht="15" customHeight="1" outlineLevel="1" x14ac:dyDescent="0.25">
      <c r="A3138" s="2463"/>
      <c r="B3138" s="648"/>
      <c r="C3138" s="385"/>
      <c r="D3138" s="3589"/>
      <c r="E3138" s="3721"/>
      <c r="F3138" s="3779" t="str">
        <f>E1597</f>
        <v>ASHP SEER 19 replace ASHP - early replacement MF ER2</v>
      </c>
      <c r="G3138" s="3779"/>
      <c r="H3138" s="3779"/>
      <c r="I3138" s="3779"/>
      <c r="J3138" s="3073" t="str">
        <f>C1597</f>
        <v>354500_2019_12_</v>
      </c>
      <c r="K3138" s="602"/>
      <c r="L3138" s="767" t="str">
        <f>IF(K3138&gt;0,VLOOKUP(J3138,$J$1682:$L$1809,3,FALSE),"")</f>
        <v/>
      </c>
      <c r="M3138" s="1815" t="str">
        <f>IF(K3138&gt;0,VLOOKUP(J3138,$J$2706:$K$2833,2,FALSE),"")</f>
        <v/>
      </c>
      <c r="N3138" s="1249"/>
      <c r="O3138" s="277"/>
      <c r="P3138" s="937"/>
      <c r="Q3138" s="938"/>
      <c r="R3138" s="937"/>
      <c r="S3138" s="924"/>
      <c r="T3138" s="1407"/>
      <c r="U3138" s="157"/>
      <c r="V3138" s="3589"/>
      <c r="W3138" s="602"/>
      <c r="X3138" s="605"/>
      <c r="Y3138" s="605"/>
      <c r="Z3138" s="602"/>
      <c r="AA3138" s="602"/>
      <c r="AB3138" s="602"/>
      <c r="AC3138" s="884"/>
      <c r="AD3138" s="884"/>
      <c r="AE3138" s="884"/>
      <c r="AF3138" s="884"/>
      <c r="AG3138" s="884"/>
      <c r="BB3138" s="647"/>
      <c r="BC3138" s="648"/>
      <c r="BD3138" s="757"/>
      <c r="BE3138" s="659"/>
    </row>
    <row r="3139" spans="1:57" s="64" customFormat="1" ht="15" customHeight="1" outlineLevel="1" x14ac:dyDescent="0.25">
      <c r="A3139" s="2463"/>
      <c r="B3139" s="648"/>
      <c r="C3139" s="385"/>
      <c r="D3139" s="3589"/>
      <c r="E3139" s="3721"/>
      <c r="F3139" s="3779" t="str">
        <f t="shared" ref="F3139:F3148" si="258">E1602</f>
        <v>ASHP SEER 20 replace ASHP - early replacement SF ER1</v>
      </c>
      <c r="G3139" s="3779"/>
      <c r="H3139" s="3779"/>
      <c r="I3139" s="3779"/>
      <c r="J3139" s="3073" t="str">
        <f t="shared" ref="J3139:J3148" si="259">C1602</f>
        <v>354550_2019_12_</v>
      </c>
      <c r="K3139" s="602">
        <f>(($R$1696*L3139)+$R$1689)-(($Q$1696*L3139)/((1+$R$1698)^($R$1699-1)))</f>
        <v>2232.8749598081135</v>
      </c>
      <c r="L3139" s="767">
        <f>VLOOKUP(J3139,$J$1682:$L$1809,3,FALSE)*M3139</f>
        <v>3.3</v>
      </c>
      <c r="M3139" s="1815">
        <f>VLOOKUP(J3139,$J$2706:$K$2833,2,FALSE)</f>
        <v>1</v>
      </c>
      <c r="N3139" s="1249"/>
      <c r="O3139" s="277"/>
      <c r="P3139" s="937"/>
      <c r="Q3139" s="938"/>
      <c r="R3139" s="937"/>
      <c r="S3139" s="924"/>
      <c r="T3139" s="1407"/>
      <c r="U3139" s="157"/>
      <c r="V3139" s="3589"/>
      <c r="W3139" s="602">
        <v>13953.854780733807</v>
      </c>
      <c r="X3139" s="605">
        <f>(X$1780/12000)*$Q$1689*X$2804</f>
        <v>7131.9388794243387</v>
      </c>
      <c r="Y3139" s="605">
        <v>2089.0025568704818</v>
      </c>
      <c r="Z3139" s="602">
        <v>2089.0025568704818</v>
      </c>
      <c r="AA3139" s="602">
        <v>2089.0025568704818</v>
      </c>
      <c r="AB3139" s="602">
        <v>1444.3799999999994</v>
      </c>
      <c r="AC3139" s="884"/>
      <c r="AD3139" s="884"/>
      <c r="AE3139" s="884"/>
      <c r="AF3139" s="884"/>
      <c r="AG3139" s="884"/>
      <c r="BB3139" s="647"/>
      <c r="BC3139" s="648"/>
      <c r="BD3139" s="757"/>
      <c r="BE3139" s="659"/>
    </row>
    <row r="3140" spans="1:57" s="64" customFormat="1" ht="15" customHeight="1" outlineLevel="1" x14ac:dyDescent="0.25">
      <c r="A3140" s="2463"/>
      <c r="B3140" s="648"/>
      <c r="C3140" s="385"/>
      <c r="D3140" s="3589"/>
      <c r="E3140" s="3721"/>
      <c r="F3140" s="3779" t="str">
        <f t="shared" si="258"/>
        <v>ASHP SEER 20 replace ASHP - early replacement SF ER1</v>
      </c>
      <c r="G3140" s="3779"/>
      <c r="H3140" s="3779"/>
      <c r="I3140" s="3779"/>
      <c r="J3140" s="3073" t="str">
        <f t="shared" si="259"/>
        <v>354550_2019_12_</v>
      </c>
      <c r="K3140" s="602"/>
      <c r="L3140" s="767" t="str">
        <f>IF(K3140&gt;0,VLOOKUP(J3140,$J$1682:$L$1809,3,FALSE),"")</f>
        <v/>
      </c>
      <c r="M3140" s="1815" t="str">
        <f>IF(K3140&gt;0,VLOOKUP(J3140,$J$2706:$K$2833,2,FALSE),"")</f>
        <v/>
      </c>
      <c r="N3140" s="1249"/>
      <c r="O3140" s="277"/>
      <c r="P3140" s="937"/>
      <c r="Q3140" s="938"/>
      <c r="R3140" s="937"/>
      <c r="S3140" s="924"/>
      <c r="T3140" s="1407"/>
      <c r="U3140" s="157"/>
      <c r="V3140" s="3589"/>
      <c r="W3140" s="602"/>
      <c r="X3140" s="605"/>
      <c r="Y3140" s="605"/>
      <c r="Z3140" s="602"/>
      <c r="AA3140" s="602"/>
      <c r="AB3140" s="602"/>
      <c r="AC3140" s="884"/>
      <c r="AD3140" s="884"/>
      <c r="AE3140" s="884"/>
      <c r="AF3140" s="884"/>
      <c r="AG3140" s="884"/>
      <c r="BB3140" s="647"/>
      <c r="BC3140" s="648"/>
      <c r="BD3140" s="757"/>
      <c r="BE3140" s="659"/>
    </row>
    <row r="3141" spans="1:57" s="64" customFormat="1" ht="15" customHeight="1" outlineLevel="1" x14ac:dyDescent="0.25">
      <c r="A3141" s="2463"/>
      <c r="B3141" s="648"/>
      <c r="C3141" s="385"/>
      <c r="D3141" s="3589"/>
      <c r="E3141" s="3721"/>
      <c r="F3141" s="3779" t="str">
        <f t="shared" si="258"/>
        <v>ASHP SEER 20 replace ASHP - early replacement SF ER2</v>
      </c>
      <c r="G3141" s="3779"/>
      <c r="H3141" s="3779"/>
      <c r="I3141" s="3779"/>
      <c r="J3141" s="3073" t="str">
        <f t="shared" si="259"/>
        <v>354550_2019_12_</v>
      </c>
      <c r="K3141" s="602"/>
      <c r="L3141" s="767" t="str">
        <f>IF(K3141&gt;0,VLOOKUP(J3141,$J$1682:$L$1809,3,FALSE),"")</f>
        <v/>
      </c>
      <c r="M3141" s="1815" t="str">
        <f>IF(K3141&gt;0,VLOOKUP(J3141,$J$2706:$K$2833,2,FALSE),"")</f>
        <v/>
      </c>
      <c r="N3141" s="1249"/>
      <c r="O3141" s="277"/>
      <c r="P3141" s="937"/>
      <c r="Q3141" s="938"/>
      <c r="R3141" s="937"/>
      <c r="S3141" s="924"/>
      <c r="T3141" s="1407"/>
      <c r="U3141" s="157"/>
      <c r="V3141" s="3589"/>
      <c r="W3141" s="602"/>
      <c r="X3141" s="605"/>
      <c r="Y3141" s="605"/>
      <c r="Z3141" s="602"/>
      <c r="AA3141" s="602"/>
      <c r="AB3141" s="602"/>
      <c r="AC3141" s="884"/>
      <c r="AD3141" s="884"/>
      <c r="AE3141" s="884"/>
      <c r="AF3141" s="884"/>
      <c r="AG3141" s="884"/>
      <c r="BB3141" s="647"/>
      <c r="BC3141" s="648"/>
      <c r="BD3141" s="757"/>
      <c r="BE3141" s="659"/>
    </row>
    <row r="3142" spans="1:57" s="64" customFormat="1" ht="15" customHeight="1" outlineLevel="1" x14ac:dyDescent="0.25">
      <c r="A3142" s="2463"/>
      <c r="B3142" s="648"/>
      <c r="C3142" s="385"/>
      <c r="D3142" s="3589"/>
      <c r="E3142" s="3721"/>
      <c r="F3142" s="3779" t="str">
        <f t="shared" si="258"/>
        <v>ASHP SEER 20 replace ASHP - early replacement SF ER2</v>
      </c>
      <c r="G3142" s="3779"/>
      <c r="H3142" s="3779"/>
      <c r="I3142" s="3779"/>
      <c r="J3142" s="3073" t="str">
        <f t="shared" si="259"/>
        <v>354550_2019_12_</v>
      </c>
      <c r="K3142" s="602"/>
      <c r="L3142" s="767" t="str">
        <f>IF(K3142&gt;0,VLOOKUP(J3142,$J$1682:$L$1809,3,FALSE),"")</f>
        <v/>
      </c>
      <c r="M3142" s="1815" t="str">
        <f>IF(K3142&gt;0,VLOOKUP(J3142,$J$2706:$K$2833,2,FALSE),"")</f>
        <v/>
      </c>
      <c r="N3142" s="1249"/>
      <c r="O3142" s="277"/>
      <c r="P3142" s="937"/>
      <c r="Q3142" s="938"/>
      <c r="R3142" s="937"/>
      <c r="S3142" s="924"/>
      <c r="T3142" s="1407"/>
      <c r="U3142" s="157"/>
      <c r="V3142" s="3589"/>
      <c r="W3142" s="602"/>
      <c r="X3142" s="605"/>
      <c r="Y3142" s="605"/>
      <c r="Z3142" s="602"/>
      <c r="AA3142" s="602"/>
      <c r="AB3142" s="602"/>
      <c r="AC3142" s="884"/>
      <c r="AD3142" s="884"/>
      <c r="AE3142" s="884"/>
      <c r="AF3142" s="884"/>
      <c r="AG3142" s="884"/>
      <c r="BB3142" s="647"/>
      <c r="BC3142" s="648"/>
      <c r="BD3142" s="757"/>
      <c r="BE3142" s="659"/>
    </row>
    <row r="3143" spans="1:57" s="64" customFormat="1" ht="15" customHeight="1" outlineLevel="1" x14ac:dyDescent="0.25">
      <c r="A3143" s="2463"/>
      <c r="B3143" s="648"/>
      <c r="C3143" s="385"/>
      <c r="D3143" s="3589"/>
      <c r="E3143" s="3721"/>
      <c r="F3143" s="3779" t="str">
        <f t="shared" si="258"/>
        <v>ASHP SEER 20 replace ASHP - replace on fail SF</v>
      </c>
      <c r="G3143" s="3779"/>
      <c r="H3143" s="3779"/>
      <c r="I3143" s="3779"/>
      <c r="J3143" s="3073" t="str">
        <f t="shared" si="259"/>
        <v>354600_2019_12_</v>
      </c>
      <c r="K3143" s="602">
        <f>$R$1689*K$2710</f>
        <v>1444.3799999999994</v>
      </c>
      <c r="L3143" s="767">
        <f>VLOOKUP(J3143,$J$1682:$L$1809,3,FALSE)*M3143</f>
        <v>3.3</v>
      </c>
      <c r="M3143" s="1815">
        <f>VLOOKUP(J3143,$J$2706:$K$2833,2,FALSE)</f>
        <v>1</v>
      </c>
      <c r="N3143" s="1249"/>
      <c r="O3143" s="277"/>
      <c r="P3143" s="937"/>
      <c r="Q3143" s="938"/>
      <c r="R3143" s="937"/>
      <c r="S3143" s="924"/>
      <c r="T3143" s="1407"/>
      <c r="U3143" s="157"/>
      <c r="V3143" s="3589"/>
      <c r="W3143" s="602">
        <v>9512</v>
      </c>
      <c r="X3143" s="605">
        <f>(X$1782/12000)*$R$1689*X$2806</f>
        <v>4766.4539999999979</v>
      </c>
      <c r="Y3143" s="605">
        <v>1160</v>
      </c>
      <c r="Z3143" s="602">
        <v>1160</v>
      </c>
      <c r="AA3143" s="602">
        <v>1160</v>
      </c>
      <c r="AB3143" s="602">
        <v>1444.3799999999994</v>
      </c>
      <c r="AC3143" s="884"/>
      <c r="AD3143" s="884"/>
      <c r="AE3143" s="884"/>
      <c r="AF3143" s="884"/>
      <c r="AG3143" s="884"/>
      <c r="BB3143" s="647"/>
      <c r="BC3143" s="648"/>
      <c r="BD3143" s="757"/>
      <c r="BE3143" s="659"/>
    </row>
    <row r="3144" spans="1:57" s="64" customFormat="1" ht="15" customHeight="1" outlineLevel="1" x14ac:dyDescent="0.25">
      <c r="A3144" s="2463"/>
      <c r="B3144" s="648"/>
      <c r="C3144" s="385"/>
      <c r="D3144" s="3589"/>
      <c r="E3144" s="3721"/>
      <c r="F3144" s="3779" t="str">
        <f t="shared" si="258"/>
        <v>ASHP SEER 20 replace ASHP - replace on fail SF</v>
      </c>
      <c r="G3144" s="3779"/>
      <c r="H3144" s="3779"/>
      <c r="I3144" s="3779"/>
      <c r="J3144" s="3073" t="str">
        <f t="shared" si="259"/>
        <v>354600_2019_12_</v>
      </c>
      <c r="K3144" s="602"/>
      <c r="L3144" s="767" t="str">
        <f>IF(K3144&gt;0,VLOOKUP(J3144,$J$1682:$L$1809,3,FALSE),"")</f>
        <v/>
      </c>
      <c r="M3144" s="1815" t="str">
        <f>IF(K3144&gt;0,VLOOKUP(J3144,$J$2706:$K$2833,2,FALSE),"")</f>
        <v/>
      </c>
      <c r="N3144" s="1249"/>
      <c r="O3144" s="277"/>
      <c r="P3144" s="937"/>
      <c r="Q3144" s="938"/>
      <c r="R3144" s="937"/>
      <c r="S3144" s="924"/>
      <c r="T3144" s="1407"/>
      <c r="U3144" s="157"/>
      <c r="V3144" s="3589"/>
      <c r="W3144" s="602"/>
      <c r="X3144" s="605"/>
      <c r="Y3144" s="605"/>
      <c r="Z3144" s="602"/>
      <c r="AA3144" s="602"/>
      <c r="AB3144" s="602"/>
      <c r="AC3144" s="883"/>
      <c r="AD3144" s="883"/>
      <c r="AE3144" s="883"/>
      <c r="AF3144" s="883"/>
      <c r="AG3144" s="883"/>
      <c r="BB3144" s="647"/>
      <c r="BC3144" s="648"/>
      <c r="BD3144" s="757"/>
      <c r="BE3144" s="659"/>
    </row>
    <row r="3145" spans="1:57" s="64" customFormat="1" outlineLevel="1" x14ac:dyDescent="0.25">
      <c r="A3145" s="2463"/>
      <c r="B3145" s="648"/>
      <c r="C3145" s="385"/>
      <c r="D3145" s="3589"/>
      <c r="E3145" s="3721"/>
      <c r="F3145" s="3779" t="str">
        <f t="shared" si="258"/>
        <v>ASHP - SEER 20 - replace electric furnace / CAC - early replacement MF ER1</v>
      </c>
      <c r="G3145" s="3779"/>
      <c r="H3145" s="3779"/>
      <c r="I3145" s="3779"/>
      <c r="J3145" s="3073" t="str">
        <f t="shared" si="259"/>
        <v>354650_2019_12_</v>
      </c>
      <c r="K3145" s="602">
        <f>(($R$1696*L3145)+$R$1689)-(($Q$1696*L3145)/((1+$R$1698)^($R$1699-1)))</f>
        <v>1925.8398012161661</v>
      </c>
      <c r="L3145" s="767">
        <f>VLOOKUP(J3145,$J$1682:$L$1809,3,FALSE)*M3145</f>
        <v>2.0150000000000001</v>
      </c>
      <c r="M3145" s="1815">
        <f>VLOOKUP(J3145,$J$2706:$K$2833,2,FALSE)</f>
        <v>0.65</v>
      </c>
      <c r="N3145" s="1249"/>
      <c r="O3145" s="277"/>
      <c r="P3145" s="937"/>
      <c r="Q3145" s="938"/>
      <c r="R3145" s="937"/>
      <c r="S3145" s="924"/>
      <c r="T3145" s="1407"/>
      <c r="U3145" s="157"/>
      <c r="V3145" s="3589"/>
      <c r="W3145" s="602">
        <v>13953.854780733807</v>
      </c>
      <c r="X3145" s="605">
        <f>(X$1783/12000)*$Q$1689*X$2807</f>
        <v>4354.8051036484976</v>
      </c>
      <c r="Y3145" s="605">
        <v>1727.2545915436422</v>
      </c>
      <c r="Z3145" s="602">
        <v>1727.2545915436422</v>
      </c>
      <c r="AA3145" s="602">
        <v>1727.2545915436422</v>
      </c>
      <c r="AB3145" s="602">
        <v>1444.3799999999994</v>
      </c>
      <c r="AC3145" s="884"/>
      <c r="AD3145" s="884"/>
      <c r="AE3145" s="884"/>
      <c r="AF3145" s="884"/>
      <c r="AG3145" s="884"/>
      <c r="BB3145" s="647"/>
      <c r="BC3145" s="648"/>
      <c r="BD3145" s="757"/>
      <c r="BE3145" s="659"/>
    </row>
    <row r="3146" spans="1:57" s="64" customFormat="1" outlineLevel="1" x14ac:dyDescent="0.25">
      <c r="A3146" s="2463"/>
      <c r="B3146" s="648"/>
      <c r="C3146" s="385"/>
      <c r="D3146" s="3589"/>
      <c r="E3146" s="3721"/>
      <c r="F3146" s="3779" t="str">
        <f t="shared" si="258"/>
        <v>ASHP - SEER 20 - replace electric furnace / CAC - early replacement MF ER1</v>
      </c>
      <c r="G3146" s="3779"/>
      <c r="H3146" s="3779"/>
      <c r="I3146" s="3779"/>
      <c r="J3146" s="3073" t="str">
        <f t="shared" si="259"/>
        <v>354650_2019_12_</v>
      </c>
      <c r="K3146" s="602"/>
      <c r="L3146" s="767" t="str">
        <f>IF(K3146&gt;0,VLOOKUP(J3146,$J$1682:$L$1809,3,FALSE),"")</f>
        <v/>
      </c>
      <c r="M3146" s="1815" t="str">
        <f>IF(K3146&gt;0,VLOOKUP(J3146,$J$2706:$K$2833,2,FALSE),"")</f>
        <v/>
      </c>
      <c r="N3146" s="1249"/>
      <c r="O3146" s="277"/>
      <c r="P3146" s="937"/>
      <c r="Q3146" s="938"/>
      <c r="R3146" s="937"/>
      <c r="S3146" s="924"/>
      <c r="T3146" s="1407"/>
      <c r="U3146" s="157"/>
      <c r="V3146" s="3589"/>
      <c r="W3146" s="602"/>
      <c r="X3146" s="605"/>
      <c r="Y3146" s="605"/>
      <c r="Z3146" s="602"/>
      <c r="AA3146" s="602"/>
      <c r="AB3146" s="602"/>
      <c r="AC3146" s="884"/>
      <c r="AD3146" s="884"/>
      <c r="AE3146" s="884"/>
      <c r="AF3146" s="884"/>
      <c r="AG3146" s="884"/>
      <c r="BB3146" s="647"/>
      <c r="BC3146" s="648"/>
      <c r="BD3146" s="757"/>
      <c r="BE3146" s="659"/>
    </row>
    <row r="3147" spans="1:57" s="64" customFormat="1" outlineLevel="1" x14ac:dyDescent="0.25">
      <c r="A3147" s="2463"/>
      <c r="B3147" s="648"/>
      <c r="C3147" s="385"/>
      <c r="D3147" s="3589"/>
      <c r="E3147" s="3721"/>
      <c r="F3147" s="3779" t="str">
        <f t="shared" si="258"/>
        <v>ASHP - SEER 20 - replace electric furnace / CAC - early replacement MF ER2</v>
      </c>
      <c r="G3147" s="3779"/>
      <c r="H3147" s="3779"/>
      <c r="I3147" s="3779"/>
      <c r="J3147" s="3073" t="str">
        <f t="shared" si="259"/>
        <v>354650_2019_12_</v>
      </c>
      <c r="K3147" s="602"/>
      <c r="L3147" s="767" t="str">
        <f>IF(K3147&gt;0,VLOOKUP(J3147,$J$1682:$L$1809,3,FALSE),"")</f>
        <v/>
      </c>
      <c r="M3147" s="1815" t="str">
        <f>IF(K3147&gt;0,VLOOKUP(J3147,$J$2706:$K$2833,2,FALSE),"")</f>
        <v/>
      </c>
      <c r="N3147" s="1249"/>
      <c r="O3147" s="277"/>
      <c r="P3147" s="937"/>
      <c r="Q3147" s="938"/>
      <c r="R3147" s="937"/>
      <c r="S3147" s="924"/>
      <c r="T3147" s="1407"/>
      <c r="U3147" s="157"/>
      <c r="V3147" s="3589"/>
      <c r="W3147" s="602"/>
      <c r="X3147" s="605"/>
      <c r="Y3147" s="605"/>
      <c r="Z3147" s="602"/>
      <c r="AA3147" s="602"/>
      <c r="AB3147" s="602"/>
      <c r="AC3147" s="884"/>
      <c r="AD3147" s="884"/>
      <c r="AE3147" s="884"/>
      <c r="AF3147" s="884"/>
      <c r="AG3147" s="884"/>
      <c r="BB3147" s="647"/>
      <c r="BC3147" s="648"/>
      <c r="BD3147" s="757"/>
      <c r="BE3147" s="659"/>
    </row>
    <row r="3148" spans="1:57" s="64" customFormat="1" outlineLevel="1" x14ac:dyDescent="0.25">
      <c r="A3148" s="2463"/>
      <c r="B3148" s="648"/>
      <c r="C3148" s="385"/>
      <c r="D3148" s="3589"/>
      <c r="E3148" s="3721"/>
      <c r="F3148" s="3779" t="str">
        <f t="shared" si="258"/>
        <v>ASHP - SEER 20 - replace electric furnace / CAC - early replacement MF ER2</v>
      </c>
      <c r="G3148" s="3779"/>
      <c r="H3148" s="3779"/>
      <c r="I3148" s="3779"/>
      <c r="J3148" s="3073" t="str">
        <f t="shared" si="259"/>
        <v>354650_2019_12_</v>
      </c>
      <c r="K3148" s="602"/>
      <c r="L3148" s="767" t="str">
        <f>IF(K3148&gt;0,VLOOKUP(J3148,$J$1682:$L$1809,3,FALSE),"")</f>
        <v/>
      </c>
      <c r="M3148" s="1815" t="str">
        <f>IF(K3148&gt;0,VLOOKUP(J3148,$J$2706:$K$2833,2,FALSE),"")</f>
        <v/>
      </c>
      <c r="N3148" s="1249"/>
      <c r="O3148" s="277"/>
      <c r="P3148" s="937"/>
      <c r="Q3148" s="938"/>
      <c r="R3148" s="937"/>
      <c r="S3148" s="924"/>
      <c r="T3148" s="1407"/>
      <c r="U3148" s="157"/>
      <c r="V3148" s="3589"/>
      <c r="W3148" s="602"/>
      <c r="X3148" s="605"/>
      <c r="Y3148" s="605"/>
      <c r="Z3148" s="602"/>
      <c r="AA3148" s="602"/>
      <c r="AB3148" s="602"/>
      <c r="AC3148" s="884"/>
      <c r="AD3148" s="884"/>
      <c r="AE3148" s="884"/>
      <c r="AF3148" s="884"/>
      <c r="AG3148" s="884"/>
      <c r="BB3148" s="647"/>
      <c r="BC3148" s="648"/>
      <c r="BD3148" s="757"/>
      <c r="BE3148" s="659"/>
    </row>
    <row r="3149" spans="1:57" s="64" customFormat="1" outlineLevel="1" x14ac:dyDescent="0.25">
      <c r="A3149" s="2463"/>
      <c r="B3149" s="648"/>
      <c r="C3149" s="385"/>
      <c r="D3149" s="3589"/>
      <c r="E3149" s="3721"/>
      <c r="F3149" s="3779" t="str">
        <f>E1616</f>
        <v>ASHP SEER 20 replace ASHP - early replacement MF ER1</v>
      </c>
      <c r="G3149" s="3779"/>
      <c r="H3149" s="3779"/>
      <c r="I3149" s="3779"/>
      <c r="J3149" s="3073" t="str">
        <f>C1616</f>
        <v>354700_2019_12_</v>
      </c>
      <c r="K3149" s="602">
        <f>(($R$1696*L3149)+$R$1689)-(($Q$1696*L3149)/((1+$R$1698)^($R$1699-1)))</f>
        <v>1956.9017238752731</v>
      </c>
      <c r="L3149" s="767">
        <f>VLOOKUP(J3149,$J$1682:$L$1809,3,FALSE)*M3149</f>
        <v>2.145</v>
      </c>
      <c r="M3149" s="1815">
        <f>VLOOKUP(J3149,$J$2706:$K$2833,2,FALSE)</f>
        <v>0.65</v>
      </c>
      <c r="N3149" s="1249"/>
      <c r="O3149" s="277"/>
      <c r="P3149" s="937"/>
      <c r="Q3149" s="938"/>
      <c r="R3149" s="937"/>
      <c r="S3149" s="924"/>
      <c r="T3149" s="1407"/>
      <c r="U3149" s="157"/>
      <c r="V3149" s="3589"/>
      <c r="W3149" s="602">
        <v>14804.699584437089</v>
      </c>
      <c r="X3149" s="605">
        <f>(X$1787/12000)*$Q$1689*X$2811</f>
        <v>4635.7602716258207</v>
      </c>
      <c r="Y3149" s="605">
        <v>1763.8516619658126</v>
      </c>
      <c r="Z3149" s="602">
        <v>1763.8516619658126</v>
      </c>
      <c r="AA3149" s="602">
        <v>1763.8516619658126</v>
      </c>
      <c r="AB3149" s="602">
        <v>1444.3799999999994</v>
      </c>
      <c r="AC3149" s="884"/>
      <c r="AD3149" s="884"/>
      <c r="AE3149" s="884"/>
      <c r="AF3149" s="884"/>
      <c r="AG3149" s="884"/>
      <c r="BB3149" s="647"/>
      <c r="BC3149" s="648"/>
      <c r="BD3149" s="757"/>
      <c r="BE3149" s="659"/>
    </row>
    <row r="3150" spans="1:57" s="64" customFormat="1" outlineLevel="1" x14ac:dyDescent="0.25">
      <c r="A3150" s="2463"/>
      <c r="B3150" s="648"/>
      <c r="C3150" s="385"/>
      <c r="D3150" s="3589"/>
      <c r="E3150" s="3721"/>
      <c r="F3150" s="3779" t="str">
        <f>E1617</f>
        <v>ASHP SEER 20 replace ASHP - early replacement MF ER1</v>
      </c>
      <c r="G3150" s="3779"/>
      <c r="H3150" s="3779"/>
      <c r="I3150" s="3779"/>
      <c r="J3150" s="3073" t="str">
        <f>C1617</f>
        <v>354700_2019_12_</v>
      </c>
      <c r="K3150" s="602"/>
      <c r="L3150" s="767" t="str">
        <f>IF(K3150&gt;0,VLOOKUP(J3150,$J$1682:$L$1809,3,FALSE),"")</f>
        <v/>
      </c>
      <c r="M3150" s="1815" t="str">
        <f>IF(K3150&gt;0,VLOOKUP(J3150,$J$2706:$K$2833,2,FALSE),"")</f>
        <v/>
      </c>
      <c r="N3150" s="1249"/>
      <c r="O3150" s="277"/>
      <c r="P3150" s="937"/>
      <c r="Q3150" s="938"/>
      <c r="R3150" s="937"/>
      <c r="S3150" s="924"/>
      <c r="T3150" s="1407"/>
      <c r="U3150" s="157"/>
      <c r="V3150" s="3589"/>
      <c r="W3150" s="602"/>
      <c r="X3150" s="605"/>
      <c r="Y3150" s="605"/>
      <c r="Z3150" s="602"/>
      <c r="AA3150" s="602"/>
      <c r="AB3150" s="602"/>
      <c r="AC3150" s="884"/>
      <c r="AD3150" s="884"/>
      <c r="AE3150" s="884"/>
      <c r="AF3150" s="884"/>
      <c r="AG3150" s="884"/>
      <c r="BB3150" s="647"/>
      <c r="BC3150" s="648"/>
      <c r="BD3150" s="757"/>
      <c r="BE3150" s="659"/>
    </row>
    <row r="3151" spans="1:57" s="64" customFormat="1" outlineLevel="1" x14ac:dyDescent="0.25">
      <c r="A3151" s="2463"/>
      <c r="B3151" s="648"/>
      <c r="C3151" s="385"/>
      <c r="D3151" s="3589"/>
      <c r="E3151" s="3721"/>
      <c r="F3151" s="3779" t="str">
        <f>E1618</f>
        <v>ASHP SEER 20 replace ASHP - early replacement MF ER2</v>
      </c>
      <c r="G3151" s="3779"/>
      <c r="H3151" s="3779"/>
      <c r="I3151" s="3779"/>
      <c r="J3151" s="3073" t="str">
        <f>C1618</f>
        <v>354700_2019_12_</v>
      </c>
      <c r="K3151" s="602"/>
      <c r="L3151" s="767" t="str">
        <f>IF(K3151&gt;0,VLOOKUP(J3151,$J$1682:$L$1809,3,FALSE),"")</f>
        <v/>
      </c>
      <c r="M3151" s="1815" t="str">
        <f>IF(K3151&gt;0,VLOOKUP(J3151,$J$2706:$K$2833,2,FALSE),"")</f>
        <v/>
      </c>
      <c r="N3151" s="1249"/>
      <c r="O3151" s="277"/>
      <c r="P3151" s="937"/>
      <c r="Q3151" s="938"/>
      <c r="R3151" s="937"/>
      <c r="S3151" s="924"/>
      <c r="T3151" s="1407"/>
      <c r="U3151" s="157"/>
      <c r="V3151" s="3589"/>
      <c r="W3151" s="602"/>
      <c r="X3151" s="605"/>
      <c r="Y3151" s="605"/>
      <c r="Z3151" s="602"/>
      <c r="AA3151" s="602"/>
      <c r="AB3151" s="602"/>
      <c r="AC3151" s="884"/>
      <c r="AD3151" s="884"/>
      <c r="AE3151" s="884"/>
      <c r="AF3151" s="884"/>
      <c r="AG3151" s="884"/>
      <c r="BB3151" s="647"/>
      <c r="BC3151" s="648"/>
      <c r="BD3151" s="757"/>
      <c r="BE3151" s="659"/>
    </row>
    <row r="3152" spans="1:57" s="64" customFormat="1" outlineLevel="1" x14ac:dyDescent="0.25">
      <c r="A3152" s="2463"/>
      <c r="B3152" s="648"/>
      <c r="C3152" s="385"/>
      <c r="D3152" s="3589"/>
      <c r="E3152" s="3721"/>
      <c r="F3152" s="3779" t="str">
        <f>E1619</f>
        <v>ASHP SEER 20 replace ASHP - early replacement MF ER2</v>
      </c>
      <c r="G3152" s="3779"/>
      <c r="H3152" s="3779"/>
      <c r="I3152" s="3779"/>
      <c r="J3152" s="3073" t="str">
        <f>C1619</f>
        <v>354700_2019_12_</v>
      </c>
      <c r="K3152" s="602"/>
      <c r="L3152" s="767" t="str">
        <f>IF(K3152&gt;0,VLOOKUP(J3152,$J$1682:$L$1809,3,FALSE),"")</f>
        <v/>
      </c>
      <c r="M3152" s="1815" t="str">
        <f>IF(K3152&gt;0,VLOOKUP(J3152,$J$2706:$K$2833,2,FALSE),"")</f>
        <v/>
      </c>
      <c r="N3152" s="1249"/>
      <c r="O3152" s="277"/>
      <c r="P3152" s="937"/>
      <c r="Q3152" s="938"/>
      <c r="R3152" s="937"/>
      <c r="S3152" s="924"/>
      <c r="T3152" s="1407"/>
      <c r="U3152" s="157"/>
      <c r="V3152" s="3589"/>
      <c r="W3152" s="602"/>
      <c r="X3152" s="605"/>
      <c r="Y3152" s="605"/>
      <c r="Z3152" s="602"/>
      <c r="AA3152" s="602"/>
      <c r="AB3152" s="602"/>
      <c r="AC3152" s="884"/>
      <c r="AD3152" s="884"/>
      <c r="AE3152" s="884"/>
      <c r="AF3152" s="884"/>
      <c r="AG3152" s="884"/>
      <c r="BB3152" s="647"/>
      <c r="BC3152" s="648"/>
      <c r="BD3152" s="757"/>
      <c r="BE3152" s="659"/>
    </row>
    <row r="3153" spans="1:57" s="64" customFormat="1" outlineLevel="1" x14ac:dyDescent="0.25">
      <c r="A3153" s="2463"/>
      <c r="B3153" s="648"/>
      <c r="C3153" s="385"/>
      <c r="D3153" s="3589"/>
      <c r="E3153" s="3721"/>
      <c r="F3153" s="3779" t="str">
        <f t="shared" ref="F3153:F3160" si="260">E1624</f>
        <v>ASHP SEER 21 replace ASHP - early replacement SF ER1</v>
      </c>
      <c r="G3153" s="3779"/>
      <c r="H3153" s="3779"/>
      <c r="I3153" s="3779"/>
      <c r="J3153" s="3073" t="str">
        <f t="shared" ref="J3153:J3160" si="261">C1624</f>
        <v>354750_2019_12_</v>
      </c>
      <c r="K3153" s="602">
        <f>(($R$1696*L3153)+$R$1690)-(($Q$1696*L3153)/((1+$R$1698)^($R$1699-1)))</f>
        <v>2478.4195598081137</v>
      </c>
      <c r="L3153" s="767">
        <f>VLOOKUP(J3153,$J$1682:$L$1809,3,FALSE)*M3153</f>
        <v>3.3</v>
      </c>
      <c r="M3153" s="1815">
        <f>VLOOKUP(J3153,$J$2706:$K$2833,2,FALSE)</f>
        <v>1</v>
      </c>
      <c r="N3153" s="1249"/>
      <c r="O3153" s="277"/>
      <c r="P3153" s="937"/>
      <c r="Q3153" s="938"/>
      <c r="R3153" s="937"/>
      <c r="S3153" s="924"/>
      <c r="T3153" s="1407"/>
      <c r="U3153" s="157"/>
      <c r="V3153" s="3589"/>
      <c r="W3153" s="602">
        <v>14804.699584437089</v>
      </c>
      <c r="X3153" s="605">
        <f>(X$1791/12000)*$Q$1690*X$2815</f>
        <v>7942.2360594243391</v>
      </c>
      <c r="Y3153" s="605">
        <v>2089.0025568704818</v>
      </c>
      <c r="Z3153" s="602">
        <v>2089.0025568704818</v>
      </c>
      <c r="AA3153" s="602">
        <v>2089.0025568704818</v>
      </c>
      <c r="AB3153" s="602">
        <v>1689.9245999999991</v>
      </c>
      <c r="AC3153" s="884"/>
      <c r="AD3153" s="884"/>
      <c r="AE3153" s="884"/>
      <c r="AF3153" s="884"/>
      <c r="AG3153" s="884"/>
      <c r="BB3153" s="647"/>
      <c r="BC3153" s="648"/>
      <c r="BD3153" s="757"/>
      <c r="BE3153" s="659"/>
    </row>
    <row r="3154" spans="1:57" s="64" customFormat="1" outlineLevel="1" x14ac:dyDescent="0.25">
      <c r="A3154" s="2463"/>
      <c r="B3154" s="648"/>
      <c r="C3154" s="385"/>
      <c r="D3154" s="3589"/>
      <c r="E3154" s="3721"/>
      <c r="F3154" s="3779" t="str">
        <f t="shared" si="260"/>
        <v>ASHP SEER 21 replace ASHP - early replacement SF ER1</v>
      </c>
      <c r="G3154" s="3779"/>
      <c r="H3154" s="3779"/>
      <c r="I3154" s="3779"/>
      <c r="J3154" s="3073" t="str">
        <f t="shared" si="261"/>
        <v>354750_2019_12_</v>
      </c>
      <c r="K3154" s="602"/>
      <c r="L3154" s="767" t="str">
        <f>IF(K3154&gt;0,VLOOKUP(J3154,$J$1682:$L$1809,3,FALSE),"")</f>
        <v/>
      </c>
      <c r="M3154" s="1815" t="str">
        <f>IF(K3154&gt;0,VLOOKUP(J3154,$J$2706:$K$2833,2,FALSE),"")</f>
        <v/>
      </c>
      <c r="N3154" s="1249"/>
      <c r="O3154" s="277"/>
      <c r="P3154" s="937"/>
      <c r="Q3154" s="938"/>
      <c r="R3154" s="937"/>
      <c r="S3154" s="924"/>
      <c r="T3154" s="1407"/>
      <c r="U3154" s="157"/>
      <c r="V3154" s="3589"/>
      <c r="W3154" s="602"/>
      <c r="X3154" s="605"/>
      <c r="Y3154" s="605"/>
      <c r="Z3154" s="602"/>
      <c r="AA3154" s="602"/>
      <c r="AB3154" s="602"/>
      <c r="AC3154" s="884"/>
      <c r="AD3154" s="884"/>
      <c r="AE3154" s="884"/>
      <c r="AF3154" s="884"/>
      <c r="AG3154" s="884"/>
      <c r="BB3154" s="647"/>
      <c r="BC3154" s="648"/>
      <c r="BD3154" s="757"/>
      <c r="BE3154" s="659"/>
    </row>
    <row r="3155" spans="1:57" s="64" customFormat="1" outlineLevel="1" x14ac:dyDescent="0.25">
      <c r="A3155" s="2463"/>
      <c r="B3155" s="648"/>
      <c r="C3155" s="385"/>
      <c r="D3155" s="3589"/>
      <c r="E3155" s="3721"/>
      <c r="F3155" s="3779" t="str">
        <f t="shared" si="260"/>
        <v>ASHP SEER 21 replace ASHP - early replacement SF ER2</v>
      </c>
      <c r="G3155" s="3779"/>
      <c r="H3155" s="3779"/>
      <c r="I3155" s="3779"/>
      <c r="J3155" s="3073" t="str">
        <f t="shared" si="261"/>
        <v>354750_2019_12_</v>
      </c>
      <c r="K3155" s="602"/>
      <c r="L3155" s="767" t="str">
        <f>IF(K3155&gt;0,VLOOKUP(J3155,$J$1682:$L$1809,3,FALSE),"")</f>
        <v/>
      </c>
      <c r="M3155" s="1815" t="str">
        <f>IF(K3155&gt;0,VLOOKUP(J3155,$J$2706:$K$2833,2,FALSE),"")</f>
        <v/>
      </c>
      <c r="N3155" s="1249"/>
      <c r="O3155" s="277"/>
      <c r="P3155" s="937"/>
      <c r="Q3155" s="938"/>
      <c r="R3155" s="937"/>
      <c r="S3155" s="924"/>
      <c r="T3155" s="1407"/>
      <c r="U3155" s="157"/>
      <c r="V3155" s="3589"/>
      <c r="W3155" s="602"/>
      <c r="X3155" s="605"/>
      <c r="Y3155" s="605"/>
      <c r="Z3155" s="602"/>
      <c r="AA3155" s="602"/>
      <c r="AB3155" s="602"/>
      <c r="AC3155" s="884"/>
      <c r="AD3155" s="884"/>
      <c r="AE3155" s="884"/>
      <c r="AF3155" s="884"/>
      <c r="AG3155" s="884"/>
      <c r="BB3155" s="647"/>
      <c r="BC3155" s="648"/>
      <c r="BD3155" s="757"/>
      <c r="BE3155" s="659"/>
    </row>
    <row r="3156" spans="1:57" s="64" customFormat="1" outlineLevel="1" x14ac:dyDescent="0.25">
      <c r="A3156" s="2463"/>
      <c r="B3156" s="648"/>
      <c r="C3156" s="385"/>
      <c r="D3156" s="3589"/>
      <c r="E3156" s="3721"/>
      <c r="F3156" s="3779" t="str">
        <f t="shared" si="260"/>
        <v>ASHP SEER 21 replace ASHP - early replacement SF ER2</v>
      </c>
      <c r="G3156" s="3779"/>
      <c r="H3156" s="3779"/>
      <c r="I3156" s="3779"/>
      <c r="J3156" s="3073" t="str">
        <f t="shared" si="261"/>
        <v>354750_2019_12_</v>
      </c>
      <c r="K3156" s="602"/>
      <c r="L3156" s="767" t="str">
        <f>IF(K3156&gt;0,VLOOKUP(J3156,$J$1682:$L$1809,3,FALSE),"")</f>
        <v/>
      </c>
      <c r="M3156" s="1815" t="str">
        <f>IF(K3156&gt;0,VLOOKUP(J3156,$J$2706:$K$2833,2,FALSE),"")</f>
        <v/>
      </c>
      <c r="N3156" s="1249"/>
      <c r="O3156" s="277"/>
      <c r="P3156" s="937"/>
      <c r="Q3156" s="938"/>
      <c r="R3156" s="937"/>
      <c r="S3156" s="924"/>
      <c r="T3156" s="1407"/>
      <c r="U3156" s="157"/>
      <c r="V3156" s="3589"/>
      <c r="W3156" s="602"/>
      <c r="X3156" s="605"/>
      <c r="Y3156" s="605"/>
      <c r="Z3156" s="602"/>
      <c r="AA3156" s="602"/>
      <c r="AB3156" s="602"/>
      <c r="AC3156" s="884"/>
      <c r="AD3156" s="884"/>
      <c r="AE3156" s="884"/>
      <c r="AF3156" s="884"/>
      <c r="AG3156" s="884"/>
      <c r="BB3156" s="647"/>
      <c r="BC3156" s="648"/>
      <c r="BD3156" s="757"/>
      <c r="BE3156" s="659"/>
    </row>
    <row r="3157" spans="1:57" s="64" customFormat="1" outlineLevel="1" x14ac:dyDescent="0.25">
      <c r="A3157" s="2463"/>
      <c r="B3157" s="648"/>
      <c r="C3157" s="385"/>
      <c r="D3157" s="3589"/>
      <c r="E3157" s="3721"/>
      <c r="F3157" s="3779" t="str">
        <f t="shared" si="260"/>
        <v>ASHP SEER 21 replace ASHP - replace on fail SF</v>
      </c>
      <c r="G3157" s="3779"/>
      <c r="H3157" s="3779"/>
      <c r="I3157" s="3779"/>
      <c r="J3157" s="3073" t="str">
        <f t="shared" si="261"/>
        <v>354800_2019_12_</v>
      </c>
      <c r="K3157" s="602">
        <f>$R$1690*K$2710</f>
        <v>1689.9245999999991</v>
      </c>
      <c r="L3157" s="767">
        <f>VLOOKUP(J3157,$J$1682:$L$1809,3,FALSE)*M3157</f>
        <v>3.3</v>
      </c>
      <c r="M3157" s="1815">
        <f>VLOOKUP(J3157,$J$2706:$K$2833,2,FALSE)</f>
        <v>1</v>
      </c>
      <c r="N3157" s="1249"/>
      <c r="O3157" s="277"/>
      <c r="P3157" s="937"/>
      <c r="Q3157" s="938"/>
      <c r="R3157" s="937"/>
      <c r="S3157" s="924"/>
      <c r="T3157" s="1407"/>
      <c r="U3157" s="157"/>
      <c r="V3157" s="3589"/>
      <c r="W3157" s="602">
        <v>9976</v>
      </c>
      <c r="X3157" s="605">
        <f>(X$1793/12000)*$R$1690*X$2817</f>
        <v>5576.7511799999966</v>
      </c>
      <c r="Y3157" s="605">
        <v>1160</v>
      </c>
      <c r="Z3157" s="602">
        <v>1160</v>
      </c>
      <c r="AA3157" s="602">
        <v>1160</v>
      </c>
      <c r="AB3157" s="602">
        <v>1689.9245999999991</v>
      </c>
      <c r="AC3157" s="884"/>
      <c r="AD3157" s="884"/>
      <c r="AE3157" s="884"/>
      <c r="AF3157" s="884"/>
      <c r="AG3157" s="884"/>
      <c r="BB3157" s="647"/>
      <c r="BC3157" s="648"/>
      <c r="BD3157" s="757"/>
      <c r="BE3157" s="659"/>
    </row>
    <row r="3158" spans="1:57" s="64" customFormat="1" outlineLevel="1" x14ac:dyDescent="0.25">
      <c r="A3158" s="2463"/>
      <c r="B3158" s="648"/>
      <c r="C3158" s="385"/>
      <c r="D3158" s="3589"/>
      <c r="E3158" s="3721"/>
      <c r="F3158" s="3779" t="str">
        <f t="shared" si="260"/>
        <v>ASHP SEER 21 replace ASHP - replace on fail SF</v>
      </c>
      <c r="G3158" s="3779"/>
      <c r="H3158" s="3779"/>
      <c r="I3158" s="3779"/>
      <c r="J3158" s="3073" t="str">
        <f t="shared" si="261"/>
        <v>354800_2019_12_</v>
      </c>
      <c r="K3158" s="602"/>
      <c r="L3158" s="767" t="str">
        <f>IF(K3158&gt;0,VLOOKUP(J3158,$J$1682:$L$1809,3,FALSE),"")</f>
        <v/>
      </c>
      <c r="M3158" s="1815" t="str">
        <f>IF(K3158&gt;0,VLOOKUP(J3158,$J$2706:$K$2833,2,FALSE),"")</f>
        <v/>
      </c>
      <c r="N3158" s="1249"/>
      <c r="O3158" s="277"/>
      <c r="P3158" s="937"/>
      <c r="Q3158" s="938"/>
      <c r="R3158" s="937"/>
      <c r="S3158" s="924"/>
      <c r="T3158" s="1407"/>
      <c r="U3158" s="157"/>
      <c r="V3158" s="3589"/>
      <c r="W3158" s="602"/>
      <c r="X3158" s="605"/>
      <c r="Y3158" s="605"/>
      <c r="Z3158" s="602"/>
      <c r="AA3158" s="602"/>
      <c r="AB3158" s="602"/>
      <c r="AC3158" s="884"/>
      <c r="AD3158" s="884"/>
      <c r="AE3158" s="884"/>
      <c r="AF3158" s="884"/>
      <c r="AG3158" s="884"/>
      <c r="BB3158" s="647"/>
      <c r="BC3158" s="648"/>
      <c r="BD3158" s="757"/>
      <c r="BE3158" s="659"/>
    </row>
    <row r="3159" spans="1:57" s="64" customFormat="1" outlineLevel="1" x14ac:dyDescent="0.25">
      <c r="A3159" s="2463"/>
      <c r="B3159" s="648"/>
      <c r="C3159" s="385"/>
      <c r="D3159" s="3589"/>
      <c r="E3159" s="3721"/>
      <c r="F3159" s="3779" t="str">
        <f t="shared" si="260"/>
        <v>ASHP - SEER 21 - replace electric furnace / CAC MF</v>
      </c>
      <c r="G3159" s="3779"/>
      <c r="H3159" s="3779"/>
      <c r="I3159" s="3779"/>
      <c r="J3159" s="3073" t="str">
        <f t="shared" si="261"/>
        <v>354850_2019_12_</v>
      </c>
      <c r="K3159" s="602">
        <f>$R$1690*K$2710</f>
        <v>1689.9245999999991</v>
      </c>
      <c r="L3159" s="767">
        <f>VLOOKUP(J3159,$J$1682:$L$1809,3,FALSE)*M3159</f>
        <v>1.8199999999999998</v>
      </c>
      <c r="M3159" s="1815">
        <f>VLOOKUP(J3159,$J$2706:$K$2833,2,FALSE)</f>
        <v>0.65</v>
      </c>
      <c r="N3159" s="1249"/>
      <c r="O3159" s="277"/>
      <c r="P3159" s="937"/>
      <c r="Q3159" s="938"/>
      <c r="R3159" s="937"/>
      <c r="S3159" s="924"/>
      <c r="T3159" s="1407"/>
      <c r="U3159" s="157"/>
      <c r="V3159" s="3589"/>
      <c r="W3159" s="602">
        <v>10092</v>
      </c>
      <c r="X3159" s="605">
        <f>(X$1794/12000)*$R$1690*X$2818</f>
        <v>3075.6627719999983</v>
      </c>
      <c r="Y3159" s="605">
        <v>1160</v>
      </c>
      <c r="Z3159" s="602">
        <v>1160</v>
      </c>
      <c r="AA3159" s="602">
        <v>1160</v>
      </c>
      <c r="AB3159" s="602">
        <v>1689.9245999999991</v>
      </c>
      <c r="AC3159" s="884"/>
      <c r="AD3159" s="884"/>
      <c r="AE3159" s="884"/>
      <c r="AF3159" s="884"/>
      <c r="AG3159" s="884"/>
      <c r="BB3159" s="647"/>
      <c r="BC3159" s="648"/>
      <c r="BD3159" s="757"/>
      <c r="BE3159" s="659"/>
    </row>
    <row r="3160" spans="1:57" s="64" customFormat="1" outlineLevel="1" x14ac:dyDescent="0.25">
      <c r="A3160" s="2463"/>
      <c r="B3160" s="648"/>
      <c r="C3160" s="385"/>
      <c r="D3160" s="3589"/>
      <c r="E3160" s="3721"/>
      <c r="F3160" s="3779" t="str">
        <f t="shared" si="260"/>
        <v>ASHP - SEER 21 - replace electric furnace / CAC MF</v>
      </c>
      <c r="G3160" s="3779"/>
      <c r="H3160" s="3779"/>
      <c r="I3160" s="3779"/>
      <c r="J3160" s="3073" t="str">
        <f t="shared" si="261"/>
        <v>354850_2019_12_</v>
      </c>
      <c r="K3160" s="602"/>
      <c r="L3160" s="767" t="str">
        <f>IF(K3160&gt;0,VLOOKUP(J3160,$J$1682:$L$1809,3,FALSE),"")</f>
        <v/>
      </c>
      <c r="M3160" s="1815" t="str">
        <f>IF(K3160&gt;0,VLOOKUP(J3160,$J$2706:$K$2833,2,FALSE),"")</f>
        <v/>
      </c>
      <c r="N3160" s="1249"/>
      <c r="O3160" s="277"/>
      <c r="P3160" s="937"/>
      <c r="Q3160" s="938"/>
      <c r="R3160" s="937"/>
      <c r="S3160" s="924"/>
      <c r="T3160" s="1407"/>
      <c r="U3160" s="157"/>
      <c r="V3160" s="3589"/>
      <c r="W3160" s="602"/>
      <c r="X3160" s="605"/>
      <c r="Y3160" s="605"/>
      <c r="Z3160" s="602"/>
      <c r="AA3160" s="602"/>
      <c r="AB3160" s="602"/>
      <c r="AC3160" s="884"/>
      <c r="AD3160" s="884"/>
      <c r="AE3160" s="884"/>
      <c r="AF3160" s="884"/>
      <c r="AG3160" s="884"/>
      <c r="BB3160" s="647"/>
      <c r="BC3160" s="648"/>
      <c r="BD3160" s="757"/>
      <c r="BE3160" s="659"/>
    </row>
    <row r="3161" spans="1:57" s="64" customFormat="1" outlineLevel="1" x14ac:dyDescent="0.25">
      <c r="A3161" s="2463"/>
      <c r="B3161" s="648"/>
      <c r="C3161" s="385"/>
      <c r="D3161" s="3589"/>
      <c r="E3161" s="3721"/>
      <c r="F3161" s="3779" t="str">
        <f>E1634</f>
        <v>ASHP SEER 21 replace ASHP - early replacement MF ER1</v>
      </c>
      <c r="G3161" s="3779"/>
      <c r="H3161" s="3779"/>
      <c r="I3161" s="3779"/>
      <c r="J3161" s="3073" t="str">
        <f>C1634</f>
        <v>354900_2019_12_</v>
      </c>
      <c r="K3161" s="602">
        <f>(($R$1696*L3161)+$R$1690)-(($Q$1696*L3161)/((1+$R$1698)^($R$1699-1)))</f>
        <v>2202.4463238752733</v>
      </c>
      <c r="L3161" s="767">
        <f>VLOOKUP(J3161,$J$1682:$L$1809,3,FALSE)*M3161</f>
        <v>2.145</v>
      </c>
      <c r="M3161" s="1815">
        <f>VLOOKUP(J3161,$J$2706:$K$2833,2,FALSE)</f>
        <v>0.65</v>
      </c>
      <c r="N3161" s="1249"/>
      <c r="O3161" s="277"/>
      <c r="P3161" s="937"/>
      <c r="Q3161" s="938"/>
      <c r="R3161" s="937"/>
      <c r="S3161" s="924"/>
      <c r="T3161" s="1407"/>
      <c r="U3161" s="157"/>
      <c r="V3161" s="3589"/>
      <c r="W3161" s="602">
        <v>15995.882309621684</v>
      </c>
      <c r="X3161" s="605">
        <f>(X$1796/12000)*$Q$1690*X$2820</f>
        <v>5162.453438625821</v>
      </c>
      <c r="Y3161" s="605">
        <v>1763.8516619658126</v>
      </c>
      <c r="Z3161" s="602">
        <v>1763.8516619658126</v>
      </c>
      <c r="AA3161" s="602">
        <v>1763.8516619658126</v>
      </c>
      <c r="AB3161" s="602">
        <v>1689.9245999999991</v>
      </c>
      <c r="AC3161" s="884"/>
      <c r="AD3161" s="884"/>
      <c r="AE3161" s="884"/>
      <c r="AF3161" s="884"/>
      <c r="AG3161" s="884"/>
      <c r="BB3161" s="647"/>
      <c r="BC3161" s="648"/>
      <c r="BD3161" s="757"/>
      <c r="BE3161" s="659"/>
    </row>
    <row r="3162" spans="1:57" s="64" customFormat="1" outlineLevel="1" x14ac:dyDescent="0.25">
      <c r="A3162" s="2463"/>
      <c r="B3162" s="648"/>
      <c r="C3162" s="385"/>
      <c r="D3162" s="3589"/>
      <c r="E3162" s="3721"/>
      <c r="F3162" s="3779" t="str">
        <f>E1635</f>
        <v>ASHP SEER 21 replace ASHP - early replacement MF ER1</v>
      </c>
      <c r="G3162" s="3779"/>
      <c r="H3162" s="3779"/>
      <c r="I3162" s="3779"/>
      <c r="J3162" s="3073" t="str">
        <f>C1635</f>
        <v>354900_2019_12_</v>
      </c>
      <c r="K3162" s="602"/>
      <c r="L3162" s="767" t="str">
        <f>IF(K3162&gt;0,VLOOKUP(J3162,$J$1682:$L$1809,3,FALSE),"")</f>
        <v/>
      </c>
      <c r="M3162" s="1815" t="str">
        <f>IF(K3162&gt;0,VLOOKUP(J3162,$J$2706:$K$2833,2,FALSE),"")</f>
        <v/>
      </c>
      <c r="N3162" s="1249"/>
      <c r="O3162" s="277"/>
      <c r="P3162" s="937"/>
      <c r="Q3162" s="938"/>
      <c r="R3162" s="937"/>
      <c r="S3162" s="924"/>
      <c r="T3162" s="1407"/>
      <c r="U3162" s="157"/>
      <c r="V3162" s="3589"/>
      <c r="W3162" s="602"/>
      <c r="X3162" s="605"/>
      <c r="Y3162" s="605"/>
      <c r="Z3162" s="602"/>
      <c r="AA3162" s="602"/>
      <c r="AB3162" s="602"/>
      <c r="AC3162" s="884"/>
      <c r="AD3162" s="884"/>
      <c r="AE3162" s="884"/>
      <c r="AF3162" s="884"/>
      <c r="AG3162" s="884"/>
      <c r="BB3162" s="647"/>
      <c r="BC3162" s="648"/>
      <c r="BD3162" s="757"/>
      <c r="BE3162" s="659"/>
    </row>
    <row r="3163" spans="1:57" s="64" customFormat="1" outlineLevel="1" x14ac:dyDescent="0.25">
      <c r="A3163" s="2463"/>
      <c r="B3163" s="648"/>
      <c r="C3163" s="385"/>
      <c r="D3163" s="3589"/>
      <c r="E3163" s="3721"/>
      <c r="F3163" s="3779" t="str">
        <f>E1636</f>
        <v>ASHP SEER 21 replace ASHP - early replacement MF ER2</v>
      </c>
      <c r="G3163" s="3779"/>
      <c r="H3163" s="3779"/>
      <c r="I3163" s="3779"/>
      <c r="J3163" s="3073" t="str">
        <f>C1636</f>
        <v>354900_2019_12_</v>
      </c>
      <c r="K3163" s="602"/>
      <c r="L3163" s="767" t="str">
        <f>IF(K3163&gt;0,VLOOKUP(J3163,$J$1682:$L$1809,3,FALSE),"")</f>
        <v/>
      </c>
      <c r="M3163" s="1815" t="str">
        <f>IF(K3163&gt;0,VLOOKUP(J3163,$J$2706:$K$2833,2,FALSE),"")</f>
        <v/>
      </c>
      <c r="N3163" s="1249"/>
      <c r="O3163" s="277"/>
      <c r="P3163" s="937"/>
      <c r="Q3163" s="938"/>
      <c r="R3163" s="937"/>
      <c r="S3163" s="924"/>
      <c r="T3163" s="1407"/>
      <c r="U3163" s="157"/>
      <c r="V3163" s="3589"/>
      <c r="W3163" s="602"/>
      <c r="X3163" s="605"/>
      <c r="Y3163" s="605"/>
      <c r="Z3163" s="602"/>
      <c r="AA3163" s="602"/>
      <c r="AB3163" s="602"/>
      <c r="AC3163" s="884"/>
      <c r="AD3163" s="884"/>
      <c r="AE3163" s="884"/>
      <c r="AF3163" s="884"/>
      <c r="AG3163" s="884"/>
      <c r="BB3163" s="647"/>
      <c r="BC3163" s="648"/>
      <c r="BD3163" s="757"/>
      <c r="BE3163" s="659"/>
    </row>
    <row r="3164" spans="1:57" s="64" customFormat="1" outlineLevel="1" x14ac:dyDescent="0.25">
      <c r="A3164" s="2463"/>
      <c r="B3164" s="648"/>
      <c r="C3164" s="385"/>
      <c r="D3164" s="3589"/>
      <c r="E3164" s="3721"/>
      <c r="F3164" s="3779" t="str">
        <f>E1637</f>
        <v>ASHP SEER 21 replace ASHP - early replacement MF ER2</v>
      </c>
      <c r="G3164" s="3779"/>
      <c r="H3164" s="3779"/>
      <c r="I3164" s="3779"/>
      <c r="J3164" s="3073" t="str">
        <f>C1637</f>
        <v>354900_2019_12_</v>
      </c>
      <c r="K3164" s="602"/>
      <c r="L3164" s="767" t="str">
        <f>IF(K3164&gt;0,VLOOKUP(J3164,$J$1682:$L$1809,3,FALSE),"")</f>
        <v/>
      </c>
      <c r="M3164" s="1815" t="str">
        <f>IF(K3164&gt;0,VLOOKUP(J3164,$J$2706:$K$2833,2,FALSE),"")</f>
        <v/>
      </c>
      <c r="N3164" s="1249"/>
      <c r="O3164" s="277"/>
      <c r="P3164" s="937"/>
      <c r="Q3164" s="938"/>
      <c r="R3164" s="937"/>
      <c r="S3164" s="924"/>
      <c r="T3164" s="1407"/>
      <c r="U3164" s="157"/>
      <c r="V3164" s="3589"/>
      <c r="W3164" s="602"/>
      <c r="X3164" s="605"/>
      <c r="Y3164" s="605"/>
      <c r="Z3164" s="602"/>
      <c r="AA3164" s="602"/>
      <c r="AB3164" s="602"/>
      <c r="AC3164" s="884"/>
      <c r="AD3164" s="884"/>
      <c r="AE3164" s="884"/>
      <c r="AF3164" s="884"/>
      <c r="AG3164" s="884"/>
      <c r="BB3164" s="647"/>
      <c r="BC3164" s="648"/>
      <c r="BD3164" s="757"/>
      <c r="BE3164" s="659"/>
    </row>
    <row r="3165" spans="1:57" s="64" customFormat="1" outlineLevel="1" x14ac:dyDescent="0.25">
      <c r="A3165" s="2463"/>
      <c r="B3165" s="648"/>
      <c r="C3165" s="385"/>
      <c r="D3165" s="3589"/>
      <c r="E3165" s="3721"/>
      <c r="F3165" s="3779" t="str">
        <f>E1642</f>
        <v>ASHP - SEER 17 - replace on fail MF</v>
      </c>
      <c r="G3165" s="3779"/>
      <c r="H3165" s="3779"/>
      <c r="I3165" s="3779"/>
      <c r="J3165" s="3073" t="str">
        <f>C1642</f>
        <v>354950_2019_12_</v>
      </c>
      <c r="K3165" s="602">
        <f>$R$1686*K$2710</f>
        <v>724</v>
      </c>
      <c r="L3165" s="767">
        <f>VLOOKUP(J3165,$J$1682:$L$1809,3,FALSE)*M3165</f>
        <v>2.145</v>
      </c>
      <c r="M3165" s="1815">
        <f>VLOOKUP(J3165,$J$2706:$K$2833,2,FALSE)</f>
        <v>0.65</v>
      </c>
      <c r="N3165" s="1249"/>
      <c r="O3165" s="277"/>
      <c r="P3165" s="937"/>
      <c r="Q3165" s="938"/>
      <c r="R3165" s="937"/>
      <c r="S3165" s="924"/>
      <c r="T3165" s="1407"/>
      <c r="U3165" s="157"/>
      <c r="V3165" s="3589"/>
      <c r="W3165" s="602">
        <v>1914</v>
      </c>
      <c r="X3165" s="605">
        <f>$R$1686*(X$1800/12000)*X$2824</f>
        <v>1552.98</v>
      </c>
      <c r="Y3165" s="605">
        <v>580</v>
      </c>
      <c r="Z3165" s="602">
        <v>580</v>
      </c>
      <c r="AA3165" s="602">
        <v>580</v>
      </c>
      <c r="AB3165" s="602">
        <v>724</v>
      </c>
      <c r="AC3165" s="884"/>
      <c r="AD3165" s="884"/>
      <c r="AE3165" s="884"/>
      <c r="AF3165" s="884"/>
      <c r="AG3165" s="884"/>
      <c r="BB3165" s="647"/>
      <c r="BC3165" s="648"/>
      <c r="BD3165" s="757"/>
      <c r="BE3165" s="659"/>
    </row>
    <row r="3166" spans="1:57" s="64" customFormat="1" outlineLevel="1" x14ac:dyDescent="0.25">
      <c r="A3166" s="2463"/>
      <c r="B3166" s="648"/>
      <c r="C3166" s="385"/>
      <c r="D3166" s="3589"/>
      <c r="E3166" s="3721"/>
      <c r="F3166" s="3779" t="str">
        <f>E1643</f>
        <v>ASHP - SEER 17 - replace on fail MF</v>
      </c>
      <c r="G3166" s="3779"/>
      <c r="H3166" s="3779"/>
      <c r="I3166" s="3779"/>
      <c r="J3166" s="3073" t="str">
        <f>C1643</f>
        <v>354950_2019_12_</v>
      </c>
      <c r="K3166" s="602"/>
      <c r="L3166" s="767" t="str">
        <f>IF(K3166&gt;0,VLOOKUP(J3166,$J$1682:$L$1809,3,FALSE),"")</f>
        <v/>
      </c>
      <c r="M3166" s="1815" t="str">
        <f>IF(K3166&gt;0,VLOOKUP(J3166,$J$2706:$K$2833,2,FALSE),"")</f>
        <v/>
      </c>
      <c r="N3166" s="1249"/>
      <c r="O3166" s="277"/>
      <c r="P3166" s="937"/>
      <c r="Q3166" s="938"/>
      <c r="R3166" s="937"/>
      <c r="S3166" s="924"/>
      <c r="T3166" s="1407"/>
      <c r="U3166" s="157"/>
      <c r="V3166" s="3589"/>
      <c r="W3166" s="602"/>
      <c r="X3166" s="605"/>
      <c r="Y3166" s="605"/>
      <c r="Z3166" s="602"/>
      <c r="AA3166" s="602"/>
      <c r="AB3166" s="602"/>
      <c r="AC3166" s="884"/>
      <c r="AD3166" s="884"/>
      <c r="AE3166" s="884"/>
      <c r="AF3166" s="884"/>
      <c r="AG3166" s="884"/>
      <c r="BB3166" s="647"/>
      <c r="BC3166" s="648"/>
      <c r="BD3166" s="757"/>
      <c r="BE3166" s="659"/>
    </row>
    <row r="3167" spans="1:57" s="64" customFormat="1" outlineLevel="1" x14ac:dyDescent="0.25">
      <c r="A3167" s="2463"/>
      <c r="B3167" s="648"/>
      <c r="C3167" s="385"/>
      <c r="D3167" s="3589"/>
      <c r="E3167" s="3721"/>
      <c r="F3167" s="3779" t="str">
        <f>E1646</f>
        <v>ASHP - SEER 18 - replace on fail MF</v>
      </c>
      <c r="G3167" s="3779"/>
      <c r="H3167" s="3779"/>
      <c r="I3167" s="3779"/>
      <c r="J3167" s="3073" t="str">
        <f>C1646</f>
        <v>355000_2019_12_</v>
      </c>
      <c r="K3167" s="602">
        <f>$R$1687*K$2710</f>
        <v>962.92000000000007</v>
      </c>
      <c r="L3167" s="767">
        <f>VLOOKUP(J3167,$J$1682:$L$1809,3,FALSE)*M3167</f>
        <v>2.145</v>
      </c>
      <c r="M3167" s="1815">
        <f>VLOOKUP(J3167,$J$2706:$K$2833,2,FALSE)</f>
        <v>0.65</v>
      </c>
      <c r="N3167" s="1249"/>
      <c r="O3167" s="277"/>
      <c r="P3167" s="937"/>
      <c r="Q3167" s="938"/>
      <c r="R3167" s="937"/>
      <c r="S3167" s="924"/>
      <c r="T3167" s="1407"/>
      <c r="U3167" s="157"/>
      <c r="V3167" s="3589"/>
      <c r="W3167" s="602">
        <v>2354</v>
      </c>
      <c r="X3167" s="605">
        <f>$R$1687*(X$1802/12000)*X$2826</f>
        <v>2065.4634000000001</v>
      </c>
      <c r="Y3167" s="605">
        <v>713.33333333333337</v>
      </c>
      <c r="Z3167" s="602">
        <v>713.33333333333337</v>
      </c>
      <c r="AA3167" s="602">
        <v>713.33333333333337</v>
      </c>
      <c r="AB3167" s="602">
        <v>962.92000000000007</v>
      </c>
      <c r="AC3167" s="884"/>
      <c r="AD3167" s="884"/>
      <c r="AE3167" s="884"/>
      <c r="AF3167" s="884"/>
      <c r="AG3167" s="884"/>
      <c r="BB3167" s="647"/>
      <c r="BC3167" s="648"/>
      <c r="BD3167" s="757"/>
      <c r="BE3167" s="659"/>
    </row>
    <row r="3168" spans="1:57" s="64" customFormat="1" outlineLevel="1" x14ac:dyDescent="0.25">
      <c r="A3168" s="2463"/>
      <c r="B3168" s="648"/>
      <c r="C3168" s="385"/>
      <c r="D3168" s="3589"/>
      <c r="E3168" s="3721"/>
      <c r="F3168" s="3779" t="str">
        <f>E1647</f>
        <v>ASHP - SEER 18 - replace on fail MF</v>
      </c>
      <c r="G3168" s="3779"/>
      <c r="H3168" s="3779"/>
      <c r="I3168" s="3779"/>
      <c r="J3168" s="3073" t="str">
        <f>C1647</f>
        <v>355000_2019_12_</v>
      </c>
      <c r="K3168" s="602"/>
      <c r="L3168" s="767" t="str">
        <f>IF(K3168&gt;0,VLOOKUP(J3168,$J$1682:$L$1809,3,FALSE),"")</f>
        <v/>
      </c>
      <c r="M3168" s="1815" t="str">
        <f>IF(K3168&gt;0,VLOOKUP(J3168,$J$2706:$K$2833,2,FALSE),"")</f>
        <v/>
      </c>
      <c r="N3168" s="1249"/>
      <c r="O3168" s="277"/>
      <c r="P3168" s="937"/>
      <c r="Q3168" s="938"/>
      <c r="R3168" s="937"/>
      <c r="S3168" s="924"/>
      <c r="T3168" s="1407"/>
      <c r="U3168" s="157"/>
      <c r="V3168" s="3589"/>
      <c r="W3168" s="602"/>
      <c r="X3168" s="605"/>
      <c r="Y3168" s="605"/>
      <c r="Z3168" s="602"/>
      <c r="AA3168" s="602"/>
      <c r="AB3168" s="602"/>
      <c r="AC3168" s="884"/>
      <c r="AD3168" s="884"/>
      <c r="AE3168" s="884"/>
      <c r="AF3168" s="884"/>
      <c r="AG3168" s="884"/>
      <c r="BB3168" s="647"/>
      <c r="BC3168" s="648"/>
      <c r="BD3168" s="757"/>
      <c r="BE3168" s="659"/>
    </row>
    <row r="3169" spans="1:57" s="64" customFormat="1" outlineLevel="1" x14ac:dyDescent="0.25">
      <c r="A3169" s="2463"/>
      <c r="B3169" s="648"/>
      <c r="C3169" s="385"/>
      <c r="D3169" s="3589"/>
      <c r="E3169" s="3721"/>
      <c r="F3169" s="3779" t="str">
        <f>E1650</f>
        <v>ASHP - SEER 19 - replace on fail MF</v>
      </c>
      <c r="G3169" s="3779"/>
      <c r="H3169" s="3779"/>
      <c r="I3169" s="3779"/>
      <c r="J3169" s="3073" t="str">
        <f>C1650</f>
        <v>355050_2019_12_</v>
      </c>
      <c r="K3169" s="602">
        <f>$R$1688*K$2710</f>
        <v>1203.6500000000003</v>
      </c>
      <c r="L3169" s="767">
        <f>VLOOKUP(J3169,$J$1682:$L$1809,3,FALSE)*M3169</f>
        <v>2.145</v>
      </c>
      <c r="M3169" s="1815">
        <f>VLOOKUP(J3169,$J$2706:$K$2833,2,FALSE)</f>
        <v>0.65</v>
      </c>
      <c r="N3169" s="1249"/>
      <c r="O3169" s="277"/>
      <c r="P3169" s="937"/>
      <c r="Q3169" s="938"/>
      <c r="R3169" s="937"/>
      <c r="S3169" s="924"/>
      <c r="T3169" s="1407"/>
      <c r="U3169" s="157"/>
      <c r="V3169" s="3589"/>
      <c r="W3169" s="602">
        <v>2684</v>
      </c>
      <c r="X3169" s="605">
        <f>$R$1688*(X$1804/12000)*X$2828</f>
        <v>2581.8292500000007</v>
      </c>
      <c r="Y3169" s="605">
        <v>813.33333333333337</v>
      </c>
      <c r="Z3169" s="602">
        <v>813.33333333333337</v>
      </c>
      <c r="AA3169" s="602">
        <v>813.33333333333337</v>
      </c>
      <c r="AB3169" s="602">
        <v>1203.6500000000003</v>
      </c>
      <c r="AC3169" s="884"/>
      <c r="AD3169" s="884"/>
      <c r="AE3169" s="884"/>
      <c r="AF3169" s="884"/>
      <c r="AG3169" s="884"/>
      <c r="BB3169" s="647"/>
      <c r="BC3169" s="648"/>
      <c r="BD3169" s="757"/>
      <c r="BE3169" s="659"/>
    </row>
    <row r="3170" spans="1:57" s="64" customFormat="1" ht="15" customHeight="1" outlineLevel="1" x14ac:dyDescent="0.25">
      <c r="A3170" s="2463"/>
      <c r="B3170" s="648"/>
      <c r="C3170" s="385"/>
      <c r="D3170" s="3589"/>
      <c r="E3170" s="3721"/>
      <c r="F3170" s="3779" t="str">
        <f>E1651</f>
        <v>ASHP - SEER 19 - replace on fail MF</v>
      </c>
      <c r="G3170" s="3779"/>
      <c r="H3170" s="3779"/>
      <c r="I3170" s="3779"/>
      <c r="J3170" s="3073" t="str">
        <f>C1651</f>
        <v>355050_2019_12_</v>
      </c>
      <c r="K3170" s="602"/>
      <c r="L3170" s="767" t="str">
        <f>IF(K3170&gt;0,VLOOKUP(J3170,$J$1682:$L$1809,3,FALSE),"")</f>
        <v/>
      </c>
      <c r="M3170" s="1815" t="str">
        <f>IF(K3170&gt;0,VLOOKUP(J3170,$J$2706:$K$2833,2,FALSE),"")</f>
        <v/>
      </c>
      <c r="N3170" s="1249"/>
      <c r="O3170" s="277"/>
      <c r="P3170" s="937"/>
      <c r="Q3170" s="938"/>
      <c r="R3170" s="937"/>
      <c r="S3170" s="924"/>
      <c r="T3170" s="1407"/>
      <c r="U3170" s="157"/>
      <c r="V3170" s="3589"/>
      <c r="W3170" s="602"/>
      <c r="X3170" s="605"/>
      <c r="Y3170" s="605"/>
      <c r="Z3170" s="602"/>
      <c r="AA3170" s="602"/>
      <c r="AB3170" s="602"/>
      <c r="AC3170" s="884"/>
      <c r="AD3170" s="884"/>
      <c r="AE3170" s="884"/>
      <c r="AF3170" s="884"/>
      <c r="AG3170" s="884"/>
      <c r="BB3170" s="647"/>
      <c r="BC3170" s="648"/>
      <c r="BD3170" s="757"/>
      <c r="BE3170" s="659"/>
    </row>
    <row r="3171" spans="1:57" s="64" customFormat="1" ht="15" customHeight="1" outlineLevel="1" x14ac:dyDescent="0.25">
      <c r="A3171" s="2463"/>
      <c r="B3171" s="648"/>
      <c r="C3171" s="385"/>
      <c r="D3171" s="3589"/>
      <c r="E3171" s="3721"/>
      <c r="F3171" s="3779" t="str">
        <f>E1654</f>
        <v>ASHP - SEER 20 - replace on fail MF</v>
      </c>
      <c r="G3171" s="3779"/>
      <c r="H3171" s="3779"/>
      <c r="I3171" s="3779"/>
      <c r="J3171" s="3073" t="str">
        <f>C1654</f>
        <v>355100_2019_12_</v>
      </c>
      <c r="K3171" s="602">
        <f>$R$1689*K$2710</f>
        <v>1444.3799999999994</v>
      </c>
      <c r="L3171" s="767">
        <f>VLOOKUP(J3171,$J$1682:$L$1809,3,FALSE)*M3171</f>
        <v>2.145</v>
      </c>
      <c r="M3171" s="1815">
        <f>VLOOKUP(J3171,$J$2706:$K$2833,2,FALSE)</f>
        <v>0.65</v>
      </c>
      <c r="N3171" s="1249"/>
      <c r="O3171" s="277"/>
      <c r="P3171" s="937"/>
      <c r="Q3171" s="938"/>
      <c r="R3171" s="937"/>
      <c r="S3171" s="924"/>
      <c r="T3171" s="1407"/>
      <c r="U3171" s="157"/>
      <c r="V3171" s="3589"/>
      <c r="W3171" s="602">
        <v>3828</v>
      </c>
      <c r="X3171" s="605">
        <f>$R$1689*(X$1806/12000)*X$2830</f>
        <v>3098.1950999999985</v>
      </c>
      <c r="Y3171" s="605">
        <v>1160</v>
      </c>
      <c r="Z3171" s="602">
        <v>1160</v>
      </c>
      <c r="AA3171" s="602">
        <v>1160</v>
      </c>
      <c r="AB3171" s="602">
        <v>1444.3799999999994</v>
      </c>
      <c r="AC3171" s="884"/>
      <c r="AD3171" s="884"/>
      <c r="AE3171" s="884"/>
      <c r="AF3171" s="884"/>
      <c r="AG3171" s="884"/>
      <c r="BB3171" s="647"/>
      <c r="BC3171" s="648"/>
      <c r="BD3171" s="757"/>
      <c r="BE3171" s="659"/>
    </row>
    <row r="3172" spans="1:57" s="64" customFormat="1" ht="15" customHeight="1" outlineLevel="1" x14ac:dyDescent="0.25">
      <c r="A3172" s="2463"/>
      <c r="B3172" s="648"/>
      <c r="C3172" s="385"/>
      <c r="D3172" s="3589"/>
      <c r="E3172" s="3721"/>
      <c r="F3172" s="3779" t="str">
        <f>E1655</f>
        <v>ASHP - SEER 20 - replace on fail MF</v>
      </c>
      <c r="G3172" s="3779"/>
      <c r="H3172" s="3779"/>
      <c r="I3172" s="3779"/>
      <c r="J3172" s="3073" t="str">
        <f>C1655</f>
        <v>355100_2019_12_</v>
      </c>
      <c r="K3172" s="602"/>
      <c r="L3172" s="767" t="str">
        <f>IF(K3172&gt;0,VLOOKUP(J3172,$J$1682:$L$1809,3,FALSE),"")</f>
        <v/>
      </c>
      <c r="M3172" s="1815" t="str">
        <f>IF(K3172&gt;0,VLOOKUP(J3172,$J$2706:$K$2833,2,FALSE),"")</f>
        <v/>
      </c>
      <c r="N3172" s="1249"/>
      <c r="O3172" s="277"/>
      <c r="P3172" s="937"/>
      <c r="Q3172" s="938"/>
      <c r="R3172" s="937"/>
      <c r="S3172" s="924"/>
      <c r="T3172" s="1407"/>
      <c r="U3172" s="157"/>
      <c r="V3172" s="3589"/>
      <c r="W3172" s="602"/>
      <c r="X3172" s="605"/>
      <c r="Y3172" s="605"/>
      <c r="Z3172" s="602"/>
      <c r="AA3172" s="602"/>
      <c r="AB3172" s="602"/>
      <c r="AC3172" s="884"/>
      <c r="AD3172" s="884"/>
      <c r="AE3172" s="884"/>
      <c r="AF3172" s="884"/>
      <c r="AG3172" s="884"/>
      <c r="BB3172" s="647"/>
      <c r="BC3172" s="648"/>
      <c r="BD3172" s="757"/>
      <c r="BE3172" s="659"/>
    </row>
    <row r="3173" spans="1:57" s="64" customFormat="1" ht="15" customHeight="1" outlineLevel="1" x14ac:dyDescent="0.25">
      <c r="A3173" s="2463"/>
      <c r="B3173" s="648"/>
      <c r="C3173" s="385"/>
      <c r="D3173" s="3589"/>
      <c r="E3173" s="3721"/>
      <c r="F3173" s="3779" t="str">
        <f>E1658</f>
        <v>ASHP - SEER 21 - replace on fail MF</v>
      </c>
      <c r="G3173" s="3779"/>
      <c r="H3173" s="3779"/>
      <c r="I3173" s="3779"/>
      <c r="J3173" s="3073" t="str">
        <f>C1658</f>
        <v>355150_2019_12_</v>
      </c>
      <c r="K3173" s="602">
        <f>$R$1690*K$2710</f>
        <v>1689.9245999999991</v>
      </c>
      <c r="L3173" s="767">
        <f>VLOOKUP(J3173,$J$1682:$L$1809,3,FALSE)*M3173</f>
        <v>2.145</v>
      </c>
      <c r="M3173" s="1815">
        <f>VLOOKUP(J3173,$J$2706:$K$2833,2,FALSE)</f>
        <v>0.65</v>
      </c>
      <c r="N3173" s="1249"/>
      <c r="O3173" s="277"/>
      <c r="P3173" s="937"/>
      <c r="Q3173" s="938"/>
      <c r="R3173" s="937"/>
      <c r="S3173" s="924"/>
      <c r="T3173" s="1407"/>
      <c r="U3173" s="157"/>
      <c r="V3173" s="3589"/>
      <c r="W3173" s="602">
        <v>3828</v>
      </c>
      <c r="X3173" s="605">
        <f>$R$1690*(X$1808/12000)*X$2832</f>
        <v>3624.888266999998</v>
      </c>
      <c r="Y3173" s="605">
        <v>1160</v>
      </c>
      <c r="Z3173" s="602">
        <v>1160</v>
      </c>
      <c r="AA3173" s="602">
        <v>1160</v>
      </c>
      <c r="AB3173" s="602">
        <v>1689.9245999999991</v>
      </c>
      <c r="AC3173" s="884"/>
      <c r="AD3173" s="884"/>
      <c r="AE3173" s="884"/>
      <c r="AF3173" s="884"/>
      <c r="AG3173" s="884"/>
      <c r="BB3173" s="647"/>
      <c r="BC3173" s="648"/>
      <c r="BD3173" s="757"/>
      <c r="BE3173" s="659"/>
    </row>
    <row r="3174" spans="1:57" s="64" customFormat="1" ht="15.75" customHeight="1" outlineLevel="1" thickBot="1" x14ac:dyDescent="0.3">
      <c r="A3174" s="2463"/>
      <c r="B3174" s="648"/>
      <c r="C3174" s="385"/>
      <c r="D3174" s="3687"/>
      <c r="E3174" s="3742"/>
      <c r="F3174" s="3780" t="str">
        <f>E1659</f>
        <v>ASHP - SEER 21 - replace on fail MF</v>
      </c>
      <c r="G3174" s="3780"/>
      <c r="H3174" s="3780"/>
      <c r="I3174" s="3780"/>
      <c r="J3174" s="3074" t="str">
        <f>C1659</f>
        <v>355150_2019_12_</v>
      </c>
      <c r="K3174" s="968"/>
      <c r="L3174" s="676" t="str">
        <f>IF(K3174&gt;0,VLOOKUP(J3174,$J$1682:$L$1809,3,FALSE),"")</f>
        <v/>
      </c>
      <c r="M3174" s="1816" t="str">
        <f>IF(K3174&gt;0,VLOOKUP(J3174,$J$2706:$K$2833,2,FALSE),"")</f>
        <v/>
      </c>
      <c r="N3174" s="157"/>
      <c r="O3174" s="277"/>
      <c r="P3174" s="937"/>
      <c r="Q3174" s="938"/>
      <c r="R3174" s="937"/>
      <c r="S3174" s="924"/>
      <c r="T3174" s="1407"/>
      <c r="U3174" s="157"/>
      <c r="V3174" s="3687"/>
      <c r="W3174" s="968"/>
      <c r="X3174" s="969"/>
      <c r="Y3174" s="967"/>
      <c r="Z3174" s="968"/>
      <c r="AA3174" s="968"/>
      <c r="AB3174" s="968"/>
      <c r="AC3174" s="970"/>
      <c r="AD3174" s="970"/>
      <c r="AE3174" s="970"/>
      <c r="AF3174" s="970"/>
      <c r="AG3174" s="970"/>
      <c r="BB3174" s="647"/>
      <c r="BC3174" s="648"/>
      <c r="BD3174" s="757"/>
      <c r="BE3174" s="659"/>
    </row>
    <row r="3175" spans="1:57" ht="15" customHeight="1" x14ac:dyDescent="0.25">
      <c r="AK3175" s="64"/>
      <c r="AL3175" s="64"/>
      <c r="AM3175" s="64"/>
      <c r="AN3175" s="64"/>
    </row>
  </sheetData>
  <mergeCells count="2830">
    <mergeCell ref="F744:H744"/>
    <mergeCell ref="F1375:H1375"/>
    <mergeCell ref="E1277:E1282"/>
    <mergeCell ref="D1277:D1282"/>
    <mergeCell ref="E1271:E1276"/>
    <mergeCell ref="D1271:D1276"/>
    <mergeCell ref="E1265:E1270"/>
    <mergeCell ref="D1265:D1270"/>
    <mergeCell ref="E1259:E1264"/>
    <mergeCell ref="D1259:D1264"/>
    <mergeCell ref="E1283:E1288"/>
    <mergeCell ref="D1283:D1288"/>
    <mergeCell ref="F1330:H1330"/>
    <mergeCell ref="F1348:H1348"/>
    <mergeCell ref="F1355:H1355"/>
    <mergeCell ref="F1361:H1361"/>
    <mergeCell ref="F1367:H1367"/>
    <mergeCell ref="F1373:H1373"/>
    <mergeCell ref="D1369:D1374"/>
    <mergeCell ref="E1369:E1374"/>
    <mergeCell ref="F1369:H1369"/>
    <mergeCell ref="D1351:D1356"/>
    <mergeCell ref="E1351:E1356"/>
    <mergeCell ref="F1351:H1351"/>
    <mergeCell ref="F1332:H1332"/>
    <mergeCell ref="D1333:D1338"/>
    <mergeCell ref="E1333:E1338"/>
    <mergeCell ref="F1333:H1333"/>
    <mergeCell ref="F1283:H1283"/>
    <mergeCell ref="F759:H759"/>
    <mergeCell ref="F760:H760"/>
    <mergeCell ref="F1265:H1265"/>
    <mergeCell ref="F634:H634"/>
    <mergeCell ref="F1115:H1115"/>
    <mergeCell ref="L875:L895"/>
    <mergeCell ref="N856:Q856"/>
    <mergeCell ref="N865:Q865"/>
    <mergeCell ref="N870:Q870"/>
    <mergeCell ref="E1235:E1240"/>
    <mergeCell ref="D1235:D1240"/>
    <mergeCell ref="E1229:E1234"/>
    <mergeCell ref="D1229:D1234"/>
    <mergeCell ref="E1223:E1228"/>
    <mergeCell ref="D1223:D1228"/>
    <mergeCell ref="E1253:E1258"/>
    <mergeCell ref="D1253:D1258"/>
    <mergeCell ref="E1247:E1252"/>
    <mergeCell ref="D1247:D1252"/>
    <mergeCell ref="E1241:E1246"/>
    <mergeCell ref="D1241:D1246"/>
    <mergeCell ref="F700:H700"/>
    <mergeCell ref="F652:H652"/>
    <mergeCell ref="D707:D778"/>
    <mergeCell ref="E707:E778"/>
    <mergeCell ref="F701:H701"/>
    <mergeCell ref="F702:H702"/>
    <mergeCell ref="F703:H703"/>
    <mergeCell ref="F704:H704"/>
    <mergeCell ref="F705:H705"/>
    <mergeCell ref="F706:H706"/>
    <mergeCell ref="D635:D706"/>
    <mergeCell ref="F1247:H1247"/>
    <mergeCell ref="F1226:H1226"/>
    <mergeCell ref="F743:H743"/>
    <mergeCell ref="F623:H623"/>
    <mergeCell ref="F624:H624"/>
    <mergeCell ref="F583:H583"/>
    <mergeCell ref="F584:H584"/>
    <mergeCell ref="E562:E633"/>
    <mergeCell ref="D562:D633"/>
    <mergeCell ref="F671:H671"/>
    <mergeCell ref="F672:H672"/>
    <mergeCell ref="F673:H673"/>
    <mergeCell ref="F674:H674"/>
    <mergeCell ref="F675:H675"/>
    <mergeCell ref="F676:H676"/>
    <mergeCell ref="F677:H677"/>
    <mergeCell ref="F678:H678"/>
    <mergeCell ref="F679:H679"/>
    <mergeCell ref="F680:H680"/>
    <mergeCell ref="F681:H681"/>
    <mergeCell ref="F625:H625"/>
    <mergeCell ref="F626:H626"/>
    <mergeCell ref="F627:H627"/>
    <mergeCell ref="F628:H628"/>
    <mergeCell ref="F629:H629"/>
    <mergeCell ref="F630:H630"/>
    <mergeCell ref="F631:H631"/>
    <mergeCell ref="F632:H632"/>
    <mergeCell ref="F633:H633"/>
    <mergeCell ref="F606:H606"/>
    <mergeCell ref="F607:H607"/>
    <mergeCell ref="F608:H608"/>
    <mergeCell ref="F609:H609"/>
    <mergeCell ref="F610:H610"/>
    <mergeCell ref="E635:E706"/>
    <mergeCell ref="F622:H622"/>
    <mergeCell ref="F543:H543"/>
    <mergeCell ref="F544:H544"/>
    <mergeCell ref="F545:H545"/>
    <mergeCell ref="F546:H546"/>
    <mergeCell ref="F547:H547"/>
    <mergeCell ref="F548:H548"/>
    <mergeCell ref="F549:H549"/>
    <mergeCell ref="F550:H550"/>
    <mergeCell ref="F551:H551"/>
    <mergeCell ref="F560:H560"/>
    <mergeCell ref="F561:H561"/>
    <mergeCell ref="F576:H576"/>
    <mergeCell ref="F577:H577"/>
    <mergeCell ref="F578:H578"/>
    <mergeCell ref="F579:H579"/>
    <mergeCell ref="F580:H580"/>
    <mergeCell ref="F569:H569"/>
    <mergeCell ref="F570:H570"/>
    <mergeCell ref="F571:H571"/>
    <mergeCell ref="F572:H572"/>
    <mergeCell ref="F573:H573"/>
    <mergeCell ref="F574:H574"/>
    <mergeCell ref="E490:E561"/>
    <mergeCell ref="D490:D561"/>
    <mergeCell ref="F598:H598"/>
    <mergeCell ref="F599:H599"/>
    <mergeCell ref="F600:H600"/>
    <mergeCell ref="F469:H469"/>
    <mergeCell ref="F470:H470"/>
    <mergeCell ref="F471:H471"/>
    <mergeCell ref="F472:H472"/>
    <mergeCell ref="F473:H473"/>
    <mergeCell ref="F474:H474"/>
    <mergeCell ref="F475:H475"/>
    <mergeCell ref="F476:H476"/>
    <mergeCell ref="F477:H477"/>
    <mergeCell ref="F478:H478"/>
    <mergeCell ref="F342:H342"/>
    <mergeCell ref="F343:H343"/>
    <mergeCell ref="F344:H344"/>
    <mergeCell ref="E418:E489"/>
    <mergeCell ref="D418:D489"/>
    <mergeCell ref="F526:H526"/>
    <mergeCell ref="F527:H527"/>
    <mergeCell ref="F345:H345"/>
    <mergeCell ref="D274:D345"/>
    <mergeCell ref="D346:D417"/>
    <mergeCell ref="F454:H454"/>
    <mergeCell ref="F455:H455"/>
    <mergeCell ref="F456:H456"/>
    <mergeCell ref="F457:H457"/>
    <mergeCell ref="F458:H458"/>
    <mergeCell ref="F459:H459"/>
    <mergeCell ref="F441:H441"/>
    <mergeCell ref="E274:E345"/>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47:H347"/>
    <mergeCell ref="F348:H348"/>
    <mergeCell ref="F349:H349"/>
    <mergeCell ref="F350:H350"/>
    <mergeCell ref="F351:H351"/>
    <mergeCell ref="F352:H352"/>
    <mergeCell ref="F332:H332"/>
    <mergeCell ref="F333:H333"/>
    <mergeCell ref="F334:H334"/>
    <mergeCell ref="F335:H335"/>
    <mergeCell ref="F336:H336"/>
    <mergeCell ref="F337:H337"/>
    <mergeCell ref="E346:E417"/>
    <mergeCell ref="F399:H399"/>
    <mergeCell ref="F298:H298"/>
    <mergeCell ref="F436:H436"/>
    <mergeCell ref="F437:H437"/>
    <mergeCell ref="F438:H438"/>
    <mergeCell ref="F439:H439"/>
    <mergeCell ref="F367:H367"/>
    <mergeCell ref="F368:H368"/>
    <mergeCell ref="F412:H412"/>
    <mergeCell ref="F413:H413"/>
    <mergeCell ref="F414:H414"/>
    <mergeCell ref="F340:H340"/>
    <mergeCell ref="F341:H341"/>
    <mergeCell ref="F369:H369"/>
    <mergeCell ref="F309:H309"/>
    <mergeCell ref="F405:H405"/>
    <mergeCell ref="F406:H406"/>
    <mergeCell ref="F407:H407"/>
    <mergeCell ref="F408:H408"/>
    <mergeCell ref="F409:H409"/>
    <mergeCell ref="F410:H410"/>
    <mergeCell ref="F376:H376"/>
    <mergeCell ref="F432:H432"/>
    <mergeCell ref="F433:H433"/>
    <mergeCell ref="F420:H420"/>
    <mergeCell ref="F421:H421"/>
    <mergeCell ref="F422:H422"/>
    <mergeCell ref="F423:H423"/>
    <mergeCell ref="F424:H424"/>
    <mergeCell ref="F425:H425"/>
    <mergeCell ref="F426:H426"/>
    <mergeCell ref="F427:H427"/>
    <mergeCell ref="F377:H377"/>
    <mergeCell ref="F378:H378"/>
    <mergeCell ref="F440:H440"/>
    <mergeCell ref="F338:H338"/>
    <mergeCell ref="F339:H33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1:H331"/>
    <mergeCell ref="F415:H415"/>
    <mergeCell ref="F416:H416"/>
    <mergeCell ref="F417:H417"/>
    <mergeCell ref="F398:H398"/>
    <mergeCell ref="F400:H400"/>
    <mergeCell ref="F401:H401"/>
    <mergeCell ref="F402:H402"/>
    <mergeCell ref="F403:H403"/>
    <mergeCell ref="F404:H404"/>
    <mergeCell ref="F365:H365"/>
    <mergeCell ref="F366:H366"/>
    <mergeCell ref="F3169:I3169"/>
    <mergeCell ref="F3170:I3170"/>
    <mergeCell ref="F3171:I3171"/>
    <mergeCell ref="F3172:I3172"/>
    <mergeCell ref="F3173:I3173"/>
    <mergeCell ref="F3174:I3174"/>
    <mergeCell ref="F3163:I3163"/>
    <mergeCell ref="F3164:I3164"/>
    <mergeCell ref="F3165:I3165"/>
    <mergeCell ref="F3166:I3166"/>
    <mergeCell ref="F3167:I3167"/>
    <mergeCell ref="F3168:I3168"/>
    <mergeCell ref="F3157:I3157"/>
    <mergeCell ref="F3158:I3158"/>
    <mergeCell ref="F3159:I3159"/>
    <mergeCell ref="F3160:I3160"/>
    <mergeCell ref="F3161:I3161"/>
    <mergeCell ref="F3162:I3162"/>
    <mergeCell ref="F3151:I3151"/>
    <mergeCell ref="F3152:I3152"/>
    <mergeCell ref="F3153:I3153"/>
    <mergeCell ref="F3154:I3154"/>
    <mergeCell ref="F3155:I3155"/>
    <mergeCell ref="F3156:I3156"/>
    <mergeCell ref="F3145:I3145"/>
    <mergeCell ref="F3146:I3146"/>
    <mergeCell ref="F3147:I3147"/>
    <mergeCell ref="F3148:I3148"/>
    <mergeCell ref="F3149:I3149"/>
    <mergeCell ref="F3150:I3150"/>
    <mergeCell ref="F3139:I3139"/>
    <mergeCell ref="F3140:I3140"/>
    <mergeCell ref="F3141:I3141"/>
    <mergeCell ref="F3142:I3142"/>
    <mergeCell ref="F3143:I3143"/>
    <mergeCell ref="F3144:I3144"/>
    <mergeCell ref="F3133:I3133"/>
    <mergeCell ref="F3134:I3134"/>
    <mergeCell ref="F3135:I3135"/>
    <mergeCell ref="F3136:I3136"/>
    <mergeCell ref="F3137:I3137"/>
    <mergeCell ref="F3138:I3138"/>
    <mergeCell ref="F3127:I3127"/>
    <mergeCell ref="F3128:I3128"/>
    <mergeCell ref="F3129:I3129"/>
    <mergeCell ref="F3130:I3130"/>
    <mergeCell ref="F3131:I3131"/>
    <mergeCell ref="F3132:I3132"/>
    <mergeCell ref="F3121:I3121"/>
    <mergeCell ref="F3122:I3122"/>
    <mergeCell ref="F3123:I3123"/>
    <mergeCell ref="F3124:I3124"/>
    <mergeCell ref="F3125:I3125"/>
    <mergeCell ref="F3126:I3126"/>
    <mergeCell ref="F3115:I3115"/>
    <mergeCell ref="F3116:I3116"/>
    <mergeCell ref="F3117:I3117"/>
    <mergeCell ref="F3118:I3118"/>
    <mergeCell ref="F3119:I3119"/>
    <mergeCell ref="F3120:I3120"/>
    <mergeCell ref="F3109:I3109"/>
    <mergeCell ref="F3110:I3110"/>
    <mergeCell ref="F3111:I3111"/>
    <mergeCell ref="F3112:I3112"/>
    <mergeCell ref="F3113:I3113"/>
    <mergeCell ref="F3114:I3114"/>
    <mergeCell ref="F3103:I3103"/>
    <mergeCell ref="F3104:I3104"/>
    <mergeCell ref="F3105:I3105"/>
    <mergeCell ref="F3106:I3106"/>
    <mergeCell ref="F3107:I3107"/>
    <mergeCell ref="F3108:I3108"/>
    <mergeCell ref="F3097:I3097"/>
    <mergeCell ref="F3098:I3098"/>
    <mergeCell ref="F3099:I3099"/>
    <mergeCell ref="F3100:I3100"/>
    <mergeCell ref="F3101:I3101"/>
    <mergeCell ref="F3102:I3102"/>
    <mergeCell ref="F3065:I3065"/>
    <mergeCell ref="F3066:I3066"/>
    <mergeCell ref="F3055:I3055"/>
    <mergeCell ref="F3056:I3056"/>
    <mergeCell ref="F3057:I3057"/>
    <mergeCell ref="F3058:I3058"/>
    <mergeCell ref="F3059:I3059"/>
    <mergeCell ref="F3060:I3060"/>
    <mergeCell ref="F3091:I3091"/>
    <mergeCell ref="F3092:I3092"/>
    <mergeCell ref="F3093:I3093"/>
    <mergeCell ref="F3094:I3094"/>
    <mergeCell ref="F3095:I3095"/>
    <mergeCell ref="F3096:I3096"/>
    <mergeCell ref="F3085:I3085"/>
    <mergeCell ref="F3086:I3086"/>
    <mergeCell ref="F3087:I3087"/>
    <mergeCell ref="F3088:I3088"/>
    <mergeCell ref="F3089:I3089"/>
    <mergeCell ref="F3090:I3090"/>
    <mergeCell ref="F3080:I3080"/>
    <mergeCell ref="F3081:I3081"/>
    <mergeCell ref="F3082:I3082"/>
    <mergeCell ref="F3083:I3083"/>
    <mergeCell ref="F3084:I3084"/>
    <mergeCell ref="V3005:V3174"/>
    <mergeCell ref="F3006:I3006"/>
    <mergeCell ref="F3007:I3007"/>
    <mergeCell ref="F3008:I3008"/>
    <mergeCell ref="F3009:I3009"/>
    <mergeCell ref="F3010:I3010"/>
    <mergeCell ref="F3011:I3011"/>
    <mergeCell ref="F3012:I3012"/>
    <mergeCell ref="F3013:I3013"/>
    <mergeCell ref="F3014:I3014"/>
    <mergeCell ref="F3043:I3043"/>
    <mergeCell ref="F3044:I3044"/>
    <mergeCell ref="F3045:I3045"/>
    <mergeCell ref="F3046:I3046"/>
    <mergeCell ref="F3047:I3047"/>
    <mergeCell ref="F3048:I3048"/>
    <mergeCell ref="F3037:I3037"/>
    <mergeCell ref="F3038:I3038"/>
    <mergeCell ref="F3039:I3039"/>
    <mergeCell ref="F3040:I3040"/>
    <mergeCell ref="F3041:I3041"/>
    <mergeCell ref="F3042:I3042"/>
    <mergeCell ref="F3031:I3031"/>
    <mergeCell ref="F3073:I3073"/>
    <mergeCell ref="F3074:I3074"/>
    <mergeCell ref="F3075:I3075"/>
    <mergeCell ref="F3076:I3076"/>
    <mergeCell ref="F3077:I3077"/>
    <mergeCell ref="F3078:I3078"/>
    <mergeCell ref="F3067:I3067"/>
    <mergeCell ref="F3068:I3068"/>
    <mergeCell ref="F3069:I3069"/>
    <mergeCell ref="F3032:I3032"/>
    <mergeCell ref="F3033:I3033"/>
    <mergeCell ref="F3034:I3034"/>
    <mergeCell ref="F3035:I3035"/>
    <mergeCell ref="F3036:I3036"/>
    <mergeCell ref="F3061:I3061"/>
    <mergeCell ref="F3062:I3062"/>
    <mergeCell ref="F3002:I3002"/>
    <mergeCell ref="F3003:I3003"/>
    <mergeCell ref="F3004:I3004"/>
    <mergeCell ref="D3005:D3174"/>
    <mergeCell ref="E3005:E3174"/>
    <mergeCell ref="F3005:I3005"/>
    <mergeCell ref="F3015:I3015"/>
    <mergeCell ref="F3016:I3016"/>
    <mergeCell ref="F3017:I3017"/>
    <mergeCell ref="F3018:I3018"/>
    <mergeCell ref="F3030:I3030"/>
    <mergeCell ref="F3049:I3049"/>
    <mergeCell ref="F3050:I3050"/>
    <mergeCell ref="F3051:I3051"/>
    <mergeCell ref="F3052:I3052"/>
    <mergeCell ref="F3053:I3053"/>
    <mergeCell ref="F3054:I3054"/>
    <mergeCell ref="F3079:I3079"/>
    <mergeCell ref="F3023:I3023"/>
    <mergeCell ref="F3024:I3024"/>
    <mergeCell ref="F3070:I3070"/>
    <mergeCell ref="F3071:I3071"/>
    <mergeCell ref="F3072:I3072"/>
    <mergeCell ref="F3063:I3063"/>
    <mergeCell ref="F3064:I3064"/>
    <mergeCell ref="F2996:I2996"/>
    <mergeCell ref="F2997:I2997"/>
    <mergeCell ref="F2998:I2998"/>
    <mergeCell ref="F2999:I2999"/>
    <mergeCell ref="F3000:I3000"/>
    <mergeCell ref="F3001:I3001"/>
    <mergeCell ref="F2990:I2990"/>
    <mergeCell ref="F2991:I2991"/>
    <mergeCell ref="F2992:I2992"/>
    <mergeCell ref="F2993:I2993"/>
    <mergeCell ref="F2994:I2994"/>
    <mergeCell ref="F2995:I2995"/>
    <mergeCell ref="F3025:I3025"/>
    <mergeCell ref="F3026:I3026"/>
    <mergeCell ref="F3027:I3027"/>
    <mergeCell ref="F3028:I3028"/>
    <mergeCell ref="F3029:I3029"/>
    <mergeCell ref="F3019:I3019"/>
    <mergeCell ref="F3020:I3020"/>
    <mergeCell ref="F3021:I3021"/>
    <mergeCell ref="F3022:I3022"/>
    <mergeCell ref="F2984:I2984"/>
    <mergeCell ref="F2985:I2985"/>
    <mergeCell ref="F2986:I2986"/>
    <mergeCell ref="F2987:I2987"/>
    <mergeCell ref="F2988:I2988"/>
    <mergeCell ref="F2989:I2989"/>
    <mergeCell ref="F2978:I2978"/>
    <mergeCell ref="F2979:I2979"/>
    <mergeCell ref="F2980:I2980"/>
    <mergeCell ref="F2981:I2981"/>
    <mergeCell ref="F2982:I2982"/>
    <mergeCell ref="F2983:I2983"/>
    <mergeCell ref="F2972:I2972"/>
    <mergeCell ref="F2973:I2973"/>
    <mergeCell ref="F2974:I2974"/>
    <mergeCell ref="F2975:I2975"/>
    <mergeCell ref="F2976:I2976"/>
    <mergeCell ref="F2977:I2977"/>
    <mergeCell ref="F2966:I2966"/>
    <mergeCell ref="F2967:I2967"/>
    <mergeCell ref="F2968:I2968"/>
    <mergeCell ref="F2969:I2969"/>
    <mergeCell ref="F2970:I2970"/>
    <mergeCell ref="F2971:I2971"/>
    <mergeCell ref="F2960:I2960"/>
    <mergeCell ref="F2961:I2961"/>
    <mergeCell ref="F2962:I2962"/>
    <mergeCell ref="F2963:I2963"/>
    <mergeCell ref="F2964:I2964"/>
    <mergeCell ref="F2965:I2965"/>
    <mergeCell ref="F2954:I2954"/>
    <mergeCell ref="F2955:I2955"/>
    <mergeCell ref="F2956:I2956"/>
    <mergeCell ref="F2957:I2957"/>
    <mergeCell ref="F2958:I2958"/>
    <mergeCell ref="F2959:I2959"/>
    <mergeCell ref="F2948:I2948"/>
    <mergeCell ref="F2949:I2949"/>
    <mergeCell ref="F2950:I2950"/>
    <mergeCell ref="F2951:I2951"/>
    <mergeCell ref="F2952:I2952"/>
    <mergeCell ref="F2953:I2953"/>
    <mergeCell ref="F2942:I2942"/>
    <mergeCell ref="F2943:I2943"/>
    <mergeCell ref="F2944:I2944"/>
    <mergeCell ref="F2945:I2945"/>
    <mergeCell ref="F2946:I2946"/>
    <mergeCell ref="F2947:I2947"/>
    <mergeCell ref="F2936:I2936"/>
    <mergeCell ref="F2937:I2937"/>
    <mergeCell ref="F2938:I2938"/>
    <mergeCell ref="F2939:I2939"/>
    <mergeCell ref="F2940:I2940"/>
    <mergeCell ref="F2941:I2941"/>
    <mergeCell ref="F2930:I2930"/>
    <mergeCell ref="F2931:I2931"/>
    <mergeCell ref="F2932:I2932"/>
    <mergeCell ref="F2933:I2933"/>
    <mergeCell ref="F2934:I2934"/>
    <mergeCell ref="F2935:I2935"/>
    <mergeCell ref="F2924:I2924"/>
    <mergeCell ref="F2925:I2925"/>
    <mergeCell ref="F2926:I2926"/>
    <mergeCell ref="F2927:I2927"/>
    <mergeCell ref="F2928:I2928"/>
    <mergeCell ref="F2929:I2929"/>
    <mergeCell ref="F2918:I2918"/>
    <mergeCell ref="F2919:I2919"/>
    <mergeCell ref="F2920:I2920"/>
    <mergeCell ref="F2921:I2921"/>
    <mergeCell ref="F2922:I2922"/>
    <mergeCell ref="F2923:I2923"/>
    <mergeCell ref="F2912:I2912"/>
    <mergeCell ref="F2913:I2913"/>
    <mergeCell ref="F2914:I2914"/>
    <mergeCell ref="F2915:I2915"/>
    <mergeCell ref="F2916:I2916"/>
    <mergeCell ref="F2917:I2917"/>
    <mergeCell ref="F2906:I2906"/>
    <mergeCell ref="F2907:I2907"/>
    <mergeCell ref="F2908:I2908"/>
    <mergeCell ref="F2909:I2909"/>
    <mergeCell ref="F2910:I2910"/>
    <mergeCell ref="F2911:I2911"/>
    <mergeCell ref="F2900:I2900"/>
    <mergeCell ref="F2901:I2901"/>
    <mergeCell ref="F2902:I2902"/>
    <mergeCell ref="F2903:I2903"/>
    <mergeCell ref="F2904:I2904"/>
    <mergeCell ref="F2905:I2905"/>
    <mergeCell ref="F2894:I2894"/>
    <mergeCell ref="F2895:I2895"/>
    <mergeCell ref="F2896:I2896"/>
    <mergeCell ref="F2897:I2897"/>
    <mergeCell ref="F2898:I2898"/>
    <mergeCell ref="F2899:I2899"/>
    <mergeCell ref="F2888:I2888"/>
    <mergeCell ref="F2889:I2889"/>
    <mergeCell ref="F2890:I2890"/>
    <mergeCell ref="F2891:I2891"/>
    <mergeCell ref="F2892:I2892"/>
    <mergeCell ref="F2893:I2893"/>
    <mergeCell ref="F2882:I2882"/>
    <mergeCell ref="F2883:I2883"/>
    <mergeCell ref="F2884:I2884"/>
    <mergeCell ref="F2885:I2885"/>
    <mergeCell ref="F2886:I2886"/>
    <mergeCell ref="F2887:I2887"/>
    <mergeCell ref="F2856:I2856"/>
    <mergeCell ref="F2857:I2857"/>
    <mergeCell ref="F2846:I2846"/>
    <mergeCell ref="F2847:I2847"/>
    <mergeCell ref="F2848:I2848"/>
    <mergeCell ref="F2849:I2849"/>
    <mergeCell ref="F2850:I2850"/>
    <mergeCell ref="F2851:I2851"/>
    <mergeCell ref="F2876:I2876"/>
    <mergeCell ref="F2877:I2877"/>
    <mergeCell ref="F2878:I2878"/>
    <mergeCell ref="F2879:I2879"/>
    <mergeCell ref="F2880:I2880"/>
    <mergeCell ref="F2881:I2881"/>
    <mergeCell ref="F2870:I2870"/>
    <mergeCell ref="F2871:I2871"/>
    <mergeCell ref="F2872:I2872"/>
    <mergeCell ref="F2873:I2873"/>
    <mergeCell ref="F2874:I2874"/>
    <mergeCell ref="F2875:I2875"/>
    <mergeCell ref="F2864:I2864"/>
    <mergeCell ref="F2865:I2865"/>
    <mergeCell ref="F2866:I2866"/>
    <mergeCell ref="F2867:I2867"/>
    <mergeCell ref="F2868:I2868"/>
    <mergeCell ref="F2869:I2869"/>
    <mergeCell ref="F2840:I2840"/>
    <mergeCell ref="F2841:I2841"/>
    <mergeCell ref="F2842:I2842"/>
    <mergeCell ref="F2843:I2843"/>
    <mergeCell ref="F2844:I2844"/>
    <mergeCell ref="F2845:I2845"/>
    <mergeCell ref="F2831:I2831"/>
    <mergeCell ref="F2832:I2832"/>
    <mergeCell ref="D2835:D3004"/>
    <mergeCell ref="E2835:E3004"/>
    <mergeCell ref="F2835:I2835"/>
    <mergeCell ref="V2835:V3004"/>
    <mergeCell ref="F2836:I2836"/>
    <mergeCell ref="F2837:I2837"/>
    <mergeCell ref="F2838:I2838"/>
    <mergeCell ref="F2839:I2839"/>
    <mergeCell ref="F2825:I2825"/>
    <mergeCell ref="F2826:I2826"/>
    <mergeCell ref="F2827:I2827"/>
    <mergeCell ref="F2828:I2828"/>
    <mergeCell ref="F2829:I2829"/>
    <mergeCell ref="F2830:I2830"/>
    <mergeCell ref="F2858:I2858"/>
    <mergeCell ref="F2859:I2859"/>
    <mergeCell ref="F2860:I2860"/>
    <mergeCell ref="F2861:I2861"/>
    <mergeCell ref="F2862:I2862"/>
    <mergeCell ref="F2863:I2863"/>
    <mergeCell ref="F2852:I2852"/>
    <mergeCell ref="F2853:I2853"/>
    <mergeCell ref="F2854:I2854"/>
    <mergeCell ref="F2855:I2855"/>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11:I2711"/>
    <mergeCell ref="F2712:I2712"/>
    <mergeCell ref="F2713:I2713"/>
    <mergeCell ref="F2714:I2714"/>
    <mergeCell ref="F2715:I2715"/>
    <mergeCell ref="F2716:I2716"/>
    <mergeCell ref="F2703:I2703"/>
    <mergeCell ref="F2704:I2704"/>
    <mergeCell ref="D2706:D2833"/>
    <mergeCell ref="E2706:E2833"/>
    <mergeCell ref="F2706:I2706"/>
    <mergeCell ref="V2706:V2833"/>
    <mergeCell ref="F2707:I2707"/>
    <mergeCell ref="F2708:I2708"/>
    <mergeCell ref="F2709:I2709"/>
    <mergeCell ref="F2710:I2710"/>
    <mergeCell ref="F2697:I2697"/>
    <mergeCell ref="F2698:I2698"/>
    <mergeCell ref="F2699:I2699"/>
    <mergeCell ref="F2700:I2700"/>
    <mergeCell ref="F2701:I2701"/>
    <mergeCell ref="F2702:I2702"/>
    <mergeCell ref="F2729:I2729"/>
    <mergeCell ref="F2730:I2730"/>
    <mergeCell ref="F2731:I2731"/>
    <mergeCell ref="F2732:I2732"/>
    <mergeCell ref="F2733:I2733"/>
    <mergeCell ref="F2734:I2734"/>
    <mergeCell ref="F2723:I2723"/>
    <mergeCell ref="F2724:I2724"/>
    <mergeCell ref="F2725:I2725"/>
    <mergeCell ref="F2726:I2726"/>
    <mergeCell ref="F2691:I2691"/>
    <mergeCell ref="F2692:I2692"/>
    <mergeCell ref="F2693:I2693"/>
    <mergeCell ref="F2694:I2694"/>
    <mergeCell ref="F2695:I2695"/>
    <mergeCell ref="F2696:I2696"/>
    <mergeCell ref="F2685:I2685"/>
    <mergeCell ref="F2686:I2686"/>
    <mergeCell ref="F2687:I2687"/>
    <mergeCell ref="F2688:I2688"/>
    <mergeCell ref="F2689:I2689"/>
    <mergeCell ref="F2690:I2690"/>
    <mergeCell ref="F2679:I2679"/>
    <mergeCell ref="F2680:I2680"/>
    <mergeCell ref="F2681:I2681"/>
    <mergeCell ref="F2682:I2682"/>
    <mergeCell ref="F2683:I2683"/>
    <mergeCell ref="F2684:I2684"/>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583:I2583"/>
    <mergeCell ref="F2584:I2584"/>
    <mergeCell ref="F2585:I2585"/>
    <mergeCell ref="F2586:I2586"/>
    <mergeCell ref="F2587:I2587"/>
    <mergeCell ref="F2588:I2588"/>
    <mergeCell ref="F2575:I2575"/>
    <mergeCell ref="F2576:I2576"/>
    <mergeCell ref="D2578:D2705"/>
    <mergeCell ref="E2578:E2705"/>
    <mergeCell ref="F2578:I2578"/>
    <mergeCell ref="V2578:V2705"/>
    <mergeCell ref="F2579:I2579"/>
    <mergeCell ref="F2580:I2580"/>
    <mergeCell ref="F2581:I2581"/>
    <mergeCell ref="F2582:I2582"/>
    <mergeCell ref="F2569:I2569"/>
    <mergeCell ref="F2570:I2570"/>
    <mergeCell ref="F2571:I2571"/>
    <mergeCell ref="F2572:I2572"/>
    <mergeCell ref="F2573:I2573"/>
    <mergeCell ref="F2574:I2574"/>
    <mergeCell ref="F2601:I2601"/>
    <mergeCell ref="F2602:I2602"/>
    <mergeCell ref="F2603:I2603"/>
    <mergeCell ref="F2604:I2604"/>
    <mergeCell ref="F2605:I2605"/>
    <mergeCell ref="F2606:I2606"/>
    <mergeCell ref="F2595:I2595"/>
    <mergeCell ref="F2596:I2596"/>
    <mergeCell ref="F2597:I2597"/>
    <mergeCell ref="F2598:I2598"/>
    <mergeCell ref="F2563:I2563"/>
    <mergeCell ref="F2564:I2564"/>
    <mergeCell ref="F2565:I2565"/>
    <mergeCell ref="F2566:I2566"/>
    <mergeCell ref="F2567:I2567"/>
    <mergeCell ref="F2568:I2568"/>
    <mergeCell ref="F2557:I2557"/>
    <mergeCell ref="F2558:I2558"/>
    <mergeCell ref="F2559:I2559"/>
    <mergeCell ref="F2560:I2560"/>
    <mergeCell ref="F2561:I2561"/>
    <mergeCell ref="F2562:I2562"/>
    <mergeCell ref="F2551:I2551"/>
    <mergeCell ref="F2552:I2552"/>
    <mergeCell ref="F2553:I2553"/>
    <mergeCell ref="F2554:I2554"/>
    <mergeCell ref="F2555:I2555"/>
    <mergeCell ref="F2556:I2556"/>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455:I2455"/>
    <mergeCell ref="F2456:I2456"/>
    <mergeCell ref="F2457:I2457"/>
    <mergeCell ref="F2458:I2458"/>
    <mergeCell ref="F2459:I2459"/>
    <mergeCell ref="F2460:I2460"/>
    <mergeCell ref="F2448:I2448"/>
    <mergeCell ref="D2450:D2577"/>
    <mergeCell ref="E2450:E2577"/>
    <mergeCell ref="F2450:I2450"/>
    <mergeCell ref="V2450:V2577"/>
    <mergeCell ref="F2451:I2451"/>
    <mergeCell ref="F2452:I2452"/>
    <mergeCell ref="F2453:I2453"/>
    <mergeCell ref="F2454:I2454"/>
    <mergeCell ref="F2442:I2442"/>
    <mergeCell ref="F2443:I2443"/>
    <mergeCell ref="F2444:I2444"/>
    <mergeCell ref="F2445:I2445"/>
    <mergeCell ref="F2446:I2446"/>
    <mergeCell ref="F2447:I2447"/>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36:I2436"/>
    <mergeCell ref="F2437:I2437"/>
    <mergeCell ref="F2438:I2438"/>
    <mergeCell ref="F2439:I2439"/>
    <mergeCell ref="F2440:I2440"/>
    <mergeCell ref="F2441:I2441"/>
    <mergeCell ref="F2430:I2430"/>
    <mergeCell ref="F2431:I2431"/>
    <mergeCell ref="F2432:I2432"/>
    <mergeCell ref="F2433:I2433"/>
    <mergeCell ref="F2434:I2434"/>
    <mergeCell ref="F2435:I2435"/>
    <mergeCell ref="F2424:I2424"/>
    <mergeCell ref="F2425:I2425"/>
    <mergeCell ref="F2426:I2426"/>
    <mergeCell ref="F2427:I2427"/>
    <mergeCell ref="F2428:I2428"/>
    <mergeCell ref="F2429:I2429"/>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28:I2328"/>
    <mergeCell ref="F2329:I2329"/>
    <mergeCell ref="F2330:I2330"/>
    <mergeCell ref="F2331:I2331"/>
    <mergeCell ref="F2332:I2332"/>
    <mergeCell ref="F2333:I2333"/>
    <mergeCell ref="F2320:I2320"/>
    <mergeCell ref="D2322:D2449"/>
    <mergeCell ref="E2322:E2449"/>
    <mergeCell ref="F2322:I2322"/>
    <mergeCell ref="V2322:V2449"/>
    <mergeCell ref="F2323:I2323"/>
    <mergeCell ref="F2324:I2324"/>
    <mergeCell ref="F2325:I2325"/>
    <mergeCell ref="F2326:I2326"/>
    <mergeCell ref="F2327:I2327"/>
    <mergeCell ref="F2314:I2314"/>
    <mergeCell ref="F2315:I2315"/>
    <mergeCell ref="F2316:I2316"/>
    <mergeCell ref="F2317:I2317"/>
    <mergeCell ref="F2318:I2318"/>
    <mergeCell ref="F2319:I2319"/>
    <mergeCell ref="F2346:I2346"/>
    <mergeCell ref="F2347:I2347"/>
    <mergeCell ref="F2348:I2348"/>
    <mergeCell ref="F2349:I2349"/>
    <mergeCell ref="F2350:I2350"/>
    <mergeCell ref="F2351:I2351"/>
    <mergeCell ref="F2340:I2340"/>
    <mergeCell ref="F2341:I2341"/>
    <mergeCell ref="F2342:I2342"/>
    <mergeCell ref="F2343:I2343"/>
    <mergeCell ref="F2308:I2308"/>
    <mergeCell ref="F2309:I2309"/>
    <mergeCell ref="F2310:I2310"/>
    <mergeCell ref="F2311:I2311"/>
    <mergeCell ref="F2312:I2312"/>
    <mergeCell ref="F2313:I2313"/>
    <mergeCell ref="F2302:I2302"/>
    <mergeCell ref="F2303:I2303"/>
    <mergeCell ref="F2304:I2304"/>
    <mergeCell ref="F2305:I2305"/>
    <mergeCell ref="F2306:I2306"/>
    <mergeCell ref="F2307:I2307"/>
    <mergeCell ref="F2296:I2296"/>
    <mergeCell ref="F2297:I2297"/>
    <mergeCell ref="F2298:I2298"/>
    <mergeCell ref="F2299:I2299"/>
    <mergeCell ref="F2300:I2300"/>
    <mergeCell ref="F2301:I2301"/>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00:I2200"/>
    <mergeCell ref="F2201:I2201"/>
    <mergeCell ref="F2202:I2202"/>
    <mergeCell ref="F2203:I2203"/>
    <mergeCell ref="F2204:I2204"/>
    <mergeCell ref="F2205:I2205"/>
    <mergeCell ref="F2192:I2192"/>
    <mergeCell ref="D2194:D2321"/>
    <mergeCell ref="E2194:E2321"/>
    <mergeCell ref="F2194:I2194"/>
    <mergeCell ref="V2194:V2321"/>
    <mergeCell ref="F2195:I2195"/>
    <mergeCell ref="F2196:I2196"/>
    <mergeCell ref="F2197:I2197"/>
    <mergeCell ref="F2198:I2198"/>
    <mergeCell ref="F2199:I2199"/>
    <mergeCell ref="F2186:I2186"/>
    <mergeCell ref="F2187:I2187"/>
    <mergeCell ref="F2188:I2188"/>
    <mergeCell ref="F2189:I2189"/>
    <mergeCell ref="F2190:I2190"/>
    <mergeCell ref="F2191:I2191"/>
    <mergeCell ref="F2218:I2218"/>
    <mergeCell ref="F2219:I2219"/>
    <mergeCell ref="F2220:I2220"/>
    <mergeCell ref="F2221:I2221"/>
    <mergeCell ref="F2222:I2222"/>
    <mergeCell ref="F2223:I2223"/>
    <mergeCell ref="F2212:I2212"/>
    <mergeCell ref="F2213:I2213"/>
    <mergeCell ref="F2214:I2214"/>
    <mergeCell ref="F2215:I2215"/>
    <mergeCell ref="F2180:I2180"/>
    <mergeCell ref="F2181:I2181"/>
    <mergeCell ref="F2182:I2182"/>
    <mergeCell ref="F2183:I2183"/>
    <mergeCell ref="F2184:I2184"/>
    <mergeCell ref="F2185:I2185"/>
    <mergeCell ref="F2174:I2174"/>
    <mergeCell ref="F2175:I2175"/>
    <mergeCell ref="F2176:I2176"/>
    <mergeCell ref="F2177:I2177"/>
    <mergeCell ref="F2178:I2178"/>
    <mergeCell ref="F2179:I2179"/>
    <mergeCell ref="F2168:I2168"/>
    <mergeCell ref="F2169:I2169"/>
    <mergeCell ref="F2170:I2170"/>
    <mergeCell ref="F2171:I2171"/>
    <mergeCell ref="F2172:I2172"/>
    <mergeCell ref="F2173:I2173"/>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072:I2072"/>
    <mergeCell ref="F2073:I2073"/>
    <mergeCell ref="F2074:I2074"/>
    <mergeCell ref="F2075:I2075"/>
    <mergeCell ref="F2076:I2076"/>
    <mergeCell ref="F2077:I2077"/>
    <mergeCell ref="F2064:I2064"/>
    <mergeCell ref="D2066:D2193"/>
    <mergeCell ref="E2066:E2193"/>
    <mergeCell ref="F2066:I2066"/>
    <mergeCell ref="V2066:V2192"/>
    <mergeCell ref="F2067:I2067"/>
    <mergeCell ref="F2068:I2068"/>
    <mergeCell ref="F2069:I2069"/>
    <mergeCell ref="F2070:I2070"/>
    <mergeCell ref="F2071:I2071"/>
    <mergeCell ref="F2058:I2058"/>
    <mergeCell ref="F2059:I2059"/>
    <mergeCell ref="F2060:I2060"/>
    <mergeCell ref="F2061:I2061"/>
    <mergeCell ref="F2062:I2062"/>
    <mergeCell ref="F2063:I2063"/>
    <mergeCell ref="F2090:I2090"/>
    <mergeCell ref="F2091:I2091"/>
    <mergeCell ref="F2092:I2092"/>
    <mergeCell ref="F2093:I2093"/>
    <mergeCell ref="F2094:I2094"/>
    <mergeCell ref="F2095:I2095"/>
    <mergeCell ref="F2084:I2084"/>
    <mergeCell ref="F2085:I2085"/>
    <mergeCell ref="F2086:I2086"/>
    <mergeCell ref="F2087:I2087"/>
    <mergeCell ref="F2052:I2052"/>
    <mergeCell ref="F2053:I2053"/>
    <mergeCell ref="F2054:I2054"/>
    <mergeCell ref="F2055:I2055"/>
    <mergeCell ref="F2056:I2056"/>
    <mergeCell ref="F2057:I2057"/>
    <mergeCell ref="F2046:I2046"/>
    <mergeCell ref="F2047:I2047"/>
    <mergeCell ref="F2048:I2048"/>
    <mergeCell ref="F2049:I2049"/>
    <mergeCell ref="F2050:I2050"/>
    <mergeCell ref="F2051:I2051"/>
    <mergeCell ref="F2040:I2040"/>
    <mergeCell ref="F2041:I2041"/>
    <mergeCell ref="F2042:I2042"/>
    <mergeCell ref="F2043:I2043"/>
    <mergeCell ref="F2044:I2044"/>
    <mergeCell ref="F2045:I2045"/>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44:I1944"/>
    <mergeCell ref="F1945:I1945"/>
    <mergeCell ref="F1946:I1946"/>
    <mergeCell ref="F1947:I1947"/>
    <mergeCell ref="F1948:I1948"/>
    <mergeCell ref="F1949:I1949"/>
    <mergeCell ref="F1936:I1936"/>
    <mergeCell ref="D1938:D2065"/>
    <mergeCell ref="E1938:E2065"/>
    <mergeCell ref="F1938:I1938"/>
    <mergeCell ref="V1938:V2065"/>
    <mergeCell ref="F1939:I1939"/>
    <mergeCell ref="F1940:I1940"/>
    <mergeCell ref="F1941:I1941"/>
    <mergeCell ref="F1942:I1942"/>
    <mergeCell ref="F1943:I1943"/>
    <mergeCell ref="F1930:I1930"/>
    <mergeCell ref="F1931:I1931"/>
    <mergeCell ref="F1932:I1932"/>
    <mergeCell ref="F1933:I1933"/>
    <mergeCell ref="F1934:I1934"/>
    <mergeCell ref="F1935:I1935"/>
    <mergeCell ref="V1810:V1937"/>
    <mergeCell ref="F1811:I1811"/>
    <mergeCell ref="F1812:I1812"/>
    <mergeCell ref="F1813:I1813"/>
    <mergeCell ref="F1814:I1814"/>
    <mergeCell ref="F1815:I1815"/>
    <mergeCell ref="F1816:I1816"/>
    <mergeCell ref="F1817:I1817"/>
    <mergeCell ref="F1818:I1818"/>
    <mergeCell ref="F1819:I1819"/>
    <mergeCell ref="F1924:I1924"/>
    <mergeCell ref="F1925:I1925"/>
    <mergeCell ref="F1926:I1926"/>
    <mergeCell ref="F1927:I1927"/>
    <mergeCell ref="F1928:I1928"/>
    <mergeCell ref="F1929:I1929"/>
    <mergeCell ref="F1918:I1918"/>
    <mergeCell ref="F1919:I1919"/>
    <mergeCell ref="F1920:I1920"/>
    <mergeCell ref="F1921:I1921"/>
    <mergeCell ref="F1922:I1922"/>
    <mergeCell ref="F1923:I1923"/>
    <mergeCell ref="F1912:I1912"/>
    <mergeCell ref="F1913:I1913"/>
    <mergeCell ref="F1914:I1914"/>
    <mergeCell ref="F1915:I1915"/>
    <mergeCell ref="F1916:I1916"/>
    <mergeCell ref="F1917:I1917"/>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04:I1804"/>
    <mergeCell ref="F1805:I1805"/>
    <mergeCell ref="F1806:I1806"/>
    <mergeCell ref="F1807:I1807"/>
    <mergeCell ref="F1808:I1808"/>
    <mergeCell ref="D1810:D1937"/>
    <mergeCell ref="E1810:E1937"/>
    <mergeCell ref="F1810:I1810"/>
    <mergeCell ref="F1820:I1820"/>
    <mergeCell ref="F1821:I1821"/>
    <mergeCell ref="F1798:I1798"/>
    <mergeCell ref="F1799:I1799"/>
    <mergeCell ref="F1800:I1800"/>
    <mergeCell ref="F1801:I1801"/>
    <mergeCell ref="F1802:I1802"/>
    <mergeCell ref="F1803:I1803"/>
    <mergeCell ref="F1792:I1792"/>
    <mergeCell ref="F1793:I1793"/>
    <mergeCell ref="F1794:I1794"/>
    <mergeCell ref="F1795:I1795"/>
    <mergeCell ref="F1796:I1796"/>
    <mergeCell ref="F1797:I1797"/>
    <mergeCell ref="F1834:I1834"/>
    <mergeCell ref="F1835:I1835"/>
    <mergeCell ref="F1836:I1836"/>
    <mergeCell ref="F1837:I1837"/>
    <mergeCell ref="F1838:I1838"/>
    <mergeCell ref="F1839:I1839"/>
    <mergeCell ref="F1828:I1828"/>
    <mergeCell ref="F1829:I1829"/>
    <mergeCell ref="F1830:I1830"/>
    <mergeCell ref="F1831:I1831"/>
    <mergeCell ref="F1786:I1786"/>
    <mergeCell ref="F1787:I1787"/>
    <mergeCell ref="F1788:I1788"/>
    <mergeCell ref="F1789:I1789"/>
    <mergeCell ref="F1790:I1790"/>
    <mergeCell ref="F1791:I1791"/>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686:I1686"/>
    <mergeCell ref="F1687:I1687"/>
    <mergeCell ref="F1688:I1688"/>
    <mergeCell ref="F1689:I1689"/>
    <mergeCell ref="F1690:I1690"/>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V1402:AH1402"/>
    <mergeCell ref="F1681:I1681"/>
    <mergeCell ref="D1682:D1809"/>
    <mergeCell ref="E1682:E1809"/>
    <mergeCell ref="F1682:I1682"/>
    <mergeCell ref="P1682:R1682"/>
    <mergeCell ref="V1682:V1809"/>
    <mergeCell ref="F1683:I1683"/>
    <mergeCell ref="F1684:I1684"/>
    <mergeCell ref="V1388:V1399"/>
    <mergeCell ref="F1389:H1389"/>
    <mergeCell ref="F1390:H1390"/>
    <mergeCell ref="F1391:H1391"/>
    <mergeCell ref="F1392:H1392"/>
    <mergeCell ref="F1393:H1393"/>
    <mergeCell ref="F1394:H1394"/>
    <mergeCell ref="F1395:H1395"/>
    <mergeCell ref="F1396:H1396"/>
    <mergeCell ref="F1397:H1397"/>
    <mergeCell ref="F1696:I1696"/>
    <mergeCell ref="F1697:I1697"/>
    <mergeCell ref="F1698:I1698"/>
    <mergeCell ref="F1699:I1699"/>
    <mergeCell ref="F1700:I1700"/>
    <mergeCell ref="F1701:I1701"/>
    <mergeCell ref="F1691:I1691"/>
    <mergeCell ref="F1692:I1692"/>
    <mergeCell ref="F1693:I1693"/>
    <mergeCell ref="P1694:R1694"/>
    <mergeCell ref="F1694:I1694"/>
    <mergeCell ref="F1695:I1695"/>
    <mergeCell ref="F1685:I1685"/>
    <mergeCell ref="F1383:H1383"/>
    <mergeCell ref="F1384:H1384"/>
    <mergeCell ref="F1385:H1385"/>
    <mergeCell ref="F1386:H1386"/>
    <mergeCell ref="F1387:H1387"/>
    <mergeCell ref="D1388:D1399"/>
    <mergeCell ref="E1388:E1399"/>
    <mergeCell ref="F1388:H1388"/>
    <mergeCell ref="F1398:H1398"/>
    <mergeCell ref="F1399:H1399"/>
    <mergeCell ref="D1376:D1387"/>
    <mergeCell ref="E1376:E1387"/>
    <mergeCell ref="F1376:H1376"/>
    <mergeCell ref="V1376:V1387"/>
    <mergeCell ref="F1377:H1377"/>
    <mergeCell ref="F1378:H1378"/>
    <mergeCell ref="F1379:H1379"/>
    <mergeCell ref="F1380:H1380"/>
    <mergeCell ref="F1381:H1381"/>
    <mergeCell ref="F1382:H1382"/>
    <mergeCell ref="V1369:V1374"/>
    <mergeCell ref="F1370:H1370"/>
    <mergeCell ref="F1371:H1371"/>
    <mergeCell ref="F1372:H1372"/>
    <mergeCell ref="F1374:H1374"/>
    <mergeCell ref="D1363:D1368"/>
    <mergeCell ref="E1363:E1368"/>
    <mergeCell ref="F1363:H1363"/>
    <mergeCell ref="L1363:L1368"/>
    <mergeCell ref="V1363:V1368"/>
    <mergeCell ref="F1364:H1364"/>
    <mergeCell ref="F1365:H1365"/>
    <mergeCell ref="F1366:H1366"/>
    <mergeCell ref="F1368:H1368"/>
    <mergeCell ref="D1357:D1362"/>
    <mergeCell ref="E1357:E1362"/>
    <mergeCell ref="F1357:H1357"/>
    <mergeCell ref="V1357:V1362"/>
    <mergeCell ref="F1358:H1358"/>
    <mergeCell ref="F1359:H1359"/>
    <mergeCell ref="F1360:H1360"/>
    <mergeCell ref="F1362:H1362"/>
    <mergeCell ref="L1357:L1362"/>
    <mergeCell ref="L1369:L1374"/>
    <mergeCell ref="V1351:V1356"/>
    <mergeCell ref="F1352:H1352"/>
    <mergeCell ref="F1353:H1353"/>
    <mergeCell ref="F1354:H1354"/>
    <mergeCell ref="F1356:H1356"/>
    <mergeCell ref="D1345:D1350"/>
    <mergeCell ref="E1345:E1350"/>
    <mergeCell ref="F1345:H1345"/>
    <mergeCell ref="L1345:L1350"/>
    <mergeCell ref="V1345:V1350"/>
    <mergeCell ref="F1346:H1346"/>
    <mergeCell ref="F1347:H1347"/>
    <mergeCell ref="F1349:H1349"/>
    <mergeCell ref="F1350:H1350"/>
    <mergeCell ref="D1339:D1344"/>
    <mergeCell ref="E1339:E1344"/>
    <mergeCell ref="F1339:H1339"/>
    <mergeCell ref="L1339:L1342"/>
    <mergeCell ref="V1339:V1344"/>
    <mergeCell ref="F1340:H1340"/>
    <mergeCell ref="F1341:H1341"/>
    <mergeCell ref="F1343:H1343"/>
    <mergeCell ref="L1343:L1344"/>
    <mergeCell ref="F1344:H1344"/>
    <mergeCell ref="P1342:R1342"/>
    <mergeCell ref="L1351:L1356"/>
    <mergeCell ref="V1333:V1338"/>
    <mergeCell ref="F1334:H1334"/>
    <mergeCell ref="F1335:H1335"/>
    <mergeCell ref="F1337:H1337"/>
    <mergeCell ref="F1338:H1338"/>
    <mergeCell ref="V1291:AH1291"/>
    <mergeCell ref="F1326:H1326"/>
    <mergeCell ref="D1327:D1332"/>
    <mergeCell ref="E1327:E1332"/>
    <mergeCell ref="F1327:H1327"/>
    <mergeCell ref="L1327:L1332"/>
    <mergeCell ref="V1327:V1332"/>
    <mergeCell ref="F1328:H1328"/>
    <mergeCell ref="F1329:H1329"/>
    <mergeCell ref="F1331:H1331"/>
    <mergeCell ref="P1327:R1327"/>
    <mergeCell ref="T1328:T1332"/>
    <mergeCell ref="L1333:L1338"/>
    <mergeCell ref="V1283:V1288"/>
    <mergeCell ref="F1284:H1284"/>
    <mergeCell ref="F1285:H1285"/>
    <mergeCell ref="F1286:H1286"/>
    <mergeCell ref="F1287:H1287"/>
    <mergeCell ref="F1288:H1288"/>
    <mergeCell ref="F1277:H1277"/>
    <mergeCell ref="V1277:V1282"/>
    <mergeCell ref="F1278:H1278"/>
    <mergeCell ref="F1279:H1279"/>
    <mergeCell ref="F1280:H1280"/>
    <mergeCell ref="F1281:H1281"/>
    <mergeCell ref="F1282:H1282"/>
    <mergeCell ref="F1271:H1271"/>
    <mergeCell ref="V1271:V1276"/>
    <mergeCell ref="F1272:H1272"/>
    <mergeCell ref="F1273:H1273"/>
    <mergeCell ref="F1274:H1274"/>
    <mergeCell ref="F1275:H1275"/>
    <mergeCell ref="F1276:H1276"/>
    <mergeCell ref="V1265:V1270"/>
    <mergeCell ref="F1266:H1266"/>
    <mergeCell ref="F1267:H1267"/>
    <mergeCell ref="F1268:H1268"/>
    <mergeCell ref="F1269:H1269"/>
    <mergeCell ref="F1270:H1270"/>
    <mergeCell ref="F1259:H1259"/>
    <mergeCell ref="V1259:V1264"/>
    <mergeCell ref="F1260:H1260"/>
    <mergeCell ref="F1261:H1261"/>
    <mergeCell ref="F1262:H1262"/>
    <mergeCell ref="F1263:H1263"/>
    <mergeCell ref="F1264:H1264"/>
    <mergeCell ref="F1253:H1253"/>
    <mergeCell ref="V1253:V1258"/>
    <mergeCell ref="F1254:H1254"/>
    <mergeCell ref="F1255:H1255"/>
    <mergeCell ref="F1256:H1256"/>
    <mergeCell ref="F1257:H1257"/>
    <mergeCell ref="F1258:H1258"/>
    <mergeCell ref="V1247:V1252"/>
    <mergeCell ref="F1248:H1248"/>
    <mergeCell ref="F1249:H1249"/>
    <mergeCell ref="F1250:H1250"/>
    <mergeCell ref="F1251:H1251"/>
    <mergeCell ref="F1252:H1252"/>
    <mergeCell ref="F1241:H1241"/>
    <mergeCell ref="V1241:V1246"/>
    <mergeCell ref="F1242:H1242"/>
    <mergeCell ref="F1243:H1243"/>
    <mergeCell ref="F1244:H1244"/>
    <mergeCell ref="F1245:H1245"/>
    <mergeCell ref="F1246:H1246"/>
    <mergeCell ref="F1131:H1131"/>
    <mergeCell ref="F1132:H1132"/>
    <mergeCell ref="F1133:H1133"/>
    <mergeCell ref="F1134:H1134"/>
    <mergeCell ref="F1164:H1164"/>
    <mergeCell ref="F1165:H1165"/>
    <mergeCell ref="F1235:H1235"/>
    <mergeCell ref="V1235:V1240"/>
    <mergeCell ref="F1236:H1236"/>
    <mergeCell ref="F1237:H1237"/>
    <mergeCell ref="F1238:H1238"/>
    <mergeCell ref="F1239:H1239"/>
    <mergeCell ref="F1240:H1240"/>
    <mergeCell ref="V1229:V1234"/>
    <mergeCell ref="F1230:H1230"/>
    <mergeCell ref="F1231:H1231"/>
    <mergeCell ref="F1232:H1232"/>
    <mergeCell ref="F1233:H1233"/>
    <mergeCell ref="F1234:H1234"/>
    <mergeCell ref="F1227:H1227"/>
    <mergeCell ref="F1228:H1228"/>
    <mergeCell ref="F1229:H1229"/>
    <mergeCell ref="F1182:H1182"/>
    <mergeCell ref="F1183:H1183"/>
    <mergeCell ref="V1186:AH1186"/>
    <mergeCell ref="F1221:H1221"/>
    <mergeCell ref="F1223:H1223"/>
    <mergeCell ref="V1223:V1228"/>
    <mergeCell ref="F1224:H1224"/>
    <mergeCell ref="F1225:H1225"/>
    <mergeCell ref="F1176:H1176"/>
    <mergeCell ref="F1177:H1177"/>
    <mergeCell ref="F1178:H1178"/>
    <mergeCell ref="F1179:H1179"/>
    <mergeCell ref="F1180:H1180"/>
    <mergeCell ref="F1181:H1181"/>
    <mergeCell ref="F1170:H1170"/>
    <mergeCell ref="F1171:H1171"/>
    <mergeCell ref="F1172:H1172"/>
    <mergeCell ref="F1173:H1173"/>
    <mergeCell ref="F1174:H1174"/>
    <mergeCell ref="F1175:H1175"/>
    <mergeCell ref="D1150:D1183"/>
    <mergeCell ref="E1150:E1183"/>
    <mergeCell ref="F1166:H1166"/>
    <mergeCell ref="F1167:H1167"/>
    <mergeCell ref="F1168:H1168"/>
    <mergeCell ref="F1169:H1169"/>
    <mergeCell ref="V1150:V1183"/>
    <mergeCell ref="F1151:H1151"/>
    <mergeCell ref="F1152:H1152"/>
    <mergeCell ref="F1153:H1153"/>
    <mergeCell ref="F1154:H1154"/>
    <mergeCell ref="F1155:H1155"/>
    <mergeCell ref="F1156:H1156"/>
    <mergeCell ref="F1157:H1157"/>
    <mergeCell ref="F1158:H1158"/>
    <mergeCell ref="F1159:H1159"/>
    <mergeCell ref="F1147:H1147"/>
    <mergeCell ref="F1148:H1148"/>
    <mergeCell ref="F1149:H1149"/>
    <mergeCell ref="F1150:H1150"/>
    <mergeCell ref="F1160:H1160"/>
    <mergeCell ref="F1161:H1161"/>
    <mergeCell ref="F1162:H1162"/>
    <mergeCell ref="F1163:H1163"/>
    <mergeCell ref="V1116:V1149"/>
    <mergeCell ref="F1117:H1117"/>
    <mergeCell ref="F1118:H1118"/>
    <mergeCell ref="F1119:H1119"/>
    <mergeCell ref="F1124:H1124"/>
    <mergeCell ref="F1125:H1125"/>
    <mergeCell ref="F1120:H1120"/>
    <mergeCell ref="F1121:H1121"/>
    <mergeCell ref="F1122:H1122"/>
    <mergeCell ref="F1123:H1123"/>
    <mergeCell ref="F1111:H1111"/>
    <mergeCell ref="F1112:H1112"/>
    <mergeCell ref="F1113:H1113"/>
    <mergeCell ref="F1114:H1114"/>
    <mergeCell ref="D1116:D1149"/>
    <mergeCell ref="E1116:E1149"/>
    <mergeCell ref="F1116:H1116"/>
    <mergeCell ref="F1126:H1126"/>
    <mergeCell ref="F1127:H1127"/>
    <mergeCell ref="F1128:H1128"/>
    <mergeCell ref="F1105:H1105"/>
    <mergeCell ref="F1106:H1106"/>
    <mergeCell ref="F1107:H1107"/>
    <mergeCell ref="F1108:H1108"/>
    <mergeCell ref="F1109:H1109"/>
    <mergeCell ref="F1110:H1110"/>
    <mergeCell ref="F1141:H1141"/>
    <mergeCell ref="F1142:H1142"/>
    <mergeCell ref="F1143:H1143"/>
    <mergeCell ref="F1144:H1144"/>
    <mergeCell ref="F1145:H1145"/>
    <mergeCell ref="F1146:H1146"/>
    <mergeCell ref="F1135:H1135"/>
    <mergeCell ref="F1136:H1136"/>
    <mergeCell ref="F1137:H1137"/>
    <mergeCell ref="F1138:H1138"/>
    <mergeCell ref="F1139:H1139"/>
    <mergeCell ref="F1140:H1140"/>
    <mergeCell ref="F1129:H1129"/>
    <mergeCell ref="F1130:H1130"/>
    <mergeCell ref="D1064:D1114"/>
    <mergeCell ref="E1064:E1114"/>
    <mergeCell ref="F1085:H1085"/>
    <mergeCell ref="F1086:H1086"/>
    <mergeCell ref="V1064:V1114"/>
    <mergeCell ref="F1065:H1065"/>
    <mergeCell ref="F1066:H1066"/>
    <mergeCell ref="F1067:H1067"/>
    <mergeCell ref="F1068:H1068"/>
    <mergeCell ref="F1069:H1069"/>
    <mergeCell ref="F1070:H1070"/>
    <mergeCell ref="F1071:H1071"/>
    <mergeCell ref="F1072:H1072"/>
    <mergeCell ref="F1073:H1073"/>
    <mergeCell ref="F1099:H1099"/>
    <mergeCell ref="F1100:H1100"/>
    <mergeCell ref="F1101:H1101"/>
    <mergeCell ref="F1102:H1102"/>
    <mergeCell ref="F1103:H1103"/>
    <mergeCell ref="F1104:H1104"/>
    <mergeCell ref="F1093:H1093"/>
    <mergeCell ref="F1094:H1094"/>
    <mergeCell ref="F1095:H1095"/>
    <mergeCell ref="F1096:H1096"/>
    <mergeCell ref="F1097:H1097"/>
    <mergeCell ref="F1098:H1098"/>
    <mergeCell ref="F1087:H1087"/>
    <mergeCell ref="F1088:H1088"/>
    <mergeCell ref="F1089:H1089"/>
    <mergeCell ref="F1090:H1090"/>
    <mergeCell ref="F1091:H1091"/>
    <mergeCell ref="F1092:H1092"/>
    <mergeCell ref="F1064:H1064"/>
    <mergeCell ref="L1064:L1080"/>
    <mergeCell ref="F1078:H1078"/>
    <mergeCell ref="F1079:H1079"/>
    <mergeCell ref="F1080:H1080"/>
    <mergeCell ref="F1081:H1081"/>
    <mergeCell ref="L1081:L1114"/>
    <mergeCell ref="F1082:H1082"/>
    <mergeCell ref="F1083:H1083"/>
    <mergeCell ref="F1084:H1084"/>
    <mergeCell ref="D1043:D1063"/>
    <mergeCell ref="E1043:E1063"/>
    <mergeCell ref="F1043:H1043"/>
    <mergeCell ref="F1053:H1053"/>
    <mergeCell ref="F1054:H1054"/>
    <mergeCell ref="F1055:H1055"/>
    <mergeCell ref="F1033:H1033"/>
    <mergeCell ref="F1034:H1034"/>
    <mergeCell ref="F1035:H1035"/>
    <mergeCell ref="F1036:H1036"/>
    <mergeCell ref="F1037:H1037"/>
    <mergeCell ref="F1038:H1038"/>
    <mergeCell ref="F1074:H1074"/>
    <mergeCell ref="F1075:H1075"/>
    <mergeCell ref="F1076:H1076"/>
    <mergeCell ref="F1077:H1077"/>
    <mergeCell ref="F1056:H1056"/>
    <mergeCell ref="F1057:H1057"/>
    <mergeCell ref="F1058:H1058"/>
    <mergeCell ref="F1059:H1059"/>
    <mergeCell ref="F1060:H1060"/>
    <mergeCell ref="F1061:H1061"/>
    <mergeCell ref="F1044:H1044"/>
    <mergeCell ref="F1045:H1045"/>
    <mergeCell ref="F1011:H1011"/>
    <mergeCell ref="F1012:H1012"/>
    <mergeCell ref="F1013:H1013"/>
    <mergeCell ref="F1027:H1027"/>
    <mergeCell ref="F1028:H1028"/>
    <mergeCell ref="F1029:H1029"/>
    <mergeCell ref="F1030:H1030"/>
    <mergeCell ref="F1031:H1031"/>
    <mergeCell ref="F1032:H1032"/>
    <mergeCell ref="F1062:H1062"/>
    <mergeCell ref="F1063:H1063"/>
    <mergeCell ref="V1022:V1042"/>
    <mergeCell ref="F1023:H1023"/>
    <mergeCell ref="F1024:H1024"/>
    <mergeCell ref="F1025:H1025"/>
    <mergeCell ref="F1026:H1026"/>
    <mergeCell ref="F1014:H1014"/>
    <mergeCell ref="F1015:H1015"/>
    <mergeCell ref="F1016:H1016"/>
    <mergeCell ref="F1017:H1017"/>
    <mergeCell ref="F1018:H1018"/>
    <mergeCell ref="F1019:H1019"/>
    <mergeCell ref="V1043:V1063"/>
    <mergeCell ref="F1046:H1046"/>
    <mergeCell ref="F1047:H1047"/>
    <mergeCell ref="F1048:H1048"/>
    <mergeCell ref="F1049:H1049"/>
    <mergeCell ref="F1050:H1050"/>
    <mergeCell ref="F1051:H1051"/>
    <mergeCell ref="F1052:H1052"/>
    <mergeCell ref="F1020:H1020"/>
    <mergeCell ref="F1021:H1021"/>
    <mergeCell ref="D1022:D1042"/>
    <mergeCell ref="E1022:E1042"/>
    <mergeCell ref="F1022:H1022"/>
    <mergeCell ref="V980:V1000"/>
    <mergeCell ref="F981:H981"/>
    <mergeCell ref="F982:H982"/>
    <mergeCell ref="F983:H983"/>
    <mergeCell ref="F984:H984"/>
    <mergeCell ref="F985:H985"/>
    <mergeCell ref="F986:H986"/>
    <mergeCell ref="F987:H987"/>
    <mergeCell ref="F988:H988"/>
    <mergeCell ref="L1001:L1007"/>
    <mergeCell ref="V1001:V1021"/>
    <mergeCell ref="F1002:H1002"/>
    <mergeCell ref="F1003:H1003"/>
    <mergeCell ref="F1004:H1004"/>
    <mergeCell ref="F1005:H1005"/>
    <mergeCell ref="F1006:H1006"/>
    <mergeCell ref="F1007:H1007"/>
    <mergeCell ref="F1008:H1008"/>
    <mergeCell ref="F1009:H1009"/>
    <mergeCell ref="F1039:H1039"/>
    <mergeCell ref="F1040:H1040"/>
    <mergeCell ref="F1041:H1041"/>
    <mergeCell ref="F1042:H1042"/>
    <mergeCell ref="D1001:D1021"/>
    <mergeCell ref="E1001:E1021"/>
    <mergeCell ref="F1001:H1001"/>
    <mergeCell ref="F1010:H1010"/>
    <mergeCell ref="D980:D1000"/>
    <mergeCell ref="E980:E1000"/>
    <mergeCell ref="F980:H980"/>
    <mergeCell ref="F989:H989"/>
    <mergeCell ref="F990:H990"/>
    <mergeCell ref="F991:H991"/>
    <mergeCell ref="V959:V979"/>
    <mergeCell ref="F998:H998"/>
    <mergeCell ref="F999:H999"/>
    <mergeCell ref="F1000:H1000"/>
    <mergeCell ref="F970:H970"/>
    <mergeCell ref="F971:H971"/>
    <mergeCell ref="F972:H972"/>
    <mergeCell ref="F973:H973"/>
    <mergeCell ref="F974:H974"/>
    <mergeCell ref="F975:H975"/>
    <mergeCell ref="F964:H964"/>
    <mergeCell ref="F965:H965"/>
    <mergeCell ref="F966:H966"/>
    <mergeCell ref="F967:H967"/>
    <mergeCell ref="F968:H968"/>
    <mergeCell ref="F969:H969"/>
    <mergeCell ref="F992:H992"/>
    <mergeCell ref="F993:H993"/>
    <mergeCell ref="F994:H994"/>
    <mergeCell ref="F995:H995"/>
    <mergeCell ref="F996:H996"/>
    <mergeCell ref="F997:H997"/>
    <mergeCell ref="L980:L1000"/>
    <mergeCell ref="F957:H957"/>
    <mergeCell ref="F958:H958"/>
    <mergeCell ref="D959:D979"/>
    <mergeCell ref="E959:E979"/>
    <mergeCell ref="F959:H959"/>
    <mergeCell ref="F960:H960"/>
    <mergeCell ref="F961:H961"/>
    <mergeCell ref="F962:H962"/>
    <mergeCell ref="F963:H963"/>
    <mergeCell ref="D938:D958"/>
    <mergeCell ref="E938:E958"/>
    <mergeCell ref="F953:H953"/>
    <mergeCell ref="F954:H954"/>
    <mergeCell ref="F955:H955"/>
    <mergeCell ref="F956:H956"/>
    <mergeCell ref="V938:V958"/>
    <mergeCell ref="F939:H939"/>
    <mergeCell ref="F940:H940"/>
    <mergeCell ref="F941:H941"/>
    <mergeCell ref="F942:H942"/>
    <mergeCell ref="F943:H943"/>
    <mergeCell ref="F944:H944"/>
    <mergeCell ref="F945:H945"/>
    <mergeCell ref="F946:H946"/>
    <mergeCell ref="F976:H976"/>
    <mergeCell ref="F977:H977"/>
    <mergeCell ref="F978:H978"/>
    <mergeCell ref="F979:H979"/>
    <mergeCell ref="F951:H951"/>
    <mergeCell ref="F952:H952"/>
    <mergeCell ref="F949:H949"/>
    <mergeCell ref="F950:H950"/>
    <mergeCell ref="D917:D937"/>
    <mergeCell ref="E917:E937"/>
    <mergeCell ref="F917:H917"/>
    <mergeCell ref="F927:H927"/>
    <mergeCell ref="F928:H928"/>
    <mergeCell ref="F906:H906"/>
    <mergeCell ref="F907:H907"/>
    <mergeCell ref="F908:H908"/>
    <mergeCell ref="F909:H909"/>
    <mergeCell ref="F910:H910"/>
    <mergeCell ref="F911:H911"/>
    <mergeCell ref="F935:H935"/>
    <mergeCell ref="F936:H936"/>
    <mergeCell ref="F937:H937"/>
    <mergeCell ref="F938:H938"/>
    <mergeCell ref="F947:H947"/>
    <mergeCell ref="F948:H948"/>
    <mergeCell ref="D896:D916"/>
    <mergeCell ref="E896:E916"/>
    <mergeCell ref="F896:H896"/>
    <mergeCell ref="F918:H918"/>
    <mergeCell ref="F919:H919"/>
    <mergeCell ref="F920:H920"/>
    <mergeCell ref="F921:H921"/>
    <mergeCell ref="F922:H922"/>
    <mergeCell ref="F923:H923"/>
    <mergeCell ref="F924:H924"/>
    <mergeCell ref="F925:H925"/>
    <mergeCell ref="F926:H926"/>
    <mergeCell ref="F904:H904"/>
    <mergeCell ref="F905:H905"/>
    <mergeCell ref="F929:H929"/>
    <mergeCell ref="F855:H855"/>
    <mergeCell ref="F930:H930"/>
    <mergeCell ref="F931:H931"/>
    <mergeCell ref="F932:H932"/>
    <mergeCell ref="F933:H933"/>
    <mergeCell ref="F934:H934"/>
    <mergeCell ref="F912:H912"/>
    <mergeCell ref="F913:H913"/>
    <mergeCell ref="F914:H914"/>
    <mergeCell ref="F915:H915"/>
    <mergeCell ref="F916:H916"/>
    <mergeCell ref="V917:V937"/>
    <mergeCell ref="V875:V895"/>
    <mergeCell ref="F876:H876"/>
    <mergeCell ref="F877:H877"/>
    <mergeCell ref="F878:H878"/>
    <mergeCell ref="F879:H879"/>
    <mergeCell ref="F880:H880"/>
    <mergeCell ref="F881:H881"/>
    <mergeCell ref="F882:H882"/>
    <mergeCell ref="F883:H883"/>
    <mergeCell ref="F902:H902"/>
    <mergeCell ref="F903:H903"/>
    <mergeCell ref="F900:H900"/>
    <mergeCell ref="F901:H901"/>
    <mergeCell ref="V896:V916"/>
    <mergeCell ref="F897:H897"/>
    <mergeCell ref="F898:H898"/>
    <mergeCell ref="L898:L902"/>
    <mergeCell ref="F899:H899"/>
    <mergeCell ref="F864:H864"/>
    <mergeCell ref="F778:H778"/>
    <mergeCell ref="V854:V874"/>
    <mergeCell ref="F865:H865"/>
    <mergeCell ref="V781:AH781"/>
    <mergeCell ref="F764:H764"/>
    <mergeCell ref="D875:D895"/>
    <mergeCell ref="E875:E895"/>
    <mergeCell ref="F875:H875"/>
    <mergeCell ref="F884:H884"/>
    <mergeCell ref="F885:H885"/>
    <mergeCell ref="F886:H886"/>
    <mergeCell ref="F887:H887"/>
    <mergeCell ref="F866:H866"/>
    <mergeCell ref="F867:H867"/>
    <mergeCell ref="F868:H868"/>
    <mergeCell ref="F869:H869"/>
    <mergeCell ref="F870:H870"/>
    <mergeCell ref="F871:H871"/>
    <mergeCell ref="F894:H894"/>
    <mergeCell ref="F895:H895"/>
    <mergeCell ref="F888:H888"/>
    <mergeCell ref="F889:H889"/>
    <mergeCell ref="F890:H890"/>
    <mergeCell ref="F891:H891"/>
    <mergeCell ref="F892:H892"/>
    <mergeCell ref="F893:H893"/>
    <mergeCell ref="D854:D874"/>
    <mergeCell ref="E854:E874"/>
    <mergeCell ref="F854:H854"/>
    <mergeCell ref="F872:H872"/>
    <mergeCell ref="F873:H873"/>
    <mergeCell ref="F874:H87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62:H762"/>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61:H761"/>
    <mergeCell ref="F668:H668"/>
    <mergeCell ref="F669:H669"/>
    <mergeCell ref="F670:H670"/>
    <mergeCell ref="F732:H732"/>
    <mergeCell ref="F733:H733"/>
    <mergeCell ref="F734:H734"/>
    <mergeCell ref="F735:H735"/>
    <mergeCell ref="F736:H736"/>
    <mergeCell ref="F737:H737"/>
    <mergeCell ref="F860:H860"/>
    <mergeCell ref="F861:H861"/>
    <mergeCell ref="F862:H862"/>
    <mergeCell ref="F863:H863"/>
    <mergeCell ref="F719:H719"/>
    <mergeCell ref="F856:H856"/>
    <mergeCell ref="F707:H707"/>
    <mergeCell ref="F708:H708"/>
    <mergeCell ref="F709:H709"/>
    <mergeCell ref="F710:H710"/>
    <mergeCell ref="F711:H711"/>
    <mergeCell ref="F712:H712"/>
    <mergeCell ref="F713:H713"/>
    <mergeCell ref="F853:H853"/>
    <mergeCell ref="F857:H857"/>
    <mergeCell ref="F858:H858"/>
    <mergeCell ref="F859:H859"/>
    <mergeCell ref="F738:H738"/>
    <mergeCell ref="F739:H739"/>
    <mergeCell ref="F740:H740"/>
    <mergeCell ref="F741:H741"/>
    <mergeCell ref="F742:H742"/>
    <mergeCell ref="F763:H763"/>
    <mergeCell ref="F682:H682"/>
    <mergeCell ref="F683:H683"/>
    <mergeCell ref="F684:H684"/>
    <mergeCell ref="F685:H685"/>
    <mergeCell ref="F686:H686"/>
    <mergeCell ref="F687:H687"/>
    <mergeCell ref="F688:H688"/>
    <mergeCell ref="F692:H692"/>
    <mergeCell ref="F693:H693"/>
    <mergeCell ref="F694:H694"/>
    <mergeCell ref="F695:H695"/>
    <mergeCell ref="F696:H696"/>
    <mergeCell ref="F697:H697"/>
    <mergeCell ref="F698:H698"/>
    <mergeCell ref="F699:H699"/>
    <mergeCell ref="F727:H727"/>
    <mergeCell ref="F728:H728"/>
    <mergeCell ref="F726:H726"/>
    <mergeCell ref="F689:H689"/>
    <mergeCell ref="F690:H690"/>
    <mergeCell ref="F691:H691"/>
    <mergeCell ref="F729:H729"/>
    <mergeCell ref="F730:H730"/>
    <mergeCell ref="F731:H731"/>
    <mergeCell ref="F720:H720"/>
    <mergeCell ref="F721:H721"/>
    <mergeCell ref="F722:H722"/>
    <mergeCell ref="F723:H723"/>
    <mergeCell ref="F724:H724"/>
    <mergeCell ref="F725:H725"/>
    <mergeCell ref="F714:H714"/>
    <mergeCell ref="F715:H715"/>
    <mergeCell ref="F716:H716"/>
    <mergeCell ref="F717:H717"/>
    <mergeCell ref="F718:H718"/>
    <mergeCell ref="F605:H605"/>
    <mergeCell ref="F665:H665"/>
    <mergeCell ref="F666:H666"/>
    <mergeCell ref="F667:H667"/>
    <mergeCell ref="F659:H659"/>
    <mergeCell ref="F660:H660"/>
    <mergeCell ref="F661:H661"/>
    <mergeCell ref="F662:H662"/>
    <mergeCell ref="F663:H663"/>
    <mergeCell ref="F664:H664"/>
    <mergeCell ref="F653:H653"/>
    <mergeCell ref="F654:H654"/>
    <mergeCell ref="F655:H655"/>
    <mergeCell ref="F656:H656"/>
    <mergeCell ref="F647:H647"/>
    <mergeCell ref="F648:H648"/>
    <mergeCell ref="F649:H649"/>
    <mergeCell ref="F650:H650"/>
    <mergeCell ref="F651:H651"/>
    <mergeCell ref="F657:H657"/>
    <mergeCell ref="F658:H658"/>
    <mergeCell ref="F611:H611"/>
    <mergeCell ref="F612:H612"/>
    <mergeCell ref="F613:H613"/>
    <mergeCell ref="F614:H614"/>
    <mergeCell ref="F615:H615"/>
    <mergeCell ref="F616:H616"/>
    <mergeCell ref="F617:H617"/>
    <mergeCell ref="F618:H618"/>
    <mergeCell ref="F619:H619"/>
    <mergeCell ref="F620:H620"/>
    <mergeCell ref="F621:H621"/>
    <mergeCell ref="F525:H525"/>
    <mergeCell ref="F635:H635"/>
    <mergeCell ref="F645:H645"/>
    <mergeCell ref="F646:H646"/>
    <mergeCell ref="F587:H587"/>
    <mergeCell ref="F588:H588"/>
    <mergeCell ref="F589:H589"/>
    <mergeCell ref="F590:H590"/>
    <mergeCell ref="F591:H591"/>
    <mergeCell ref="F592:H592"/>
    <mergeCell ref="F581:H581"/>
    <mergeCell ref="F582:H582"/>
    <mergeCell ref="F585:H585"/>
    <mergeCell ref="F586:H586"/>
    <mergeCell ref="F636:H636"/>
    <mergeCell ref="F637:H637"/>
    <mergeCell ref="F638:H638"/>
    <mergeCell ref="F639:H639"/>
    <mergeCell ref="F640:H640"/>
    <mergeCell ref="F641:H641"/>
    <mergeCell ref="F642:H642"/>
    <mergeCell ref="F643:H643"/>
    <mergeCell ref="F644:H644"/>
    <mergeCell ref="F593:H593"/>
    <mergeCell ref="F594:H594"/>
    <mergeCell ref="F595:H595"/>
    <mergeCell ref="F596:H596"/>
    <mergeCell ref="F597:H597"/>
    <mergeCell ref="F601:H601"/>
    <mergeCell ref="F602:H602"/>
    <mergeCell ref="F603:H603"/>
    <mergeCell ref="F604:H604"/>
    <mergeCell ref="F509:H509"/>
    <mergeCell ref="F510:H510"/>
    <mergeCell ref="F511:H511"/>
    <mergeCell ref="F512:H512"/>
    <mergeCell ref="F513:H513"/>
    <mergeCell ref="F575:H575"/>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58:H558"/>
    <mergeCell ref="F559:H559"/>
    <mergeCell ref="F562:H562"/>
    <mergeCell ref="F563:H563"/>
    <mergeCell ref="F564:H564"/>
    <mergeCell ref="F565:H565"/>
    <mergeCell ref="F566:H566"/>
    <mergeCell ref="F567:H567"/>
    <mergeCell ref="F568:H568"/>
    <mergeCell ref="F523:H523"/>
    <mergeCell ref="F524:H524"/>
    <mergeCell ref="F506:H506"/>
    <mergeCell ref="F507:H507"/>
    <mergeCell ref="F496:H496"/>
    <mergeCell ref="F552:H552"/>
    <mergeCell ref="F553:H553"/>
    <mergeCell ref="F554:H554"/>
    <mergeCell ref="F555:H555"/>
    <mergeCell ref="F556:H556"/>
    <mergeCell ref="F557:H557"/>
    <mergeCell ref="F520:H520"/>
    <mergeCell ref="F521:H521"/>
    <mergeCell ref="F522:H522"/>
    <mergeCell ref="F442:H442"/>
    <mergeCell ref="F443:H443"/>
    <mergeCell ref="F444:H444"/>
    <mergeCell ref="F445:H445"/>
    <mergeCell ref="F446:H446"/>
    <mergeCell ref="F447:H447"/>
    <mergeCell ref="F514:H514"/>
    <mergeCell ref="F515:H515"/>
    <mergeCell ref="F516:H516"/>
    <mergeCell ref="F517:H517"/>
    <mergeCell ref="F518:H518"/>
    <mergeCell ref="F519:H519"/>
    <mergeCell ref="F508:H508"/>
    <mergeCell ref="F464:H464"/>
    <mergeCell ref="F465:H465"/>
    <mergeCell ref="F466:H466"/>
    <mergeCell ref="F467:H467"/>
    <mergeCell ref="F460:H460"/>
    <mergeCell ref="F461:H461"/>
    <mergeCell ref="F462:H462"/>
    <mergeCell ref="F463:H463"/>
    <mergeCell ref="F505:H505"/>
    <mergeCell ref="F502:H502"/>
    <mergeCell ref="F503:H503"/>
    <mergeCell ref="F504:H504"/>
    <mergeCell ref="F479:H479"/>
    <mergeCell ref="F480:H480"/>
    <mergeCell ref="F481:H481"/>
    <mergeCell ref="F482:H482"/>
    <mergeCell ref="F483:H483"/>
    <mergeCell ref="F468:H468"/>
    <mergeCell ref="F484:H484"/>
    <mergeCell ref="F485:H485"/>
    <mergeCell ref="F486:H486"/>
    <mergeCell ref="F487:H487"/>
    <mergeCell ref="F488:H488"/>
    <mergeCell ref="F489:H489"/>
    <mergeCell ref="F448:H448"/>
    <mergeCell ref="F449:H449"/>
    <mergeCell ref="F450:H450"/>
    <mergeCell ref="F451:H451"/>
    <mergeCell ref="F497:H497"/>
    <mergeCell ref="F498:H498"/>
    <mergeCell ref="F499:H499"/>
    <mergeCell ref="F500:H500"/>
    <mergeCell ref="F501:H501"/>
    <mergeCell ref="F490:H490"/>
    <mergeCell ref="F491:H491"/>
    <mergeCell ref="F492:H492"/>
    <mergeCell ref="F493:H493"/>
    <mergeCell ref="F494:H494"/>
    <mergeCell ref="F495:H495"/>
    <mergeCell ref="F452:H452"/>
    <mergeCell ref="F453:H453"/>
    <mergeCell ref="F379:H379"/>
    <mergeCell ref="F380:H380"/>
    <mergeCell ref="F381:H381"/>
    <mergeCell ref="F411:H411"/>
    <mergeCell ref="F304:H304"/>
    <mergeCell ref="F305:H305"/>
    <mergeCell ref="F434:H434"/>
    <mergeCell ref="F435:H435"/>
    <mergeCell ref="F419:H419"/>
    <mergeCell ref="F370:H370"/>
    <mergeCell ref="F430:H430"/>
    <mergeCell ref="F431:H431"/>
    <mergeCell ref="F371:H371"/>
    <mergeCell ref="F372:H372"/>
    <mergeCell ref="F373:H373"/>
    <mergeCell ref="F374:H374"/>
    <mergeCell ref="F375:H375"/>
    <mergeCell ref="F418:H418"/>
    <mergeCell ref="F428:H428"/>
    <mergeCell ref="F429:H429"/>
    <mergeCell ref="F308:H308"/>
    <mergeCell ref="F296:H296"/>
    <mergeCell ref="F297:H297"/>
    <mergeCell ref="F359:H359"/>
    <mergeCell ref="F360:H360"/>
    <mergeCell ref="F361:H361"/>
    <mergeCell ref="F362:H362"/>
    <mergeCell ref="F363:H363"/>
    <mergeCell ref="F364:H364"/>
    <mergeCell ref="F353:H353"/>
    <mergeCell ref="F354:H354"/>
    <mergeCell ref="F355:H355"/>
    <mergeCell ref="F356:H356"/>
    <mergeCell ref="F357:H357"/>
    <mergeCell ref="F358:H358"/>
    <mergeCell ref="F346:H346"/>
    <mergeCell ref="F327:H327"/>
    <mergeCell ref="F328:H328"/>
    <mergeCell ref="F329:H329"/>
    <mergeCell ref="F330:H330"/>
    <mergeCell ref="F306:H306"/>
    <mergeCell ref="F307:H307"/>
    <mergeCell ref="F299:H299"/>
    <mergeCell ref="F300:H300"/>
    <mergeCell ref="F301:H301"/>
    <mergeCell ref="F302:H302"/>
    <mergeCell ref="F303:H303"/>
    <mergeCell ref="F292:H292"/>
    <mergeCell ref="F293:H293"/>
    <mergeCell ref="F247:H247"/>
    <mergeCell ref="F248:H248"/>
    <mergeCell ref="F249:H249"/>
    <mergeCell ref="F295:H295"/>
    <mergeCell ref="F212:H212"/>
    <mergeCell ref="P213:R213"/>
    <mergeCell ref="F213:H213"/>
    <mergeCell ref="F214:H214"/>
    <mergeCell ref="F286:H286"/>
    <mergeCell ref="F287:H287"/>
    <mergeCell ref="F288:H288"/>
    <mergeCell ref="F289:H289"/>
    <mergeCell ref="F290:H290"/>
    <mergeCell ref="P249:R249"/>
    <mergeCell ref="F291:H291"/>
    <mergeCell ref="F275:H275"/>
    <mergeCell ref="F276:H276"/>
    <mergeCell ref="F277:H277"/>
    <mergeCell ref="F278:H278"/>
    <mergeCell ref="F279:H279"/>
    <mergeCell ref="F280:H280"/>
    <mergeCell ref="L202:L273"/>
    <mergeCell ref="F257:H257"/>
    <mergeCell ref="F258:H258"/>
    <mergeCell ref="F259:H259"/>
    <mergeCell ref="F260:H260"/>
    <mergeCell ref="F261:H261"/>
    <mergeCell ref="F262:H262"/>
    <mergeCell ref="F263:H263"/>
    <mergeCell ref="F204:H204"/>
    <mergeCell ref="F205:H205"/>
    <mergeCell ref="F281:H281"/>
    <mergeCell ref="F207:H207"/>
    <mergeCell ref="F208:H208"/>
    <mergeCell ref="F209:H209"/>
    <mergeCell ref="F274:H274"/>
    <mergeCell ref="F284:H284"/>
    <mergeCell ref="F285:H285"/>
    <mergeCell ref="F227:H227"/>
    <mergeCell ref="F228:H228"/>
    <mergeCell ref="F229:H229"/>
    <mergeCell ref="F230:H230"/>
    <mergeCell ref="F231:H231"/>
    <mergeCell ref="F232:H232"/>
    <mergeCell ref="F221:H221"/>
    <mergeCell ref="F222:H222"/>
    <mergeCell ref="F223:H223"/>
    <mergeCell ref="F224:H224"/>
    <mergeCell ref="F225:H225"/>
    <mergeCell ref="F226:H226"/>
    <mergeCell ref="F269:H269"/>
    <mergeCell ref="F270:H270"/>
    <mergeCell ref="F271:H271"/>
    <mergeCell ref="F240:H240"/>
    <mergeCell ref="F241:H241"/>
    <mergeCell ref="F242:H242"/>
    <mergeCell ref="F243:H243"/>
    <mergeCell ref="F244:H244"/>
    <mergeCell ref="F245:H245"/>
    <mergeCell ref="F246:H246"/>
    <mergeCell ref="F264:H264"/>
    <mergeCell ref="F265:H265"/>
    <mergeCell ref="F106:H106"/>
    <mergeCell ref="F215:H215"/>
    <mergeCell ref="F216:H216"/>
    <mergeCell ref="F217:H217"/>
    <mergeCell ref="F218:H218"/>
    <mergeCell ref="F219:H219"/>
    <mergeCell ref="F220:H220"/>
    <mergeCell ref="F210:H210"/>
    <mergeCell ref="F211:H211"/>
    <mergeCell ref="D100:D111"/>
    <mergeCell ref="E100:E111"/>
    <mergeCell ref="F100:H100"/>
    <mergeCell ref="F294:H294"/>
    <mergeCell ref="F250:H250"/>
    <mergeCell ref="F251:H251"/>
    <mergeCell ref="F252:H252"/>
    <mergeCell ref="F253:H253"/>
    <mergeCell ref="F254:H254"/>
    <mergeCell ref="F255:H255"/>
    <mergeCell ref="F256:H256"/>
    <mergeCell ref="F282:H282"/>
    <mergeCell ref="F283:H283"/>
    <mergeCell ref="F233:H233"/>
    <mergeCell ref="F234:H234"/>
    <mergeCell ref="F235:H235"/>
    <mergeCell ref="F236:H236"/>
    <mergeCell ref="F237:H237"/>
    <mergeCell ref="F272:H272"/>
    <mergeCell ref="F273:H273"/>
    <mergeCell ref="F238:H238"/>
    <mergeCell ref="F268:H268"/>
    <mergeCell ref="F206:H206"/>
    <mergeCell ref="P200:R200"/>
    <mergeCell ref="F82:H82"/>
    <mergeCell ref="F83:H83"/>
    <mergeCell ref="F84:H84"/>
    <mergeCell ref="F85:H85"/>
    <mergeCell ref="F86:H86"/>
    <mergeCell ref="F201:H201"/>
    <mergeCell ref="T201:T204"/>
    <mergeCell ref="F202:H202"/>
    <mergeCell ref="F203:H203"/>
    <mergeCell ref="F107:H107"/>
    <mergeCell ref="F108:H108"/>
    <mergeCell ref="F109:H109"/>
    <mergeCell ref="F110:H110"/>
    <mergeCell ref="F111:H111"/>
    <mergeCell ref="B114:Q114"/>
    <mergeCell ref="V100:V111"/>
    <mergeCell ref="F101:H101"/>
    <mergeCell ref="O101:P101"/>
    <mergeCell ref="F102:H102"/>
    <mergeCell ref="O102:P102"/>
    <mergeCell ref="F103:H103"/>
    <mergeCell ref="O103:P103"/>
    <mergeCell ref="F104:H104"/>
    <mergeCell ref="O104:P104"/>
    <mergeCell ref="F105:H105"/>
    <mergeCell ref="D202:D273"/>
    <mergeCell ref="E202:E273"/>
    <mergeCell ref="F266:H266"/>
    <mergeCell ref="F267:H267"/>
    <mergeCell ref="F239:H239"/>
    <mergeCell ref="O100:Q100"/>
    <mergeCell ref="E75:E86"/>
    <mergeCell ref="F75:H75"/>
    <mergeCell ref="V75:V86"/>
    <mergeCell ref="F76:H76"/>
    <mergeCell ref="F77:H77"/>
    <mergeCell ref="F78:H78"/>
    <mergeCell ref="F79:H79"/>
    <mergeCell ref="F80:H80"/>
    <mergeCell ref="F81:H81"/>
    <mergeCell ref="O96:P96"/>
    <mergeCell ref="F97:H97"/>
    <mergeCell ref="O97:P97"/>
    <mergeCell ref="F98:H98"/>
    <mergeCell ref="F99:H99"/>
    <mergeCell ref="V88:V99"/>
    <mergeCell ref="F89:H89"/>
    <mergeCell ref="F90:H90"/>
    <mergeCell ref="F91:H91"/>
    <mergeCell ref="F92:H92"/>
    <mergeCell ref="F93:H93"/>
    <mergeCell ref="F94:H94"/>
    <mergeCell ref="O94:R94"/>
    <mergeCell ref="F95:H95"/>
    <mergeCell ref="F96:H96"/>
    <mergeCell ref="F87:H87"/>
    <mergeCell ref="V114:AH114"/>
    <mergeCell ref="F40:H40"/>
    <mergeCell ref="V40:V51"/>
    <mergeCell ref="F41:H41"/>
    <mergeCell ref="F42:H42"/>
    <mergeCell ref="F43:H43"/>
    <mergeCell ref="F44:H44"/>
    <mergeCell ref="F45:H45"/>
    <mergeCell ref="F46:H46"/>
    <mergeCell ref="D72:D73"/>
    <mergeCell ref="E72:E73"/>
    <mergeCell ref="F72:H72"/>
    <mergeCell ref="V72:V73"/>
    <mergeCell ref="F73:H73"/>
    <mergeCell ref="F74:H74"/>
    <mergeCell ref="F66:H66"/>
    <mergeCell ref="F67:H67"/>
    <mergeCell ref="F68:H68"/>
    <mergeCell ref="F69:H69"/>
    <mergeCell ref="F70:H70"/>
    <mergeCell ref="J70:J71"/>
    <mergeCell ref="F71:H71"/>
    <mergeCell ref="F60:H60"/>
    <mergeCell ref="F61:H61"/>
    <mergeCell ref="F62:H62"/>
    <mergeCell ref="F63:H63"/>
    <mergeCell ref="F64:H64"/>
    <mergeCell ref="F65:H65"/>
    <mergeCell ref="D88:D99"/>
    <mergeCell ref="E88:E99"/>
    <mergeCell ref="F88:H88"/>
    <mergeCell ref="D75:D86"/>
    <mergeCell ref="V274:V345"/>
    <mergeCell ref="V202:V273"/>
    <mergeCell ref="V346:V417"/>
    <mergeCell ref="V418:V489"/>
    <mergeCell ref="V490:V561"/>
    <mergeCell ref="V562:V633"/>
    <mergeCell ref="V635:V706"/>
    <mergeCell ref="V707:V778"/>
    <mergeCell ref="A1:O1"/>
    <mergeCell ref="P1:R1"/>
    <mergeCell ref="D2:J2"/>
    <mergeCell ref="B4:Q4"/>
    <mergeCell ref="V4:AH4"/>
    <mergeCell ref="F39:H39"/>
    <mergeCell ref="F53:H53"/>
    <mergeCell ref="F54:H54"/>
    <mergeCell ref="D55:D66"/>
    <mergeCell ref="E55:E66"/>
    <mergeCell ref="F55:H55"/>
    <mergeCell ref="V55:V66"/>
    <mergeCell ref="F56:H56"/>
    <mergeCell ref="F57:H57"/>
    <mergeCell ref="F58:H58"/>
    <mergeCell ref="F59:H59"/>
    <mergeCell ref="F47:H47"/>
    <mergeCell ref="F48:H48"/>
    <mergeCell ref="F49:H49"/>
    <mergeCell ref="F50:H50"/>
    <mergeCell ref="F51:H51"/>
    <mergeCell ref="F52:H52"/>
    <mergeCell ref="D40:D51"/>
    <mergeCell ref="E40:E51"/>
  </mergeCells>
  <conditionalFormatting sqref="AH7:AH18 AH1406:AH1659 AH803:AI804 AH806:AI806 AH809:AI810 AH813:AI814 AH819:AI822 AH831:AI834 AH825:AI826">
    <cfRule type="cellIs" dxfId="345" priority="43" operator="lessThan">
      <formula>-0.1</formula>
    </cfRule>
    <cfRule type="cellIs" dxfId="344" priority="44" operator="greaterThan">
      <formula>0.1</formula>
    </cfRule>
  </conditionalFormatting>
  <conditionalFormatting sqref="AH118:AH152">
    <cfRule type="cellIs" dxfId="343" priority="41" operator="lessThan">
      <formula>-0.1</formula>
    </cfRule>
    <cfRule type="cellIs" dxfId="342" priority="42" operator="greaterThan">
      <formula>0.1</formula>
    </cfRule>
  </conditionalFormatting>
  <conditionalFormatting sqref="AH784:AI802 AH805:AI805 AH807:AI808 AH811:AI812 AH815:AI818 AH823:AI824 AH827:AI830">
    <cfRule type="cellIs" dxfId="341" priority="39" operator="lessThan">
      <formula>-0.1</formula>
    </cfRule>
    <cfRule type="cellIs" dxfId="340" priority="40" operator="greaterThan">
      <formula>0.1</formula>
    </cfRule>
  </conditionalFormatting>
  <conditionalFormatting sqref="AH1295:AI1306">
    <cfRule type="cellIs" dxfId="339" priority="37" operator="lessThan">
      <formula>-0.1</formula>
    </cfRule>
    <cfRule type="cellIs" dxfId="338" priority="38" operator="greaterThan">
      <formula>0.1</formula>
    </cfRule>
  </conditionalFormatting>
  <conditionalFormatting sqref="AH153">
    <cfRule type="cellIs" dxfId="337" priority="35" operator="lessThan">
      <formula>-0.1</formula>
    </cfRule>
    <cfRule type="cellIs" dxfId="336" priority="36" operator="greaterThan">
      <formula>0.1</formula>
    </cfRule>
  </conditionalFormatting>
  <conditionalFormatting sqref="B1662:B2833 B274:B309 B346:B381 B418:B453 B490:B525 B562:B597 B635:B670 B707:B742 B190:B237 B779:B1659 B2835:B1048576 B1:B153">
    <cfRule type="cellIs" dxfId="335" priority="34" operator="equal">
      <formula>"x"</formula>
    </cfRule>
  </conditionalFormatting>
  <conditionalFormatting sqref="AH1660:AH1661">
    <cfRule type="cellIs" dxfId="334" priority="32" operator="lessThan">
      <formula>-0.1</formula>
    </cfRule>
    <cfRule type="cellIs" dxfId="333" priority="33" operator="greaterThan">
      <formula>0.1</formula>
    </cfRule>
  </conditionalFormatting>
  <conditionalFormatting sqref="B1660:B1661">
    <cfRule type="cellIs" dxfId="332" priority="31" operator="equal">
      <formula>"x"</formula>
    </cfRule>
  </conditionalFormatting>
  <conditionalFormatting sqref="Y1938:Y2065">
    <cfRule type="cellIs" dxfId="331" priority="30" operator="equal">
      <formula>5.44</formula>
    </cfRule>
  </conditionalFormatting>
  <conditionalFormatting sqref="B238:B273">
    <cfRule type="cellIs" dxfId="330" priority="16" operator="equal">
      <formula>"x"</formula>
    </cfRule>
  </conditionalFormatting>
  <conditionalFormatting sqref="B310:B345">
    <cfRule type="cellIs" dxfId="329" priority="15" operator="equal">
      <formula>"x"</formula>
    </cfRule>
  </conditionalFormatting>
  <conditionalFormatting sqref="B382:B417">
    <cfRule type="cellIs" dxfId="328" priority="14" operator="equal">
      <formula>"x"</formula>
    </cfRule>
  </conditionalFormatting>
  <conditionalFormatting sqref="B454:B489">
    <cfRule type="cellIs" dxfId="327" priority="13" operator="equal">
      <formula>"x"</formula>
    </cfRule>
  </conditionalFormatting>
  <conditionalFormatting sqref="B526:B561">
    <cfRule type="cellIs" dxfId="326" priority="12" operator="equal">
      <formula>"x"</formula>
    </cfRule>
  </conditionalFormatting>
  <conditionalFormatting sqref="B598:B634">
    <cfRule type="cellIs" dxfId="325" priority="11" operator="equal">
      <formula>"x"</formula>
    </cfRule>
  </conditionalFormatting>
  <conditionalFormatting sqref="B671:B706">
    <cfRule type="cellIs" dxfId="324" priority="10" operator="equal">
      <formula>"x"</formula>
    </cfRule>
  </conditionalFormatting>
  <conditionalFormatting sqref="B743:B778">
    <cfRule type="cellIs" dxfId="323" priority="9" operator="equal">
      <formula>"x"</formula>
    </cfRule>
  </conditionalFormatting>
  <conditionalFormatting sqref="AH154:AH188">
    <cfRule type="cellIs" dxfId="322" priority="7" operator="lessThan">
      <formula>-0.1</formula>
    </cfRule>
    <cfRule type="cellIs" dxfId="321" priority="8" operator="greaterThan">
      <formula>0.1</formula>
    </cfRule>
  </conditionalFormatting>
  <conditionalFormatting sqref="AH189">
    <cfRule type="cellIs" dxfId="320" priority="5" operator="lessThan">
      <formula>-0.1</formula>
    </cfRule>
    <cfRule type="cellIs" dxfId="319" priority="6" operator="greaterThan">
      <formula>0.1</formula>
    </cfRule>
  </conditionalFormatting>
  <conditionalFormatting sqref="B154:B189">
    <cfRule type="cellIs" dxfId="318" priority="4" operator="equal">
      <formula>"x"</formula>
    </cfRule>
  </conditionalFormatting>
  <conditionalFormatting sqref="Z1938:AA2065">
    <cfRule type="cellIs" dxfId="317" priority="3" operator="equal">
      <formula>5.44</formula>
    </cfRule>
  </conditionalFormatting>
  <conditionalFormatting sqref="AA1375">
    <cfRule type="cellIs" dxfId="316" priority="2" operator="notEqual">
      <formula>Z1375</formula>
    </cfRule>
  </conditionalFormatting>
  <conditionalFormatting sqref="B2834">
    <cfRule type="cellIs" dxfId="315" priority="1" operator="equal">
      <formula>"x"</formula>
    </cfRule>
  </conditionalFormatting>
  <hyperlinks>
    <hyperlink ref="R102" r:id="rId1"/>
  </hyperlinks>
  <pageMargins left="0.7" right="0.7" top="0.75" bottom="0.75" header="0.3" footer="0.3"/>
  <pageSetup scale="14" fitToHeight="0" orientation="landscape" r:id="rId2"/>
  <rowBreaks count="3" manualBreakCount="3">
    <brk id="780" max="36" man="1"/>
    <brk id="1401" max="36" man="1"/>
    <brk id="3175"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83"/>
  <sheetViews>
    <sheetView zoomScale="70" zoomScaleNormal="70" workbookViewId="0">
      <selection sqref="A1:O1"/>
    </sheetView>
  </sheetViews>
  <sheetFormatPr defaultColWidth="9.140625" defaultRowHeight="15" outlineLevelRow="1" x14ac:dyDescent="0.25"/>
  <cols>
    <col min="1" max="1" width="4.28515625" style="298" customWidth="1"/>
    <col min="2" max="2" width="9.140625" style="298"/>
    <col min="3" max="3" width="24" style="1007" bestFit="1" customWidth="1"/>
    <col min="4" max="4" width="24" style="296" customWidth="1"/>
    <col min="5" max="5" width="84.7109375" style="296" customWidth="1"/>
    <col min="6" max="6" width="61.7109375" style="298" bestFit="1" customWidth="1"/>
    <col min="7" max="7" width="41.42578125" style="298" customWidth="1"/>
    <col min="8" max="8" width="27.42578125" style="298" customWidth="1"/>
    <col min="9" max="9" width="26.28515625" style="298" customWidth="1"/>
    <col min="10" max="10" width="17.140625" style="298" customWidth="1"/>
    <col min="11" max="11" width="12.28515625" style="298" customWidth="1"/>
    <col min="12" max="12" width="19.85546875" style="298" customWidth="1"/>
    <col min="13" max="13" width="21.28515625" style="298" customWidth="1"/>
    <col min="14" max="14" width="13.7109375" style="298" customWidth="1"/>
    <col min="15" max="15" width="11" style="298" customWidth="1"/>
    <col min="16" max="16" width="13.7109375" style="298" customWidth="1"/>
    <col min="17" max="17" width="9.42578125" style="298" customWidth="1"/>
    <col min="18" max="18" width="17.42578125" style="298" customWidth="1"/>
    <col min="19" max="19" width="9.28515625" style="298" customWidth="1"/>
    <col min="20" max="20" width="9.140625" style="298" customWidth="1"/>
    <col min="21" max="21" width="22.85546875" style="298" customWidth="1"/>
    <col min="22" max="22" width="49.42578125" style="273" customWidth="1"/>
    <col min="23" max="23" width="13.5703125" style="273" customWidth="1"/>
    <col min="24" max="24" width="17" style="273" customWidth="1"/>
    <col min="25" max="25" width="19.5703125" style="692" customWidth="1"/>
    <col min="26" max="26" width="15.85546875" style="273" bestFit="1" customWidth="1"/>
    <col min="27" max="27" width="13.42578125" style="273" customWidth="1"/>
    <col min="28" max="28" width="18" style="273" bestFit="1" customWidth="1"/>
    <col min="29" max="33" width="13.42578125" style="273" customWidth="1"/>
    <col min="34" max="34" width="9.140625" style="273" customWidth="1"/>
    <col min="35" max="35" width="13.5703125" style="273" customWidth="1"/>
    <col min="36" max="36" width="19.42578125" style="273" customWidth="1"/>
    <col min="37" max="41" width="17.7109375" style="273" bestFit="1" customWidth="1"/>
    <col min="42" max="45" width="13.5703125" style="273" customWidth="1"/>
    <col min="46" max="46" width="9.140625" style="273" customWidth="1"/>
    <col min="47" max="47" width="16.140625" style="273" bestFit="1" customWidth="1"/>
    <col min="48" max="48" width="16.7109375" style="273" bestFit="1" customWidth="1"/>
    <col min="49" max="53" width="9.140625" style="273" customWidth="1"/>
    <col min="54" max="54" width="15" style="975" customWidth="1"/>
    <col min="55" max="55" width="30.28515625" style="273" customWidth="1"/>
    <col min="56" max="56" width="16.5703125" style="273" customWidth="1"/>
    <col min="57" max="57" width="16.5703125" style="273" bestFit="1" customWidth="1"/>
    <col min="58" max="58" width="9.140625" style="273"/>
    <col min="59" max="59" width="14.42578125" style="273" bestFit="1" customWidth="1"/>
    <col min="60" max="61" width="16.7109375" style="273" bestFit="1" customWidth="1"/>
    <col min="62" max="62" width="15.42578125" style="273" bestFit="1" customWidth="1"/>
    <col min="63" max="63" width="14.42578125" style="273" bestFit="1" customWidth="1"/>
    <col min="64" max="64" width="16.85546875" style="273" bestFit="1" customWidth="1"/>
    <col min="65" max="69" width="14.42578125" style="273" bestFit="1" customWidth="1"/>
    <col min="70" max="16384" width="9.140625" style="273"/>
  </cols>
  <sheetData>
    <row r="1" spans="1:57" s="26" customFormat="1" ht="18.75" x14ac:dyDescent="0.3">
      <c r="A1" s="3343" t="s">
        <v>1511</v>
      </c>
      <c r="B1" s="3535"/>
      <c r="C1" s="3535"/>
      <c r="D1" s="3535"/>
      <c r="E1" s="3535"/>
      <c r="F1" s="3535"/>
      <c r="G1" s="3535"/>
      <c r="H1" s="3535"/>
      <c r="I1" s="3535"/>
      <c r="J1" s="3535"/>
      <c r="K1" s="3535"/>
      <c r="L1" s="3535"/>
      <c r="M1" s="3535"/>
      <c r="N1" s="3535"/>
      <c r="O1" s="3535"/>
      <c r="P1" s="3345"/>
      <c r="Q1" s="3592"/>
      <c r="R1" s="3592"/>
      <c r="S1" s="1628"/>
      <c r="T1" s="1470"/>
      <c r="U1" s="1470"/>
      <c r="V1" s="33"/>
      <c r="W1" s="34"/>
      <c r="X1" s="34"/>
      <c r="Y1" s="971"/>
      <c r="Z1" s="35"/>
      <c r="AA1" s="35"/>
      <c r="AB1" s="35"/>
      <c r="AC1" s="35"/>
      <c r="AD1" s="35"/>
      <c r="AE1" s="35"/>
      <c r="AF1" s="35"/>
      <c r="AG1" s="35"/>
      <c r="AH1" s="35"/>
      <c r="BB1" s="27"/>
    </row>
    <row r="2" spans="1:57" s="26" customFormat="1" ht="30" customHeight="1" outlineLevel="1" x14ac:dyDescent="0.35">
      <c r="A2" s="1470"/>
      <c r="B2" s="1472"/>
      <c r="C2" s="190"/>
      <c r="D2" s="3347" t="s">
        <v>3212</v>
      </c>
      <c r="E2" s="3348"/>
      <c r="F2" s="3349"/>
      <c r="G2" s="3349"/>
      <c r="H2" s="3349"/>
      <c r="I2" s="3349"/>
      <c r="J2" s="3349"/>
      <c r="K2" s="972"/>
      <c r="L2" s="972"/>
      <c r="M2" s="1470"/>
      <c r="N2" s="1470"/>
      <c r="O2" s="1470"/>
      <c r="P2" s="1470"/>
      <c r="Q2" s="1470"/>
      <c r="R2" s="1470"/>
      <c r="S2" s="1470"/>
      <c r="T2" s="1470"/>
      <c r="U2" s="1470"/>
      <c r="Y2" s="91"/>
      <c r="BB2" s="27"/>
    </row>
    <row r="3" spans="1:57" s="29" customFormat="1" ht="33.75" customHeight="1" x14ac:dyDescent="0.25">
      <c r="A3" s="973"/>
      <c r="B3" s="973"/>
      <c r="C3" s="191"/>
      <c r="D3" s="192"/>
      <c r="E3" s="192"/>
      <c r="F3" s="191"/>
      <c r="G3" s="191"/>
      <c r="H3" s="191"/>
      <c r="I3" s="191"/>
      <c r="J3" s="191"/>
      <c r="K3" s="973"/>
      <c r="L3" s="973"/>
      <c r="M3" s="973"/>
      <c r="N3" s="973"/>
      <c r="O3" s="973"/>
      <c r="P3" s="973"/>
      <c r="Q3" s="973"/>
      <c r="R3" s="973"/>
      <c r="S3" s="973"/>
      <c r="T3" s="973"/>
      <c r="U3" s="973"/>
      <c r="Y3" s="974"/>
      <c r="BB3" s="30"/>
    </row>
    <row r="4" spans="1:57" x14ac:dyDescent="0.25">
      <c r="B4" s="3820" t="s">
        <v>1512</v>
      </c>
      <c r="C4" s="3820"/>
      <c r="D4" s="3820"/>
      <c r="E4" s="3820"/>
      <c r="F4" s="3820"/>
      <c r="G4" s="3820"/>
      <c r="H4" s="3820"/>
      <c r="I4" s="3820"/>
      <c r="J4" s="3820"/>
      <c r="K4" s="3820"/>
      <c r="L4" s="3820"/>
      <c r="M4" s="3820"/>
      <c r="N4" s="3469"/>
      <c r="O4" s="3469"/>
      <c r="P4" s="3469"/>
      <c r="Q4" s="3469"/>
      <c r="R4" s="3469"/>
      <c r="V4" s="3350" t="str">
        <f>B4</f>
        <v>AC Tune-up</v>
      </c>
      <c r="W4" s="3351"/>
      <c r="X4" s="3351"/>
      <c r="Y4" s="3351"/>
      <c r="Z4" s="3351"/>
      <c r="AA4" s="3351"/>
      <c r="AB4" s="3351"/>
      <c r="AC4" s="3354"/>
      <c r="AD4" s="3354"/>
      <c r="AE4" s="3354"/>
      <c r="AF4" s="3354"/>
      <c r="AG4" s="3354"/>
      <c r="AH4" s="3354"/>
      <c r="AI4" s="3355"/>
    </row>
    <row r="5" spans="1:57" x14ac:dyDescent="0.25">
      <c r="B5" s="1359"/>
      <c r="C5" s="274"/>
      <c r="D5" s="386" t="s">
        <v>1513</v>
      </c>
      <c r="E5" s="482"/>
      <c r="F5" s="275"/>
      <c r="G5" s="275"/>
      <c r="H5" s="275"/>
      <c r="I5" s="275"/>
      <c r="J5" s="275"/>
      <c r="K5" s="275"/>
      <c r="L5" s="1635"/>
    </row>
    <row r="6" spans="1:57" ht="30" x14ac:dyDescent="0.25">
      <c r="B6" s="1359"/>
      <c r="C6" s="1409" t="s">
        <v>17</v>
      </c>
      <c r="D6" s="1409" t="s">
        <v>616</v>
      </c>
      <c r="E6" s="1409" t="s">
        <v>19</v>
      </c>
      <c r="F6" s="1409" t="s">
        <v>20</v>
      </c>
      <c r="G6" s="1409" t="s">
        <v>21</v>
      </c>
      <c r="H6" s="1409" t="s">
        <v>22</v>
      </c>
      <c r="I6" s="1409" t="s">
        <v>23</v>
      </c>
      <c r="J6" s="1413" t="s">
        <v>24</v>
      </c>
      <c r="K6" s="1409" t="s">
        <v>25</v>
      </c>
      <c r="L6" s="1409" t="s">
        <v>26</v>
      </c>
      <c r="V6" s="55" t="s">
        <v>27</v>
      </c>
      <c r="W6" s="56">
        <v>43252</v>
      </c>
      <c r="X6" s="56">
        <v>43465</v>
      </c>
      <c r="Y6" s="420">
        <v>43800</v>
      </c>
      <c r="Z6" s="56">
        <v>43862</v>
      </c>
      <c r="AA6" s="56">
        <v>44013</v>
      </c>
      <c r="AB6" s="56">
        <v>44166</v>
      </c>
      <c r="AC6" s="56" t="s">
        <v>28</v>
      </c>
      <c r="AD6" s="56" t="s">
        <v>28</v>
      </c>
      <c r="AE6" s="56" t="s">
        <v>28</v>
      </c>
      <c r="AF6" s="56" t="s">
        <v>28</v>
      </c>
      <c r="AG6" s="56" t="s">
        <v>28</v>
      </c>
      <c r="BB6" s="57" t="s">
        <v>29</v>
      </c>
      <c r="BC6" s="58" t="s">
        <v>30</v>
      </c>
      <c r="BD6" s="650" t="s">
        <v>31</v>
      </c>
      <c r="BE6" s="59" t="s">
        <v>32</v>
      </c>
    </row>
    <row r="7" spans="1:57" s="976" customFormat="1" x14ac:dyDescent="0.25">
      <c r="A7" s="298"/>
      <c r="B7" s="1359"/>
      <c r="C7" s="1323" t="s">
        <v>1514</v>
      </c>
      <c r="D7" s="1756" t="s">
        <v>1515</v>
      </c>
      <c r="E7" s="252" t="s">
        <v>1516</v>
      </c>
      <c r="F7" s="1818">
        <f>ROUND(($G$25*$G$27*(1/$G$29-1/$G$33)/$G$37),2)</f>
        <v>142.51</v>
      </c>
      <c r="G7" s="1756" t="s">
        <v>690</v>
      </c>
      <c r="H7" s="202">
        <f>VLOOKUP(G7,'CP FACTORS'!$A$3:$B$38, 2, FALSE)</f>
        <v>9.4741810000000004E-4</v>
      </c>
      <c r="I7" s="1733">
        <f>ROUND(F7*H7,6)</f>
        <v>0.135017</v>
      </c>
      <c r="J7" s="978">
        <f t="shared" ref="J7:J18" si="0">$G$38</f>
        <v>2</v>
      </c>
      <c r="K7" s="979">
        <f>G39</f>
        <v>70</v>
      </c>
      <c r="L7" s="253" t="s">
        <v>37</v>
      </c>
      <c r="M7" s="298"/>
      <c r="N7" s="298"/>
      <c r="O7" s="298"/>
      <c r="P7" s="278"/>
      <c r="Q7" s="278"/>
      <c r="R7" s="1627"/>
      <c r="S7" s="298"/>
      <c r="T7" s="298"/>
      <c r="U7" s="298"/>
      <c r="V7" s="208" t="str">
        <f>F6</f>
        <v>kWh Annual Savings</v>
      </c>
      <c r="W7" s="209">
        <v>142.50980392156862</v>
      </c>
      <c r="X7" s="980">
        <v>142.50980392156862</v>
      </c>
      <c r="Y7" s="981">
        <v>142.51</v>
      </c>
      <c r="Z7" s="981">
        <v>142.51</v>
      </c>
      <c r="AA7" s="981">
        <v>142.51</v>
      </c>
      <c r="AB7" s="981">
        <v>142.51</v>
      </c>
      <c r="AC7" s="208"/>
      <c r="AD7" s="208"/>
      <c r="AE7" s="208"/>
      <c r="AF7" s="208"/>
      <c r="AG7" s="208"/>
      <c r="AK7" s="982"/>
      <c r="BB7" s="67">
        <f>(BD7)/(BE7)</f>
        <v>0.36910615743656439</v>
      </c>
      <c r="BC7" s="68" t="str">
        <f t="shared" ref="BC7:BC18" si="1">CONCATENATE(G7," ",J7," Year EUL")</f>
        <v>Cooling RES 2 Year EUL</v>
      </c>
      <c r="BD7" s="145">
        <f>(INDEX('Avoided Cost Benefits'!$C$4:$C$857,MATCH(BC7,'Avoided Cost Benefits'!$A$4:$A$857,0)))*F7</f>
        <v>24.386437961830584</v>
      </c>
      <c r="BE7" s="69">
        <f>K7/(1.0595^(2020-2019))</f>
        <v>66.068900424728639</v>
      </c>
    </row>
    <row r="8" spans="1:57" s="976" customFormat="1" x14ac:dyDescent="0.25">
      <c r="A8" s="298"/>
      <c r="B8" s="1359"/>
      <c r="C8" s="1323" t="s">
        <v>1517</v>
      </c>
      <c r="D8" s="1756" t="s">
        <v>1518</v>
      </c>
      <c r="E8" s="252" t="s">
        <v>1519</v>
      </c>
      <c r="F8" s="1818">
        <f>ROUND(($G$25*$G$28*(1/$G$29-1/$G$33)/$G$37),2)</f>
        <v>92.63</v>
      </c>
      <c r="G8" s="1756" t="s">
        <v>690</v>
      </c>
      <c r="H8" s="202">
        <f>VLOOKUP(G8,'CP FACTORS'!$A$3:$B$38, 2, FALSE)</f>
        <v>9.4741810000000004E-4</v>
      </c>
      <c r="I8" s="1733">
        <f t="shared" ref="I8:I18" si="2">ROUND(F8*H8,6)</f>
        <v>8.7759000000000004E-2</v>
      </c>
      <c r="J8" s="978">
        <f t="shared" si="0"/>
        <v>2</v>
      </c>
      <c r="K8" s="979">
        <f>G40</f>
        <v>70</v>
      </c>
      <c r="L8" s="253" t="s">
        <v>37</v>
      </c>
      <c r="M8" s="298"/>
      <c r="N8" s="298"/>
      <c r="O8" s="298"/>
      <c r="P8" s="298"/>
      <c r="Q8" s="298"/>
      <c r="R8" s="1627"/>
      <c r="S8" s="298"/>
      <c r="T8" s="298"/>
      <c r="U8" s="298"/>
      <c r="V8" s="208" t="str">
        <f>V7</f>
        <v>kWh Annual Savings</v>
      </c>
      <c r="W8" s="209">
        <v>92.631372549019588</v>
      </c>
      <c r="X8" s="980">
        <v>92.631372549019588</v>
      </c>
      <c r="Y8" s="981">
        <v>92.63</v>
      </c>
      <c r="Z8" s="981">
        <v>92.63</v>
      </c>
      <c r="AA8" s="981">
        <v>92.63</v>
      </c>
      <c r="AB8" s="981">
        <v>92.63</v>
      </c>
      <c r="AC8" s="208"/>
      <c r="AD8" s="208"/>
      <c r="AE8" s="208"/>
      <c r="AF8" s="208"/>
      <c r="AG8" s="208"/>
      <c r="AK8" s="982"/>
      <c r="BB8" s="71">
        <f t="shared" ref="BB8:BB18" si="3">(BD8)/(BE8)</f>
        <v>0.23991511727842932</v>
      </c>
      <c r="BC8" s="72" t="str">
        <f t="shared" si="1"/>
        <v>Cooling RES 2 Year EUL</v>
      </c>
      <c r="BD8" s="148">
        <f>(INDEX('Avoided Cost Benefits'!$C$4:$C$857,MATCH(BC8,'Avoided Cost Benefits'!$A$4:$A$857,0)))*F8</f>
        <v>15.85092799385564</v>
      </c>
      <c r="BE8" s="73">
        <f t="shared" ref="BE8:BE18" si="4">K8/(1.0595^(2020-2019))</f>
        <v>66.068900424728639</v>
      </c>
    </row>
    <row r="9" spans="1:57" s="976" customFormat="1" x14ac:dyDescent="0.25">
      <c r="A9" s="298"/>
      <c r="B9" s="1359"/>
      <c r="C9" s="1323" t="s">
        <v>1520</v>
      </c>
      <c r="D9" s="1756" t="s">
        <v>1521</v>
      </c>
      <c r="E9" s="388" t="str">
        <f>CONCATENATE(E8,"_CompE")</f>
        <v>AC General Tune-Up (no charge or coil clean) MF_CompE</v>
      </c>
      <c r="F9" s="1818">
        <f>ROUND(($G$26*$G$28*(1/$G$29-1/$G$33)/$G$37),2)</f>
        <v>67.37</v>
      </c>
      <c r="G9" s="1756" t="s">
        <v>690</v>
      </c>
      <c r="H9" s="202">
        <f>VLOOKUP(G9,'CP FACTORS'!$A$3:$B$38, 2, FALSE)</f>
        <v>9.4741810000000004E-4</v>
      </c>
      <c r="I9" s="1733">
        <f t="shared" si="2"/>
        <v>6.3827999999999996E-2</v>
      </c>
      <c r="J9" s="978">
        <f t="shared" si="0"/>
        <v>2</v>
      </c>
      <c r="K9" s="979">
        <v>70</v>
      </c>
      <c r="L9" s="253" t="s">
        <v>37</v>
      </c>
      <c r="M9" s="298"/>
      <c r="N9" s="298"/>
      <c r="O9" s="298"/>
      <c r="P9" s="298"/>
      <c r="Q9" s="298"/>
      <c r="R9" s="1627"/>
      <c r="S9" s="298"/>
      <c r="T9" s="298"/>
      <c r="U9" s="298"/>
      <c r="V9" s="208"/>
      <c r="W9" s="209"/>
      <c r="X9" s="980"/>
      <c r="Y9" s="984">
        <v>67.37</v>
      </c>
      <c r="Z9" s="981">
        <v>67.37</v>
      </c>
      <c r="AA9" s="981">
        <v>67.37</v>
      </c>
      <c r="AB9" s="981">
        <v>67.37</v>
      </c>
      <c r="AC9" s="208"/>
      <c r="AD9" s="208"/>
      <c r="AE9" s="208"/>
      <c r="AF9" s="208"/>
      <c r="AG9" s="208"/>
      <c r="AK9" s="982"/>
      <c r="BB9" s="71">
        <f t="shared" si="3"/>
        <v>0.17449078539401688</v>
      </c>
      <c r="BC9" s="72" t="str">
        <f t="shared" si="1"/>
        <v>Cooling RES 2 Year EUL</v>
      </c>
      <c r="BD9" s="148">
        <f>(INDEX('Avoided Cost Benefits'!$C$4:$C$857,MATCH(BC9,'Avoided Cost Benefits'!$A$4:$A$857,0)))*F9</f>
        <v>11.528414325229996</v>
      </c>
      <c r="BE9" s="73">
        <f t="shared" si="4"/>
        <v>66.068900424728639</v>
      </c>
    </row>
    <row r="10" spans="1:57" s="976" customFormat="1" x14ac:dyDescent="0.25">
      <c r="A10" s="298"/>
      <c r="B10" s="1359"/>
      <c r="C10" s="1323" t="s">
        <v>1522</v>
      </c>
      <c r="D10" s="1756" t="s">
        <v>1515</v>
      </c>
      <c r="E10" s="252" t="s">
        <v>1523</v>
      </c>
      <c r="F10" s="1818">
        <f>ROUND(($G$25*$G$27*(1/$G$30-1/$G$34)/$G$37),2)</f>
        <v>594.39</v>
      </c>
      <c r="G10" s="1756" t="s">
        <v>690</v>
      </c>
      <c r="H10" s="202">
        <f>VLOOKUP(G10,'CP FACTORS'!$A$3:$B$38, 2, FALSE)</f>
        <v>9.4741810000000004E-4</v>
      </c>
      <c r="I10" s="1733">
        <f t="shared" si="2"/>
        <v>0.56313599999999997</v>
      </c>
      <c r="J10" s="978">
        <f t="shared" si="0"/>
        <v>2</v>
      </c>
      <c r="K10" s="979">
        <f>G41</f>
        <v>81</v>
      </c>
      <c r="L10" s="253" t="s">
        <v>37</v>
      </c>
      <c r="M10" s="298"/>
      <c r="N10" s="298"/>
      <c r="O10" s="298"/>
      <c r="P10" s="298"/>
      <c r="Q10" s="298"/>
      <c r="R10" s="1627"/>
      <c r="S10" s="298"/>
      <c r="T10" s="298"/>
      <c r="U10" s="298"/>
      <c r="V10" s="208" t="str">
        <f>V8</f>
        <v>kWh Annual Savings</v>
      </c>
      <c r="W10" s="209">
        <v>594.39336108275074</v>
      </c>
      <c r="X10" s="980">
        <v>594.39336108275074</v>
      </c>
      <c r="Y10" s="981">
        <v>594.39</v>
      </c>
      <c r="Z10" s="981">
        <v>594.39</v>
      </c>
      <c r="AA10" s="981">
        <v>594.39</v>
      </c>
      <c r="AB10" s="981">
        <v>594.39</v>
      </c>
      <c r="AC10" s="208"/>
      <c r="AD10" s="208"/>
      <c r="AE10" s="208"/>
      <c r="AF10" s="208"/>
      <c r="AG10" s="208"/>
      <c r="AK10" s="982"/>
      <c r="BB10" s="71">
        <f t="shared" si="3"/>
        <v>1.3304252094338942</v>
      </c>
      <c r="BC10" s="72" t="str">
        <f t="shared" si="1"/>
        <v>Cooling RES 2 Year EUL</v>
      </c>
      <c r="BD10" s="148">
        <f>(INDEX('Avoided Cost Benefits'!$C$4:$C$857,MATCH(BC10,'Avoided Cost Benefits'!$A$4:$A$857,0)))*F10</f>
        <v>101.71254550650819</v>
      </c>
      <c r="BE10" s="73">
        <f t="shared" si="4"/>
        <v>76.451156205757428</v>
      </c>
    </row>
    <row r="11" spans="1:57" s="976" customFormat="1" x14ac:dyDescent="0.25">
      <c r="A11" s="298"/>
      <c r="B11" s="1359"/>
      <c r="C11" s="1323" t="s">
        <v>1524</v>
      </c>
      <c r="D11" s="1756" t="s">
        <v>1518</v>
      </c>
      <c r="E11" s="252" t="s">
        <v>1525</v>
      </c>
      <c r="F11" s="1818">
        <f>ROUND(($G$25*$G$28*(1/$G$30-1/$G$34)/$G$37),2)</f>
        <v>386.36</v>
      </c>
      <c r="G11" s="1756" t="s">
        <v>690</v>
      </c>
      <c r="H11" s="202">
        <f>VLOOKUP(G11,'CP FACTORS'!$A$3:$B$38, 2, FALSE)</f>
        <v>9.4741810000000004E-4</v>
      </c>
      <c r="I11" s="1733">
        <f t="shared" si="2"/>
        <v>0.36604399999999998</v>
      </c>
      <c r="J11" s="978">
        <f t="shared" si="0"/>
        <v>2</v>
      </c>
      <c r="K11" s="979">
        <f>G42</f>
        <v>81</v>
      </c>
      <c r="L11" s="253" t="s">
        <v>37</v>
      </c>
      <c r="M11" s="298"/>
      <c r="N11" s="298"/>
      <c r="O11" s="298"/>
      <c r="P11" s="298"/>
      <c r="Q11" s="298"/>
      <c r="R11" s="1627"/>
      <c r="S11" s="298"/>
      <c r="T11" s="298"/>
      <c r="U11" s="298"/>
      <c r="V11" s="208" t="str">
        <f>V10</f>
        <v>kWh Annual Savings</v>
      </c>
      <c r="W11" s="209">
        <v>386.35568470378792</v>
      </c>
      <c r="X11" s="980">
        <v>386.35568470378792</v>
      </c>
      <c r="Y11" s="981">
        <v>386.36</v>
      </c>
      <c r="Z11" s="981">
        <v>386.36</v>
      </c>
      <c r="AA11" s="981">
        <v>386.36</v>
      </c>
      <c r="AB11" s="981">
        <v>386.36</v>
      </c>
      <c r="AC11" s="208"/>
      <c r="AD11" s="208"/>
      <c r="AE11" s="208"/>
      <c r="AF11" s="208"/>
      <c r="AG11" s="208"/>
      <c r="AK11" s="982"/>
      <c r="BB11" s="71">
        <f t="shared" si="3"/>
        <v>0.86479093510469462</v>
      </c>
      <c r="BC11" s="72" t="str">
        <f t="shared" si="1"/>
        <v>Cooling RES 2 Year EUL</v>
      </c>
      <c r="BD11" s="148">
        <f>(INDEX('Avoided Cost Benefits'!$C$4:$C$857,MATCH(BC11,'Avoided Cost Benefits'!$A$4:$A$857,0)))*F11</f>
        <v>66.114266865012041</v>
      </c>
      <c r="BE11" s="73">
        <f t="shared" si="4"/>
        <v>76.451156205757428</v>
      </c>
    </row>
    <row r="12" spans="1:57" s="976" customFormat="1" x14ac:dyDescent="0.25">
      <c r="A12" s="298"/>
      <c r="B12" s="1359"/>
      <c r="C12" s="1323" t="s">
        <v>1526</v>
      </c>
      <c r="D12" s="1756" t="s">
        <v>1521</v>
      </c>
      <c r="E12" s="388" t="str">
        <f>CONCATENATE(E11,"_CompE")</f>
        <v>AC Tune-up / Refrigerant charge MF_CompE</v>
      </c>
      <c r="F12" s="1818">
        <f>ROUND(($G$26*$G$28*(1/$G$30-1/$G$34)/$G$37),2)</f>
        <v>280.99</v>
      </c>
      <c r="G12" s="1756" t="s">
        <v>690</v>
      </c>
      <c r="H12" s="202">
        <f>VLOOKUP(G12,'CP FACTORS'!$A$3:$B$38, 2, FALSE)</f>
        <v>9.4741810000000004E-4</v>
      </c>
      <c r="I12" s="1733">
        <f t="shared" si="2"/>
        <v>0.26621499999999998</v>
      </c>
      <c r="J12" s="978">
        <f t="shared" si="0"/>
        <v>2</v>
      </c>
      <c r="K12" s="979">
        <v>81</v>
      </c>
      <c r="L12" s="253" t="s">
        <v>37</v>
      </c>
      <c r="M12" s="298"/>
      <c r="N12" s="298"/>
      <c r="O12" s="298"/>
      <c r="P12" s="298"/>
      <c r="Q12" s="298"/>
      <c r="R12" s="1627"/>
      <c r="S12" s="298"/>
      <c r="T12" s="298"/>
      <c r="U12" s="298"/>
      <c r="V12" s="208"/>
      <c r="W12" s="209"/>
      <c r="X12" s="980"/>
      <c r="Y12" s="984">
        <v>280.99</v>
      </c>
      <c r="Z12" s="981">
        <v>280.99</v>
      </c>
      <c r="AA12" s="981">
        <v>280.99</v>
      </c>
      <c r="AB12" s="981">
        <v>280.99</v>
      </c>
      <c r="AC12" s="208"/>
      <c r="AD12" s="208"/>
      <c r="AE12" s="208"/>
      <c r="AF12" s="208"/>
      <c r="AG12" s="208"/>
      <c r="AK12" s="982"/>
      <c r="BB12" s="71">
        <f t="shared" si="3"/>
        <v>0.62894089671567488</v>
      </c>
      <c r="BC12" s="72" t="str">
        <f t="shared" si="1"/>
        <v>Cooling RES 2 Year EUL</v>
      </c>
      <c r="BD12" s="148">
        <f>(INDEX('Avoided Cost Benefits'!$C$4:$C$857,MATCH(BC12,'Avoided Cost Benefits'!$A$4:$A$857,0)))*F12</f>
        <v>48.083258738999206</v>
      </c>
      <c r="BE12" s="73">
        <f t="shared" si="4"/>
        <v>76.451156205757428</v>
      </c>
    </row>
    <row r="13" spans="1:57" s="976" customFormat="1" x14ac:dyDescent="0.25">
      <c r="A13" s="298"/>
      <c r="B13" s="1359"/>
      <c r="C13" s="1323" t="s">
        <v>1527</v>
      </c>
      <c r="D13" s="1756" t="s">
        <v>1515</v>
      </c>
      <c r="E13" s="252" t="s">
        <v>1528</v>
      </c>
      <c r="F13" s="1818">
        <f>ROUND(($G$25*$G$27*(1/$G$31-1/$G$35)/$G$37),2)</f>
        <v>98.38</v>
      </c>
      <c r="G13" s="1756" t="s">
        <v>690</v>
      </c>
      <c r="H13" s="202">
        <f>VLOOKUP(G13,'CP FACTORS'!$A$3:$B$38, 2, FALSE)</f>
        <v>9.4741810000000004E-4</v>
      </c>
      <c r="I13" s="1733">
        <f t="shared" si="2"/>
        <v>9.3206999999999998E-2</v>
      </c>
      <c r="J13" s="978">
        <f t="shared" si="0"/>
        <v>2</v>
      </c>
      <c r="K13" s="979">
        <f>G43</f>
        <v>63</v>
      </c>
      <c r="L13" s="253" t="s">
        <v>37</v>
      </c>
      <c r="M13" s="298"/>
      <c r="N13" s="298"/>
      <c r="O13" s="298"/>
      <c r="P13" s="298"/>
      <c r="Q13" s="298"/>
      <c r="R13" s="1627"/>
      <c r="S13" s="298"/>
      <c r="T13" s="298"/>
      <c r="U13" s="298"/>
      <c r="V13" s="208" t="str">
        <f>V11</f>
        <v>kWh Annual Savings</v>
      </c>
      <c r="W13" s="209">
        <v>98.380013276987171</v>
      </c>
      <c r="X13" s="980">
        <v>98.380013276987171</v>
      </c>
      <c r="Y13" s="981">
        <v>98.38</v>
      </c>
      <c r="Z13" s="981">
        <v>98.38</v>
      </c>
      <c r="AA13" s="981">
        <v>98.38</v>
      </c>
      <c r="AB13" s="981">
        <v>98.38</v>
      </c>
      <c r="AC13" s="208"/>
      <c r="AD13" s="208"/>
      <c r="AE13" s="208"/>
      <c r="AF13" s="208"/>
      <c r="AG13" s="208"/>
      <c r="AK13" s="982"/>
      <c r="BB13" s="71">
        <f t="shared" si="3"/>
        <v>0.28311981045080037</v>
      </c>
      <c r="BC13" s="72" t="str">
        <f t="shared" si="1"/>
        <v>Cooling RES 2 Year EUL</v>
      </c>
      <c r="BD13" s="148">
        <f>(INDEX('Avoided Cost Benefits'!$C$4:$C$857,MATCH(BC13,'Avoided Cost Benefits'!$A$4:$A$857,0)))*F13</f>
        <v>16.834873108447781</v>
      </c>
      <c r="BE13" s="73">
        <f t="shared" si="4"/>
        <v>59.462010382255777</v>
      </c>
    </row>
    <row r="14" spans="1:57" s="976" customFormat="1" x14ac:dyDescent="0.25">
      <c r="A14" s="298"/>
      <c r="B14" s="1359"/>
      <c r="C14" s="1323" t="s">
        <v>1529</v>
      </c>
      <c r="D14" s="1756" t="s">
        <v>1518</v>
      </c>
      <c r="E14" s="252" t="s">
        <v>1530</v>
      </c>
      <c r="F14" s="1818">
        <f>ROUND(($G$25*$G$28*(1/$G$31-1/$G$35)/$G$37),2)</f>
        <v>63.95</v>
      </c>
      <c r="G14" s="1756" t="s">
        <v>690</v>
      </c>
      <c r="H14" s="202">
        <f>VLOOKUP(G14,'CP FACTORS'!$A$3:$B$38, 2, FALSE)</f>
        <v>9.4741810000000004E-4</v>
      </c>
      <c r="I14" s="1733">
        <f t="shared" si="2"/>
        <v>6.0587000000000002E-2</v>
      </c>
      <c r="J14" s="978">
        <f t="shared" si="0"/>
        <v>2</v>
      </c>
      <c r="K14" s="979">
        <f>G44</f>
        <v>63</v>
      </c>
      <c r="L14" s="253" t="s">
        <v>37</v>
      </c>
      <c r="M14" s="298"/>
      <c r="N14" s="298"/>
      <c r="O14" s="298"/>
      <c r="P14" s="298"/>
      <c r="Q14" s="298"/>
      <c r="R14" s="1627"/>
      <c r="S14" s="298"/>
      <c r="T14" s="298"/>
      <c r="U14" s="298"/>
      <c r="V14" s="208" t="str">
        <f>V13</f>
        <v>kWh Annual Savings</v>
      </c>
      <c r="W14" s="209">
        <v>63.947008630041665</v>
      </c>
      <c r="X14" s="980">
        <v>63.947008630041665</v>
      </c>
      <c r="Y14" s="981">
        <v>63.95</v>
      </c>
      <c r="Z14" s="981">
        <v>63.95</v>
      </c>
      <c r="AA14" s="981">
        <v>63.95</v>
      </c>
      <c r="AB14" s="981">
        <v>63.95</v>
      </c>
      <c r="AC14" s="208"/>
      <c r="AD14" s="208"/>
      <c r="AE14" s="208"/>
      <c r="AF14" s="208"/>
      <c r="AG14" s="208"/>
      <c r="AK14" s="982"/>
      <c r="BB14" s="71">
        <f t="shared" si="3"/>
        <v>0.18403651024932594</v>
      </c>
      <c r="BC14" s="72" t="str">
        <f t="shared" si="1"/>
        <v>Cooling RES 2 Year EUL</v>
      </c>
      <c r="BD14" s="148">
        <f>(INDEX('Avoided Cost Benefits'!$C$4:$C$857,MATCH(BC14,'Avoided Cost Benefits'!$A$4:$A$857,0)))*F14</f>
        <v>10.94318088315954</v>
      </c>
      <c r="BE14" s="73">
        <f t="shared" si="4"/>
        <v>59.462010382255777</v>
      </c>
    </row>
    <row r="15" spans="1:57" s="976" customFormat="1" x14ac:dyDescent="0.25">
      <c r="A15" s="298"/>
      <c r="B15" s="1359"/>
      <c r="C15" s="1323" t="s">
        <v>1531</v>
      </c>
      <c r="D15" s="1756" t="s">
        <v>1521</v>
      </c>
      <c r="E15" s="388" t="str">
        <f>CONCATENATE(E14,"_CompE")</f>
        <v>AC Tune-up /Indoor Coil (Evaporator) Cleaning MF_CompE</v>
      </c>
      <c r="F15" s="1818">
        <f>ROUND(($G$26*$G$28*(1/$G$31-1/$G$35)/$G$37),2)</f>
        <v>46.51</v>
      </c>
      <c r="G15" s="1756" t="s">
        <v>690</v>
      </c>
      <c r="H15" s="202">
        <f>VLOOKUP(G15,'CP FACTORS'!$A$3:$B$38, 2, FALSE)</f>
        <v>9.4741810000000004E-4</v>
      </c>
      <c r="I15" s="1733">
        <f t="shared" si="2"/>
        <v>4.4063999999999999E-2</v>
      </c>
      <c r="J15" s="978">
        <f t="shared" si="0"/>
        <v>2</v>
      </c>
      <c r="K15" s="979">
        <v>63</v>
      </c>
      <c r="L15" s="253" t="s">
        <v>37</v>
      </c>
      <c r="M15" s="298"/>
      <c r="N15" s="298"/>
      <c r="O15" s="298"/>
      <c r="P15" s="298"/>
      <c r="Q15" s="298"/>
      <c r="R15" s="1627"/>
      <c r="S15" s="298"/>
      <c r="T15" s="298"/>
      <c r="U15" s="298"/>
      <c r="V15" s="208"/>
      <c r="W15" s="209"/>
      <c r="X15" s="980"/>
      <c r="Y15" s="984">
        <v>46.51</v>
      </c>
      <c r="Z15" s="981">
        <v>46.51</v>
      </c>
      <c r="AA15" s="981">
        <v>46.51</v>
      </c>
      <c r="AB15" s="981">
        <v>46.51</v>
      </c>
      <c r="AC15" s="208"/>
      <c r="AD15" s="208"/>
      <c r="AE15" s="208"/>
      <c r="AF15" s="208"/>
      <c r="AG15" s="208"/>
      <c r="AK15" s="982"/>
      <c r="BB15" s="71">
        <f t="shared" si="3"/>
        <v>0.13384735092566299</v>
      </c>
      <c r="BC15" s="72" t="str">
        <f t="shared" si="1"/>
        <v>Cooling RES 2 Year EUL</v>
      </c>
      <c r="BD15" s="148">
        <f>(INDEX('Avoided Cost Benefits'!$C$4:$C$857,MATCH(BC15,'Avoided Cost Benefits'!$A$4:$A$857,0)))*F15</f>
        <v>7.9588325703792053</v>
      </c>
      <c r="BE15" s="73">
        <f t="shared" si="4"/>
        <v>59.462010382255777</v>
      </c>
    </row>
    <row r="16" spans="1:57" s="976" customFormat="1" x14ac:dyDescent="0.25">
      <c r="A16" s="298"/>
      <c r="B16" s="1359"/>
      <c r="C16" s="1323" t="s">
        <v>1532</v>
      </c>
      <c r="D16" s="1756" t="s">
        <v>1515</v>
      </c>
      <c r="E16" s="252" t="s">
        <v>1533</v>
      </c>
      <c r="F16" s="1818">
        <f>ROUND(($G$25*$G$27*(1/$G$32-1/$G$36)/$G$37),2)</f>
        <v>196.76</v>
      </c>
      <c r="G16" s="1756" t="s">
        <v>690</v>
      </c>
      <c r="H16" s="202">
        <f>VLOOKUP(G16,'CP FACTORS'!$A$3:$B$38, 2, FALSE)</f>
        <v>9.4741810000000004E-4</v>
      </c>
      <c r="I16" s="1733">
        <f t="shared" si="2"/>
        <v>0.186414</v>
      </c>
      <c r="J16" s="978">
        <f t="shared" si="0"/>
        <v>2</v>
      </c>
      <c r="K16" s="979">
        <f>G45</f>
        <v>31</v>
      </c>
      <c r="L16" s="253" t="s">
        <v>37</v>
      </c>
      <c r="M16" s="298"/>
      <c r="N16" s="298"/>
      <c r="O16" s="298"/>
      <c r="P16" s="298"/>
      <c r="Q16" s="298"/>
      <c r="R16" s="1627"/>
      <c r="S16" s="298"/>
      <c r="T16" s="298"/>
      <c r="U16" s="298"/>
      <c r="V16" s="208" t="str">
        <f>V14</f>
        <v>kWh Annual Savings</v>
      </c>
      <c r="W16" s="209">
        <v>196.75522776302316</v>
      </c>
      <c r="X16" s="980">
        <v>196.75522776302316</v>
      </c>
      <c r="Y16" s="981">
        <v>196.76</v>
      </c>
      <c r="Z16" s="981">
        <v>196.76</v>
      </c>
      <c r="AA16" s="981">
        <v>196.76</v>
      </c>
      <c r="AB16" s="981">
        <v>196.76</v>
      </c>
      <c r="AC16" s="208"/>
      <c r="AD16" s="208"/>
      <c r="AE16" s="208"/>
      <c r="AF16" s="208"/>
      <c r="AG16" s="208"/>
      <c r="AK16" s="982"/>
      <c r="BB16" s="71">
        <f t="shared" si="3"/>
        <v>1.150745036025834</v>
      </c>
      <c r="BC16" s="72" t="str">
        <f t="shared" si="1"/>
        <v>Cooling RES 2 Year EUL</v>
      </c>
      <c r="BD16" s="148">
        <f>(INDEX('Avoided Cost Benefits'!$C$4:$C$857,MATCH(BC16,'Avoided Cost Benefits'!$A$4:$A$857,0)))*F16</f>
        <v>33.669746216895561</v>
      </c>
      <c r="BE16" s="73">
        <f t="shared" si="4"/>
        <v>29.259084473808397</v>
      </c>
    </row>
    <row r="17" spans="1:57" s="976" customFormat="1" x14ac:dyDescent="0.25">
      <c r="A17" s="298"/>
      <c r="B17" s="1359"/>
      <c r="C17" s="1323" t="s">
        <v>1534</v>
      </c>
      <c r="D17" s="1756" t="s">
        <v>1518</v>
      </c>
      <c r="E17" s="252" t="s">
        <v>1535</v>
      </c>
      <c r="F17" s="1818">
        <f>ROUND(($G$25*$G$28*(1/$G$32-1/$G$36)/$G$37),2)</f>
        <v>127.89</v>
      </c>
      <c r="G17" s="1756" t="s">
        <v>690</v>
      </c>
      <c r="H17" s="202">
        <f>VLOOKUP(G17,'CP FACTORS'!$A$3:$B$38, 2, FALSE)</f>
        <v>9.4741810000000004E-4</v>
      </c>
      <c r="I17" s="1733">
        <f t="shared" si="2"/>
        <v>0.12116499999999999</v>
      </c>
      <c r="J17" s="978">
        <f t="shared" si="0"/>
        <v>2</v>
      </c>
      <c r="K17" s="979">
        <f>G46</f>
        <v>31</v>
      </c>
      <c r="L17" s="253" t="s">
        <v>37</v>
      </c>
      <c r="M17" s="298"/>
      <c r="N17" s="298"/>
      <c r="O17" s="298"/>
      <c r="P17" s="298"/>
      <c r="Q17" s="298"/>
      <c r="R17" s="1627"/>
      <c r="S17" s="298"/>
      <c r="T17" s="298"/>
      <c r="U17" s="298"/>
      <c r="V17" s="208" t="str">
        <f>V16</f>
        <v>kWh Annual Savings</v>
      </c>
      <c r="W17" s="209">
        <v>127.89089804596506</v>
      </c>
      <c r="X17" s="980">
        <v>127.89089804596506</v>
      </c>
      <c r="Y17" s="981">
        <v>127.89</v>
      </c>
      <c r="Z17" s="981">
        <v>127.89</v>
      </c>
      <c r="AA17" s="981">
        <v>127.89</v>
      </c>
      <c r="AB17" s="981">
        <v>127.89</v>
      </c>
      <c r="AC17" s="208"/>
      <c r="AD17" s="208"/>
      <c r="AE17" s="208"/>
      <c r="AF17" s="208"/>
      <c r="AG17" s="208"/>
      <c r="AK17" s="982"/>
      <c r="BB17" s="71">
        <f t="shared" si="3"/>
        <v>0.74796087953518953</v>
      </c>
      <c r="BC17" s="72" t="str">
        <f t="shared" si="1"/>
        <v>Cooling RES 2 Year EUL</v>
      </c>
      <c r="BD17" s="148">
        <f>(INDEX('Avoided Cost Benefits'!$C$4:$C$857,MATCH(BC17,'Avoided Cost Benefits'!$A$4:$A$857,0)))*F17</f>
        <v>21.884650557424138</v>
      </c>
      <c r="BE17" s="73">
        <f t="shared" si="4"/>
        <v>29.259084473808397</v>
      </c>
    </row>
    <row r="18" spans="1:57" s="976" customFormat="1" x14ac:dyDescent="0.25">
      <c r="A18" s="298"/>
      <c r="B18" s="1359"/>
      <c r="C18" s="1323" t="s">
        <v>1536</v>
      </c>
      <c r="D18" s="1756" t="s">
        <v>1521</v>
      </c>
      <c r="E18" s="388" t="str">
        <f>CONCATENATE(E17,"_CompE")</f>
        <v>AC Tune-up /Outdoor Coil (Condenser) Cleaning MF_CompE</v>
      </c>
      <c r="F18" s="1818">
        <f>ROUND(($G$26*$G$28*(1/$G$32-1/$G$36)/$G$37),2)</f>
        <v>93.01</v>
      </c>
      <c r="G18" s="1756" t="s">
        <v>690</v>
      </c>
      <c r="H18" s="202">
        <f>VLOOKUP(G18,'CP FACTORS'!$A$3:$B$38, 2, FALSE)</f>
        <v>9.4741810000000004E-4</v>
      </c>
      <c r="I18" s="1733">
        <f t="shared" si="2"/>
        <v>8.8119000000000003E-2</v>
      </c>
      <c r="J18" s="978">
        <f t="shared" si="0"/>
        <v>2</v>
      </c>
      <c r="K18" s="979">
        <v>31</v>
      </c>
      <c r="L18" s="253" t="s">
        <v>37</v>
      </c>
      <c r="M18" s="298"/>
      <c r="N18" s="298"/>
      <c r="O18" s="298"/>
      <c r="P18" s="298"/>
      <c r="Q18" s="298"/>
      <c r="R18" s="1627"/>
      <c r="S18" s="298"/>
      <c r="T18" s="298"/>
      <c r="U18" s="298"/>
      <c r="V18" s="208"/>
      <c r="W18" s="209"/>
      <c r="X18" s="980"/>
      <c r="Y18" s="984">
        <v>93.01</v>
      </c>
      <c r="Z18" s="981">
        <v>93.01</v>
      </c>
      <c r="AA18" s="981">
        <v>93.01</v>
      </c>
      <c r="AB18" s="981">
        <v>93.01</v>
      </c>
      <c r="AC18" s="208"/>
      <c r="AD18" s="208"/>
      <c r="AE18" s="208"/>
      <c r="AF18" s="208"/>
      <c r="AG18" s="208"/>
      <c r="AK18" s="982"/>
      <c r="BB18" s="74">
        <f t="shared" si="3"/>
        <v>0.54396623196159188</v>
      </c>
      <c r="BC18" s="72" t="str">
        <f t="shared" si="1"/>
        <v>Cooling RES 2 Year EUL</v>
      </c>
      <c r="BD18" s="153">
        <f>(INDEX('Avoided Cost Benefits'!$C$4:$C$857,MATCH(BC18,'Avoided Cost Benefits'!$A$4:$A$857,0)))*F18</f>
        <v>15.91595393186347</v>
      </c>
      <c r="BE18" s="75">
        <f t="shared" si="4"/>
        <v>29.259084473808397</v>
      </c>
    </row>
    <row r="19" spans="1:57" outlineLevel="1" x14ac:dyDescent="0.25">
      <c r="B19" s="1359"/>
      <c r="C19" s="196"/>
      <c r="D19" s="197"/>
      <c r="E19" s="197"/>
      <c r="F19" s="1819"/>
      <c r="G19" s="198"/>
      <c r="H19" s="198"/>
      <c r="I19" s="198"/>
      <c r="J19" s="198"/>
      <c r="V19"/>
      <c r="W19"/>
      <c r="X19"/>
      <c r="Y19" s="135"/>
      <c r="Z19"/>
      <c r="AA19"/>
      <c r="AB19"/>
      <c r="AC19"/>
      <c r="AD19"/>
      <c r="AE19"/>
      <c r="AF19"/>
      <c r="AG19"/>
      <c r="AK19" s="982"/>
    </row>
    <row r="20" spans="1:57" outlineLevel="1" x14ac:dyDescent="0.25">
      <c r="B20" s="1359"/>
      <c r="C20" s="196"/>
      <c r="D20" s="215" t="s">
        <v>1537</v>
      </c>
      <c r="E20" s="370"/>
      <c r="F20" s="1820"/>
      <c r="G20" s="198"/>
      <c r="H20" s="198"/>
      <c r="I20" s="198"/>
      <c r="J20" s="198"/>
      <c r="V20"/>
      <c r="W20"/>
      <c r="X20"/>
      <c r="Y20" s="135"/>
      <c r="Z20"/>
      <c r="AA20"/>
      <c r="AB20"/>
      <c r="AC20"/>
      <c r="AD20"/>
      <c r="AE20"/>
      <c r="AF20"/>
      <c r="AG20"/>
      <c r="AK20" s="982"/>
    </row>
    <row r="21" spans="1:57" outlineLevel="1" x14ac:dyDescent="0.25">
      <c r="B21" s="1359"/>
      <c r="C21" s="196"/>
      <c r="D21" s="1311"/>
      <c r="E21" s="1821"/>
      <c r="F21" s="1820"/>
      <c r="G21" s="198"/>
      <c r="H21" s="198"/>
      <c r="I21" s="198"/>
      <c r="J21" s="198"/>
      <c r="K21" s="198"/>
      <c r="L21" s="198"/>
      <c r="V21"/>
      <c r="W21"/>
      <c r="X21"/>
      <c r="Y21" s="135"/>
      <c r="Z21"/>
      <c r="AA21"/>
      <c r="AB21"/>
      <c r="AC21"/>
      <c r="AD21"/>
      <c r="AE21"/>
      <c r="AF21"/>
      <c r="AG21"/>
      <c r="AK21" s="982"/>
    </row>
    <row r="22" spans="1:57" ht="15" customHeight="1" outlineLevel="1" x14ac:dyDescent="0.25">
      <c r="B22" s="1359"/>
      <c r="C22" s="196"/>
      <c r="D22" s="1311"/>
      <c r="E22" s="370"/>
      <c r="F22" s="1820"/>
      <c r="G22" s="198"/>
      <c r="H22" s="198"/>
      <c r="I22" s="198"/>
      <c r="J22" s="198"/>
      <c r="K22" s="198"/>
      <c r="L22" s="198"/>
      <c r="AK22" s="982"/>
    </row>
    <row r="23" spans="1:57" ht="15" customHeight="1" outlineLevel="1" x14ac:dyDescent="0.25">
      <c r="B23" s="1359"/>
      <c r="C23" s="196"/>
      <c r="D23" s="197"/>
      <c r="E23" s="197"/>
      <c r="F23" s="198"/>
      <c r="G23" s="198"/>
      <c r="H23" s="198"/>
      <c r="I23" s="198"/>
      <c r="J23" s="198"/>
      <c r="K23" s="198"/>
      <c r="L23" s="198"/>
      <c r="AK23" s="982"/>
    </row>
    <row r="24" spans="1:57" ht="15" customHeight="1" outlineLevel="1" x14ac:dyDescent="0.25">
      <c r="B24" s="1359"/>
      <c r="C24" s="196"/>
      <c r="D24" s="1456" t="s">
        <v>572</v>
      </c>
      <c r="E24" s="1456" t="s">
        <v>573</v>
      </c>
      <c r="F24" s="1456" t="s">
        <v>623</v>
      </c>
      <c r="G24" s="1412" t="s">
        <v>574</v>
      </c>
      <c r="H24" s="3419" t="s">
        <v>624</v>
      </c>
      <c r="I24" s="3419"/>
      <c r="J24" s="3483"/>
      <c r="K24" s="3419" t="s">
        <v>575</v>
      </c>
      <c r="L24" s="3419"/>
      <c r="M24" s="3419"/>
      <c r="N24" s="3419"/>
      <c r="V24" s="55" t="s">
        <v>27</v>
      </c>
      <c r="W24" s="56">
        <f>W$6</f>
        <v>43252</v>
      </c>
      <c r="X24" s="56">
        <f t="shared" ref="X24:AG24" si="5">X$6</f>
        <v>43465</v>
      </c>
      <c r="Y24" s="420">
        <f t="shared" si="5"/>
        <v>43800</v>
      </c>
      <c r="Z24" s="56">
        <f t="shared" si="5"/>
        <v>43862</v>
      </c>
      <c r="AA24" s="56">
        <f t="shared" si="5"/>
        <v>44013</v>
      </c>
      <c r="AB24" s="56">
        <f t="shared" si="5"/>
        <v>44166</v>
      </c>
      <c r="AC24" s="56" t="str">
        <f t="shared" si="5"/>
        <v>-</v>
      </c>
      <c r="AD24" s="56" t="str">
        <f t="shared" si="5"/>
        <v>-</v>
      </c>
      <c r="AE24" s="56" t="str">
        <f t="shared" si="5"/>
        <v>-</v>
      </c>
      <c r="AF24" s="56" t="str">
        <f t="shared" si="5"/>
        <v>-</v>
      </c>
      <c r="AG24" s="56" t="str">
        <f t="shared" si="5"/>
        <v>-</v>
      </c>
      <c r="AK24" s="982"/>
    </row>
    <row r="25" spans="1:57" ht="18" customHeight="1" outlineLevel="1" x14ac:dyDescent="0.25">
      <c r="B25" s="1359"/>
      <c r="C25" s="229"/>
      <c r="D25" s="3821" t="s">
        <v>1804</v>
      </c>
      <c r="E25" s="3821" t="s">
        <v>1299</v>
      </c>
      <c r="F25" s="1113" t="s">
        <v>735</v>
      </c>
      <c r="G25" s="1109">
        <v>869</v>
      </c>
      <c r="H25" s="3826" t="s">
        <v>889</v>
      </c>
      <c r="I25" s="3827"/>
      <c r="J25" s="3828"/>
      <c r="K25" s="3823"/>
      <c r="L25" s="3823"/>
      <c r="M25" s="3823"/>
      <c r="N25" s="3823"/>
      <c r="V25" s="3824" t="str">
        <f>D25</f>
        <v>EFLHcool</v>
      </c>
      <c r="W25" s="985">
        <v>869</v>
      </c>
      <c r="X25" s="985">
        <v>869</v>
      </c>
      <c r="Y25" s="985">
        <v>869</v>
      </c>
      <c r="Z25" s="1109">
        <v>869</v>
      </c>
      <c r="AA25" s="1109">
        <v>869</v>
      </c>
      <c r="AB25" s="1109">
        <v>869</v>
      </c>
      <c r="AC25" s="251"/>
      <c r="AD25" s="251"/>
      <c r="AE25" s="251"/>
      <c r="AF25" s="251"/>
      <c r="AG25" s="251"/>
      <c r="AK25" s="982"/>
    </row>
    <row r="26" spans="1:57" ht="18" customHeight="1" outlineLevel="1" x14ac:dyDescent="0.25">
      <c r="B26" s="1359"/>
      <c r="C26" s="229"/>
      <c r="D26" s="3573"/>
      <c r="E26" s="3573"/>
      <c r="F26" s="318" t="s">
        <v>888</v>
      </c>
      <c r="G26" s="1109">
        <v>632</v>
      </c>
      <c r="H26" s="3829"/>
      <c r="I26" s="3830"/>
      <c r="J26" s="3831"/>
      <c r="K26" s="3823"/>
      <c r="L26" s="3823"/>
      <c r="M26" s="3823"/>
      <c r="N26" s="3823"/>
      <c r="V26" s="3832"/>
      <c r="W26" s="985"/>
      <c r="X26" s="985"/>
      <c r="Y26" s="986">
        <v>632</v>
      </c>
      <c r="Z26" s="1109">
        <v>632</v>
      </c>
      <c r="AA26" s="1109">
        <v>632</v>
      </c>
      <c r="AB26" s="1109">
        <v>632</v>
      </c>
      <c r="AC26" s="251"/>
      <c r="AD26" s="251"/>
      <c r="AE26" s="251"/>
      <c r="AF26" s="251"/>
      <c r="AG26" s="251"/>
      <c r="AK26" s="982"/>
    </row>
    <row r="27" spans="1:57" ht="15" customHeight="1" outlineLevel="1" x14ac:dyDescent="0.25">
      <c r="B27" s="1359"/>
      <c r="C27" s="229"/>
      <c r="D27" s="3821" t="s">
        <v>1805</v>
      </c>
      <c r="E27" s="3821" t="s">
        <v>1507</v>
      </c>
      <c r="F27" s="1113" t="s">
        <v>740</v>
      </c>
      <c r="G27" s="1109">
        <v>36800</v>
      </c>
      <c r="H27" s="3470" t="s">
        <v>1540</v>
      </c>
      <c r="I27" s="3822"/>
      <c r="J27" s="3471"/>
      <c r="K27" s="3823" t="s">
        <v>1541</v>
      </c>
      <c r="L27" s="3823"/>
      <c r="M27" s="3823"/>
      <c r="N27" s="3823"/>
      <c r="V27" s="3824" t="str">
        <f>D27</f>
        <v>Capacitycool</v>
      </c>
      <c r="W27" s="985">
        <v>36800</v>
      </c>
      <c r="X27" s="985">
        <v>36800</v>
      </c>
      <c r="Y27" s="985">
        <v>36800</v>
      </c>
      <c r="Z27" s="1109">
        <v>36800</v>
      </c>
      <c r="AA27" s="1109">
        <v>36800</v>
      </c>
      <c r="AB27" s="1109">
        <v>36800</v>
      </c>
      <c r="AC27" s="251"/>
      <c r="AD27" s="251"/>
      <c r="AE27" s="251"/>
      <c r="AF27" s="251"/>
      <c r="AG27" s="251"/>
      <c r="AK27" s="982"/>
    </row>
    <row r="28" spans="1:57" ht="15" customHeight="1" outlineLevel="1" x14ac:dyDescent="0.25">
      <c r="B28" s="1359"/>
      <c r="C28" s="229"/>
      <c r="D28" s="3438"/>
      <c r="E28" s="3438"/>
      <c r="F28" s="1113" t="s">
        <v>742</v>
      </c>
      <c r="G28" s="1109">
        <v>23920</v>
      </c>
      <c r="H28" s="3470" t="s">
        <v>1542</v>
      </c>
      <c r="I28" s="3822"/>
      <c r="J28" s="3471"/>
      <c r="K28" s="3823"/>
      <c r="L28" s="3823"/>
      <c r="M28" s="3823"/>
      <c r="N28" s="3823"/>
      <c r="V28" s="3825"/>
      <c r="W28" s="985">
        <v>23920</v>
      </c>
      <c r="X28" s="985">
        <v>23920</v>
      </c>
      <c r="Y28" s="985">
        <v>23920</v>
      </c>
      <c r="Z28" s="1109">
        <v>23920</v>
      </c>
      <c r="AA28" s="1109">
        <v>23920</v>
      </c>
      <c r="AB28" s="1109">
        <v>23920</v>
      </c>
      <c r="AC28" s="251"/>
      <c r="AD28" s="251"/>
      <c r="AE28" s="251"/>
      <c r="AF28" s="251"/>
      <c r="AG28" s="251"/>
      <c r="AK28" s="982"/>
    </row>
    <row r="29" spans="1:57" outlineLevel="1" x14ac:dyDescent="0.25">
      <c r="B29" s="1359"/>
      <c r="C29" s="229"/>
      <c r="D29" s="3821" t="s">
        <v>1543</v>
      </c>
      <c r="E29" s="3821" t="s">
        <v>1544</v>
      </c>
      <c r="F29" s="1113" t="s">
        <v>1545</v>
      </c>
      <c r="G29" s="1446">
        <v>11.9</v>
      </c>
      <c r="H29" s="3823" t="s">
        <v>1198</v>
      </c>
      <c r="I29" s="3823"/>
      <c r="J29" s="3470"/>
      <c r="K29" s="3424"/>
      <c r="L29" s="3424"/>
      <c r="M29" s="3424"/>
      <c r="N29" s="3424"/>
      <c r="V29" s="3835" t="str">
        <f>D29</f>
        <v>SEERtest-in</v>
      </c>
      <c r="W29" s="987">
        <v>11.9</v>
      </c>
      <c r="X29" s="987">
        <v>11.9</v>
      </c>
      <c r="Y29" s="987">
        <v>11.9</v>
      </c>
      <c r="Z29" s="2751">
        <v>11.9</v>
      </c>
      <c r="AA29" s="2751">
        <v>11.9</v>
      </c>
      <c r="AB29" s="2751">
        <v>11.9</v>
      </c>
      <c r="AC29" s="246"/>
      <c r="AD29" s="246"/>
      <c r="AE29" s="246"/>
      <c r="AF29" s="246"/>
      <c r="AG29" s="246"/>
      <c r="AK29" s="982"/>
    </row>
    <row r="30" spans="1:57" ht="15" customHeight="1" outlineLevel="1" x14ac:dyDescent="0.25">
      <c r="B30" s="1359"/>
      <c r="C30" s="229"/>
      <c r="D30" s="3833"/>
      <c r="E30" s="3833"/>
      <c r="F30" s="1113" t="s">
        <v>1546</v>
      </c>
      <c r="G30" s="1446">
        <v>11.9</v>
      </c>
      <c r="H30" s="3823"/>
      <c r="I30" s="3823"/>
      <c r="J30" s="3470"/>
      <c r="K30" s="3424"/>
      <c r="L30" s="3424"/>
      <c r="M30" s="3424"/>
      <c r="N30" s="3424"/>
      <c r="V30" s="3834"/>
      <c r="W30" s="987">
        <v>11.9</v>
      </c>
      <c r="X30" s="987">
        <v>11.9</v>
      </c>
      <c r="Y30" s="987">
        <v>11.9</v>
      </c>
      <c r="Z30" s="2751">
        <v>11.9</v>
      </c>
      <c r="AA30" s="2751">
        <v>11.9</v>
      </c>
      <c r="AB30" s="2751">
        <v>11.9</v>
      </c>
      <c r="AC30" s="246"/>
      <c r="AD30" s="246"/>
      <c r="AE30" s="246"/>
      <c r="AF30" s="246"/>
      <c r="AG30" s="246"/>
      <c r="AK30" s="982"/>
    </row>
    <row r="31" spans="1:57" outlineLevel="1" x14ac:dyDescent="0.25">
      <c r="B31" s="1148"/>
      <c r="C31" s="229"/>
      <c r="D31" s="3833"/>
      <c r="E31" s="3833"/>
      <c r="F31" s="1113" t="s">
        <v>1547</v>
      </c>
      <c r="G31" s="1446">
        <v>11.9</v>
      </c>
      <c r="H31" s="3823" t="s">
        <v>1198</v>
      </c>
      <c r="I31" s="3823"/>
      <c r="J31" s="3470"/>
      <c r="K31" s="3424" t="s">
        <v>1548</v>
      </c>
      <c r="L31" s="3424"/>
      <c r="M31" s="3424"/>
      <c r="N31" s="3424"/>
      <c r="V31" s="3834"/>
      <c r="W31" s="987">
        <v>11.9</v>
      </c>
      <c r="X31" s="987">
        <v>11.9</v>
      </c>
      <c r="Y31" s="987">
        <v>11.9</v>
      </c>
      <c r="Z31" s="2751">
        <v>11.9</v>
      </c>
      <c r="AA31" s="2751">
        <v>11.9</v>
      </c>
      <c r="AB31" s="2751">
        <v>11.9</v>
      </c>
      <c r="AC31" s="246"/>
      <c r="AD31" s="246"/>
      <c r="AE31" s="246"/>
      <c r="AF31" s="246"/>
      <c r="AG31" s="246"/>
      <c r="AK31" s="982"/>
    </row>
    <row r="32" spans="1:57" ht="15" customHeight="1" outlineLevel="1" x14ac:dyDescent="0.25">
      <c r="B32" s="1148"/>
      <c r="C32" s="229"/>
      <c r="D32" s="3438"/>
      <c r="E32" s="3438"/>
      <c r="F32" s="1113" t="s">
        <v>1549</v>
      </c>
      <c r="G32" s="1446">
        <v>11.9</v>
      </c>
      <c r="H32" s="3823"/>
      <c r="I32" s="3823"/>
      <c r="J32" s="3470"/>
      <c r="K32" s="3424"/>
      <c r="L32" s="3424"/>
      <c r="M32" s="3424"/>
      <c r="N32" s="3424"/>
      <c r="V32" s="3825"/>
      <c r="W32" s="987">
        <v>11.9</v>
      </c>
      <c r="X32" s="987">
        <v>11.9</v>
      </c>
      <c r="Y32" s="987">
        <v>11.9</v>
      </c>
      <c r="Z32" s="2751">
        <v>11.9</v>
      </c>
      <c r="AA32" s="2751">
        <v>11.9</v>
      </c>
      <c r="AB32" s="2751">
        <v>11.9</v>
      </c>
      <c r="AC32" s="246"/>
      <c r="AD32" s="246"/>
      <c r="AE32" s="246"/>
      <c r="AF32" s="246"/>
      <c r="AG32" s="246"/>
      <c r="AK32" s="982"/>
    </row>
    <row r="33" spans="1:54" outlineLevel="1" x14ac:dyDescent="0.25">
      <c r="B33" s="1359"/>
      <c r="C33" s="229"/>
      <c r="D33" s="3821" t="s">
        <v>1807</v>
      </c>
      <c r="E33" s="3821" t="s">
        <v>1551</v>
      </c>
      <c r="F33" s="1113" t="s">
        <v>1545</v>
      </c>
      <c r="G33" s="1446">
        <f>G29*(1+0.056)</f>
        <v>12.566400000000002</v>
      </c>
      <c r="H33" s="3823" t="s">
        <v>1198</v>
      </c>
      <c r="I33" s="3823"/>
      <c r="J33" s="3470"/>
      <c r="K33" s="3424"/>
      <c r="L33" s="3424"/>
      <c r="M33" s="3424"/>
      <c r="N33" s="3424"/>
      <c r="V33" s="3824" t="str">
        <f>D33</f>
        <v>SEERtest-out</v>
      </c>
      <c r="W33" s="987">
        <v>12.566400000000002</v>
      </c>
      <c r="X33" s="987">
        <f>X29*(1+0.056)</f>
        <v>12.566400000000002</v>
      </c>
      <c r="Y33" s="987">
        <f>Y29*(1+0.056)</f>
        <v>12.566400000000002</v>
      </c>
      <c r="Z33" s="2751">
        <f t="shared" ref="Z33:AB33" si="6">Z29*(1+0.056)</f>
        <v>12.566400000000002</v>
      </c>
      <c r="AA33" s="2751">
        <f t="shared" si="6"/>
        <v>12.566400000000002</v>
      </c>
      <c r="AB33" s="2751">
        <f t="shared" si="6"/>
        <v>12.566400000000002</v>
      </c>
      <c r="AC33" s="246"/>
      <c r="AD33" s="246"/>
      <c r="AE33" s="246"/>
      <c r="AF33" s="246"/>
      <c r="AG33" s="246"/>
      <c r="AK33" s="982"/>
    </row>
    <row r="34" spans="1:54" ht="15" customHeight="1" outlineLevel="1" x14ac:dyDescent="0.25">
      <c r="B34" s="1359"/>
      <c r="C34" s="229"/>
      <c r="D34" s="3833"/>
      <c r="E34" s="3833"/>
      <c r="F34" s="1113" t="s">
        <v>1546</v>
      </c>
      <c r="G34" s="1446">
        <f>G30*(1+0.284)</f>
        <v>15.2796</v>
      </c>
      <c r="H34" s="3823"/>
      <c r="I34" s="3823"/>
      <c r="J34" s="3470"/>
      <c r="K34" s="3424" t="s">
        <v>1548</v>
      </c>
      <c r="L34" s="3424"/>
      <c r="M34" s="3424"/>
      <c r="N34" s="3424"/>
      <c r="V34" s="3834"/>
      <c r="W34" s="987">
        <v>15.2796</v>
      </c>
      <c r="X34" s="987">
        <f>X30*(1+0.284)</f>
        <v>15.2796</v>
      </c>
      <c r="Y34" s="987">
        <f>Y30*(1+0.284)</f>
        <v>15.2796</v>
      </c>
      <c r="Z34" s="2751">
        <f t="shared" ref="Z34:AB34" si="7">Z30*(1+0.284)</f>
        <v>15.2796</v>
      </c>
      <c r="AA34" s="2751">
        <f t="shared" si="7"/>
        <v>15.2796</v>
      </c>
      <c r="AB34" s="2751">
        <f t="shared" si="7"/>
        <v>15.2796</v>
      </c>
      <c r="AC34" s="246"/>
      <c r="AD34" s="246"/>
      <c r="AE34" s="246"/>
      <c r="AF34" s="246"/>
      <c r="AG34" s="246"/>
      <c r="AK34" s="982"/>
    </row>
    <row r="35" spans="1:54" outlineLevel="1" x14ac:dyDescent="0.25">
      <c r="B35" s="1148"/>
      <c r="C35" s="229"/>
      <c r="D35" s="3833"/>
      <c r="E35" s="3833"/>
      <c r="F35" s="1113" t="s">
        <v>1547</v>
      </c>
      <c r="G35" s="1446">
        <f>G31*(1+0.038)</f>
        <v>12.352200000000002</v>
      </c>
      <c r="H35" s="3823" t="s">
        <v>1198</v>
      </c>
      <c r="I35" s="3823"/>
      <c r="J35" s="3470"/>
      <c r="K35" s="3424" t="s">
        <v>1548</v>
      </c>
      <c r="L35" s="3424"/>
      <c r="M35" s="3424"/>
      <c r="N35" s="3424"/>
      <c r="V35" s="3834"/>
      <c r="W35" s="987">
        <v>12.352200000000002</v>
      </c>
      <c r="X35" s="987">
        <f>X31*(1+0.038)</f>
        <v>12.352200000000002</v>
      </c>
      <c r="Y35" s="987">
        <f>Y31*(1+0.038)</f>
        <v>12.352200000000002</v>
      </c>
      <c r="Z35" s="2751">
        <f t="shared" ref="Z35:AB35" si="8">Z31*(1+0.038)</f>
        <v>12.352200000000002</v>
      </c>
      <c r="AA35" s="2751">
        <f t="shared" si="8"/>
        <v>12.352200000000002</v>
      </c>
      <c r="AB35" s="2751">
        <f t="shared" si="8"/>
        <v>12.352200000000002</v>
      </c>
      <c r="AC35" s="246"/>
      <c r="AD35" s="246"/>
      <c r="AE35" s="246"/>
      <c r="AF35" s="246"/>
      <c r="AG35" s="246"/>
      <c r="AK35" s="982"/>
    </row>
    <row r="36" spans="1:54" ht="15" customHeight="1" outlineLevel="1" x14ac:dyDescent="0.25">
      <c r="B36" s="1148"/>
      <c r="C36" s="229"/>
      <c r="D36" s="3438"/>
      <c r="E36" s="3438"/>
      <c r="F36" s="1113" t="s">
        <v>1549</v>
      </c>
      <c r="G36" s="1447">
        <f>G32*(1+0.079)</f>
        <v>12.8401</v>
      </c>
      <c r="H36" s="3823"/>
      <c r="I36" s="3823"/>
      <c r="J36" s="3470"/>
      <c r="K36" s="3424" t="s">
        <v>1548</v>
      </c>
      <c r="L36" s="3424"/>
      <c r="M36" s="3424"/>
      <c r="N36" s="3424"/>
      <c r="V36" s="3825"/>
      <c r="W36" s="246">
        <v>12.8401</v>
      </c>
      <c r="X36" s="246">
        <f>X32*(1+0.079)</f>
        <v>12.8401</v>
      </c>
      <c r="Y36" s="246">
        <f>Y32*(1+0.079)</f>
        <v>12.8401</v>
      </c>
      <c r="Z36" s="2752">
        <f t="shared" ref="Z36:AB36" si="9">Z32*(1+0.079)</f>
        <v>12.8401</v>
      </c>
      <c r="AA36" s="2752">
        <f t="shared" si="9"/>
        <v>12.8401</v>
      </c>
      <c r="AB36" s="2752">
        <f t="shared" si="9"/>
        <v>12.8401</v>
      </c>
      <c r="AC36" s="246"/>
      <c r="AD36" s="246"/>
      <c r="AE36" s="246"/>
      <c r="AF36" s="246"/>
      <c r="AG36" s="246"/>
      <c r="AK36" s="982"/>
    </row>
    <row r="37" spans="1:54" ht="15" customHeight="1" outlineLevel="1" x14ac:dyDescent="0.25">
      <c r="B37" s="1148"/>
      <c r="C37" s="229"/>
      <c r="D37" s="1116">
        <v>1000</v>
      </c>
      <c r="E37" s="1117" t="s">
        <v>1552</v>
      </c>
      <c r="F37" s="1113"/>
      <c r="G37" s="1109">
        <v>1000</v>
      </c>
      <c r="H37" s="3838" t="s">
        <v>1553</v>
      </c>
      <c r="I37" s="3838"/>
      <c r="J37" s="3480"/>
      <c r="K37" s="3823"/>
      <c r="L37" s="3823"/>
      <c r="M37" s="3823"/>
      <c r="N37" s="3823"/>
      <c r="V37" s="988">
        <f>D37</f>
        <v>1000</v>
      </c>
      <c r="W37" s="985">
        <v>1000</v>
      </c>
      <c r="X37" s="985">
        <v>1000</v>
      </c>
      <c r="Y37" s="985">
        <v>1000</v>
      </c>
      <c r="Z37" s="1109">
        <v>1000</v>
      </c>
      <c r="AA37" s="1109">
        <v>1000</v>
      </c>
      <c r="AB37" s="1109">
        <v>1000</v>
      </c>
      <c r="AC37" s="251"/>
      <c r="AD37" s="251"/>
      <c r="AE37" s="251"/>
      <c r="AF37" s="251"/>
      <c r="AG37" s="251"/>
      <c r="AK37" s="982"/>
    </row>
    <row r="38" spans="1:54" ht="30" customHeight="1" outlineLevel="1" x14ac:dyDescent="0.25">
      <c r="B38" s="1148"/>
      <c r="C38" s="229"/>
      <c r="D38" s="1442" t="str">
        <f>J6</f>
        <v>EUL</v>
      </c>
      <c r="E38" s="1442" t="s">
        <v>611</v>
      </c>
      <c r="F38" s="1822" t="s">
        <v>591</v>
      </c>
      <c r="G38" s="1109">
        <v>2</v>
      </c>
      <c r="H38" s="3838"/>
      <c r="I38" s="3838"/>
      <c r="J38" s="3480"/>
      <c r="K38" s="3823"/>
      <c r="L38" s="3823"/>
      <c r="M38" s="3823"/>
      <c r="N38" s="3823"/>
      <c r="V38" s="989" t="str">
        <f>D38</f>
        <v>EUL</v>
      </c>
      <c r="W38" s="985">
        <v>2</v>
      </c>
      <c r="X38" s="985">
        <v>2</v>
      </c>
      <c r="Y38" s="985">
        <v>2</v>
      </c>
      <c r="Z38" s="1109">
        <v>2</v>
      </c>
      <c r="AA38" s="1109">
        <v>2</v>
      </c>
      <c r="AB38" s="1109">
        <v>2</v>
      </c>
      <c r="AC38" s="251"/>
      <c r="AD38" s="251"/>
      <c r="AE38" s="251"/>
      <c r="AF38" s="251"/>
      <c r="AG38" s="251"/>
      <c r="AK38" s="982"/>
    </row>
    <row r="39" spans="1:54" outlineLevel="1" x14ac:dyDescent="0.25">
      <c r="B39" s="1148"/>
      <c r="C39" s="229"/>
      <c r="D39" s="3821" t="str">
        <f>K6</f>
        <v>Inc. Cost</v>
      </c>
      <c r="E39" s="3821" t="s">
        <v>613</v>
      </c>
      <c r="F39" s="1822" t="str">
        <f>E7</f>
        <v>AC General Tune-Up (no charge or coil clean) SF</v>
      </c>
      <c r="G39" s="404">
        <v>70</v>
      </c>
      <c r="H39" s="3836"/>
      <c r="I39" s="3836"/>
      <c r="J39" s="3837"/>
      <c r="K39" s="3823"/>
      <c r="L39" s="3823"/>
      <c r="M39" s="3823"/>
      <c r="N39" s="3823"/>
      <c r="V39" s="3821" t="str">
        <f>D39</f>
        <v>Inc. Cost</v>
      </c>
      <c r="W39" s="990">
        <v>70</v>
      </c>
      <c r="X39" s="990">
        <v>70</v>
      </c>
      <c r="Y39" s="990">
        <v>70</v>
      </c>
      <c r="Z39" s="404">
        <v>70</v>
      </c>
      <c r="AA39" s="404">
        <v>70</v>
      </c>
      <c r="AB39" s="404">
        <v>70</v>
      </c>
      <c r="AC39" s="251"/>
      <c r="AD39" s="251"/>
      <c r="AE39" s="251"/>
      <c r="AF39" s="251"/>
      <c r="AG39" s="251"/>
      <c r="AK39" s="982"/>
    </row>
    <row r="40" spans="1:54" outlineLevel="1" x14ac:dyDescent="0.25">
      <c r="B40" s="1148"/>
      <c r="C40" s="229"/>
      <c r="D40" s="3530"/>
      <c r="E40" s="3530"/>
      <c r="F40" s="1822" t="str">
        <f>E8</f>
        <v>AC General Tune-Up (no charge or coil clean) MF</v>
      </c>
      <c r="G40" s="404">
        <v>70</v>
      </c>
      <c r="H40" s="3836"/>
      <c r="I40" s="3836"/>
      <c r="J40" s="3837"/>
      <c r="K40" s="3823"/>
      <c r="L40" s="3823"/>
      <c r="M40" s="3823"/>
      <c r="N40" s="3823"/>
      <c r="V40" s="3845"/>
      <c r="W40" s="990">
        <v>70</v>
      </c>
      <c r="X40" s="990">
        <v>70</v>
      </c>
      <c r="Y40" s="990">
        <v>70</v>
      </c>
      <c r="Z40" s="404">
        <v>70</v>
      </c>
      <c r="AA40" s="404">
        <v>70</v>
      </c>
      <c r="AB40" s="404">
        <v>70</v>
      </c>
      <c r="AC40" s="251"/>
      <c r="AD40" s="251"/>
      <c r="AE40" s="251"/>
      <c r="AF40" s="251"/>
      <c r="AG40" s="251"/>
      <c r="AK40" s="982"/>
    </row>
    <row r="41" spans="1:54" outlineLevel="1" x14ac:dyDescent="0.25">
      <c r="B41" s="1148"/>
      <c r="C41" s="229"/>
      <c r="D41" s="3530"/>
      <c r="E41" s="3530"/>
      <c r="F41" s="1822" t="str">
        <f>E10</f>
        <v>AC Tune-up / Refrigerant charge SF</v>
      </c>
      <c r="G41" s="404">
        <v>81</v>
      </c>
      <c r="H41" s="3836"/>
      <c r="I41" s="3836"/>
      <c r="J41" s="3837"/>
      <c r="K41" s="3823"/>
      <c r="L41" s="3823"/>
      <c r="M41" s="3823"/>
      <c r="N41" s="3823"/>
      <c r="V41" s="3845"/>
      <c r="W41" s="990">
        <v>81</v>
      </c>
      <c r="X41" s="990">
        <v>81</v>
      </c>
      <c r="Y41" s="990">
        <v>81</v>
      </c>
      <c r="Z41" s="404">
        <v>81</v>
      </c>
      <c r="AA41" s="404">
        <v>81</v>
      </c>
      <c r="AB41" s="404">
        <v>81</v>
      </c>
      <c r="AC41" s="251"/>
      <c r="AD41" s="251"/>
      <c r="AE41" s="251"/>
      <c r="AF41" s="251"/>
      <c r="AG41" s="251"/>
      <c r="AK41" s="982"/>
    </row>
    <row r="42" spans="1:54" outlineLevel="1" x14ac:dyDescent="0.25">
      <c r="B42" s="1148"/>
      <c r="C42" s="229"/>
      <c r="D42" s="3530"/>
      <c r="E42" s="3530"/>
      <c r="F42" s="1822" t="str">
        <f>E11</f>
        <v>AC Tune-up / Refrigerant charge MF</v>
      </c>
      <c r="G42" s="404">
        <v>81</v>
      </c>
      <c r="H42" s="3836"/>
      <c r="I42" s="3836"/>
      <c r="J42" s="3837"/>
      <c r="K42" s="3823"/>
      <c r="L42" s="3823"/>
      <c r="M42" s="3823"/>
      <c r="N42" s="3823"/>
      <c r="V42" s="3845"/>
      <c r="W42" s="990">
        <v>81</v>
      </c>
      <c r="X42" s="990">
        <v>81</v>
      </c>
      <c r="Y42" s="990">
        <v>81</v>
      </c>
      <c r="Z42" s="404">
        <v>81</v>
      </c>
      <c r="AA42" s="404">
        <v>81</v>
      </c>
      <c r="AB42" s="404">
        <v>81</v>
      </c>
      <c r="AC42" s="251"/>
      <c r="AD42" s="251"/>
      <c r="AE42" s="251"/>
      <c r="AF42" s="251"/>
      <c r="AG42" s="251"/>
      <c r="AK42" s="982"/>
    </row>
    <row r="43" spans="1:54" outlineLevel="1" x14ac:dyDescent="0.25">
      <c r="B43" s="1148"/>
      <c r="C43" s="229"/>
      <c r="D43" s="3530"/>
      <c r="E43" s="3530"/>
      <c r="F43" s="1822" t="str">
        <f>E13</f>
        <v>AC Tune-up / Indoor Coil (Evaporator) Cleaning SF</v>
      </c>
      <c r="G43" s="404">
        <v>63</v>
      </c>
      <c r="H43" s="3836"/>
      <c r="I43" s="3836"/>
      <c r="J43" s="3837"/>
      <c r="K43" s="3823"/>
      <c r="L43" s="3823"/>
      <c r="M43" s="3823"/>
      <c r="N43" s="3823"/>
      <c r="V43" s="3845"/>
      <c r="W43" s="990">
        <v>63</v>
      </c>
      <c r="X43" s="990">
        <v>63</v>
      </c>
      <c r="Y43" s="990">
        <v>63</v>
      </c>
      <c r="Z43" s="404">
        <v>63</v>
      </c>
      <c r="AA43" s="404">
        <v>63</v>
      </c>
      <c r="AB43" s="404">
        <v>63</v>
      </c>
      <c r="AC43" s="251"/>
      <c r="AD43" s="251"/>
      <c r="AE43" s="251"/>
      <c r="AF43" s="251"/>
      <c r="AG43" s="251"/>
      <c r="AK43" s="982"/>
    </row>
    <row r="44" spans="1:54" outlineLevel="1" x14ac:dyDescent="0.25">
      <c r="B44" s="1148"/>
      <c r="C44" s="229"/>
      <c r="D44" s="3530"/>
      <c r="E44" s="3530"/>
      <c r="F44" s="1822" t="str">
        <f>E14</f>
        <v>AC Tune-up /Indoor Coil (Evaporator) Cleaning MF</v>
      </c>
      <c r="G44" s="404">
        <v>63</v>
      </c>
      <c r="H44" s="3836"/>
      <c r="I44" s="3836"/>
      <c r="J44" s="3837"/>
      <c r="K44" s="3823"/>
      <c r="L44" s="3823"/>
      <c r="M44" s="3823"/>
      <c r="N44" s="3823"/>
      <c r="V44" s="3845"/>
      <c r="W44" s="990">
        <v>63</v>
      </c>
      <c r="X44" s="990">
        <v>63</v>
      </c>
      <c r="Y44" s="990">
        <v>63</v>
      </c>
      <c r="Z44" s="404">
        <v>63</v>
      </c>
      <c r="AA44" s="404">
        <v>63</v>
      </c>
      <c r="AB44" s="404">
        <v>63</v>
      </c>
      <c r="AC44" s="251"/>
      <c r="AD44" s="251"/>
      <c r="AE44" s="251"/>
      <c r="AF44" s="251"/>
      <c r="AG44" s="251"/>
      <c r="AK44" s="982"/>
    </row>
    <row r="45" spans="1:54" outlineLevel="1" x14ac:dyDescent="0.25">
      <c r="B45" s="1148"/>
      <c r="C45" s="229"/>
      <c r="D45" s="3530"/>
      <c r="E45" s="3530"/>
      <c r="F45" s="1822" t="str">
        <f>E16</f>
        <v>AC Tune-up /Outdoor Coil (Condenser) Cleaning SF</v>
      </c>
      <c r="G45" s="404">
        <v>31</v>
      </c>
      <c r="H45" s="3836"/>
      <c r="I45" s="3836"/>
      <c r="J45" s="3837"/>
      <c r="K45" s="3823"/>
      <c r="L45" s="3823"/>
      <c r="M45" s="3823"/>
      <c r="N45" s="3823"/>
      <c r="V45" s="3845"/>
      <c r="W45" s="990">
        <v>31</v>
      </c>
      <c r="X45" s="990">
        <v>31</v>
      </c>
      <c r="Y45" s="990">
        <v>31</v>
      </c>
      <c r="Z45" s="404">
        <v>31</v>
      </c>
      <c r="AA45" s="404">
        <v>31</v>
      </c>
      <c r="AB45" s="404">
        <v>31</v>
      </c>
      <c r="AC45" s="251"/>
      <c r="AD45" s="251"/>
      <c r="AE45" s="251"/>
      <c r="AF45" s="251"/>
      <c r="AG45" s="251"/>
      <c r="AK45" s="982"/>
    </row>
    <row r="46" spans="1:54" outlineLevel="1" x14ac:dyDescent="0.25">
      <c r="B46" s="1148"/>
      <c r="C46" s="229"/>
      <c r="D46" s="3476"/>
      <c r="E46" s="3476"/>
      <c r="F46" s="1822" t="str">
        <f>E17</f>
        <v>AC Tune-up /Outdoor Coil (Condenser) Cleaning MF</v>
      </c>
      <c r="G46" s="404">
        <v>31</v>
      </c>
      <c r="H46" s="3836"/>
      <c r="I46" s="3836"/>
      <c r="J46" s="3837"/>
      <c r="K46" s="3823"/>
      <c r="L46" s="3823"/>
      <c r="M46" s="3823"/>
      <c r="N46" s="3823"/>
      <c r="V46" s="3846"/>
      <c r="W46" s="990">
        <v>31</v>
      </c>
      <c r="X46" s="990">
        <v>31</v>
      </c>
      <c r="Y46" s="990">
        <v>31</v>
      </c>
      <c r="Z46" s="404">
        <v>31</v>
      </c>
      <c r="AA46" s="404">
        <v>31</v>
      </c>
      <c r="AB46" s="404">
        <v>31</v>
      </c>
      <c r="AC46" s="251"/>
      <c r="AD46" s="251"/>
      <c r="AE46" s="251"/>
      <c r="AF46" s="251"/>
      <c r="AG46" s="251"/>
      <c r="AK46" s="982"/>
    </row>
    <row r="47" spans="1:54" s="64" customFormat="1" x14ac:dyDescent="0.25">
      <c r="A47" s="648"/>
      <c r="B47" s="157"/>
      <c r="C47" s="385"/>
      <c r="D47" s="386"/>
      <c r="E47" s="386"/>
      <c r="F47" s="157"/>
      <c r="G47" s="157"/>
      <c r="H47" s="385"/>
      <c r="I47" s="385"/>
      <c r="J47" s="385"/>
      <c r="K47" s="385"/>
      <c r="L47" s="385"/>
      <c r="M47" s="385"/>
      <c r="N47" s="157"/>
      <c r="O47" s="157"/>
      <c r="P47" s="157"/>
      <c r="Q47" s="157"/>
      <c r="R47" s="157"/>
      <c r="S47" s="157"/>
      <c r="T47" s="157"/>
      <c r="U47" s="157"/>
      <c r="X47" s="740"/>
      <c r="Y47" s="991"/>
      <c r="Z47" s="396"/>
      <c r="AA47" s="396"/>
      <c r="AB47" s="396"/>
      <c r="AC47" s="396"/>
      <c r="AD47" s="396"/>
      <c r="AK47" s="982"/>
      <c r="BB47" s="992"/>
    </row>
    <row r="48" spans="1:54" s="64" customFormat="1" x14ac:dyDescent="0.25">
      <c r="A48" s="648"/>
      <c r="B48" s="157"/>
      <c r="C48" s="385"/>
      <c r="D48" s="386"/>
      <c r="E48" s="386"/>
      <c r="F48" s="157"/>
      <c r="G48" s="157"/>
      <c r="H48" s="385"/>
      <c r="I48" s="385"/>
      <c r="J48" s="385"/>
      <c r="K48" s="385"/>
      <c r="L48" s="385"/>
      <c r="M48" s="385"/>
      <c r="N48" s="157"/>
      <c r="O48" s="157"/>
      <c r="P48" s="157"/>
      <c r="Q48" s="157"/>
      <c r="R48" s="157"/>
      <c r="S48" s="157"/>
      <c r="T48" s="157"/>
      <c r="U48" s="157"/>
      <c r="Y48" s="521"/>
      <c r="AK48" s="982"/>
      <c r="BB48" s="992"/>
    </row>
    <row r="49" spans="1:57" x14ac:dyDescent="0.25">
      <c r="B49" s="3350" t="s">
        <v>1554</v>
      </c>
      <c r="C49" s="3351"/>
      <c r="D49" s="3351"/>
      <c r="E49" s="3351"/>
      <c r="F49" s="3351"/>
      <c r="G49" s="3351"/>
      <c r="H49" s="3351"/>
      <c r="I49" s="3352"/>
      <c r="J49" s="3352"/>
      <c r="K49" s="3352"/>
      <c r="L49" s="3352"/>
      <c r="M49" s="3352"/>
      <c r="N49" s="3352"/>
      <c r="O49" s="3352"/>
      <c r="P49" s="3352"/>
      <c r="Q49" s="3352"/>
      <c r="R49" s="3353"/>
      <c r="V49" s="3350" t="str">
        <f>B49</f>
        <v>Air Sealing</v>
      </c>
      <c r="W49" s="3351"/>
      <c r="X49" s="3351"/>
      <c r="Y49" s="3351"/>
      <c r="Z49" s="3351"/>
      <c r="AA49" s="3351"/>
      <c r="AB49" s="3351"/>
      <c r="AC49" s="3354"/>
      <c r="AD49" s="3354"/>
      <c r="AE49" s="3354"/>
      <c r="AF49" s="3354"/>
      <c r="AG49" s="3354"/>
      <c r="AH49" s="3354"/>
      <c r="AI49" s="3355"/>
      <c r="AK49" s="982"/>
    </row>
    <row r="50" spans="1:57" x14ac:dyDescent="0.25">
      <c r="B50" s="1359"/>
      <c r="C50" s="274"/>
      <c r="D50" s="482"/>
      <c r="E50" s="482"/>
      <c r="F50" s="275"/>
      <c r="G50" s="275"/>
      <c r="H50" s="275"/>
      <c r="I50" s="275"/>
      <c r="J50" s="275"/>
      <c r="K50" s="275"/>
      <c r="L50" s="1635"/>
      <c r="AK50" s="982"/>
    </row>
    <row r="51" spans="1:57" s="993" customFormat="1" ht="30" x14ac:dyDescent="0.25">
      <c r="A51" s="1012"/>
      <c r="B51" s="1823"/>
      <c r="C51" s="1409" t="s">
        <v>17</v>
      </c>
      <c r="D51" s="1409" t="s">
        <v>616</v>
      </c>
      <c r="E51" s="1409" t="s">
        <v>19</v>
      </c>
      <c r="F51" s="1409" t="s">
        <v>20</v>
      </c>
      <c r="G51" s="1409" t="s">
        <v>21</v>
      </c>
      <c r="H51" s="1409" t="s">
        <v>22</v>
      </c>
      <c r="I51" s="1409" t="s">
        <v>872</v>
      </c>
      <c r="J51" s="1409" t="s">
        <v>873</v>
      </c>
      <c r="K51" s="1409" t="s">
        <v>23</v>
      </c>
      <c r="L51" s="1413" t="s">
        <v>24</v>
      </c>
      <c r="M51" s="1409" t="s">
        <v>25</v>
      </c>
      <c r="N51" s="1409" t="s">
        <v>1555</v>
      </c>
      <c r="O51" s="1012"/>
      <c r="P51" s="1012"/>
      <c r="Q51" s="1012"/>
      <c r="R51" s="1012"/>
      <c r="S51" s="1012"/>
      <c r="T51" s="1012"/>
      <c r="U51" s="1012"/>
      <c r="V51" s="55" t="s">
        <v>27</v>
      </c>
      <c r="W51" s="56">
        <f>W$6</f>
        <v>43252</v>
      </c>
      <c r="X51" s="56">
        <f t="shared" ref="X51:AG51" si="10">X$6</f>
        <v>43465</v>
      </c>
      <c r="Y51" s="420">
        <f t="shared" si="10"/>
        <v>43800</v>
      </c>
      <c r="Z51" s="56">
        <f t="shared" si="10"/>
        <v>43862</v>
      </c>
      <c r="AA51" s="56">
        <f t="shared" si="10"/>
        <v>44013</v>
      </c>
      <c r="AB51" s="56">
        <f t="shared" si="10"/>
        <v>44166</v>
      </c>
      <c r="AC51" s="56" t="str">
        <f t="shared" si="10"/>
        <v>-</v>
      </c>
      <c r="AD51" s="56" t="str">
        <f t="shared" si="10"/>
        <v>-</v>
      </c>
      <c r="AE51" s="56" t="str">
        <f t="shared" si="10"/>
        <v>-</v>
      </c>
      <c r="AF51" s="56" t="str">
        <f t="shared" si="10"/>
        <v>-</v>
      </c>
      <c r="AG51" s="56" t="str">
        <f t="shared" si="10"/>
        <v>-</v>
      </c>
      <c r="AH51" s="273"/>
      <c r="AI51" s="273"/>
      <c r="AK51" s="982"/>
      <c r="BB51" s="57" t="str">
        <f>$BB$6</f>
        <v>TRC (2020)</v>
      </c>
      <c r="BC51" s="93" t="str">
        <f>$BC$6</f>
        <v>Benefit Lookup</v>
      </c>
      <c r="BD51" s="741" t="str">
        <f>$BD$6</f>
        <v>Benefits (2019 $)</v>
      </c>
      <c r="BE51" s="279" t="str">
        <f>$BE$6</f>
        <v>Incremental Cost (2019 $)</v>
      </c>
    </row>
    <row r="52" spans="1:57" s="993" customFormat="1" x14ac:dyDescent="0.25">
      <c r="A52" s="1012"/>
      <c r="B52" s="1823"/>
      <c r="C52" s="1323" t="s">
        <v>1556</v>
      </c>
      <c r="D52" s="1658" t="s">
        <v>1518</v>
      </c>
      <c r="E52" s="483" t="s">
        <v>1557</v>
      </c>
      <c r="F52" s="651">
        <f>ROUND(I52+J52,2)</f>
        <v>0.33</v>
      </c>
      <c r="G52" s="1658" t="s">
        <v>1558</v>
      </c>
      <c r="H52" s="202">
        <f>VLOOKUP(G52,'CP FACTORS'!$A$3:$B$38, 2, FALSE)</f>
        <v>4.6608050000000002E-4</v>
      </c>
      <c r="I52" s="1059">
        <f>F68*F76+F76*F92*F$100*F$101</f>
        <v>0.28499999999999998</v>
      </c>
      <c r="J52" s="1659">
        <f t="shared" ref="J52:J59" si="11">F84*F76</f>
        <v>4.2999999999999997E-2</v>
      </c>
      <c r="K52" s="994">
        <f>ROUND(H52*F52,6)</f>
        <v>1.54E-4</v>
      </c>
      <c r="L52" s="1414">
        <f t="shared" ref="L52:L59" si="12">$F$102</f>
        <v>15</v>
      </c>
      <c r="M52" s="1415">
        <f t="shared" ref="M52:M59" si="13">120*F76/1000</f>
        <v>0.12</v>
      </c>
      <c r="N52" s="1088">
        <f>F76</f>
        <v>1</v>
      </c>
      <c r="O52" s="1012"/>
      <c r="P52" s="1012"/>
      <c r="Q52" s="1012"/>
      <c r="R52" s="1627"/>
      <c r="S52" s="1012"/>
      <c r="T52" s="1012"/>
      <c r="U52" s="1012"/>
      <c r="V52" s="208" t="str">
        <f>$F$51</f>
        <v>kWh Annual Savings</v>
      </c>
      <c r="W52" s="209">
        <v>295.70839999999998</v>
      </c>
      <c r="X52" s="980">
        <v>295.70839999999998</v>
      </c>
      <c r="Y52" s="984">
        <v>0.33</v>
      </c>
      <c r="Z52" s="981">
        <v>0.33</v>
      </c>
      <c r="AA52" s="981">
        <v>0.33</v>
      </c>
      <c r="AB52" s="981">
        <v>0.33</v>
      </c>
      <c r="AC52" s="208"/>
      <c r="AD52" s="208"/>
      <c r="AE52" s="208"/>
      <c r="AF52" s="208"/>
      <c r="AG52" s="208"/>
      <c r="AH52" s="976"/>
      <c r="AI52" s="976"/>
      <c r="AK52" s="982"/>
      <c r="BB52" s="2292">
        <f t="shared" ref="BB52:BB57" si="14">(BD52)/(BE52)</f>
        <v>2.7496621881200949</v>
      </c>
      <c r="BC52" s="3045" t="str">
        <f t="shared" ref="BC52:BC57" si="15">CONCATENATE(G52," ",L52," Year EUL")</f>
        <v>Building Shell RES 15 Year EUL</v>
      </c>
      <c r="BD52" s="145">
        <f>(INDEX('Avoided Cost Benefits'!$C$4:$C$857,MATCH(BC52,'Avoided Cost Benefits'!$A$4:$A$857,0)))*F52</f>
        <v>0.31142941252893941</v>
      </c>
      <c r="BE52" s="2293">
        <f t="shared" ref="BE52:BE57" si="16">M52/(1.0595^(2020-2019))</f>
        <v>0.11326097215667766</v>
      </c>
    </row>
    <row r="53" spans="1:57" s="993" customFormat="1" x14ac:dyDescent="0.25">
      <c r="A53" s="1012"/>
      <c r="B53" s="1823"/>
      <c r="C53" s="1323" t="s">
        <v>1559</v>
      </c>
      <c r="D53" s="1658" t="s">
        <v>1518</v>
      </c>
      <c r="E53" s="483" t="s">
        <v>1560</v>
      </c>
      <c r="F53" s="651">
        <f t="shared" ref="F53:F59" si="17">ROUND(I53+J53,2)</f>
        <v>0.25</v>
      </c>
      <c r="G53" s="1658" t="s">
        <v>1558</v>
      </c>
      <c r="H53" s="202">
        <f>VLOOKUP(G53,'CP FACTORS'!$A$3:$B$38, 2, FALSE)</f>
        <v>4.6608050000000002E-4</v>
      </c>
      <c r="I53" s="1059">
        <f t="shared" ref="I53:I59" si="18">F69*F77+F77*F93*F$100*F$101</f>
        <v>0.20799999999999999</v>
      </c>
      <c r="J53" s="1659">
        <f t="shared" si="11"/>
        <v>4.2999999999999997E-2</v>
      </c>
      <c r="K53" s="994">
        <f t="shared" ref="K53:K59" si="19">ROUND(H53*F53,6)</f>
        <v>1.17E-4</v>
      </c>
      <c r="L53" s="1414">
        <f t="shared" si="12"/>
        <v>15</v>
      </c>
      <c r="M53" s="1415">
        <f t="shared" si="13"/>
        <v>0.12</v>
      </c>
      <c r="N53" s="1088">
        <f t="shared" ref="N53:N59" si="20">F77</f>
        <v>1</v>
      </c>
      <c r="O53" s="1012"/>
      <c r="P53" s="1012"/>
      <c r="Q53" s="1012"/>
      <c r="R53" s="1627"/>
      <c r="S53" s="1012"/>
      <c r="T53" s="1012"/>
      <c r="U53" s="1012"/>
      <c r="V53" s="208" t="str">
        <f t="shared" ref="V53:V59" si="21">$F$51</f>
        <v>kWh Annual Savings</v>
      </c>
      <c r="W53" s="209">
        <v>226.28905</v>
      </c>
      <c r="X53" s="980">
        <v>226.28905</v>
      </c>
      <c r="Y53" s="984">
        <v>0.25</v>
      </c>
      <c r="Z53" s="981">
        <v>0.25</v>
      </c>
      <c r="AA53" s="981">
        <v>0.25</v>
      </c>
      <c r="AB53" s="981">
        <v>0.25</v>
      </c>
      <c r="AC53" s="208"/>
      <c r="AD53" s="208"/>
      <c r="AE53" s="208"/>
      <c r="AF53" s="208"/>
      <c r="AG53" s="208"/>
      <c r="AH53" s="976"/>
      <c r="AI53" s="976"/>
      <c r="AK53" s="982"/>
      <c r="BB53" s="71">
        <f t="shared" si="14"/>
        <v>2.0830774152424958</v>
      </c>
      <c r="BC53" s="2295" t="str">
        <f t="shared" si="15"/>
        <v>Building Shell RES 15 Year EUL</v>
      </c>
      <c r="BD53" s="148">
        <f>(INDEX('Avoided Cost Benefits'!$C$4:$C$857,MATCH(BC53,'Avoided Cost Benefits'!$A$4:$A$857,0)))*F53</f>
        <v>0.23593137312798437</v>
      </c>
      <c r="BE53" s="2296">
        <f t="shared" si="16"/>
        <v>0.11326097215667766</v>
      </c>
    </row>
    <row r="54" spans="1:57" s="993" customFormat="1" x14ac:dyDescent="0.25">
      <c r="A54" s="1012"/>
      <c r="B54" s="1823"/>
      <c r="C54" s="1323" t="s">
        <v>1561</v>
      </c>
      <c r="D54" s="1658" t="s">
        <v>1515</v>
      </c>
      <c r="E54" s="3102" t="s">
        <v>1562</v>
      </c>
      <c r="F54" s="651">
        <f t="shared" si="17"/>
        <v>0.36</v>
      </c>
      <c r="G54" s="1658" t="s">
        <v>1558</v>
      </c>
      <c r="H54" s="202">
        <f>VLOOKUP(G54,'CP FACTORS'!$A$3:$B$38, 2, FALSE)</f>
        <v>4.6608050000000002E-4</v>
      </c>
      <c r="I54" s="1059">
        <f t="shared" si="18"/>
        <v>0.308</v>
      </c>
      <c r="J54" s="1659">
        <f t="shared" si="11"/>
        <v>0.05</v>
      </c>
      <c r="K54" s="994">
        <f t="shared" si="19"/>
        <v>1.6799999999999999E-4</v>
      </c>
      <c r="L54" s="1414">
        <f t="shared" si="12"/>
        <v>15</v>
      </c>
      <c r="M54" s="1415">
        <f t="shared" si="13"/>
        <v>0.12</v>
      </c>
      <c r="N54" s="1088">
        <f t="shared" si="20"/>
        <v>1</v>
      </c>
      <c r="O54" s="1012"/>
      <c r="P54" s="1012"/>
      <c r="Q54" s="1012"/>
      <c r="R54" s="1627"/>
      <c r="S54" s="1012"/>
      <c r="T54" s="1012"/>
      <c r="U54" s="1012"/>
      <c r="V54" s="208" t="str">
        <f t="shared" si="21"/>
        <v>kWh Annual Savings</v>
      </c>
      <c r="W54" s="209">
        <v>496.54599999999999</v>
      </c>
      <c r="X54" s="980">
        <v>496.54599999999999</v>
      </c>
      <c r="Y54" s="984">
        <v>0.36</v>
      </c>
      <c r="Z54" s="981">
        <v>0.36</v>
      </c>
      <c r="AA54" s="981">
        <v>0.36</v>
      </c>
      <c r="AB54" s="981">
        <v>0.36</v>
      </c>
      <c r="AC54" s="208"/>
      <c r="AD54" s="208"/>
      <c r="AE54" s="208"/>
      <c r="AF54" s="208"/>
      <c r="AG54" s="208"/>
      <c r="AK54" s="982"/>
      <c r="BB54" s="71">
        <f t="shared" si="14"/>
        <v>2.9996314779491935</v>
      </c>
      <c r="BC54" s="2295" t="str">
        <f t="shared" si="15"/>
        <v>Building Shell RES 15 Year EUL</v>
      </c>
      <c r="BD54" s="148">
        <f>(INDEX('Avoided Cost Benefits'!$C$4:$C$857,MATCH(BC54,'Avoided Cost Benefits'!$A$4:$A$857,0)))*F54</f>
        <v>0.33974117730429748</v>
      </c>
      <c r="BE54" s="2296">
        <f t="shared" si="16"/>
        <v>0.11326097215667766</v>
      </c>
    </row>
    <row r="55" spans="1:57" s="993" customFormat="1" x14ac:dyDescent="0.25">
      <c r="A55" s="1012"/>
      <c r="B55" s="1823"/>
      <c r="C55" s="1323" t="s">
        <v>1563</v>
      </c>
      <c r="D55" s="1658" t="s">
        <v>1515</v>
      </c>
      <c r="E55" s="3102" t="s">
        <v>3617</v>
      </c>
      <c r="F55" s="651">
        <f t="shared" si="17"/>
        <v>0.06</v>
      </c>
      <c r="G55" s="1658" t="s">
        <v>1558</v>
      </c>
      <c r="H55" s="202">
        <f>VLOOKUP(G55,'CP FACTORS'!$A$3:$B$38, 2, FALSE)</f>
        <v>4.6608050000000002E-4</v>
      </c>
      <c r="I55" s="1059">
        <f t="shared" si="18"/>
        <v>1.1960259999999999E-2</v>
      </c>
      <c r="J55" s="1659">
        <f t="shared" si="11"/>
        <v>0.05</v>
      </c>
      <c r="K55" s="994">
        <f t="shared" si="19"/>
        <v>2.8E-5</v>
      </c>
      <c r="L55" s="1414">
        <f t="shared" si="12"/>
        <v>15</v>
      </c>
      <c r="M55" s="1415">
        <f t="shared" si="13"/>
        <v>0.12</v>
      </c>
      <c r="N55" s="1088">
        <f t="shared" si="20"/>
        <v>1</v>
      </c>
      <c r="O55" s="1012"/>
      <c r="P55" s="1012"/>
      <c r="Q55" s="1012"/>
      <c r="R55" s="1627"/>
      <c r="S55" s="1012"/>
      <c r="T55" s="1012"/>
      <c r="U55" s="1012"/>
      <c r="V55" s="208" t="str">
        <f t="shared" si="21"/>
        <v>kWh Annual Savings</v>
      </c>
      <c r="W55" s="209"/>
      <c r="X55" s="980"/>
      <c r="Y55" s="984">
        <v>0.06</v>
      </c>
      <c r="Z55" s="981">
        <v>0.06</v>
      </c>
      <c r="AA55" s="981">
        <v>0.06</v>
      </c>
      <c r="AB55" s="981">
        <v>0.06</v>
      </c>
      <c r="AC55" s="208"/>
      <c r="AD55" s="208"/>
      <c r="AE55" s="208"/>
      <c r="AF55" s="208"/>
      <c r="AG55" s="208"/>
      <c r="AK55" s="982"/>
      <c r="BB55" s="71">
        <f>(BD55)/(BE55)</f>
        <v>0.49993857965819899</v>
      </c>
      <c r="BC55" s="2295" t="str">
        <f t="shared" si="15"/>
        <v>Building Shell RES 15 Year EUL</v>
      </c>
      <c r="BD55" s="148">
        <f>(INDEX('Avoided Cost Benefits'!$C$4:$C$857,MATCH(BC55,'Avoided Cost Benefits'!$A$4:$A$857,0)))*F55</f>
        <v>5.6623529550716249E-2</v>
      </c>
      <c r="BE55" s="2296">
        <f t="shared" si="16"/>
        <v>0.11326097215667766</v>
      </c>
    </row>
    <row r="56" spans="1:57" s="993" customFormat="1" x14ac:dyDescent="0.25">
      <c r="A56" s="1012"/>
      <c r="B56" s="1823"/>
      <c r="C56" s="1323" t="s">
        <v>1564</v>
      </c>
      <c r="D56" s="1658" t="s">
        <v>1515</v>
      </c>
      <c r="E56" s="3102" t="s">
        <v>1565</v>
      </c>
      <c r="F56" s="651">
        <f t="shared" si="17"/>
        <v>0.31</v>
      </c>
      <c r="G56" s="1658" t="s">
        <v>1558</v>
      </c>
      <c r="H56" s="202">
        <f>VLOOKUP(G56,'CP FACTORS'!$A$3:$B$38, 2, FALSE)</f>
        <v>4.6608050000000002E-4</v>
      </c>
      <c r="I56" s="1059">
        <f t="shared" si="18"/>
        <v>0.25700000000000001</v>
      </c>
      <c r="J56" s="1659">
        <f t="shared" si="11"/>
        <v>0.05</v>
      </c>
      <c r="K56" s="994">
        <f t="shared" si="19"/>
        <v>1.44E-4</v>
      </c>
      <c r="L56" s="1414">
        <f t="shared" si="12"/>
        <v>15</v>
      </c>
      <c r="M56" s="1415">
        <f t="shared" si="13"/>
        <v>0.12</v>
      </c>
      <c r="N56" s="1088">
        <f t="shared" si="20"/>
        <v>1</v>
      </c>
      <c r="O56" s="1012"/>
      <c r="P56" s="1012"/>
      <c r="Q56" s="1012"/>
      <c r="R56" s="1627"/>
      <c r="S56" s="1012"/>
      <c r="T56" s="1012"/>
      <c r="U56" s="1012"/>
      <c r="V56" s="208" t="str">
        <f t="shared" si="21"/>
        <v>kWh Annual Savings</v>
      </c>
      <c r="W56" s="209">
        <v>425.80900000000003</v>
      </c>
      <c r="X56" s="980">
        <v>425.80900000000003</v>
      </c>
      <c r="Y56" s="984">
        <v>0.31</v>
      </c>
      <c r="Z56" s="981">
        <v>0.31</v>
      </c>
      <c r="AA56" s="981">
        <v>0.31</v>
      </c>
      <c r="AB56" s="981">
        <v>0.31</v>
      </c>
      <c r="AC56" s="208"/>
      <c r="AD56" s="208"/>
      <c r="AE56" s="208"/>
      <c r="AF56" s="208"/>
      <c r="AG56" s="208"/>
      <c r="AK56" s="982"/>
      <c r="BB56" s="71">
        <f t="shared" si="14"/>
        <v>2.5830159949006943</v>
      </c>
      <c r="BC56" s="2295" t="str">
        <f t="shared" si="15"/>
        <v>Building Shell RES 15 Year EUL</v>
      </c>
      <c r="BD56" s="148">
        <f>(INDEX('Avoided Cost Benefits'!$C$4:$C$857,MATCH(BC56,'Avoided Cost Benefits'!$A$4:$A$857,0)))*F56</f>
        <v>0.2925549026787006</v>
      </c>
      <c r="BE56" s="2296">
        <f t="shared" si="16"/>
        <v>0.11326097215667766</v>
      </c>
    </row>
    <row r="57" spans="1:57" s="993" customFormat="1" x14ac:dyDescent="0.25">
      <c r="A57" s="1012"/>
      <c r="B57" s="1823"/>
      <c r="C57" s="1323" t="s">
        <v>1566</v>
      </c>
      <c r="D57" s="1658" t="s">
        <v>1515</v>
      </c>
      <c r="E57" s="1824" t="s">
        <v>1567</v>
      </c>
      <c r="F57" s="651">
        <f t="shared" si="17"/>
        <v>0.48</v>
      </c>
      <c r="G57" s="1658" t="s">
        <v>1558</v>
      </c>
      <c r="H57" s="202">
        <f>VLOOKUP(G57,'CP FACTORS'!$A$3:$B$38, 2, FALSE)</f>
        <v>4.6608050000000002E-4</v>
      </c>
      <c r="I57" s="1059">
        <f t="shared" si="18"/>
        <v>0.41299999999999998</v>
      </c>
      <c r="J57" s="1659">
        <f t="shared" si="11"/>
        <v>6.2E-2</v>
      </c>
      <c r="K57" s="994">
        <f t="shared" si="19"/>
        <v>2.24E-4</v>
      </c>
      <c r="L57" s="1414">
        <f t="shared" si="12"/>
        <v>15</v>
      </c>
      <c r="M57" s="1415">
        <f t="shared" si="13"/>
        <v>0.12</v>
      </c>
      <c r="N57" s="1088">
        <f t="shared" si="20"/>
        <v>1</v>
      </c>
      <c r="O57" s="1012"/>
      <c r="P57" s="1012"/>
      <c r="Q57" s="1012"/>
      <c r="R57" s="1627"/>
      <c r="S57" s="1012"/>
      <c r="T57" s="1012"/>
      <c r="U57" s="1012"/>
      <c r="V57" s="208" t="str">
        <f t="shared" si="21"/>
        <v>kWh Annual Savings</v>
      </c>
      <c r="W57" s="209">
        <v>513</v>
      </c>
      <c r="X57" s="980">
        <v>513</v>
      </c>
      <c r="Y57" s="984">
        <v>0.48</v>
      </c>
      <c r="Z57" s="981">
        <v>0.48</v>
      </c>
      <c r="AA57" s="981">
        <v>0.48</v>
      </c>
      <c r="AB57" s="981">
        <v>0.48</v>
      </c>
      <c r="AC57" s="208"/>
      <c r="AD57" s="208"/>
      <c r="AE57" s="208"/>
      <c r="AF57" s="208"/>
      <c r="AG57" s="208"/>
      <c r="AK57" s="982"/>
      <c r="BB57" s="71">
        <f t="shared" si="14"/>
        <v>3.9995086372655919</v>
      </c>
      <c r="BC57" s="2295" t="str">
        <f t="shared" si="15"/>
        <v>Building Shell RES 15 Year EUL</v>
      </c>
      <c r="BD57" s="148">
        <f>(INDEX('Avoided Cost Benefits'!$C$4:$C$857,MATCH(BC57,'Avoided Cost Benefits'!$A$4:$A$857,0)))*F57</f>
        <v>0.45298823640572999</v>
      </c>
      <c r="BE57" s="2296">
        <f t="shared" si="16"/>
        <v>0.11326097215667766</v>
      </c>
    </row>
    <row r="58" spans="1:57" s="993" customFormat="1" x14ac:dyDescent="0.25">
      <c r="A58" s="1012"/>
      <c r="B58" s="1823"/>
      <c r="C58" s="1323" t="s">
        <v>1568</v>
      </c>
      <c r="D58" s="1658" t="s">
        <v>1515</v>
      </c>
      <c r="E58" s="3102" t="s">
        <v>1569</v>
      </c>
      <c r="F58" s="651">
        <f t="shared" si="17"/>
        <v>0.45</v>
      </c>
      <c r="G58" s="1658" t="s">
        <v>1558</v>
      </c>
      <c r="H58" s="202">
        <f>VLOOKUP(G58,'CP FACTORS'!$A$3:$B$38, 2, FALSE)</f>
        <v>4.6608050000000002E-4</v>
      </c>
      <c r="I58" s="1059">
        <f t="shared" si="18"/>
        <v>0.39100000000000001</v>
      </c>
      <c r="J58" s="1659">
        <f t="shared" si="11"/>
        <v>6.2E-2</v>
      </c>
      <c r="K58" s="994">
        <f t="shared" si="19"/>
        <v>2.1000000000000001E-4</v>
      </c>
      <c r="L58" s="1414">
        <f t="shared" si="12"/>
        <v>15</v>
      </c>
      <c r="M58" s="1415">
        <f t="shared" si="13"/>
        <v>0.12</v>
      </c>
      <c r="N58" s="1088">
        <f t="shared" si="20"/>
        <v>1</v>
      </c>
      <c r="O58" s="1012"/>
      <c r="P58" s="1012"/>
      <c r="Q58" s="1012"/>
      <c r="R58" s="1627"/>
      <c r="S58" s="1012"/>
      <c r="T58" s="1012"/>
      <c r="U58" s="1012"/>
      <c r="V58" s="208" t="str">
        <f t="shared" si="21"/>
        <v>kWh Annual Savings</v>
      </c>
      <c r="W58" s="209"/>
      <c r="X58" s="980"/>
      <c r="Y58" s="984">
        <v>0.45</v>
      </c>
      <c r="Z58" s="981">
        <v>0.45</v>
      </c>
      <c r="AA58" s="981">
        <v>0.45</v>
      </c>
      <c r="AB58" s="981">
        <v>0.45</v>
      </c>
      <c r="AC58" s="208"/>
      <c r="AD58" s="208"/>
      <c r="AE58" s="208"/>
      <c r="AF58" s="208"/>
      <c r="AG58" s="208"/>
      <c r="AK58" s="982"/>
      <c r="BB58" s="71">
        <f t="shared" ref="BB58:BB59" si="22">(BD58)/(BE58)</f>
        <v>3.7495393474364924</v>
      </c>
      <c r="BC58" s="2295" t="str">
        <f t="shared" ref="BC58:BC59" si="23">CONCATENATE(G58," ",L58," Year EUL")</f>
        <v>Building Shell RES 15 Year EUL</v>
      </c>
      <c r="BD58" s="148">
        <f>(INDEX('Avoided Cost Benefits'!$C$4:$C$857,MATCH(BC58,'Avoided Cost Benefits'!$A$4:$A$857,0)))*F58</f>
        <v>0.42467647163037187</v>
      </c>
      <c r="BE58" s="2296">
        <f t="shared" ref="BE58:BE59" si="24">M58/(1.0595^(2020-2019))</f>
        <v>0.11326097215667766</v>
      </c>
    </row>
    <row r="59" spans="1:57" s="993" customFormat="1" x14ac:dyDescent="0.25">
      <c r="A59" s="1012"/>
      <c r="B59" s="1823"/>
      <c r="C59" s="1323" t="s">
        <v>1570</v>
      </c>
      <c r="D59" s="1658" t="s">
        <v>1515</v>
      </c>
      <c r="E59" s="1824" t="s">
        <v>1571</v>
      </c>
      <c r="F59" s="651">
        <f t="shared" si="17"/>
        <v>0.08</v>
      </c>
      <c r="G59" s="1658" t="s">
        <v>1558</v>
      </c>
      <c r="H59" s="202">
        <f>VLOOKUP(G59,'CP FACTORS'!$A$3:$B$38, 2, FALSE)</f>
        <v>4.6608050000000002E-4</v>
      </c>
      <c r="I59" s="1059">
        <f t="shared" si="18"/>
        <v>1.5640339999999999E-2</v>
      </c>
      <c r="J59" s="1659">
        <f t="shared" si="11"/>
        <v>6.2E-2</v>
      </c>
      <c r="K59" s="994">
        <f t="shared" si="19"/>
        <v>3.6999999999999998E-5</v>
      </c>
      <c r="L59" s="1414">
        <f t="shared" si="12"/>
        <v>15</v>
      </c>
      <c r="M59" s="1415">
        <f t="shared" si="13"/>
        <v>0.12</v>
      </c>
      <c r="N59" s="1088">
        <f t="shared" si="20"/>
        <v>1</v>
      </c>
      <c r="O59" s="1012"/>
      <c r="P59" s="1012"/>
      <c r="Q59" s="1012"/>
      <c r="R59" s="1627"/>
      <c r="S59" s="1012"/>
      <c r="T59" s="1012"/>
      <c r="U59" s="1012"/>
      <c r="V59" s="208" t="str">
        <f t="shared" si="21"/>
        <v>kWh Annual Savings</v>
      </c>
      <c r="W59" s="209"/>
      <c r="X59" s="980"/>
      <c r="Y59" s="984">
        <v>0.08</v>
      </c>
      <c r="Z59" s="981">
        <v>0.08</v>
      </c>
      <c r="AA59" s="981">
        <v>0.08</v>
      </c>
      <c r="AB59" s="981">
        <v>0.08</v>
      </c>
      <c r="AC59" s="208"/>
      <c r="AD59" s="208"/>
      <c r="AE59" s="208"/>
      <c r="AF59" s="208"/>
      <c r="AG59" s="208"/>
      <c r="AK59" s="982"/>
      <c r="BB59" s="74">
        <f t="shared" si="22"/>
        <v>0.66658477287759854</v>
      </c>
      <c r="BC59" s="2295" t="str">
        <f t="shared" si="23"/>
        <v>Building Shell RES 15 Year EUL</v>
      </c>
      <c r="BD59" s="153">
        <f>(INDEX('Avoided Cost Benefits'!$C$4:$C$857,MATCH(BC59,'Avoided Cost Benefits'!$A$4:$A$857,0)))*F59</f>
        <v>7.5498039400954994E-2</v>
      </c>
      <c r="BE59" s="2297">
        <f t="shared" si="24"/>
        <v>0.11326097215667766</v>
      </c>
    </row>
    <row r="60" spans="1:57" outlineLevel="1" x14ac:dyDescent="0.25">
      <c r="B60" s="1359"/>
      <c r="C60" s="274"/>
      <c r="F60" s="297"/>
      <c r="AK60" s="982"/>
    </row>
    <row r="61" spans="1:57" outlineLevel="1" x14ac:dyDescent="0.25">
      <c r="B61" s="1359"/>
      <c r="C61" s="274"/>
      <c r="D61" s="296" t="s">
        <v>571</v>
      </c>
      <c r="E61" s="296" t="s">
        <v>3822</v>
      </c>
      <c r="F61" s="297"/>
      <c r="AK61" s="982"/>
    </row>
    <row r="62" spans="1:57" outlineLevel="1" x14ac:dyDescent="0.25">
      <c r="B62" s="1359"/>
      <c r="C62" s="302"/>
      <c r="D62" s="1825"/>
      <c r="E62" s="1826"/>
      <c r="F62" s="1827"/>
      <c r="G62" s="1827"/>
      <c r="H62" s="1827"/>
      <c r="I62" s="1827"/>
      <c r="J62" s="997"/>
      <c r="K62" s="997"/>
      <c r="L62" s="997"/>
      <c r="AK62" s="982"/>
    </row>
    <row r="63" spans="1:57" outlineLevel="1" x14ac:dyDescent="0.25">
      <c r="B63" s="1359"/>
      <c r="C63" s="316"/>
      <c r="D63" s="1828"/>
      <c r="E63" s="1829"/>
      <c r="F63" s="1830"/>
      <c r="G63" s="1830"/>
      <c r="H63" s="1830"/>
      <c r="I63" s="1830"/>
      <c r="J63" s="998"/>
      <c r="K63" s="998"/>
      <c r="L63" s="998"/>
      <c r="AK63" s="982"/>
    </row>
    <row r="64" spans="1:57" outlineLevel="1" x14ac:dyDescent="0.25">
      <c r="B64" s="1359"/>
      <c r="C64" s="316"/>
      <c r="D64" s="1828"/>
      <c r="E64" s="1829"/>
      <c r="F64" s="1830"/>
      <c r="G64" s="1830"/>
      <c r="H64" s="1830"/>
      <c r="I64" s="1830"/>
      <c r="J64" s="998"/>
      <c r="K64" s="998"/>
      <c r="L64" s="998"/>
      <c r="AK64" s="982"/>
    </row>
    <row r="65" spans="2:37" ht="39.75" customHeight="1" outlineLevel="1" x14ac:dyDescent="0.25">
      <c r="B65" s="1359"/>
      <c r="C65" s="317"/>
      <c r="D65" s="1831"/>
      <c r="E65" s="3843"/>
      <c r="F65" s="3844"/>
      <c r="G65" s="3844"/>
      <c r="H65" s="3844"/>
      <c r="I65" s="3844"/>
      <c r="J65" s="3844"/>
      <c r="K65" s="3844"/>
      <c r="L65" s="3844"/>
      <c r="AK65" s="982"/>
    </row>
    <row r="66" spans="2:37" outlineLevel="1" x14ac:dyDescent="0.25">
      <c r="B66" s="1359"/>
      <c r="C66" s="274"/>
      <c r="AK66" s="982"/>
    </row>
    <row r="67" spans="2:37" outlineLevel="1" x14ac:dyDescent="0.25">
      <c r="B67" s="1359"/>
      <c r="C67" s="274"/>
      <c r="D67" s="1456" t="s">
        <v>572</v>
      </c>
      <c r="E67" s="1456" t="s">
        <v>573</v>
      </c>
      <c r="F67" s="1409" t="s">
        <v>574</v>
      </c>
      <c r="G67" s="1409" t="s">
        <v>624</v>
      </c>
      <c r="H67" s="1409" t="s">
        <v>713</v>
      </c>
      <c r="V67" s="55" t="s">
        <v>27</v>
      </c>
      <c r="W67" s="56">
        <f>W$6</f>
        <v>43252</v>
      </c>
      <c r="X67" s="56">
        <f t="shared" ref="X67:AG67" si="25">X$6</f>
        <v>43465</v>
      </c>
      <c r="Y67" s="420">
        <f t="shared" si="25"/>
        <v>43800</v>
      </c>
      <c r="Z67" s="56">
        <f t="shared" si="25"/>
        <v>43862</v>
      </c>
      <c r="AA67" s="56">
        <f t="shared" si="25"/>
        <v>44013</v>
      </c>
      <c r="AB67" s="56">
        <f t="shared" si="25"/>
        <v>44166</v>
      </c>
      <c r="AC67" s="56" t="str">
        <f t="shared" si="25"/>
        <v>-</v>
      </c>
      <c r="AD67" s="56" t="str">
        <f t="shared" si="25"/>
        <v>-</v>
      </c>
      <c r="AE67" s="56" t="str">
        <f t="shared" si="25"/>
        <v>-</v>
      </c>
      <c r="AF67" s="56" t="str">
        <f t="shared" si="25"/>
        <v>-</v>
      </c>
      <c r="AG67" s="56" t="str">
        <f t="shared" si="25"/>
        <v>-</v>
      </c>
      <c r="AK67" s="982"/>
    </row>
    <row r="68" spans="2:37" ht="15" customHeight="1" outlineLevel="1" x14ac:dyDescent="0.25">
      <c r="B68" s="1359"/>
      <c r="C68" s="274"/>
      <c r="D68" s="3839" t="s">
        <v>3233</v>
      </c>
      <c r="E68" s="483" t="str">
        <f>E52</f>
        <v>Air Sealing (Infiltration reduction) - 30% MF LI DI electric furnace base</v>
      </c>
      <c r="F68" s="1832">
        <v>0.28499999999999998</v>
      </c>
      <c r="G68" s="1189" t="s">
        <v>714</v>
      </c>
      <c r="H68" s="1322"/>
      <c r="V68" s="3841" t="str">
        <f>D68</f>
        <v>Defaultheat</v>
      </c>
      <c r="W68" s="999">
        <v>0.28499999999999998</v>
      </c>
      <c r="X68" s="999">
        <v>0.28499999999999998</v>
      </c>
      <c r="Y68" s="999">
        <v>0.28499999999999998</v>
      </c>
      <c r="Z68" s="1832">
        <v>0.28499999999999998</v>
      </c>
      <c r="AA68" s="1832">
        <v>0.28499999999999998</v>
      </c>
      <c r="AB68" s="1832">
        <v>0.28499999999999998</v>
      </c>
      <c r="AC68" s="251"/>
      <c r="AD68" s="251"/>
      <c r="AE68" s="251"/>
      <c r="AF68" s="251"/>
      <c r="AG68" s="251"/>
      <c r="AK68" s="982"/>
    </row>
    <row r="69" spans="2:37" ht="15" customHeight="1" outlineLevel="1" x14ac:dyDescent="0.25">
      <c r="B69" s="1359"/>
      <c r="C69" s="274"/>
      <c r="D69" s="3840"/>
      <c r="E69" s="483" t="str">
        <f t="shared" ref="E69:E75" si="26">E53</f>
        <v>Air Sealing (Infiltration reduction) - 30% MF LI DI heat pump base</v>
      </c>
      <c r="F69" s="1832">
        <v>0.20799999999999999</v>
      </c>
      <c r="G69" s="1189" t="s">
        <v>714</v>
      </c>
      <c r="H69" s="1322"/>
      <c r="V69" s="3842"/>
      <c r="W69" s="999">
        <v>0.20799999999999999</v>
      </c>
      <c r="X69" s="999">
        <v>0.20799999999999999</v>
      </c>
      <c r="Y69" s="999">
        <v>0.20799999999999999</v>
      </c>
      <c r="Z69" s="1832">
        <v>0.20799999999999999</v>
      </c>
      <c r="AA69" s="1832">
        <v>0.20799999999999999</v>
      </c>
      <c r="AB69" s="1832">
        <v>0.20799999999999999</v>
      </c>
      <c r="AC69" s="251"/>
      <c r="AD69" s="251"/>
      <c r="AE69" s="251"/>
      <c r="AF69" s="251"/>
      <c r="AG69" s="251"/>
      <c r="AK69" s="982"/>
    </row>
    <row r="70" spans="2:37" outlineLevel="1" x14ac:dyDescent="0.25">
      <c r="B70" s="1359"/>
      <c r="C70" s="274"/>
      <c r="D70" s="3840"/>
      <c r="E70" s="483" t="str">
        <f t="shared" si="26"/>
        <v>Air Sealing (Infiltration reduction) - 30% SF LI DI electric furnace base</v>
      </c>
      <c r="F70" s="1832">
        <v>0.308</v>
      </c>
      <c r="G70" s="1189" t="s">
        <v>714</v>
      </c>
      <c r="H70" s="1322"/>
      <c r="V70" s="3842"/>
      <c r="W70" s="999">
        <v>0.308</v>
      </c>
      <c r="X70" s="999">
        <v>0.308</v>
      </c>
      <c r="Y70" s="999">
        <v>0.308</v>
      </c>
      <c r="Z70" s="1832">
        <v>0.308</v>
      </c>
      <c r="AA70" s="1832">
        <v>0.308</v>
      </c>
      <c r="AB70" s="1832">
        <v>0.308</v>
      </c>
      <c r="AC70" s="251"/>
      <c r="AD70" s="251"/>
      <c r="AE70" s="251"/>
      <c r="AF70" s="251"/>
      <c r="AG70" s="251"/>
      <c r="AK70" s="982"/>
    </row>
    <row r="71" spans="2:37" outlineLevel="1" x14ac:dyDescent="0.25">
      <c r="B71" s="1359"/>
      <c r="C71" s="274"/>
      <c r="D71" s="3840"/>
      <c r="E71" s="483" t="str">
        <f t="shared" si="26"/>
        <v>Air Sealing (Infiltration reduction) - 30% SF LI DI Gas furnace base</v>
      </c>
      <c r="F71" s="1832">
        <v>0</v>
      </c>
      <c r="G71" s="1189" t="s">
        <v>714</v>
      </c>
      <c r="H71" s="1322"/>
      <c r="V71" s="3842"/>
      <c r="W71" s="999"/>
      <c r="X71" s="999"/>
      <c r="Y71" s="1000">
        <v>0</v>
      </c>
      <c r="Z71" s="1832">
        <v>0</v>
      </c>
      <c r="AA71" s="1832">
        <v>0</v>
      </c>
      <c r="AB71" s="1832">
        <v>0</v>
      </c>
      <c r="AC71" s="251"/>
      <c r="AD71" s="251"/>
      <c r="AE71" s="251"/>
      <c r="AF71" s="251"/>
      <c r="AG71" s="251"/>
      <c r="AK71" s="982"/>
    </row>
    <row r="72" spans="2:37" outlineLevel="1" x14ac:dyDescent="0.25">
      <c r="B72" s="1359"/>
      <c r="C72" s="274"/>
      <c r="D72" s="3840"/>
      <c r="E72" s="483" t="str">
        <f t="shared" si="26"/>
        <v>Air Sealing (Infiltration reduction) - 30% SF LI DI heat pump base</v>
      </c>
      <c r="F72" s="1832">
        <v>0.25700000000000001</v>
      </c>
      <c r="G72" s="1189" t="s">
        <v>714</v>
      </c>
      <c r="H72" s="1322"/>
      <c r="V72" s="3842"/>
      <c r="W72" s="999">
        <v>0.25700000000000001</v>
      </c>
      <c r="X72" s="999">
        <v>0.25700000000000001</v>
      </c>
      <c r="Y72" s="999">
        <v>0.25700000000000001</v>
      </c>
      <c r="Z72" s="1832">
        <v>0.25700000000000001</v>
      </c>
      <c r="AA72" s="1832">
        <v>0.25700000000000001</v>
      </c>
      <c r="AB72" s="1832">
        <v>0.25700000000000001</v>
      </c>
      <c r="AC72" s="1001"/>
      <c r="AD72" s="1001"/>
      <c r="AE72" s="1001"/>
      <c r="AF72" s="1001"/>
      <c r="AG72" s="1001"/>
      <c r="AK72" s="982"/>
    </row>
    <row r="73" spans="2:37" outlineLevel="1" x14ac:dyDescent="0.25">
      <c r="B73" s="1359"/>
      <c r="C73" s="274"/>
      <c r="D73" s="3840"/>
      <c r="E73" s="483" t="str">
        <f t="shared" si="26"/>
        <v>MH Adjusted Air Sealing (Infiltration reduction) - 30% SF LI DI electric furnace base</v>
      </c>
      <c r="F73" s="1832">
        <v>0.41299999999999998</v>
      </c>
      <c r="G73" s="1189" t="s">
        <v>714</v>
      </c>
      <c r="H73" s="1322"/>
      <c r="V73" s="3842"/>
      <c r="W73" s="999">
        <v>0.41299999999999998</v>
      </c>
      <c r="X73" s="999">
        <v>0.41299999999999998</v>
      </c>
      <c r="Y73" s="999">
        <v>0.41299999999999998</v>
      </c>
      <c r="Z73" s="1832">
        <v>0.41299999999999998</v>
      </c>
      <c r="AA73" s="1832">
        <v>0.41299999999999998</v>
      </c>
      <c r="AB73" s="1832">
        <v>0.41299999999999998</v>
      </c>
      <c r="AC73" s="1001"/>
      <c r="AD73" s="1001"/>
      <c r="AE73" s="1001"/>
      <c r="AF73" s="1001"/>
      <c r="AG73" s="1001"/>
      <c r="AK73" s="982"/>
    </row>
    <row r="74" spans="2:37" outlineLevel="1" x14ac:dyDescent="0.25">
      <c r="B74" s="1359"/>
      <c r="C74" s="274"/>
      <c r="D74" s="3362"/>
      <c r="E74" s="483" t="str">
        <f t="shared" si="26"/>
        <v>MH Adjusted Air Sealing (Infiltration reduction) - 30% SF LI DI heat pump base</v>
      </c>
      <c r="F74" s="1832">
        <v>0.39100000000000001</v>
      </c>
      <c r="G74" s="1189" t="s">
        <v>714</v>
      </c>
      <c r="H74" s="1322"/>
      <c r="V74" s="3439"/>
      <c r="W74" s="999"/>
      <c r="X74" s="999"/>
      <c r="Y74" s="1000">
        <v>0.39100000000000001</v>
      </c>
      <c r="Z74" s="1832">
        <v>0.39100000000000001</v>
      </c>
      <c r="AA74" s="1832">
        <v>0.39100000000000001</v>
      </c>
      <c r="AB74" s="1832">
        <v>0.39100000000000001</v>
      </c>
      <c r="AC74" s="1001"/>
      <c r="AD74" s="1001"/>
      <c r="AE74" s="1001"/>
      <c r="AF74" s="1001"/>
      <c r="AG74" s="1001"/>
      <c r="AK74" s="982"/>
    </row>
    <row r="75" spans="2:37" outlineLevel="1" x14ac:dyDescent="0.25">
      <c r="B75" s="1359"/>
      <c r="C75" s="274"/>
      <c r="D75" s="3434"/>
      <c r="E75" s="483" t="str">
        <f t="shared" si="26"/>
        <v>MH Adjusted Air Sealing (Infiltration reduction) - 30% SF LI DI gas furnace base</v>
      </c>
      <c r="F75" s="1832">
        <v>0</v>
      </c>
      <c r="G75" s="1189" t="s">
        <v>714</v>
      </c>
      <c r="H75" s="1322"/>
      <c r="V75" s="3437"/>
      <c r="W75" s="999"/>
      <c r="X75" s="999"/>
      <c r="Y75" s="1000">
        <v>0</v>
      </c>
      <c r="Z75" s="1832">
        <v>0</v>
      </c>
      <c r="AA75" s="1832">
        <v>0</v>
      </c>
      <c r="AB75" s="1832">
        <v>0</v>
      </c>
      <c r="AC75" s="1001"/>
      <c r="AD75" s="1001"/>
      <c r="AE75" s="1001"/>
      <c r="AF75" s="1001"/>
      <c r="AG75" s="1001"/>
      <c r="AK75" s="982"/>
    </row>
    <row r="76" spans="2:37" outlineLevel="1" x14ac:dyDescent="0.25">
      <c r="B76" s="1359"/>
      <c r="C76" s="274"/>
      <c r="D76" s="3839" t="s">
        <v>1572</v>
      </c>
      <c r="E76" s="483" t="str">
        <f>E68</f>
        <v>Air Sealing (Infiltration reduction) - 30% MF LI DI electric furnace base</v>
      </c>
      <c r="F76" s="1092">
        <v>1</v>
      </c>
      <c r="G76" s="1436" t="s">
        <v>1573</v>
      </c>
      <c r="H76" s="1091" t="s">
        <v>1574</v>
      </c>
      <c r="V76" s="3841" t="str">
        <f>D76</f>
        <v>Sq. Ft.</v>
      </c>
      <c r="W76" s="1003">
        <f>1387*0.65</f>
        <v>901.55000000000007</v>
      </c>
      <c r="X76" s="1003">
        <v>901.55000000000007</v>
      </c>
      <c r="Y76" s="1002">
        <v>1</v>
      </c>
      <c r="Z76" s="1092">
        <v>1</v>
      </c>
      <c r="AA76" s="1092">
        <v>1</v>
      </c>
      <c r="AB76" s="1092">
        <v>1</v>
      </c>
      <c r="AC76" s="1001"/>
      <c r="AD76" s="1001"/>
      <c r="AE76" s="1001"/>
      <c r="AF76" s="1001"/>
      <c r="AG76" s="1001"/>
      <c r="AK76" s="982"/>
    </row>
    <row r="77" spans="2:37" outlineLevel="1" x14ac:dyDescent="0.25">
      <c r="B77" s="1359"/>
      <c r="C77" s="274"/>
      <c r="D77" s="3840"/>
      <c r="E77" s="483" t="str">
        <f t="shared" ref="E77:E99" si="27">E69</f>
        <v>Air Sealing (Infiltration reduction) - 30% MF LI DI heat pump base</v>
      </c>
      <c r="F77" s="1092">
        <v>1</v>
      </c>
      <c r="G77" s="1436" t="s">
        <v>1573</v>
      </c>
      <c r="H77" s="1091" t="s">
        <v>1574</v>
      </c>
      <c r="V77" s="3842"/>
      <c r="W77" s="1003">
        <f>1387*0.65</f>
        <v>901.55000000000007</v>
      </c>
      <c r="X77" s="1003">
        <v>901.55000000000007</v>
      </c>
      <c r="Y77" s="1002">
        <v>1</v>
      </c>
      <c r="Z77" s="1092">
        <v>1</v>
      </c>
      <c r="AA77" s="1092">
        <v>1</v>
      </c>
      <c r="AB77" s="1092">
        <v>1</v>
      </c>
      <c r="AC77" s="1001"/>
      <c r="AD77" s="1001"/>
      <c r="AE77" s="1001"/>
      <c r="AF77" s="1001"/>
      <c r="AG77" s="1001"/>
      <c r="AK77" s="982"/>
    </row>
    <row r="78" spans="2:37" outlineLevel="1" x14ac:dyDescent="0.25">
      <c r="B78" s="1359"/>
      <c r="C78" s="274"/>
      <c r="D78" s="3840"/>
      <c r="E78" s="483" t="str">
        <f t="shared" si="27"/>
        <v>Air Sealing (Infiltration reduction) - 30% SF LI DI electric furnace base</v>
      </c>
      <c r="F78" s="1092">
        <v>1</v>
      </c>
      <c r="G78" s="1436" t="s">
        <v>1575</v>
      </c>
      <c r="H78" s="1091"/>
      <c r="V78" s="3842"/>
      <c r="W78" s="1003">
        <v>1387</v>
      </c>
      <c r="X78" s="1003">
        <v>1387</v>
      </c>
      <c r="Y78" s="1002">
        <v>1</v>
      </c>
      <c r="Z78" s="1092">
        <v>1</v>
      </c>
      <c r="AA78" s="1092">
        <v>1</v>
      </c>
      <c r="AB78" s="1092">
        <v>1</v>
      </c>
      <c r="AC78" s="1001"/>
      <c r="AD78" s="1001"/>
      <c r="AE78" s="1001"/>
      <c r="AF78" s="1001"/>
      <c r="AG78" s="1001"/>
      <c r="AK78" s="982"/>
    </row>
    <row r="79" spans="2:37" outlineLevel="1" x14ac:dyDescent="0.25">
      <c r="B79" s="1359"/>
      <c r="C79" s="274"/>
      <c r="D79" s="3840"/>
      <c r="E79" s="483" t="str">
        <f t="shared" si="27"/>
        <v>Air Sealing (Infiltration reduction) - 30% SF LI DI Gas furnace base</v>
      </c>
      <c r="F79" s="1092">
        <v>1</v>
      </c>
      <c r="G79" s="1436" t="s">
        <v>1575</v>
      </c>
      <c r="H79" s="1091"/>
      <c r="V79" s="3842"/>
      <c r="W79" s="1003"/>
      <c r="X79" s="1003"/>
      <c r="Y79" s="1002">
        <v>1</v>
      </c>
      <c r="Z79" s="1092">
        <v>1</v>
      </c>
      <c r="AA79" s="1092">
        <v>1</v>
      </c>
      <c r="AB79" s="1092">
        <v>1</v>
      </c>
      <c r="AC79" s="1001"/>
      <c r="AD79" s="1001"/>
      <c r="AE79" s="1001"/>
      <c r="AF79" s="1001"/>
      <c r="AG79" s="1001"/>
      <c r="AK79" s="982"/>
    </row>
    <row r="80" spans="2:37" outlineLevel="1" x14ac:dyDescent="0.25">
      <c r="B80" s="1359"/>
      <c r="C80" s="274"/>
      <c r="D80" s="3840"/>
      <c r="E80" s="483" t="str">
        <f t="shared" si="27"/>
        <v>Air Sealing (Infiltration reduction) - 30% SF LI DI heat pump base</v>
      </c>
      <c r="F80" s="1092">
        <v>1</v>
      </c>
      <c r="G80" s="1436" t="s">
        <v>1576</v>
      </c>
      <c r="H80" s="1091"/>
      <c r="V80" s="3842"/>
      <c r="W80" s="1003">
        <v>1387</v>
      </c>
      <c r="X80" s="1003">
        <v>1387</v>
      </c>
      <c r="Y80" s="1002">
        <v>1</v>
      </c>
      <c r="Z80" s="1092">
        <v>1</v>
      </c>
      <c r="AA80" s="1092">
        <v>1</v>
      </c>
      <c r="AB80" s="1092">
        <v>1</v>
      </c>
      <c r="AC80" s="1001"/>
      <c r="AD80" s="1001"/>
      <c r="AE80" s="1001"/>
      <c r="AF80" s="1001"/>
      <c r="AG80" s="1001"/>
      <c r="AK80" s="982"/>
    </row>
    <row r="81" spans="2:37" outlineLevel="1" x14ac:dyDescent="0.25">
      <c r="B81" s="1359"/>
      <c r="C81" s="274"/>
      <c r="D81" s="3840"/>
      <c r="E81" s="483" t="str">
        <f t="shared" si="27"/>
        <v>MH Adjusted Air Sealing (Infiltration reduction) - 30% SF LI DI electric furnace base</v>
      </c>
      <c r="F81" s="1092">
        <v>1</v>
      </c>
      <c r="G81" s="1436" t="s">
        <v>1577</v>
      </c>
      <c r="H81" s="1091"/>
      <c r="V81" s="3842"/>
      <c r="W81" s="1003">
        <f>15*72</f>
        <v>1080</v>
      </c>
      <c r="X81" s="1003">
        <v>1080</v>
      </c>
      <c r="Y81" s="1002">
        <v>1</v>
      </c>
      <c r="Z81" s="1092">
        <v>1</v>
      </c>
      <c r="AA81" s="1092">
        <v>1</v>
      </c>
      <c r="AB81" s="1092">
        <v>1</v>
      </c>
      <c r="AC81" s="1001"/>
      <c r="AD81" s="1001"/>
      <c r="AE81" s="1001"/>
      <c r="AF81" s="1001"/>
      <c r="AG81" s="1001"/>
      <c r="AK81" s="982"/>
    </row>
    <row r="82" spans="2:37" outlineLevel="1" x14ac:dyDescent="0.25">
      <c r="B82" s="1359"/>
      <c r="C82" s="274"/>
      <c r="D82" s="3362"/>
      <c r="E82" s="483" t="str">
        <f t="shared" si="27"/>
        <v>MH Adjusted Air Sealing (Infiltration reduction) - 30% SF LI DI heat pump base</v>
      </c>
      <c r="F82" s="1092">
        <v>1</v>
      </c>
      <c r="G82" s="1436" t="s">
        <v>1577</v>
      </c>
      <c r="H82" s="1091"/>
      <c r="V82" s="3439"/>
      <c r="W82" s="1003"/>
      <c r="X82" s="1003"/>
      <c r="Y82" s="1002">
        <v>1</v>
      </c>
      <c r="Z82" s="1092">
        <v>1</v>
      </c>
      <c r="AA82" s="1092">
        <v>1</v>
      </c>
      <c r="AB82" s="1092">
        <v>1</v>
      </c>
      <c r="AC82" s="1001"/>
      <c r="AD82" s="1001"/>
      <c r="AE82" s="1001"/>
      <c r="AF82" s="1001"/>
      <c r="AG82" s="1001"/>
      <c r="AK82" s="982"/>
    </row>
    <row r="83" spans="2:37" outlineLevel="1" x14ac:dyDescent="0.25">
      <c r="B83" s="1359"/>
      <c r="C83" s="274"/>
      <c r="D83" s="3434"/>
      <c r="E83" s="483" t="str">
        <f t="shared" si="27"/>
        <v>MH Adjusted Air Sealing (Infiltration reduction) - 30% SF LI DI gas furnace base</v>
      </c>
      <c r="F83" s="1092">
        <v>1</v>
      </c>
      <c r="G83" s="1436" t="s">
        <v>1577</v>
      </c>
      <c r="H83" s="1091"/>
      <c r="V83" s="3437"/>
      <c r="W83" s="1003"/>
      <c r="X83" s="1003"/>
      <c r="Y83" s="1002">
        <v>1</v>
      </c>
      <c r="Z83" s="1092">
        <v>1</v>
      </c>
      <c r="AA83" s="1092">
        <v>1</v>
      </c>
      <c r="AB83" s="1092">
        <v>1</v>
      </c>
      <c r="AC83" s="1001"/>
      <c r="AD83" s="1001"/>
      <c r="AE83" s="1001"/>
      <c r="AF83" s="1001"/>
      <c r="AG83" s="1001"/>
      <c r="AK83" s="982"/>
    </row>
    <row r="84" spans="2:37" ht="15" customHeight="1" outlineLevel="1" x14ac:dyDescent="0.25">
      <c r="B84" s="1359"/>
      <c r="C84" s="274"/>
      <c r="D84" s="3839" t="s">
        <v>3234</v>
      </c>
      <c r="E84" s="483" t="str">
        <f>E76</f>
        <v>Air Sealing (Infiltration reduction) - 30% MF LI DI electric furnace base</v>
      </c>
      <c r="F84" s="1833">
        <v>4.2999999999999997E-2</v>
      </c>
      <c r="G84" s="1436" t="s">
        <v>714</v>
      </c>
      <c r="H84" s="1091"/>
      <c r="V84" s="3841" t="str">
        <f>D84</f>
        <v>Defaultcool</v>
      </c>
      <c r="W84" s="999">
        <v>4.2999999999999997E-2</v>
      </c>
      <c r="X84" s="999">
        <v>4.2999999999999997E-2</v>
      </c>
      <c r="Y84" s="1004">
        <v>4.2999999999999997E-2</v>
      </c>
      <c r="Z84" s="1833">
        <v>4.2999999999999997E-2</v>
      </c>
      <c r="AA84" s="1833">
        <v>4.2999999999999997E-2</v>
      </c>
      <c r="AB84" s="1833">
        <v>4.2999999999999997E-2</v>
      </c>
      <c r="AC84" s="1001"/>
      <c r="AD84" s="1001"/>
      <c r="AE84" s="1001"/>
      <c r="AF84" s="1001"/>
      <c r="AG84" s="1001"/>
      <c r="AK84" s="982"/>
    </row>
    <row r="85" spans="2:37" outlineLevel="1" x14ac:dyDescent="0.25">
      <c r="B85" s="1359"/>
      <c r="C85" s="274"/>
      <c r="D85" s="3840"/>
      <c r="E85" s="483" t="str">
        <f t="shared" si="27"/>
        <v>Air Sealing (Infiltration reduction) - 30% MF LI DI heat pump base</v>
      </c>
      <c r="F85" s="1833">
        <v>4.2999999999999997E-2</v>
      </c>
      <c r="G85" s="1436" t="s">
        <v>714</v>
      </c>
      <c r="H85" s="1091"/>
      <c r="V85" s="3842"/>
      <c r="W85" s="999">
        <v>4.2999999999999997E-2</v>
      </c>
      <c r="X85" s="999">
        <v>4.2999999999999997E-2</v>
      </c>
      <c r="Y85" s="1004">
        <v>4.2999999999999997E-2</v>
      </c>
      <c r="Z85" s="1833">
        <v>4.2999999999999997E-2</v>
      </c>
      <c r="AA85" s="1833">
        <v>4.2999999999999997E-2</v>
      </c>
      <c r="AB85" s="1833">
        <v>4.2999999999999997E-2</v>
      </c>
      <c r="AC85" s="1001"/>
      <c r="AD85" s="1001"/>
      <c r="AE85" s="1001"/>
      <c r="AF85" s="1001"/>
      <c r="AG85" s="1001"/>
      <c r="AK85" s="982"/>
    </row>
    <row r="86" spans="2:37" outlineLevel="1" x14ac:dyDescent="0.25">
      <c r="B86" s="1359"/>
      <c r="C86" s="274"/>
      <c r="D86" s="3840"/>
      <c r="E86" s="483" t="str">
        <f t="shared" si="27"/>
        <v>Air Sealing (Infiltration reduction) - 30% SF LI DI electric furnace base</v>
      </c>
      <c r="F86" s="1833">
        <v>0.05</v>
      </c>
      <c r="G86" s="1436" t="s">
        <v>714</v>
      </c>
      <c r="H86" s="1091"/>
      <c r="V86" s="3842"/>
      <c r="W86" s="999">
        <v>0.05</v>
      </c>
      <c r="X86" s="999">
        <v>0.05</v>
      </c>
      <c r="Y86" s="1004">
        <v>0.05</v>
      </c>
      <c r="Z86" s="1833">
        <v>0.05</v>
      </c>
      <c r="AA86" s="1833">
        <v>0.05</v>
      </c>
      <c r="AB86" s="1833">
        <v>0.05</v>
      </c>
      <c r="AC86" s="1001"/>
      <c r="AD86" s="1001"/>
      <c r="AE86" s="1001"/>
      <c r="AF86" s="1001"/>
      <c r="AG86" s="1001"/>
      <c r="AK86" s="982"/>
    </row>
    <row r="87" spans="2:37" outlineLevel="1" x14ac:dyDescent="0.25">
      <c r="B87" s="1359"/>
      <c r="C87" s="274"/>
      <c r="D87" s="3840"/>
      <c r="E87" s="483" t="str">
        <f t="shared" si="27"/>
        <v>Air Sealing (Infiltration reduction) - 30% SF LI DI Gas furnace base</v>
      </c>
      <c r="F87" s="1833">
        <f>F86</f>
        <v>0.05</v>
      </c>
      <c r="G87" s="1436" t="s">
        <v>714</v>
      </c>
      <c r="H87" s="1091"/>
      <c r="V87" s="3842"/>
      <c r="W87" s="999"/>
      <c r="X87" s="999"/>
      <c r="Y87" s="1005">
        <v>0.05</v>
      </c>
      <c r="Z87" s="1833">
        <v>0.05</v>
      </c>
      <c r="AA87" s="1833">
        <v>0.05</v>
      </c>
      <c r="AB87" s="1833">
        <v>0.05</v>
      </c>
      <c r="AC87" s="1001"/>
      <c r="AD87" s="1001"/>
      <c r="AE87" s="1001"/>
      <c r="AF87" s="1001"/>
      <c r="AG87" s="1001"/>
      <c r="AK87" s="982"/>
    </row>
    <row r="88" spans="2:37" outlineLevel="1" x14ac:dyDescent="0.25">
      <c r="B88" s="1359"/>
      <c r="C88" s="274"/>
      <c r="D88" s="3840"/>
      <c r="E88" s="483" t="str">
        <f t="shared" si="27"/>
        <v>Air Sealing (Infiltration reduction) - 30% SF LI DI heat pump base</v>
      </c>
      <c r="F88" s="1833">
        <v>0.05</v>
      </c>
      <c r="G88" s="1436" t="s">
        <v>714</v>
      </c>
      <c r="H88" s="1091"/>
      <c r="V88" s="3842"/>
      <c r="W88" s="999">
        <v>0.05</v>
      </c>
      <c r="X88" s="999">
        <v>0.05</v>
      </c>
      <c r="Y88" s="1004">
        <v>0.05</v>
      </c>
      <c r="Z88" s="1833">
        <v>0.05</v>
      </c>
      <c r="AA88" s="1833">
        <v>0.05</v>
      </c>
      <c r="AB88" s="1833">
        <v>0.05</v>
      </c>
      <c r="AC88" s="1001"/>
      <c r="AD88" s="1001"/>
      <c r="AE88" s="1001"/>
      <c r="AF88" s="1001"/>
      <c r="AG88" s="1001"/>
      <c r="AK88" s="982"/>
    </row>
    <row r="89" spans="2:37" outlineLevel="1" x14ac:dyDescent="0.25">
      <c r="B89" s="1359"/>
      <c r="C89" s="274"/>
      <c r="D89" s="3840"/>
      <c r="E89" s="483" t="str">
        <f t="shared" si="27"/>
        <v>MH Adjusted Air Sealing (Infiltration reduction) - 30% SF LI DI electric furnace base</v>
      </c>
      <c r="F89" s="1833">
        <v>6.2E-2</v>
      </c>
      <c r="G89" s="1436" t="s">
        <v>714</v>
      </c>
      <c r="H89" s="1091"/>
      <c r="V89" s="3842"/>
      <c r="W89" s="999">
        <v>6.2E-2</v>
      </c>
      <c r="X89" s="999">
        <v>6.2E-2</v>
      </c>
      <c r="Y89" s="1004">
        <v>6.2E-2</v>
      </c>
      <c r="Z89" s="1833">
        <v>6.2E-2</v>
      </c>
      <c r="AA89" s="1833">
        <v>6.2E-2</v>
      </c>
      <c r="AB89" s="1833">
        <v>6.2E-2</v>
      </c>
      <c r="AC89" s="1001"/>
      <c r="AD89" s="1001"/>
      <c r="AE89" s="1001"/>
      <c r="AF89" s="1001"/>
      <c r="AG89" s="1001"/>
      <c r="AK89" s="982"/>
    </row>
    <row r="90" spans="2:37" outlineLevel="1" x14ac:dyDescent="0.25">
      <c r="B90" s="1359"/>
      <c r="C90" s="274"/>
      <c r="D90" s="3362"/>
      <c r="E90" s="483" t="str">
        <f t="shared" si="27"/>
        <v>MH Adjusted Air Sealing (Infiltration reduction) - 30% SF LI DI heat pump base</v>
      </c>
      <c r="F90" s="1833">
        <f>F89</f>
        <v>6.2E-2</v>
      </c>
      <c r="G90" s="1436" t="s">
        <v>714</v>
      </c>
      <c r="H90" s="1091"/>
      <c r="V90" s="3439"/>
      <c r="W90" s="999"/>
      <c r="X90" s="999"/>
      <c r="Y90" s="1005">
        <v>6.2E-2</v>
      </c>
      <c r="Z90" s="1833">
        <v>6.2E-2</v>
      </c>
      <c r="AA90" s="1833">
        <v>6.2E-2</v>
      </c>
      <c r="AB90" s="1833">
        <v>6.2E-2</v>
      </c>
      <c r="AC90" s="1001"/>
      <c r="AD90" s="1001"/>
      <c r="AE90" s="1001"/>
      <c r="AF90" s="1001"/>
      <c r="AG90" s="1001"/>
      <c r="AK90" s="982"/>
    </row>
    <row r="91" spans="2:37" outlineLevel="1" x14ac:dyDescent="0.25">
      <c r="B91" s="1359"/>
      <c r="C91" s="274"/>
      <c r="D91" s="3434"/>
      <c r="E91" s="483" t="str">
        <f t="shared" si="27"/>
        <v>MH Adjusted Air Sealing (Infiltration reduction) - 30% SF LI DI gas furnace base</v>
      </c>
      <c r="F91" s="1833">
        <f>F90</f>
        <v>6.2E-2</v>
      </c>
      <c r="G91" s="1436" t="s">
        <v>714</v>
      </c>
      <c r="H91" s="1091"/>
      <c r="V91" s="3437"/>
      <c r="W91" s="999"/>
      <c r="X91" s="999"/>
      <c r="Y91" s="1005">
        <v>6.2E-2</v>
      </c>
      <c r="Z91" s="1833">
        <v>6.2E-2</v>
      </c>
      <c r="AA91" s="1833">
        <v>6.2E-2</v>
      </c>
      <c r="AB91" s="1833">
        <v>6.2E-2</v>
      </c>
      <c r="AC91" s="1001"/>
      <c r="AD91" s="1001"/>
      <c r="AE91" s="1001"/>
      <c r="AF91" s="1001"/>
      <c r="AG91" s="1001"/>
      <c r="AK91" s="982"/>
    </row>
    <row r="92" spans="2:37" outlineLevel="1" x14ac:dyDescent="0.25">
      <c r="B92" s="1359"/>
      <c r="C92" s="274"/>
      <c r="D92" s="3839" t="s">
        <v>1578</v>
      </c>
      <c r="E92" s="483" t="str">
        <f>E84</f>
        <v>Air Sealing (Infiltration reduction) - 30% MF LI DI electric furnace base</v>
      </c>
      <c r="F92" s="1834">
        <v>0</v>
      </c>
      <c r="G92" s="1436" t="s">
        <v>714</v>
      </c>
      <c r="H92" s="714" t="s">
        <v>1579</v>
      </c>
      <c r="V92" s="3839" t="s">
        <v>1578</v>
      </c>
      <c r="W92" s="999"/>
      <c r="X92" s="999"/>
      <c r="Y92" s="1006">
        <v>0</v>
      </c>
      <c r="Z92" s="1834">
        <v>0</v>
      </c>
      <c r="AA92" s="1834">
        <v>0</v>
      </c>
      <c r="AB92" s="1834">
        <v>0</v>
      </c>
      <c r="AC92" s="1001"/>
      <c r="AD92" s="1001"/>
      <c r="AE92" s="1001"/>
      <c r="AF92" s="1001"/>
      <c r="AG92" s="1001"/>
      <c r="AK92" s="982"/>
    </row>
    <row r="93" spans="2:37" outlineLevel="1" x14ac:dyDescent="0.25">
      <c r="B93" s="1359"/>
      <c r="C93" s="274"/>
      <c r="D93" s="3840"/>
      <c r="E93" s="483" t="str">
        <f t="shared" si="27"/>
        <v>Air Sealing (Infiltration reduction) - 30% MF LI DI heat pump base</v>
      </c>
      <c r="F93" s="1834">
        <v>0</v>
      </c>
      <c r="G93" s="1436" t="s">
        <v>714</v>
      </c>
      <c r="H93" s="714" t="s">
        <v>1579</v>
      </c>
      <c r="V93" s="3840"/>
      <c r="W93" s="999"/>
      <c r="X93" s="999"/>
      <c r="Y93" s="1006">
        <v>0</v>
      </c>
      <c r="Z93" s="1834">
        <v>0</v>
      </c>
      <c r="AA93" s="1834">
        <v>0</v>
      </c>
      <c r="AB93" s="1834">
        <v>0</v>
      </c>
      <c r="AC93" s="1001"/>
      <c r="AD93" s="1001"/>
      <c r="AE93" s="1001"/>
      <c r="AF93" s="1001"/>
      <c r="AG93" s="1001"/>
      <c r="AK93" s="982"/>
    </row>
    <row r="94" spans="2:37" outlineLevel="1" x14ac:dyDescent="0.25">
      <c r="B94" s="1359"/>
      <c r="C94" s="274"/>
      <c r="D94" s="3840"/>
      <c r="E94" s="483" t="str">
        <f t="shared" si="27"/>
        <v>Air Sealing (Infiltration reduction) - 30% SF LI DI electric furnace base</v>
      </c>
      <c r="F94" s="1834">
        <v>0</v>
      </c>
      <c r="G94" s="1436" t="s">
        <v>714</v>
      </c>
      <c r="H94" s="714" t="s">
        <v>1579</v>
      </c>
      <c r="V94" s="3840"/>
      <c r="W94" s="999"/>
      <c r="X94" s="999"/>
      <c r="Y94" s="1006">
        <v>0</v>
      </c>
      <c r="Z94" s="1834">
        <v>0</v>
      </c>
      <c r="AA94" s="1834">
        <v>0</v>
      </c>
      <c r="AB94" s="1834">
        <v>0</v>
      </c>
      <c r="AC94" s="1001"/>
      <c r="AD94" s="1001"/>
      <c r="AE94" s="1001"/>
      <c r="AF94" s="1001"/>
      <c r="AG94" s="1001"/>
      <c r="AK94" s="982"/>
    </row>
    <row r="95" spans="2:37" outlineLevel="1" x14ac:dyDescent="0.25">
      <c r="B95" s="1359"/>
      <c r="C95" s="274"/>
      <c r="D95" s="3840"/>
      <c r="E95" s="483" t="str">
        <f t="shared" si="27"/>
        <v>Air Sealing (Infiltration reduction) - 30% SF LI DI Gas furnace base</v>
      </c>
      <c r="F95" s="1834">
        <v>1.2999999999999999E-2</v>
      </c>
      <c r="G95" s="1436" t="s">
        <v>714</v>
      </c>
      <c r="H95" s="714" t="s">
        <v>1579</v>
      </c>
      <c r="V95" s="3840"/>
      <c r="W95" s="999"/>
      <c r="X95" s="999"/>
      <c r="Y95" s="1006">
        <v>1.2999999999999999E-2</v>
      </c>
      <c r="Z95" s="1834">
        <v>1.2999999999999999E-2</v>
      </c>
      <c r="AA95" s="1834">
        <v>1.2999999999999999E-2</v>
      </c>
      <c r="AB95" s="1834">
        <v>1.2999999999999999E-2</v>
      </c>
      <c r="AC95" s="1001"/>
      <c r="AD95" s="1001"/>
      <c r="AE95" s="1001"/>
      <c r="AF95" s="1001"/>
      <c r="AG95" s="1001"/>
      <c r="AK95" s="982"/>
    </row>
    <row r="96" spans="2:37" outlineLevel="1" x14ac:dyDescent="0.25">
      <c r="B96" s="1359"/>
      <c r="C96" s="274"/>
      <c r="D96" s="3840"/>
      <c r="E96" s="483" t="str">
        <f t="shared" si="27"/>
        <v>Air Sealing (Infiltration reduction) - 30% SF LI DI heat pump base</v>
      </c>
      <c r="F96" s="1834">
        <v>0</v>
      </c>
      <c r="G96" s="1436" t="s">
        <v>714</v>
      </c>
      <c r="H96" s="714" t="s">
        <v>1579</v>
      </c>
      <c r="V96" s="3840"/>
      <c r="W96" s="999"/>
      <c r="X96" s="999"/>
      <c r="Y96" s="1006">
        <v>0</v>
      </c>
      <c r="Z96" s="1834">
        <v>0</v>
      </c>
      <c r="AA96" s="1834">
        <v>0</v>
      </c>
      <c r="AB96" s="1834">
        <v>0</v>
      </c>
      <c r="AC96" s="1001"/>
      <c r="AD96" s="1001"/>
      <c r="AE96" s="1001"/>
      <c r="AF96" s="1001"/>
      <c r="AG96" s="1001"/>
      <c r="AK96" s="982"/>
    </row>
    <row r="97" spans="2:37" outlineLevel="1" x14ac:dyDescent="0.25">
      <c r="B97" s="1359"/>
      <c r="C97" s="274"/>
      <c r="D97" s="3840"/>
      <c r="E97" s="483" t="str">
        <f t="shared" si="27"/>
        <v>MH Adjusted Air Sealing (Infiltration reduction) - 30% SF LI DI electric furnace base</v>
      </c>
      <c r="F97" s="1834">
        <v>0</v>
      </c>
      <c r="G97" s="1436" t="s">
        <v>714</v>
      </c>
      <c r="H97" s="714" t="s">
        <v>1579</v>
      </c>
      <c r="V97" s="3840"/>
      <c r="W97" s="999"/>
      <c r="X97" s="999"/>
      <c r="Y97" s="1006">
        <v>0</v>
      </c>
      <c r="Z97" s="1834">
        <v>0</v>
      </c>
      <c r="AA97" s="1834">
        <v>0</v>
      </c>
      <c r="AB97" s="1834">
        <v>0</v>
      </c>
      <c r="AC97" s="1001"/>
      <c r="AD97" s="1001"/>
      <c r="AE97" s="1001"/>
      <c r="AF97" s="1001"/>
      <c r="AG97" s="1001"/>
      <c r="AK97" s="982"/>
    </row>
    <row r="98" spans="2:37" outlineLevel="1" x14ac:dyDescent="0.25">
      <c r="B98" s="1359"/>
      <c r="C98" s="274"/>
      <c r="D98" s="3362"/>
      <c r="E98" s="483" t="str">
        <f t="shared" si="27"/>
        <v>MH Adjusted Air Sealing (Infiltration reduction) - 30% SF LI DI heat pump base</v>
      </c>
      <c r="F98" s="1834">
        <v>0</v>
      </c>
      <c r="G98" s="1436" t="s">
        <v>714</v>
      </c>
      <c r="H98" s="714" t="s">
        <v>1579</v>
      </c>
      <c r="V98" s="3362"/>
      <c r="W98" s="999"/>
      <c r="X98" s="999"/>
      <c r="Y98" s="1006">
        <v>0</v>
      </c>
      <c r="Z98" s="1834">
        <v>0</v>
      </c>
      <c r="AA98" s="1834">
        <v>0</v>
      </c>
      <c r="AB98" s="1834">
        <v>0</v>
      </c>
      <c r="AC98" s="1001"/>
      <c r="AD98" s="1001"/>
      <c r="AE98" s="1001"/>
      <c r="AF98" s="1001"/>
      <c r="AG98" s="1001"/>
      <c r="AK98" s="982"/>
    </row>
    <row r="99" spans="2:37" outlineLevel="1" x14ac:dyDescent="0.25">
      <c r="B99" s="1359"/>
      <c r="C99" s="274"/>
      <c r="D99" s="3434"/>
      <c r="E99" s="483" t="str">
        <f t="shared" si="27"/>
        <v>MH Adjusted Air Sealing (Infiltration reduction) - 30% SF LI DI gas furnace base</v>
      </c>
      <c r="F99" s="1834">
        <v>1.7000000000000001E-2</v>
      </c>
      <c r="G99" s="1436" t="s">
        <v>714</v>
      </c>
      <c r="H99" s="714" t="s">
        <v>1579</v>
      </c>
      <c r="V99" s="3434"/>
      <c r="W99" s="999"/>
      <c r="X99" s="999"/>
      <c r="Y99" s="1006">
        <v>1.7000000000000001E-2</v>
      </c>
      <c r="Z99" s="1834">
        <v>1.7000000000000001E-2</v>
      </c>
      <c r="AA99" s="1834">
        <v>1.7000000000000001E-2</v>
      </c>
      <c r="AB99" s="1834">
        <v>1.7000000000000001E-2</v>
      </c>
      <c r="AC99" s="1001"/>
      <c r="AD99" s="1001"/>
      <c r="AE99" s="1001"/>
      <c r="AF99" s="1001"/>
      <c r="AG99" s="1001"/>
      <c r="AK99" s="982"/>
    </row>
    <row r="100" spans="2:37" outlineLevel="1" x14ac:dyDescent="0.25">
      <c r="B100" s="1359"/>
      <c r="C100" s="274"/>
      <c r="D100" s="1466" t="s">
        <v>732</v>
      </c>
      <c r="E100" s="483" t="s">
        <v>591</v>
      </c>
      <c r="F100" s="1834">
        <v>3.1399999999999997E-2</v>
      </c>
      <c r="G100" s="1436" t="s">
        <v>714</v>
      </c>
      <c r="H100" s="714"/>
      <c r="V100" s="1466" t="str">
        <f>D100</f>
        <v>Fe</v>
      </c>
      <c r="W100" s="999"/>
      <c r="X100" s="999"/>
      <c r="Y100" s="1006">
        <v>3.1399999999999997E-2</v>
      </c>
      <c r="Z100" s="1834">
        <v>3.1399999999999997E-2</v>
      </c>
      <c r="AA100" s="1834">
        <v>3.1399999999999997E-2</v>
      </c>
      <c r="AB100" s="1834">
        <v>3.1399999999999997E-2</v>
      </c>
      <c r="AC100" s="1001"/>
      <c r="AD100" s="1001"/>
      <c r="AE100" s="1001"/>
      <c r="AF100" s="1001"/>
      <c r="AG100" s="1001"/>
      <c r="AK100" s="982"/>
    </row>
    <row r="101" spans="2:37" outlineLevel="1" x14ac:dyDescent="0.25">
      <c r="B101" s="1359"/>
      <c r="C101" s="274"/>
      <c r="D101" s="1466">
        <v>29.3</v>
      </c>
      <c r="E101" s="483" t="s">
        <v>591</v>
      </c>
      <c r="F101" s="1834">
        <v>29.3</v>
      </c>
      <c r="G101" s="1436" t="s">
        <v>714</v>
      </c>
      <c r="H101" s="714"/>
      <c r="V101" s="1466">
        <f>D101</f>
        <v>29.3</v>
      </c>
      <c r="W101" s="999"/>
      <c r="X101" s="999"/>
      <c r="Y101" s="1006">
        <v>29.3</v>
      </c>
      <c r="Z101" s="1834">
        <v>29.3</v>
      </c>
      <c r="AA101" s="1834">
        <v>29.3</v>
      </c>
      <c r="AB101" s="1834">
        <v>29.3</v>
      </c>
      <c r="AC101" s="1001"/>
      <c r="AD101" s="1001"/>
      <c r="AE101" s="1001"/>
      <c r="AF101" s="1001"/>
      <c r="AG101" s="1001"/>
      <c r="AK101" s="982"/>
    </row>
    <row r="102" spans="2:37" outlineLevel="1" x14ac:dyDescent="0.25">
      <c r="B102" s="1359"/>
      <c r="C102" s="274"/>
      <c r="D102" s="1442" t="str">
        <f>L51</f>
        <v>EUL</v>
      </c>
      <c r="E102" s="1442" t="s">
        <v>591</v>
      </c>
      <c r="F102" s="1833">
        <v>15</v>
      </c>
      <c r="G102" s="1436"/>
      <c r="H102" s="1091"/>
      <c r="V102" s="1466" t="str">
        <f>D102</f>
        <v>EUL</v>
      </c>
      <c r="W102" s="999">
        <v>15</v>
      </c>
      <c r="X102" s="999">
        <v>15</v>
      </c>
      <c r="Y102" s="1005">
        <v>15</v>
      </c>
      <c r="Z102" s="1833">
        <v>15</v>
      </c>
      <c r="AA102" s="1833">
        <v>15</v>
      </c>
      <c r="AB102" s="1833">
        <v>15</v>
      </c>
      <c r="AC102" s="1001"/>
      <c r="AD102" s="1001"/>
      <c r="AE102" s="1001"/>
      <c r="AF102" s="1001"/>
      <c r="AG102" s="1001"/>
      <c r="AK102" s="982"/>
    </row>
    <row r="103" spans="2:37" ht="15" customHeight="1" outlineLevel="1" x14ac:dyDescent="0.25">
      <c r="B103" s="1359"/>
      <c r="C103" s="274"/>
      <c r="D103" s="3839" t="str">
        <f>M51</f>
        <v>Inc. Cost</v>
      </c>
      <c r="E103" s="483" t="str">
        <f>E84</f>
        <v>Air Sealing (Infiltration reduction) - 30% MF LI DI electric furnace base</v>
      </c>
      <c r="F103" s="1833">
        <f>108.186/902</f>
        <v>0.11994013303769402</v>
      </c>
      <c r="G103" s="1436" t="s">
        <v>1573</v>
      </c>
      <c r="H103" s="3848" t="s">
        <v>1580</v>
      </c>
      <c r="V103" s="3841" t="str">
        <f>D103</f>
        <v>Inc. Cost</v>
      </c>
      <c r="W103" s="999">
        <v>4.2999999999999997E-2</v>
      </c>
      <c r="X103" s="999">
        <v>4.2999999999999997E-2</v>
      </c>
      <c r="Y103" s="1005">
        <v>0.11994013303769402</v>
      </c>
      <c r="Z103" s="1833">
        <v>0.11994013303769402</v>
      </c>
      <c r="AA103" s="1833">
        <v>0.11994013303769402</v>
      </c>
      <c r="AB103" s="1833">
        <v>0.11994013303769402</v>
      </c>
      <c r="AC103" s="1001"/>
      <c r="AD103" s="1001"/>
      <c r="AE103" s="1001"/>
      <c r="AF103" s="1001"/>
      <c r="AG103" s="1001"/>
      <c r="AK103" s="982"/>
    </row>
    <row r="104" spans="2:37" outlineLevel="1" x14ac:dyDescent="0.25">
      <c r="B104" s="1359"/>
      <c r="C104" s="274"/>
      <c r="D104" s="3840"/>
      <c r="E104" s="483" t="str">
        <f t="shared" ref="E104:E110" si="28">E85</f>
        <v>Air Sealing (Infiltration reduction) - 30% MF LI DI heat pump base</v>
      </c>
      <c r="F104" s="1833">
        <f>108.186/902</f>
        <v>0.11994013303769402</v>
      </c>
      <c r="G104" s="1436" t="s">
        <v>1573</v>
      </c>
      <c r="H104" s="3427"/>
      <c r="V104" s="3842"/>
      <c r="W104" s="999">
        <v>4.2999999999999997E-2</v>
      </c>
      <c r="X104" s="999">
        <v>4.2999999999999997E-2</v>
      </c>
      <c r="Y104" s="1005">
        <v>0.11994013303769402</v>
      </c>
      <c r="Z104" s="1833">
        <v>0.11994013303769402</v>
      </c>
      <c r="AA104" s="1833">
        <v>0.11994013303769402</v>
      </c>
      <c r="AB104" s="1833">
        <v>0.11994013303769402</v>
      </c>
      <c r="AC104" s="1001"/>
      <c r="AD104" s="1001"/>
      <c r="AE104" s="1001"/>
      <c r="AF104" s="1001"/>
      <c r="AG104" s="1001"/>
      <c r="AK104" s="982"/>
    </row>
    <row r="105" spans="2:37" outlineLevel="1" x14ac:dyDescent="0.25">
      <c r="B105" s="1359"/>
      <c r="C105" s="274"/>
      <c r="D105" s="3840"/>
      <c r="E105" s="483" t="str">
        <f t="shared" si="28"/>
        <v>Air Sealing (Infiltration reduction) - 30% SF LI DI electric furnace base</v>
      </c>
      <c r="F105" s="1833">
        <f>166.44/1387</f>
        <v>0.12</v>
      </c>
      <c r="G105" s="1436" t="s">
        <v>1575</v>
      </c>
      <c r="H105" s="3427"/>
      <c r="V105" s="3842"/>
      <c r="W105" s="999">
        <v>0.05</v>
      </c>
      <c r="X105" s="999">
        <v>0.05</v>
      </c>
      <c r="Y105" s="1005">
        <v>0.12</v>
      </c>
      <c r="Z105" s="1833">
        <v>0.12</v>
      </c>
      <c r="AA105" s="1833">
        <v>0.12</v>
      </c>
      <c r="AB105" s="1833">
        <v>0.12</v>
      </c>
      <c r="AC105" s="1001"/>
      <c r="AD105" s="1001"/>
      <c r="AE105" s="1001"/>
      <c r="AF105" s="1001"/>
      <c r="AG105" s="1001"/>
      <c r="AK105" s="982"/>
    </row>
    <row r="106" spans="2:37" outlineLevel="1" x14ac:dyDescent="0.25">
      <c r="B106" s="1359"/>
      <c r="C106" s="274"/>
      <c r="D106" s="3840"/>
      <c r="E106" s="483" t="str">
        <f t="shared" si="28"/>
        <v>Air Sealing (Infiltration reduction) - 30% SF LI DI Gas furnace base</v>
      </c>
      <c r="F106" s="1833">
        <f>166.44/1387</f>
        <v>0.12</v>
      </c>
      <c r="G106" s="1436" t="s">
        <v>1575</v>
      </c>
      <c r="H106" s="3427"/>
      <c r="V106" s="3842"/>
      <c r="W106" s="999"/>
      <c r="X106" s="999"/>
      <c r="Y106" s="1005">
        <v>0.12</v>
      </c>
      <c r="Z106" s="1833">
        <v>0.12</v>
      </c>
      <c r="AA106" s="1833">
        <v>0.12</v>
      </c>
      <c r="AB106" s="1833">
        <v>0.12</v>
      </c>
      <c r="AC106" s="1001"/>
      <c r="AD106" s="1001"/>
      <c r="AE106" s="1001"/>
      <c r="AF106" s="1001"/>
      <c r="AG106" s="1001"/>
      <c r="AK106" s="982"/>
    </row>
    <row r="107" spans="2:37" outlineLevel="1" x14ac:dyDescent="0.25">
      <c r="B107" s="1359"/>
      <c r="C107" s="274"/>
      <c r="D107" s="3840"/>
      <c r="E107" s="483" t="str">
        <f t="shared" si="28"/>
        <v>Air Sealing (Infiltration reduction) - 30% SF LI DI heat pump base</v>
      </c>
      <c r="F107" s="1833">
        <f>166.44/1387</f>
        <v>0.12</v>
      </c>
      <c r="G107" s="1436" t="s">
        <v>1576</v>
      </c>
      <c r="H107" s="3427"/>
      <c r="V107" s="3842"/>
      <c r="W107" s="999">
        <v>0.05</v>
      </c>
      <c r="X107" s="999">
        <v>0.05</v>
      </c>
      <c r="Y107" s="1005">
        <v>0.12</v>
      </c>
      <c r="Z107" s="1833">
        <v>0.12</v>
      </c>
      <c r="AA107" s="1833">
        <v>0.12</v>
      </c>
      <c r="AB107" s="1833">
        <v>0.12</v>
      </c>
      <c r="AC107" s="1001"/>
      <c r="AD107" s="1001"/>
      <c r="AE107" s="1001"/>
      <c r="AF107" s="1001"/>
      <c r="AG107" s="1001"/>
      <c r="AK107" s="982"/>
    </row>
    <row r="108" spans="2:37" outlineLevel="1" x14ac:dyDescent="0.25">
      <c r="B108" s="1359"/>
      <c r="C108" s="274"/>
      <c r="D108" s="3840"/>
      <c r="E108" s="483" t="str">
        <f t="shared" si="28"/>
        <v>MH Adjusted Air Sealing (Infiltration reduction) - 30% SF LI DI electric furnace base</v>
      </c>
      <c r="F108" s="1833">
        <f>129.6/1080</f>
        <v>0.12</v>
      </c>
      <c r="G108" s="1436" t="s">
        <v>1577</v>
      </c>
      <c r="H108" s="3427"/>
      <c r="V108" s="3842"/>
      <c r="W108" s="999">
        <v>6.2E-2</v>
      </c>
      <c r="X108" s="999">
        <v>6.2E-2</v>
      </c>
      <c r="Y108" s="1005">
        <v>0.12</v>
      </c>
      <c r="Z108" s="1833">
        <v>0.12</v>
      </c>
      <c r="AA108" s="1833">
        <v>0.12</v>
      </c>
      <c r="AB108" s="1833">
        <v>0.12</v>
      </c>
      <c r="AC108" s="1001"/>
      <c r="AD108" s="1001"/>
      <c r="AE108" s="1001"/>
      <c r="AF108" s="1001"/>
      <c r="AG108" s="1001"/>
      <c r="AK108" s="982"/>
    </row>
    <row r="109" spans="2:37" outlineLevel="1" x14ac:dyDescent="0.25">
      <c r="B109" s="1359"/>
      <c r="C109" s="274"/>
      <c r="D109" s="3362"/>
      <c r="E109" s="483" t="str">
        <f t="shared" si="28"/>
        <v>MH Adjusted Air Sealing (Infiltration reduction) - 30% SF LI DI heat pump base</v>
      </c>
      <c r="F109" s="1833">
        <f>129.6/1080</f>
        <v>0.12</v>
      </c>
      <c r="G109" s="1436" t="s">
        <v>1577</v>
      </c>
      <c r="H109" s="3427"/>
      <c r="V109" s="3439"/>
      <c r="W109" s="999"/>
      <c r="X109" s="999"/>
      <c r="Y109" s="1005">
        <v>0.12</v>
      </c>
      <c r="Z109" s="1833">
        <v>0.12</v>
      </c>
      <c r="AA109" s="1833">
        <v>0.12</v>
      </c>
      <c r="AB109" s="1833">
        <v>0.12</v>
      </c>
      <c r="AC109" s="1001"/>
      <c r="AD109" s="1001"/>
      <c r="AE109" s="1001"/>
      <c r="AF109" s="1001"/>
      <c r="AG109" s="1001"/>
      <c r="AK109" s="982"/>
    </row>
    <row r="110" spans="2:37" outlineLevel="1" x14ac:dyDescent="0.25">
      <c r="B110" s="1359"/>
      <c r="C110" s="274"/>
      <c r="D110" s="3434"/>
      <c r="E110" s="483" t="str">
        <f t="shared" si="28"/>
        <v>MH Adjusted Air Sealing (Infiltration reduction) - 30% SF LI DI gas furnace base</v>
      </c>
      <c r="F110" s="1833">
        <f>129.6/1080</f>
        <v>0.12</v>
      </c>
      <c r="G110" s="1436" t="s">
        <v>1577</v>
      </c>
      <c r="H110" s="3428"/>
      <c r="V110" s="3437"/>
      <c r="W110" s="999"/>
      <c r="X110" s="999"/>
      <c r="Y110" s="1005">
        <v>0.12</v>
      </c>
      <c r="Z110" s="1833">
        <v>0.12</v>
      </c>
      <c r="AA110" s="1833">
        <v>0.12</v>
      </c>
      <c r="AB110" s="1833">
        <v>0.12</v>
      </c>
      <c r="AC110" s="1001"/>
      <c r="AD110" s="1001"/>
      <c r="AE110" s="1001"/>
      <c r="AF110" s="1001"/>
      <c r="AG110" s="1001"/>
      <c r="AK110" s="982"/>
    </row>
    <row r="111" spans="2:37" x14ac:dyDescent="0.25">
      <c r="B111" s="1359"/>
      <c r="C111" s="274"/>
      <c r="E111" s="361"/>
      <c r="Y111" s="1701" t="s">
        <v>1581</v>
      </c>
      <c r="AK111" s="982"/>
    </row>
    <row r="112" spans="2:37" x14ac:dyDescent="0.25">
      <c r="AK112" s="982"/>
    </row>
    <row r="113" spans="1:57" s="993" customFormat="1" x14ac:dyDescent="0.25">
      <c r="A113" s="1012"/>
      <c r="B113" s="3350" t="s">
        <v>1582</v>
      </c>
      <c r="C113" s="3351"/>
      <c r="D113" s="3351"/>
      <c r="E113" s="3351"/>
      <c r="F113" s="3351"/>
      <c r="G113" s="3351"/>
      <c r="H113" s="3351"/>
      <c r="I113" s="3352"/>
      <c r="J113" s="3352"/>
      <c r="K113" s="3352"/>
      <c r="L113" s="3352"/>
      <c r="M113" s="3352"/>
      <c r="N113" s="3352"/>
      <c r="O113" s="3352"/>
      <c r="P113" s="3352"/>
      <c r="Q113" s="3352"/>
      <c r="R113" s="3353"/>
      <c r="S113" s="1012"/>
      <c r="T113" s="1012"/>
      <c r="U113" s="1012"/>
      <c r="V113" s="3350" t="str">
        <f>B113</f>
        <v>Ceiling Insulation</v>
      </c>
      <c r="W113" s="3351"/>
      <c r="X113" s="3351"/>
      <c r="Y113" s="3351"/>
      <c r="Z113" s="3351"/>
      <c r="AA113" s="3351"/>
      <c r="AB113" s="3351"/>
      <c r="AC113" s="3354"/>
      <c r="AD113" s="3354"/>
      <c r="AE113" s="3354"/>
      <c r="AF113" s="3354"/>
      <c r="AG113" s="3354"/>
      <c r="AH113" s="3354"/>
      <c r="AI113" s="3355"/>
      <c r="AK113" s="982"/>
      <c r="BB113" s="1008"/>
    </row>
    <row r="114" spans="1:57" s="993" customFormat="1" x14ac:dyDescent="0.25">
      <c r="A114" s="1012"/>
      <c r="B114" s="1823"/>
      <c r="C114" s="1009"/>
      <c r="D114" s="1835"/>
      <c r="E114" s="1835"/>
      <c r="F114" s="1010"/>
      <c r="G114" s="1010"/>
      <c r="H114" s="1010"/>
      <c r="I114" s="1010"/>
      <c r="J114" s="1010"/>
      <c r="K114" s="1010"/>
      <c r="L114" s="1836"/>
      <c r="M114" s="1012"/>
      <c r="N114" s="1012"/>
      <c r="O114" s="1012"/>
      <c r="P114" s="1012"/>
      <c r="Q114" s="1012"/>
      <c r="R114" s="1012"/>
      <c r="S114" s="1012"/>
      <c r="T114" s="1012"/>
      <c r="U114" s="1012"/>
      <c r="V114" s="273"/>
      <c r="W114" s="273"/>
      <c r="X114" s="273"/>
      <c r="Y114" s="692"/>
      <c r="Z114" s="273"/>
      <c r="AA114" s="273"/>
      <c r="AB114" s="273"/>
      <c r="AC114" s="273"/>
      <c r="AD114" s="273"/>
      <c r="AE114" s="273"/>
      <c r="AF114" s="273"/>
      <c r="AG114" s="273"/>
      <c r="AH114" s="273"/>
      <c r="AI114" s="273"/>
      <c r="AK114" s="982"/>
      <c r="BB114" s="1008"/>
    </row>
    <row r="115" spans="1:57" s="993" customFormat="1" ht="45" x14ac:dyDescent="0.25">
      <c r="A115" s="1012"/>
      <c r="B115" s="1823"/>
      <c r="C115" s="1409" t="s">
        <v>17</v>
      </c>
      <c r="D115" s="1409" t="s">
        <v>616</v>
      </c>
      <c r="E115" s="1409" t="s">
        <v>19</v>
      </c>
      <c r="F115" s="1409" t="s">
        <v>20</v>
      </c>
      <c r="G115" s="1409" t="s">
        <v>21</v>
      </c>
      <c r="H115" s="1409" t="s">
        <v>22</v>
      </c>
      <c r="I115" s="1409" t="s">
        <v>872</v>
      </c>
      <c r="J115" s="1409" t="s">
        <v>873</v>
      </c>
      <c r="K115" s="1409" t="s">
        <v>23</v>
      </c>
      <c r="L115" s="1413" t="s">
        <v>24</v>
      </c>
      <c r="M115" s="1409" t="s">
        <v>25</v>
      </c>
      <c r="N115" s="1409" t="s">
        <v>1583</v>
      </c>
      <c r="O115" s="1012"/>
      <c r="P115" s="1012"/>
      <c r="Q115" s="1012"/>
      <c r="R115" s="1012"/>
      <c r="S115" s="1012"/>
      <c r="T115" s="1012"/>
      <c r="U115" s="1012"/>
      <c r="V115" s="55" t="s">
        <v>27</v>
      </c>
      <c r="W115" s="56">
        <f>W$6</f>
        <v>43252</v>
      </c>
      <c r="X115" s="56">
        <f t="shared" ref="X115:AG115" si="29">X$6</f>
        <v>43465</v>
      </c>
      <c r="Y115" s="420">
        <f t="shared" si="29"/>
        <v>43800</v>
      </c>
      <c r="Z115" s="56">
        <f t="shared" si="29"/>
        <v>43862</v>
      </c>
      <c r="AA115" s="56">
        <f t="shared" si="29"/>
        <v>44013</v>
      </c>
      <c r="AB115" s="56">
        <f t="shared" si="29"/>
        <v>44166</v>
      </c>
      <c r="AC115" s="56" t="str">
        <f t="shared" si="29"/>
        <v>-</v>
      </c>
      <c r="AD115" s="56" t="str">
        <f t="shared" si="29"/>
        <v>-</v>
      </c>
      <c r="AE115" s="56" t="str">
        <f t="shared" si="29"/>
        <v>-</v>
      </c>
      <c r="AF115" s="56" t="str">
        <f t="shared" si="29"/>
        <v>-</v>
      </c>
      <c r="AG115" s="56" t="str">
        <f t="shared" si="29"/>
        <v>-</v>
      </c>
      <c r="AH115" s="273"/>
      <c r="AI115" s="273"/>
      <c r="AK115" s="982"/>
      <c r="BB115" s="57" t="str">
        <f>$BB$6</f>
        <v>TRC (2020)</v>
      </c>
      <c r="BC115" s="93" t="str">
        <f>$BC$6</f>
        <v>Benefit Lookup</v>
      </c>
      <c r="BD115" s="741" t="str">
        <f>$BD$6</f>
        <v>Benefits (2019 $)</v>
      </c>
      <c r="BE115" s="279" t="str">
        <f>$BE$6</f>
        <v>Incremental Cost (2019 $)</v>
      </c>
    </row>
    <row r="116" spans="1:57" s="993" customFormat="1" x14ac:dyDescent="0.25">
      <c r="A116" s="1012"/>
      <c r="B116" s="1823"/>
      <c r="C116" s="1323" t="s">
        <v>1584</v>
      </c>
      <c r="D116" s="1658" t="s">
        <v>1518</v>
      </c>
      <c r="E116" s="483" t="s">
        <v>1585</v>
      </c>
      <c r="F116" s="651">
        <f t="shared" ref="F116:F145" si="30">ROUND(I116+J116,2)</f>
        <v>1.06</v>
      </c>
      <c r="G116" s="1658" t="s">
        <v>1558</v>
      </c>
      <c r="H116" s="202">
        <f>VLOOKUP(G116,'CP FACTORS'!$A$3:$B$38, 2, FALSE)</f>
        <v>4.6608050000000002E-4</v>
      </c>
      <c r="I116" s="1088">
        <f>F157*(1/(F187+5)-1/(F217+5))*F247*(1-F$277)*F$278*24*F$279/(F280*3412)+(F310*F$340*29.3)</f>
        <v>0.95509376709652194</v>
      </c>
      <c r="J116" s="1659">
        <f t="shared" ref="J116:J145" si="31">F343*(1/(F187+5)-1/(F217+5))*F247*(1-F$277)*F$341*24*F$342/(F373*1000)</f>
        <v>0.10025449318181817</v>
      </c>
      <c r="K116" s="994">
        <f>ROUND(H116*F116,6)</f>
        <v>4.9399999999999997E-4</v>
      </c>
      <c r="L116" s="1414">
        <f>$F$403</f>
        <v>25</v>
      </c>
      <c r="M116" s="1415">
        <f>F404</f>
        <v>2.1249043458397576</v>
      </c>
      <c r="N116" s="1088">
        <f>F247</f>
        <v>1</v>
      </c>
      <c r="O116" s="1012"/>
      <c r="P116" s="1012"/>
      <c r="Q116" s="1012"/>
      <c r="R116" s="1012"/>
      <c r="S116" s="1012"/>
      <c r="T116" s="1012"/>
      <c r="U116" s="1012"/>
      <c r="V116" s="208" t="str">
        <f>$F$51</f>
        <v>kWh Annual Savings</v>
      </c>
      <c r="W116" s="285">
        <v>924.01016928670083</v>
      </c>
      <c r="X116" s="487">
        <v>924.01016928670083</v>
      </c>
      <c r="Y116" s="984">
        <v>1.06</v>
      </c>
      <c r="Z116" s="981">
        <v>1.06</v>
      </c>
      <c r="AA116" s="981">
        <v>1.06</v>
      </c>
      <c r="AB116" s="981">
        <v>1.06</v>
      </c>
      <c r="AC116" s="208"/>
      <c r="AD116" s="208"/>
      <c r="AE116" s="208"/>
      <c r="AF116" s="208"/>
      <c r="AG116" s="208"/>
      <c r="AH116" s="976"/>
      <c r="AI116" s="976"/>
      <c r="AK116" s="982"/>
      <c r="BB116" s="67">
        <f t="shared" ref="BB116:BB145" si="32">(BD116)/(BE116)</f>
        <v>0.73564454661671608</v>
      </c>
      <c r="BC116" s="68" t="str">
        <f>CONCATENATE(G116," ",L116," Year EUL")</f>
        <v>Building Shell RES 25 Year EUL</v>
      </c>
      <c r="BD116" s="145">
        <f>(INDEX('Avoided Cost Benefits'!$C$4:$C$857,MATCH(BC116,'Avoided Cost Benefits'!$A$4:$A$857,0)))*F116</f>
        <v>1.4753886683333441</v>
      </c>
      <c r="BE116" s="69">
        <f>M116/(1.0595^(2020-2019))</f>
        <v>2.0055727662480014</v>
      </c>
    </row>
    <row r="117" spans="1:57" s="993" customFormat="1" x14ac:dyDescent="0.25">
      <c r="A117" s="1012"/>
      <c r="B117" s="1823"/>
      <c r="C117" s="1323" t="s">
        <v>1586</v>
      </c>
      <c r="D117" s="1658" t="s">
        <v>1518</v>
      </c>
      <c r="E117" s="483" t="s">
        <v>1587</v>
      </c>
      <c r="F117" s="651">
        <f t="shared" si="30"/>
        <v>0.66</v>
      </c>
      <c r="G117" s="1658" t="s">
        <v>1558</v>
      </c>
      <c r="H117" s="202">
        <f>VLOOKUP(G117,'CP FACTORS'!$A$3:$B$38, 2, FALSE)</f>
        <v>4.6608050000000002E-4</v>
      </c>
      <c r="I117" s="1088">
        <f t="shared" ref="I117:I145" si="33">F158*(1/(F188+5)-1/(F218+5))*F248*(1-F$277)*F$278*24*F$279/(F281*3412)+(F311*F$340*29.3)</f>
        <v>0.54769410644257699</v>
      </c>
      <c r="J117" s="1659">
        <f t="shared" si="31"/>
        <v>0.11016977272727271</v>
      </c>
      <c r="K117" s="994">
        <f t="shared" ref="K117:K145" si="34">ROUND(H117*F117,6)</f>
        <v>3.0800000000000001E-4</v>
      </c>
      <c r="L117" s="1414">
        <f t="shared" ref="L117:L145" si="35">$F$403</f>
        <v>25</v>
      </c>
      <c r="M117" s="1415">
        <f t="shared" ref="M117:M145" si="36">F405</f>
        <v>2.1249043458397576</v>
      </c>
      <c r="N117" s="1088">
        <f t="shared" ref="N117:N145" si="37">F248</f>
        <v>1</v>
      </c>
      <c r="O117" s="1012"/>
      <c r="P117" s="1012"/>
      <c r="Q117" s="1012"/>
      <c r="R117" s="1012"/>
      <c r="S117" s="1012"/>
      <c r="T117" s="1012"/>
      <c r="U117" s="1012"/>
      <c r="V117" s="208" t="str">
        <f t="shared" ref="V117:V145" si="38">$F$51</f>
        <v>kWh Annual Savings</v>
      </c>
      <c r="W117" s="285">
        <v>575.99271940716187</v>
      </c>
      <c r="X117" s="487">
        <v>575.99271940716187</v>
      </c>
      <c r="Y117" s="984">
        <v>0.66</v>
      </c>
      <c r="Z117" s="981">
        <v>0.66</v>
      </c>
      <c r="AA117" s="981">
        <v>0.66</v>
      </c>
      <c r="AB117" s="981">
        <v>0.66</v>
      </c>
      <c r="AC117" s="208"/>
      <c r="AD117" s="208"/>
      <c r="AE117" s="208"/>
      <c r="AF117" s="208"/>
      <c r="AG117" s="208"/>
      <c r="AH117" s="976"/>
      <c r="AI117" s="976"/>
      <c r="AK117" s="982"/>
      <c r="BB117" s="71">
        <f t="shared" si="32"/>
        <v>0.45804283091229497</v>
      </c>
      <c r="BC117" s="72" t="str">
        <f t="shared" ref="BC117:BC145" si="39">CONCATENATE(G117," ",L117," Year EUL")</f>
        <v>Building Shell RES 25 Year EUL</v>
      </c>
      <c r="BD117" s="148">
        <f>(INDEX('Avoided Cost Benefits'!$C$4:$C$857,MATCH(BC117,'Avoided Cost Benefits'!$A$4:$A$857,0)))*F117</f>
        <v>0.91863822745283696</v>
      </c>
      <c r="BE117" s="73">
        <f t="shared" ref="BE117:BE145" si="40">M117/(1.0595^(2020-2019))</f>
        <v>2.0055727662480014</v>
      </c>
    </row>
    <row r="118" spans="1:57" s="993" customFormat="1" x14ac:dyDescent="0.25">
      <c r="A118" s="1012"/>
      <c r="B118" s="1823"/>
      <c r="C118" s="1323" t="s">
        <v>1588</v>
      </c>
      <c r="D118" s="1658" t="s">
        <v>1518</v>
      </c>
      <c r="E118" s="483" t="s">
        <v>1589</v>
      </c>
      <c r="F118" s="651">
        <f t="shared" si="30"/>
        <v>0.14000000000000001</v>
      </c>
      <c r="G118" s="1658" t="s">
        <v>1558</v>
      </c>
      <c r="H118" s="202">
        <f>VLOOKUP(G118,'CP FACTORS'!$A$3:$B$38, 2, FALSE)</f>
        <v>4.6608050000000002E-4</v>
      </c>
      <c r="I118" s="1088">
        <f t="shared" si="33"/>
        <v>4.2227362172751165E-2</v>
      </c>
      <c r="J118" s="1659">
        <f t="shared" si="31"/>
        <v>0.10025449318181817</v>
      </c>
      <c r="K118" s="994">
        <f t="shared" si="34"/>
        <v>6.4999999999999994E-5</v>
      </c>
      <c r="L118" s="1414">
        <f t="shared" si="35"/>
        <v>25</v>
      </c>
      <c r="M118" s="1415">
        <f t="shared" si="36"/>
        <v>2.1249043458397576</v>
      </c>
      <c r="N118" s="1088">
        <f t="shared" si="37"/>
        <v>1</v>
      </c>
      <c r="O118" s="1012"/>
      <c r="P118" s="1012"/>
      <c r="Q118" s="1012"/>
      <c r="R118" s="1012"/>
      <c r="S118" s="1012"/>
      <c r="T118" s="1012"/>
      <c r="U118" s="1012"/>
      <c r="V118" s="208" t="str">
        <f t="shared" si="38"/>
        <v>kWh Annual Savings</v>
      </c>
      <c r="W118" s="285">
        <v>124.7499884556932</v>
      </c>
      <c r="X118" s="487">
        <v>124.7499884556932</v>
      </c>
      <c r="Y118" s="984">
        <v>0.14000000000000001</v>
      </c>
      <c r="Z118" s="981">
        <v>0.14000000000000001</v>
      </c>
      <c r="AA118" s="981">
        <v>0.14000000000000001</v>
      </c>
      <c r="AB118" s="981">
        <v>0.14000000000000001</v>
      </c>
      <c r="AC118" s="208"/>
      <c r="AD118" s="208"/>
      <c r="AE118" s="208"/>
      <c r="AF118" s="208"/>
      <c r="AG118" s="208"/>
      <c r="AK118" s="982"/>
      <c r="BB118" s="71">
        <f t="shared" si="32"/>
        <v>9.7160600496547414E-2</v>
      </c>
      <c r="BC118" s="72" t="str">
        <f t="shared" si="39"/>
        <v>Building Shell RES 25 Year EUL</v>
      </c>
      <c r="BD118" s="148">
        <f>(INDEX('Avoided Cost Benefits'!$C$4:$C$857,MATCH(BC118,'Avoided Cost Benefits'!$A$4:$A$857,0)))*F118</f>
        <v>0.19486265430817754</v>
      </c>
      <c r="BE118" s="73">
        <f t="shared" si="40"/>
        <v>2.0055727662480014</v>
      </c>
    </row>
    <row r="119" spans="1:57" s="993" customFormat="1" x14ac:dyDescent="0.25">
      <c r="A119" s="1012"/>
      <c r="B119" s="1823"/>
      <c r="C119" s="1323" t="s">
        <v>1590</v>
      </c>
      <c r="D119" s="1658" t="s">
        <v>1515</v>
      </c>
      <c r="E119" s="483" t="s">
        <v>1591</v>
      </c>
      <c r="F119" s="651">
        <f t="shared" si="30"/>
        <v>1.06</v>
      </c>
      <c r="G119" s="1658" t="s">
        <v>1558</v>
      </c>
      <c r="H119" s="202">
        <f>VLOOKUP(G119,'CP FACTORS'!$A$3:$B$38, 2, FALSE)</f>
        <v>4.6608050000000002E-4</v>
      </c>
      <c r="I119" s="1088">
        <f t="shared" si="33"/>
        <v>0.95509376709652194</v>
      </c>
      <c r="J119" s="1659">
        <f t="shared" si="31"/>
        <v>0.10025449318181817</v>
      </c>
      <c r="K119" s="994">
        <f t="shared" si="34"/>
        <v>4.9399999999999997E-4</v>
      </c>
      <c r="L119" s="1414">
        <f t="shared" si="35"/>
        <v>25</v>
      </c>
      <c r="M119" s="1415">
        <f t="shared" si="36"/>
        <v>2.1249072011878249</v>
      </c>
      <c r="N119" s="1088">
        <f t="shared" si="37"/>
        <v>1</v>
      </c>
      <c r="O119" s="1012"/>
      <c r="P119" s="1012"/>
      <c r="Q119" s="1012"/>
      <c r="R119" s="1012"/>
      <c r="S119" s="1012"/>
      <c r="T119" s="1012"/>
      <c r="U119" s="1012"/>
      <c r="V119" s="208" t="str">
        <f t="shared" si="38"/>
        <v>kWh Annual Savings</v>
      </c>
      <c r="W119" s="285">
        <v>1421.5541065949242</v>
      </c>
      <c r="X119" s="487">
        <v>1421.5541065949242</v>
      </c>
      <c r="Y119" s="984">
        <v>1.06</v>
      </c>
      <c r="Z119" s="981">
        <v>1.06</v>
      </c>
      <c r="AA119" s="981">
        <v>1.06</v>
      </c>
      <c r="AB119" s="981">
        <v>1.06</v>
      </c>
      <c r="AC119" s="208"/>
      <c r="AD119" s="208"/>
      <c r="AE119" s="208"/>
      <c r="AF119" s="208"/>
      <c r="AG119" s="208"/>
      <c r="AK119" s="982"/>
      <c r="BB119" s="71">
        <f t="shared" si="32"/>
        <v>0.73564355809296633</v>
      </c>
      <c r="BC119" s="72" t="str">
        <f t="shared" si="39"/>
        <v>Building Shell RES 25 Year EUL</v>
      </c>
      <c r="BD119" s="148">
        <f>(INDEX('Avoided Cost Benefits'!$C$4:$C$857,MATCH(BC119,'Avoided Cost Benefits'!$A$4:$A$857,0)))*F119</f>
        <v>1.4753886683333441</v>
      </c>
      <c r="BE119" s="73">
        <f t="shared" si="40"/>
        <v>2.0055754612438177</v>
      </c>
    </row>
    <row r="120" spans="1:57" s="993" customFormat="1" x14ac:dyDescent="0.25">
      <c r="A120" s="1012"/>
      <c r="B120" s="1823"/>
      <c r="C120" s="1323" t="s">
        <v>1592</v>
      </c>
      <c r="D120" s="1658" t="s">
        <v>1515</v>
      </c>
      <c r="E120" s="483" t="s">
        <v>1593</v>
      </c>
      <c r="F120" s="651">
        <f t="shared" si="30"/>
        <v>0.66</v>
      </c>
      <c r="G120" s="1658" t="s">
        <v>1558</v>
      </c>
      <c r="H120" s="202">
        <f>VLOOKUP(G120,'CP FACTORS'!$A$3:$B$38, 2, FALSE)</f>
        <v>4.6608050000000002E-4</v>
      </c>
      <c r="I120" s="1088">
        <f t="shared" si="33"/>
        <v>0.54769410644257699</v>
      </c>
      <c r="J120" s="1659">
        <f t="shared" si="31"/>
        <v>0.11016977272727271</v>
      </c>
      <c r="K120" s="994">
        <f t="shared" si="34"/>
        <v>3.0800000000000001E-4</v>
      </c>
      <c r="L120" s="1414">
        <f t="shared" si="35"/>
        <v>25</v>
      </c>
      <c r="M120" s="1415">
        <f t="shared" si="36"/>
        <v>2.1249072011878249</v>
      </c>
      <c r="N120" s="1088">
        <f t="shared" si="37"/>
        <v>1</v>
      </c>
      <c r="O120" s="1012"/>
      <c r="P120" s="1012"/>
      <c r="Q120" s="1012"/>
      <c r="R120" s="1012"/>
      <c r="S120" s="1012"/>
      <c r="T120" s="1012"/>
      <c r="U120" s="1012"/>
      <c r="V120" s="208" t="str">
        <f t="shared" si="38"/>
        <v>kWh Annual Savings</v>
      </c>
      <c r="W120" s="285">
        <v>886.14264524178759</v>
      </c>
      <c r="X120" s="487">
        <v>886.14264524178759</v>
      </c>
      <c r="Y120" s="984">
        <v>0.66</v>
      </c>
      <c r="Z120" s="981">
        <v>0.66</v>
      </c>
      <c r="AA120" s="981">
        <v>0.66</v>
      </c>
      <c r="AB120" s="981">
        <v>0.66</v>
      </c>
      <c r="AC120" s="208"/>
      <c r="AD120" s="208"/>
      <c r="AE120" s="208"/>
      <c r="AF120" s="208"/>
      <c r="AG120" s="208"/>
      <c r="AK120" s="982"/>
      <c r="BB120" s="71">
        <f t="shared" si="32"/>
        <v>0.4580422154163753</v>
      </c>
      <c r="BC120" s="72" t="str">
        <f t="shared" si="39"/>
        <v>Building Shell RES 25 Year EUL</v>
      </c>
      <c r="BD120" s="148">
        <f>(INDEX('Avoided Cost Benefits'!$C$4:$C$857,MATCH(BC120,'Avoided Cost Benefits'!$A$4:$A$857,0)))*F120</f>
        <v>0.91863822745283696</v>
      </c>
      <c r="BE120" s="73">
        <f t="shared" si="40"/>
        <v>2.0055754612438177</v>
      </c>
    </row>
    <row r="121" spans="1:57" s="993" customFormat="1" x14ac:dyDescent="0.25">
      <c r="A121" s="1012"/>
      <c r="B121" s="1823"/>
      <c r="C121" s="1323" t="s">
        <v>1594</v>
      </c>
      <c r="D121" s="1658" t="s">
        <v>1515</v>
      </c>
      <c r="E121" s="483" t="s">
        <v>1595</v>
      </c>
      <c r="F121" s="651">
        <f t="shared" si="30"/>
        <v>0.14000000000000001</v>
      </c>
      <c r="G121" s="1658" t="s">
        <v>1558</v>
      </c>
      <c r="H121" s="202">
        <f>VLOOKUP(G121,'CP FACTORS'!$A$3:$B$38, 2, FALSE)</f>
        <v>4.6608050000000002E-4</v>
      </c>
      <c r="I121" s="1088">
        <f t="shared" si="33"/>
        <v>4.2227362172751165E-2</v>
      </c>
      <c r="J121" s="1659">
        <f t="shared" si="31"/>
        <v>0.10025449318181817</v>
      </c>
      <c r="K121" s="994">
        <f t="shared" si="34"/>
        <v>6.4999999999999994E-5</v>
      </c>
      <c r="L121" s="1414">
        <f t="shared" si="35"/>
        <v>25</v>
      </c>
      <c r="M121" s="1415">
        <f t="shared" si="36"/>
        <v>2.1249072011878249</v>
      </c>
      <c r="N121" s="1088">
        <f t="shared" si="37"/>
        <v>1</v>
      </c>
      <c r="O121" s="1012"/>
      <c r="P121" s="1012"/>
      <c r="Q121" s="1012"/>
      <c r="R121" s="1012"/>
      <c r="S121" s="1012"/>
      <c r="T121" s="1012"/>
      <c r="U121" s="1012"/>
      <c r="V121" s="208" t="str">
        <f t="shared" si="38"/>
        <v>kWh Annual Savings</v>
      </c>
      <c r="W121" s="285">
        <v>191.92305916260491</v>
      </c>
      <c r="X121" s="487">
        <v>191.92305916260491</v>
      </c>
      <c r="Y121" s="984">
        <v>0.14000000000000001</v>
      </c>
      <c r="Z121" s="981">
        <v>0.14000000000000001</v>
      </c>
      <c r="AA121" s="981">
        <v>0.14000000000000001</v>
      </c>
      <c r="AB121" s="981">
        <v>0.14000000000000001</v>
      </c>
      <c r="AC121" s="208"/>
      <c r="AD121" s="208"/>
      <c r="AE121" s="208"/>
      <c r="AF121" s="208"/>
      <c r="AG121" s="208"/>
      <c r="AK121" s="982"/>
      <c r="BB121" s="71">
        <f t="shared" si="32"/>
        <v>9.7160469936806881E-2</v>
      </c>
      <c r="BC121" s="72" t="str">
        <f t="shared" si="39"/>
        <v>Building Shell RES 25 Year EUL</v>
      </c>
      <c r="BD121" s="148">
        <f>(INDEX('Avoided Cost Benefits'!$C$4:$C$857,MATCH(BC121,'Avoided Cost Benefits'!$A$4:$A$857,0)))*F121</f>
        <v>0.19486265430817754</v>
      </c>
      <c r="BE121" s="73">
        <f t="shared" si="40"/>
        <v>2.0055754612438177</v>
      </c>
    </row>
    <row r="122" spans="1:57" s="993" customFormat="1" x14ac:dyDescent="0.25">
      <c r="A122" s="1012"/>
      <c r="B122" s="1823"/>
      <c r="C122" s="1323" t="s">
        <v>1596</v>
      </c>
      <c r="D122" s="1658" t="s">
        <v>1518</v>
      </c>
      <c r="E122" s="483" t="s">
        <v>1597</v>
      </c>
      <c r="F122" s="651">
        <f t="shared" si="30"/>
        <v>1.71</v>
      </c>
      <c r="G122" s="1658" t="s">
        <v>1558</v>
      </c>
      <c r="H122" s="202">
        <f>VLOOKUP(G122,'CP FACTORS'!$A$3:$B$38, 2, FALSE)</f>
        <v>4.6608050000000002E-4</v>
      </c>
      <c r="I122" s="1088">
        <f t="shared" si="33"/>
        <v>1.5511297270139006</v>
      </c>
      <c r="J122" s="1659">
        <f t="shared" si="31"/>
        <v>0.1628193272727273</v>
      </c>
      <c r="K122" s="994">
        <f t="shared" si="34"/>
        <v>7.9699999999999997E-4</v>
      </c>
      <c r="L122" s="1414">
        <f t="shared" si="35"/>
        <v>25</v>
      </c>
      <c r="M122" s="1415">
        <f t="shared" si="36"/>
        <v>1.1631103074141049</v>
      </c>
      <c r="N122" s="1088">
        <f t="shared" si="37"/>
        <v>1</v>
      </c>
      <c r="O122" s="1012"/>
      <c r="P122" s="1012"/>
      <c r="Q122" s="1012"/>
      <c r="R122" s="1012"/>
      <c r="S122" s="1012"/>
      <c r="T122" s="1012"/>
      <c r="U122" s="1012"/>
      <c r="V122" s="208" t="str">
        <f t="shared" si="38"/>
        <v>kWh Annual Savings</v>
      </c>
      <c r="W122" s="285">
        <v>1232.157975126657</v>
      </c>
      <c r="X122" s="487">
        <v>1232.157975126657</v>
      </c>
      <c r="Y122" s="984">
        <v>1.71</v>
      </c>
      <c r="Z122" s="981">
        <v>1.71</v>
      </c>
      <c r="AA122" s="981">
        <v>1.71</v>
      </c>
      <c r="AB122" s="981">
        <v>1.71</v>
      </c>
      <c r="AC122" s="208"/>
      <c r="AD122" s="208"/>
      <c r="AE122" s="208"/>
      <c r="AF122" s="208"/>
      <c r="AG122" s="208"/>
      <c r="AK122" s="982"/>
      <c r="BB122" s="71">
        <f t="shared" si="32"/>
        <v>2.1680871992176587</v>
      </c>
      <c r="BC122" s="72" t="str">
        <f t="shared" si="39"/>
        <v>Building Shell RES 25 Year EUL</v>
      </c>
      <c r="BD122" s="148">
        <f>(INDEX('Avoided Cost Benefits'!$C$4:$C$857,MATCH(BC122,'Avoided Cost Benefits'!$A$4:$A$857,0)))*F122</f>
        <v>2.3801081347641682</v>
      </c>
      <c r="BE122" s="73">
        <f t="shared" si="40"/>
        <v>1.0977917011931144</v>
      </c>
    </row>
    <row r="123" spans="1:57" s="993" customFormat="1" x14ac:dyDescent="0.25">
      <c r="A123" s="1012"/>
      <c r="B123" s="1823"/>
      <c r="C123" s="1323" t="s">
        <v>1598</v>
      </c>
      <c r="D123" s="1658" t="s">
        <v>1518</v>
      </c>
      <c r="E123" s="483" t="s">
        <v>1599</v>
      </c>
      <c r="F123" s="651">
        <f t="shared" si="30"/>
        <v>1.07</v>
      </c>
      <c r="G123" s="1658" t="s">
        <v>1558</v>
      </c>
      <c r="H123" s="202">
        <f>VLOOKUP(G123,'CP FACTORS'!$A$3:$B$38, 2, FALSE)</f>
        <v>4.6608050000000002E-4</v>
      </c>
      <c r="I123" s="1088">
        <f t="shared" si="33"/>
        <v>0.88948817286914772</v>
      </c>
      <c r="J123" s="1659">
        <f t="shared" si="31"/>
        <v>0.17892233766233767</v>
      </c>
      <c r="K123" s="994">
        <f t="shared" si="34"/>
        <v>4.9899999999999999E-4</v>
      </c>
      <c r="L123" s="1414">
        <f t="shared" si="35"/>
        <v>25</v>
      </c>
      <c r="M123" s="1415">
        <f t="shared" si="36"/>
        <v>1.1631103074141049</v>
      </c>
      <c r="N123" s="1088">
        <f t="shared" si="37"/>
        <v>1</v>
      </c>
      <c r="O123" s="1012"/>
      <c r="P123" s="1012"/>
      <c r="Q123" s="1012"/>
      <c r="R123" s="1012"/>
      <c r="S123" s="1012"/>
      <c r="T123" s="1012"/>
      <c r="U123" s="1012"/>
      <c r="V123" s="208" t="str">
        <f t="shared" si="38"/>
        <v>kWh Annual Savings</v>
      </c>
      <c r="W123" s="285">
        <v>768.08031602108485</v>
      </c>
      <c r="X123" s="487">
        <v>768.08031602108485</v>
      </c>
      <c r="Y123" s="984">
        <v>1.07</v>
      </c>
      <c r="Z123" s="981">
        <v>1.07</v>
      </c>
      <c r="AA123" s="981">
        <v>1.07</v>
      </c>
      <c r="AB123" s="981">
        <v>1.07</v>
      </c>
      <c r="AC123" s="208"/>
      <c r="AD123" s="208"/>
      <c r="AE123" s="208"/>
      <c r="AF123" s="208"/>
      <c r="AG123" s="208"/>
      <c r="AK123" s="982"/>
      <c r="BB123" s="71">
        <f t="shared" si="32"/>
        <v>1.3566393585747922</v>
      </c>
      <c r="BC123" s="72" t="str">
        <f t="shared" si="39"/>
        <v>Building Shell RES 25 Year EUL</v>
      </c>
      <c r="BD123" s="148">
        <f>(INDEX('Avoided Cost Benefits'!$C$4:$C$857,MATCH(BC123,'Avoided Cost Benefits'!$A$4:$A$857,0)))*F123</f>
        <v>1.4893074293553568</v>
      </c>
      <c r="BE123" s="73">
        <f t="shared" si="40"/>
        <v>1.0977917011931144</v>
      </c>
    </row>
    <row r="124" spans="1:57" s="993" customFormat="1" x14ac:dyDescent="0.25">
      <c r="A124" s="1012"/>
      <c r="B124" s="1823"/>
      <c r="C124" s="1323" t="s">
        <v>1600</v>
      </c>
      <c r="D124" s="1658" t="s">
        <v>1518</v>
      </c>
      <c r="E124" s="489" t="s">
        <v>1601</v>
      </c>
      <c r="F124" s="651">
        <f t="shared" si="30"/>
        <v>0.23</v>
      </c>
      <c r="G124" s="1658" t="s">
        <v>1558</v>
      </c>
      <c r="H124" s="202">
        <f>VLOOKUP(G124,'CP FACTORS'!$A$3:$B$38, 2, FALSE)</f>
        <v>4.6608050000000002E-4</v>
      </c>
      <c r="I124" s="1088">
        <f t="shared" si="33"/>
        <v>6.8579776160257552E-2</v>
      </c>
      <c r="J124" s="1659">
        <f t="shared" si="31"/>
        <v>0.1628193272727273</v>
      </c>
      <c r="K124" s="994">
        <f t="shared" si="34"/>
        <v>1.07E-4</v>
      </c>
      <c r="L124" s="1414">
        <f t="shared" si="35"/>
        <v>25</v>
      </c>
      <c r="M124" s="1415">
        <f t="shared" si="36"/>
        <v>1.1631103074141049</v>
      </c>
      <c r="N124" s="1088">
        <f t="shared" si="37"/>
        <v>1</v>
      </c>
      <c r="O124" s="1012"/>
      <c r="P124" s="1012"/>
      <c r="Q124" s="1012"/>
      <c r="R124" s="1012"/>
      <c r="S124" s="1012"/>
      <c r="T124" s="1012"/>
      <c r="U124" s="1012"/>
      <c r="V124" s="208" t="str">
        <f t="shared" si="38"/>
        <v>kWh Annual Savings</v>
      </c>
      <c r="W124" s="285">
        <v>166.35281545797278</v>
      </c>
      <c r="X124" s="487">
        <v>166.35281545797278</v>
      </c>
      <c r="Y124" s="984">
        <v>0.23</v>
      </c>
      <c r="Z124" s="981">
        <v>0.23</v>
      </c>
      <c r="AA124" s="981">
        <v>0.23</v>
      </c>
      <c r="AB124" s="981">
        <v>0.23</v>
      </c>
      <c r="AC124" s="208"/>
      <c r="AD124" s="208"/>
      <c r="AE124" s="208"/>
      <c r="AF124" s="208"/>
      <c r="AG124" s="208"/>
      <c r="AK124" s="982"/>
      <c r="BB124" s="71">
        <f t="shared" si="32"/>
        <v>0.29161406773103016</v>
      </c>
      <c r="BC124" s="72" t="str">
        <f t="shared" si="39"/>
        <v>Building Shell RES 25 Year EUL</v>
      </c>
      <c r="BD124" s="148">
        <f>(INDEX('Avoided Cost Benefits'!$C$4:$C$857,MATCH(BC124,'Avoided Cost Benefits'!$A$4:$A$857,0)))*F124</f>
        <v>0.32013150350629166</v>
      </c>
      <c r="BE124" s="73">
        <f t="shared" si="40"/>
        <v>1.0977917011931144</v>
      </c>
    </row>
    <row r="125" spans="1:57" s="993" customFormat="1" x14ac:dyDescent="0.25">
      <c r="A125" s="1012"/>
      <c r="B125" s="1823"/>
      <c r="C125" s="1323" t="s">
        <v>1602</v>
      </c>
      <c r="D125" s="1658" t="s">
        <v>1515</v>
      </c>
      <c r="E125" s="483" t="s">
        <v>1603</v>
      </c>
      <c r="F125" s="651">
        <f t="shared" si="30"/>
        <v>1.71</v>
      </c>
      <c r="G125" s="1658" t="s">
        <v>1558</v>
      </c>
      <c r="H125" s="202">
        <f>VLOOKUP(G125,'CP FACTORS'!$A$3:$B$38, 2, FALSE)</f>
        <v>4.6608050000000002E-4</v>
      </c>
      <c r="I125" s="1088">
        <f t="shared" si="33"/>
        <v>1.5511297270139006</v>
      </c>
      <c r="J125" s="1659">
        <f t="shared" si="31"/>
        <v>0.1628193272727273</v>
      </c>
      <c r="K125" s="994">
        <f t="shared" si="34"/>
        <v>7.9699999999999997E-4</v>
      </c>
      <c r="L125" s="1414">
        <f t="shared" si="35"/>
        <v>25</v>
      </c>
      <c r="M125" s="1415">
        <f t="shared" si="36"/>
        <v>1.1631012658227848</v>
      </c>
      <c r="N125" s="1088">
        <f t="shared" si="37"/>
        <v>1</v>
      </c>
      <c r="O125" s="1012"/>
      <c r="P125" s="1012"/>
      <c r="Q125" s="1012"/>
      <c r="R125" s="1012"/>
      <c r="S125" s="1012"/>
      <c r="T125" s="1012"/>
      <c r="U125" s="1012"/>
      <c r="V125" s="208" t="str">
        <f t="shared" si="38"/>
        <v>kWh Annual Savings</v>
      </c>
      <c r="W125" s="285">
        <v>1895.6276540410106</v>
      </c>
      <c r="X125" s="487">
        <v>1895.6276540410106</v>
      </c>
      <c r="Y125" s="984">
        <v>1.71</v>
      </c>
      <c r="Z125" s="981">
        <v>1.71</v>
      </c>
      <c r="AA125" s="981">
        <v>1.71</v>
      </c>
      <c r="AB125" s="981">
        <v>1.71</v>
      </c>
      <c r="AC125" s="208"/>
      <c r="AD125" s="208"/>
      <c r="AE125" s="208"/>
      <c r="AF125" s="208"/>
      <c r="AG125" s="208"/>
      <c r="AK125" s="982"/>
      <c r="BB125" s="71">
        <f t="shared" si="32"/>
        <v>2.168104053260361</v>
      </c>
      <c r="BC125" s="72" t="str">
        <f t="shared" si="39"/>
        <v>Building Shell RES 25 Year EUL</v>
      </c>
      <c r="BD125" s="148">
        <f>(INDEX('Avoided Cost Benefits'!$C$4:$C$857,MATCH(BC125,'Avoided Cost Benefits'!$A$4:$A$857,0)))*F125</f>
        <v>2.3801081347641682</v>
      </c>
      <c r="BE125" s="73">
        <f t="shared" si="40"/>
        <v>1.0977831673645915</v>
      </c>
    </row>
    <row r="126" spans="1:57" s="993" customFormat="1" x14ac:dyDescent="0.25">
      <c r="A126" s="1012"/>
      <c r="B126" s="1823"/>
      <c r="C126" s="1323" t="s">
        <v>1604</v>
      </c>
      <c r="D126" s="1658" t="s">
        <v>1515</v>
      </c>
      <c r="E126" s="483" t="s">
        <v>1605</v>
      </c>
      <c r="F126" s="651">
        <f t="shared" si="30"/>
        <v>1.07</v>
      </c>
      <c r="G126" s="1658" t="s">
        <v>1558</v>
      </c>
      <c r="H126" s="202">
        <f>VLOOKUP(G126,'CP FACTORS'!$A$3:$B$38, 2, FALSE)</f>
        <v>4.6608050000000002E-4</v>
      </c>
      <c r="I126" s="1088">
        <f t="shared" si="33"/>
        <v>0.88948817286914772</v>
      </c>
      <c r="J126" s="1659">
        <f t="shared" si="31"/>
        <v>0.17892233766233767</v>
      </c>
      <c r="K126" s="994">
        <f t="shared" si="34"/>
        <v>4.9899999999999999E-4</v>
      </c>
      <c r="L126" s="1414">
        <f t="shared" si="35"/>
        <v>25</v>
      </c>
      <c r="M126" s="1415">
        <f t="shared" si="36"/>
        <v>1.1631012658227848</v>
      </c>
      <c r="N126" s="1088">
        <f t="shared" si="37"/>
        <v>1</v>
      </c>
      <c r="O126" s="1012"/>
      <c r="P126" s="1012"/>
      <c r="Q126" s="1012"/>
      <c r="R126" s="1012"/>
      <c r="S126" s="1012"/>
      <c r="T126" s="1012"/>
      <c r="U126" s="1012"/>
      <c r="V126" s="208" t="str">
        <f t="shared" si="38"/>
        <v>kWh Annual Savings</v>
      </c>
      <c r="W126" s="285">
        <v>1181.6620246478228</v>
      </c>
      <c r="X126" s="487">
        <v>1181.6620246478228</v>
      </c>
      <c r="Y126" s="984">
        <v>1.07</v>
      </c>
      <c r="Z126" s="981">
        <v>1.07</v>
      </c>
      <c r="AA126" s="981">
        <v>1.07</v>
      </c>
      <c r="AB126" s="981">
        <v>1.07</v>
      </c>
      <c r="AC126" s="208"/>
      <c r="AD126" s="208"/>
      <c r="AE126" s="208"/>
      <c r="AF126" s="208"/>
      <c r="AG126" s="208"/>
      <c r="AK126" s="982"/>
      <c r="BB126" s="71">
        <f t="shared" si="32"/>
        <v>1.356649904671688</v>
      </c>
      <c r="BC126" s="72" t="str">
        <f t="shared" si="39"/>
        <v>Building Shell RES 25 Year EUL</v>
      </c>
      <c r="BD126" s="148">
        <f>(INDEX('Avoided Cost Benefits'!$C$4:$C$857,MATCH(BC126,'Avoided Cost Benefits'!$A$4:$A$857,0)))*F126</f>
        <v>1.4893074293553568</v>
      </c>
      <c r="BE126" s="73">
        <f t="shared" si="40"/>
        <v>1.0977831673645915</v>
      </c>
    </row>
    <row r="127" spans="1:57" s="993" customFormat="1" x14ac:dyDescent="0.25">
      <c r="A127" s="1012"/>
      <c r="B127" s="1823"/>
      <c r="C127" s="1323" t="s">
        <v>1606</v>
      </c>
      <c r="D127" s="1658" t="s">
        <v>1515</v>
      </c>
      <c r="E127" s="1837" t="s">
        <v>1607</v>
      </c>
      <c r="F127" s="651">
        <f t="shared" si="30"/>
        <v>0.23</v>
      </c>
      <c r="G127" s="1658" t="s">
        <v>1558</v>
      </c>
      <c r="H127" s="202">
        <f>VLOOKUP(G127,'CP FACTORS'!$A$3:$B$38, 2, FALSE)</f>
        <v>4.6608050000000002E-4</v>
      </c>
      <c r="I127" s="1088">
        <f t="shared" si="33"/>
        <v>6.8579776160257552E-2</v>
      </c>
      <c r="J127" s="1659">
        <f t="shared" si="31"/>
        <v>0.1628193272727273</v>
      </c>
      <c r="K127" s="994">
        <f t="shared" si="34"/>
        <v>1.07E-4</v>
      </c>
      <c r="L127" s="1414">
        <f t="shared" si="35"/>
        <v>25</v>
      </c>
      <c r="M127" s="1415">
        <f t="shared" si="36"/>
        <v>1.1631012658227848</v>
      </c>
      <c r="N127" s="1088">
        <f t="shared" si="37"/>
        <v>1</v>
      </c>
      <c r="O127" s="1012"/>
      <c r="P127" s="1012"/>
      <c r="Q127" s="1012"/>
      <c r="R127" s="1012"/>
      <c r="S127" s="1012"/>
      <c r="T127" s="1012"/>
      <c r="U127" s="1012"/>
      <c r="V127" s="208" t="str">
        <f t="shared" si="38"/>
        <v>kWh Annual Savings</v>
      </c>
      <c r="W127" s="285">
        <v>255.92740839688122</v>
      </c>
      <c r="X127" s="487">
        <v>255.92740839688122</v>
      </c>
      <c r="Y127" s="984">
        <v>0.23</v>
      </c>
      <c r="Z127" s="981">
        <v>0.23</v>
      </c>
      <c r="AA127" s="981">
        <v>0.23</v>
      </c>
      <c r="AB127" s="981">
        <v>0.23</v>
      </c>
      <c r="AC127" s="208"/>
      <c r="AD127" s="208"/>
      <c r="AE127" s="208"/>
      <c r="AF127" s="208"/>
      <c r="AG127" s="208"/>
      <c r="AK127" s="982"/>
      <c r="BB127" s="71">
        <f t="shared" si="32"/>
        <v>0.29161633464905445</v>
      </c>
      <c r="BC127" s="72" t="str">
        <f t="shared" si="39"/>
        <v>Building Shell RES 25 Year EUL</v>
      </c>
      <c r="BD127" s="148">
        <f>(INDEX('Avoided Cost Benefits'!$C$4:$C$857,MATCH(BC127,'Avoided Cost Benefits'!$A$4:$A$857,0)))*F127</f>
        <v>0.32013150350629166</v>
      </c>
      <c r="BE127" s="73">
        <f t="shared" si="40"/>
        <v>1.0977831673645915</v>
      </c>
    </row>
    <row r="128" spans="1:57" s="993" customFormat="1" x14ac:dyDescent="0.25">
      <c r="A128" s="1012"/>
      <c r="B128" s="1823"/>
      <c r="C128" s="1323" t="s">
        <v>1608</v>
      </c>
      <c r="D128" s="1658" t="s">
        <v>1518</v>
      </c>
      <c r="E128" s="483" t="s">
        <v>1609</v>
      </c>
      <c r="F128" s="651">
        <f t="shared" si="30"/>
        <v>1.84</v>
      </c>
      <c r="G128" s="1658" t="s">
        <v>1558</v>
      </c>
      <c r="H128" s="202">
        <f>VLOOKUP(G128,'CP FACTORS'!$A$3:$B$38, 2, FALSE)</f>
        <v>4.6608050000000002E-4</v>
      </c>
      <c r="I128" s="1088">
        <f t="shared" si="33"/>
        <v>1.6665626369312141</v>
      </c>
      <c r="J128" s="1659">
        <f t="shared" si="31"/>
        <v>0.17493611441860468</v>
      </c>
      <c r="K128" s="994">
        <f t="shared" si="34"/>
        <v>8.5800000000000004E-4</v>
      </c>
      <c r="L128" s="1414">
        <f t="shared" si="35"/>
        <v>25</v>
      </c>
      <c r="M128" s="1415">
        <f t="shared" si="36"/>
        <v>1.6810404785088331</v>
      </c>
      <c r="N128" s="1088">
        <f t="shared" si="37"/>
        <v>1</v>
      </c>
      <c r="O128" s="1012"/>
      <c r="P128" s="1012"/>
      <c r="Q128" s="1012"/>
      <c r="R128" s="1012"/>
      <c r="S128" s="1012"/>
      <c r="T128" s="1012"/>
      <c r="U128" s="1012"/>
      <c r="V128" s="208" t="str">
        <f t="shared" si="38"/>
        <v>kWh Annual Savings</v>
      </c>
      <c r="W128" s="285">
        <v>1323.8534523453845</v>
      </c>
      <c r="X128" s="487">
        <v>1323.8534523453845</v>
      </c>
      <c r="Y128" s="984">
        <v>1.84</v>
      </c>
      <c r="Z128" s="981">
        <v>1.84</v>
      </c>
      <c r="AA128" s="981">
        <v>1.84</v>
      </c>
      <c r="AB128" s="981">
        <v>1.84</v>
      </c>
      <c r="AC128" s="208"/>
      <c r="AD128" s="208"/>
      <c r="AE128" s="208"/>
      <c r="AF128" s="208"/>
      <c r="AG128" s="208"/>
      <c r="AK128" s="982"/>
      <c r="BB128" s="71">
        <f t="shared" si="32"/>
        <v>1.6141399677218247</v>
      </c>
      <c r="BC128" s="72" t="str">
        <f t="shared" si="39"/>
        <v>Building Shell RES 25 Year EUL</v>
      </c>
      <c r="BD128" s="148">
        <f>(INDEX('Avoided Cost Benefits'!$C$4:$C$857,MATCH(BC128,'Avoided Cost Benefits'!$A$4:$A$857,0)))*F128</f>
        <v>2.5610520280503333</v>
      </c>
      <c r="BE128" s="73">
        <f t="shared" si="40"/>
        <v>1.5866356569219753</v>
      </c>
    </row>
    <row r="129" spans="1:57" s="993" customFormat="1" x14ac:dyDescent="0.25">
      <c r="A129" s="1012"/>
      <c r="B129" s="1823"/>
      <c r="C129" s="1323" t="s">
        <v>1610</v>
      </c>
      <c r="D129" s="1658" t="s">
        <v>1518</v>
      </c>
      <c r="E129" s="483" t="s">
        <v>1611</v>
      </c>
      <c r="F129" s="651">
        <f t="shared" si="30"/>
        <v>1.1499999999999999</v>
      </c>
      <c r="G129" s="1658" t="s">
        <v>1558</v>
      </c>
      <c r="H129" s="202">
        <f>VLOOKUP(G129,'CP FACTORS'!$A$3:$B$38, 2, FALSE)</f>
        <v>4.6608050000000002E-4</v>
      </c>
      <c r="I129" s="1088">
        <f t="shared" si="33"/>
        <v>0.95568264154778193</v>
      </c>
      <c r="J129" s="1659">
        <f t="shared" si="31"/>
        <v>0.19223748837209306</v>
      </c>
      <c r="K129" s="994">
        <f t="shared" si="34"/>
        <v>5.3600000000000002E-4</v>
      </c>
      <c r="L129" s="1414">
        <f t="shared" si="35"/>
        <v>25</v>
      </c>
      <c r="M129" s="1415">
        <f t="shared" si="36"/>
        <v>1.6810404785088331</v>
      </c>
      <c r="N129" s="1088">
        <f t="shared" si="37"/>
        <v>1</v>
      </c>
      <c r="O129" s="1012"/>
      <c r="P129" s="1012"/>
      <c r="Q129" s="1012"/>
      <c r="R129" s="1012"/>
      <c r="S129" s="1012"/>
      <c r="T129" s="1012"/>
      <c r="U129" s="1012"/>
      <c r="V129" s="208" t="str">
        <f t="shared" si="38"/>
        <v>kWh Annual Savings</v>
      </c>
      <c r="W129" s="285">
        <v>825.239781399398</v>
      </c>
      <c r="X129" s="487">
        <v>825.239781399398</v>
      </c>
      <c r="Y129" s="984">
        <v>1.1499999999999999</v>
      </c>
      <c r="Z129" s="981">
        <v>1.1499999999999999</v>
      </c>
      <c r="AA129" s="981">
        <v>1.1499999999999999</v>
      </c>
      <c r="AB129" s="981">
        <v>1.1499999999999999</v>
      </c>
      <c r="AC129" s="208"/>
      <c r="AD129" s="208"/>
      <c r="AE129" s="208"/>
      <c r="AF129" s="208"/>
      <c r="AG129" s="208"/>
      <c r="AK129" s="982"/>
      <c r="BB129" s="71">
        <f t="shared" si="32"/>
        <v>1.0088374798261404</v>
      </c>
      <c r="BC129" s="72" t="str">
        <f t="shared" si="39"/>
        <v>Building Shell RES 25 Year EUL</v>
      </c>
      <c r="BD129" s="148">
        <f>(INDEX('Avoided Cost Benefits'!$C$4:$C$857,MATCH(BC129,'Avoided Cost Benefits'!$A$4:$A$857,0)))*F129</f>
        <v>1.6006575175314581</v>
      </c>
      <c r="BE129" s="73">
        <f t="shared" si="40"/>
        <v>1.5866356569219753</v>
      </c>
    </row>
    <row r="130" spans="1:57" s="993" customFormat="1" x14ac:dyDescent="0.25">
      <c r="A130" s="1012"/>
      <c r="B130" s="1823"/>
      <c r="C130" s="1323" t="s">
        <v>1612</v>
      </c>
      <c r="D130" s="1838" t="s">
        <v>1518</v>
      </c>
      <c r="E130" s="489" t="s">
        <v>1613</v>
      </c>
      <c r="F130" s="651">
        <f t="shared" si="30"/>
        <v>0.25</v>
      </c>
      <c r="G130" s="1838" t="s">
        <v>1558</v>
      </c>
      <c r="H130" s="202">
        <f>VLOOKUP(G130,'CP FACTORS'!$A$3:$B$38, 2, FALSE)</f>
        <v>4.6608050000000002E-4</v>
      </c>
      <c r="I130" s="1088">
        <f t="shared" si="33"/>
        <v>7.3683387409392995E-2</v>
      </c>
      <c r="J130" s="1659">
        <f t="shared" si="31"/>
        <v>0.17493611441860468</v>
      </c>
      <c r="K130" s="994">
        <f t="shared" si="34"/>
        <v>1.17E-4</v>
      </c>
      <c r="L130" s="1414">
        <f t="shared" si="35"/>
        <v>25</v>
      </c>
      <c r="M130" s="1415">
        <f t="shared" si="36"/>
        <v>1.6810404785088331</v>
      </c>
      <c r="N130" s="1088">
        <f t="shared" si="37"/>
        <v>1</v>
      </c>
      <c r="O130" s="1012"/>
      <c r="P130" s="1012"/>
      <c r="Q130" s="1012"/>
      <c r="R130" s="1012"/>
      <c r="S130" s="1012"/>
      <c r="T130" s="1012"/>
      <c r="U130" s="1012"/>
      <c r="V130" s="208" t="str">
        <f t="shared" si="38"/>
        <v>kWh Annual Savings</v>
      </c>
      <c r="W130" s="285">
        <v>178.7325598641475</v>
      </c>
      <c r="X130" s="487">
        <v>178.7325598641475</v>
      </c>
      <c r="Y130" s="984">
        <v>0.25</v>
      </c>
      <c r="Z130" s="981">
        <v>0.25</v>
      </c>
      <c r="AA130" s="981">
        <v>0.25</v>
      </c>
      <c r="AB130" s="981">
        <v>0.25</v>
      </c>
      <c r="AC130" s="208"/>
      <c r="AD130" s="208"/>
      <c r="AE130" s="208"/>
      <c r="AF130" s="208"/>
      <c r="AG130" s="208"/>
      <c r="AK130" s="982"/>
      <c r="BB130" s="71">
        <f t="shared" si="32"/>
        <v>0.21931249561437835</v>
      </c>
      <c r="BC130" s="72" t="str">
        <f t="shared" si="39"/>
        <v>Building Shell RES 25 Year EUL</v>
      </c>
      <c r="BD130" s="148">
        <f>(INDEX('Avoided Cost Benefits'!$C$4:$C$857,MATCH(BC130,'Avoided Cost Benefits'!$A$4:$A$857,0)))*F130</f>
        <v>0.347969025550317</v>
      </c>
      <c r="BE130" s="73">
        <f t="shared" si="40"/>
        <v>1.5866356569219753</v>
      </c>
    </row>
    <row r="131" spans="1:57" s="993" customFormat="1" x14ac:dyDescent="0.25">
      <c r="A131" s="1012"/>
      <c r="B131" s="1823"/>
      <c r="C131" s="1323" t="s">
        <v>1614</v>
      </c>
      <c r="D131" s="1658" t="s">
        <v>1515</v>
      </c>
      <c r="E131" s="483" t="s">
        <v>1615</v>
      </c>
      <c r="F131" s="651">
        <f t="shared" si="30"/>
        <v>1.84</v>
      </c>
      <c r="G131" s="1658" t="s">
        <v>1558</v>
      </c>
      <c r="H131" s="202">
        <f>VLOOKUP(G131,'CP FACTORS'!$A$3:$B$38, 2, FALSE)</f>
        <v>4.6608050000000002E-4</v>
      </c>
      <c r="I131" s="1088">
        <f t="shared" si="33"/>
        <v>1.6665626369312141</v>
      </c>
      <c r="J131" s="1659">
        <f t="shared" si="31"/>
        <v>0.17493611441860468</v>
      </c>
      <c r="K131" s="994">
        <f t="shared" si="34"/>
        <v>8.5800000000000004E-4</v>
      </c>
      <c r="L131" s="1414">
        <f t="shared" si="35"/>
        <v>25</v>
      </c>
      <c r="M131" s="1415">
        <f t="shared" si="36"/>
        <v>1.6810397830018082</v>
      </c>
      <c r="N131" s="1088">
        <f t="shared" si="37"/>
        <v>1</v>
      </c>
      <c r="O131" s="1012"/>
      <c r="P131" s="1012"/>
      <c r="Q131" s="1012"/>
      <c r="R131" s="1012"/>
      <c r="S131" s="1012"/>
      <c r="T131" s="1012"/>
      <c r="U131" s="1012"/>
      <c r="V131" s="208" t="str">
        <f t="shared" si="38"/>
        <v>kWh Annual Savings</v>
      </c>
      <c r="W131" s="285">
        <v>2036.6976189928996</v>
      </c>
      <c r="X131" s="487">
        <v>2036.6976189928996</v>
      </c>
      <c r="Y131" s="984">
        <v>1.84</v>
      </c>
      <c r="Z131" s="981">
        <v>1.84</v>
      </c>
      <c r="AA131" s="981">
        <v>1.84</v>
      </c>
      <c r="AB131" s="981">
        <v>1.84</v>
      </c>
      <c r="AC131" s="208"/>
      <c r="AD131" s="208"/>
      <c r="AE131" s="208"/>
      <c r="AF131" s="208"/>
      <c r="AG131" s="208"/>
      <c r="AK131" s="982"/>
      <c r="BB131" s="71">
        <f t="shared" si="32"/>
        <v>1.6141406355499737</v>
      </c>
      <c r="BC131" s="72" t="str">
        <f t="shared" si="39"/>
        <v>Building Shell RES 25 Year EUL</v>
      </c>
      <c r="BD131" s="148">
        <f>(INDEX('Avoided Cost Benefits'!$C$4:$C$857,MATCH(BC131,'Avoided Cost Benefits'!$A$4:$A$857,0)))*F131</f>
        <v>2.5610520280503333</v>
      </c>
      <c r="BE131" s="73">
        <f t="shared" si="40"/>
        <v>1.5866350004736272</v>
      </c>
    </row>
    <row r="132" spans="1:57" s="993" customFormat="1" x14ac:dyDescent="0.25">
      <c r="A132" s="1012"/>
      <c r="B132" s="1823"/>
      <c r="C132" s="1323" t="s">
        <v>1616</v>
      </c>
      <c r="D132" s="1838" t="s">
        <v>1515</v>
      </c>
      <c r="E132" s="489" t="s">
        <v>1617</v>
      </c>
      <c r="F132" s="651">
        <f t="shared" si="30"/>
        <v>1.1499999999999999</v>
      </c>
      <c r="G132" s="1838" t="s">
        <v>1558</v>
      </c>
      <c r="H132" s="202">
        <f>VLOOKUP(G132,'CP FACTORS'!$A$3:$B$38, 2, FALSE)</f>
        <v>4.6608050000000002E-4</v>
      </c>
      <c r="I132" s="1839">
        <f t="shared" si="33"/>
        <v>0.95568264154778193</v>
      </c>
      <c r="J132" s="1840">
        <f t="shared" si="31"/>
        <v>0.19223748837209306</v>
      </c>
      <c r="K132" s="994">
        <f t="shared" si="34"/>
        <v>5.3600000000000002E-4</v>
      </c>
      <c r="L132" s="1414">
        <f t="shared" si="35"/>
        <v>25</v>
      </c>
      <c r="M132" s="1415">
        <f t="shared" si="36"/>
        <v>1.6810397830018082</v>
      </c>
      <c r="N132" s="1088">
        <f t="shared" si="37"/>
        <v>1</v>
      </c>
      <c r="O132" s="1012"/>
      <c r="P132" s="1012"/>
      <c r="Q132" s="1012"/>
      <c r="R132" s="1012"/>
      <c r="S132" s="1012"/>
      <c r="T132" s="1012"/>
      <c r="U132" s="1012"/>
      <c r="V132" s="208" t="str">
        <f t="shared" si="38"/>
        <v>kWh Annual Savings</v>
      </c>
      <c r="W132" s="285">
        <v>1269.5996636913817</v>
      </c>
      <c r="X132" s="487">
        <v>1269.5996636913817</v>
      </c>
      <c r="Y132" s="984">
        <v>1.1499999999999999</v>
      </c>
      <c r="Z132" s="981">
        <v>1.1499999999999999</v>
      </c>
      <c r="AA132" s="981">
        <v>1.1499999999999999</v>
      </c>
      <c r="AB132" s="981">
        <v>1.1499999999999999</v>
      </c>
      <c r="AC132" s="208"/>
      <c r="AD132" s="208"/>
      <c r="AE132" s="208"/>
      <c r="AF132" s="208"/>
      <c r="AG132" s="208"/>
      <c r="AK132" s="982"/>
      <c r="BB132" s="71">
        <f t="shared" si="32"/>
        <v>1.0088378972187335</v>
      </c>
      <c r="BC132" s="72" t="str">
        <f t="shared" si="39"/>
        <v>Building Shell RES 25 Year EUL</v>
      </c>
      <c r="BD132" s="148">
        <f>(INDEX('Avoided Cost Benefits'!$C$4:$C$857,MATCH(BC132,'Avoided Cost Benefits'!$A$4:$A$857,0)))*F132</f>
        <v>1.6006575175314581</v>
      </c>
      <c r="BE132" s="73">
        <f t="shared" si="40"/>
        <v>1.5866350004736272</v>
      </c>
    </row>
    <row r="133" spans="1:57" s="993" customFormat="1" x14ac:dyDescent="0.25">
      <c r="A133" s="1012"/>
      <c r="B133" s="1823"/>
      <c r="C133" s="1323" t="s">
        <v>1618</v>
      </c>
      <c r="D133" s="1658" t="s">
        <v>1515</v>
      </c>
      <c r="E133" s="483" t="s">
        <v>1619</v>
      </c>
      <c r="F133" s="651">
        <f t="shared" si="30"/>
        <v>0.25</v>
      </c>
      <c r="G133" s="1658" t="s">
        <v>1558</v>
      </c>
      <c r="H133" s="202">
        <f>VLOOKUP(G133,'CP FACTORS'!$A$3:$B$38, 2, FALSE)</f>
        <v>4.6608050000000002E-4</v>
      </c>
      <c r="I133" s="1088">
        <f t="shared" si="33"/>
        <v>7.3683387409392995E-2</v>
      </c>
      <c r="J133" s="1659">
        <f t="shared" si="31"/>
        <v>0.17493611441860468</v>
      </c>
      <c r="K133" s="994">
        <f t="shared" si="34"/>
        <v>1.17E-4</v>
      </c>
      <c r="L133" s="1414">
        <f t="shared" si="35"/>
        <v>25</v>
      </c>
      <c r="M133" s="1415">
        <f t="shared" si="36"/>
        <v>1.6810397830018082</v>
      </c>
      <c r="N133" s="1088">
        <f t="shared" si="37"/>
        <v>1</v>
      </c>
      <c r="O133" s="1012"/>
      <c r="P133" s="1012"/>
      <c r="Q133" s="1012"/>
      <c r="R133" s="1012"/>
      <c r="S133" s="1012"/>
      <c r="T133" s="1012"/>
      <c r="U133" s="1012"/>
      <c r="V133" s="208" t="str">
        <f t="shared" si="38"/>
        <v>kWh Annual Savings</v>
      </c>
      <c r="W133" s="285">
        <v>274.97316902176544</v>
      </c>
      <c r="X133" s="487">
        <v>274.97316902176544</v>
      </c>
      <c r="Y133" s="984">
        <v>0.25</v>
      </c>
      <c r="Z133" s="981">
        <v>0.25</v>
      </c>
      <c r="AA133" s="981">
        <v>0.25</v>
      </c>
      <c r="AB133" s="981">
        <v>0.25</v>
      </c>
      <c r="AC133" s="208"/>
      <c r="AD133" s="208"/>
      <c r="AE133" s="208"/>
      <c r="AF133" s="208"/>
      <c r="AG133" s="208"/>
      <c r="AK133" s="982"/>
      <c r="BB133" s="71">
        <f t="shared" si="32"/>
        <v>0.21931258635189857</v>
      </c>
      <c r="BC133" s="72" t="str">
        <f t="shared" si="39"/>
        <v>Building Shell RES 25 Year EUL</v>
      </c>
      <c r="BD133" s="148">
        <f>(INDEX('Avoided Cost Benefits'!$C$4:$C$857,MATCH(BC133,'Avoided Cost Benefits'!$A$4:$A$857,0)))*F133</f>
        <v>0.347969025550317</v>
      </c>
      <c r="BE133" s="73">
        <f t="shared" si="40"/>
        <v>1.5866350004736272</v>
      </c>
    </row>
    <row r="134" spans="1:57" s="993" customFormat="1" x14ac:dyDescent="0.25">
      <c r="A134" s="1012"/>
      <c r="B134" s="1823"/>
      <c r="C134" s="1323" t="s">
        <v>1620</v>
      </c>
      <c r="D134" s="1658" t="s">
        <v>1518</v>
      </c>
      <c r="E134" s="483" t="s">
        <v>1621</v>
      </c>
      <c r="F134" s="651">
        <f t="shared" si="30"/>
        <v>1.96</v>
      </c>
      <c r="G134" s="1658" t="s">
        <v>1558</v>
      </c>
      <c r="H134" s="202">
        <f>VLOOKUP(G134,'CP FACTORS'!$A$3:$B$38, 2, FALSE)</f>
        <v>4.6608050000000002E-4</v>
      </c>
      <c r="I134" s="1088">
        <f t="shared" si="33"/>
        <v>1.76943687377882</v>
      </c>
      <c r="J134" s="1659">
        <f t="shared" si="31"/>
        <v>0.18573464000000001</v>
      </c>
      <c r="K134" s="994">
        <f t="shared" si="34"/>
        <v>9.1399999999999999E-4</v>
      </c>
      <c r="L134" s="1414">
        <f t="shared" si="35"/>
        <v>25</v>
      </c>
      <c r="M134" s="1415">
        <f t="shared" si="36"/>
        <v>2.568757824454027</v>
      </c>
      <c r="N134" s="1088">
        <f t="shared" si="37"/>
        <v>1</v>
      </c>
      <c r="O134" s="1012"/>
      <c r="P134" s="1012"/>
      <c r="Q134" s="1012"/>
      <c r="R134" s="1012"/>
      <c r="S134" s="1012"/>
      <c r="T134" s="1012"/>
      <c r="U134" s="1012"/>
      <c r="V134" s="208" t="str">
        <f t="shared" si="38"/>
        <v>kWh Annual Savings</v>
      </c>
      <c r="W134" s="285">
        <v>1405.5728012555933</v>
      </c>
      <c r="X134" s="487">
        <v>1405.5728012555933</v>
      </c>
      <c r="Y134" s="984">
        <v>1.96</v>
      </c>
      <c r="Z134" s="981">
        <v>1.96</v>
      </c>
      <c r="AA134" s="981">
        <v>1.96</v>
      </c>
      <c r="AB134" s="981">
        <v>1.96</v>
      </c>
      <c r="AC134" s="208"/>
      <c r="AD134" s="208"/>
      <c r="AE134" s="208"/>
      <c r="AF134" s="208"/>
      <c r="AG134" s="208"/>
      <c r="AK134" s="982"/>
      <c r="BB134" s="71">
        <f t="shared" si="32"/>
        <v>1.1252122422118687</v>
      </c>
      <c r="BC134" s="72" t="str">
        <f t="shared" si="39"/>
        <v>Building Shell RES 25 Year EUL</v>
      </c>
      <c r="BD134" s="148">
        <f>(INDEX('Avoided Cost Benefits'!$C$4:$C$857,MATCH(BC134,'Avoided Cost Benefits'!$A$4:$A$857,0)))*F134</f>
        <v>2.7280771603144851</v>
      </c>
      <c r="BE134" s="73">
        <f t="shared" si="40"/>
        <v>2.4245000702727952</v>
      </c>
    </row>
    <row r="135" spans="1:57" s="993" customFormat="1" x14ac:dyDescent="0.25">
      <c r="A135" s="1012"/>
      <c r="B135" s="1823"/>
      <c r="C135" s="1323" t="s">
        <v>1622</v>
      </c>
      <c r="D135" s="1658" t="s">
        <v>1518</v>
      </c>
      <c r="E135" s="483" t="s">
        <v>1623</v>
      </c>
      <c r="F135" s="651">
        <f t="shared" si="30"/>
        <v>1.22</v>
      </c>
      <c r="G135" s="1658" t="s">
        <v>1558</v>
      </c>
      <c r="H135" s="202">
        <f>VLOOKUP(G135,'CP FACTORS'!$A$3:$B$38, 2, FALSE)</f>
        <v>4.6608050000000002E-4</v>
      </c>
      <c r="I135" s="1088">
        <f t="shared" si="33"/>
        <v>1.0146753971988796</v>
      </c>
      <c r="J135" s="1659">
        <f t="shared" si="31"/>
        <v>0.20410400000000001</v>
      </c>
      <c r="K135" s="994">
        <f t="shared" si="34"/>
        <v>5.6899999999999995E-4</v>
      </c>
      <c r="L135" s="1414">
        <f t="shared" si="35"/>
        <v>25</v>
      </c>
      <c r="M135" s="1415">
        <f t="shared" si="36"/>
        <v>2.568757824454027</v>
      </c>
      <c r="N135" s="1088">
        <f t="shared" si="37"/>
        <v>1</v>
      </c>
      <c r="O135" s="1012"/>
      <c r="P135" s="1012"/>
      <c r="Q135" s="1012"/>
      <c r="R135" s="1012"/>
      <c r="S135" s="1012"/>
      <c r="T135" s="1012"/>
      <c r="U135" s="1012"/>
      <c r="V135" s="208" t="str">
        <f t="shared" si="38"/>
        <v>kWh Annual Savings</v>
      </c>
      <c r="W135" s="285">
        <v>876.18050864627435</v>
      </c>
      <c r="X135" s="487">
        <v>876.18050864627435</v>
      </c>
      <c r="Y135" s="984">
        <v>1.22</v>
      </c>
      <c r="Z135" s="981">
        <v>1.22</v>
      </c>
      <c r="AA135" s="981">
        <v>1.22</v>
      </c>
      <c r="AB135" s="981">
        <v>1.22</v>
      </c>
      <c r="AC135" s="208"/>
      <c r="AD135" s="208"/>
      <c r="AE135" s="208"/>
      <c r="AF135" s="208"/>
      <c r="AG135" s="208"/>
      <c r="AK135" s="982"/>
      <c r="BB135" s="71">
        <f t="shared" si="32"/>
        <v>0.70038721198902032</v>
      </c>
      <c r="BC135" s="72" t="str">
        <f t="shared" si="39"/>
        <v>Building Shell RES 25 Year EUL</v>
      </c>
      <c r="BD135" s="148">
        <f>(INDEX('Avoided Cost Benefits'!$C$4:$C$857,MATCH(BC135,'Avoided Cost Benefits'!$A$4:$A$857,0)))*F135</f>
        <v>1.6980888446855469</v>
      </c>
      <c r="BE135" s="73">
        <f t="shared" si="40"/>
        <v>2.4245000702727952</v>
      </c>
    </row>
    <row r="136" spans="1:57" s="993" customFormat="1" x14ac:dyDescent="0.25">
      <c r="A136" s="1012"/>
      <c r="B136" s="1823"/>
      <c r="C136" s="1323" t="s">
        <v>1624</v>
      </c>
      <c r="D136" s="1838" t="s">
        <v>1518</v>
      </c>
      <c r="E136" s="489" t="s">
        <v>1625</v>
      </c>
      <c r="F136" s="651">
        <f t="shared" si="30"/>
        <v>0.26</v>
      </c>
      <c r="G136" s="1658" t="s">
        <v>1558</v>
      </c>
      <c r="H136" s="202">
        <f>VLOOKUP(G136,'CP FACTORS'!$A$3:$B$38, 2, FALSE)</f>
        <v>4.6608050000000002E-4</v>
      </c>
      <c r="I136" s="1088">
        <f t="shared" si="33"/>
        <v>7.8231744656886398E-2</v>
      </c>
      <c r="J136" s="1659">
        <f t="shared" si="31"/>
        <v>0.18573464000000001</v>
      </c>
      <c r="K136" s="994">
        <f>ROUND(H136*F136,6)</f>
        <v>1.21E-4</v>
      </c>
      <c r="L136" s="1414">
        <f t="shared" si="35"/>
        <v>25</v>
      </c>
      <c r="M136" s="1415">
        <f t="shared" si="36"/>
        <v>2.568757824454027</v>
      </c>
      <c r="N136" s="1088">
        <f t="shared" si="37"/>
        <v>1</v>
      </c>
      <c r="O136" s="1012"/>
      <c r="P136" s="1012"/>
      <c r="Q136" s="1012"/>
      <c r="R136" s="1012"/>
      <c r="S136" s="1012"/>
      <c r="T136" s="1012"/>
      <c r="U136" s="1012"/>
      <c r="V136" s="208" t="str">
        <f t="shared" si="38"/>
        <v>kWh Annual Savings</v>
      </c>
      <c r="W136" s="285">
        <v>189.76543392983561</v>
      </c>
      <c r="X136" s="487">
        <v>189.76543392983561</v>
      </c>
      <c r="Y136" s="984">
        <v>0.26</v>
      </c>
      <c r="Z136" s="981">
        <v>0.26</v>
      </c>
      <c r="AA136" s="981">
        <v>0.26</v>
      </c>
      <c r="AB136" s="981">
        <v>0.26</v>
      </c>
      <c r="AC136" s="208"/>
      <c r="AD136" s="208"/>
      <c r="AE136" s="208"/>
      <c r="AF136" s="208"/>
      <c r="AG136" s="208"/>
      <c r="AK136" s="982"/>
      <c r="BB136" s="71">
        <f t="shared" si="32"/>
        <v>0.14926284845667645</v>
      </c>
      <c r="BC136" s="72" t="str">
        <f t="shared" si="39"/>
        <v>Building Shell RES 25 Year EUL</v>
      </c>
      <c r="BD136" s="148">
        <f>(INDEX('Avoided Cost Benefits'!$C$4:$C$857,MATCH(BC136,'Avoided Cost Benefits'!$A$4:$A$857,0)))*F136</f>
        <v>0.36188778657232967</v>
      </c>
      <c r="BE136" s="73">
        <f t="shared" si="40"/>
        <v>2.4245000702727952</v>
      </c>
    </row>
    <row r="137" spans="1:57" s="993" customFormat="1" x14ac:dyDescent="0.25">
      <c r="A137" s="1012"/>
      <c r="B137" s="1823"/>
      <c r="C137" s="1323" t="s">
        <v>1626</v>
      </c>
      <c r="D137" s="1658" t="s">
        <v>1515</v>
      </c>
      <c r="E137" s="483" t="s">
        <v>1627</v>
      </c>
      <c r="F137" s="651">
        <f t="shared" si="30"/>
        <v>1.96</v>
      </c>
      <c r="G137" s="1658" t="s">
        <v>1558</v>
      </c>
      <c r="H137" s="202">
        <f>VLOOKUP(G137,'CP FACTORS'!$A$3:$B$38, 2, FALSE)</f>
        <v>4.6608050000000002E-4</v>
      </c>
      <c r="I137" s="1088">
        <f t="shared" si="33"/>
        <v>1.76943687377882</v>
      </c>
      <c r="J137" s="1659">
        <f t="shared" si="31"/>
        <v>0.18573464000000001</v>
      </c>
      <c r="K137" s="994">
        <f t="shared" si="34"/>
        <v>9.1399999999999999E-4</v>
      </c>
      <c r="L137" s="1414">
        <f t="shared" si="35"/>
        <v>25</v>
      </c>
      <c r="M137" s="1415">
        <f t="shared" si="36"/>
        <v>2.5687522603978299</v>
      </c>
      <c r="N137" s="1088">
        <f t="shared" si="37"/>
        <v>1</v>
      </c>
      <c r="O137" s="1012"/>
      <c r="P137" s="1012"/>
      <c r="Q137" s="1012"/>
      <c r="R137" s="1012"/>
      <c r="S137" s="1012"/>
      <c r="T137" s="1012"/>
      <c r="U137" s="1012"/>
      <c r="V137" s="208" t="str">
        <f t="shared" si="38"/>
        <v>kWh Annual Savings</v>
      </c>
      <c r="W137" s="285">
        <v>2162.4196942393751</v>
      </c>
      <c r="X137" s="487">
        <v>2162.4196942393751</v>
      </c>
      <c r="Y137" s="984">
        <v>1.96</v>
      </c>
      <c r="Z137" s="981">
        <v>1.96</v>
      </c>
      <c r="AA137" s="981">
        <v>1.96</v>
      </c>
      <c r="AB137" s="981">
        <v>1.96</v>
      </c>
      <c r="AC137" s="208"/>
      <c r="AD137" s="208"/>
      <c r="AE137" s="208"/>
      <c r="AF137" s="208"/>
      <c r="AG137" s="208"/>
      <c r="AK137" s="982"/>
      <c r="BB137" s="71">
        <f t="shared" si="32"/>
        <v>1.1252146794823854</v>
      </c>
      <c r="BC137" s="72" t="str">
        <f t="shared" si="39"/>
        <v>Building Shell RES 25 Year EUL</v>
      </c>
      <c r="BD137" s="148">
        <f>(INDEX('Avoided Cost Benefits'!$C$4:$C$857,MATCH(BC137,'Avoided Cost Benefits'!$A$4:$A$857,0)))*F137</f>
        <v>2.7280771603144851</v>
      </c>
      <c r="BE137" s="73">
        <f t="shared" si="40"/>
        <v>2.424494818686012</v>
      </c>
    </row>
    <row r="138" spans="1:57" s="993" customFormat="1" x14ac:dyDescent="0.25">
      <c r="A138" s="1012"/>
      <c r="B138" s="1823"/>
      <c r="C138" s="1323" t="s">
        <v>1628</v>
      </c>
      <c r="D138" s="1838" t="s">
        <v>1515</v>
      </c>
      <c r="E138" s="489" t="s">
        <v>1629</v>
      </c>
      <c r="F138" s="651">
        <f t="shared" si="30"/>
        <v>1.22</v>
      </c>
      <c r="G138" s="1658" t="s">
        <v>1558</v>
      </c>
      <c r="H138" s="202">
        <f>VLOOKUP(G138,'CP FACTORS'!$A$3:$B$38, 2, FALSE)</f>
        <v>4.6608050000000002E-4</v>
      </c>
      <c r="I138" s="1088">
        <f t="shared" si="33"/>
        <v>1.0146753971988796</v>
      </c>
      <c r="J138" s="1659">
        <f t="shared" si="31"/>
        <v>0.20410400000000001</v>
      </c>
      <c r="K138" s="994">
        <f t="shared" si="34"/>
        <v>5.6899999999999995E-4</v>
      </c>
      <c r="L138" s="1414">
        <f t="shared" si="35"/>
        <v>25</v>
      </c>
      <c r="M138" s="1415">
        <f t="shared" si="36"/>
        <v>2.5687522603978299</v>
      </c>
      <c r="N138" s="1088">
        <f t="shared" si="37"/>
        <v>1</v>
      </c>
      <c r="O138" s="1012"/>
      <c r="P138" s="1012"/>
      <c r="Q138" s="1012"/>
      <c r="R138" s="1012"/>
      <c r="S138" s="1012"/>
      <c r="T138" s="1012"/>
      <c r="U138" s="1012"/>
      <c r="V138" s="208" t="str">
        <f t="shared" si="38"/>
        <v>kWh Annual Savings</v>
      </c>
      <c r="W138" s="285">
        <v>1347.9700133019608</v>
      </c>
      <c r="X138" s="487">
        <v>1347.9700133019608</v>
      </c>
      <c r="Y138" s="984">
        <v>1.22</v>
      </c>
      <c r="Z138" s="981">
        <v>1.22</v>
      </c>
      <c r="AA138" s="981">
        <v>1.22</v>
      </c>
      <c r="AB138" s="981">
        <v>1.22</v>
      </c>
      <c r="AC138" s="208"/>
      <c r="AD138" s="208"/>
      <c r="AE138" s="208"/>
      <c r="AF138" s="208"/>
      <c r="AG138" s="208"/>
      <c r="AK138" s="982"/>
      <c r="BB138" s="71">
        <f t="shared" si="32"/>
        <v>0.70038872906556648</v>
      </c>
      <c r="BC138" s="72" t="str">
        <f t="shared" si="39"/>
        <v>Building Shell RES 25 Year EUL</v>
      </c>
      <c r="BD138" s="148">
        <f>(INDEX('Avoided Cost Benefits'!$C$4:$C$857,MATCH(BC138,'Avoided Cost Benefits'!$A$4:$A$857,0)))*F138</f>
        <v>1.6980888446855469</v>
      </c>
      <c r="BE138" s="73">
        <f t="shared" si="40"/>
        <v>2.424494818686012</v>
      </c>
    </row>
    <row r="139" spans="1:57" s="993" customFormat="1" x14ac:dyDescent="0.25">
      <c r="A139" s="1012"/>
      <c r="B139" s="1823"/>
      <c r="C139" s="1323" t="s">
        <v>1630</v>
      </c>
      <c r="D139" s="1658" t="s">
        <v>1515</v>
      </c>
      <c r="E139" s="483" t="s">
        <v>1631</v>
      </c>
      <c r="F139" s="651">
        <f t="shared" si="30"/>
        <v>0.26</v>
      </c>
      <c r="G139" s="1658" t="s">
        <v>1558</v>
      </c>
      <c r="H139" s="202">
        <f>VLOOKUP(G139,'CP FACTORS'!$A$3:$B$38, 2, FALSE)</f>
        <v>4.6608050000000002E-4</v>
      </c>
      <c r="I139" s="1088">
        <f t="shared" si="33"/>
        <v>7.8231744656886398E-2</v>
      </c>
      <c r="J139" s="1659">
        <f t="shared" si="31"/>
        <v>0.18573464000000001</v>
      </c>
      <c r="K139" s="994">
        <f t="shared" si="34"/>
        <v>1.21E-4</v>
      </c>
      <c r="L139" s="1414">
        <f t="shared" si="35"/>
        <v>25</v>
      </c>
      <c r="M139" s="1415">
        <f t="shared" si="36"/>
        <v>2.5687522603978299</v>
      </c>
      <c r="N139" s="1088">
        <f t="shared" si="37"/>
        <v>1</v>
      </c>
      <c r="O139" s="1012"/>
      <c r="P139" s="1012"/>
      <c r="Q139" s="1012"/>
      <c r="R139" s="1012"/>
      <c r="S139" s="1012"/>
      <c r="T139" s="1012"/>
      <c r="U139" s="1012"/>
      <c r="V139" s="208" t="str">
        <f t="shared" si="38"/>
        <v>kWh Annual Savings</v>
      </c>
      <c r="W139" s="285">
        <v>291.94682143051637</v>
      </c>
      <c r="X139" s="487">
        <v>291.94682143051637</v>
      </c>
      <c r="Y139" s="984">
        <v>0.26</v>
      </c>
      <c r="Z139" s="981">
        <v>0.26</v>
      </c>
      <c r="AA139" s="981">
        <v>0.26</v>
      </c>
      <c r="AB139" s="981">
        <v>0.26</v>
      </c>
      <c r="AC139" s="208"/>
      <c r="AD139" s="208"/>
      <c r="AE139" s="208"/>
      <c r="AF139" s="208"/>
      <c r="AG139" s="208"/>
      <c r="AK139" s="982"/>
      <c r="BB139" s="71">
        <f t="shared" si="32"/>
        <v>0.14926317176807155</v>
      </c>
      <c r="BC139" s="72" t="str">
        <f t="shared" si="39"/>
        <v>Building Shell RES 25 Year EUL</v>
      </c>
      <c r="BD139" s="148">
        <f>(INDEX('Avoided Cost Benefits'!$C$4:$C$857,MATCH(BC139,'Avoided Cost Benefits'!$A$4:$A$857,0)))*F139</f>
        <v>0.36188778657232967</v>
      </c>
      <c r="BE139" s="73">
        <f t="shared" si="40"/>
        <v>2.424494818686012</v>
      </c>
    </row>
    <row r="140" spans="1:57" s="993" customFormat="1" x14ac:dyDescent="0.25">
      <c r="A140" s="1012"/>
      <c r="B140" s="1823"/>
      <c r="C140" s="1323" t="s">
        <v>1632</v>
      </c>
      <c r="D140" s="1658" t="s">
        <v>1518</v>
      </c>
      <c r="E140" s="483" t="s">
        <v>1633</v>
      </c>
      <c r="F140" s="651">
        <f t="shared" si="30"/>
        <v>2.0299999999999998</v>
      </c>
      <c r="G140" s="1658" t="s">
        <v>1558</v>
      </c>
      <c r="H140" s="202">
        <f>VLOOKUP(G140,'CP FACTORS'!$A$3:$B$38, 2, FALSE)</f>
        <v>4.6608050000000002E-4</v>
      </c>
      <c r="I140" s="1088">
        <f t="shared" si="33"/>
        <v>1.8374921381549281</v>
      </c>
      <c r="J140" s="1659">
        <f t="shared" si="31"/>
        <v>0.19287827999999999</v>
      </c>
      <c r="K140" s="994">
        <f t="shared" si="34"/>
        <v>9.4600000000000001E-4</v>
      </c>
      <c r="L140" s="1414">
        <f t="shared" si="35"/>
        <v>25</v>
      </c>
      <c r="M140" s="1415">
        <f t="shared" si="36"/>
        <v>3.424301015440256</v>
      </c>
      <c r="N140" s="1088">
        <f t="shared" si="37"/>
        <v>1</v>
      </c>
      <c r="O140" s="1012"/>
      <c r="P140" s="1012"/>
      <c r="Q140" s="1012"/>
      <c r="R140" s="1012"/>
      <c r="S140" s="1012"/>
      <c r="T140" s="1012"/>
      <c r="U140" s="1012"/>
      <c r="V140" s="208" t="str">
        <f t="shared" si="38"/>
        <v>kWh Annual Savings</v>
      </c>
      <c r="W140" s="285">
        <v>1459.6332936115778</v>
      </c>
      <c r="X140" s="487">
        <v>1459.6332936115778</v>
      </c>
      <c r="Y140" s="984">
        <v>2.0299999999999998</v>
      </c>
      <c r="Z140" s="981">
        <v>2.0299999999999998</v>
      </c>
      <c r="AA140" s="981">
        <v>2.0299999999999998</v>
      </c>
      <c r="AB140" s="981">
        <v>2.0299999999999998</v>
      </c>
      <c r="AC140" s="208"/>
      <c r="AD140" s="208"/>
      <c r="AE140" s="208"/>
      <c r="AF140" s="208"/>
      <c r="AG140" s="208"/>
      <c r="AK140" s="982"/>
      <c r="BB140" s="71">
        <f t="shared" si="32"/>
        <v>0.87422987318422674</v>
      </c>
      <c r="BC140" s="72" t="str">
        <f t="shared" si="39"/>
        <v>Building Shell RES 25 Year EUL</v>
      </c>
      <c r="BD140" s="148">
        <f>(INDEX('Avoided Cost Benefits'!$C$4:$C$857,MATCH(BC140,'Avoided Cost Benefits'!$A$4:$A$857,0)))*F140</f>
        <v>2.8255084874685736</v>
      </c>
      <c r="BE140" s="73">
        <f t="shared" si="40"/>
        <v>3.2319971830488492</v>
      </c>
    </row>
    <row r="141" spans="1:57" s="993" customFormat="1" x14ac:dyDescent="0.25">
      <c r="A141" s="1012"/>
      <c r="B141" s="1823"/>
      <c r="C141" s="1323" t="s">
        <v>1634</v>
      </c>
      <c r="D141" s="1658" t="s">
        <v>1518</v>
      </c>
      <c r="E141" s="483" t="s">
        <v>1635</v>
      </c>
      <c r="F141" s="651">
        <f t="shared" si="30"/>
        <v>1.27</v>
      </c>
      <c r="G141" s="1658" t="s">
        <v>1558</v>
      </c>
      <c r="H141" s="202">
        <f>VLOOKUP(G141,'CP FACTORS'!$A$3:$B$38, 2, FALSE)</f>
        <v>4.6608050000000002E-4</v>
      </c>
      <c r="I141" s="1088">
        <f t="shared" si="33"/>
        <v>1.0537013740142209</v>
      </c>
      <c r="J141" s="1659">
        <f t="shared" si="31"/>
        <v>0.21195415384615382</v>
      </c>
      <c r="K141" s="994">
        <f t="shared" si="34"/>
        <v>5.9199999999999997E-4</v>
      </c>
      <c r="L141" s="1414">
        <f t="shared" si="35"/>
        <v>25</v>
      </c>
      <c r="M141" s="1415">
        <f t="shared" si="36"/>
        <v>3.424301015440256</v>
      </c>
      <c r="N141" s="1088">
        <f t="shared" si="37"/>
        <v>1</v>
      </c>
      <c r="O141" s="1012"/>
      <c r="P141" s="1012"/>
      <c r="Q141" s="1012"/>
      <c r="R141" s="1012"/>
      <c r="S141" s="1012"/>
      <c r="T141" s="1012"/>
      <c r="U141" s="1012"/>
      <c r="V141" s="208" t="str">
        <f t="shared" si="38"/>
        <v>kWh Annual Savings</v>
      </c>
      <c r="W141" s="285">
        <v>909.87975897882347</v>
      </c>
      <c r="X141" s="487">
        <v>909.87975897882347</v>
      </c>
      <c r="Y141" s="984">
        <v>1.27</v>
      </c>
      <c r="Z141" s="981">
        <v>1.27</v>
      </c>
      <c r="AA141" s="981">
        <v>1.27</v>
      </c>
      <c r="AB141" s="981">
        <v>1.27</v>
      </c>
      <c r="AC141" s="208"/>
      <c r="AD141" s="208"/>
      <c r="AE141" s="208"/>
      <c r="AF141" s="208"/>
      <c r="AG141" s="208"/>
      <c r="AK141" s="982"/>
      <c r="BB141" s="71">
        <f t="shared" si="32"/>
        <v>0.5469319896275705</v>
      </c>
      <c r="BC141" s="72" t="str">
        <f t="shared" si="39"/>
        <v>Building Shell RES 25 Year EUL</v>
      </c>
      <c r="BD141" s="148">
        <f>(INDEX('Avoided Cost Benefits'!$C$4:$C$857,MATCH(BC141,'Avoided Cost Benefits'!$A$4:$A$857,0)))*F141</f>
        <v>1.7676826497956104</v>
      </c>
      <c r="BE141" s="73">
        <f t="shared" si="40"/>
        <v>3.2319971830488492</v>
      </c>
    </row>
    <row r="142" spans="1:57" s="993" customFormat="1" x14ac:dyDescent="0.25">
      <c r="A142" s="1012"/>
      <c r="B142" s="1823"/>
      <c r="C142" s="1323" t="s">
        <v>1636</v>
      </c>
      <c r="D142" s="1838" t="s">
        <v>1518</v>
      </c>
      <c r="E142" s="489" t="s">
        <v>1637</v>
      </c>
      <c r="F142" s="651">
        <f t="shared" si="30"/>
        <v>0.27</v>
      </c>
      <c r="G142" s="1658" t="s">
        <v>1558</v>
      </c>
      <c r="H142" s="202">
        <f>VLOOKUP(G142,'CP FACTORS'!$A$3:$B$38, 2, FALSE)</f>
        <v>4.6608050000000002E-4</v>
      </c>
      <c r="I142" s="1088">
        <f t="shared" si="33"/>
        <v>8.1240657912920455E-2</v>
      </c>
      <c r="J142" s="1659">
        <f t="shared" si="31"/>
        <v>0.19287827999999999</v>
      </c>
      <c r="K142" s="994">
        <f t="shared" si="34"/>
        <v>1.26E-4</v>
      </c>
      <c r="L142" s="1414">
        <f t="shared" si="35"/>
        <v>25</v>
      </c>
      <c r="M142" s="1415">
        <f t="shared" si="36"/>
        <v>3.424301015440256</v>
      </c>
      <c r="N142" s="1088">
        <f t="shared" si="37"/>
        <v>1</v>
      </c>
      <c r="O142" s="1012"/>
      <c r="P142" s="1012"/>
      <c r="Q142" s="1012"/>
      <c r="R142" s="1012"/>
      <c r="S142" s="1012"/>
      <c r="T142" s="1012"/>
      <c r="U142" s="1012"/>
      <c r="V142" s="208" t="str">
        <f t="shared" si="38"/>
        <v>kWh Annual Savings</v>
      </c>
      <c r="W142" s="285">
        <v>197.06410446559852</v>
      </c>
      <c r="X142" s="487">
        <v>197.06410446559852</v>
      </c>
      <c r="Y142" s="984">
        <v>0.27</v>
      </c>
      <c r="Z142" s="981">
        <v>0.27</v>
      </c>
      <c r="AA142" s="981">
        <v>0.27</v>
      </c>
      <c r="AB142" s="981">
        <v>0.27</v>
      </c>
      <c r="AC142" s="208"/>
      <c r="AD142" s="208"/>
      <c r="AE142" s="208"/>
      <c r="AF142" s="208"/>
      <c r="AG142" s="208"/>
      <c r="AK142" s="982"/>
      <c r="BB142" s="71">
        <f t="shared" si="32"/>
        <v>0.11627687968460163</v>
      </c>
      <c r="BC142" s="72" t="str">
        <f t="shared" si="39"/>
        <v>Building Shell RES 25 Year EUL</v>
      </c>
      <c r="BD142" s="148">
        <f>(INDEX('Avoided Cost Benefits'!$C$4:$C$857,MATCH(BC142,'Avoided Cost Benefits'!$A$4:$A$857,0)))*F142</f>
        <v>0.3758065475943424</v>
      </c>
      <c r="BE142" s="73">
        <f t="shared" si="40"/>
        <v>3.2319971830488492</v>
      </c>
    </row>
    <row r="143" spans="1:57" s="993" customFormat="1" x14ac:dyDescent="0.25">
      <c r="A143" s="1012"/>
      <c r="B143" s="1823"/>
      <c r="C143" s="1323" t="s">
        <v>1638</v>
      </c>
      <c r="D143" s="1658" t="s">
        <v>1515</v>
      </c>
      <c r="E143" s="483" t="s">
        <v>1639</v>
      </c>
      <c r="F143" s="651">
        <f t="shared" si="30"/>
        <v>2.0299999999999998</v>
      </c>
      <c r="G143" s="1658" t="s">
        <v>1558</v>
      </c>
      <c r="H143" s="202">
        <f>VLOOKUP(G143,'CP FACTORS'!$A$3:$B$38, 2, FALSE)</f>
        <v>4.6608050000000002E-4</v>
      </c>
      <c r="I143" s="1088">
        <f t="shared" si="33"/>
        <v>1.8374921381549281</v>
      </c>
      <c r="J143" s="1659">
        <f t="shared" si="31"/>
        <v>0.19287827999999999</v>
      </c>
      <c r="K143" s="994">
        <f t="shared" si="34"/>
        <v>9.4600000000000001E-4</v>
      </c>
      <c r="L143" s="1414">
        <f t="shared" si="35"/>
        <v>25</v>
      </c>
      <c r="M143" s="1415">
        <f t="shared" si="36"/>
        <v>3.4243037974683546</v>
      </c>
      <c r="N143" s="1088">
        <f t="shared" si="37"/>
        <v>1</v>
      </c>
      <c r="O143" s="1012"/>
      <c r="P143" s="1012"/>
      <c r="Q143" s="1012"/>
      <c r="R143" s="1012"/>
      <c r="S143" s="1012"/>
      <c r="T143" s="1012"/>
      <c r="U143" s="1012"/>
      <c r="V143" s="208" t="str">
        <f t="shared" si="38"/>
        <v>kWh Annual Savings</v>
      </c>
      <c r="W143" s="285">
        <v>2245.5896824793513</v>
      </c>
      <c r="X143" s="487">
        <v>2245.5896824793513</v>
      </c>
      <c r="Y143" s="984">
        <v>2.0299999999999998</v>
      </c>
      <c r="Z143" s="981">
        <v>2.0299999999999998</v>
      </c>
      <c r="AA143" s="981">
        <v>2.0299999999999998</v>
      </c>
      <c r="AB143" s="981">
        <v>2.0299999999999998</v>
      </c>
      <c r="AC143" s="208"/>
      <c r="AD143" s="208"/>
      <c r="AE143" s="208"/>
      <c r="AF143" s="208"/>
      <c r="AG143" s="208"/>
      <c r="AK143" s="982"/>
      <c r="BB143" s="71">
        <f t="shared" si="32"/>
        <v>0.87422916292829866</v>
      </c>
      <c r="BC143" s="72" t="str">
        <f t="shared" si="39"/>
        <v>Building Shell RES 25 Year EUL</v>
      </c>
      <c r="BD143" s="148">
        <f>(INDEX('Avoided Cost Benefits'!$C$4:$C$857,MATCH(BC143,'Avoided Cost Benefits'!$A$4:$A$857,0)))*F143</f>
        <v>2.8255084874685736</v>
      </c>
      <c r="BE143" s="73">
        <f t="shared" si="40"/>
        <v>3.2319998088422408</v>
      </c>
    </row>
    <row r="144" spans="1:57" s="993" customFormat="1" x14ac:dyDescent="0.25">
      <c r="A144" s="1012"/>
      <c r="B144" s="1823"/>
      <c r="C144" s="1323" t="s">
        <v>1640</v>
      </c>
      <c r="D144" s="1838" t="s">
        <v>1515</v>
      </c>
      <c r="E144" s="489" t="s">
        <v>1641</v>
      </c>
      <c r="F144" s="651">
        <f t="shared" si="30"/>
        <v>1.27</v>
      </c>
      <c r="G144" s="1658" t="s">
        <v>1558</v>
      </c>
      <c r="H144" s="202">
        <f>VLOOKUP(G144,'CP FACTORS'!$A$3:$B$38, 2, FALSE)</f>
        <v>4.6608050000000002E-4</v>
      </c>
      <c r="I144" s="1088">
        <f t="shared" si="33"/>
        <v>1.0537013740142209</v>
      </c>
      <c r="J144" s="1659">
        <f t="shared" si="31"/>
        <v>0.21195415384615382</v>
      </c>
      <c r="K144" s="994">
        <f t="shared" si="34"/>
        <v>5.9199999999999997E-4</v>
      </c>
      <c r="L144" s="1414">
        <f t="shared" si="35"/>
        <v>25</v>
      </c>
      <c r="M144" s="1415">
        <f t="shared" si="36"/>
        <v>3.4243037974683546</v>
      </c>
      <c r="N144" s="1088">
        <f t="shared" si="37"/>
        <v>1</v>
      </c>
      <c r="O144" s="1012"/>
      <c r="P144" s="1012"/>
      <c r="Q144" s="1012"/>
      <c r="R144" s="1012"/>
      <c r="S144" s="1012"/>
      <c r="T144" s="1012"/>
      <c r="U144" s="1012"/>
      <c r="V144" s="208" t="str">
        <f t="shared" si="38"/>
        <v>kWh Annual Savings</v>
      </c>
      <c r="W144" s="285">
        <v>1399.815013813575</v>
      </c>
      <c r="X144" s="487">
        <v>1399.815013813575</v>
      </c>
      <c r="Y144" s="984">
        <v>1.27</v>
      </c>
      <c r="Z144" s="981">
        <v>1.27</v>
      </c>
      <c r="AA144" s="981">
        <v>1.27</v>
      </c>
      <c r="AB144" s="981">
        <v>1.27</v>
      </c>
      <c r="AC144" s="208"/>
      <c r="AD144" s="208"/>
      <c r="AE144" s="208"/>
      <c r="AF144" s="208"/>
      <c r="AG144" s="208"/>
      <c r="AK144" s="982"/>
      <c r="BB144" s="71">
        <f t="shared" si="32"/>
        <v>0.54693154528026577</v>
      </c>
      <c r="BC144" s="72" t="str">
        <f t="shared" si="39"/>
        <v>Building Shell RES 25 Year EUL</v>
      </c>
      <c r="BD144" s="148">
        <f>(INDEX('Avoided Cost Benefits'!$C$4:$C$857,MATCH(BC144,'Avoided Cost Benefits'!$A$4:$A$857,0)))*F144</f>
        <v>1.7676826497956104</v>
      </c>
      <c r="BE144" s="73">
        <f t="shared" si="40"/>
        <v>3.2319998088422408</v>
      </c>
    </row>
    <row r="145" spans="1:57" s="993" customFormat="1" x14ac:dyDescent="0.25">
      <c r="A145" s="1012"/>
      <c r="B145" s="1823"/>
      <c r="C145" s="1323" t="s">
        <v>1642</v>
      </c>
      <c r="D145" s="1658" t="s">
        <v>1515</v>
      </c>
      <c r="E145" s="483" t="s">
        <v>1643</v>
      </c>
      <c r="F145" s="651">
        <f t="shared" si="30"/>
        <v>0.27</v>
      </c>
      <c r="G145" s="1658" t="s">
        <v>1558</v>
      </c>
      <c r="H145" s="202">
        <f>VLOOKUP(G145,'CP FACTORS'!$A$3:$B$38, 2, FALSE)</f>
        <v>4.6608050000000002E-4</v>
      </c>
      <c r="I145" s="1088">
        <f t="shared" si="33"/>
        <v>8.1240657912920455E-2</v>
      </c>
      <c r="J145" s="1659">
        <f t="shared" si="31"/>
        <v>0.19287827999999999</v>
      </c>
      <c r="K145" s="994">
        <f t="shared" si="34"/>
        <v>1.26E-4</v>
      </c>
      <c r="L145" s="1414">
        <f t="shared" si="35"/>
        <v>25</v>
      </c>
      <c r="M145" s="1415">
        <f t="shared" si="36"/>
        <v>3.4243037974683546</v>
      </c>
      <c r="N145" s="1088">
        <f t="shared" si="37"/>
        <v>1</v>
      </c>
      <c r="O145" s="1012"/>
      <c r="P145" s="1012"/>
      <c r="Q145" s="1012"/>
      <c r="R145" s="1012"/>
      <c r="S145" s="1012"/>
      <c r="T145" s="1012"/>
      <c r="U145" s="1012"/>
      <c r="V145" s="208" t="str">
        <f t="shared" si="38"/>
        <v>kWh Annual Savings</v>
      </c>
      <c r="W145" s="285">
        <v>303.1755453316901</v>
      </c>
      <c r="X145" s="487">
        <v>303.1755453316901</v>
      </c>
      <c r="Y145" s="984">
        <v>0.27</v>
      </c>
      <c r="Z145" s="981">
        <v>0.27</v>
      </c>
      <c r="AA145" s="981">
        <v>0.27</v>
      </c>
      <c r="AB145" s="981">
        <v>0.27</v>
      </c>
      <c r="AC145" s="208"/>
      <c r="AD145" s="208"/>
      <c r="AE145" s="208"/>
      <c r="AF145" s="208"/>
      <c r="AG145" s="208"/>
      <c r="AK145" s="982"/>
      <c r="BB145" s="74">
        <f t="shared" si="32"/>
        <v>0.11627678521706439</v>
      </c>
      <c r="BC145" s="72" t="str">
        <f t="shared" si="39"/>
        <v>Building Shell RES 25 Year EUL</v>
      </c>
      <c r="BD145" s="153">
        <f>(INDEX('Avoided Cost Benefits'!$C$4:$C$857,MATCH(BC145,'Avoided Cost Benefits'!$A$4:$A$857,0)))*F145</f>
        <v>0.3758065475943424</v>
      </c>
      <c r="BE145" s="75">
        <f t="shared" si="40"/>
        <v>3.2319998088422408</v>
      </c>
    </row>
    <row r="146" spans="1:57" s="993" customFormat="1" x14ac:dyDescent="0.25">
      <c r="A146" s="1012"/>
      <c r="B146" s="1841"/>
      <c r="C146" s="1397"/>
      <c r="D146" s="1842"/>
      <c r="E146" s="1842"/>
      <c r="F146" s="1843"/>
      <c r="G146" s="1397"/>
      <c r="H146" s="1844"/>
      <c r="I146" s="1845"/>
      <c r="J146" s="1846"/>
      <c r="K146" s="1398"/>
      <c r="L146" s="1847"/>
      <c r="M146" s="1848"/>
      <c r="N146" s="1849"/>
      <c r="O146" s="1020"/>
      <c r="P146" s="1020"/>
      <c r="Q146" s="1020"/>
      <c r="R146" s="1020"/>
      <c r="S146" s="1020"/>
      <c r="T146" s="1020"/>
      <c r="U146" s="1020"/>
      <c r="V146" s="1399"/>
      <c r="W146" s="1400"/>
      <c r="X146" s="1401"/>
      <c r="Y146" s="1402"/>
      <c r="Z146" s="1399"/>
      <c r="AA146" s="1399"/>
      <c r="AB146" s="1399"/>
      <c r="AC146" s="1399"/>
      <c r="AD146" s="1399"/>
      <c r="AE146" s="1399"/>
      <c r="AF146" s="1399"/>
      <c r="AG146" s="1399"/>
      <c r="AK146" s="982"/>
      <c r="BB146" s="1008"/>
    </row>
    <row r="147" spans="1:57" s="993" customFormat="1" hidden="1" outlineLevel="1" x14ac:dyDescent="0.25">
      <c r="A147" s="1012"/>
      <c r="B147" s="1850"/>
      <c r="C147" s="1009"/>
      <c r="D147" s="492"/>
      <c r="E147" s="492"/>
      <c r="F147" s="1669"/>
      <c r="G147" s="1012"/>
      <c r="H147" s="1012"/>
      <c r="I147" s="1012"/>
      <c r="J147" s="1012"/>
      <c r="K147" s="1012"/>
      <c r="L147" s="1012"/>
      <c r="M147" s="1012"/>
      <c r="N147" s="1012"/>
      <c r="O147" s="1012"/>
      <c r="P147" s="1012"/>
      <c r="Q147" s="1012"/>
      <c r="R147" s="1012"/>
      <c r="S147" s="1012"/>
      <c r="T147" s="1012"/>
      <c r="U147" s="1012"/>
      <c r="Y147" s="1701" t="s">
        <v>1581</v>
      </c>
      <c r="AK147" s="982"/>
      <c r="BB147" s="1008"/>
    </row>
    <row r="148" spans="1:57" s="993" customFormat="1" hidden="1" outlineLevel="1" x14ac:dyDescent="0.25">
      <c r="A148" s="1012"/>
      <c r="B148" s="1823"/>
      <c r="C148" s="1009"/>
      <c r="D148" s="492" t="s">
        <v>571</v>
      </c>
      <c r="E148" s="492"/>
      <c r="F148" s="1669"/>
      <c r="G148" s="1012"/>
      <c r="H148" s="1012"/>
      <c r="I148" s="1012"/>
      <c r="J148" s="1012"/>
      <c r="K148" s="1012"/>
      <c r="L148" s="1012"/>
      <c r="M148" s="1012"/>
      <c r="N148" s="1012"/>
      <c r="O148" s="1012"/>
      <c r="P148" s="1012"/>
      <c r="Q148" s="1012"/>
      <c r="R148" s="1012"/>
      <c r="S148" s="1012"/>
      <c r="T148" s="1012"/>
      <c r="U148" s="1012"/>
      <c r="Y148" s="1013"/>
      <c r="AK148" s="982"/>
      <c r="BB148" s="1008"/>
    </row>
    <row r="149" spans="1:57" s="993" customFormat="1" hidden="1" outlineLevel="1" x14ac:dyDescent="0.25">
      <c r="A149" s="1012"/>
      <c r="B149" s="1823"/>
      <c r="C149" s="1009"/>
      <c r="D149" s="492"/>
      <c r="E149" s="492"/>
      <c r="F149" s="1669"/>
      <c r="G149" s="1012"/>
      <c r="H149" s="1012"/>
      <c r="I149" s="1012"/>
      <c r="J149" s="1012"/>
      <c r="K149" s="1012"/>
      <c r="L149" s="1012"/>
      <c r="M149" s="1012"/>
      <c r="N149" s="1012"/>
      <c r="O149" s="1012"/>
      <c r="P149" s="1012"/>
      <c r="Q149" s="1012"/>
      <c r="R149" s="1012"/>
      <c r="S149" s="1012"/>
      <c r="T149" s="1012"/>
      <c r="U149" s="1012"/>
      <c r="Y149" s="1013"/>
      <c r="AK149" s="982"/>
      <c r="BB149" s="1008"/>
    </row>
    <row r="150" spans="1:57" s="993" customFormat="1" hidden="1" outlineLevel="1" x14ac:dyDescent="0.25">
      <c r="A150" s="1012"/>
      <c r="B150" s="1823"/>
      <c r="C150" s="1009"/>
      <c r="D150" s="492"/>
      <c r="E150" s="492"/>
      <c r="F150" s="1669"/>
      <c r="G150" s="1012"/>
      <c r="H150" s="1012"/>
      <c r="I150" s="1012"/>
      <c r="J150" s="1012"/>
      <c r="K150" s="1012"/>
      <c r="L150" s="1012"/>
      <c r="M150" s="1012"/>
      <c r="N150" s="1012"/>
      <c r="O150" s="1012"/>
      <c r="P150" s="1012"/>
      <c r="Q150" s="1012"/>
      <c r="R150" s="1012"/>
      <c r="S150" s="1012"/>
      <c r="T150" s="1012"/>
      <c r="U150" s="1012"/>
      <c r="Y150" s="1013"/>
      <c r="AK150" s="982"/>
      <c r="BB150" s="1008"/>
    </row>
    <row r="151" spans="1:57" s="993" customFormat="1" ht="18.600000000000001" hidden="1" customHeight="1" outlineLevel="1" x14ac:dyDescent="0.25">
      <c r="A151" s="1012"/>
      <c r="B151" s="1823"/>
      <c r="C151" s="1014"/>
      <c r="D151" s="3849"/>
      <c r="E151" s="3849"/>
      <c r="F151" s="3849"/>
      <c r="G151" s="3849"/>
      <c r="H151" s="3849"/>
      <c r="I151" s="3849"/>
      <c r="J151" s="3849"/>
      <c r="K151" s="3849"/>
      <c r="L151" s="3849"/>
      <c r="M151" s="1012"/>
      <c r="N151" s="1012"/>
      <c r="O151" s="1012"/>
      <c r="P151" s="1012"/>
      <c r="Q151" s="1012"/>
      <c r="R151" s="1012"/>
      <c r="S151" s="1012"/>
      <c r="T151" s="1012"/>
      <c r="U151" s="1012"/>
      <c r="Y151" s="1013"/>
      <c r="AK151" s="982"/>
      <c r="BB151" s="1008"/>
    </row>
    <row r="152" spans="1:57" s="993" customFormat="1" ht="39" hidden="1" customHeight="1" outlineLevel="1" x14ac:dyDescent="0.25">
      <c r="A152" s="1012"/>
      <c r="B152" s="1823"/>
      <c r="C152" s="1015"/>
      <c r="D152" s="3849"/>
      <c r="E152" s="3849"/>
      <c r="F152" s="3849"/>
      <c r="G152" s="3849"/>
      <c r="H152" s="3849"/>
      <c r="I152" s="3849"/>
      <c r="J152" s="3849"/>
      <c r="K152" s="3849"/>
      <c r="L152" s="3849"/>
      <c r="M152" s="1012"/>
      <c r="N152" s="1012"/>
      <c r="O152" s="1012"/>
      <c r="P152" s="1012"/>
      <c r="Q152" s="1012"/>
      <c r="R152" s="1012"/>
      <c r="S152" s="1012"/>
      <c r="T152" s="1012"/>
      <c r="U152" s="1012"/>
      <c r="Y152" s="1013"/>
      <c r="AK152" s="982"/>
      <c r="BB152" s="1008"/>
    </row>
    <row r="153" spans="1:57" s="993" customFormat="1" hidden="1" outlineLevel="1" x14ac:dyDescent="0.25">
      <c r="A153" s="1012"/>
      <c r="B153" s="1823"/>
      <c r="C153" s="1015"/>
      <c r="D153" s="3849"/>
      <c r="E153" s="3849"/>
      <c r="F153" s="3849"/>
      <c r="G153" s="3849"/>
      <c r="H153" s="3849"/>
      <c r="I153" s="3849"/>
      <c r="J153" s="3849"/>
      <c r="K153" s="3849"/>
      <c r="L153" s="3849"/>
      <c r="M153" s="1012"/>
      <c r="N153" s="1012"/>
      <c r="O153" s="1012"/>
      <c r="P153" s="1012"/>
      <c r="Q153" s="1012"/>
      <c r="R153" s="1012"/>
      <c r="S153" s="1012"/>
      <c r="T153" s="1012"/>
      <c r="U153" s="1012"/>
      <c r="Y153" s="1013"/>
      <c r="AK153" s="982"/>
      <c r="BB153" s="1008"/>
    </row>
    <row r="154" spans="1:57" s="993" customFormat="1" ht="15" hidden="1" customHeight="1" outlineLevel="1" x14ac:dyDescent="0.25">
      <c r="A154" s="1012"/>
      <c r="B154" s="1823"/>
      <c r="C154" s="1016"/>
      <c r="D154" s="3849"/>
      <c r="E154" s="3849"/>
      <c r="F154" s="3849"/>
      <c r="G154" s="3849"/>
      <c r="H154" s="3849"/>
      <c r="I154" s="3849"/>
      <c r="J154" s="3849"/>
      <c r="K154" s="3849"/>
      <c r="L154" s="3849"/>
      <c r="M154" s="1012"/>
      <c r="N154" s="1012"/>
      <c r="O154" s="1012"/>
      <c r="P154" s="1012"/>
      <c r="Q154" s="1012"/>
      <c r="R154" s="1012"/>
      <c r="S154" s="1012"/>
      <c r="T154" s="1012"/>
      <c r="U154" s="1012"/>
      <c r="Y154" s="1013"/>
      <c r="AK154" s="982"/>
      <c r="BB154" s="1008"/>
    </row>
    <row r="155" spans="1:57" s="993" customFormat="1" hidden="1" outlineLevel="1" x14ac:dyDescent="0.25">
      <c r="A155" s="1012"/>
      <c r="B155" s="1823"/>
      <c r="C155" s="1009"/>
      <c r="D155" s="492"/>
      <c r="E155" s="492"/>
      <c r="F155" s="1012"/>
      <c r="G155" s="1012"/>
      <c r="H155" s="1012"/>
      <c r="I155" s="1012"/>
      <c r="J155" s="1012"/>
      <c r="K155" s="1012"/>
      <c r="L155" s="1012"/>
      <c r="M155" s="1012"/>
      <c r="N155" s="1012"/>
      <c r="O155" s="1012"/>
      <c r="P155" s="1012"/>
      <c r="Q155" s="1012"/>
      <c r="R155" s="1012"/>
      <c r="S155" s="1012"/>
      <c r="T155" s="1012"/>
      <c r="U155" s="1012"/>
      <c r="Y155" s="1013"/>
      <c r="AK155" s="982"/>
      <c r="BB155" s="1008"/>
    </row>
    <row r="156" spans="1:57" s="993" customFormat="1" hidden="1" outlineLevel="1" x14ac:dyDescent="0.25">
      <c r="A156" s="1012"/>
      <c r="B156" s="1823"/>
      <c r="C156" s="1009"/>
      <c r="D156" s="1456" t="s">
        <v>572</v>
      </c>
      <c r="E156" s="1456" t="s">
        <v>573</v>
      </c>
      <c r="F156" s="1409" t="s">
        <v>574</v>
      </c>
      <c r="G156" s="1409" t="s">
        <v>624</v>
      </c>
      <c r="H156" s="1409" t="s">
        <v>713</v>
      </c>
      <c r="I156" s="1012"/>
      <c r="J156" s="1012"/>
      <c r="K156" s="1012"/>
      <c r="L156" s="1012"/>
      <c r="M156" s="1012"/>
      <c r="N156" s="1012"/>
      <c r="O156" s="1012"/>
      <c r="P156" s="1012"/>
      <c r="Q156" s="1012"/>
      <c r="R156" s="1012"/>
      <c r="S156" s="1012"/>
      <c r="T156" s="1012"/>
      <c r="U156" s="1012"/>
      <c r="V156" s="55" t="s">
        <v>27</v>
      </c>
      <c r="W156" s="56">
        <f>W$6</f>
        <v>43252</v>
      </c>
      <c r="X156" s="56">
        <f t="shared" ref="X156:AG156" si="41">X$6</f>
        <v>43465</v>
      </c>
      <c r="Y156" s="420">
        <f t="shared" si="41"/>
        <v>43800</v>
      </c>
      <c r="Z156" s="56">
        <f t="shared" si="41"/>
        <v>43862</v>
      </c>
      <c r="AA156" s="56">
        <f t="shared" si="41"/>
        <v>44013</v>
      </c>
      <c r="AB156" s="56">
        <f t="shared" si="41"/>
        <v>44166</v>
      </c>
      <c r="AC156" s="56" t="str">
        <f t="shared" si="41"/>
        <v>-</v>
      </c>
      <c r="AD156" s="56" t="str">
        <f t="shared" si="41"/>
        <v>-</v>
      </c>
      <c r="AE156" s="56" t="str">
        <f t="shared" si="41"/>
        <v>-</v>
      </c>
      <c r="AF156" s="56" t="str">
        <f t="shared" si="41"/>
        <v>-</v>
      </c>
      <c r="AG156" s="56" t="str">
        <f t="shared" si="41"/>
        <v>-</v>
      </c>
      <c r="AK156" s="982"/>
      <c r="BB156" s="1008"/>
    </row>
    <row r="157" spans="1:57" s="993" customFormat="1" hidden="1" outlineLevel="1" x14ac:dyDescent="0.25">
      <c r="A157" s="1012"/>
      <c r="B157" s="1823"/>
      <c r="C157" s="1009"/>
      <c r="D157" s="3839" t="s">
        <v>183</v>
      </c>
      <c r="E157" s="483" t="s">
        <v>1585</v>
      </c>
      <c r="F157" s="1048">
        <v>1</v>
      </c>
      <c r="G157" s="1189"/>
      <c r="H157" s="1322"/>
      <c r="I157" s="1012"/>
      <c r="J157" s="1012"/>
      <c r="K157" s="1012"/>
      <c r="L157" s="1012"/>
      <c r="M157" s="1012"/>
      <c r="N157" s="1012"/>
      <c r="O157" s="1012"/>
      <c r="P157" s="1012"/>
      <c r="Q157" s="1012"/>
      <c r="R157" s="1012"/>
      <c r="S157" s="1012"/>
      <c r="T157" s="1012"/>
      <c r="U157" s="1012"/>
      <c r="V157" s="3841" t="str">
        <f>D157</f>
        <v>%ElectricHeat</v>
      </c>
      <c r="W157" s="1017">
        <v>1</v>
      </c>
      <c r="X157" s="1017">
        <v>1</v>
      </c>
      <c r="Y157" s="1017">
        <v>1</v>
      </c>
      <c r="Z157" s="1048">
        <v>1</v>
      </c>
      <c r="AA157" s="1048">
        <v>1</v>
      </c>
      <c r="AB157" s="1048">
        <v>1</v>
      </c>
      <c r="AC157" s="1017"/>
      <c r="AD157" s="1017"/>
      <c r="AE157" s="1017"/>
      <c r="AF157" s="1017"/>
      <c r="AG157" s="1017"/>
      <c r="AK157" s="982"/>
      <c r="BB157" s="1008"/>
    </row>
    <row r="158" spans="1:57" s="993" customFormat="1" hidden="1" outlineLevel="1" x14ac:dyDescent="0.25">
      <c r="A158" s="1012"/>
      <c r="B158" s="1823"/>
      <c r="C158" s="1009"/>
      <c r="D158" s="3840"/>
      <c r="E158" s="483" t="s">
        <v>1587</v>
      </c>
      <c r="F158" s="1048">
        <v>1</v>
      </c>
      <c r="G158" s="1189"/>
      <c r="H158" s="1322"/>
      <c r="I158" s="1012"/>
      <c r="J158" s="1012"/>
      <c r="K158" s="1012"/>
      <c r="L158" s="1012"/>
      <c r="M158" s="1012"/>
      <c r="N158" s="1012"/>
      <c r="O158" s="1012"/>
      <c r="P158" s="1012"/>
      <c r="Q158" s="1012"/>
      <c r="R158" s="1012"/>
      <c r="S158" s="1012"/>
      <c r="T158" s="1012"/>
      <c r="U158" s="1012"/>
      <c r="V158" s="3842"/>
      <c r="W158" s="1017">
        <v>1</v>
      </c>
      <c r="X158" s="1017">
        <v>1</v>
      </c>
      <c r="Y158" s="1017">
        <v>1</v>
      </c>
      <c r="Z158" s="1048">
        <v>1</v>
      </c>
      <c r="AA158" s="1048">
        <v>1</v>
      </c>
      <c r="AB158" s="1048">
        <v>1</v>
      </c>
      <c r="AC158" s="1017"/>
      <c r="AD158" s="1017"/>
      <c r="AE158" s="1017"/>
      <c r="AF158" s="1017"/>
      <c r="AG158" s="1017"/>
      <c r="AK158" s="982"/>
      <c r="BB158" s="1008"/>
    </row>
    <row r="159" spans="1:57" s="993" customFormat="1" hidden="1" outlineLevel="1" x14ac:dyDescent="0.25">
      <c r="A159" s="1012"/>
      <c r="B159" s="1823"/>
      <c r="C159" s="1009"/>
      <c r="D159" s="3840"/>
      <c r="E159" s="483" t="s">
        <v>1589</v>
      </c>
      <c r="F159" s="1048">
        <v>0</v>
      </c>
      <c r="G159" s="1189"/>
      <c r="H159" s="1322"/>
      <c r="I159" s="1012"/>
      <c r="J159" s="1012"/>
      <c r="K159" s="1012"/>
      <c r="L159" s="1012"/>
      <c r="M159" s="1012"/>
      <c r="N159" s="1012"/>
      <c r="O159" s="1012"/>
      <c r="P159" s="1012"/>
      <c r="Q159" s="1012"/>
      <c r="R159" s="1012"/>
      <c r="S159" s="1012"/>
      <c r="T159" s="1012"/>
      <c r="U159" s="1012"/>
      <c r="V159" s="3842"/>
      <c r="W159" s="1017">
        <v>0</v>
      </c>
      <c r="X159" s="1017">
        <v>0</v>
      </c>
      <c r="Y159" s="1017">
        <v>0</v>
      </c>
      <c r="Z159" s="1048">
        <v>0</v>
      </c>
      <c r="AA159" s="1048">
        <v>0</v>
      </c>
      <c r="AB159" s="1048">
        <v>0</v>
      </c>
      <c r="AC159" s="1017"/>
      <c r="AD159" s="1017"/>
      <c r="AE159" s="1017"/>
      <c r="AF159" s="1017"/>
      <c r="AG159" s="1017"/>
      <c r="AK159" s="982"/>
      <c r="BB159" s="1008"/>
    </row>
    <row r="160" spans="1:57" s="993" customFormat="1" hidden="1" outlineLevel="1" x14ac:dyDescent="0.25">
      <c r="A160" s="1012"/>
      <c r="B160" s="1823"/>
      <c r="C160" s="1009"/>
      <c r="D160" s="3840"/>
      <c r="E160" s="483" t="s">
        <v>1591</v>
      </c>
      <c r="F160" s="1048">
        <v>1</v>
      </c>
      <c r="G160" s="1189"/>
      <c r="H160" s="1322"/>
      <c r="I160" s="1012"/>
      <c r="J160" s="1012"/>
      <c r="K160" s="1012"/>
      <c r="L160" s="1012"/>
      <c r="M160" s="1012"/>
      <c r="N160" s="1012"/>
      <c r="O160" s="1012"/>
      <c r="P160" s="1012"/>
      <c r="Q160" s="1012"/>
      <c r="R160" s="1012"/>
      <c r="S160" s="1012"/>
      <c r="T160" s="1012"/>
      <c r="U160" s="1012"/>
      <c r="V160" s="3842"/>
      <c r="W160" s="1017">
        <v>1</v>
      </c>
      <c r="X160" s="1017">
        <v>1</v>
      </c>
      <c r="Y160" s="1017">
        <v>1</v>
      </c>
      <c r="Z160" s="1048">
        <v>1</v>
      </c>
      <c r="AA160" s="1048">
        <v>1</v>
      </c>
      <c r="AB160" s="1048">
        <v>1</v>
      </c>
      <c r="AC160" s="1017"/>
      <c r="AD160" s="1017"/>
      <c r="AE160" s="1017"/>
      <c r="AF160" s="1017"/>
      <c r="AG160" s="1017"/>
      <c r="AK160" s="982"/>
      <c r="BB160" s="1008"/>
    </row>
    <row r="161" spans="1:54" s="993" customFormat="1" hidden="1" outlineLevel="1" x14ac:dyDescent="0.25">
      <c r="A161" s="1012"/>
      <c r="B161" s="1823"/>
      <c r="C161" s="1009"/>
      <c r="D161" s="3840"/>
      <c r="E161" s="483" t="s">
        <v>1593</v>
      </c>
      <c r="F161" s="1048">
        <v>1</v>
      </c>
      <c r="G161" s="1189"/>
      <c r="H161" s="1322"/>
      <c r="I161" s="1012"/>
      <c r="J161" s="1012"/>
      <c r="K161" s="1012"/>
      <c r="L161" s="1012"/>
      <c r="M161" s="1012"/>
      <c r="N161" s="1012"/>
      <c r="O161" s="1012"/>
      <c r="P161" s="1012"/>
      <c r="Q161" s="1012"/>
      <c r="R161" s="1012"/>
      <c r="S161" s="1012"/>
      <c r="T161" s="1012"/>
      <c r="U161" s="1012"/>
      <c r="V161" s="3842"/>
      <c r="W161" s="1017">
        <v>1</v>
      </c>
      <c r="X161" s="1017">
        <v>1</v>
      </c>
      <c r="Y161" s="1017">
        <v>1</v>
      </c>
      <c r="Z161" s="1048">
        <v>1</v>
      </c>
      <c r="AA161" s="1048">
        <v>1</v>
      </c>
      <c r="AB161" s="1048">
        <v>1</v>
      </c>
      <c r="AC161" s="1017"/>
      <c r="AD161" s="1017"/>
      <c r="AE161" s="1017"/>
      <c r="AF161" s="1017"/>
      <c r="AG161" s="1017"/>
      <c r="AK161" s="982"/>
      <c r="BB161" s="1008"/>
    </row>
    <row r="162" spans="1:54" s="993" customFormat="1" hidden="1" outlineLevel="1" x14ac:dyDescent="0.25">
      <c r="A162" s="1012"/>
      <c r="B162" s="1841"/>
      <c r="C162" s="1009"/>
      <c r="D162" s="3840"/>
      <c r="E162" s="483" t="s">
        <v>1595</v>
      </c>
      <c r="F162" s="1048">
        <v>0</v>
      </c>
      <c r="G162" s="1189"/>
      <c r="H162" s="1322"/>
      <c r="I162" s="1012"/>
      <c r="J162" s="1012"/>
      <c r="K162" s="1012"/>
      <c r="L162" s="1012"/>
      <c r="M162" s="1012"/>
      <c r="N162" s="1012"/>
      <c r="O162" s="1012"/>
      <c r="P162" s="1012"/>
      <c r="Q162" s="1012"/>
      <c r="R162" s="1012"/>
      <c r="S162" s="1012"/>
      <c r="T162" s="1012"/>
      <c r="U162" s="1012"/>
      <c r="V162" s="3842"/>
      <c r="W162" s="1017">
        <v>0</v>
      </c>
      <c r="X162" s="1017">
        <v>0</v>
      </c>
      <c r="Y162" s="1017">
        <v>0</v>
      </c>
      <c r="Z162" s="1048">
        <v>0</v>
      </c>
      <c r="AA162" s="1048">
        <v>0</v>
      </c>
      <c r="AB162" s="1048">
        <v>0</v>
      </c>
      <c r="AC162" s="1017"/>
      <c r="AD162" s="1017"/>
      <c r="AE162" s="1017"/>
      <c r="AF162" s="1017"/>
      <c r="AG162" s="1017"/>
      <c r="AK162" s="982"/>
      <c r="BB162" s="1008"/>
    </row>
    <row r="163" spans="1:54" s="993" customFormat="1" hidden="1" outlineLevel="1" x14ac:dyDescent="0.25">
      <c r="A163" s="1012"/>
      <c r="B163" s="1841"/>
      <c r="C163" s="1009"/>
      <c r="D163" s="3840"/>
      <c r="E163" s="483" t="s">
        <v>1597</v>
      </c>
      <c r="F163" s="1048">
        <v>1</v>
      </c>
      <c r="G163" s="1189"/>
      <c r="H163" s="1322"/>
      <c r="I163" s="1012"/>
      <c r="J163" s="1012"/>
      <c r="K163" s="1012"/>
      <c r="L163" s="1012"/>
      <c r="M163" s="1012"/>
      <c r="N163" s="1012"/>
      <c r="O163" s="1012"/>
      <c r="P163" s="1012"/>
      <c r="Q163" s="1012"/>
      <c r="R163" s="1012"/>
      <c r="S163" s="1012"/>
      <c r="T163" s="1012"/>
      <c r="U163" s="1012"/>
      <c r="V163" s="3842"/>
      <c r="W163" s="1017">
        <v>1</v>
      </c>
      <c r="X163" s="1017">
        <v>1</v>
      </c>
      <c r="Y163" s="1017">
        <v>1</v>
      </c>
      <c r="Z163" s="1048">
        <v>1</v>
      </c>
      <c r="AA163" s="1048">
        <v>1</v>
      </c>
      <c r="AB163" s="1048">
        <v>1</v>
      </c>
      <c r="AC163" s="1017"/>
      <c r="AD163" s="1017"/>
      <c r="AE163" s="1017"/>
      <c r="AF163" s="1017"/>
      <c r="AG163" s="1017"/>
      <c r="AK163" s="982"/>
      <c r="BB163" s="1008"/>
    </row>
    <row r="164" spans="1:54" s="993" customFormat="1" hidden="1" outlineLevel="1" x14ac:dyDescent="0.25">
      <c r="A164" s="1012"/>
      <c r="B164" s="1841"/>
      <c r="C164" s="1009"/>
      <c r="D164" s="3840"/>
      <c r="E164" s="483" t="s">
        <v>1599</v>
      </c>
      <c r="F164" s="1048">
        <v>1</v>
      </c>
      <c r="G164" s="1189"/>
      <c r="H164" s="1322"/>
      <c r="I164" s="1012"/>
      <c r="J164" s="1012"/>
      <c r="K164" s="1012"/>
      <c r="L164" s="1012"/>
      <c r="M164" s="1012"/>
      <c r="N164" s="1012"/>
      <c r="O164" s="1012"/>
      <c r="P164" s="1012"/>
      <c r="Q164" s="1012"/>
      <c r="R164" s="1012"/>
      <c r="S164" s="1012"/>
      <c r="T164" s="1012"/>
      <c r="U164" s="1012"/>
      <c r="V164" s="3842"/>
      <c r="W164" s="1017">
        <v>1</v>
      </c>
      <c r="X164" s="1017">
        <v>1</v>
      </c>
      <c r="Y164" s="1017">
        <v>1</v>
      </c>
      <c r="Z164" s="1048">
        <v>1</v>
      </c>
      <c r="AA164" s="1048">
        <v>1</v>
      </c>
      <c r="AB164" s="1048">
        <v>1</v>
      </c>
      <c r="AC164" s="1017"/>
      <c r="AD164" s="1017"/>
      <c r="AE164" s="1017"/>
      <c r="AF164" s="1017"/>
      <c r="AG164" s="1017"/>
      <c r="AK164" s="982"/>
      <c r="BB164" s="1008"/>
    </row>
    <row r="165" spans="1:54" s="993" customFormat="1" hidden="1" outlineLevel="1" x14ac:dyDescent="0.25">
      <c r="A165" s="1012"/>
      <c r="B165" s="1841"/>
      <c r="C165" s="1009"/>
      <c r="D165" s="3840"/>
      <c r="E165" s="489" t="s">
        <v>1601</v>
      </c>
      <c r="F165" s="1048">
        <v>0</v>
      </c>
      <c r="G165" s="1189"/>
      <c r="H165" s="1322"/>
      <c r="I165" s="1012"/>
      <c r="J165" s="1012"/>
      <c r="K165" s="1012"/>
      <c r="L165" s="1012"/>
      <c r="M165" s="1012"/>
      <c r="N165" s="1012"/>
      <c r="O165" s="1012"/>
      <c r="P165" s="1012"/>
      <c r="Q165" s="1012"/>
      <c r="R165" s="1012"/>
      <c r="S165" s="1012"/>
      <c r="T165" s="1012"/>
      <c r="U165" s="1012"/>
      <c r="V165" s="3842"/>
      <c r="W165" s="1017">
        <v>0</v>
      </c>
      <c r="X165" s="1017">
        <v>0</v>
      </c>
      <c r="Y165" s="1017">
        <v>0</v>
      </c>
      <c r="Z165" s="1048">
        <v>0</v>
      </c>
      <c r="AA165" s="1048">
        <v>0</v>
      </c>
      <c r="AB165" s="1048">
        <v>0</v>
      </c>
      <c r="AC165" s="1017"/>
      <c r="AD165" s="1017"/>
      <c r="AE165" s="1017"/>
      <c r="AF165" s="1017"/>
      <c r="AG165" s="1017"/>
      <c r="AK165" s="982"/>
      <c r="BB165" s="1008"/>
    </row>
    <row r="166" spans="1:54" s="993" customFormat="1" hidden="1" outlineLevel="1" x14ac:dyDescent="0.25">
      <c r="A166" s="1012"/>
      <c r="B166" s="1841"/>
      <c r="C166" s="1009"/>
      <c r="D166" s="3840"/>
      <c r="E166" s="483" t="s">
        <v>1603</v>
      </c>
      <c r="F166" s="1048">
        <v>1</v>
      </c>
      <c r="G166" s="1189"/>
      <c r="H166" s="1322"/>
      <c r="I166" s="1012"/>
      <c r="J166" s="1012"/>
      <c r="K166" s="1012"/>
      <c r="L166" s="1012"/>
      <c r="M166" s="1012"/>
      <c r="N166" s="1012"/>
      <c r="O166" s="1012"/>
      <c r="P166" s="1012"/>
      <c r="Q166" s="1012"/>
      <c r="R166" s="1012"/>
      <c r="S166" s="1012"/>
      <c r="T166" s="1012"/>
      <c r="U166" s="1012"/>
      <c r="V166" s="3842"/>
      <c r="W166" s="1017">
        <v>1</v>
      </c>
      <c r="X166" s="1017">
        <v>1</v>
      </c>
      <c r="Y166" s="1017">
        <v>1</v>
      </c>
      <c r="Z166" s="1048">
        <v>1</v>
      </c>
      <c r="AA166" s="1048">
        <v>1</v>
      </c>
      <c r="AB166" s="1048">
        <v>1</v>
      </c>
      <c r="AC166" s="1017"/>
      <c r="AD166" s="1017"/>
      <c r="AE166" s="1017"/>
      <c r="AF166" s="1017"/>
      <c r="AG166" s="1017"/>
      <c r="AK166" s="982"/>
      <c r="BB166" s="1008"/>
    </row>
    <row r="167" spans="1:54" s="993" customFormat="1" hidden="1" outlineLevel="1" x14ac:dyDescent="0.25">
      <c r="A167" s="1012"/>
      <c r="B167" s="1841"/>
      <c r="C167" s="1009"/>
      <c r="D167" s="3840"/>
      <c r="E167" s="483" t="s">
        <v>1605</v>
      </c>
      <c r="F167" s="1048">
        <v>1</v>
      </c>
      <c r="G167" s="1189"/>
      <c r="H167" s="1322"/>
      <c r="I167" s="1012"/>
      <c r="J167" s="1012"/>
      <c r="K167" s="1012"/>
      <c r="L167" s="1012"/>
      <c r="M167" s="1012"/>
      <c r="N167" s="1012"/>
      <c r="O167" s="1012"/>
      <c r="P167" s="1012"/>
      <c r="Q167" s="1012"/>
      <c r="R167" s="1012"/>
      <c r="S167" s="1012"/>
      <c r="T167" s="1012"/>
      <c r="U167" s="1012"/>
      <c r="V167" s="3842"/>
      <c r="W167" s="1017">
        <v>1</v>
      </c>
      <c r="X167" s="1017">
        <v>1</v>
      </c>
      <c r="Y167" s="1017">
        <v>1</v>
      </c>
      <c r="Z167" s="1048">
        <v>1</v>
      </c>
      <c r="AA167" s="1048">
        <v>1</v>
      </c>
      <c r="AB167" s="1048">
        <v>1</v>
      </c>
      <c r="AC167" s="1017"/>
      <c r="AD167" s="1017"/>
      <c r="AE167" s="1017"/>
      <c r="AF167" s="1017"/>
      <c r="AG167" s="1017"/>
      <c r="AK167" s="982"/>
      <c r="BB167" s="1008"/>
    </row>
    <row r="168" spans="1:54" s="993" customFormat="1" hidden="1" outlineLevel="1" x14ac:dyDescent="0.25">
      <c r="A168" s="1012"/>
      <c r="B168" s="1841"/>
      <c r="C168" s="1009"/>
      <c r="D168" s="3840"/>
      <c r="E168" s="1851" t="s">
        <v>1607</v>
      </c>
      <c r="F168" s="1048">
        <v>0</v>
      </c>
      <c r="G168" s="1189"/>
      <c r="H168" s="1322"/>
      <c r="I168" s="1012"/>
      <c r="J168" s="1012"/>
      <c r="K168" s="1012"/>
      <c r="L168" s="1012"/>
      <c r="M168" s="1012"/>
      <c r="N168" s="1012"/>
      <c r="O168" s="1012"/>
      <c r="P168" s="1012"/>
      <c r="Q168" s="1012"/>
      <c r="R168" s="1012"/>
      <c r="S168" s="1012"/>
      <c r="T168" s="1012"/>
      <c r="U168" s="1012"/>
      <c r="V168" s="3842"/>
      <c r="W168" s="1017">
        <v>0</v>
      </c>
      <c r="X168" s="1017">
        <v>0</v>
      </c>
      <c r="Y168" s="1017">
        <v>0</v>
      </c>
      <c r="Z168" s="1048">
        <v>0</v>
      </c>
      <c r="AA168" s="1048">
        <v>0</v>
      </c>
      <c r="AB168" s="1048">
        <v>0</v>
      </c>
      <c r="AC168" s="1017"/>
      <c r="AD168" s="1017"/>
      <c r="AE168" s="1017"/>
      <c r="AF168" s="1017"/>
      <c r="AG168" s="1017"/>
      <c r="AK168" s="982"/>
      <c r="BB168" s="1008"/>
    </row>
    <row r="169" spans="1:54" s="993" customFormat="1" hidden="1" outlineLevel="1" x14ac:dyDescent="0.25">
      <c r="A169" s="1012"/>
      <c r="B169" s="1841"/>
      <c r="C169" s="1009"/>
      <c r="D169" s="3840"/>
      <c r="E169" s="483" t="s">
        <v>1609</v>
      </c>
      <c r="F169" s="1048">
        <v>1</v>
      </c>
      <c r="G169" s="1189"/>
      <c r="H169" s="1322"/>
      <c r="I169" s="1012"/>
      <c r="J169" s="1012"/>
      <c r="K169" s="1012"/>
      <c r="L169" s="1012"/>
      <c r="M169" s="1012"/>
      <c r="N169" s="1012"/>
      <c r="O169" s="1012"/>
      <c r="P169" s="1012"/>
      <c r="Q169" s="1012"/>
      <c r="R169" s="1012"/>
      <c r="S169" s="1012"/>
      <c r="T169" s="1012"/>
      <c r="U169" s="1012"/>
      <c r="V169" s="3842"/>
      <c r="W169" s="1017">
        <v>1</v>
      </c>
      <c r="X169" s="1017">
        <v>1</v>
      </c>
      <c r="Y169" s="1017">
        <v>1</v>
      </c>
      <c r="Z169" s="1048">
        <v>1</v>
      </c>
      <c r="AA169" s="1048">
        <v>1</v>
      </c>
      <c r="AB169" s="1048">
        <v>1</v>
      </c>
      <c r="AC169" s="1017"/>
      <c r="AD169" s="1017"/>
      <c r="AE169" s="1017"/>
      <c r="AF169" s="1017"/>
      <c r="AG169" s="1017"/>
      <c r="AK169" s="982"/>
      <c r="BB169" s="1008"/>
    </row>
    <row r="170" spans="1:54" s="993" customFormat="1" hidden="1" outlineLevel="1" x14ac:dyDescent="0.25">
      <c r="A170" s="1012"/>
      <c r="B170" s="1823"/>
      <c r="C170" s="1009"/>
      <c r="D170" s="3840"/>
      <c r="E170" s="483" t="s">
        <v>1611</v>
      </c>
      <c r="F170" s="1048">
        <v>1</v>
      </c>
      <c r="G170" s="1189"/>
      <c r="H170" s="1322"/>
      <c r="I170" s="1012"/>
      <c r="J170" s="1012"/>
      <c r="K170" s="1012"/>
      <c r="L170" s="1012"/>
      <c r="M170" s="1012"/>
      <c r="N170" s="1012"/>
      <c r="O170" s="1012"/>
      <c r="P170" s="1012"/>
      <c r="Q170" s="1012"/>
      <c r="R170" s="1012"/>
      <c r="S170" s="1012"/>
      <c r="T170" s="1012"/>
      <c r="U170" s="1012"/>
      <c r="V170" s="3842"/>
      <c r="W170" s="1017">
        <v>1</v>
      </c>
      <c r="X170" s="1017">
        <v>1</v>
      </c>
      <c r="Y170" s="1017">
        <v>1</v>
      </c>
      <c r="Z170" s="1048">
        <v>1</v>
      </c>
      <c r="AA170" s="1048">
        <v>1</v>
      </c>
      <c r="AB170" s="1048">
        <v>1</v>
      </c>
      <c r="AC170" s="1017"/>
      <c r="AD170" s="1017"/>
      <c r="AE170" s="1017"/>
      <c r="AF170" s="1017"/>
      <c r="AG170" s="1017"/>
      <c r="AK170" s="982"/>
      <c r="BB170" s="1008"/>
    </row>
    <row r="171" spans="1:54" s="993" customFormat="1" hidden="1" outlineLevel="1" x14ac:dyDescent="0.25">
      <c r="A171" s="1012"/>
      <c r="B171" s="1823"/>
      <c r="C171" s="1009"/>
      <c r="D171" s="3840"/>
      <c r="E171" s="489" t="s">
        <v>1613</v>
      </c>
      <c r="F171" s="1048">
        <v>0</v>
      </c>
      <c r="G171" s="1189"/>
      <c r="H171" s="1322"/>
      <c r="I171" s="1012"/>
      <c r="J171" s="1012"/>
      <c r="K171" s="1012"/>
      <c r="L171" s="1012"/>
      <c r="M171" s="1012"/>
      <c r="N171" s="1012"/>
      <c r="O171" s="1012"/>
      <c r="P171" s="1012"/>
      <c r="Q171" s="1012"/>
      <c r="R171" s="1012"/>
      <c r="S171" s="1012"/>
      <c r="T171" s="1012"/>
      <c r="U171" s="1012"/>
      <c r="V171" s="3842"/>
      <c r="W171" s="1017">
        <v>0</v>
      </c>
      <c r="X171" s="1017">
        <v>0</v>
      </c>
      <c r="Y171" s="1017">
        <v>0</v>
      </c>
      <c r="Z171" s="1048">
        <v>0</v>
      </c>
      <c r="AA171" s="1048">
        <v>0</v>
      </c>
      <c r="AB171" s="1048">
        <v>0</v>
      </c>
      <c r="AC171" s="1017"/>
      <c r="AD171" s="1017"/>
      <c r="AE171" s="1017"/>
      <c r="AF171" s="1017"/>
      <c r="AG171" s="1017"/>
      <c r="AK171" s="982"/>
      <c r="BB171" s="1008"/>
    </row>
    <row r="172" spans="1:54" s="993" customFormat="1" hidden="1" outlineLevel="1" x14ac:dyDescent="0.25">
      <c r="A172" s="1012"/>
      <c r="B172" s="1823"/>
      <c r="C172" s="1009"/>
      <c r="D172" s="3840"/>
      <c r="E172" s="483" t="s">
        <v>1615</v>
      </c>
      <c r="F172" s="1048">
        <v>1</v>
      </c>
      <c r="G172" s="1189"/>
      <c r="H172" s="1322"/>
      <c r="I172" s="1012"/>
      <c r="J172" s="1012"/>
      <c r="K172" s="1012"/>
      <c r="L172" s="1012"/>
      <c r="M172" s="1012"/>
      <c r="N172" s="1012"/>
      <c r="O172" s="1012"/>
      <c r="P172" s="1012"/>
      <c r="Q172" s="1012"/>
      <c r="R172" s="1012"/>
      <c r="S172" s="1012"/>
      <c r="T172" s="1012"/>
      <c r="U172" s="1012"/>
      <c r="V172" s="3842"/>
      <c r="W172" s="1017">
        <v>1</v>
      </c>
      <c r="X172" s="1017">
        <v>1</v>
      </c>
      <c r="Y172" s="1017">
        <v>1</v>
      </c>
      <c r="Z172" s="1048">
        <v>1</v>
      </c>
      <c r="AA172" s="1048">
        <v>1</v>
      </c>
      <c r="AB172" s="1048">
        <v>1</v>
      </c>
      <c r="AC172" s="1017"/>
      <c r="AD172" s="1017"/>
      <c r="AE172" s="1017"/>
      <c r="AF172" s="1017"/>
      <c r="AG172" s="1017"/>
      <c r="AK172" s="982"/>
      <c r="BB172" s="1008"/>
    </row>
    <row r="173" spans="1:54" s="993" customFormat="1" hidden="1" outlineLevel="1" x14ac:dyDescent="0.25">
      <c r="A173" s="1012"/>
      <c r="B173" s="1841"/>
      <c r="C173" s="1009"/>
      <c r="D173" s="3840"/>
      <c r="E173" s="483" t="s">
        <v>1617</v>
      </c>
      <c r="F173" s="1048">
        <v>1</v>
      </c>
      <c r="G173" s="1189"/>
      <c r="H173" s="1322"/>
      <c r="I173" s="1012"/>
      <c r="J173" s="1012"/>
      <c r="K173" s="1012"/>
      <c r="L173" s="1012"/>
      <c r="M173" s="1012"/>
      <c r="N173" s="1012"/>
      <c r="O173" s="1012"/>
      <c r="P173" s="1012"/>
      <c r="Q173" s="1012"/>
      <c r="R173" s="1012"/>
      <c r="S173" s="1012"/>
      <c r="T173" s="1012"/>
      <c r="U173" s="1012"/>
      <c r="V173" s="3842"/>
      <c r="W173" s="1017">
        <v>1</v>
      </c>
      <c r="X173" s="1017">
        <v>1</v>
      </c>
      <c r="Y173" s="1017">
        <v>1</v>
      </c>
      <c r="Z173" s="1048">
        <v>1</v>
      </c>
      <c r="AA173" s="1048">
        <v>1</v>
      </c>
      <c r="AB173" s="1048">
        <v>1</v>
      </c>
      <c r="AC173" s="1017"/>
      <c r="AD173" s="1017"/>
      <c r="AE173" s="1017"/>
      <c r="AF173" s="1017"/>
      <c r="AG173" s="1017"/>
      <c r="AK173" s="982"/>
      <c r="BB173" s="1008"/>
    </row>
    <row r="174" spans="1:54" s="993" customFormat="1" hidden="1" outlineLevel="1" x14ac:dyDescent="0.25">
      <c r="A174" s="1012"/>
      <c r="B174" s="1841"/>
      <c r="C174" s="1009"/>
      <c r="D174" s="3840"/>
      <c r="E174" s="1851" t="s">
        <v>1619</v>
      </c>
      <c r="F174" s="1048">
        <v>0</v>
      </c>
      <c r="G174" s="1189"/>
      <c r="H174" s="1322"/>
      <c r="I174" s="1012"/>
      <c r="J174" s="1012"/>
      <c r="K174" s="1012"/>
      <c r="L174" s="1012"/>
      <c r="M174" s="1012"/>
      <c r="N174" s="1012"/>
      <c r="O174" s="1012"/>
      <c r="P174" s="1012"/>
      <c r="Q174" s="1012"/>
      <c r="R174" s="1012"/>
      <c r="S174" s="1012"/>
      <c r="T174" s="1012"/>
      <c r="U174" s="1012"/>
      <c r="V174" s="3842"/>
      <c r="W174" s="1017">
        <v>0</v>
      </c>
      <c r="X174" s="1017">
        <v>0</v>
      </c>
      <c r="Y174" s="1017">
        <v>0</v>
      </c>
      <c r="Z174" s="1048">
        <v>0</v>
      </c>
      <c r="AA174" s="1048">
        <v>0</v>
      </c>
      <c r="AB174" s="1048">
        <v>0</v>
      </c>
      <c r="AC174" s="1017"/>
      <c r="AD174" s="1017"/>
      <c r="AE174" s="1017"/>
      <c r="AF174" s="1017"/>
      <c r="AG174" s="1017"/>
      <c r="AK174" s="982"/>
      <c r="BB174" s="1008"/>
    </row>
    <row r="175" spans="1:54" s="993" customFormat="1" hidden="1" outlineLevel="1" x14ac:dyDescent="0.25">
      <c r="A175" s="1012"/>
      <c r="B175" s="1841"/>
      <c r="C175" s="1009"/>
      <c r="D175" s="3840"/>
      <c r="E175" s="483" t="s">
        <v>1621</v>
      </c>
      <c r="F175" s="1048">
        <v>1</v>
      </c>
      <c r="G175" s="1189"/>
      <c r="H175" s="1322"/>
      <c r="I175" s="1012"/>
      <c r="J175" s="1012"/>
      <c r="K175" s="1012"/>
      <c r="L175" s="1012"/>
      <c r="M175" s="1012"/>
      <c r="N175" s="1012"/>
      <c r="O175" s="1012"/>
      <c r="P175" s="1012"/>
      <c r="Q175" s="1012"/>
      <c r="R175" s="1012"/>
      <c r="S175" s="1012"/>
      <c r="T175" s="1012"/>
      <c r="U175" s="1012"/>
      <c r="V175" s="3842"/>
      <c r="W175" s="1017">
        <v>1</v>
      </c>
      <c r="X175" s="1017">
        <v>1</v>
      </c>
      <c r="Y175" s="1017">
        <v>1</v>
      </c>
      <c r="Z175" s="1048">
        <v>1</v>
      </c>
      <c r="AA175" s="1048">
        <v>1</v>
      </c>
      <c r="AB175" s="1048">
        <v>1</v>
      </c>
      <c r="AC175" s="1017"/>
      <c r="AD175" s="1017"/>
      <c r="AE175" s="1017"/>
      <c r="AF175" s="1017"/>
      <c r="AG175" s="1017"/>
      <c r="AK175" s="982"/>
      <c r="BB175" s="1008"/>
    </row>
    <row r="176" spans="1:54" s="993" customFormat="1" hidden="1" outlineLevel="1" x14ac:dyDescent="0.25">
      <c r="A176" s="1012"/>
      <c r="B176" s="1841"/>
      <c r="C176" s="1009"/>
      <c r="D176" s="3840"/>
      <c r="E176" s="483" t="s">
        <v>1623</v>
      </c>
      <c r="F176" s="1048">
        <v>1</v>
      </c>
      <c r="G176" s="1189"/>
      <c r="H176" s="1322"/>
      <c r="I176" s="1012"/>
      <c r="J176" s="1012"/>
      <c r="K176" s="1012"/>
      <c r="L176" s="1012"/>
      <c r="M176" s="1012"/>
      <c r="N176" s="1012"/>
      <c r="O176" s="1012"/>
      <c r="P176" s="1012"/>
      <c r="Q176" s="1012"/>
      <c r="R176" s="1012"/>
      <c r="S176" s="1012"/>
      <c r="T176" s="1012"/>
      <c r="U176" s="1012"/>
      <c r="V176" s="3842"/>
      <c r="W176" s="1017">
        <v>1</v>
      </c>
      <c r="X176" s="1017">
        <v>1</v>
      </c>
      <c r="Y176" s="1017">
        <v>1</v>
      </c>
      <c r="Z176" s="1048">
        <v>1</v>
      </c>
      <c r="AA176" s="1048">
        <v>1</v>
      </c>
      <c r="AB176" s="1048">
        <v>1</v>
      </c>
      <c r="AC176" s="1017"/>
      <c r="AD176" s="1017"/>
      <c r="AE176" s="1017"/>
      <c r="AF176" s="1017"/>
      <c r="AG176" s="1017"/>
      <c r="AK176" s="982"/>
      <c r="BB176" s="1008"/>
    </row>
    <row r="177" spans="1:54" s="993" customFormat="1" hidden="1" outlineLevel="1" x14ac:dyDescent="0.25">
      <c r="A177" s="1012"/>
      <c r="B177" s="1841"/>
      <c r="C177" s="1009"/>
      <c r="D177" s="3840"/>
      <c r="E177" s="489" t="s">
        <v>1625</v>
      </c>
      <c r="F177" s="1048">
        <v>0</v>
      </c>
      <c r="G177" s="1189"/>
      <c r="H177" s="1322"/>
      <c r="I177" s="1012"/>
      <c r="J177" s="1012"/>
      <c r="K177" s="1012"/>
      <c r="L177" s="1012"/>
      <c r="M177" s="1012"/>
      <c r="N177" s="1012"/>
      <c r="O177" s="1012"/>
      <c r="P177" s="1012"/>
      <c r="Q177" s="1012"/>
      <c r="R177" s="1012"/>
      <c r="S177" s="1012"/>
      <c r="T177" s="1012"/>
      <c r="U177" s="1012"/>
      <c r="V177" s="3842"/>
      <c r="W177" s="1017">
        <v>0</v>
      </c>
      <c r="X177" s="1017">
        <v>0</v>
      </c>
      <c r="Y177" s="1017">
        <v>0</v>
      </c>
      <c r="Z177" s="1048">
        <v>0</v>
      </c>
      <c r="AA177" s="1048">
        <v>0</v>
      </c>
      <c r="AB177" s="1048">
        <v>0</v>
      </c>
      <c r="AC177" s="1017"/>
      <c r="AD177" s="1017"/>
      <c r="AE177" s="1017"/>
      <c r="AF177" s="1017"/>
      <c r="AG177" s="1017"/>
      <c r="AK177" s="982"/>
      <c r="BB177" s="1008"/>
    </row>
    <row r="178" spans="1:54" s="993" customFormat="1" hidden="1" outlineLevel="1" x14ac:dyDescent="0.25">
      <c r="A178" s="1012"/>
      <c r="B178" s="1841"/>
      <c r="C178" s="1009"/>
      <c r="D178" s="3840"/>
      <c r="E178" s="483" t="s">
        <v>1627</v>
      </c>
      <c r="F178" s="1048">
        <v>1</v>
      </c>
      <c r="G178" s="1189"/>
      <c r="H178" s="1322"/>
      <c r="I178" s="1012"/>
      <c r="J178" s="1012"/>
      <c r="K178" s="1012"/>
      <c r="L178" s="1012"/>
      <c r="M178" s="1012"/>
      <c r="N178" s="1012"/>
      <c r="O178" s="1012"/>
      <c r="P178" s="1012"/>
      <c r="Q178" s="1012"/>
      <c r="R178" s="1012"/>
      <c r="S178" s="1012"/>
      <c r="T178" s="1012"/>
      <c r="U178" s="1012"/>
      <c r="V178" s="3842"/>
      <c r="W178" s="1017">
        <v>1</v>
      </c>
      <c r="X178" s="1017">
        <v>1</v>
      </c>
      <c r="Y178" s="1017">
        <v>1</v>
      </c>
      <c r="Z178" s="1048">
        <v>1</v>
      </c>
      <c r="AA178" s="1048">
        <v>1</v>
      </c>
      <c r="AB178" s="1048">
        <v>1</v>
      </c>
      <c r="AC178" s="1017"/>
      <c r="AD178" s="1017"/>
      <c r="AE178" s="1017"/>
      <c r="AF178" s="1017"/>
      <c r="AG178" s="1017"/>
      <c r="AK178" s="982"/>
      <c r="BB178" s="1008"/>
    </row>
    <row r="179" spans="1:54" s="993" customFormat="1" hidden="1" outlineLevel="1" x14ac:dyDescent="0.25">
      <c r="A179" s="1012"/>
      <c r="B179" s="1841"/>
      <c r="C179" s="1009"/>
      <c r="D179" s="3840"/>
      <c r="E179" s="489" t="s">
        <v>1629</v>
      </c>
      <c r="F179" s="1048">
        <v>1</v>
      </c>
      <c r="G179" s="1189"/>
      <c r="H179" s="1322"/>
      <c r="I179" s="1012"/>
      <c r="J179" s="1012"/>
      <c r="K179" s="1012"/>
      <c r="L179" s="1012"/>
      <c r="M179" s="1012"/>
      <c r="N179" s="1012"/>
      <c r="O179" s="1012"/>
      <c r="P179" s="1012"/>
      <c r="Q179" s="1012"/>
      <c r="R179" s="1012"/>
      <c r="S179" s="1012"/>
      <c r="T179" s="1012"/>
      <c r="U179" s="1012"/>
      <c r="V179" s="3842"/>
      <c r="W179" s="1017">
        <v>1</v>
      </c>
      <c r="X179" s="1017">
        <v>1</v>
      </c>
      <c r="Y179" s="1017">
        <v>1</v>
      </c>
      <c r="Z179" s="1048">
        <v>1</v>
      </c>
      <c r="AA179" s="1048">
        <v>1</v>
      </c>
      <c r="AB179" s="1048">
        <v>1</v>
      </c>
      <c r="AC179" s="1017"/>
      <c r="AD179" s="1017"/>
      <c r="AE179" s="1017"/>
      <c r="AF179" s="1017"/>
      <c r="AG179" s="1017"/>
      <c r="AK179" s="982"/>
      <c r="BB179" s="1008"/>
    </row>
    <row r="180" spans="1:54" s="993" customFormat="1" hidden="1" outlineLevel="1" x14ac:dyDescent="0.25">
      <c r="A180" s="1012"/>
      <c r="B180" s="1841"/>
      <c r="C180" s="1009"/>
      <c r="D180" s="3840"/>
      <c r="E180" s="483" t="s">
        <v>1631</v>
      </c>
      <c r="F180" s="1048">
        <v>0</v>
      </c>
      <c r="G180" s="1189"/>
      <c r="H180" s="1322"/>
      <c r="I180" s="1012"/>
      <c r="J180" s="1012"/>
      <c r="K180" s="1012"/>
      <c r="L180" s="1012"/>
      <c r="M180" s="1012"/>
      <c r="N180" s="1012"/>
      <c r="O180" s="1012"/>
      <c r="P180" s="1012"/>
      <c r="Q180" s="1012"/>
      <c r="R180" s="1012"/>
      <c r="S180" s="1012"/>
      <c r="T180" s="1012"/>
      <c r="U180" s="1012"/>
      <c r="V180" s="3842"/>
      <c r="W180" s="1017">
        <v>0</v>
      </c>
      <c r="X180" s="1017">
        <v>0</v>
      </c>
      <c r="Y180" s="1017">
        <v>0</v>
      </c>
      <c r="Z180" s="1048">
        <v>0</v>
      </c>
      <c r="AA180" s="1048">
        <v>0</v>
      </c>
      <c r="AB180" s="1048">
        <v>0</v>
      </c>
      <c r="AC180" s="1017"/>
      <c r="AD180" s="1017"/>
      <c r="AE180" s="1017"/>
      <c r="AF180" s="1017"/>
      <c r="AG180" s="1017"/>
      <c r="AK180" s="982"/>
      <c r="BB180" s="1008"/>
    </row>
    <row r="181" spans="1:54" s="993" customFormat="1" hidden="1" outlineLevel="1" x14ac:dyDescent="0.25">
      <c r="A181" s="1012"/>
      <c r="B181" s="1841"/>
      <c r="C181" s="1009"/>
      <c r="D181" s="3840"/>
      <c r="E181" s="483" t="s">
        <v>1633</v>
      </c>
      <c r="F181" s="1048">
        <v>1</v>
      </c>
      <c r="G181" s="1189"/>
      <c r="H181" s="1322"/>
      <c r="I181" s="1012"/>
      <c r="J181" s="1012"/>
      <c r="K181" s="1012"/>
      <c r="L181" s="1012"/>
      <c r="M181" s="1012"/>
      <c r="N181" s="1012"/>
      <c r="O181" s="1012"/>
      <c r="P181" s="1012"/>
      <c r="Q181" s="1012"/>
      <c r="R181" s="1012"/>
      <c r="S181" s="1012"/>
      <c r="T181" s="1012"/>
      <c r="U181" s="1012"/>
      <c r="V181" s="3842"/>
      <c r="W181" s="1017">
        <v>1</v>
      </c>
      <c r="X181" s="1017">
        <v>1</v>
      </c>
      <c r="Y181" s="1017">
        <v>1</v>
      </c>
      <c r="Z181" s="1048">
        <v>1</v>
      </c>
      <c r="AA181" s="1048">
        <v>1</v>
      </c>
      <c r="AB181" s="1048">
        <v>1</v>
      </c>
      <c r="AC181" s="1017"/>
      <c r="AD181" s="1017"/>
      <c r="AE181" s="1017"/>
      <c r="AF181" s="1017"/>
      <c r="AG181" s="1017"/>
      <c r="AK181" s="982"/>
      <c r="BB181" s="1008"/>
    </row>
    <row r="182" spans="1:54" s="993" customFormat="1" hidden="1" outlineLevel="1" x14ac:dyDescent="0.25">
      <c r="A182" s="1012"/>
      <c r="B182" s="1841"/>
      <c r="C182" s="1009"/>
      <c r="D182" s="3840"/>
      <c r="E182" s="483" t="s">
        <v>1635</v>
      </c>
      <c r="F182" s="1048">
        <v>1</v>
      </c>
      <c r="G182" s="1189"/>
      <c r="H182" s="1322"/>
      <c r="I182" s="1012"/>
      <c r="J182" s="1012"/>
      <c r="K182" s="1012"/>
      <c r="L182" s="1012"/>
      <c r="M182" s="1012"/>
      <c r="N182" s="1012"/>
      <c r="O182" s="1012"/>
      <c r="P182" s="1012"/>
      <c r="Q182" s="1012"/>
      <c r="R182" s="1012"/>
      <c r="S182" s="1012"/>
      <c r="T182" s="1012"/>
      <c r="U182" s="1012"/>
      <c r="V182" s="3842"/>
      <c r="W182" s="1017">
        <v>1</v>
      </c>
      <c r="X182" s="1017">
        <v>1</v>
      </c>
      <c r="Y182" s="1017">
        <v>1</v>
      </c>
      <c r="Z182" s="1048">
        <v>1</v>
      </c>
      <c r="AA182" s="1048">
        <v>1</v>
      </c>
      <c r="AB182" s="1048">
        <v>1</v>
      </c>
      <c r="AC182" s="1017"/>
      <c r="AD182" s="1017"/>
      <c r="AE182" s="1017"/>
      <c r="AF182" s="1017"/>
      <c r="AG182" s="1017"/>
      <c r="AK182" s="982"/>
      <c r="BB182" s="1008"/>
    </row>
    <row r="183" spans="1:54" s="993" customFormat="1" hidden="1" outlineLevel="1" x14ac:dyDescent="0.25">
      <c r="A183" s="1012"/>
      <c r="B183" s="1841"/>
      <c r="C183" s="1009"/>
      <c r="D183" s="3840"/>
      <c r="E183" s="489" t="s">
        <v>1637</v>
      </c>
      <c r="F183" s="1048">
        <v>0</v>
      </c>
      <c r="G183" s="1189"/>
      <c r="H183" s="1322"/>
      <c r="I183" s="1012"/>
      <c r="J183" s="1012"/>
      <c r="K183" s="1012"/>
      <c r="L183" s="1012"/>
      <c r="M183" s="1012"/>
      <c r="N183" s="1012"/>
      <c r="O183" s="1012"/>
      <c r="P183" s="1012"/>
      <c r="Q183" s="1012"/>
      <c r="R183" s="1012"/>
      <c r="S183" s="1012"/>
      <c r="T183" s="1012"/>
      <c r="U183" s="1012"/>
      <c r="V183" s="3842"/>
      <c r="W183" s="1017">
        <v>0</v>
      </c>
      <c r="X183" s="1017">
        <v>0</v>
      </c>
      <c r="Y183" s="1017">
        <v>0</v>
      </c>
      <c r="Z183" s="1048">
        <v>0</v>
      </c>
      <c r="AA183" s="1048">
        <v>0</v>
      </c>
      <c r="AB183" s="1048">
        <v>0</v>
      </c>
      <c r="AC183" s="1017"/>
      <c r="AD183" s="1017"/>
      <c r="AE183" s="1017"/>
      <c r="AF183" s="1017"/>
      <c r="AG183" s="1017"/>
      <c r="AK183" s="982"/>
      <c r="BB183" s="1008"/>
    </row>
    <row r="184" spans="1:54" s="993" customFormat="1" hidden="1" outlineLevel="1" x14ac:dyDescent="0.25">
      <c r="A184" s="1012"/>
      <c r="B184" s="1841"/>
      <c r="C184" s="1009"/>
      <c r="D184" s="3840"/>
      <c r="E184" s="483" t="s">
        <v>1639</v>
      </c>
      <c r="F184" s="1048">
        <v>1</v>
      </c>
      <c r="G184" s="1189"/>
      <c r="H184" s="1322"/>
      <c r="I184" s="1012"/>
      <c r="J184" s="1012"/>
      <c r="K184" s="1012"/>
      <c r="L184" s="1012"/>
      <c r="M184" s="1012"/>
      <c r="N184" s="1012"/>
      <c r="O184" s="1012"/>
      <c r="P184" s="1012"/>
      <c r="Q184" s="1012"/>
      <c r="R184" s="1012"/>
      <c r="S184" s="1012"/>
      <c r="T184" s="1012"/>
      <c r="U184" s="1012"/>
      <c r="V184" s="3842"/>
      <c r="W184" s="1017">
        <v>1</v>
      </c>
      <c r="X184" s="1017">
        <v>1</v>
      </c>
      <c r="Y184" s="1017">
        <v>1</v>
      </c>
      <c r="Z184" s="1048">
        <v>1</v>
      </c>
      <c r="AA184" s="1048">
        <v>1</v>
      </c>
      <c r="AB184" s="1048">
        <v>1</v>
      </c>
      <c r="AC184" s="1017"/>
      <c r="AD184" s="1017"/>
      <c r="AE184" s="1017"/>
      <c r="AF184" s="1017"/>
      <c r="AG184" s="1017"/>
      <c r="AK184" s="982"/>
      <c r="BB184" s="1008"/>
    </row>
    <row r="185" spans="1:54" s="993" customFormat="1" hidden="1" outlineLevel="1" x14ac:dyDescent="0.25">
      <c r="A185" s="1012"/>
      <c r="B185" s="1841"/>
      <c r="C185" s="1009"/>
      <c r="D185" s="3840"/>
      <c r="E185" s="489" t="s">
        <v>1641</v>
      </c>
      <c r="F185" s="1048">
        <v>1</v>
      </c>
      <c r="G185" s="1189"/>
      <c r="H185" s="1322"/>
      <c r="I185" s="1012"/>
      <c r="J185" s="1012"/>
      <c r="K185" s="1012"/>
      <c r="L185" s="1012"/>
      <c r="M185" s="1012"/>
      <c r="N185" s="1012"/>
      <c r="O185" s="1012"/>
      <c r="P185" s="1012"/>
      <c r="Q185" s="1012"/>
      <c r="R185" s="1012"/>
      <c r="S185" s="1012"/>
      <c r="T185" s="1012"/>
      <c r="U185" s="1012"/>
      <c r="V185" s="3842"/>
      <c r="W185" s="1017">
        <v>1</v>
      </c>
      <c r="X185" s="1017">
        <v>1</v>
      </c>
      <c r="Y185" s="1017">
        <v>1</v>
      </c>
      <c r="Z185" s="1048">
        <v>1</v>
      </c>
      <c r="AA185" s="1048">
        <v>1</v>
      </c>
      <c r="AB185" s="1048">
        <v>1</v>
      </c>
      <c r="AC185" s="1017"/>
      <c r="AD185" s="1017"/>
      <c r="AE185" s="1017"/>
      <c r="AF185" s="1017"/>
      <c r="AG185" s="1017"/>
      <c r="AK185" s="982"/>
      <c r="BB185" s="1008"/>
    </row>
    <row r="186" spans="1:54" s="993" customFormat="1" hidden="1" outlineLevel="1" x14ac:dyDescent="0.25">
      <c r="A186" s="1012"/>
      <c r="B186" s="1841"/>
      <c r="C186" s="1009"/>
      <c r="D186" s="3840"/>
      <c r="E186" s="483" t="s">
        <v>1643</v>
      </c>
      <c r="F186" s="1048">
        <v>0</v>
      </c>
      <c r="G186" s="1189"/>
      <c r="H186" s="1322"/>
      <c r="I186" s="1012"/>
      <c r="J186" s="1012"/>
      <c r="K186" s="1012"/>
      <c r="L186" s="1012"/>
      <c r="M186" s="1012"/>
      <c r="N186" s="1012"/>
      <c r="O186" s="1012"/>
      <c r="P186" s="1012"/>
      <c r="Q186" s="1012"/>
      <c r="R186" s="1012"/>
      <c r="S186" s="1012"/>
      <c r="T186" s="1012"/>
      <c r="U186" s="1012"/>
      <c r="V186" s="3847"/>
      <c r="W186" s="1017">
        <v>0</v>
      </c>
      <c r="X186" s="1017">
        <v>0</v>
      </c>
      <c r="Y186" s="1017">
        <v>0</v>
      </c>
      <c r="Z186" s="1048">
        <v>0</v>
      </c>
      <c r="AA186" s="1048">
        <v>0</v>
      </c>
      <c r="AB186" s="1048">
        <v>0</v>
      </c>
      <c r="AC186" s="1017"/>
      <c r="AD186" s="1017"/>
      <c r="AE186" s="1017"/>
      <c r="AF186" s="1017"/>
      <c r="AG186" s="1017"/>
      <c r="AK186" s="982"/>
      <c r="BB186" s="1008"/>
    </row>
    <row r="187" spans="1:54" s="993" customFormat="1" ht="17.25" hidden="1" customHeight="1" outlineLevel="1" x14ac:dyDescent="0.25">
      <c r="A187" s="1012"/>
      <c r="B187" s="1823"/>
      <c r="C187" s="1009"/>
      <c r="D187" s="3839" t="s">
        <v>2186</v>
      </c>
      <c r="E187" s="483" t="s">
        <v>1585</v>
      </c>
      <c r="F187" s="1321">
        <v>11</v>
      </c>
      <c r="G187" s="1189"/>
      <c r="H187" s="1322" t="s">
        <v>1644</v>
      </c>
      <c r="I187" s="1012"/>
      <c r="J187" s="1012"/>
      <c r="K187" s="1012"/>
      <c r="L187" s="1012"/>
      <c r="M187" s="1012"/>
      <c r="N187" s="1012"/>
      <c r="O187" s="1012"/>
      <c r="P187" s="1012"/>
      <c r="Q187" s="1012"/>
      <c r="R187" s="1012"/>
      <c r="S187" s="1012"/>
      <c r="T187" s="1012"/>
      <c r="U187" s="1012"/>
      <c r="V187" s="3841" t="str">
        <f>D187</f>
        <v>Rold</v>
      </c>
      <c r="W187" s="1003">
        <v>11</v>
      </c>
      <c r="X187" s="1003">
        <v>11</v>
      </c>
      <c r="Y187" s="1003">
        <v>11</v>
      </c>
      <c r="Z187" s="1321">
        <v>11</v>
      </c>
      <c r="AA187" s="1321">
        <v>11</v>
      </c>
      <c r="AB187" s="1321">
        <v>11</v>
      </c>
      <c r="AC187" s="1003"/>
      <c r="AD187" s="1003"/>
      <c r="AE187" s="1003"/>
      <c r="AF187" s="1003"/>
      <c r="AG187" s="1003"/>
      <c r="AK187" s="982"/>
      <c r="BB187" s="1008"/>
    </row>
    <row r="188" spans="1:54" s="993" customFormat="1" hidden="1" outlineLevel="1" x14ac:dyDescent="0.25">
      <c r="A188" s="1012"/>
      <c r="B188" s="1823"/>
      <c r="C188" s="1009"/>
      <c r="D188" s="3840"/>
      <c r="E188" s="483" t="s">
        <v>1587</v>
      </c>
      <c r="F188" s="1321">
        <v>11</v>
      </c>
      <c r="G188" s="1189"/>
      <c r="H188" s="1322" t="s">
        <v>1644</v>
      </c>
      <c r="I188" s="1012"/>
      <c r="J188" s="1012"/>
      <c r="K188" s="1012"/>
      <c r="L188" s="1012"/>
      <c r="M188" s="1012"/>
      <c r="N188" s="1012"/>
      <c r="O188" s="1012"/>
      <c r="P188" s="1012"/>
      <c r="Q188" s="1012"/>
      <c r="R188" s="1012"/>
      <c r="S188" s="1012"/>
      <c r="T188" s="1012"/>
      <c r="U188" s="1012"/>
      <c r="V188" s="3842"/>
      <c r="W188" s="1003">
        <v>11</v>
      </c>
      <c r="X188" s="1003">
        <v>11</v>
      </c>
      <c r="Y188" s="1003">
        <v>11</v>
      </c>
      <c r="Z188" s="1321">
        <v>11</v>
      </c>
      <c r="AA188" s="1321">
        <v>11</v>
      </c>
      <c r="AB188" s="1321">
        <v>11</v>
      </c>
      <c r="AC188" s="1003"/>
      <c r="AD188" s="1003"/>
      <c r="AE188" s="1003"/>
      <c r="AF188" s="1003"/>
      <c r="AG188" s="1003"/>
      <c r="AK188" s="982"/>
      <c r="BB188" s="1008"/>
    </row>
    <row r="189" spans="1:54" s="993" customFormat="1" hidden="1" outlineLevel="1" x14ac:dyDescent="0.25">
      <c r="A189" s="1012"/>
      <c r="B189" s="1823"/>
      <c r="C189" s="1009"/>
      <c r="D189" s="3840"/>
      <c r="E189" s="483" t="s">
        <v>1589</v>
      </c>
      <c r="F189" s="1321">
        <v>11</v>
      </c>
      <c r="G189" s="1189"/>
      <c r="H189" s="1322" t="s">
        <v>1644</v>
      </c>
      <c r="I189" s="1012"/>
      <c r="J189" s="1012"/>
      <c r="K189" s="1012"/>
      <c r="L189" s="1012"/>
      <c r="M189" s="1012"/>
      <c r="N189" s="1012"/>
      <c r="O189" s="1012"/>
      <c r="P189" s="1012"/>
      <c r="Q189" s="1012"/>
      <c r="R189" s="1012"/>
      <c r="S189" s="1012"/>
      <c r="T189" s="1012"/>
      <c r="U189" s="1012"/>
      <c r="V189" s="3842"/>
      <c r="W189" s="1003">
        <v>11</v>
      </c>
      <c r="X189" s="1003">
        <v>11</v>
      </c>
      <c r="Y189" s="1003">
        <v>11</v>
      </c>
      <c r="Z189" s="1321">
        <v>11</v>
      </c>
      <c r="AA189" s="1321">
        <v>11</v>
      </c>
      <c r="AB189" s="1321">
        <v>11</v>
      </c>
      <c r="AC189" s="1003"/>
      <c r="AD189" s="1003"/>
      <c r="AE189" s="1003"/>
      <c r="AF189" s="1003"/>
      <c r="AG189" s="1003"/>
      <c r="AK189" s="982"/>
      <c r="BB189" s="1008"/>
    </row>
    <row r="190" spans="1:54" s="993" customFormat="1" hidden="1" outlineLevel="1" x14ac:dyDescent="0.25">
      <c r="A190" s="1012"/>
      <c r="B190" s="1823"/>
      <c r="C190" s="1009"/>
      <c r="D190" s="3840"/>
      <c r="E190" s="483" t="s">
        <v>1591</v>
      </c>
      <c r="F190" s="1321">
        <v>11</v>
      </c>
      <c r="G190" s="1189"/>
      <c r="H190" s="1322" t="s">
        <v>1644</v>
      </c>
      <c r="I190" s="1012"/>
      <c r="J190" s="1012"/>
      <c r="K190" s="1012"/>
      <c r="L190" s="1012"/>
      <c r="M190" s="1012"/>
      <c r="N190" s="1012"/>
      <c r="O190" s="1012"/>
      <c r="P190" s="1012"/>
      <c r="Q190" s="1012"/>
      <c r="R190" s="1012"/>
      <c r="S190" s="1012"/>
      <c r="T190" s="1012"/>
      <c r="U190" s="1012"/>
      <c r="V190" s="3842"/>
      <c r="W190" s="1003">
        <v>11</v>
      </c>
      <c r="X190" s="1003">
        <v>11</v>
      </c>
      <c r="Y190" s="1003">
        <v>11</v>
      </c>
      <c r="Z190" s="1321">
        <v>11</v>
      </c>
      <c r="AA190" s="1321">
        <v>11</v>
      </c>
      <c r="AB190" s="1321">
        <v>11</v>
      </c>
      <c r="AC190" s="1003"/>
      <c r="AD190" s="1003"/>
      <c r="AE190" s="1003"/>
      <c r="AF190" s="1003"/>
      <c r="AG190" s="1003"/>
      <c r="AK190" s="982"/>
      <c r="BB190" s="1008"/>
    </row>
    <row r="191" spans="1:54" s="993" customFormat="1" hidden="1" outlineLevel="1" x14ac:dyDescent="0.25">
      <c r="A191" s="1012"/>
      <c r="B191" s="1823"/>
      <c r="C191" s="1009"/>
      <c r="D191" s="3840"/>
      <c r="E191" s="483" t="s">
        <v>1593</v>
      </c>
      <c r="F191" s="1321">
        <v>11</v>
      </c>
      <c r="G191" s="1189"/>
      <c r="H191" s="1322" t="s">
        <v>1644</v>
      </c>
      <c r="I191" s="1012"/>
      <c r="J191" s="1012"/>
      <c r="K191" s="1012"/>
      <c r="L191" s="1012"/>
      <c r="M191" s="1012"/>
      <c r="N191" s="1012"/>
      <c r="O191" s="1012"/>
      <c r="P191" s="1012"/>
      <c r="Q191" s="1012"/>
      <c r="R191" s="1012"/>
      <c r="S191" s="1012"/>
      <c r="T191" s="1012"/>
      <c r="U191" s="1012"/>
      <c r="V191" s="3842"/>
      <c r="W191" s="1003">
        <v>11</v>
      </c>
      <c r="X191" s="1003">
        <v>11</v>
      </c>
      <c r="Y191" s="1003">
        <v>11</v>
      </c>
      <c r="Z191" s="1321">
        <v>11</v>
      </c>
      <c r="AA191" s="1321">
        <v>11</v>
      </c>
      <c r="AB191" s="1321">
        <v>11</v>
      </c>
      <c r="AC191" s="1003"/>
      <c r="AD191" s="1003"/>
      <c r="AE191" s="1003"/>
      <c r="AF191" s="1003"/>
      <c r="AG191" s="1003"/>
      <c r="AK191" s="982"/>
      <c r="BB191" s="1008"/>
    </row>
    <row r="192" spans="1:54" s="993" customFormat="1" hidden="1" outlineLevel="1" x14ac:dyDescent="0.25">
      <c r="A192" s="1012"/>
      <c r="B192" s="1841"/>
      <c r="C192" s="1009"/>
      <c r="D192" s="3840"/>
      <c r="E192" s="483" t="s">
        <v>1595</v>
      </c>
      <c r="F192" s="1321">
        <v>11</v>
      </c>
      <c r="G192" s="1189"/>
      <c r="H192" s="1322" t="s">
        <v>1644</v>
      </c>
      <c r="I192" s="1012"/>
      <c r="J192" s="1012"/>
      <c r="K192" s="1012"/>
      <c r="L192" s="1012"/>
      <c r="M192" s="1012"/>
      <c r="N192" s="1012"/>
      <c r="O192" s="1012"/>
      <c r="P192" s="1012"/>
      <c r="Q192" s="1012"/>
      <c r="R192" s="1012"/>
      <c r="S192" s="1012"/>
      <c r="T192" s="1012"/>
      <c r="U192" s="1012"/>
      <c r="V192" s="3842"/>
      <c r="W192" s="1003">
        <v>11</v>
      </c>
      <c r="X192" s="1003">
        <v>11</v>
      </c>
      <c r="Y192" s="1003">
        <v>11</v>
      </c>
      <c r="Z192" s="1321">
        <v>11</v>
      </c>
      <c r="AA192" s="1321">
        <v>11</v>
      </c>
      <c r="AB192" s="1321">
        <v>11</v>
      </c>
      <c r="AC192" s="1003"/>
      <c r="AD192" s="1003"/>
      <c r="AE192" s="1003"/>
      <c r="AF192" s="1003"/>
      <c r="AG192" s="1003"/>
      <c r="AK192" s="982"/>
      <c r="BB192" s="1008"/>
    </row>
    <row r="193" spans="1:54" s="993" customFormat="1" hidden="1" outlineLevel="1" x14ac:dyDescent="0.25">
      <c r="A193" s="1012"/>
      <c r="B193" s="1841"/>
      <c r="C193" s="1009"/>
      <c r="D193" s="3840"/>
      <c r="E193" s="483" t="s">
        <v>1597</v>
      </c>
      <c r="F193" s="1321">
        <v>5</v>
      </c>
      <c r="G193" s="1189"/>
      <c r="H193" s="1322" t="s">
        <v>1644</v>
      </c>
      <c r="I193" s="1012"/>
      <c r="J193" s="1012"/>
      <c r="K193" s="1012"/>
      <c r="L193" s="1012"/>
      <c r="M193" s="1012"/>
      <c r="N193" s="1012"/>
      <c r="O193" s="1012"/>
      <c r="P193" s="1012"/>
      <c r="Q193" s="1012"/>
      <c r="R193" s="1012"/>
      <c r="S193" s="1012"/>
      <c r="T193" s="1012"/>
      <c r="U193" s="1012"/>
      <c r="V193" s="3842"/>
      <c r="W193" s="1003">
        <v>5</v>
      </c>
      <c r="X193" s="1003">
        <v>5</v>
      </c>
      <c r="Y193" s="1003">
        <v>5</v>
      </c>
      <c r="Z193" s="1321">
        <v>5</v>
      </c>
      <c r="AA193" s="1321">
        <v>5</v>
      </c>
      <c r="AB193" s="1321">
        <v>5</v>
      </c>
      <c r="AC193" s="1003"/>
      <c r="AD193" s="1003"/>
      <c r="AE193" s="1003"/>
      <c r="AF193" s="1003"/>
      <c r="AG193" s="1003"/>
      <c r="AK193" s="982"/>
      <c r="BB193" s="1008"/>
    </row>
    <row r="194" spans="1:54" s="993" customFormat="1" hidden="1" outlineLevel="1" x14ac:dyDescent="0.25">
      <c r="A194" s="1012"/>
      <c r="B194" s="1841"/>
      <c r="C194" s="1009"/>
      <c r="D194" s="3840"/>
      <c r="E194" s="483" t="s">
        <v>1599</v>
      </c>
      <c r="F194" s="1321">
        <v>5</v>
      </c>
      <c r="G194" s="1189"/>
      <c r="H194" s="1322" t="s">
        <v>1644</v>
      </c>
      <c r="I194" s="1012"/>
      <c r="J194" s="1012"/>
      <c r="K194" s="1012"/>
      <c r="L194" s="1012"/>
      <c r="M194" s="1012"/>
      <c r="N194" s="1012"/>
      <c r="O194" s="1012"/>
      <c r="P194" s="1012"/>
      <c r="Q194" s="1012"/>
      <c r="R194" s="1012"/>
      <c r="S194" s="1012"/>
      <c r="T194" s="1012"/>
      <c r="U194" s="1012"/>
      <c r="V194" s="3842"/>
      <c r="W194" s="1003">
        <v>5</v>
      </c>
      <c r="X194" s="1003">
        <v>5</v>
      </c>
      <c r="Y194" s="1003">
        <v>5</v>
      </c>
      <c r="Z194" s="1321">
        <v>5</v>
      </c>
      <c r="AA194" s="1321">
        <v>5</v>
      </c>
      <c r="AB194" s="1321">
        <v>5</v>
      </c>
      <c r="AC194" s="1003"/>
      <c r="AD194" s="1003"/>
      <c r="AE194" s="1003"/>
      <c r="AF194" s="1003"/>
      <c r="AG194" s="1003"/>
      <c r="AK194" s="982"/>
      <c r="BB194" s="1008"/>
    </row>
    <row r="195" spans="1:54" s="993" customFormat="1" hidden="1" outlineLevel="1" x14ac:dyDescent="0.25">
      <c r="A195" s="1012"/>
      <c r="B195" s="1841"/>
      <c r="C195" s="1009"/>
      <c r="D195" s="3840"/>
      <c r="E195" s="489" t="s">
        <v>1601</v>
      </c>
      <c r="F195" s="1321">
        <v>5</v>
      </c>
      <c r="G195" s="1189"/>
      <c r="H195" s="1322" t="s">
        <v>1644</v>
      </c>
      <c r="I195" s="1012"/>
      <c r="J195" s="1012"/>
      <c r="K195" s="1012"/>
      <c r="L195" s="1012"/>
      <c r="M195" s="1012"/>
      <c r="N195" s="1012"/>
      <c r="O195" s="1012"/>
      <c r="P195" s="1012"/>
      <c r="Q195" s="1012"/>
      <c r="R195" s="1012"/>
      <c r="S195" s="1012"/>
      <c r="T195" s="1012"/>
      <c r="U195" s="1012"/>
      <c r="V195" s="3842"/>
      <c r="W195" s="1003">
        <v>5</v>
      </c>
      <c r="X195" s="1003">
        <v>5</v>
      </c>
      <c r="Y195" s="1003">
        <v>5</v>
      </c>
      <c r="Z195" s="1321">
        <v>5</v>
      </c>
      <c r="AA195" s="1321">
        <v>5</v>
      </c>
      <c r="AB195" s="1321">
        <v>5</v>
      </c>
      <c r="AC195" s="1003"/>
      <c r="AD195" s="1003"/>
      <c r="AE195" s="1003"/>
      <c r="AF195" s="1003"/>
      <c r="AG195" s="1003"/>
      <c r="AK195" s="982"/>
      <c r="BB195" s="1008"/>
    </row>
    <row r="196" spans="1:54" s="993" customFormat="1" hidden="1" outlineLevel="1" x14ac:dyDescent="0.25">
      <c r="A196" s="1012"/>
      <c r="B196" s="1841"/>
      <c r="C196" s="1009"/>
      <c r="D196" s="3840"/>
      <c r="E196" s="483" t="s">
        <v>1603</v>
      </c>
      <c r="F196" s="1321">
        <v>5</v>
      </c>
      <c r="G196" s="1189"/>
      <c r="H196" s="1322" t="s">
        <v>1644</v>
      </c>
      <c r="I196" s="1012"/>
      <c r="J196" s="1012"/>
      <c r="K196" s="1012"/>
      <c r="L196" s="1012"/>
      <c r="M196" s="1012"/>
      <c r="N196" s="1012"/>
      <c r="O196" s="1012"/>
      <c r="P196" s="1012"/>
      <c r="Q196" s="1012"/>
      <c r="R196" s="1012"/>
      <c r="S196" s="1012"/>
      <c r="T196" s="1012"/>
      <c r="U196" s="1012"/>
      <c r="V196" s="3842"/>
      <c r="W196" s="1003">
        <v>5</v>
      </c>
      <c r="X196" s="1003">
        <v>5</v>
      </c>
      <c r="Y196" s="1003">
        <v>5</v>
      </c>
      <c r="Z196" s="1321">
        <v>5</v>
      </c>
      <c r="AA196" s="1321">
        <v>5</v>
      </c>
      <c r="AB196" s="1321">
        <v>5</v>
      </c>
      <c r="AC196" s="1003"/>
      <c r="AD196" s="1003"/>
      <c r="AE196" s="1003"/>
      <c r="AF196" s="1003"/>
      <c r="AG196" s="1003"/>
      <c r="AK196" s="982"/>
      <c r="BB196" s="1008"/>
    </row>
    <row r="197" spans="1:54" s="993" customFormat="1" hidden="1" outlineLevel="1" x14ac:dyDescent="0.25">
      <c r="A197" s="1012"/>
      <c r="B197" s="1841"/>
      <c r="C197" s="1009"/>
      <c r="D197" s="3840"/>
      <c r="E197" s="483" t="s">
        <v>1605</v>
      </c>
      <c r="F197" s="1321">
        <v>5</v>
      </c>
      <c r="G197" s="1189"/>
      <c r="H197" s="1322" t="s">
        <v>1644</v>
      </c>
      <c r="I197" s="1012"/>
      <c r="J197" s="1012"/>
      <c r="K197" s="1012"/>
      <c r="L197" s="1012"/>
      <c r="M197" s="1012"/>
      <c r="N197" s="1012"/>
      <c r="O197" s="1012"/>
      <c r="P197" s="1012"/>
      <c r="Q197" s="1012"/>
      <c r="R197" s="1012"/>
      <c r="S197" s="1012"/>
      <c r="T197" s="1012"/>
      <c r="U197" s="1012"/>
      <c r="V197" s="3842"/>
      <c r="W197" s="1003">
        <v>5</v>
      </c>
      <c r="X197" s="1003">
        <v>5</v>
      </c>
      <c r="Y197" s="1003">
        <v>5</v>
      </c>
      <c r="Z197" s="1321">
        <v>5</v>
      </c>
      <c r="AA197" s="1321">
        <v>5</v>
      </c>
      <c r="AB197" s="1321">
        <v>5</v>
      </c>
      <c r="AC197" s="1003"/>
      <c r="AD197" s="1003"/>
      <c r="AE197" s="1003"/>
      <c r="AF197" s="1003"/>
      <c r="AG197" s="1003"/>
      <c r="AK197" s="982"/>
      <c r="BB197" s="1008"/>
    </row>
    <row r="198" spans="1:54" s="993" customFormat="1" hidden="1" outlineLevel="1" x14ac:dyDescent="0.25">
      <c r="A198" s="1012"/>
      <c r="B198" s="1841"/>
      <c r="C198" s="1009"/>
      <c r="D198" s="3840"/>
      <c r="E198" s="1851" t="s">
        <v>1607</v>
      </c>
      <c r="F198" s="1321">
        <v>5</v>
      </c>
      <c r="G198" s="1189"/>
      <c r="H198" s="1322" t="s">
        <v>1644</v>
      </c>
      <c r="I198" s="1012"/>
      <c r="J198" s="1012"/>
      <c r="K198" s="1012"/>
      <c r="L198" s="1012"/>
      <c r="M198" s="1012"/>
      <c r="N198" s="1012"/>
      <c r="O198" s="1012"/>
      <c r="P198" s="1012"/>
      <c r="Q198" s="1012"/>
      <c r="R198" s="1012"/>
      <c r="S198" s="1012"/>
      <c r="T198" s="1012"/>
      <c r="U198" s="1012"/>
      <c r="V198" s="3842"/>
      <c r="W198" s="1003">
        <v>5</v>
      </c>
      <c r="X198" s="1003">
        <v>5</v>
      </c>
      <c r="Y198" s="1003">
        <v>5</v>
      </c>
      <c r="Z198" s="1321">
        <v>5</v>
      </c>
      <c r="AA198" s="1321">
        <v>5</v>
      </c>
      <c r="AB198" s="1321">
        <v>5</v>
      </c>
      <c r="AC198" s="1003"/>
      <c r="AD198" s="1003"/>
      <c r="AE198" s="1003"/>
      <c r="AF198" s="1003"/>
      <c r="AG198" s="1003"/>
      <c r="AK198" s="982"/>
      <c r="BB198" s="1008"/>
    </row>
    <row r="199" spans="1:54" s="993" customFormat="1" hidden="1" outlineLevel="1" x14ac:dyDescent="0.25">
      <c r="A199" s="1012"/>
      <c r="B199" s="1841"/>
      <c r="C199" s="1009"/>
      <c r="D199" s="3840"/>
      <c r="E199" s="483" t="s">
        <v>1609</v>
      </c>
      <c r="F199" s="1321">
        <v>5</v>
      </c>
      <c r="G199" s="1189"/>
      <c r="H199" s="1322" t="s">
        <v>1644</v>
      </c>
      <c r="I199" s="1012"/>
      <c r="J199" s="1012"/>
      <c r="K199" s="1012"/>
      <c r="L199" s="1012"/>
      <c r="M199" s="1012"/>
      <c r="N199" s="1012"/>
      <c r="O199" s="1012"/>
      <c r="P199" s="1012"/>
      <c r="Q199" s="1012"/>
      <c r="R199" s="1012"/>
      <c r="S199" s="1012"/>
      <c r="T199" s="1012"/>
      <c r="U199" s="1012"/>
      <c r="V199" s="3842"/>
      <c r="W199" s="1003">
        <v>5</v>
      </c>
      <c r="X199" s="1003">
        <v>5</v>
      </c>
      <c r="Y199" s="1003">
        <v>5</v>
      </c>
      <c r="Z199" s="1321">
        <v>5</v>
      </c>
      <c r="AA199" s="1321">
        <v>5</v>
      </c>
      <c r="AB199" s="1321">
        <v>5</v>
      </c>
      <c r="AC199" s="1003"/>
      <c r="AD199" s="1003"/>
      <c r="AE199" s="1003"/>
      <c r="AF199" s="1003"/>
      <c r="AG199" s="1003"/>
      <c r="AK199" s="982"/>
      <c r="BB199" s="1008"/>
    </row>
    <row r="200" spans="1:54" s="993" customFormat="1" hidden="1" outlineLevel="1" x14ac:dyDescent="0.25">
      <c r="A200" s="1012"/>
      <c r="B200" s="1823"/>
      <c r="C200" s="1009"/>
      <c r="D200" s="3840"/>
      <c r="E200" s="483" t="s">
        <v>1611</v>
      </c>
      <c r="F200" s="1321">
        <v>5</v>
      </c>
      <c r="G200" s="1189"/>
      <c r="H200" s="1322" t="s">
        <v>1644</v>
      </c>
      <c r="I200" s="1012"/>
      <c r="J200" s="1012"/>
      <c r="K200" s="1012"/>
      <c r="L200" s="1012"/>
      <c r="M200" s="1012"/>
      <c r="N200" s="1012"/>
      <c r="O200" s="1012"/>
      <c r="P200" s="1012"/>
      <c r="Q200" s="1012"/>
      <c r="R200" s="1012"/>
      <c r="S200" s="1012"/>
      <c r="T200" s="1012"/>
      <c r="U200" s="1012"/>
      <c r="V200" s="3842"/>
      <c r="W200" s="1003">
        <v>5</v>
      </c>
      <c r="X200" s="1003">
        <v>5</v>
      </c>
      <c r="Y200" s="1003">
        <v>5</v>
      </c>
      <c r="Z200" s="1321">
        <v>5</v>
      </c>
      <c r="AA200" s="1321">
        <v>5</v>
      </c>
      <c r="AB200" s="1321">
        <v>5</v>
      </c>
      <c r="AC200" s="1003"/>
      <c r="AD200" s="1003"/>
      <c r="AE200" s="1003"/>
      <c r="AF200" s="1003"/>
      <c r="AG200" s="1003"/>
      <c r="AK200" s="982"/>
      <c r="BB200" s="1008"/>
    </row>
    <row r="201" spans="1:54" s="993" customFormat="1" hidden="1" outlineLevel="1" x14ac:dyDescent="0.25">
      <c r="A201" s="1012"/>
      <c r="B201" s="1823"/>
      <c r="C201" s="1009"/>
      <c r="D201" s="3840"/>
      <c r="E201" s="489" t="s">
        <v>1613</v>
      </c>
      <c r="F201" s="1321">
        <v>5</v>
      </c>
      <c r="G201" s="1189"/>
      <c r="H201" s="1322" t="s">
        <v>1644</v>
      </c>
      <c r="I201" s="1012"/>
      <c r="J201" s="1012"/>
      <c r="K201" s="1012"/>
      <c r="L201" s="1012"/>
      <c r="M201" s="1012"/>
      <c r="N201" s="1012"/>
      <c r="O201" s="1012"/>
      <c r="P201" s="1012"/>
      <c r="Q201" s="1012"/>
      <c r="R201" s="1012"/>
      <c r="S201" s="1012"/>
      <c r="T201" s="1012"/>
      <c r="U201" s="1012"/>
      <c r="V201" s="3842"/>
      <c r="W201" s="1003">
        <v>5</v>
      </c>
      <c r="X201" s="1003">
        <v>5</v>
      </c>
      <c r="Y201" s="1003">
        <v>5</v>
      </c>
      <c r="Z201" s="1321">
        <v>5</v>
      </c>
      <c r="AA201" s="1321">
        <v>5</v>
      </c>
      <c r="AB201" s="1321">
        <v>5</v>
      </c>
      <c r="AC201" s="1003"/>
      <c r="AD201" s="1003"/>
      <c r="AE201" s="1003"/>
      <c r="AF201" s="1003"/>
      <c r="AG201" s="1003"/>
      <c r="AK201" s="982"/>
      <c r="BB201" s="1008"/>
    </row>
    <row r="202" spans="1:54" s="993" customFormat="1" hidden="1" outlineLevel="1" x14ac:dyDescent="0.25">
      <c r="A202" s="1012"/>
      <c r="B202" s="1823"/>
      <c r="C202" s="1009"/>
      <c r="D202" s="3840"/>
      <c r="E202" s="483" t="s">
        <v>1615</v>
      </c>
      <c r="F202" s="1321">
        <v>5</v>
      </c>
      <c r="G202" s="1189"/>
      <c r="H202" s="1322" t="s">
        <v>1644</v>
      </c>
      <c r="I202" s="1012"/>
      <c r="J202" s="1012"/>
      <c r="K202" s="1012"/>
      <c r="L202" s="1012"/>
      <c r="M202" s="1012"/>
      <c r="N202" s="1012"/>
      <c r="O202" s="1012"/>
      <c r="P202" s="1012"/>
      <c r="Q202" s="1012"/>
      <c r="R202" s="1012"/>
      <c r="S202" s="1012"/>
      <c r="T202" s="1012"/>
      <c r="U202" s="1012"/>
      <c r="V202" s="3842"/>
      <c r="W202" s="1003">
        <v>5</v>
      </c>
      <c r="X202" s="1003">
        <v>5</v>
      </c>
      <c r="Y202" s="1003">
        <v>5</v>
      </c>
      <c r="Z202" s="1321">
        <v>5</v>
      </c>
      <c r="AA202" s="1321">
        <v>5</v>
      </c>
      <c r="AB202" s="1321">
        <v>5</v>
      </c>
      <c r="AC202" s="1003"/>
      <c r="AD202" s="1003"/>
      <c r="AE202" s="1003"/>
      <c r="AF202" s="1003"/>
      <c r="AG202" s="1003"/>
      <c r="AK202" s="982"/>
      <c r="BB202" s="1008"/>
    </row>
    <row r="203" spans="1:54" s="993" customFormat="1" hidden="1" outlineLevel="1" x14ac:dyDescent="0.25">
      <c r="A203" s="1012"/>
      <c r="B203" s="1841"/>
      <c r="C203" s="1009"/>
      <c r="D203" s="3840"/>
      <c r="E203" s="483" t="s">
        <v>1617</v>
      </c>
      <c r="F203" s="1321">
        <v>5</v>
      </c>
      <c r="G203" s="1189"/>
      <c r="H203" s="1322" t="s">
        <v>1644</v>
      </c>
      <c r="I203" s="1012"/>
      <c r="J203" s="1012"/>
      <c r="K203" s="1012"/>
      <c r="L203" s="1012"/>
      <c r="M203" s="1012"/>
      <c r="N203" s="1012"/>
      <c r="O203" s="1012"/>
      <c r="P203" s="1012"/>
      <c r="Q203" s="1012"/>
      <c r="R203" s="1012"/>
      <c r="S203" s="1012"/>
      <c r="T203" s="1012"/>
      <c r="U203" s="1012"/>
      <c r="V203" s="3842"/>
      <c r="W203" s="1003">
        <v>5</v>
      </c>
      <c r="X203" s="1003">
        <v>5</v>
      </c>
      <c r="Y203" s="1003">
        <v>5</v>
      </c>
      <c r="Z203" s="1321">
        <v>5</v>
      </c>
      <c r="AA203" s="1321">
        <v>5</v>
      </c>
      <c r="AB203" s="1321">
        <v>5</v>
      </c>
      <c r="AC203" s="1003"/>
      <c r="AD203" s="1003"/>
      <c r="AE203" s="1003"/>
      <c r="AF203" s="1003"/>
      <c r="AG203" s="1003"/>
      <c r="AK203" s="982"/>
      <c r="BB203" s="1008"/>
    </row>
    <row r="204" spans="1:54" s="993" customFormat="1" hidden="1" outlineLevel="1" x14ac:dyDescent="0.25">
      <c r="A204" s="1012"/>
      <c r="B204" s="1841"/>
      <c r="C204" s="1009"/>
      <c r="D204" s="3840"/>
      <c r="E204" s="1851" t="s">
        <v>1619</v>
      </c>
      <c r="F204" s="1321">
        <v>5</v>
      </c>
      <c r="G204" s="1189"/>
      <c r="H204" s="1322" t="s">
        <v>1644</v>
      </c>
      <c r="I204" s="1012"/>
      <c r="J204" s="1012"/>
      <c r="K204" s="1012"/>
      <c r="L204" s="1012"/>
      <c r="M204" s="1012"/>
      <c r="N204" s="1012"/>
      <c r="O204" s="1012"/>
      <c r="P204" s="1012"/>
      <c r="Q204" s="1012"/>
      <c r="R204" s="1012"/>
      <c r="S204" s="1012"/>
      <c r="T204" s="1012"/>
      <c r="U204" s="1012"/>
      <c r="V204" s="3842"/>
      <c r="W204" s="1003">
        <v>5</v>
      </c>
      <c r="X204" s="1003">
        <v>5</v>
      </c>
      <c r="Y204" s="1003">
        <v>5</v>
      </c>
      <c r="Z204" s="1321">
        <v>5</v>
      </c>
      <c r="AA204" s="1321">
        <v>5</v>
      </c>
      <c r="AB204" s="1321">
        <v>5</v>
      </c>
      <c r="AC204" s="1003"/>
      <c r="AD204" s="1003"/>
      <c r="AE204" s="1003"/>
      <c r="AF204" s="1003"/>
      <c r="AG204" s="1003"/>
      <c r="AK204" s="982"/>
      <c r="BB204" s="1008"/>
    </row>
    <row r="205" spans="1:54" s="993" customFormat="1" hidden="1" outlineLevel="1" x14ac:dyDescent="0.25">
      <c r="A205" s="1012"/>
      <c r="B205" s="1841"/>
      <c r="C205" s="1009"/>
      <c r="D205" s="3840"/>
      <c r="E205" s="483" t="s">
        <v>1621</v>
      </c>
      <c r="F205" s="1321">
        <v>5</v>
      </c>
      <c r="G205" s="1189"/>
      <c r="H205" s="1322" t="s">
        <v>1644</v>
      </c>
      <c r="I205" s="1012"/>
      <c r="J205" s="1012"/>
      <c r="K205" s="1012"/>
      <c r="L205" s="1012"/>
      <c r="M205" s="1012"/>
      <c r="N205" s="1012"/>
      <c r="O205" s="1012"/>
      <c r="P205" s="1012"/>
      <c r="Q205" s="1012"/>
      <c r="R205" s="1012"/>
      <c r="S205" s="1012"/>
      <c r="T205" s="1012"/>
      <c r="U205" s="1012"/>
      <c r="V205" s="3842"/>
      <c r="W205" s="1003">
        <v>5</v>
      </c>
      <c r="X205" s="1003">
        <v>5</v>
      </c>
      <c r="Y205" s="1003">
        <v>5</v>
      </c>
      <c r="Z205" s="1321">
        <v>5</v>
      </c>
      <c r="AA205" s="1321">
        <v>5</v>
      </c>
      <c r="AB205" s="1321">
        <v>5</v>
      </c>
      <c r="AC205" s="1003"/>
      <c r="AD205" s="1003"/>
      <c r="AE205" s="1003"/>
      <c r="AF205" s="1003"/>
      <c r="AG205" s="1003"/>
      <c r="AK205" s="982"/>
      <c r="BB205" s="1008"/>
    </row>
    <row r="206" spans="1:54" s="993" customFormat="1" hidden="1" outlineLevel="1" x14ac:dyDescent="0.25">
      <c r="A206" s="1012"/>
      <c r="B206" s="1841"/>
      <c r="C206" s="1009"/>
      <c r="D206" s="3840"/>
      <c r="E206" s="483" t="s">
        <v>1623</v>
      </c>
      <c r="F206" s="1321">
        <v>5</v>
      </c>
      <c r="G206" s="1189"/>
      <c r="H206" s="1322" t="s">
        <v>1644</v>
      </c>
      <c r="I206" s="1012"/>
      <c r="J206" s="1012"/>
      <c r="K206" s="1012"/>
      <c r="L206" s="1012"/>
      <c r="M206" s="1012"/>
      <c r="N206" s="1012"/>
      <c r="O206" s="1012"/>
      <c r="P206" s="1012"/>
      <c r="Q206" s="1012"/>
      <c r="R206" s="1012"/>
      <c r="S206" s="1012"/>
      <c r="T206" s="1012"/>
      <c r="U206" s="1012"/>
      <c r="V206" s="3842"/>
      <c r="W206" s="1003">
        <v>5</v>
      </c>
      <c r="X206" s="1003">
        <v>5</v>
      </c>
      <c r="Y206" s="1003">
        <v>5</v>
      </c>
      <c r="Z206" s="1321">
        <v>5</v>
      </c>
      <c r="AA206" s="1321">
        <v>5</v>
      </c>
      <c r="AB206" s="1321">
        <v>5</v>
      </c>
      <c r="AC206" s="1003"/>
      <c r="AD206" s="1003"/>
      <c r="AE206" s="1003"/>
      <c r="AF206" s="1003"/>
      <c r="AG206" s="1003"/>
      <c r="AK206" s="982"/>
      <c r="BB206" s="1008"/>
    </row>
    <row r="207" spans="1:54" s="993" customFormat="1" hidden="1" outlineLevel="1" x14ac:dyDescent="0.25">
      <c r="A207" s="1012"/>
      <c r="B207" s="1841"/>
      <c r="C207" s="1009"/>
      <c r="D207" s="3840"/>
      <c r="E207" s="489" t="s">
        <v>1625</v>
      </c>
      <c r="F207" s="1321">
        <v>5</v>
      </c>
      <c r="G207" s="1189"/>
      <c r="H207" s="1322" t="s">
        <v>1644</v>
      </c>
      <c r="I207" s="1012"/>
      <c r="J207" s="1012"/>
      <c r="K207" s="1012"/>
      <c r="L207" s="1012"/>
      <c r="M207" s="1012"/>
      <c r="N207" s="1012"/>
      <c r="O207" s="1012"/>
      <c r="P207" s="1012"/>
      <c r="Q207" s="1012"/>
      <c r="R207" s="1012"/>
      <c r="S207" s="1012"/>
      <c r="T207" s="1012"/>
      <c r="U207" s="1012"/>
      <c r="V207" s="3842"/>
      <c r="W207" s="1003">
        <v>5</v>
      </c>
      <c r="X207" s="1003">
        <v>5</v>
      </c>
      <c r="Y207" s="1003">
        <v>5</v>
      </c>
      <c r="Z207" s="1321">
        <v>5</v>
      </c>
      <c r="AA207" s="1321">
        <v>5</v>
      </c>
      <c r="AB207" s="1321">
        <v>5</v>
      </c>
      <c r="AC207" s="1003"/>
      <c r="AD207" s="1003"/>
      <c r="AE207" s="1003"/>
      <c r="AF207" s="1003"/>
      <c r="AG207" s="1003"/>
      <c r="AK207" s="982"/>
      <c r="BB207" s="1008"/>
    </row>
    <row r="208" spans="1:54" s="993" customFormat="1" hidden="1" outlineLevel="1" x14ac:dyDescent="0.25">
      <c r="A208" s="1012"/>
      <c r="B208" s="1841"/>
      <c r="C208" s="1009"/>
      <c r="D208" s="3840"/>
      <c r="E208" s="483" t="s">
        <v>1627</v>
      </c>
      <c r="F208" s="1321">
        <v>5</v>
      </c>
      <c r="G208" s="1189"/>
      <c r="H208" s="1322" t="s">
        <v>1644</v>
      </c>
      <c r="I208" s="1012"/>
      <c r="J208" s="1012"/>
      <c r="K208" s="1012"/>
      <c r="L208" s="1012"/>
      <c r="M208" s="1012"/>
      <c r="N208" s="1012"/>
      <c r="O208" s="1012"/>
      <c r="P208" s="1012"/>
      <c r="Q208" s="1012"/>
      <c r="R208" s="1012"/>
      <c r="S208" s="1012"/>
      <c r="T208" s="1012"/>
      <c r="U208" s="1012"/>
      <c r="V208" s="3842"/>
      <c r="W208" s="1003">
        <v>5</v>
      </c>
      <c r="X208" s="1003">
        <v>5</v>
      </c>
      <c r="Y208" s="1003">
        <v>5</v>
      </c>
      <c r="Z208" s="1321">
        <v>5</v>
      </c>
      <c r="AA208" s="1321">
        <v>5</v>
      </c>
      <c r="AB208" s="1321">
        <v>5</v>
      </c>
      <c r="AC208" s="1003"/>
      <c r="AD208" s="1003"/>
      <c r="AE208" s="1003"/>
      <c r="AF208" s="1003"/>
      <c r="AG208" s="1003"/>
      <c r="AK208" s="982"/>
      <c r="BB208" s="1008"/>
    </row>
    <row r="209" spans="1:54" s="993" customFormat="1" hidden="1" outlineLevel="1" x14ac:dyDescent="0.25">
      <c r="A209" s="1012"/>
      <c r="B209" s="1841"/>
      <c r="C209" s="1009"/>
      <c r="D209" s="3840"/>
      <c r="E209" s="489" t="s">
        <v>1629</v>
      </c>
      <c r="F209" s="1321">
        <v>5</v>
      </c>
      <c r="G209" s="1189"/>
      <c r="H209" s="1322" t="s">
        <v>1644</v>
      </c>
      <c r="I209" s="1012"/>
      <c r="J209" s="1012"/>
      <c r="K209" s="1012"/>
      <c r="L209" s="1012"/>
      <c r="M209" s="1012"/>
      <c r="N209" s="1012"/>
      <c r="O209" s="1012"/>
      <c r="P209" s="1012"/>
      <c r="Q209" s="1012"/>
      <c r="R209" s="1012"/>
      <c r="S209" s="1012"/>
      <c r="T209" s="1012"/>
      <c r="U209" s="1012"/>
      <c r="V209" s="3842"/>
      <c r="W209" s="1003">
        <v>5</v>
      </c>
      <c r="X209" s="1003">
        <v>5</v>
      </c>
      <c r="Y209" s="1003">
        <v>5</v>
      </c>
      <c r="Z209" s="1321">
        <v>5</v>
      </c>
      <c r="AA209" s="1321">
        <v>5</v>
      </c>
      <c r="AB209" s="1321">
        <v>5</v>
      </c>
      <c r="AC209" s="1003"/>
      <c r="AD209" s="1003"/>
      <c r="AE209" s="1003"/>
      <c r="AF209" s="1003"/>
      <c r="AG209" s="1003"/>
      <c r="AK209" s="982"/>
      <c r="BB209" s="1008"/>
    </row>
    <row r="210" spans="1:54" s="993" customFormat="1" hidden="1" outlineLevel="1" x14ac:dyDescent="0.25">
      <c r="A210" s="1012"/>
      <c r="B210" s="1841"/>
      <c r="C210" s="1009"/>
      <c r="D210" s="3840"/>
      <c r="E210" s="483" t="s">
        <v>1631</v>
      </c>
      <c r="F210" s="1321">
        <v>5</v>
      </c>
      <c r="G210" s="1189"/>
      <c r="H210" s="1322" t="s">
        <v>1644</v>
      </c>
      <c r="I210" s="1012"/>
      <c r="J210" s="1012"/>
      <c r="K210" s="1012"/>
      <c r="L210" s="1012"/>
      <c r="M210" s="1012"/>
      <c r="N210" s="1012"/>
      <c r="O210" s="1012"/>
      <c r="P210" s="1012"/>
      <c r="Q210" s="1012"/>
      <c r="R210" s="1012"/>
      <c r="S210" s="1012"/>
      <c r="T210" s="1012"/>
      <c r="U210" s="1012"/>
      <c r="V210" s="3842"/>
      <c r="W210" s="1003">
        <v>5</v>
      </c>
      <c r="X210" s="1003">
        <v>5</v>
      </c>
      <c r="Y210" s="1003">
        <v>5</v>
      </c>
      <c r="Z210" s="1321">
        <v>5</v>
      </c>
      <c r="AA210" s="1321">
        <v>5</v>
      </c>
      <c r="AB210" s="1321">
        <v>5</v>
      </c>
      <c r="AC210" s="1003"/>
      <c r="AD210" s="1003"/>
      <c r="AE210" s="1003"/>
      <c r="AF210" s="1003"/>
      <c r="AG210" s="1003"/>
      <c r="AK210" s="982"/>
      <c r="BB210" s="1008"/>
    </row>
    <row r="211" spans="1:54" s="993" customFormat="1" hidden="1" outlineLevel="1" x14ac:dyDescent="0.25">
      <c r="A211" s="1012"/>
      <c r="B211" s="1841"/>
      <c r="C211" s="1009"/>
      <c r="D211" s="3840"/>
      <c r="E211" s="483" t="s">
        <v>1633</v>
      </c>
      <c r="F211" s="1321">
        <v>5</v>
      </c>
      <c r="G211" s="1189"/>
      <c r="H211" s="1322" t="s">
        <v>1644</v>
      </c>
      <c r="I211" s="1012"/>
      <c r="J211" s="1012"/>
      <c r="K211" s="1012"/>
      <c r="L211" s="1012"/>
      <c r="M211" s="1012"/>
      <c r="N211" s="1012"/>
      <c r="O211" s="1012"/>
      <c r="P211" s="1012"/>
      <c r="Q211" s="1012"/>
      <c r="R211" s="1012"/>
      <c r="S211" s="1012"/>
      <c r="T211" s="1012"/>
      <c r="U211" s="1012"/>
      <c r="V211" s="3842"/>
      <c r="W211" s="1003">
        <v>5</v>
      </c>
      <c r="X211" s="1003">
        <v>5</v>
      </c>
      <c r="Y211" s="1003">
        <v>5</v>
      </c>
      <c r="Z211" s="1321">
        <v>5</v>
      </c>
      <c r="AA211" s="1321">
        <v>5</v>
      </c>
      <c r="AB211" s="1321">
        <v>5</v>
      </c>
      <c r="AC211" s="1003"/>
      <c r="AD211" s="1003"/>
      <c r="AE211" s="1003"/>
      <c r="AF211" s="1003"/>
      <c r="AG211" s="1003"/>
      <c r="AK211" s="982"/>
      <c r="BB211" s="1008"/>
    </row>
    <row r="212" spans="1:54" s="993" customFormat="1" hidden="1" outlineLevel="1" x14ac:dyDescent="0.25">
      <c r="A212" s="1012"/>
      <c r="B212" s="1841"/>
      <c r="C212" s="1009"/>
      <c r="D212" s="3840"/>
      <c r="E212" s="483" t="s">
        <v>1635</v>
      </c>
      <c r="F212" s="1321">
        <v>5</v>
      </c>
      <c r="G212" s="1189"/>
      <c r="H212" s="1322" t="s">
        <v>1644</v>
      </c>
      <c r="I212" s="1012"/>
      <c r="J212" s="1012"/>
      <c r="K212" s="1012"/>
      <c r="L212" s="1012"/>
      <c r="M212" s="1012"/>
      <c r="N212" s="1012"/>
      <c r="O212" s="1012"/>
      <c r="P212" s="1012"/>
      <c r="Q212" s="1012"/>
      <c r="R212" s="1012"/>
      <c r="S212" s="1012"/>
      <c r="T212" s="1012"/>
      <c r="U212" s="1012"/>
      <c r="V212" s="3842"/>
      <c r="W212" s="1003">
        <v>5</v>
      </c>
      <c r="X212" s="1003">
        <v>5</v>
      </c>
      <c r="Y212" s="1003">
        <v>5</v>
      </c>
      <c r="Z212" s="1321">
        <v>5</v>
      </c>
      <c r="AA212" s="1321">
        <v>5</v>
      </c>
      <c r="AB212" s="1321">
        <v>5</v>
      </c>
      <c r="AC212" s="1003"/>
      <c r="AD212" s="1003"/>
      <c r="AE212" s="1003"/>
      <c r="AF212" s="1003"/>
      <c r="AG212" s="1003"/>
      <c r="AK212" s="982"/>
      <c r="BB212" s="1008"/>
    </row>
    <row r="213" spans="1:54" s="993" customFormat="1" hidden="1" outlineLevel="1" x14ac:dyDescent="0.25">
      <c r="A213" s="1012"/>
      <c r="B213" s="1841"/>
      <c r="C213" s="1009"/>
      <c r="D213" s="3840"/>
      <c r="E213" s="489" t="s">
        <v>1637</v>
      </c>
      <c r="F213" s="1321">
        <v>5</v>
      </c>
      <c r="G213" s="1189"/>
      <c r="H213" s="1322" t="s">
        <v>1644</v>
      </c>
      <c r="I213" s="1012"/>
      <c r="J213" s="1012"/>
      <c r="K213" s="1012"/>
      <c r="L213" s="1012"/>
      <c r="M213" s="1012"/>
      <c r="N213" s="1012"/>
      <c r="O213" s="1012"/>
      <c r="P213" s="1012"/>
      <c r="Q213" s="1012"/>
      <c r="R213" s="1012"/>
      <c r="S213" s="1012"/>
      <c r="T213" s="1012"/>
      <c r="U213" s="1012"/>
      <c r="V213" s="3842"/>
      <c r="W213" s="1003">
        <v>5</v>
      </c>
      <c r="X213" s="1003">
        <v>5</v>
      </c>
      <c r="Y213" s="1003">
        <v>5</v>
      </c>
      <c r="Z213" s="1321">
        <v>5</v>
      </c>
      <c r="AA213" s="1321">
        <v>5</v>
      </c>
      <c r="AB213" s="1321">
        <v>5</v>
      </c>
      <c r="AC213" s="1003"/>
      <c r="AD213" s="1003"/>
      <c r="AE213" s="1003"/>
      <c r="AF213" s="1003"/>
      <c r="AG213" s="1003"/>
      <c r="AK213" s="982"/>
      <c r="BB213" s="1008"/>
    </row>
    <row r="214" spans="1:54" s="993" customFormat="1" hidden="1" outlineLevel="1" x14ac:dyDescent="0.25">
      <c r="A214" s="1012"/>
      <c r="B214" s="1841"/>
      <c r="C214" s="1009"/>
      <c r="D214" s="3840"/>
      <c r="E214" s="483" t="s">
        <v>1639</v>
      </c>
      <c r="F214" s="1321">
        <v>5</v>
      </c>
      <c r="G214" s="1189"/>
      <c r="H214" s="1322" t="s">
        <v>1644</v>
      </c>
      <c r="I214" s="1012"/>
      <c r="J214" s="1012"/>
      <c r="K214" s="1012"/>
      <c r="L214" s="1012"/>
      <c r="M214" s="1012"/>
      <c r="N214" s="1012"/>
      <c r="O214" s="1012"/>
      <c r="P214" s="1012"/>
      <c r="Q214" s="1012"/>
      <c r="R214" s="1012"/>
      <c r="S214" s="1012"/>
      <c r="T214" s="1012"/>
      <c r="U214" s="1012"/>
      <c r="V214" s="3842"/>
      <c r="W214" s="1003">
        <v>5</v>
      </c>
      <c r="X214" s="1003">
        <v>5</v>
      </c>
      <c r="Y214" s="1003">
        <v>5</v>
      </c>
      <c r="Z214" s="1321">
        <v>5</v>
      </c>
      <c r="AA214" s="1321">
        <v>5</v>
      </c>
      <c r="AB214" s="1321">
        <v>5</v>
      </c>
      <c r="AC214" s="1003"/>
      <c r="AD214" s="1003"/>
      <c r="AE214" s="1003"/>
      <c r="AF214" s="1003"/>
      <c r="AG214" s="1003"/>
      <c r="AK214" s="982"/>
      <c r="BB214" s="1008"/>
    </row>
    <row r="215" spans="1:54" s="993" customFormat="1" hidden="1" outlineLevel="1" x14ac:dyDescent="0.25">
      <c r="A215" s="1012"/>
      <c r="B215" s="1841"/>
      <c r="C215" s="1009"/>
      <c r="D215" s="3840"/>
      <c r="E215" s="489" t="s">
        <v>1641</v>
      </c>
      <c r="F215" s="1321">
        <v>5</v>
      </c>
      <c r="G215" s="1189"/>
      <c r="H215" s="1322" t="s">
        <v>1644</v>
      </c>
      <c r="I215" s="1012"/>
      <c r="J215" s="1012"/>
      <c r="K215" s="1012"/>
      <c r="L215" s="1012"/>
      <c r="M215" s="1012"/>
      <c r="N215" s="1012"/>
      <c r="O215" s="1012"/>
      <c r="P215" s="1012"/>
      <c r="Q215" s="1012"/>
      <c r="R215" s="1012"/>
      <c r="S215" s="1012"/>
      <c r="T215" s="1012"/>
      <c r="U215" s="1012"/>
      <c r="V215" s="3842"/>
      <c r="W215" s="1003">
        <v>5</v>
      </c>
      <c r="X215" s="1003">
        <v>5</v>
      </c>
      <c r="Y215" s="1003">
        <v>5</v>
      </c>
      <c r="Z215" s="1321">
        <v>5</v>
      </c>
      <c r="AA215" s="1321">
        <v>5</v>
      </c>
      <c r="AB215" s="1321">
        <v>5</v>
      </c>
      <c r="AC215" s="1003"/>
      <c r="AD215" s="1003"/>
      <c r="AE215" s="1003"/>
      <c r="AF215" s="1003"/>
      <c r="AG215" s="1003"/>
      <c r="AK215" s="982"/>
      <c r="BB215" s="1008"/>
    </row>
    <row r="216" spans="1:54" s="993" customFormat="1" hidden="1" outlineLevel="1" x14ac:dyDescent="0.25">
      <c r="A216" s="1012"/>
      <c r="B216" s="1841"/>
      <c r="C216" s="1009"/>
      <c r="D216" s="3840"/>
      <c r="E216" s="483" t="s">
        <v>1643</v>
      </c>
      <c r="F216" s="1321">
        <v>5</v>
      </c>
      <c r="G216" s="1189"/>
      <c r="H216" s="1322" t="s">
        <v>1644</v>
      </c>
      <c r="I216" s="1012"/>
      <c r="J216" s="1012"/>
      <c r="K216" s="1012"/>
      <c r="L216" s="1012"/>
      <c r="M216" s="1012"/>
      <c r="N216" s="1012"/>
      <c r="O216" s="1012"/>
      <c r="P216" s="1012"/>
      <c r="Q216" s="1012"/>
      <c r="R216" s="1012"/>
      <c r="S216" s="1012"/>
      <c r="T216" s="1012"/>
      <c r="U216" s="1012"/>
      <c r="V216" s="3847"/>
      <c r="W216" s="1003">
        <v>5</v>
      </c>
      <c r="X216" s="1003">
        <v>5</v>
      </c>
      <c r="Y216" s="1003">
        <v>5</v>
      </c>
      <c r="Z216" s="1321">
        <v>5</v>
      </c>
      <c r="AA216" s="1321">
        <v>5</v>
      </c>
      <c r="AB216" s="1321">
        <v>5</v>
      </c>
      <c r="AC216" s="1003"/>
      <c r="AD216" s="1003"/>
      <c r="AE216" s="1003"/>
      <c r="AF216" s="1003"/>
      <c r="AG216" s="1003"/>
      <c r="AK216" s="982"/>
      <c r="BB216" s="1008"/>
    </row>
    <row r="217" spans="1:54" s="993" customFormat="1" ht="17.25" hidden="1" customHeight="1" outlineLevel="1" x14ac:dyDescent="0.25">
      <c r="A217" s="1012"/>
      <c r="B217" s="1823"/>
      <c r="C217" s="1009"/>
      <c r="D217" s="3839" t="s">
        <v>2187</v>
      </c>
      <c r="E217" s="483" t="s">
        <v>1585</v>
      </c>
      <c r="F217" s="1321">
        <v>49</v>
      </c>
      <c r="G217" s="1189"/>
      <c r="H217" s="1322" t="s">
        <v>1644</v>
      </c>
      <c r="I217" s="1012"/>
      <c r="J217" s="1012"/>
      <c r="K217" s="1012"/>
      <c r="L217" s="1012"/>
      <c r="M217" s="1012"/>
      <c r="N217" s="1012"/>
      <c r="O217" s="1012"/>
      <c r="P217" s="1012"/>
      <c r="Q217" s="1012"/>
      <c r="R217" s="1012"/>
      <c r="S217" s="1012"/>
      <c r="T217" s="1012"/>
      <c r="U217" s="1012"/>
      <c r="V217" s="3841" t="str">
        <f>D217</f>
        <v>RAttic</v>
      </c>
      <c r="W217" s="1003">
        <v>49</v>
      </c>
      <c r="X217" s="1003">
        <v>49</v>
      </c>
      <c r="Y217" s="1003">
        <v>49</v>
      </c>
      <c r="Z217" s="1321">
        <v>49</v>
      </c>
      <c r="AA217" s="1321">
        <v>49</v>
      </c>
      <c r="AB217" s="1321">
        <v>49</v>
      </c>
      <c r="AC217" s="1003"/>
      <c r="AD217" s="1003"/>
      <c r="AE217" s="1003"/>
      <c r="AF217" s="1003"/>
      <c r="AG217" s="1003"/>
      <c r="AK217" s="982"/>
      <c r="BB217" s="1008"/>
    </row>
    <row r="218" spans="1:54" s="993" customFormat="1" hidden="1" outlineLevel="1" x14ac:dyDescent="0.25">
      <c r="A218" s="1012"/>
      <c r="B218" s="1823"/>
      <c r="C218" s="1009"/>
      <c r="D218" s="3840"/>
      <c r="E218" s="483" t="s">
        <v>1587</v>
      </c>
      <c r="F218" s="1321">
        <v>49</v>
      </c>
      <c r="G218" s="1189"/>
      <c r="H218" s="1322" t="s">
        <v>1644</v>
      </c>
      <c r="I218" s="1012"/>
      <c r="J218" s="1012"/>
      <c r="K218" s="1012"/>
      <c r="L218" s="1012"/>
      <c r="M218" s="1012"/>
      <c r="N218" s="1012"/>
      <c r="O218" s="1012"/>
      <c r="P218" s="1012"/>
      <c r="Q218" s="1012"/>
      <c r="R218" s="1012"/>
      <c r="S218" s="1012"/>
      <c r="T218" s="1012"/>
      <c r="U218" s="1012"/>
      <c r="V218" s="3842"/>
      <c r="W218" s="1003">
        <v>49</v>
      </c>
      <c r="X218" s="1003">
        <v>49</v>
      </c>
      <c r="Y218" s="1003">
        <v>49</v>
      </c>
      <c r="Z218" s="1321">
        <v>49</v>
      </c>
      <c r="AA218" s="1321">
        <v>49</v>
      </c>
      <c r="AB218" s="1321">
        <v>49</v>
      </c>
      <c r="AC218" s="1003"/>
      <c r="AD218" s="1003"/>
      <c r="AE218" s="1003"/>
      <c r="AF218" s="1003"/>
      <c r="AG218" s="1003"/>
      <c r="AK218" s="982"/>
      <c r="BB218" s="1008"/>
    </row>
    <row r="219" spans="1:54" s="993" customFormat="1" hidden="1" outlineLevel="1" x14ac:dyDescent="0.25">
      <c r="A219" s="1012"/>
      <c r="B219" s="1823"/>
      <c r="C219" s="1009"/>
      <c r="D219" s="3840"/>
      <c r="E219" s="483" t="s">
        <v>1589</v>
      </c>
      <c r="F219" s="1321">
        <v>49</v>
      </c>
      <c r="G219" s="1189"/>
      <c r="H219" s="1322" t="s">
        <v>1644</v>
      </c>
      <c r="I219" s="1012"/>
      <c r="J219" s="1012"/>
      <c r="K219" s="1012"/>
      <c r="L219" s="1012"/>
      <c r="M219" s="1012"/>
      <c r="N219" s="1012"/>
      <c r="O219" s="1012"/>
      <c r="P219" s="1012"/>
      <c r="Q219" s="1012"/>
      <c r="R219" s="1012"/>
      <c r="S219" s="1012"/>
      <c r="T219" s="1012"/>
      <c r="U219" s="1012"/>
      <c r="V219" s="3842"/>
      <c r="W219" s="1003">
        <v>49</v>
      </c>
      <c r="X219" s="1003">
        <v>49</v>
      </c>
      <c r="Y219" s="1003">
        <v>49</v>
      </c>
      <c r="Z219" s="1321">
        <v>49</v>
      </c>
      <c r="AA219" s="1321">
        <v>49</v>
      </c>
      <c r="AB219" s="1321">
        <v>49</v>
      </c>
      <c r="AC219" s="1003"/>
      <c r="AD219" s="1003"/>
      <c r="AE219" s="1003"/>
      <c r="AF219" s="1003"/>
      <c r="AG219" s="1003"/>
      <c r="AK219" s="982"/>
      <c r="BB219" s="1008"/>
    </row>
    <row r="220" spans="1:54" s="993" customFormat="1" hidden="1" outlineLevel="1" x14ac:dyDescent="0.25">
      <c r="A220" s="1012"/>
      <c r="B220" s="1823"/>
      <c r="C220" s="1009"/>
      <c r="D220" s="3840"/>
      <c r="E220" s="483" t="s">
        <v>1591</v>
      </c>
      <c r="F220" s="1321">
        <v>49</v>
      </c>
      <c r="G220" s="1189"/>
      <c r="H220" s="1322" t="s">
        <v>1644</v>
      </c>
      <c r="I220" s="1012"/>
      <c r="J220" s="1012"/>
      <c r="K220" s="1012"/>
      <c r="L220" s="1012"/>
      <c r="M220" s="1012"/>
      <c r="N220" s="1012"/>
      <c r="O220" s="1012"/>
      <c r="P220" s="1012"/>
      <c r="Q220" s="1012"/>
      <c r="R220" s="1012"/>
      <c r="S220" s="1012"/>
      <c r="T220" s="1012"/>
      <c r="U220" s="1012"/>
      <c r="V220" s="3842"/>
      <c r="W220" s="1003">
        <v>49</v>
      </c>
      <c r="X220" s="1003">
        <v>49</v>
      </c>
      <c r="Y220" s="1003">
        <v>49</v>
      </c>
      <c r="Z220" s="1321">
        <v>49</v>
      </c>
      <c r="AA220" s="1321">
        <v>49</v>
      </c>
      <c r="AB220" s="1321">
        <v>49</v>
      </c>
      <c r="AC220" s="1003"/>
      <c r="AD220" s="1003"/>
      <c r="AE220" s="1003"/>
      <c r="AF220" s="1003"/>
      <c r="AG220" s="1003"/>
      <c r="AK220" s="982"/>
      <c r="BB220" s="1008"/>
    </row>
    <row r="221" spans="1:54" s="993" customFormat="1" hidden="1" outlineLevel="1" x14ac:dyDescent="0.25">
      <c r="A221" s="1012"/>
      <c r="B221" s="1823"/>
      <c r="C221" s="1009"/>
      <c r="D221" s="3840"/>
      <c r="E221" s="483" t="s">
        <v>1593</v>
      </c>
      <c r="F221" s="1321">
        <v>49</v>
      </c>
      <c r="G221" s="1189"/>
      <c r="H221" s="1322" t="s">
        <v>1644</v>
      </c>
      <c r="I221" s="1012"/>
      <c r="J221" s="1012"/>
      <c r="K221" s="1012"/>
      <c r="L221" s="1012"/>
      <c r="M221" s="1012"/>
      <c r="N221" s="1012"/>
      <c r="O221" s="1012"/>
      <c r="P221" s="1012"/>
      <c r="Q221" s="1012"/>
      <c r="R221" s="1012"/>
      <c r="S221" s="1012"/>
      <c r="T221" s="1012"/>
      <c r="U221" s="1012"/>
      <c r="V221" s="3842"/>
      <c r="W221" s="1003">
        <v>49</v>
      </c>
      <c r="X221" s="1003">
        <v>49</v>
      </c>
      <c r="Y221" s="1003">
        <v>49</v>
      </c>
      <c r="Z221" s="1321">
        <v>49</v>
      </c>
      <c r="AA221" s="1321">
        <v>49</v>
      </c>
      <c r="AB221" s="1321">
        <v>49</v>
      </c>
      <c r="AC221" s="1003"/>
      <c r="AD221" s="1003"/>
      <c r="AE221" s="1003"/>
      <c r="AF221" s="1003"/>
      <c r="AG221" s="1003"/>
      <c r="AK221" s="982"/>
      <c r="BB221" s="1008"/>
    </row>
    <row r="222" spans="1:54" s="993" customFormat="1" hidden="1" outlineLevel="1" x14ac:dyDescent="0.25">
      <c r="A222" s="1012"/>
      <c r="B222" s="1841"/>
      <c r="C222" s="1009"/>
      <c r="D222" s="3840"/>
      <c r="E222" s="483" t="s">
        <v>1595</v>
      </c>
      <c r="F222" s="1321">
        <v>49</v>
      </c>
      <c r="G222" s="1189"/>
      <c r="H222" s="1322" t="s">
        <v>1644</v>
      </c>
      <c r="I222" s="1012"/>
      <c r="J222" s="1012"/>
      <c r="K222" s="1012"/>
      <c r="L222" s="1012"/>
      <c r="M222" s="1012"/>
      <c r="N222" s="1012"/>
      <c r="O222" s="1012"/>
      <c r="P222" s="1012"/>
      <c r="Q222" s="1012"/>
      <c r="R222" s="1012"/>
      <c r="S222" s="1012"/>
      <c r="T222" s="1012"/>
      <c r="U222" s="1012"/>
      <c r="V222" s="3842"/>
      <c r="W222" s="1003">
        <v>49</v>
      </c>
      <c r="X222" s="1003">
        <v>49</v>
      </c>
      <c r="Y222" s="1003">
        <v>49</v>
      </c>
      <c r="Z222" s="1321">
        <v>49</v>
      </c>
      <c r="AA222" s="1321">
        <v>49</v>
      </c>
      <c r="AB222" s="1321">
        <v>49</v>
      </c>
      <c r="AC222" s="1003"/>
      <c r="AD222" s="1003"/>
      <c r="AE222" s="1003"/>
      <c r="AF222" s="1003"/>
      <c r="AG222" s="1003"/>
      <c r="AK222" s="982"/>
      <c r="BB222" s="1008"/>
    </row>
    <row r="223" spans="1:54" s="993" customFormat="1" hidden="1" outlineLevel="1" x14ac:dyDescent="0.25">
      <c r="A223" s="1012"/>
      <c r="B223" s="1841"/>
      <c r="C223" s="1009"/>
      <c r="D223" s="3840"/>
      <c r="E223" s="483" t="s">
        <v>1597</v>
      </c>
      <c r="F223" s="1321">
        <v>30</v>
      </c>
      <c r="G223" s="1189"/>
      <c r="H223" s="1322" t="s">
        <v>1644</v>
      </c>
      <c r="I223" s="1012"/>
      <c r="J223" s="1012"/>
      <c r="K223" s="1012"/>
      <c r="L223" s="1012"/>
      <c r="M223" s="1012"/>
      <c r="N223" s="1012"/>
      <c r="O223" s="1012"/>
      <c r="P223" s="1012"/>
      <c r="Q223" s="1012"/>
      <c r="R223" s="1012"/>
      <c r="S223" s="1012"/>
      <c r="T223" s="1012"/>
      <c r="U223" s="1012"/>
      <c r="V223" s="3842"/>
      <c r="W223" s="1003">
        <v>30</v>
      </c>
      <c r="X223" s="1003">
        <v>30</v>
      </c>
      <c r="Y223" s="1003">
        <v>30</v>
      </c>
      <c r="Z223" s="1321">
        <v>30</v>
      </c>
      <c r="AA223" s="1321">
        <v>30</v>
      </c>
      <c r="AB223" s="1321">
        <v>30</v>
      </c>
      <c r="AC223" s="1003"/>
      <c r="AD223" s="1003"/>
      <c r="AE223" s="1003"/>
      <c r="AF223" s="1003"/>
      <c r="AG223" s="1003"/>
      <c r="AK223" s="982"/>
      <c r="BB223" s="1008"/>
    </row>
    <row r="224" spans="1:54" s="993" customFormat="1" hidden="1" outlineLevel="1" x14ac:dyDescent="0.25">
      <c r="A224" s="1012"/>
      <c r="B224" s="1841"/>
      <c r="C224" s="1009"/>
      <c r="D224" s="3840"/>
      <c r="E224" s="483" t="s">
        <v>1599</v>
      </c>
      <c r="F224" s="1321">
        <v>30</v>
      </c>
      <c r="G224" s="1189"/>
      <c r="H224" s="1322" t="s">
        <v>1644</v>
      </c>
      <c r="I224" s="1012"/>
      <c r="J224" s="1012"/>
      <c r="K224" s="1012"/>
      <c r="L224" s="1012"/>
      <c r="M224" s="1012"/>
      <c r="N224" s="1012"/>
      <c r="O224" s="1012"/>
      <c r="P224" s="1012"/>
      <c r="Q224" s="1012"/>
      <c r="R224" s="1012"/>
      <c r="S224" s="1012"/>
      <c r="T224" s="1012"/>
      <c r="U224" s="1012"/>
      <c r="V224" s="3842"/>
      <c r="W224" s="1003">
        <v>30</v>
      </c>
      <c r="X224" s="1003">
        <v>30</v>
      </c>
      <c r="Y224" s="1003">
        <v>30</v>
      </c>
      <c r="Z224" s="1321">
        <v>30</v>
      </c>
      <c r="AA224" s="1321">
        <v>30</v>
      </c>
      <c r="AB224" s="1321">
        <v>30</v>
      </c>
      <c r="AC224" s="1003"/>
      <c r="AD224" s="1003"/>
      <c r="AE224" s="1003"/>
      <c r="AF224" s="1003"/>
      <c r="AG224" s="1003"/>
      <c r="AK224" s="982"/>
      <c r="BB224" s="1008"/>
    </row>
    <row r="225" spans="1:54" s="993" customFormat="1" hidden="1" outlineLevel="1" x14ac:dyDescent="0.25">
      <c r="A225" s="1012"/>
      <c r="B225" s="1841"/>
      <c r="C225" s="1009"/>
      <c r="D225" s="3840"/>
      <c r="E225" s="489" t="s">
        <v>1601</v>
      </c>
      <c r="F225" s="1321">
        <v>30</v>
      </c>
      <c r="G225" s="1189"/>
      <c r="H225" s="1322" t="s">
        <v>1644</v>
      </c>
      <c r="I225" s="1012"/>
      <c r="J225" s="1012"/>
      <c r="K225" s="1012"/>
      <c r="L225" s="1012"/>
      <c r="M225" s="1012"/>
      <c r="N225" s="1012"/>
      <c r="O225" s="1012"/>
      <c r="P225" s="1012"/>
      <c r="Q225" s="1012"/>
      <c r="R225" s="1012"/>
      <c r="S225" s="1012"/>
      <c r="T225" s="1012"/>
      <c r="U225" s="1012"/>
      <c r="V225" s="3842"/>
      <c r="W225" s="1003">
        <v>30</v>
      </c>
      <c r="X225" s="1003">
        <v>30</v>
      </c>
      <c r="Y225" s="1003">
        <v>30</v>
      </c>
      <c r="Z225" s="1321">
        <v>30</v>
      </c>
      <c r="AA225" s="1321">
        <v>30</v>
      </c>
      <c r="AB225" s="1321">
        <v>30</v>
      </c>
      <c r="AC225" s="1003"/>
      <c r="AD225" s="1003"/>
      <c r="AE225" s="1003"/>
      <c r="AF225" s="1003"/>
      <c r="AG225" s="1003"/>
      <c r="AK225" s="982"/>
      <c r="BB225" s="1008"/>
    </row>
    <row r="226" spans="1:54" s="993" customFormat="1" hidden="1" outlineLevel="1" x14ac:dyDescent="0.25">
      <c r="A226" s="1012"/>
      <c r="B226" s="1841"/>
      <c r="C226" s="1009"/>
      <c r="D226" s="3840"/>
      <c r="E226" s="483" t="s">
        <v>1603</v>
      </c>
      <c r="F226" s="1321">
        <v>30</v>
      </c>
      <c r="G226" s="1189"/>
      <c r="H226" s="1322" t="s">
        <v>1644</v>
      </c>
      <c r="I226" s="1012"/>
      <c r="J226" s="1012"/>
      <c r="K226" s="1012"/>
      <c r="L226" s="1012"/>
      <c r="M226" s="1012"/>
      <c r="N226" s="1012"/>
      <c r="O226" s="1012"/>
      <c r="P226" s="1012"/>
      <c r="Q226" s="1012"/>
      <c r="R226" s="1012"/>
      <c r="S226" s="1012"/>
      <c r="T226" s="1012"/>
      <c r="U226" s="1012"/>
      <c r="V226" s="3842"/>
      <c r="W226" s="1003">
        <v>30</v>
      </c>
      <c r="X226" s="1003">
        <v>30</v>
      </c>
      <c r="Y226" s="1003">
        <v>30</v>
      </c>
      <c r="Z226" s="1321">
        <v>30</v>
      </c>
      <c r="AA226" s="1321">
        <v>30</v>
      </c>
      <c r="AB226" s="1321">
        <v>30</v>
      </c>
      <c r="AC226" s="1003"/>
      <c r="AD226" s="1003"/>
      <c r="AE226" s="1003"/>
      <c r="AF226" s="1003"/>
      <c r="AG226" s="1003"/>
      <c r="AK226" s="982"/>
      <c r="BB226" s="1008"/>
    </row>
    <row r="227" spans="1:54" s="993" customFormat="1" hidden="1" outlineLevel="1" x14ac:dyDescent="0.25">
      <c r="A227" s="1012"/>
      <c r="B227" s="1841"/>
      <c r="C227" s="1009"/>
      <c r="D227" s="3840"/>
      <c r="E227" s="483" t="s">
        <v>1605</v>
      </c>
      <c r="F227" s="1321">
        <v>30</v>
      </c>
      <c r="G227" s="1189"/>
      <c r="H227" s="1322" t="s">
        <v>1644</v>
      </c>
      <c r="I227" s="1012"/>
      <c r="J227" s="1012"/>
      <c r="K227" s="1012"/>
      <c r="L227" s="1012"/>
      <c r="M227" s="1012"/>
      <c r="N227" s="1012"/>
      <c r="O227" s="1012"/>
      <c r="P227" s="1012"/>
      <c r="Q227" s="1012"/>
      <c r="R227" s="1012"/>
      <c r="S227" s="1012"/>
      <c r="T227" s="1012"/>
      <c r="U227" s="1012"/>
      <c r="V227" s="3842"/>
      <c r="W227" s="1003">
        <v>30</v>
      </c>
      <c r="X227" s="1003">
        <v>30</v>
      </c>
      <c r="Y227" s="1003">
        <v>30</v>
      </c>
      <c r="Z227" s="1321">
        <v>30</v>
      </c>
      <c r="AA227" s="1321">
        <v>30</v>
      </c>
      <c r="AB227" s="1321">
        <v>30</v>
      </c>
      <c r="AC227" s="1003"/>
      <c r="AD227" s="1003"/>
      <c r="AE227" s="1003"/>
      <c r="AF227" s="1003"/>
      <c r="AG227" s="1003"/>
      <c r="AK227" s="982"/>
      <c r="BB227" s="1008"/>
    </row>
    <row r="228" spans="1:54" s="993" customFormat="1" hidden="1" outlineLevel="1" x14ac:dyDescent="0.25">
      <c r="A228" s="1012"/>
      <c r="B228" s="1841"/>
      <c r="C228" s="1009"/>
      <c r="D228" s="3840"/>
      <c r="E228" s="1851" t="s">
        <v>1607</v>
      </c>
      <c r="F228" s="1321">
        <v>30</v>
      </c>
      <c r="G228" s="1189"/>
      <c r="H228" s="1322" t="s">
        <v>1644</v>
      </c>
      <c r="I228" s="1012"/>
      <c r="J228" s="1012"/>
      <c r="K228" s="1012"/>
      <c r="L228" s="1012"/>
      <c r="M228" s="1012"/>
      <c r="N228" s="1012"/>
      <c r="O228" s="1012"/>
      <c r="P228" s="1012"/>
      <c r="Q228" s="1012"/>
      <c r="R228" s="1012"/>
      <c r="S228" s="1012"/>
      <c r="T228" s="1012"/>
      <c r="U228" s="1012"/>
      <c r="V228" s="3842"/>
      <c r="W228" s="1003">
        <v>30</v>
      </c>
      <c r="X228" s="1003">
        <v>30</v>
      </c>
      <c r="Y228" s="1003">
        <v>30</v>
      </c>
      <c r="Z228" s="1321">
        <v>30</v>
      </c>
      <c r="AA228" s="1321">
        <v>30</v>
      </c>
      <c r="AB228" s="1321">
        <v>30</v>
      </c>
      <c r="AC228" s="1003"/>
      <c r="AD228" s="1003"/>
      <c r="AE228" s="1003"/>
      <c r="AF228" s="1003"/>
      <c r="AG228" s="1003"/>
      <c r="AK228" s="982"/>
      <c r="BB228" s="1008"/>
    </row>
    <row r="229" spans="1:54" s="993" customFormat="1" hidden="1" outlineLevel="1" x14ac:dyDescent="0.25">
      <c r="A229" s="1012"/>
      <c r="B229" s="1841"/>
      <c r="C229" s="1009"/>
      <c r="D229" s="3840"/>
      <c r="E229" s="483" t="s">
        <v>1609</v>
      </c>
      <c r="F229" s="1321">
        <v>38</v>
      </c>
      <c r="G229" s="1189"/>
      <c r="H229" s="1322" t="s">
        <v>1644</v>
      </c>
      <c r="I229" s="1012"/>
      <c r="J229" s="1012"/>
      <c r="K229" s="1012"/>
      <c r="L229" s="1012"/>
      <c r="M229" s="1012"/>
      <c r="N229" s="1012"/>
      <c r="O229" s="1012"/>
      <c r="P229" s="1012"/>
      <c r="Q229" s="1012"/>
      <c r="R229" s="1012"/>
      <c r="S229" s="1012"/>
      <c r="T229" s="1012"/>
      <c r="U229" s="1012"/>
      <c r="V229" s="3842"/>
      <c r="W229" s="1003">
        <v>38</v>
      </c>
      <c r="X229" s="1003">
        <v>38</v>
      </c>
      <c r="Y229" s="1003">
        <v>38</v>
      </c>
      <c r="Z229" s="1321">
        <v>38</v>
      </c>
      <c r="AA229" s="1321">
        <v>38</v>
      </c>
      <c r="AB229" s="1321">
        <v>38</v>
      </c>
      <c r="AC229" s="1003"/>
      <c r="AD229" s="1003"/>
      <c r="AE229" s="1003"/>
      <c r="AF229" s="1003"/>
      <c r="AG229" s="1003"/>
      <c r="AK229" s="982"/>
      <c r="BB229" s="1008"/>
    </row>
    <row r="230" spans="1:54" s="993" customFormat="1" hidden="1" outlineLevel="1" x14ac:dyDescent="0.25">
      <c r="A230" s="1012"/>
      <c r="B230" s="1823"/>
      <c r="C230" s="1009"/>
      <c r="D230" s="3840"/>
      <c r="E230" s="483" t="s">
        <v>1611</v>
      </c>
      <c r="F230" s="1321">
        <v>38</v>
      </c>
      <c r="G230" s="1189"/>
      <c r="H230" s="1322" t="s">
        <v>1644</v>
      </c>
      <c r="I230" s="1012"/>
      <c r="J230" s="1012"/>
      <c r="K230" s="1012"/>
      <c r="L230" s="1012"/>
      <c r="M230" s="1012"/>
      <c r="N230" s="1012"/>
      <c r="O230" s="1012"/>
      <c r="P230" s="1012"/>
      <c r="Q230" s="1012"/>
      <c r="R230" s="1012"/>
      <c r="S230" s="1012"/>
      <c r="T230" s="1012"/>
      <c r="U230" s="1012"/>
      <c r="V230" s="3842"/>
      <c r="W230" s="1003">
        <v>38</v>
      </c>
      <c r="X230" s="1003">
        <v>38</v>
      </c>
      <c r="Y230" s="1003">
        <v>38</v>
      </c>
      <c r="Z230" s="1321">
        <v>38</v>
      </c>
      <c r="AA230" s="1321">
        <v>38</v>
      </c>
      <c r="AB230" s="1321">
        <v>38</v>
      </c>
      <c r="AC230" s="1003"/>
      <c r="AD230" s="1003"/>
      <c r="AE230" s="1003"/>
      <c r="AF230" s="1003"/>
      <c r="AG230" s="1003"/>
      <c r="AK230" s="982"/>
      <c r="BB230" s="1008"/>
    </row>
    <row r="231" spans="1:54" s="993" customFormat="1" hidden="1" outlineLevel="1" x14ac:dyDescent="0.25">
      <c r="A231" s="1012"/>
      <c r="B231" s="1823"/>
      <c r="C231" s="1009"/>
      <c r="D231" s="3840"/>
      <c r="E231" s="489" t="s">
        <v>1613</v>
      </c>
      <c r="F231" s="1321">
        <v>38</v>
      </c>
      <c r="G231" s="1189"/>
      <c r="H231" s="1322" t="s">
        <v>1644</v>
      </c>
      <c r="I231" s="1012"/>
      <c r="J231" s="1012"/>
      <c r="K231" s="1012"/>
      <c r="L231" s="1012"/>
      <c r="M231" s="1012"/>
      <c r="N231" s="1012"/>
      <c r="O231" s="1012"/>
      <c r="P231" s="1012"/>
      <c r="Q231" s="1012"/>
      <c r="R231" s="1012"/>
      <c r="S231" s="1012"/>
      <c r="T231" s="1012"/>
      <c r="U231" s="1012"/>
      <c r="V231" s="3842"/>
      <c r="W231" s="1003">
        <v>38</v>
      </c>
      <c r="X231" s="1003">
        <v>38</v>
      </c>
      <c r="Y231" s="1003">
        <v>38</v>
      </c>
      <c r="Z231" s="1321">
        <v>38</v>
      </c>
      <c r="AA231" s="1321">
        <v>38</v>
      </c>
      <c r="AB231" s="1321">
        <v>38</v>
      </c>
      <c r="AC231" s="1003"/>
      <c r="AD231" s="1003"/>
      <c r="AE231" s="1003"/>
      <c r="AF231" s="1003"/>
      <c r="AG231" s="1003"/>
      <c r="AK231" s="982"/>
      <c r="BB231" s="1008"/>
    </row>
    <row r="232" spans="1:54" s="993" customFormat="1" hidden="1" outlineLevel="1" x14ac:dyDescent="0.25">
      <c r="A232" s="1012"/>
      <c r="B232" s="1823"/>
      <c r="C232" s="1009"/>
      <c r="D232" s="3840"/>
      <c r="E232" s="483" t="s">
        <v>1615</v>
      </c>
      <c r="F232" s="1321">
        <v>38</v>
      </c>
      <c r="G232" s="1189"/>
      <c r="H232" s="1322" t="s">
        <v>1644</v>
      </c>
      <c r="I232" s="1012"/>
      <c r="J232" s="1012"/>
      <c r="K232" s="1012"/>
      <c r="L232" s="1012"/>
      <c r="M232" s="1012"/>
      <c r="N232" s="1012"/>
      <c r="O232" s="1012"/>
      <c r="P232" s="1012"/>
      <c r="Q232" s="1012"/>
      <c r="R232" s="1012"/>
      <c r="S232" s="1012"/>
      <c r="T232" s="1012"/>
      <c r="U232" s="1012"/>
      <c r="V232" s="3842"/>
      <c r="W232" s="1003">
        <v>38</v>
      </c>
      <c r="X232" s="1003">
        <v>38</v>
      </c>
      <c r="Y232" s="1003">
        <v>38</v>
      </c>
      <c r="Z232" s="1321">
        <v>38</v>
      </c>
      <c r="AA232" s="1321">
        <v>38</v>
      </c>
      <c r="AB232" s="1321">
        <v>38</v>
      </c>
      <c r="AC232" s="1003"/>
      <c r="AD232" s="1003"/>
      <c r="AE232" s="1003"/>
      <c r="AF232" s="1003"/>
      <c r="AG232" s="1003"/>
      <c r="AK232" s="982"/>
      <c r="BB232" s="1008"/>
    </row>
    <row r="233" spans="1:54" s="993" customFormat="1" hidden="1" outlineLevel="1" x14ac:dyDescent="0.25">
      <c r="A233" s="1012"/>
      <c r="B233" s="1841"/>
      <c r="C233" s="1009"/>
      <c r="D233" s="3840"/>
      <c r="E233" s="483" t="s">
        <v>1617</v>
      </c>
      <c r="F233" s="1321">
        <v>38</v>
      </c>
      <c r="G233" s="1189"/>
      <c r="H233" s="1322" t="s">
        <v>1644</v>
      </c>
      <c r="I233" s="1012"/>
      <c r="J233" s="1012"/>
      <c r="K233" s="1012"/>
      <c r="L233" s="1012"/>
      <c r="M233" s="1012"/>
      <c r="N233" s="1012"/>
      <c r="O233" s="1012"/>
      <c r="P233" s="1012"/>
      <c r="Q233" s="1012"/>
      <c r="R233" s="1012"/>
      <c r="S233" s="1012"/>
      <c r="T233" s="1012"/>
      <c r="U233" s="1012"/>
      <c r="V233" s="3842"/>
      <c r="W233" s="1003">
        <v>38</v>
      </c>
      <c r="X233" s="1003">
        <v>38</v>
      </c>
      <c r="Y233" s="1003">
        <v>38</v>
      </c>
      <c r="Z233" s="1321">
        <v>38</v>
      </c>
      <c r="AA233" s="1321">
        <v>38</v>
      </c>
      <c r="AB233" s="1321">
        <v>38</v>
      </c>
      <c r="AC233" s="1003"/>
      <c r="AD233" s="1003"/>
      <c r="AE233" s="1003"/>
      <c r="AF233" s="1003"/>
      <c r="AG233" s="1003"/>
      <c r="AK233" s="982"/>
      <c r="BB233" s="1008"/>
    </row>
    <row r="234" spans="1:54" s="993" customFormat="1" hidden="1" outlineLevel="1" x14ac:dyDescent="0.25">
      <c r="A234" s="1012"/>
      <c r="B234" s="1841"/>
      <c r="C234" s="1009"/>
      <c r="D234" s="3840"/>
      <c r="E234" s="1851" t="s">
        <v>1619</v>
      </c>
      <c r="F234" s="1321">
        <v>38</v>
      </c>
      <c r="G234" s="1189"/>
      <c r="H234" s="1322" t="s">
        <v>1644</v>
      </c>
      <c r="I234" s="1012"/>
      <c r="J234" s="1012"/>
      <c r="K234" s="1012"/>
      <c r="L234" s="1012"/>
      <c r="M234" s="1012"/>
      <c r="N234" s="1012"/>
      <c r="O234" s="1012"/>
      <c r="P234" s="1012"/>
      <c r="Q234" s="1012"/>
      <c r="R234" s="1012"/>
      <c r="S234" s="1012"/>
      <c r="T234" s="1012"/>
      <c r="U234" s="1012"/>
      <c r="V234" s="3842"/>
      <c r="W234" s="1003">
        <v>38</v>
      </c>
      <c r="X234" s="1003">
        <v>38</v>
      </c>
      <c r="Y234" s="1003">
        <v>38</v>
      </c>
      <c r="Z234" s="1321">
        <v>38</v>
      </c>
      <c r="AA234" s="1321">
        <v>38</v>
      </c>
      <c r="AB234" s="1321">
        <v>38</v>
      </c>
      <c r="AC234" s="1003"/>
      <c r="AD234" s="1003"/>
      <c r="AE234" s="1003"/>
      <c r="AF234" s="1003"/>
      <c r="AG234" s="1003"/>
      <c r="AK234" s="982"/>
      <c r="BB234" s="1008"/>
    </row>
    <row r="235" spans="1:54" s="993" customFormat="1" hidden="1" outlineLevel="1" x14ac:dyDescent="0.25">
      <c r="A235" s="1012"/>
      <c r="B235" s="1841"/>
      <c r="C235" s="1009"/>
      <c r="D235" s="3840"/>
      <c r="E235" s="483" t="s">
        <v>1621</v>
      </c>
      <c r="F235" s="1321">
        <v>49</v>
      </c>
      <c r="G235" s="1189"/>
      <c r="H235" s="1322" t="s">
        <v>1644</v>
      </c>
      <c r="I235" s="1012"/>
      <c r="J235" s="1012"/>
      <c r="K235" s="1012"/>
      <c r="L235" s="1012"/>
      <c r="M235" s="1012"/>
      <c r="N235" s="1012"/>
      <c r="O235" s="1012"/>
      <c r="P235" s="1012"/>
      <c r="Q235" s="1012"/>
      <c r="R235" s="1012"/>
      <c r="S235" s="1012"/>
      <c r="T235" s="1012"/>
      <c r="U235" s="1012"/>
      <c r="V235" s="3842"/>
      <c r="W235" s="1003">
        <v>49</v>
      </c>
      <c r="X235" s="1003">
        <v>49</v>
      </c>
      <c r="Y235" s="1003">
        <v>49</v>
      </c>
      <c r="Z235" s="1321">
        <v>49</v>
      </c>
      <c r="AA235" s="1321">
        <v>49</v>
      </c>
      <c r="AB235" s="1321">
        <v>49</v>
      </c>
      <c r="AC235" s="1003"/>
      <c r="AD235" s="1003"/>
      <c r="AE235" s="1003"/>
      <c r="AF235" s="1003"/>
      <c r="AG235" s="1003"/>
      <c r="AK235" s="982"/>
      <c r="BB235" s="1008"/>
    </row>
    <row r="236" spans="1:54" s="993" customFormat="1" hidden="1" outlineLevel="1" x14ac:dyDescent="0.25">
      <c r="A236" s="1012"/>
      <c r="B236" s="1841"/>
      <c r="C236" s="1009"/>
      <c r="D236" s="3840"/>
      <c r="E236" s="483" t="s">
        <v>1623</v>
      </c>
      <c r="F236" s="1321">
        <v>49</v>
      </c>
      <c r="G236" s="1189"/>
      <c r="H236" s="1322" t="s">
        <v>1644</v>
      </c>
      <c r="I236" s="1012"/>
      <c r="J236" s="1012"/>
      <c r="K236" s="1012"/>
      <c r="L236" s="1012"/>
      <c r="M236" s="1012"/>
      <c r="N236" s="1012"/>
      <c r="O236" s="1012"/>
      <c r="P236" s="1012"/>
      <c r="Q236" s="1012"/>
      <c r="R236" s="1012"/>
      <c r="S236" s="1012"/>
      <c r="T236" s="1012"/>
      <c r="U236" s="1012"/>
      <c r="V236" s="3842"/>
      <c r="W236" s="1003">
        <v>49</v>
      </c>
      <c r="X236" s="1003">
        <v>49</v>
      </c>
      <c r="Y236" s="1003">
        <v>49</v>
      </c>
      <c r="Z236" s="1321">
        <v>49</v>
      </c>
      <c r="AA236" s="1321">
        <v>49</v>
      </c>
      <c r="AB236" s="1321">
        <v>49</v>
      </c>
      <c r="AC236" s="1003"/>
      <c r="AD236" s="1003"/>
      <c r="AE236" s="1003"/>
      <c r="AF236" s="1003"/>
      <c r="AG236" s="1003"/>
      <c r="AK236" s="982"/>
      <c r="BB236" s="1008"/>
    </row>
    <row r="237" spans="1:54" s="993" customFormat="1" hidden="1" outlineLevel="1" x14ac:dyDescent="0.25">
      <c r="A237" s="1012"/>
      <c r="B237" s="1841"/>
      <c r="C237" s="1009"/>
      <c r="D237" s="3840"/>
      <c r="E237" s="489" t="s">
        <v>1625</v>
      </c>
      <c r="F237" s="1321">
        <v>49</v>
      </c>
      <c r="G237" s="1189"/>
      <c r="H237" s="1322" t="s">
        <v>1644</v>
      </c>
      <c r="I237" s="1012"/>
      <c r="J237" s="1012"/>
      <c r="K237" s="1012"/>
      <c r="L237" s="1012"/>
      <c r="M237" s="1012"/>
      <c r="N237" s="1012"/>
      <c r="O237" s="1012"/>
      <c r="P237" s="1012"/>
      <c r="Q237" s="1012"/>
      <c r="R237" s="1012"/>
      <c r="S237" s="1012"/>
      <c r="T237" s="1012"/>
      <c r="U237" s="1012"/>
      <c r="V237" s="3842"/>
      <c r="W237" s="1003">
        <v>49</v>
      </c>
      <c r="X237" s="1003">
        <v>49</v>
      </c>
      <c r="Y237" s="1003">
        <v>49</v>
      </c>
      <c r="Z237" s="1321">
        <v>49</v>
      </c>
      <c r="AA237" s="1321">
        <v>49</v>
      </c>
      <c r="AB237" s="1321">
        <v>49</v>
      </c>
      <c r="AC237" s="1003"/>
      <c r="AD237" s="1003"/>
      <c r="AE237" s="1003"/>
      <c r="AF237" s="1003"/>
      <c r="AG237" s="1003"/>
      <c r="AK237" s="982"/>
      <c r="BB237" s="1008"/>
    </row>
    <row r="238" spans="1:54" s="993" customFormat="1" hidden="1" outlineLevel="1" x14ac:dyDescent="0.25">
      <c r="A238" s="1012"/>
      <c r="B238" s="1841"/>
      <c r="C238" s="1009"/>
      <c r="D238" s="3840"/>
      <c r="E238" s="483" t="s">
        <v>1627</v>
      </c>
      <c r="F238" s="1321">
        <v>49</v>
      </c>
      <c r="G238" s="1189"/>
      <c r="H238" s="1322" t="s">
        <v>1644</v>
      </c>
      <c r="I238" s="1012"/>
      <c r="J238" s="1012"/>
      <c r="K238" s="1012"/>
      <c r="L238" s="1012"/>
      <c r="M238" s="1012"/>
      <c r="N238" s="1012"/>
      <c r="O238" s="1012"/>
      <c r="P238" s="1012"/>
      <c r="Q238" s="1012"/>
      <c r="R238" s="1012"/>
      <c r="S238" s="1012"/>
      <c r="T238" s="1012"/>
      <c r="U238" s="1012"/>
      <c r="V238" s="3842"/>
      <c r="W238" s="1003">
        <v>49</v>
      </c>
      <c r="X238" s="1003">
        <v>49</v>
      </c>
      <c r="Y238" s="1003">
        <v>49</v>
      </c>
      <c r="Z238" s="1321">
        <v>49</v>
      </c>
      <c r="AA238" s="1321">
        <v>49</v>
      </c>
      <c r="AB238" s="1321">
        <v>49</v>
      </c>
      <c r="AC238" s="1003"/>
      <c r="AD238" s="1003"/>
      <c r="AE238" s="1003"/>
      <c r="AF238" s="1003"/>
      <c r="AG238" s="1003"/>
      <c r="AK238" s="982"/>
      <c r="BB238" s="1008"/>
    </row>
    <row r="239" spans="1:54" s="993" customFormat="1" hidden="1" outlineLevel="1" x14ac:dyDescent="0.25">
      <c r="A239" s="1012"/>
      <c r="B239" s="1841"/>
      <c r="C239" s="1009"/>
      <c r="D239" s="3840"/>
      <c r="E239" s="489" t="s">
        <v>1629</v>
      </c>
      <c r="F239" s="1321">
        <v>49</v>
      </c>
      <c r="G239" s="1189"/>
      <c r="H239" s="1322" t="s">
        <v>1644</v>
      </c>
      <c r="I239" s="1012"/>
      <c r="J239" s="1012"/>
      <c r="K239" s="1012"/>
      <c r="L239" s="1012"/>
      <c r="M239" s="1012"/>
      <c r="N239" s="1012"/>
      <c r="O239" s="1012"/>
      <c r="P239" s="1012"/>
      <c r="Q239" s="1012"/>
      <c r="R239" s="1012"/>
      <c r="S239" s="1012"/>
      <c r="T239" s="1012"/>
      <c r="U239" s="1012"/>
      <c r="V239" s="3842"/>
      <c r="W239" s="1003">
        <v>49</v>
      </c>
      <c r="X239" s="1003">
        <v>49</v>
      </c>
      <c r="Y239" s="1003">
        <v>49</v>
      </c>
      <c r="Z239" s="1321">
        <v>49</v>
      </c>
      <c r="AA239" s="1321">
        <v>49</v>
      </c>
      <c r="AB239" s="1321">
        <v>49</v>
      </c>
      <c r="AC239" s="1003"/>
      <c r="AD239" s="1003"/>
      <c r="AE239" s="1003"/>
      <c r="AF239" s="1003"/>
      <c r="AG239" s="1003"/>
      <c r="AK239" s="982"/>
      <c r="BB239" s="1008"/>
    </row>
    <row r="240" spans="1:54" s="993" customFormat="1" hidden="1" outlineLevel="1" x14ac:dyDescent="0.25">
      <c r="A240" s="1012"/>
      <c r="B240" s="1841"/>
      <c r="C240" s="1009"/>
      <c r="D240" s="3840"/>
      <c r="E240" s="483" t="s">
        <v>1631</v>
      </c>
      <c r="F240" s="1321">
        <v>49</v>
      </c>
      <c r="G240" s="1189"/>
      <c r="H240" s="1322" t="s">
        <v>1644</v>
      </c>
      <c r="I240" s="1012"/>
      <c r="J240" s="1012"/>
      <c r="K240" s="1012"/>
      <c r="L240" s="1012"/>
      <c r="M240" s="1012"/>
      <c r="N240" s="1012"/>
      <c r="O240" s="1012"/>
      <c r="P240" s="1012"/>
      <c r="Q240" s="1012"/>
      <c r="R240" s="1012"/>
      <c r="S240" s="1012"/>
      <c r="T240" s="1012"/>
      <c r="U240" s="1012"/>
      <c r="V240" s="3842"/>
      <c r="W240" s="1003">
        <v>49</v>
      </c>
      <c r="X240" s="1003">
        <v>49</v>
      </c>
      <c r="Y240" s="1003">
        <v>49</v>
      </c>
      <c r="Z240" s="1321">
        <v>49</v>
      </c>
      <c r="AA240" s="1321">
        <v>49</v>
      </c>
      <c r="AB240" s="1321">
        <v>49</v>
      </c>
      <c r="AC240" s="1003"/>
      <c r="AD240" s="1003"/>
      <c r="AE240" s="1003"/>
      <c r="AF240" s="1003"/>
      <c r="AG240" s="1003"/>
      <c r="AK240" s="982"/>
      <c r="BB240" s="1008"/>
    </row>
    <row r="241" spans="1:54" s="993" customFormat="1" hidden="1" outlineLevel="1" x14ac:dyDescent="0.25">
      <c r="A241" s="1012"/>
      <c r="B241" s="1841"/>
      <c r="C241" s="1009"/>
      <c r="D241" s="3840"/>
      <c r="E241" s="483" t="s">
        <v>1633</v>
      </c>
      <c r="F241" s="1321">
        <v>60</v>
      </c>
      <c r="G241" s="1189"/>
      <c r="H241" s="1322" t="s">
        <v>1644</v>
      </c>
      <c r="I241" s="1012"/>
      <c r="J241" s="1012"/>
      <c r="K241" s="1012"/>
      <c r="L241" s="1012"/>
      <c r="M241" s="1012"/>
      <c r="N241" s="1012"/>
      <c r="O241" s="1012"/>
      <c r="P241" s="1012"/>
      <c r="Q241" s="1012"/>
      <c r="R241" s="1012"/>
      <c r="S241" s="1012"/>
      <c r="T241" s="1012"/>
      <c r="U241" s="1012"/>
      <c r="V241" s="3842"/>
      <c r="W241" s="1003">
        <v>60</v>
      </c>
      <c r="X241" s="1003">
        <v>60</v>
      </c>
      <c r="Y241" s="1003">
        <v>60</v>
      </c>
      <c r="Z241" s="1321">
        <v>60</v>
      </c>
      <c r="AA241" s="1321">
        <v>60</v>
      </c>
      <c r="AB241" s="1321">
        <v>60</v>
      </c>
      <c r="AC241" s="1003"/>
      <c r="AD241" s="1003"/>
      <c r="AE241" s="1003"/>
      <c r="AF241" s="1003"/>
      <c r="AG241" s="1003"/>
      <c r="AK241" s="982"/>
      <c r="BB241" s="1008"/>
    </row>
    <row r="242" spans="1:54" s="993" customFormat="1" hidden="1" outlineLevel="1" x14ac:dyDescent="0.25">
      <c r="A242" s="1012"/>
      <c r="B242" s="1841"/>
      <c r="C242" s="1009"/>
      <c r="D242" s="3840"/>
      <c r="E242" s="483" t="s">
        <v>1635</v>
      </c>
      <c r="F242" s="1321">
        <v>60</v>
      </c>
      <c r="G242" s="1189"/>
      <c r="H242" s="1322" t="s">
        <v>1644</v>
      </c>
      <c r="I242" s="1012"/>
      <c r="J242" s="1012"/>
      <c r="K242" s="1012"/>
      <c r="L242" s="1012"/>
      <c r="M242" s="1012"/>
      <c r="N242" s="1012"/>
      <c r="O242" s="1012"/>
      <c r="P242" s="1012"/>
      <c r="Q242" s="1012"/>
      <c r="R242" s="1012"/>
      <c r="S242" s="1012"/>
      <c r="T242" s="1012"/>
      <c r="U242" s="1012"/>
      <c r="V242" s="3842"/>
      <c r="W242" s="1003">
        <v>60</v>
      </c>
      <c r="X242" s="1003">
        <v>60</v>
      </c>
      <c r="Y242" s="1003">
        <v>60</v>
      </c>
      <c r="Z242" s="1321">
        <v>60</v>
      </c>
      <c r="AA242" s="1321">
        <v>60</v>
      </c>
      <c r="AB242" s="1321">
        <v>60</v>
      </c>
      <c r="AC242" s="1003"/>
      <c r="AD242" s="1003"/>
      <c r="AE242" s="1003"/>
      <c r="AF242" s="1003"/>
      <c r="AG242" s="1003"/>
      <c r="AK242" s="982"/>
      <c r="BB242" s="1008"/>
    </row>
    <row r="243" spans="1:54" s="993" customFormat="1" hidden="1" outlineLevel="1" x14ac:dyDescent="0.25">
      <c r="A243" s="1012"/>
      <c r="B243" s="1841"/>
      <c r="C243" s="1009"/>
      <c r="D243" s="3840"/>
      <c r="E243" s="489" t="s">
        <v>1637</v>
      </c>
      <c r="F243" s="1321">
        <v>60</v>
      </c>
      <c r="G243" s="1189"/>
      <c r="H243" s="1322" t="s">
        <v>1644</v>
      </c>
      <c r="I243" s="1012"/>
      <c r="J243" s="1012"/>
      <c r="K243" s="1012"/>
      <c r="L243" s="1012"/>
      <c r="M243" s="1012"/>
      <c r="N243" s="1012"/>
      <c r="O243" s="1012"/>
      <c r="P243" s="1012"/>
      <c r="Q243" s="1012"/>
      <c r="R243" s="1012"/>
      <c r="S243" s="1012"/>
      <c r="T243" s="1012"/>
      <c r="U243" s="1012"/>
      <c r="V243" s="3842"/>
      <c r="W243" s="1003">
        <v>60</v>
      </c>
      <c r="X243" s="1003">
        <v>60</v>
      </c>
      <c r="Y243" s="1003">
        <v>60</v>
      </c>
      <c r="Z243" s="1321">
        <v>60</v>
      </c>
      <c r="AA243" s="1321">
        <v>60</v>
      </c>
      <c r="AB243" s="1321">
        <v>60</v>
      </c>
      <c r="AC243" s="1003"/>
      <c r="AD243" s="1003"/>
      <c r="AE243" s="1003"/>
      <c r="AF243" s="1003"/>
      <c r="AG243" s="1003"/>
      <c r="AK243" s="982"/>
      <c r="BB243" s="1008"/>
    </row>
    <row r="244" spans="1:54" s="993" customFormat="1" hidden="1" outlineLevel="1" x14ac:dyDescent="0.25">
      <c r="A244" s="1012"/>
      <c r="B244" s="1841"/>
      <c r="C244" s="1009"/>
      <c r="D244" s="3840"/>
      <c r="E244" s="483" t="s">
        <v>1639</v>
      </c>
      <c r="F244" s="1321">
        <v>60</v>
      </c>
      <c r="G244" s="1189"/>
      <c r="H244" s="1322" t="s">
        <v>1644</v>
      </c>
      <c r="I244" s="1012"/>
      <c r="J244" s="1012"/>
      <c r="K244" s="1012"/>
      <c r="L244" s="1012"/>
      <c r="M244" s="1012"/>
      <c r="N244" s="1012"/>
      <c r="O244" s="1012"/>
      <c r="P244" s="1012"/>
      <c r="Q244" s="1012"/>
      <c r="R244" s="1012"/>
      <c r="S244" s="1012"/>
      <c r="T244" s="1012"/>
      <c r="U244" s="1012"/>
      <c r="V244" s="3842"/>
      <c r="W244" s="1003">
        <v>60</v>
      </c>
      <c r="X244" s="1003">
        <v>60</v>
      </c>
      <c r="Y244" s="1003">
        <v>60</v>
      </c>
      <c r="Z244" s="1321">
        <v>60</v>
      </c>
      <c r="AA244" s="1321">
        <v>60</v>
      </c>
      <c r="AB244" s="1321">
        <v>60</v>
      </c>
      <c r="AC244" s="1003"/>
      <c r="AD244" s="1003"/>
      <c r="AE244" s="1003"/>
      <c r="AF244" s="1003"/>
      <c r="AG244" s="1003"/>
      <c r="AK244" s="982"/>
      <c r="BB244" s="1008"/>
    </row>
    <row r="245" spans="1:54" s="993" customFormat="1" hidden="1" outlineLevel="1" x14ac:dyDescent="0.25">
      <c r="A245" s="1012"/>
      <c r="B245" s="1841"/>
      <c r="C245" s="1009"/>
      <c r="D245" s="3840"/>
      <c r="E245" s="489" t="s">
        <v>1641</v>
      </c>
      <c r="F245" s="1321">
        <v>60</v>
      </c>
      <c r="G245" s="1189"/>
      <c r="H245" s="1322" t="s">
        <v>1644</v>
      </c>
      <c r="I245" s="1012"/>
      <c r="J245" s="1012"/>
      <c r="K245" s="1012"/>
      <c r="L245" s="1012"/>
      <c r="M245" s="1012"/>
      <c r="N245" s="1012"/>
      <c r="O245" s="1012"/>
      <c r="P245" s="1012"/>
      <c r="Q245" s="1012"/>
      <c r="R245" s="1012"/>
      <c r="S245" s="1012"/>
      <c r="T245" s="1012"/>
      <c r="U245" s="1012"/>
      <c r="V245" s="3842"/>
      <c r="W245" s="1003">
        <v>60</v>
      </c>
      <c r="X245" s="1003">
        <v>60</v>
      </c>
      <c r="Y245" s="1003">
        <v>60</v>
      </c>
      <c r="Z245" s="1321">
        <v>60</v>
      </c>
      <c r="AA245" s="1321">
        <v>60</v>
      </c>
      <c r="AB245" s="1321">
        <v>60</v>
      </c>
      <c r="AC245" s="1003"/>
      <c r="AD245" s="1003"/>
      <c r="AE245" s="1003"/>
      <c r="AF245" s="1003"/>
      <c r="AG245" s="1003"/>
      <c r="AK245" s="982"/>
      <c r="BB245" s="1008"/>
    </row>
    <row r="246" spans="1:54" s="993" customFormat="1" hidden="1" outlineLevel="1" x14ac:dyDescent="0.25">
      <c r="A246" s="1012"/>
      <c r="B246" s="1841"/>
      <c r="C246" s="1009"/>
      <c r="D246" s="3840"/>
      <c r="E246" s="483" t="s">
        <v>1643</v>
      </c>
      <c r="F246" s="1321">
        <v>60</v>
      </c>
      <c r="G246" s="1189"/>
      <c r="H246" s="1322" t="s">
        <v>1644</v>
      </c>
      <c r="I246" s="1012"/>
      <c r="J246" s="1012"/>
      <c r="K246" s="1012"/>
      <c r="L246" s="1012"/>
      <c r="M246" s="1012"/>
      <c r="N246" s="1012"/>
      <c r="O246" s="1012"/>
      <c r="P246" s="1012"/>
      <c r="Q246" s="1012"/>
      <c r="R246" s="1012"/>
      <c r="S246" s="1012"/>
      <c r="T246" s="1012"/>
      <c r="U246" s="1012"/>
      <c r="V246" s="3847"/>
      <c r="W246" s="1003">
        <v>60</v>
      </c>
      <c r="X246" s="1003">
        <v>60</v>
      </c>
      <c r="Y246" s="1003">
        <v>60</v>
      </c>
      <c r="Z246" s="1321">
        <v>60</v>
      </c>
      <c r="AA246" s="1321">
        <v>60</v>
      </c>
      <c r="AB246" s="1321">
        <v>60</v>
      </c>
      <c r="AC246" s="1003"/>
      <c r="AD246" s="1003"/>
      <c r="AE246" s="1003"/>
      <c r="AF246" s="1003"/>
      <c r="AG246" s="1003"/>
      <c r="AK246" s="982"/>
      <c r="BB246" s="1008"/>
    </row>
    <row r="247" spans="1:54" s="993" customFormat="1" ht="17.25" hidden="1" customHeight="1" outlineLevel="1" x14ac:dyDescent="0.25">
      <c r="A247" s="1012"/>
      <c r="B247" s="1823"/>
      <c r="C247" s="1009"/>
      <c r="D247" s="3839" t="s">
        <v>2188</v>
      </c>
      <c r="E247" s="483" t="s">
        <v>1585</v>
      </c>
      <c r="F247" s="1043">
        <v>1</v>
      </c>
      <c r="G247" s="1189" t="s">
        <v>1645</v>
      </c>
      <c r="H247" s="1322" t="s">
        <v>1646</v>
      </c>
      <c r="I247" s="1012"/>
      <c r="J247" s="1012"/>
      <c r="K247" s="1012"/>
      <c r="L247" s="1012"/>
      <c r="M247" s="1012"/>
      <c r="N247" s="1012"/>
      <c r="O247" s="1012"/>
      <c r="P247" s="1012"/>
      <c r="Q247" s="1012"/>
      <c r="R247" s="1012"/>
      <c r="S247" s="1012"/>
      <c r="T247" s="1012"/>
      <c r="U247" s="1012"/>
      <c r="V247" s="3841" t="str">
        <f>D247</f>
        <v>AAttic</v>
      </c>
      <c r="W247" s="1003">
        <f>0.65*1347</f>
        <v>875.55000000000007</v>
      </c>
      <c r="X247" s="1003">
        <v>875.55000000000007</v>
      </c>
      <c r="Y247" s="701">
        <v>1</v>
      </c>
      <c r="Z247" s="703">
        <v>1</v>
      </c>
      <c r="AA247" s="703">
        <v>1</v>
      </c>
      <c r="AB247" s="703">
        <v>1</v>
      </c>
      <c r="AC247" s="1003"/>
      <c r="AD247" s="1003"/>
      <c r="AE247" s="1003"/>
      <c r="AF247" s="1003"/>
      <c r="AG247" s="1003"/>
      <c r="AK247" s="982"/>
      <c r="BB247" s="1008"/>
    </row>
    <row r="248" spans="1:54" s="993" customFormat="1" hidden="1" outlineLevel="1" x14ac:dyDescent="0.25">
      <c r="A248" s="1012"/>
      <c r="B248" s="1020"/>
      <c r="C248" s="1009"/>
      <c r="D248" s="3840"/>
      <c r="E248" s="483" t="s">
        <v>1587</v>
      </c>
      <c r="F248" s="1043">
        <v>1</v>
      </c>
      <c r="G248" s="1189" t="s">
        <v>1645</v>
      </c>
      <c r="H248" s="1322" t="s">
        <v>1646</v>
      </c>
      <c r="I248" s="1012"/>
      <c r="J248" s="1012"/>
      <c r="K248" s="1012"/>
      <c r="L248" s="1012"/>
      <c r="M248" s="1012"/>
      <c r="N248" s="1012"/>
      <c r="O248" s="1012"/>
      <c r="P248" s="1012"/>
      <c r="Q248" s="1012"/>
      <c r="R248" s="1012"/>
      <c r="S248" s="1012"/>
      <c r="T248" s="1012"/>
      <c r="U248" s="1012"/>
      <c r="V248" s="3842"/>
      <c r="W248" s="1003">
        <f>0.65*1347</f>
        <v>875.55000000000007</v>
      </c>
      <c r="X248" s="1003">
        <v>875.55000000000007</v>
      </c>
      <c r="Y248" s="701">
        <v>1</v>
      </c>
      <c r="Z248" s="703">
        <v>1</v>
      </c>
      <c r="AA248" s="703">
        <v>1</v>
      </c>
      <c r="AB248" s="703">
        <v>1</v>
      </c>
      <c r="AC248" s="1003"/>
      <c r="AD248" s="1003"/>
      <c r="AE248" s="1003"/>
      <c r="AF248" s="1003"/>
      <c r="AG248" s="1003"/>
      <c r="AK248" s="982"/>
      <c r="BB248" s="1008"/>
    </row>
    <row r="249" spans="1:54" s="993" customFormat="1" hidden="1" outlineLevel="1" x14ac:dyDescent="0.25">
      <c r="A249" s="1012"/>
      <c r="B249" s="1020"/>
      <c r="C249" s="1009"/>
      <c r="D249" s="3840"/>
      <c r="E249" s="483" t="s">
        <v>1589</v>
      </c>
      <c r="F249" s="1043">
        <v>1</v>
      </c>
      <c r="G249" s="1189" t="s">
        <v>1645</v>
      </c>
      <c r="H249" s="1322" t="s">
        <v>1646</v>
      </c>
      <c r="I249" s="1012"/>
      <c r="J249" s="1012"/>
      <c r="K249" s="1012"/>
      <c r="L249" s="1012"/>
      <c r="M249" s="1012"/>
      <c r="N249" s="1012"/>
      <c r="O249" s="1012"/>
      <c r="P249" s="1012"/>
      <c r="Q249" s="1012"/>
      <c r="R249" s="1012"/>
      <c r="S249" s="1012"/>
      <c r="T249" s="1012"/>
      <c r="U249" s="1012"/>
      <c r="V249" s="3842"/>
      <c r="W249" s="1003">
        <f>0.65*1347</f>
        <v>875.55000000000007</v>
      </c>
      <c r="X249" s="1003">
        <v>875.55000000000007</v>
      </c>
      <c r="Y249" s="701">
        <v>1</v>
      </c>
      <c r="Z249" s="703">
        <v>1</v>
      </c>
      <c r="AA249" s="703">
        <v>1</v>
      </c>
      <c r="AB249" s="703">
        <v>1</v>
      </c>
      <c r="AC249" s="1003"/>
      <c r="AD249" s="1003"/>
      <c r="AE249" s="1003"/>
      <c r="AF249" s="1003"/>
      <c r="AG249" s="1003"/>
      <c r="AK249" s="982"/>
      <c r="BB249" s="1008"/>
    </row>
    <row r="250" spans="1:54" s="993" customFormat="1" hidden="1" outlineLevel="1" x14ac:dyDescent="0.25">
      <c r="A250" s="1012"/>
      <c r="B250" s="1020"/>
      <c r="C250" s="1009"/>
      <c r="D250" s="3840"/>
      <c r="E250" s="483" t="s">
        <v>1591</v>
      </c>
      <c r="F250" s="1043">
        <v>1</v>
      </c>
      <c r="G250" s="1189" t="s">
        <v>1645</v>
      </c>
      <c r="H250" s="1322" t="s">
        <v>1647</v>
      </c>
      <c r="I250" s="1012"/>
      <c r="J250" s="1012"/>
      <c r="K250" s="1012"/>
      <c r="L250" s="1012"/>
      <c r="M250" s="1012"/>
      <c r="N250" s="1012"/>
      <c r="O250" s="1012"/>
      <c r="P250" s="1012"/>
      <c r="Q250" s="1012"/>
      <c r="R250" s="1012"/>
      <c r="S250" s="1012"/>
      <c r="T250" s="1012"/>
      <c r="U250" s="1012"/>
      <c r="V250" s="3842"/>
      <c r="W250" s="1003">
        <v>1347</v>
      </c>
      <c r="X250" s="1003">
        <v>1347</v>
      </c>
      <c r="Y250" s="701">
        <v>1</v>
      </c>
      <c r="Z250" s="703">
        <v>1</v>
      </c>
      <c r="AA250" s="703">
        <v>1</v>
      </c>
      <c r="AB250" s="703">
        <v>1</v>
      </c>
      <c r="AC250" s="1003"/>
      <c r="AD250" s="1003"/>
      <c r="AE250" s="1003"/>
      <c r="AF250" s="1003"/>
      <c r="AG250" s="1003"/>
      <c r="AK250" s="982"/>
      <c r="BB250" s="1008"/>
    </row>
    <row r="251" spans="1:54" s="993" customFormat="1" hidden="1" outlineLevel="1" x14ac:dyDescent="0.25">
      <c r="A251" s="1012"/>
      <c r="B251" s="1020"/>
      <c r="C251" s="1009"/>
      <c r="D251" s="3840"/>
      <c r="E251" s="483" t="s">
        <v>1593</v>
      </c>
      <c r="F251" s="1043">
        <v>1</v>
      </c>
      <c r="G251" s="1189" t="s">
        <v>1645</v>
      </c>
      <c r="H251" s="1322" t="s">
        <v>1647</v>
      </c>
      <c r="I251" s="1012"/>
      <c r="J251" s="1012"/>
      <c r="K251" s="1012"/>
      <c r="L251" s="1012"/>
      <c r="M251" s="1012"/>
      <c r="N251" s="1012"/>
      <c r="O251" s="1012"/>
      <c r="P251" s="1012"/>
      <c r="Q251" s="1012"/>
      <c r="R251" s="1012"/>
      <c r="S251" s="1012"/>
      <c r="T251" s="1012"/>
      <c r="U251" s="1012"/>
      <c r="V251" s="3842"/>
      <c r="W251" s="1003">
        <v>1347</v>
      </c>
      <c r="X251" s="1003">
        <v>1347</v>
      </c>
      <c r="Y251" s="701">
        <v>1</v>
      </c>
      <c r="Z251" s="703">
        <v>1</v>
      </c>
      <c r="AA251" s="703">
        <v>1</v>
      </c>
      <c r="AB251" s="703">
        <v>1</v>
      </c>
      <c r="AC251" s="1003"/>
      <c r="AD251" s="1003"/>
      <c r="AE251" s="1003"/>
      <c r="AF251" s="1003"/>
      <c r="AG251" s="1003"/>
      <c r="AK251" s="982"/>
      <c r="BB251" s="1008"/>
    </row>
    <row r="252" spans="1:54" s="993" customFormat="1" hidden="1" outlineLevel="1" x14ac:dyDescent="0.25">
      <c r="A252" s="1012"/>
      <c r="B252" s="1020"/>
      <c r="C252" s="1009"/>
      <c r="D252" s="3840"/>
      <c r="E252" s="483" t="s">
        <v>1595</v>
      </c>
      <c r="F252" s="1043">
        <v>1</v>
      </c>
      <c r="G252" s="1189" t="s">
        <v>1645</v>
      </c>
      <c r="H252" s="1322" t="s">
        <v>1647</v>
      </c>
      <c r="I252" s="1012"/>
      <c r="J252" s="1012"/>
      <c r="K252" s="1012"/>
      <c r="L252" s="1012"/>
      <c r="M252" s="1012"/>
      <c r="N252" s="1012"/>
      <c r="O252" s="1012"/>
      <c r="P252" s="1012"/>
      <c r="Q252" s="1012"/>
      <c r="R252" s="1012"/>
      <c r="S252" s="1012"/>
      <c r="T252" s="1012"/>
      <c r="U252" s="1012"/>
      <c r="V252" s="3842"/>
      <c r="W252" s="1003">
        <v>1347</v>
      </c>
      <c r="X252" s="1003">
        <v>1347</v>
      </c>
      <c r="Y252" s="701">
        <v>1</v>
      </c>
      <c r="Z252" s="703">
        <v>1</v>
      </c>
      <c r="AA252" s="703">
        <v>1</v>
      </c>
      <c r="AB252" s="703">
        <v>1</v>
      </c>
      <c r="AC252" s="1003"/>
      <c r="AD252" s="1003"/>
      <c r="AE252" s="1003"/>
      <c r="AF252" s="1003"/>
      <c r="AG252" s="1003"/>
      <c r="AK252" s="982"/>
      <c r="BB252" s="1008"/>
    </row>
    <row r="253" spans="1:54" s="993" customFormat="1" hidden="1" outlineLevel="1" x14ac:dyDescent="0.25">
      <c r="A253" s="1012"/>
      <c r="B253" s="1020"/>
      <c r="C253" s="1009"/>
      <c r="D253" s="3840"/>
      <c r="E253" s="483" t="s">
        <v>1597</v>
      </c>
      <c r="F253" s="1043">
        <v>1</v>
      </c>
      <c r="G253" s="1189" t="s">
        <v>1645</v>
      </c>
      <c r="H253" s="1322" t="s">
        <v>1648</v>
      </c>
      <c r="I253" s="1012"/>
      <c r="J253" s="1012"/>
      <c r="K253" s="1012"/>
      <c r="L253" s="1012"/>
      <c r="M253" s="1012"/>
      <c r="N253" s="1012"/>
      <c r="O253" s="1012"/>
      <c r="P253" s="1012"/>
      <c r="Q253" s="1012"/>
      <c r="R253" s="1012"/>
      <c r="S253" s="1012"/>
      <c r="T253" s="1012"/>
      <c r="U253" s="1012"/>
      <c r="V253" s="3842"/>
      <c r="W253" s="1003">
        <f>0.65*1106</f>
        <v>718.9</v>
      </c>
      <c r="X253" s="1003">
        <v>718.9</v>
      </c>
      <c r="Y253" s="701">
        <v>1</v>
      </c>
      <c r="Z253" s="703">
        <v>1</v>
      </c>
      <c r="AA253" s="703">
        <v>1</v>
      </c>
      <c r="AB253" s="703">
        <v>1</v>
      </c>
      <c r="AC253" s="1003"/>
      <c r="AD253" s="1003"/>
      <c r="AE253" s="1003"/>
      <c r="AF253" s="1003"/>
      <c r="AG253" s="1003"/>
      <c r="AK253" s="982"/>
      <c r="BB253" s="1008"/>
    </row>
    <row r="254" spans="1:54" s="993" customFormat="1" hidden="1" outlineLevel="1" x14ac:dyDescent="0.25">
      <c r="A254" s="1012"/>
      <c r="B254" s="1020"/>
      <c r="C254" s="1009"/>
      <c r="D254" s="3840"/>
      <c r="E254" s="483" t="s">
        <v>1599</v>
      </c>
      <c r="F254" s="1043">
        <v>1</v>
      </c>
      <c r="G254" s="1189" t="s">
        <v>1645</v>
      </c>
      <c r="H254" s="1322" t="s">
        <v>1648</v>
      </c>
      <c r="I254" s="1012"/>
      <c r="J254" s="1012"/>
      <c r="K254" s="1012"/>
      <c r="L254" s="1012"/>
      <c r="M254" s="1012"/>
      <c r="N254" s="1012"/>
      <c r="O254" s="1012"/>
      <c r="P254" s="1012"/>
      <c r="Q254" s="1012"/>
      <c r="R254" s="1012"/>
      <c r="S254" s="1012"/>
      <c r="T254" s="1012"/>
      <c r="U254" s="1012"/>
      <c r="V254" s="3842"/>
      <c r="W254" s="1003">
        <f>0.65*1106</f>
        <v>718.9</v>
      </c>
      <c r="X254" s="1003">
        <v>718.9</v>
      </c>
      <c r="Y254" s="701">
        <v>1</v>
      </c>
      <c r="Z254" s="703">
        <v>1</v>
      </c>
      <c r="AA254" s="703">
        <v>1</v>
      </c>
      <c r="AB254" s="703">
        <v>1</v>
      </c>
      <c r="AC254" s="1003"/>
      <c r="AD254" s="1003"/>
      <c r="AE254" s="1003"/>
      <c r="AF254" s="1003"/>
      <c r="AG254" s="1003"/>
      <c r="AK254" s="982"/>
      <c r="BB254" s="1008"/>
    </row>
    <row r="255" spans="1:54" s="993" customFormat="1" hidden="1" outlineLevel="1" x14ac:dyDescent="0.25">
      <c r="A255" s="1012"/>
      <c r="B255" s="1020"/>
      <c r="C255" s="1009"/>
      <c r="D255" s="3840"/>
      <c r="E255" s="489" t="s">
        <v>1601</v>
      </c>
      <c r="F255" s="1043">
        <v>1</v>
      </c>
      <c r="G255" s="1189" t="s">
        <v>1645</v>
      </c>
      <c r="H255" s="1322" t="s">
        <v>1648</v>
      </c>
      <c r="I255" s="1012"/>
      <c r="J255" s="1012"/>
      <c r="K255" s="1012"/>
      <c r="L255" s="1012"/>
      <c r="M255" s="1012"/>
      <c r="N255" s="1012"/>
      <c r="O255" s="1012"/>
      <c r="P255" s="1012"/>
      <c r="Q255" s="1012"/>
      <c r="R255" s="1012"/>
      <c r="S255" s="1012"/>
      <c r="T255" s="1012"/>
      <c r="U255" s="1012"/>
      <c r="V255" s="3842"/>
      <c r="W255" s="1003">
        <f>0.65*1106</f>
        <v>718.9</v>
      </c>
      <c r="X255" s="1003">
        <v>718.9</v>
      </c>
      <c r="Y255" s="701">
        <v>1</v>
      </c>
      <c r="Z255" s="703">
        <v>1</v>
      </c>
      <c r="AA255" s="703">
        <v>1</v>
      </c>
      <c r="AB255" s="703">
        <v>1</v>
      </c>
      <c r="AC255" s="1003"/>
      <c r="AD255" s="1003"/>
      <c r="AE255" s="1003"/>
      <c r="AF255" s="1003"/>
      <c r="AG255" s="1003"/>
      <c r="AK255" s="982"/>
      <c r="BB255" s="1008"/>
    </row>
    <row r="256" spans="1:54" s="993" customFormat="1" hidden="1" outlineLevel="1" x14ac:dyDescent="0.25">
      <c r="A256" s="1012"/>
      <c r="B256" s="1020"/>
      <c r="C256" s="1009"/>
      <c r="D256" s="3840"/>
      <c r="E256" s="483" t="s">
        <v>1603</v>
      </c>
      <c r="F256" s="1043">
        <v>1</v>
      </c>
      <c r="G256" s="1189" t="s">
        <v>1645</v>
      </c>
      <c r="H256" s="1322" t="s">
        <v>1649</v>
      </c>
      <c r="I256" s="1012"/>
      <c r="J256" s="1012"/>
      <c r="K256" s="1012"/>
      <c r="L256" s="1012"/>
      <c r="M256" s="1012"/>
      <c r="N256" s="1012"/>
      <c r="O256" s="1012"/>
      <c r="P256" s="1012"/>
      <c r="Q256" s="1012"/>
      <c r="R256" s="1012"/>
      <c r="S256" s="1012"/>
      <c r="T256" s="1012"/>
      <c r="U256" s="1012"/>
      <c r="V256" s="3842"/>
      <c r="W256" s="1003">
        <v>1106</v>
      </c>
      <c r="X256" s="1003">
        <v>1106</v>
      </c>
      <c r="Y256" s="701">
        <v>1</v>
      </c>
      <c r="Z256" s="703">
        <v>1</v>
      </c>
      <c r="AA256" s="703">
        <v>1</v>
      </c>
      <c r="AB256" s="703">
        <v>1</v>
      </c>
      <c r="AC256" s="1003"/>
      <c r="AD256" s="1003"/>
      <c r="AE256" s="1003"/>
      <c r="AF256" s="1003"/>
      <c r="AG256" s="1003"/>
      <c r="AK256" s="982"/>
      <c r="BB256" s="1008"/>
    </row>
    <row r="257" spans="1:54" s="993" customFormat="1" hidden="1" outlineLevel="1" x14ac:dyDescent="0.25">
      <c r="A257" s="1012"/>
      <c r="B257" s="1020"/>
      <c r="C257" s="1009"/>
      <c r="D257" s="3840"/>
      <c r="E257" s="483" t="s">
        <v>1605</v>
      </c>
      <c r="F257" s="1043">
        <v>1</v>
      </c>
      <c r="G257" s="1189" t="s">
        <v>1645</v>
      </c>
      <c r="H257" s="1322" t="s">
        <v>1649</v>
      </c>
      <c r="I257" s="1012"/>
      <c r="J257" s="1012"/>
      <c r="K257" s="1012"/>
      <c r="L257" s="1012"/>
      <c r="M257" s="1012"/>
      <c r="N257" s="1012"/>
      <c r="O257" s="1012"/>
      <c r="P257" s="1012"/>
      <c r="Q257" s="1012"/>
      <c r="R257" s="1012"/>
      <c r="S257" s="1012"/>
      <c r="T257" s="1012"/>
      <c r="U257" s="1012"/>
      <c r="V257" s="3842"/>
      <c r="W257" s="1003">
        <v>1106</v>
      </c>
      <c r="X257" s="1003">
        <v>1106</v>
      </c>
      <c r="Y257" s="701">
        <v>1</v>
      </c>
      <c r="Z257" s="703">
        <v>1</v>
      </c>
      <c r="AA257" s="703">
        <v>1</v>
      </c>
      <c r="AB257" s="703">
        <v>1</v>
      </c>
      <c r="AC257" s="1003"/>
      <c r="AD257" s="1003"/>
      <c r="AE257" s="1003"/>
      <c r="AF257" s="1003"/>
      <c r="AG257" s="1003"/>
      <c r="AK257" s="982"/>
      <c r="BB257" s="1008"/>
    </row>
    <row r="258" spans="1:54" s="993" customFormat="1" hidden="1" outlineLevel="1" x14ac:dyDescent="0.25">
      <c r="A258" s="1012"/>
      <c r="B258" s="1020"/>
      <c r="C258" s="1009"/>
      <c r="D258" s="3840"/>
      <c r="E258" s="1851" t="s">
        <v>1607</v>
      </c>
      <c r="F258" s="1043">
        <v>1</v>
      </c>
      <c r="G258" s="1189" t="s">
        <v>1645</v>
      </c>
      <c r="H258" s="1322" t="s">
        <v>1649</v>
      </c>
      <c r="I258" s="1012"/>
      <c r="J258" s="1012"/>
      <c r="K258" s="1012"/>
      <c r="L258" s="1012"/>
      <c r="M258" s="1012"/>
      <c r="N258" s="1012"/>
      <c r="O258" s="1012"/>
      <c r="P258" s="1012"/>
      <c r="Q258" s="1012"/>
      <c r="R258" s="1012"/>
      <c r="S258" s="1012"/>
      <c r="T258" s="1012"/>
      <c r="U258" s="1012"/>
      <c r="V258" s="3842"/>
      <c r="W258" s="1003">
        <v>1106</v>
      </c>
      <c r="X258" s="1003">
        <v>1106</v>
      </c>
      <c r="Y258" s="701">
        <v>1</v>
      </c>
      <c r="Z258" s="703">
        <v>1</v>
      </c>
      <c r="AA258" s="703">
        <v>1</v>
      </c>
      <c r="AB258" s="703">
        <v>1</v>
      </c>
      <c r="AC258" s="1003"/>
      <c r="AD258" s="1003"/>
      <c r="AE258" s="1003"/>
      <c r="AF258" s="1003"/>
      <c r="AG258" s="1003"/>
      <c r="AK258" s="982"/>
      <c r="BB258" s="1008"/>
    </row>
    <row r="259" spans="1:54" s="993" customFormat="1" hidden="1" outlineLevel="1" x14ac:dyDescent="0.25">
      <c r="A259" s="1012"/>
      <c r="B259" s="1020"/>
      <c r="C259" s="1009"/>
      <c r="D259" s="3840"/>
      <c r="E259" s="483" t="s">
        <v>1609</v>
      </c>
      <c r="F259" s="1043">
        <v>1</v>
      </c>
      <c r="G259" s="1189" t="s">
        <v>1650</v>
      </c>
      <c r="H259" s="1322" t="s">
        <v>1648</v>
      </c>
      <c r="I259" s="1012"/>
      <c r="J259" s="1012"/>
      <c r="K259" s="1012"/>
      <c r="L259" s="1012"/>
      <c r="M259" s="1012"/>
      <c r="N259" s="1012"/>
      <c r="O259" s="1012"/>
      <c r="P259" s="1012"/>
      <c r="Q259" s="1012"/>
      <c r="R259" s="1012"/>
      <c r="S259" s="1012"/>
      <c r="T259" s="1012"/>
      <c r="U259" s="1012"/>
      <c r="V259" s="3842"/>
      <c r="W259" s="1003">
        <f>0.65*1106</f>
        <v>718.9</v>
      </c>
      <c r="X259" s="1003">
        <v>718.9</v>
      </c>
      <c r="Y259" s="701">
        <v>1</v>
      </c>
      <c r="Z259" s="703">
        <v>1</v>
      </c>
      <c r="AA259" s="703">
        <v>1</v>
      </c>
      <c r="AB259" s="703">
        <v>1</v>
      </c>
      <c r="AC259" s="1003"/>
      <c r="AD259" s="1003"/>
      <c r="AE259" s="1003"/>
      <c r="AF259" s="1003"/>
      <c r="AG259" s="1003"/>
      <c r="AK259" s="982"/>
      <c r="BB259" s="1008"/>
    </row>
    <row r="260" spans="1:54" s="993" customFormat="1" hidden="1" outlineLevel="1" x14ac:dyDescent="0.25">
      <c r="A260" s="1012"/>
      <c r="B260" s="1020"/>
      <c r="C260" s="1009"/>
      <c r="D260" s="3840"/>
      <c r="E260" s="483" t="s">
        <v>1611</v>
      </c>
      <c r="F260" s="1043">
        <v>1</v>
      </c>
      <c r="G260" s="1189" t="s">
        <v>1650</v>
      </c>
      <c r="H260" s="1322" t="s">
        <v>1648</v>
      </c>
      <c r="I260" s="1012"/>
      <c r="J260" s="1012"/>
      <c r="K260" s="1012"/>
      <c r="L260" s="1012"/>
      <c r="M260" s="1012"/>
      <c r="N260" s="1012"/>
      <c r="O260" s="1012"/>
      <c r="P260" s="1012"/>
      <c r="Q260" s="1012"/>
      <c r="R260" s="1012"/>
      <c r="S260" s="1012"/>
      <c r="T260" s="1012"/>
      <c r="U260" s="1012"/>
      <c r="V260" s="3842"/>
      <c r="W260" s="1003">
        <f>0.65*1106</f>
        <v>718.9</v>
      </c>
      <c r="X260" s="1003">
        <v>718.9</v>
      </c>
      <c r="Y260" s="701">
        <v>1</v>
      </c>
      <c r="Z260" s="703">
        <v>1</v>
      </c>
      <c r="AA260" s="703">
        <v>1</v>
      </c>
      <c r="AB260" s="703">
        <v>1</v>
      </c>
      <c r="AC260" s="1003"/>
      <c r="AD260" s="1003"/>
      <c r="AE260" s="1003"/>
      <c r="AF260" s="1003"/>
      <c r="AG260" s="1003"/>
      <c r="AK260" s="982"/>
      <c r="BB260" s="1008"/>
    </row>
    <row r="261" spans="1:54" s="993" customFormat="1" hidden="1" outlineLevel="1" x14ac:dyDescent="0.25">
      <c r="A261" s="1012"/>
      <c r="B261" s="1020"/>
      <c r="C261" s="1009"/>
      <c r="D261" s="3840"/>
      <c r="E261" s="489" t="s">
        <v>1613</v>
      </c>
      <c r="F261" s="1043">
        <v>1</v>
      </c>
      <c r="G261" s="1189" t="s">
        <v>1650</v>
      </c>
      <c r="H261" s="1322" t="s">
        <v>1648</v>
      </c>
      <c r="I261" s="1012"/>
      <c r="J261" s="1012"/>
      <c r="K261" s="1012"/>
      <c r="L261" s="1012"/>
      <c r="M261" s="1012"/>
      <c r="N261" s="1012"/>
      <c r="O261" s="1012"/>
      <c r="P261" s="1012"/>
      <c r="Q261" s="1012"/>
      <c r="R261" s="1012"/>
      <c r="S261" s="1012"/>
      <c r="T261" s="1012"/>
      <c r="U261" s="1012"/>
      <c r="V261" s="3842"/>
      <c r="W261" s="1003">
        <f>0.65*1106</f>
        <v>718.9</v>
      </c>
      <c r="X261" s="1003">
        <v>718.9</v>
      </c>
      <c r="Y261" s="701">
        <v>1</v>
      </c>
      <c r="Z261" s="703">
        <v>1</v>
      </c>
      <c r="AA261" s="703">
        <v>1</v>
      </c>
      <c r="AB261" s="703">
        <v>1</v>
      </c>
      <c r="AC261" s="1003"/>
      <c r="AD261" s="1003"/>
      <c r="AE261" s="1003"/>
      <c r="AF261" s="1003"/>
      <c r="AG261" s="1003"/>
      <c r="AK261" s="982"/>
      <c r="BB261" s="1008"/>
    </row>
    <row r="262" spans="1:54" s="993" customFormat="1" hidden="1" outlineLevel="1" x14ac:dyDescent="0.25">
      <c r="A262" s="1012"/>
      <c r="B262" s="1020"/>
      <c r="C262" s="1009"/>
      <c r="D262" s="3840"/>
      <c r="E262" s="483" t="s">
        <v>1615</v>
      </c>
      <c r="F262" s="1043">
        <v>1</v>
      </c>
      <c r="G262" s="1189" t="s">
        <v>1650</v>
      </c>
      <c r="H262" s="1322" t="s">
        <v>1649</v>
      </c>
      <c r="I262" s="1012"/>
      <c r="J262" s="1012"/>
      <c r="K262" s="1012"/>
      <c r="L262" s="1012"/>
      <c r="M262" s="1012"/>
      <c r="N262" s="1012"/>
      <c r="O262" s="1012"/>
      <c r="P262" s="1012"/>
      <c r="Q262" s="1012"/>
      <c r="R262" s="1012"/>
      <c r="S262" s="1012"/>
      <c r="T262" s="1012"/>
      <c r="U262" s="1012"/>
      <c r="V262" s="3842"/>
      <c r="W262" s="1003">
        <v>1106</v>
      </c>
      <c r="X262" s="1003">
        <v>1106</v>
      </c>
      <c r="Y262" s="701">
        <v>1</v>
      </c>
      <c r="Z262" s="703">
        <v>1</v>
      </c>
      <c r="AA262" s="703">
        <v>1</v>
      </c>
      <c r="AB262" s="703">
        <v>1</v>
      </c>
      <c r="AC262" s="1003"/>
      <c r="AD262" s="1003"/>
      <c r="AE262" s="1003"/>
      <c r="AF262" s="1003"/>
      <c r="AG262" s="1003"/>
      <c r="AK262" s="982"/>
      <c r="BB262" s="1008"/>
    </row>
    <row r="263" spans="1:54" s="993" customFormat="1" hidden="1" outlineLevel="1" x14ac:dyDescent="0.25">
      <c r="A263" s="1012"/>
      <c r="B263" s="1020"/>
      <c r="C263" s="1009"/>
      <c r="D263" s="3840"/>
      <c r="E263" s="483" t="s">
        <v>1617</v>
      </c>
      <c r="F263" s="1043">
        <v>1</v>
      </c>
      <c r="G263" s="1189" t="s">
        <v>1650</v>
      </c>
      <c r="H263" s="1322" t="s">
        <v>1649</v>
      </c>
      <c r="I263" s="1012"/>
      <c r="J263" s="1012"/>
      <c r="K263" s="1012"/>
      <c r="L263" s="1012"/>
      <c r="M263" s="1012"/>
      <c r="N263" s="1012"/>
      <c r="O263" s="1012"/>
      <c r="P263" s="1012"/>
      <c r="Q263" s="1012"/>
      <c r="R263" s="1012"/>
      <c r="S263" s="1012"/>
      <c r="T263" s="1012"/>
      <c r="U263" s="1012"/>
      <c r="V263" s="3842"/>
      <c r="W263" s="1003">
        <v>1106</v>
      </c>
      <c r="X263" s="1003">
        <v>1106</v>
      </c>
      <c r="Y263" s="701">
        <v>1</v>
      </c>
      <c r="Z263" s="703">
        <v>1</v>
      </c>
      <c r="AA263" s="703">
        <v>1</v>
      </c>
      <c r="AB263" s="703">
        <v>1</v>
      </c>
      <c r="AC263" s="1003"/>
      <c r="AD263" s="1003"/>
      <c r="AE263" s="1003"/>
      <c r="AF263" s="1003"/>
      <c r="AG263" s="1003"/>
      <c r="AK263" s="982"/>
      <c r="BB263" s="1008"/>
    </row>
    <row r="264" spans="1:54" s="993" customFormat="1" hidden="1" outlineLevel="1" x14ac:dyDescent="0.25">
      <c r="A264" s="1012"/>
      <c r="B264" s="1020"/>
      <c r="C264" s="1009"/>
      <c r="D264" s="3840"/>
      <c r="E264" s="1851" t="s">
        <v>1619</v>
      </c>
      <c r="F264" s="1043">
        <v>1</v>
      </c>
      <c r="G264" s="1189" t="s">
        <v>1650</v>
      </c>
      <c r="H264" s="1322" t="s">
        <v>1649</v>
      </c>
      <c r="I264" s="1012"/>
      <c r="J264" s="1012"/>
      <c r="K264" s="1012"/>
      <c r="L264" s="1012"/>
      <c r="M264" s="1012"/>
      <c r="N264" s="1012"/>
      <c r="O264" s="1012"/>
      <c r="P264" s="1012"/>
      <c r="Q264" s="1012"/>
      <c r="R264" s="1012"/>
      <c r="S264" s="1012"/>
      <c r="T264" s="1012"/>
      <c r="U264" s="1012"/>
      <c r="V264" s="3842"/>
      <c r="W264" s="1003">
        <v>1106</v>
      </c>
      <c r="X264" s="1003">
        <v>1106</v>
      </c>
      <c r="Y264" s="701">
        <v>1</v>
      </c>
      <c r="Z264" s="703">
        <v>1</v>
      </c>
      <c r="AA264" s="703">
        <v>1</v>
      </c>
      <c r="AB264" s="703">
        <v>1</v>
      </c>
      <c r="AC264" s="1003"/>
      <c r="AD264" s="1003"/>
      <c r="AE264" s="1003"/>
      <c r="AF264" s="1003"/>
      <c r="AG264" s="1003"/>
      <c r="AK264" s="982"/>
      <c r="BB264" s="1008"/>
    </row>
    <row r="265" spans="1:54" s="993" customFormat="1" hidden="1" outlineLevel="1" x14ac:dyDescent="0.25">
      <c r="A265" s="1012"/>
      <c r="B265" s="1020"/>
      <c r="C265" s="1009"/>
      <c r="D265" s="3840"/>
      <c r="E265" s="483" t="s">
        <v>1621</v>
      </c>
      <c r="F265" s="1043">
        <v>1</v>
      </c>
      <c r="G265" s="1189" t="s">
        <v>1650</v>
      </c>
      <c r="H265" s="1322" t="s">
        <v>1648</v>
      </c>
      <c r="I265" s="1012"/>
      <c r="J265" s="1012"/>
      <c r="K265" s="1012"/>
      <c r="L265" s="1012"/>
      <c r="M265" s="1012"/>
      <c r="N265" s="1012"/>
      <c r="O265" s="1012"/>
      <c r="P265" s="1012"/>
      <c r="Q265" s="1012"/>
      <c r="R265" s="1012"/>
      <c r="S265" s="1012"/>
      <c r="T265" s="1012"/>
      <c r="U265" s="1012"/>
      <c r="V265" s="3842"/>
      <c r="W265" s="1003">
        <f>0.65*1106</f>
        <v>718.9</v>
      </c>
      <c r="X265" s="1003">
        <v>718.9</v>
      </c>
      <c r="Y265" s="701">
        <v>1</v>
      </c>
      <c r="Z265" s="703">
        <v>1</v>
      </c>
      <c r="AA265" s="703">
        <v>1</v>
      </c>
      <c r="AB265" s="703">
        <v>1</v>
      </c>
      <c r="AC265" s="1003"/>
      <c r="AD265" s="1003"/>
      <c r="AE265" s="1003"/>
      <c r="AF265" s="1003"/>
      <c r="AG265" s="1003"/>
      <c r="AK265" s="982"/>
      <c r="BB265" s="1008"/>
    </row>
    <row r="266" spans="1:54" s="993" customFormat="1" hidden="1" outlineLevel="1" x14ac:dyDescent="0.25">
      <c r="A266" s="1012"/>
      <c r="B266" s="1020"/>
      <c r="C266" s="1009"/>
      <c r="D266" s="3840"/>
      <c r="E266" s="483" t="s">
        <v>1623</v>
      </c>
      <c r="F266" s="1043">
        <v>1</v>
      </c>
      <c r="G266" s="1189" t="s">
        <v>1650</v>
      </c>
      <c r="H266" s="1322" t="s">
        <v>1648</v>
      </c>
      <c r="I266" s="1012"/>
      <c r="J266" s="1012"/>
      <c r="K266" s="1012"/>
      <c r="L266" s="1012"/>
      <c r="M266" s="1012"/>
      <c r="N266" s="1012"/>
      <c r="O266" s="1012"/>
      <c r="P266" s="1012"/>
      <c r="Q266" s="1012"/>
      <c r="R266" s="1012"/>
      <c r="S266" s="1012"/>
      <c r="T266" s="1012"/>
      <c r="U266" s="1012"/>
      <c r="V266" s="3842"/>
      <c r="W266" s="1003">
        <f>0.65*1106</f>
        <v>718.9</v>
      </c>
      <c r="X266" s="1003">
        <v>718.9</v>
      </c>
      <c r="Y266" s="701">
        <v>1</v>
      </c>
      <c r="Z266" s="703">
        <v>1</v>
      </c>
      <c r="AA266" s="703">
        <v>1</v>
      </c>
      <c r="AB266" s="703">
        <v>1</v>
      </c>
      <c r="AC266" s="1003"/>
      <c r="AD266" s="1003"/>
      <c r="AE266" s="1003"/>
      <c r="AF266" s="1003"/>
      <c r="AG266" s="1003"/>
      <c r="AK266" s="982"/>
      <c r="BB266" s="1008"/>
    </row>
    <row r="267" spans="1:54" s="993" customFormat="1" hidden="1" outlineLevel="1" x14ac:dyDescent="0.25">
      <c r="A267" s="1012"/>
      <c r="B267" s="1020"/>
      <c r="C267" s="1009"/>
      <c r="D267" s="3840"/>
      <c r="E267" s="489" t="s">
        <v>1625</v>
      </c>
      <c r="F267" s="1043">
        <v>1</v>
      </c>
      <c r="G267" s="1189" t="s">
        <v>1650</v>
      </c>
      <c r="H267" s="1322" t="s">
        <v>1648</v>
      </c>
      <c r="I267" s="1012"/>
      <c r="J267" s="1012"/>
      <c r="K267" s="1012"/>
      <c r="L267" s="1012"/>
      <c r="M267" s="1012"/>
      <c r="N267" s="1012"/>
      <c r="O267" s="1012"/>
      <c r="P267" s="1012"/>
      <c r="Q267" s="1012"/>
      <c r="R267" s="1012"/>
      <c r="S267" s="1012"/>
      <c r="T267" s="1012"/>
      <c r="U267" s="1012"/>
      <c r="V267" s="3842"/>
      <c r="W267" s="1003">
        <f>0.65*1106</f>
        <v>718.9</v>
      </c>
      <c r="X267" s="1003">
        <v>718.9</v>
      </c>
      <c r="Y267" s="701">
        <v>1</v>
      </c>
      <c r="Z267" s="703">
        <v>1</v>
      </c>
      <c r="AA267" s="703">
        <v>1</v>
      </c>
      <c r="AB267" s="703">
        <v>1</v>
      </c>
      <c r="AC267" s="1003"/>
      <c r="AD267" s="1003"/>
      <c r="AE267" s="1003"/>
      <c r="AF267" s="1003"/>
      <c r="AG267" s="1003"/>
      <c r="AK267" s="982"/>
      <c r="BB267" s="1008"/>
    </row>
    <row r="268" spans="1:54" s="993" customFormat="1" hidden="1" outlineLevel="1" x14ac:dyDescent="0.25">
      <c r="A268" s="1012"/>
      <c r="B268" s="1020"/>
      <c r="C268" s="1009"/>
      <c r="D268" s="3840"/>
      <c r="E268" s="483" t="s">
        <v>1627</v>
      </c>
      <c r="F268" s="1043">
        <v>1</v>
      </c>
      <c r="G268" s="1189" t="s">
        <v>1650</v>
      </c>
      <c r="H268" s="1322" t="s">
        <v>1649</v>
      </c>
      <c r="I268" s="1012"/>
      <c r="J268" s="1012"/>
      <c r="K268" s="1012"/>
      <c r="L268" s="1012"/>
      <c r="M268" s="1012"/>
      <c r="N268" s="1012"/>
      <c r="O268" s="1012"/>
      <c r="P268" s="1012"/>
      <c r="Q268" s="1012"/>
      <c r="R268" s="1012"/>
      <c r="S268" s="1012"/>
      <c r="T268" s="1012"/>
      <c r="U268" s="1012"/>
      <c r="V268" s="3842"/>
      <c r="W268" s="1003">
        <v>1106</v>
      </c>
      <c r="X268" s="1003">
        <v>1106</v>
      </c>
      <c r="Y268" s="701">
        <v>1</v>
      </c>
      <c r="Z268" s="703">
        <v>1</v>
      </c>
      <c r="AA268" s="703">
        <v>1</v>
      </c>
      <c r="AB268" s="703">
        <v>1</v>
      </c>
      <c r="AC268" s="1003"/>
      <c r="AD268" s="1003"/>
      <c r="AE268" s="1003"/>
      <c r="AF268" s="1003"/>
      <c r="AG268" s="1003"/>
      <c r="AK268" s="982"/>
      <c r="BB268" s="1008"/>
    </row>
    <row r="269" spans="1:54" s="993" customFormat="1" hidden="1" outlineLevel="1" x14ac:dyDescent="0.25">
      <c r="A269" s="1012"/>
      <c r="B269" s="1020"/>
      <c r="C269" s="1009"/>
      <c r="D269" s="3840"/>
      <c r="E269" s="489" t="s">
        <v>1629</v>
      </c>
      <c r="F269" s="1043">
        <v>1</v>
      </c>
      <c r="G269" s="1189" t="s">
        <v>1650</v>
      </c>
      <c r="H269" s="1322" t="s">
        <v>1649</v>
      </c>
      <c r="I269" s="1012"/>
      <c r="J269" s="1012"/>
      <c r="K269" s="1012"/>
      <c r="L269" s="1012"/>
      <c r="M269" s="1012"/>
      <c r="N269" s="1012"/>
      <c r="O269" s="1012"/>
      <c r="P269" s="1012"/>
      <c r="Q269" s="1012"/>
      <c r="R269" s="1012"/>
      <c r="S269" s="1012"/>
      <c r="T269" s="1012"/>
      <c r="U269" s="1012"/>
      <c r="V269" s="3842"/>
      <c r="W269" s="1003">
        <v>1106</v>
      </c>
      <c r="X269" s="1003">
        <v>1106</v>
      </c>
      <c r="Y269" s="701">
        <v>1</v>
      </c>
      <c r="Z269" s="703">
        <v>1</v>
      </c>
      <c r="AA269" s="703">
        <v>1</v>
      </c>
      <c r="AB269" s="703">
        <v>1</v>
      </c>
      <c r="AC269" s="1003"/>
      <c r="AD269" s="1003"/>
      <c r="AE269" s="1003"/>
      <c r="AF269" s="1003"/>
      <c r="AG269" s="1003"/>
      <c r="AK269" s="982"/>
      <c r="BB269" s="1008"/>
    </row>
    <row r="270" spans="1:54" s="993" customFormat="1" hidden="1" outlineLevel="1" x14ac:dyDescent="0.25">
      <c r="A270" s="1012"/>
      <c r="B270" s="1020"/>
      <c r="C270" s="1009"/>
      <c r="D270" s="3840"/>
      <c r="E270" s="483" t="s">
        <v>1631</v>
      </c>
      <c r="F270" s="1043">
        <v>1</v>
      </c>
      <c r="G270" s="1189" t="s">
        <v>1650</v>
      </c>
      <c r="H270" s="1322" t="s">
        <v>1649</v>
      </c>
      <c r="I270" s="1012"/>
      <c r="J270" s="1012"/>
      <c r="K270" s="1012"/>
      <c r="L270" s="1012"/>
      <c r="M270" s="1012"/>
      <c r="N270" s="1012"/>
      <c r="O270" s="1012"/>
      <c r="P270" s="1012"/>
      <c r="Q270" s="1012"/>
      <c r="R270" s="1012"/>
      <c r="S270" s="1012"/>
      <c r="T270" s="1012"/>
      <c r="U270" s="1012"/>
      <c r="V270" s="3842"/>
      <c r="W270" s="1003">
        <v>1106</v>
      </c>
      <c r="X270" s="1003">
        <v>1106</v>
      </c>
      <c r="Y270" s="701">
        <v>1</v>
      </c>
      <c r="Z270" s="703">
        <v>1</v>
      </c>
      <c r="AA270" s="703">
        <v>1</v>
      </c>
      <c r="AB270" s="703">
        <v>1</v>
      </c>
      <c r="AC270" s="1003"/>
      <c r="AD270" s="1003"/>
      <c r="AE270" s="1003"/>
      <c r="AF270" s="1003"/>
      <c r="AG270" s="1003"/>
      <c r="AK270" s="982"/>
      <c r="BB270" s="1008"/>
    </row>
    <row r="271" spans="1:54" s="993" customFormat="1" hidden="1" outlineLevel="1" x14ac:dyDescent="0.25">
      <c r="A271" s="1012"/>
      <c r="B271" s="1020"/>
      <c r="C271" s="1009"/>
      <c r="D271" s="3840"/>
      <c r="E271" s="483" t="s">
        <v>1633</v>
      </c>
      <c r="F271" s="1043">
        <v>1</v>
      </c>
      <c r="G271" s="1189" t="s">
        <v>1650</v>
      </c>
      <c r="H271" s="1322" t="s">
        <v>1648</v>
      </c>
      <c r="I271" s="1012"/>
      <c r="J271" s="1012"/>
      <c r="K271" s="1012"/>
      <c r="L271" s="1012"/>
      <c r="M271" s="1012"/>
      <c r="N271" s="1012"/>
      <c r="O271" s="1012"/>
      <c r="P271" s="1012"/>
      <c r="Q271" s="1012"/>
      <c r="R271" s="1012"/>
      <c r="S271" s="1012"/>
      <c r="T271" s="1012"/>
      <c r="U271" s="1012"/>
      <c r="V271" s="3842"/>
      <c r="W271" s="1003">
        <f>0.65*1106</f>
        <v>718.9</v>
      </c>
      <c r="X271" s="1003">
        <v>718.9</v>
      </c>
      <c r="Y271" s="701">
        <v>1</v>
      </c>
      <c r="Z271" s="703">
        <v>1</v>
      </c>
      <c r="AA271" s="703">
        <v>1</v>
      </c>
      <c r="AB271" s="703">
        <v>1</v>
      </c>
      <c r="AC271" s="1003"/>
      <c r="AD271" s="1003"/>
      <c r="AE271" s="1003"/>
      <c r="AF271" s="1003"/>
      <c r="AG271" s="1003"/>
      <c r="AK271" s="982"/>
      <c r="BB271" s="1008"/>
    </row>
    <row r="272" spans="1:54" s="993" customFormat="1" hidden="1" outlineLevel="1" x14ac:dyDescent="0.25">
      <c r="A272" s="1012"/>
      <c r="B272" s="1020"/>
      <c r="C272" s="1009"/>
      <c r="D272" s="3840"/>
      <c r="E272" s="483" t="s">
        <v>1635</v>
      </c>
      <c r="F272" s="1043">
        <v>1</v>
      </c>
      <c r="G272" s="1189" t="s">
        <v>1650</v>
      </c>
      <c r="H272" s="1322" t="s">
        <v>1648</v>
      </c>
      <c r="I272" s="1012"/>
      <c r="J272" s="1012"/>
      <c r="K272" s="1012"/>
      <c r="L272" s="1012"/>
      <c r="M272" s="1012"/>
      <c r="N272" s="1012"/>
      <c r="O272" s="1012"/>
      <c r="P272" s="1012"/>
      <c r="Q272" s="1012"/>
      <c r="R272" s="1012"/>
      <c r="S272" s="1012"/>
      <c r="T272" s="1012"/>
      <c r="U272" s="1012"/>
      <c r="V272" s="3842"/>
      <c r="W272" s="1003">
        <f>0.65*1106</f>
        <v>718.9</v>
      </c>
      <c r="X272" s="1003">
        <v>718.9</v>
      </c>
      <c r="Y272" s="701">
        <v>1</v>
      </c>
      <c r="Z272" s="703">
        <v>1</v>
      </c>
      <c r="AA272" s="703">
        <v>1</v>
      </c>
      <c r="AB272" s="703">
        <v>1</v>
      </c>
      <c r="AC272" s="1003"/>
      <c r="AD272" s="1003"/>
      <c r="AE272" s="1003"/>
      <c r="AF272" s="1003"/>
      <c r="AG272" s="1003"/>
      <c r="AK272" s="982"/>
      <c r="BB272" s="1008"/>
    </row>
    <row r="273" spans="1:54" s="993" customFormat="1" hidden="1" outlineLevel="1" x14ac:dyDescent="0.25">
      <c r="A273" s="1012"/>
      <c r="B273" s="1020"/>
      <c r="C273" s="1009"/>
      <c r="D273" s="3840"/>
      <c r="E273" s="489" t="s">
        <v>1637</v>
      </c>
      <c r="F273" s="1043">
        <v>1</v>
      </c>
      <c r="G273" s="1189" t="s">
        <v>1650</v>
      </c>
      <c r="H273" s="1322" t="s">
        <v>1648</v>
      </c>
      <c r="I273" s="1012"/>
      <c r="J273" s="1012"/>
      <c r="K273" s="1012"/>
      <c r="L273" s="1012"/>
      <c r="M273" s="1012"/>
      <c r="N273" s="1012"/>
      <c r="O273" s="1012"/>
      <c r="P273" s="1012"/>
      <c r="Q273" s="1012"/>
      <c r="R273" s="1012"/>
      <c r="S273" s="1012"/>
      <c r="T273" s="1012"/>
      <c r="U273" s="1012"/>
      <c r="V273" s="3842"/>
      <c r="W273" s="1003">
        <f>0.65*1106</f>
        <v>718.9</v>
      </c>
      <c r="X273" s="1003">
        <v>718.9</v>
      </c>
      <c r="Y273" s="701">
        <v>1</v>
      </c>
      <c r="Z273" s="703">
        <v>1</v>
      </c>
      <c r="AA273" s="703">
        <v>1</v>
      </c>
      <c r="AB273" s="703">
        <v>1</v>
      </c>
      <c r="AC273" s="1003"/>
      <c r="AD273" s="1003"/>
      <c r="AE273" s="1003"/>
      <c r="AF273" s="1003"/>
      <c r="AG273" s="1003"/>
      <c r="AK273" s="982"/>
      <c r="BB273" s="1008"/>
    </row>
    <row r="274" spans="1:54" s="993" customFormat="1" hidden="1" outlineLevel="1" x14ac:dyDescent="0.25">
      <c r="A274" s="1012"/>
      <c r="B274" s="1020"/>
      <c r="C274" s="1009"/>
      <c r="D274" s="3840"/>
      <c r="E274" s="483" t="s">
        <v>1639</v>
      </c>
      <c r="F274" s="1043">
        <v>1</v>
      </c>
      <c r="G274" s="1189" t="s">
        <v>1650</v>
      </c>
      <c r="H274" s="1322" t="s">
        <v>1649</v>
      </c>
      <c r="I274" s="1012"/>
      <c r="J274" s="1012"/>
      <c r="K274" s="1012"/>
      <c r="L274" s="1012"/>
      <c r="M274" s="1012"/>
      <c r="N274" s="1012"/>
      <c r="O274" s="1012"/>
      <c r="P274" s="1012"/>
      <c r="Q274" s="1012"/>
      <c r="R274" s="1012"/>
      <c r="S274" s="1012"/>
      <c r="T274" s="1012"/>
      <c r="U274" s="1012"/>
      <c r="V274" s="3842"/>
      <c r="W274" s="1003">
        <v>1106</v>
      </c>
      <c r="X274" s="1003">
        <v>1106</v>
      </c>
      <c r="Y274" s="701">
        <v>1</v>
      </c>
      <c r="Z274" s="703">
        <v>1</v>
      </c>
      <c r="AA274" s="703">
        <v>1</v>
      </c>
      <c r="AB274" s="703">
        <v>1</v>
      </c>
      <c r="AC274" s="1003"/>
      <c r="AD274" s="1003"/>
      <c r="AE274" s="1003"/>
      <c r="AF274" s="1003"/>
      <c r="AG274" s="1003"/>
      <c r="AK274" s="982"/>
      <c r="BB274" s="1008"/>
    </row>
    <row r="275" spans="1:54" s="993" customFormat="1" hidden="1" outlineLevel="1" x14ac:dyDescent="0.25">
      <c r="A275" s="1012"/>
      <c r="B275" s="1020"/>
      <c r="C275" s="1009"/>
      <c r="D275" s="3840"/>
      <c r="E275" s="489" t="s">
        <v>1641</v>
      </c>
      <c r="F275" s="1043">
        <v>1</v>
      </c>
      <c r="G275" s="1189" t="s">
        <v>1650</v>
      </c>
      <c r="H275" s="1322" t="s">
        <v>1649</v>
      </c>
      <c r="I275" s="1012"/>
      <c r="J275" s="1012"/>
      <c r="K275" s="1012"/>
      <c r="L275" s="1012"/>
      <c r="M275" s="1012"/>
      <c r="N275" s="1012"/>
      <c r="O275" s="1012"/>
      <c r="P275" s="1012"/>
      <c r="Q275" s="1012"/>
      <c r="R275" s="1012"/>
      <c r="S275" s="1012"/>
      <c r="T275" s="1012"/>
      <c r="U275" s="1012"/>
      <c r="V275" s="3842"/>
      <c r="W275" s="1003">
        <v>1106</v>
      </c>
      <c r="X275" s="1003">
        <v>1106</v>
      </c>
      <c r="Y275" s="701">
        <v>1</v>
      </c>
      <c r="Z275" s="703">
        <v>1</v>
      </c>
      <c r="AA275" s="703">
        <v>1</v>
      </c>
      <c r="AB275" s="703">
        <v>1</v>
      </c>
      <c r="AC275" s="1003"/>
      <c r="AD275" s="1003"/>
      <c r="AE275" s="1003"/>
      <c r="AF275" s="1003"/>
      <c r="AG275" s="1003"/>
      <c r="AK275" s="982"/>
      <c r="BB275" s="1008"/>
    </row>
    <row r="276" spans="1:54" s="993" customFormat="1" hidden="1" outlineLevel="1" x14ac:dyDescent="0.25">
      <c r="A276" s="1012"/>
      <c r="B276" s="1020"/>
      <c r="C276" s="1009"/>
      <c r="D276" s="3840"/>
      <c r="E276" s="483" t="s">
        <v>1643</v>
      </c>
      <c r="F276" s="1043">
        <v>1</v>
      </c>
      <c r="G276" s="1189" t="s">
        <v>1650</v>
      </c>
      <c r="H276" s="1322" t="s">
        <v>1649</v>
      </c>
      <c r="I276" s="1012"/>
      <c r="J276" s="1012"/>
      <c r="K276" s="1012"/>
      <c r="L276" s="1012"/>
      <c r="M276" s="1012"/>
      <c r="N276" s="1012"/>
      <c r="O276" s="1012"/>
      <c r="P276" s="1012"/>
      <c r="Q276" s="1012"/>
      <c r="R276" s="1012"/>
      <c r="S276" s="1012"/>
      <c r="T276" s="1012"/>
      <c r="U276" s="1012"/>
      <c r="V276" s="3847"/>
      <c r="W276" s="1003">
        <v>1106</v>
      </c>
      <c r="X276" s="1003">
        <v>1106</v>
      </c>
      <c r="Y276" s="701">
        <v>1</v>
      </c>
      <c r="Z276" s="703">
        <v>1</v>
      </c>
      <c r="AA276" s="703">
        <v>1</v>
      </c>
      <c r="AB276" s="703">
        <v>1</v>
      </c>
      <c r="AC276" s="1003"/>
      <c r="AD276" s="1003"/>
      <c r="AE276" s="1003"/>
      <c r="AF276" s="1003"/>
      <c r="AG276" s="1003"/>
      <c r="AK276" s="982"/>
      <c r="BB276" s="1008"/>
    </row>
    <row r="277" spans="1:54" s="993" customFormat="1" ht="18" hidden="1" outlineLevel="1" x14ac:dyDescent="0.25">
      <c r="A277" s="1012"/>
      <c r="B277" s="1020"/>
      <c r="C277" s="1009"/>
      <c r="D277" s="1463" t="s">
        <v>2191</v>
      </c>
      <c r="E277" s="483" t="s">
        <v>591</v>
      </c>
      <c r="F277" s="1048">
        <v>7.0000000000000007E-2</v>
      </c>
      <c r="G277" s="1189" t="s">
        <v>1651</v>
      </c>
      <c r="H277" s="1322"/>
      <c r="I277" s="1020"/>
      <c r="J277" s="1020"/>
      <c r="K277" s="1020"/>
      <c r="L277" s="1020"/>
      <c r="M277" s="1020"/>
      <c r="N277" s="1020"/>
      <c r="O277" s="1020"/>
      <c r="P277" s="1020"/>
      <c r="Q277" s="1020"/>
      <c r="R277" s="1020"/>
      <c r="S277" s="1012"/>
      <c r="T277" s="1012"/>
      <c r="U277" s="1012"/>
      <c r="V277" s="1019" t="str">
        <f>D277</f>
        <v>Framing FactorAttic</v>
      </c>
      <c r="W277" s="1017">
        <v>7.0000000000000007E-2</v>
      </c>
      <c r="X277" s="1017">
        <v>7.0000000000000007E-2</v>
      </c>
      <c r="Y277" s="1017">
        <v>7.0000000000000007E-2</v>
      </c>
      <c r="Z277" s="1048">
        <v>7.0000000000000007E-2</v>
      </c>
      <c r="AA277" s="1048">
        <v>7.0000000000000007E-2</v>
      </c>
      <c r="AB277" s="1048">
        <v>7.0000000000000007E-2</v>
      </c>
      <c r="AC277" s="1017"/>
      <c r="AD277" s="1017"/>
      <c r="AE277" s="1017"/>
      <c r="AF277" s="1017"/>
      <c r="AG277" s="1017"/>
      <c r="AK277" s="982"/>
      <c r="BB277" s="1008"/>
    </row>
    <row r="278" spans="1:54" s="993" customFormat="1" hidden="1" outlineLevel="1" x14ac:dyDescent="0.25">
      <c r="A278" s="1012"/>
      <c r="B278" s="1020"/>
      <c r="C278" s="1009"/>
      <c r="D278" s="1463" t="s">
        <v>1652</v>
      </c>
      <c r="E278" s="483" t="s">
        <v>591</v>
      </c>
      <c r="F278" s="1321">
        <v>4486</v>
      </c>
      <c r="G278" s="1189" t="s">
        <v>736</v>
      </c>
      <c r="H278" s="1322" t="s">
        <v>1653</v>
      </c>
      <c r="I278" s="1020"/>
      <c r="J278" s="1020"/>
      <c r="K278" s="1020"/>
      <c r="L278" s="1020"/>
      <c r="M278" s="1020"/>
      <c r="N278" s="1020"/>
      <c r="O278" s="1020"/>
      <c r="P278" s="1020"/>
      <c r="Q278" s="1020"/>
      <c r="R278" s="1020"/>
      <c r="S278" s="1012"/>
      <c r="T278" s="1012"/>
      <c r="U278" s="1012"/>
      <c r="V278" s="1019" t="str">
        <f>D278</f>
        <v>HDD</v>
      </c>
      <c r="W278" s="1003">
        <v>4486</v>
      </c>
      <c r="X278" s="1003">
        <v>4486</v>
      </c>
      <c r="Y278" s="1003">
        <v>4486</v>
      </c>
      <c r="Z278" s="1321">
        <v>4486</v>
      </c>
      <c r="AA278" s="1321">
        <v>4486</v>
      </c>
      <c r="AB278" s="1321">
        <v>4486</v>
      </c>
      <c r="AC278" s="1003"/>
      <c r="AD278" s="1003"/>
      <c r="AE278" s="1003"/>
      <c r="AF278" s="1003"/>
      <c r="AG278" s="1003"/>
      <c r="AK278" s="982"/>
      <c r="BB278" s="1008"/>
    </row>
    <row r="279" spans="1:54" s="993" customFormat="1" ht="18" hidden="1" outlineLevel="1" x14ac:dyDescent="0.25">
      <c r="A279" s="1012"/>
      <c r="B279" s="1020"/>
      <c r="C279" s="1009"/>
      <c r="D279" s="1463" t="s">
        <v>2192</v>
      </c>
      <c r="E279" s="483" t="s">
        <v>591</v>
      </c>
      <c r="F279" s="1048">
        <v>0.74</v>
      </c>
      <c r="G279" s="1189" t="s">
        <v>714</v>
      </c>
      <c r="H279" s="1322"/>
      <c r="I279" s="1020"/>
      <c r="J279" s="1020"/>
      <c r="K279" s="1020"/>
      <c r="L279" s="1020"/>
      <c r="M279" s="1020"/>
      <c r="N279" s="1020"/>
      <c r="O279" s="1020"/>
      <c r="P279" s="1020"/>
      <c r="Q279" s="1020"/>
      <c r="R279" s="1020"/>
      <c r="S279" s="1012"/>
      <c r="T279" s="1012"/>
      <c r="U279" s="1012"/>
      <c r="V279" s="1019" t="str">
        <f>D279</f>
        <v>AdjAttic</v>
      </c>
      <c r="W279" s="1017">
        <v>0.74</v>
      </c>
      <c r="X279" s="1017">
        <v>0.74</v>
      </c>
      <c r="Y279" s="1017">
        <v>0.74</v>
      </c>
      <c r="Z279" s="1048">
        <v>0.74</v>
      </c>
      <c r="AA279" s="1048">
        <v>0.74</v>
      </c>
      <c r="AB279" s="1048">
        <v>0.74</v>
      </c>
      <c r="AC279" s="1017"/>
      <c r="AD279" s="1017"/>
      <c r="AE279" s="1017"/>
      <c r="AF279" s="1017"/>
      <c r="AG279" s="1017"/>
      <c r="AK279" s="982"/>
      <c r="BB279" s="1008"/>
    </row>
    <row r="280" spans="1:54" s="993" customFormat="1" hidden="1" outlineLevel="1" x14ac:dyDescent="0.25">
      <c r="A280" s="1012"/>
      <c r="B280" s="1020"/>
      <c r="C280" s="1009"/>
      <c r="D280" s="3839" t="s">
        <v>1654</v>
      </c>
      <c r="E280" s="483" t="s">
        <v>1585</v>
      </c>
      <c r="F280" s="1043">
        <v>1</v>
      </c>
      <c r="G280" s="1189" t="s">
        <v>714</v>
      </c>
      <c r="H280" s="3852" t="s">
        <v>717</v>
      </c>
      <c r="I280" s="1020"/>
      <c r="J280" s="1020"/>
      <c r="K280" s="1020"/>
      <c r="L280" s="1020"/>
      <c r="M280" s="1020"/>
      <c r="N280" s="1020"/>
      <c r="O280" s="1020"/>
      <c r="P280" s="1020"/>
      <c r="Q280" s="1020"/>
      <c r="R280" s="1020"/>
      <c r="S280" s="1012"/>
      <c r="T280" s="1012"/>
      <c r="U280" s="1012"/>
      <c r="V280" s="3841" t="str">
        <f>D280</f>
        <v>ƞheat</v>
      </c>
      <c r="W280" s="1021">
        <v>1</v>
      </c>
      <c r="X280" s="1021">
        <v>1</v>
      </c>
      <c r="Y280" s="1021">
        <v>1</v>
      </c>
      <c r="Z280" s="1043">
        <v>1</v>
      </c>
      <c r="AA280" s="1043">
        <v>1</v>
      </c>
      <c r="AB280" s="1043">
        <v>1</v>
      </c>
      <c r="AC280" s="1021"/>
      <c r="AD280" s="1021"/>
      <c r="AE280" s="1021"/>
      <c r="AF280" s="1021"/>
      <c r="AG280" s="1021"/>
      <c r="AK280" s="982"/>
      <c r="BB280" s="1008"/>
    </row>
    <row r="281" spans="1:54" s="993" customFormat="1" hidden="1" outlineLevel="1" x14ac:dyDescent="0.25">
      <c r="A281" s="1012"/>
      <c r="B281" s="1020"/>
      <c r="C281" s="1009"/>
      <c r="D281" s="3840"/>
      <c r="E281" s="483" t="s">
        <v>1587</v>
      </c>
      <c r="F281" s="1043">
        <f>7/3.412*0.85</f>
        <v>1.7438452520515826</v>
      </c>
      <c r="G281" s="1189" t="s">
        <v>714</v>
      </c>
      <c r="H281" s="3572"/>
      <c r="I281" s="1020"/>
      <c r="J281" s="1020"/>
      <c r="K281" s="1020"/>
      <c r="L281" s="1020"/>
      <c r="M281" s="1020"/>
      <c r="N281" s="1020"/>
      <c r="O281" s="1020"/>
      <c r="P281" s="1020"/>
      <c r="Q281" s="1020"/>
      <c r="R281" s="1020"/>
      <c r="S281" s="1012"/>
      <c r="T281" s="1012"/>
      <c r="U281" s="1012"/>
      <c r="V281" s="3842"/>
      <c r="W281" s="1021">
        <f>7/3.412*0.85</f>
        <v>1.7438452520515826</v>
      </c>
      <c r="X281" s="1021">
        <v>1.7438452520515826</v>
      </c>
      <c r="Y281" s="1021">
        <v>1.7438452520515826</v>
      </c>
      <c r="Z281" s="1043">
        <v>1.7438452520515826</v>
      </c>
      <c r="AA281" s="1043">
        <v>1.7438452520515826</v>
      </c>
      <c r="AB281" s="1043">
        <v>1.7438452520515826</v>
      </c>
      <c r="AC281" s="1021"/>
      <c r="AD281" s="1021"/>
      <c r="AE281" s="1021"/>
      <c r="AF281" s="1021"/>
      <c r="AG281" s="1021"/>
      <c r="AK281" s="982"/>
      <c r="BB281" s="1008"/>
    </row>
    <row r="282" spans="1:54" s="993" customFormat="1" hidden="1" outlineLevel="1" x14ac:dyDescent="0.25">
      <c r="A282" s="1012"/>
      <c r="B282" s="1020"/>
      <c r="C282" s="1009"/>
      <c r="D282" s="3840"/>
      <c r="E282" s="483" t="s">
        <v>1589</v>
      </c>
      <c r="F282" s="1046">
        <v>0.71</v>
      </c>
      <c r="G282" s="1189" t="s">
        <v>714</v>
      </c>
      <c r="H282" s="3572"/>
      <c r="I282" s="1020"/>
      <c r="J282" s="1020"/>
      <c r="K282" s="1020"/>
      <c r="L282" s="1020"/>
      <c r="M282" s="1020"/>
      <c r="N282" s="1020"/>
      <c r="O282" s="1020"/>
      <c r="P282" s="1020"/>
      <c r="Q282" s="1020"/>
      <c r="R282" s="1020"/>
      <c r="S282" s="1012"/>
      <c r="T282" s="1012"/>
      <c r="U282" s="1012"/>
      <c r="V282" s="3842"/>
      <c r="W282" s="1022">
        <v>0.71</v>
      </c>
      <c r="X282" s="1022">
        <v>0.71</v>
      </c>
      <c r="Y282" s="1022">
        <v>0.71</v>
      </c>
      <c r="Z282" s="1046">
        <v>0.71</v>
      </c>
      <c r="AA282" s="1046">
        <v>0.71</v>
      </c>
      <c r="AB282" s="1046">
        <v>0.71</v>
      </c>
      <c r="AC282" s="1022"/>
      <c r="AD282" s="1022"/>
      <c r="AE282" s="1022"/>
      <c r="AF282" s="1022"/>
      <c r="AG282" s="1022"/>
      <c r="AK282" s="982"/>
      <c r="BB282" s="1008"/>
    </row>
    <row r="283" spans="1:54" s="993" customFormat="1" hidden="1" outlineLevel="1" x14ac:dyDescent="0.25">
      <c r="A283" s="1012"/>
      <c r="B283" s="1020"/>
      <c r="C283" s="1009"/>
      <c r="D283" s="3840"/>
      <c r="E283" s="483" t="s">
        <v>1591</v>
      </c>
      <c r="F283" s="1043">
        <v>1</v>
      </c>
      <c r="G283" s="1189" t="s">
        <v>714</v>
      </c>
      <c r="H283" s="3572"/>
      <c r="I283" s="1020"/>
      <c r="J283" s="1020"/>
      <c r="K283" s="1020"/>
      <c r="L283" s="1020"/>
      <c r="M283" s="1020"/>
      <c r="N283" s="1020"/>
      <c r="O283" s="1020"/>
      <c r="P283" s="1020"/>
      <c r="Q283" s="1020"/>
      <c r="R283" s="1020"/>
      <c r="S283" s="1012"/>
      <c r="T283" s="1012"/>
      <c r="U283" s="1012"/>
      <c r="V283" s="3842"/>
      <c r="W283" s="1021">
        <v>1</v>
      </c>
      <c r="X283" s="1021">
        <v>1</v>
      </c>
      <c r="Y283" s="1021">
        <v>1</v>
      </c>
      <c r="Z283" s="1043">
        <v>1</v>
      </c>
      <c r="AA283" s="1043">
        <v>1</v>
      </c>
      <c r="AB283" s="1043">
        <v>1</v>
      </c>
      <c r="AC283" s="1021"/>
      <c r="AD283" s="1021"/>
      <c r="AE283" s="1021"/>
      <c r="AF283" s="1021"/>
      <c r="AG283" s="1021"/>
      <c r="AK283" s="982"/>
      <c r="BB283" s="1008"/>
    </row>
    <row r="284" spans="1:54" s="993" customFormat="1" hidden="1" outlineLevel="1" x14ac:dyDescent="0.25">
      <c r="A284" s="1012"/>
      <c r="B284" s="1020"/>
      <c r="C284" s="1009"/>
      <c r="D284" s="3840"/>
      <c r="E284" s="483" t="s">
        <v>1593</v>
      </c>
      <c r="F284" s="1043">
        <f>7/3.412*0.85</f>
        <v>1.7438452520515826</v>
      </c>
      <c r="G284" s="1189" t="s">
        <v>714</v>
      </c>
      <c r="H284" s="3572"/>
      <c r="I284" s="1020"/>
      <c r="J284" s="1020"/>
      <c r="K284" s="1020"/>
      <c r="L284" s="1020"/>
      <c r="M284" s="1020"/>
      <c r="N284" s="1020"/>
      <c r="O284" s="1020"/>
      <c r="P284" s="1020"/>
      <c r="Q284" s="1020"/>
      <c r="R284" s="1020"/>
      <c r="S284" s="1012"/>
      <c r="T284" s="1012"/>
      <c r="U284" s="1012"/>
      <c r="V284" s="3842"/>
      <c r="W284" s="1021">
        <f>7/3.412*0.85</f>
        <v>1.7438452520515826</v>
      </c>
      <c r="X284" s="1021">
        <v>1.7438452520515826</v>
      </c>
      <c r="Y284" s="1021">
        <v>1.7438452520515826</v>
      </c>
      <c r="Z284" s="1043">
        <v>1.7438452520515826</v>
      </c>
      <c r="AA284" s="1043">
        <v>1.7438452520515826</v>
      </c>
      <c r="AB284" s="1043">
        <v>1.7438452520515826</v>
      </c>
      <c r="AC284" s="1021"/>
      <c r="AD284" s="1021"/>
      <c r="AE284" s="1021"/>
      <c r="AF284" s="1021"/>
      <c r="AG284" s="1021"/>
      <c r="AK284" s="982"/>
      <c r="BB284" s="1008"/>
    </row>
    <row r="285" spans="1:54" s="993" customFormat="1" hidden="1" outlineLevel="1" x14ac:dyDescent="0.25">
      <c r="A285" s="1012"/>
      <c r="B285" s="1020"/>
      <c r="C285" s="1009"/>
      <c r="D285" s="3840"/>
      <c r="E285" s="483" t="s">
        <v>1595</v>
      </c>
      <c r="F285" s="1046">
        <v>0.71</v>
      </c>
      <c r="G285" s="1189" t="s">
        <v>714</v>
      </c>
      <c r="H285" s="3572"/>
      <c r="I285" s="1020"/>
      <c r="J285" s="1020"/>
      <c r="K285" s="1020"/>
      <c r="L285" s="1020"/>
      <c r="M285" s="1020"/>
      <c r="N285" s="1020"/>
      <c r="O285" s="1020"/>
      <c r="P285" s="1020"/>
      <c r="Q285" s="1020"/>
      <c r="R285" s="1020"/>
      <c r="S285" s="1012"/>
      <c r="T285" s="1012"/>
      <c r="U285" s="1012"/>
      <c r="V285" s="3842"/>
      <c r="W285" s="1022">
        <v>0.71</v>
      </c>
      <c r="X285" s="1022">
        <v>0.71</v>
      </c>
      <c r="Y285" s="1022">
        <v>0.71</v>
      </c>
      <c r="Z285" s="1046">
        <v>0.71</v>
      </c>
      <c r="AA285" s="1046">
        <v>0.71</v>
      </c>
      <c r="AB285" s="1046">
        <v>0.71</v>
      </c>
      <c r="AC285" s="1022"/>
      <c r="AD285" s="1022"/>
      <c r="AE285" s="1022"/>
      <c r="AF285" s="1022"/>
      <c r="AG285" s="1022"/>
      <c r="AK285" s="982"/>
      <c r="BB285" s="1008"/>
    </row>
    <row r="286" spans="1:54" s="993" customFormat="1" hidden="1" outlineLevel="1" x14ac:dyDescent="0.25">
      <c r="A286" s="1012"/>
      <c r="B286" s="1020"/>
      <c r="C286" s="1009"/>
      <c r="D286" s="3840"/>
      <c r="E286" s="483" t="s">
        <v>1597</v>
      </c>
      <c r="F286" s="1043">
        <v>1</v>
      </c>
      <c r="G286" s="1189" t="s">
        <v>714</v>
      </c>
      <c r="H286" s="3572"/>
      <c r="I286" s="1020"/>
      <c r="J286" s="1020"/>
      <c r="K286" s="1020"/>
      <c r="L286" s="1020"/>
      <c r="M286" s="1020"/>
      <c r="N286" s="1020"/>
      <c r="O286" s="1020"/>
      <c r="P286" s="1020"/>
      <c r="Q286" s="1020"/>
      <c r="R286" s="1020"/>
      <c r="S286" s="1012"/>
      <c r="T286" s="1012"/>
      <c r="U286" s="1012"/>
      <c r="V286" s="3842"/>
      <c r="W286" s="1021">
        <v>1</v>
      </c>
      <c r="X286" s="1021">
        <v>1</v>
      </c>
      <c r="Y286" s="1021">
        <v>1</v>
      </c>
      <c r="Z286" s="1043">
        <v>1</v>
      </c>
      <c r="AA286" s="1043">
        <v>1</v>
      </c>
      <c r="AB286" s="1043">
        <v>1</v>
      </c>
      <c r="AC286" s="1021"/>
      <c r="AD286" s="1021"/>
      <c r="AE286" s="1021"/>
      <c r="AF286" s="1021"/>
      <c r="AG286" s="1021"/>
      <c r="AK286" s="982"/>
      <c r="BB286" s="1008"/>
    </row>
    <row r="287" spans="1:54" s="993" customFormat="1" hidden="1" outlineLevel="1" x14ac:dyDescent="0.25">
      <c r="A287" s="1012"/>
      <c r="B287" s="1020"/>
      <c r="C287" s="1009"/>
      <c r="D287" s="3840"/>
      <c r="E287" s="483" t="s">
        <v>1599</v>
      </c>
      <c r="F287" s="1043">
        <f>7/3.412*0.85</f>
        <v>1.7438452520515826</v>
      </c>
      <c r="G287" s="1189" t="s">
        <v>714</v>
      </c>
      <c r="H287" s="3572"/>
      <c r="I287" s="1020"/>
      <c r="J287" s="1020"/>
      <c r="K287" s="1020"/>
      <c r="L287" s="1020"/>
      <c r="M287" s="1020"/>
      <c r="N287" s="1020"/>
      <c r="O287" s="1020"/>
      <c r="P287" s="1020"/>
      <c r="Q287" s="1020"/>
      <c r="R287" s="1020"/>
      <c r="S287" s="1012"/>
      <c r="T287" s="1012"/>
      <c r="U287" s="1012"/>
      <c r="V287" s="3842"/>
      <c r="W287" s="1021">
        <f>7/3.412*0.85</f>
        <v>1.7438452520515826</v>
      </c>
      <c r="X287" s="1021">
        <v>1.7438452520515826</v>
      </c>
      <c r="Y287" s="1021">
        <v>1.7438452520515826</v>
      </c>
      <c r="Z287" s="1043">
        <v>1.7438452520515826</v>
      </c>
      <c r="AA287" s="1043">
        <v>1.7438452520515826</v>
      </c>
      <c r="AB287" s="1043">
        <v>1.7438452520515826</v>
      </c>
      <c r="AC287" s="1021"/>
      <c r="AD287" s="1021"/>
      <c r="AE287" s="1021"/>
      <c r="AF287" s="1021"/>
      <c r="AG287" s="1021"/>
      <c r="AK287" s="982"/>
      <c r="BB287" s="1008"/>
    </row>
    <row r="288" spans="1:54" s="993" customFormat="1" hidden="1" outlineLevel="1" x14ac:dyDescent="0.25">
      <c r="A288" s="1012"/>
      <c r="B288" s="1020"/>
      <c r="C288" s="1009"/>
      <c r="D288" s="3840"/>
      <c r="E288" s="489" t="s">
        <v>1601</v>
      </c>
      <c r="F288" s="1046">
        <v>0.71</v>
      </c>
      <c r="G288" s="1189" t="s">
        <v>714</v>
      </c>
      <c r="H288" s="3572"/>
      <c r="I288" s="1020"/>
      <c r="J288" s="1020"/>
      <c r="K288" s="1020"/>
      <c r="L288" s="1020"/>
      <c r="M288" s="1020"/>
      <c r="N288" s="1020"/>
      <c r="O288" s="1020"/>
      <c r="P288" s="1020"/>
      <c r="Q288" s="1020"/>
      <c r="R288" s="1020"/>
      <c r="S288" s="1012"/>
      <c r="T288" s="1012"/>
      <c r="U288" s="1012"/>
      <c r="V288" s="3842"/>
      <c r="W288" s="1022">
        <v>0.71</v>
      </c>
      <c r="X288" s="1022">
        <v>0.71</v>
      </c>
      <c r="Y288" s="1022">
        <v>0.71</v>
      </c>
      <c r="Z288" s="1046">
        <v>0.71</v>
      </c>
      <c r="AA288" s="1046">
        <v>0.71</v>
      </c>
      <c r="AB288" s="1046">
        <v>0.71</v>
      </c>
      <c r="AC288" s="1022"/>
      <c r="AD288" s="1022"/>
      <c r="AE288" s="1022"/>
      <c r="AF288" s="1022"/>
      <c r="AG288" s="1022"/>
      <c r="AK288" s="982"/>
      <c r="BB288" s="1008"/>
    </row>
    <row r="289" spans="1:54" s="993" customFormat="1" hidden="1" outlineLevel="1" x14ac:dyDescent="0.25">
      <c r="A289" s="1012"/>
      <c r="B289" s="1020"/>
      <c r="C289" s="1009"/>
      <c r="D289" s="3840"/>
      <c r="E289" s="483" t="s">
        <v>1603</v>
      </c>
      <c r="F289" s="1043">
        <v>1</v>
      </c>
      <c r="G289" s="1189" t="s">
        <v>714</v>
      </c>
      <c r="H289" s="3572"/>
      <c r="I289" s="1020"/>
      <c r="J289" s="1020"/>
      <c r="K289" s="1020"/>
      <c r="L289" s="1020"/>
      <c r="M289" s="1020"/>
      <c r="N289" s="1020"/>
      <c r="O289" s="1020"/>
      <c r="P289" s="1020"/>
      <c r="Q289" s="1020"/>
      <c r="R289" s="1020"/>
      <c r="S289" s="1012"/>
      <c r="T289" s="1012"/>
      <c r="U289" s="1012"/>
      <c r="V289" s="3842"/>
      <c r="W289" s="1021">
        <v>1</v>
      </c>
      <c r="X289" s="1021">
        <v>1</v>
      </c>
      <c r="Y289" s="1021">
        <v>1</v>
      </c>
      <c r="Z289" s="1043">
        <v>1</v>
      </c>
      <c r="AA289" s="1043">
        <v>1</v>
      </c>
      <c r="AB289" s="1043">
        <v>1</v>
      </c>
      <c r="AC289" s="1021"/>
      <c r="AD289" s="1021"/>
      <c r="AE289" s="1021"/>
      <c r="AF289" s="1021"/>
      <c r="AG289" s="1021"/>
      <c r="AK289" s="982"/>
      <c r="BB289" s="1008"/>
    </row>
    <row r="290" spans="1:54" s="993" customFormat="1" hidden="1" outlineLevel="1" x14ac:dyDescent="0.25">
      <c r="A290" s="1012"/>
      <c r="B290" s="1020"/>
      <c r="C290" s="1009"/>
      <c r="D290" s="3840"/>
      <c r="E290" s="483" t="s">
        <v>1605</v>
      </c>
      <c r="F290" s="1043">
        <f>7/3.412*0.85</f>
        <v>1.7438452520515826</v>
      </c>
      <c r="G290" s="1189" t="s">
        <v>714</v>
      </c>
      <c r="H290" s="3572"/>
      <c r="I290" s="1020"/>
      <c r="J290" s="1020"/>
      <c r="K290" s="1020"/>
      <c r="L290" s="1020"/>
      <c r="M290" s="1020"/>
      <c r="N290" s="1020"/>
      <c r="O290" s="1020"/>
      <c r="P290" s="1020"/>
      <c r="Q290" s="1020"/>
      <c r="R290" s="1020"/>
      <c r="S290" s="1012"/>
      <c r="T290" s="1012"/>
      <c r="U290" s="1012"/>
      <c r="V290" s="3842"/>
      <c r="W290" s="1021">
        <f>7/3.412*0.85</f>
        <v>1.7438452520515826</v>
      </c>
      <c r="X290" s="1021">
        <v>1.7438452520515826</v>
      </c>
      <c r="Y290" s="1021">
        <v>1.7438452520515826</v>
      </c>
      <c r="Z290" s="1043">
        <v>1.7438452520515826</v>
      </c>
      <c r="AA290" s="1043">
        <v>1.7438452520515826</v>
      </c>
      <c r="AB290" s="1043">
        <v>1.7438452520515826</v>
      </c>
      <c r="AC290" s="1021"/>
      <c r="AD290" s="1021"/>
      <c r="AE290" s="1021"/>
      <c r="AF290" s="1021"/>
      <c r="AG290" s="1021"/>
      <c r="AK290" s="982"/>
      <c r="BB290" s="1008"/>
    </row>
    <row r="291" spans="1:54" s="993" customFormat="1" hidden="1" outlineLevel="1" x14ac:dyDescent="0.25">
      <c r="A291" s="1012"/>
      <c r="B291" s="1020"/>
      <c r="C291" s="1009"/>
      <c r="D291" s="3840"/>
      <c r="E291" s="1851" t="s">
        <v>1607</v>
      </c>
      <c r="F291" s="1046">
        <v>0.71</v>
      </c>
      <c r="G291" s="1189" t="s">
        <v>714</v>
      </c>
      <c r="H291" s="3572"/>
      <c r="I291" s="1020"/>
      <c r="J291" s="1020"/>
      <c r="K291" s="1020"/>
      <c r="L291" s="1020"/>
      <c r="M291" s="1020"/>
      <c r="N291" s="1020"/>
      <c r="O291" s="1020"/>
      <c r="P291" s="1020"/>
      <c r="Q291" s="1020"/>
      <c r="R291" s="1020"/>
      <c r="S291" s="1012"/>
      <c r="T291" s="1012"/>
      <c r="U291" s="1012"/>
      <c r="V291" s="3842"/>
      <c r="W291" s="1022">
        <v>0.71</v>
      </c>
      <c r="X291" s="1022">
        <v>0.71</v>
      </c>
      <c r="Y291" s="1022">
        <v>0.71</v>
      </c>
      <c r="Z291" s="1046">
        <v>0.71</v>
      </c>
      <c r="AA291" s="1046">
        <v>0.71</v>
      </c>
      <c r="AB291" s="1046">
        <v>0.71</v>
      </c>
      <c r="AC291" s="1022"/>
      <c r="AD291" s="1022"/>
      <c r="AE291" s="1022"/>
      <c r="AF291" s="1022"/>
      <c r="AG291" s="1022"/>
      <c r="AK291" s="982"/>
      <c r="BB291" s="1008"/>
    </row>
    <row r="292" spans="1:54" s="993" customFormat="1" hidden="1" outlineLevel="1" x14ac:dyDescent="0.25">
      <c r="A292" s="1012"/>
      <c r="B292" s="1020"/>
      <c r="C292" s="1009"/>
      <c r="D292" s="3840"/>
      <c r="E292" s="483" t="s">
        <v>1609</v>
      </c>
      <c r="F292" s="1043">
        <v>1</v>
      </c>
      <c r="G292" s="1189" t="s">
        <v>714</v>
      </c>
      <c r="H292" s="3572"/>
      <c r="I292" s="1020"/>
      <c r="J292" s="1020"/>
      <c r="K292" s="1020"/>
      <c r="L292" s="1020"/>
      <c r="M292" s="1020"/>
      <c r="N292" s="1020"/>
      <c r="O292" s="1020"/>
      <c r="P292" s="1020"/>
      <c r="Q292" s="1020"/>
      <c r="R292" s="1020"/>
      <c r="S292" s="1012"/>
      <c r="T292" s="1012"/>
      <c r="U292" s="1012"/>
      <c r="V292" s="3842"/>
      <c r="W292" s="1021">
        <v>1</v>
      </c>
      <c r="X292" s="1021">
        <v>1</v>
      </c>
      <c r="Y292" s="1021">
        <v>1</v>
      </c>
      <c r="Z292" s="1043">
        <v>1</v>
      </c>
      <c r="AA292" s="1043">
        <v>1</v>
      </c>
      <c r="AB292" s="1043">
        <v>1</v>
      </c>
      <c r="AC292" s="1021"/>
      <c r="AD292" s="1021"/>
      <c r="AE292" s="1021"/>
      <c r="AF292" s="1021"/>
      <c r="AG292" s="1021"/>
      <c r="AK292" s="982"/>
      <c r="BB292" s="1008"/>
    </row>
    <row r="293" spans="1:54" s="993" customFormat="1" hidden="1" outlineLevel="1" x14ac:dyDescent="0.25">
      <c r="A293" s="1012"/>
      <c r="B293" s="1020"/>
      <c r="C293" s="1009"/>
      <c r="D293" s="3840"/>
      <c r="E293" s="483" t="s">
        <v>1611</v>
      </c>
      <c r="F293" s="1043">
        <f>7/3.412*0.85</f>
        <v>1.7438452520515826</v>
      </c>
      <c r="G293" s="1189" t="s">
        <v>714</v>
      </c>
      <c r="H293" s="3572"/>
      <c r="I293" s="1020"/>
      <c r="J293" s="1020"/>
      <c r="K293" s="1020"/>
      <c r="L293" s="1020"/>
      <c r="M293" s="1020"/>
      <c r="N293" s="1020"/>
      <c r="O293" s="1020"/>
      <c r="P293" s="1020"/>
      <c r="Q293" s="1020"/>
      <c r="R293" s="1020"/>
      <c r="S293" s="1012"/>
      <c r="T293" s="1012"/>
      <c r="U293" s="1012"/>
      <c r="V293" s="3842"/>
      <c r="W293" s="1021">
        <f>7/3.412*0.85</f>
        <v>1.7438452520515826</v>
      </c>
      <c r="X293" s="1021">
        <v>1.7438452520515826</v>
      </c>
      <c r="Y293" s="1021">
        <v>1.7438452520515826</v>
      </c>
      <c r="Z293" s="1043">
        <v>1.7438452520515826</v>
      </c>
      <c r="AA293" s="1043">
        <v>1.7438452520515826</v>
      </c>
      <c r="AB293" s="1043">
        <v>1.7438452520515826</v>
      </c>
      <c r="AC293" s="1021"/>
      <c r="AD293" s="1021"/>
      <c r="AE293" s="1021"/>
      <c r="AF293" s="1021"/>
      <c r="AG293" s="1021"/>
      <c r="AK293" s="982"/>
      <c r="BB293" s="1008"/>
    </row>
    <row r="294" spans="1:54" s="993" customFormat="1" hidden="1" outlineLevel="1" x14ac:dyDescent="0.25">
      <c r="A294" s="1012"/>
      <c r="B294" s="1020"/>
      <c r="C294" s="1009"/>
      <c r="D294" s="3840"/>
      <c r="E294" s="489" t="s">
        <v>1613</v>
      </c>
      <c r="F294" s="1046">
        <v>0.71</v>
      </c>
      <c r="G294" s="1189" t="s">
        <v>714</v>
      </c>
      <c r="H294" s="3572"/>
      <c r="I294" s="1020"/>
      <c r="J294" s="1020"/>
      <c r="K294" s="1020"/>
      <c r="L294" s="1020"/>
      <c r="M294" s="1020"/>
      <c r="N294" s="1020"/>
      <c r="O294" s="1020"/>
      <c r="P294" s="1020"/>
      <c r="Q294" s="1020"/>
      <c r="R294" s="1020"/>
      <c r="S294" s="1012"/>
      <c r="T294" s="1012"/>
      <c r="U294" s="1012"/>
      <c r="V294" s="3842"/>
      <c r="W294" s="1022">
        <v>0.71</v>
      </c>
      <c r="X294" s="1022">
        <v>0.71</v>
      </c>
      <c r="Y294" s="1022">
        <v>0.71</v>
      </c>
      <c r="Z294" s="1046">
        <v>0.71</v>
      </c>
      <c r="AA294" s="1046">
        <v>0.71</v>
      </c>
      <c r="AB294" s="1046">
        <v>0.71</v>
      </c>
      <c r="AC294" s="1022"/>
      <c r="AD294" s="1022"/>
      <c r="AE294" s="1022"/>
      <c r="AF294" s="1022"/>
      <c r="AG294" s="1022"/>
      <c r="AK294" s="982"/>
      <c r="BB294" s="1008"/>
    </row>
    <row r="295" spans="1:54" s="993" customFormat="1" hidden="1" outlineLevel="1" x14ac:dyDescent="0.25">
      <c r="A295" s="1012"/>
      <c r="B295" s="1020"/>
      <c r="C295" s="1009"/>
      <c r="D295" s="3840"/>
      <c r="E295" s="483" t="s">
        <v>1615</v>
      </c>
      <c r="F295" s="1043">
        <v>1</v>
      </c>
      <c r="G295" s="1189" t="s">
        <v>714</v>
      </c>
      <c r="H295" s="3572"/>
      <c r="I295" s="1020"/>
      <c r="J295" s="1020"/>
      <c r="K295" s="1020"/>
      <c r="L295" s="1020"/>
      <c r="M295" s="1020"/>
      <c r="N295" s="1020"/>
      <c r="O295" s="1020"/>
      <c r="P295" s="1020"/>
      <c r="Q295" s="1020"/>
      <c r="R295" s="1020"/>
      <c r="S295" s="1012"/>
      <c r="T295" s="1012"/>
      <c r="U295" s="1012"/>
      <c r="V295" s="3842"/>
      <c r="W295" s="1021">
        <v>1</v>
      </c>
      <c r="X295" s="1021">
        <v>1</v>
      </c>
      <c r="Y295" s="1021">
        <v>1</v>
      </c>
      <c r="Z295" s="1043">
        <v>1</v>
      </c>
      <c r="AA295" s="1043">
        <v>1</v>
      </c>
      <c r="AB295" s="1043">
        <v>1</v>
      </c>
      <c r="AC295" s="1021"/>
      <c r="AD295" s="1021"/>
      <c r="AE295" s="1021"/>
      <c r="AF295" s="1021"/>
      <c r="AG295" s="1021"/>
      <c r="AK295" s="982"/>
      <c r="BB295" s="1008"/>
    </row>
    <row r="296" spans="1:54" s="993" customFormat="1" hidden="1" outlineLevel="1" x14ac:dyDescent="0.25">
      <c r="A296" s="1012"/>
      <c r="B296" s="1020"/>
      <c r="C296" s="1009"/>
      <c r="D296" s="3840"/>
      <c r="E296" s="483" t="s">
        <v>1617</v>
      </c>
      <c r="F296" s="1043">
        <f>7/3.412*0.85</f>
        <v>1.7438452520515826</v>
      </c>
      <c r="G296" s="1189" t="s">
        <v>714</v>
      </c>
      <c r="H296" s="3572"/>
      <c r="I296" s="1020"/>
      <c r="J296" s="1020"/>
      <c r="K296" s="1020"/>
      <c r="L296" s="1020"/>
      <c r="M296" s="1020"/>
      <c r="N296" s="1020"/>
      <c r="O296" s="1020"/>
      <c r="P296" s="1020"/>
      <c r="Q296" s="1020"/>
      <c r="R296" s="1020"/>
      <c r="S296" s="1012"/>
      <c r="T296" s="1012"/>
      <c r="U296" s="1012"/>
      <c r="V296" s="3842"/>
      <c r="W296" s="1021">
        <f>7/3.412*0.85</f>
        <v>1.7438452520515826</v>
      </c>
      <c r="X296" s="1021">
        <v>1.7438452520515826</v>
      </c>
      <c r="Y296" s="1021">
        <v>1.7438452520515826</v>
      </c>
      <c r="Z296" s="1043">
        <v>1.7438452520515826</v>
      </c>
      <c r="AA296" s="1043">
        <v>1.7438452520515826</v>
      </c>
      <c r="AB296" s="1043">
        <v>1.7438452520515826</v>
      </c>
      <c r="AC296" s="1021"/>
      <c r="AD296" s="1021"/>
      <c r="AE296" s="1021"/>
      <c r="AF296" s="1021"/>
      <c r="AG296" s="1021"/>
      <c r="AK296" s="982"/>
      <c r="BB296" s="1008"/>
    </row>
    <row r="297" spans="1:54" s="993" customFormat="1" hidden="1" outlineLevel="1" x14ac:dyDescent="0.25">
      <c r="A297" s="1012"/>
      <c r="B297" s="1020"/>
      <c r="C297" s="1009"/>
      <c r="D297" s="3840"/>
      <c r="E297" s="1851" t="s">
        <v>1619</v>
      </c>
      <c r="F297" s="1046">
        <v>0.71</v>
      </c>
      <c r="G297" s="1189" t="s">
        <v>714</v>
      </c>
      <c r="H297" s="3572"/>
      <c r="I297" s="1020"/>
      <c r="J297" s="1020"/>
      <c r="K297" s="1020"/>
      <c r="L297" s="1020"/>
      <c r="M297" s="1020"/>
      <c r="N297" s="1020"/>
      <c r="O297" s="1020"/>
      <c r="P297" s="1020"/>
      <c r="Q297" s="1020"/>
      <c r="R297" s="1020"/>
      <c r="S297" s="1012"/>
      <c r="T297" s="1012"/>
      <c r="U297" s="1012"/>
      <c r="V297" s="3842"/>
      <c r="W297" s="1022">
        <v>0.71</v>
      </c>
      <c r="X297" s="1022">
        <v>0.71</v>
      </c>
      <c r="Y297" s="1022">
        <v>0.71</v>
      </c>
      <c r="Z297" s="1046">
        <v>0.71</v>
      </c>
      <c r="AA297" s="1046">
        <v>0.71</v>
      </c>
      <c r="AB297" s="1046">
        <v>0.71</v>
      </c>
      <c r="AC297" s="1022"/>
      <c r="AD297" s="1022"/>
      <c r="AE297" s="1022"/>
      <c r="AF297" s="1022"/>
      <c r="AG297" s="1022"/>
      <c r="AK297" s="982"/>
      <c r="BB297" s="1008"/>
    </row>
    <row r="298" spans="1:54" s="993" customFormat="1" hidden="1" outlineLevel="1" x14ac:dyDescent="0.25">
      <c r="A298" s="1012"/>
      <c r="B298" s="1020"/>
      <c r="C298" s="1009"/>
      <c r="D298" s="3840"/>
      <c r="E298" s="483" t="s">
        <v>1621</v>
      </c>
      <c r="F298" s="1043">
        <v>1</v>
      </c>
      <c r="G298" s="1189" t="s">
        <v>714</v>
      </c>
      <c r="H298" s="3572"/>
      <c r="I298" s="1020"/>
      <c r="J298" s="1020"/>
      <c r="K298" s="1020"/>
      <c r="L298" s="1020"/>
      <c r="M298" s="1020"/>
      <c r="N298" s="1020"/>
      <c r="O298" s="1020"/>
      <c r="P298" s="1020"/>
      <c r="Q298" s="1020"/>
      <c r="R298" s="1020"/>
      <c r="S298" s="1012"/>
      <c r="T298" s="1012"/>
      <c r="U298" s="1012"/>
      <c r="V298" s="3842"/>
      <c r="W298" s="1021">
        <v>1</v>
      </c>
      <c r="X298" s="1021">
        <v>1</v>
      </c>
      <c r="Y298" s="1021">
        <v>1</v>
      </c>
      <c r="Z298" s="1043">
        <v>1</v>
      </c>
      <c r="AA298" s="1043">
        <v>1</v>
      </c>
      <c r="AB298" s="1043">
        <v>1</v>
      </c>
      <c r="AC298" s="1021"/>
      <c r="AD298" s="1021"/>
      <c r="AE298" s="1021"/>
      <c r="AF298" s="1021"/>
      <c r="AG298" s="1021"/>
      <c r="AK298" s="982"/>
      <c r="BB298" s="1008"/>
    </row>
    <row r="299" spans="1:54" s="993" customFormat="1" hidden="1" outlineLevel="1" x14ac:dyDescent="0.25">
      <c r="A299" s="1012"/>
      <c r="B299" s="1020"/>
      <c r="C299" s="1009"/>
      <c r="D299" s="3840"/>
      <c r="E299" s="483" t="s">
        <v>1623</v>
      </c>
      <c r="F299" s="1043">
        <f>7/3.412*0.85</f>
        <v>1.7438452520515826</v>
      </c>
      <c r="G299" s="1189" t="s">
        <v>714</v>
      </c>
      <c r="H299" s="3572"/>
      <c r="I299" s="1020"/>
      <c r="J299" s="1020"/>
      <c r="K299" s="1020"/>
      <c r="L299" s="1020"/>
      <c r="M299" s="1020"/>
      <c r="N299" s="1020"/>
      <c r="O299" s="1020"/>
      <c r="P299" s="1020"/>
      <c r="Q299" s="1020"/>
      <c r="R299" s="1020"/>
      <c r="S299" s="1012"/>
      <c r="T299" s="1012"/>
      <c r="U299" s="1012"/>
      <c r="V299" s="3842"/>
      <c r="W299" s="1021">
        <f>7/3.412*0.85</f>
        <v>1.7438452520515826</v>
      </c>
      <c r="X299" s="1021">
        <v>1.7438452520515826</v>
      </c>
      <c r="Y299" s="1021">
        <v>1.7438452520515826</v>
      </c>
      <c r="Z299" s="1043">
        <v>1.7438452520515826</v>
      </c>
      <c r="AA299" s="1043">
        <v>1.7438452520515826</v>
      </c>
      <c r="AB299" s="1043">
        <v>1.7438452520515826</v>
      </c>
      <c r="AC299" s="1021"/>
      <c r="AD299" s="1021"/>
      <c r="AE299" s="1021"/>
      <c r="AF299" s="1021"/>
      <c r="AG299" s="1021"/>
      <c r="AK299" s="982"/>
      <c r="BB299" s="1008"/>
    </row>
    <row r="300" spans="1:54" s="993" customFormat="1" hidden="1" outlineLevel="1" x14ac:dyDescent="0.25">
      <c r="A300" s="1012"/>
      <c r="B300" s="1020"/>
      <c r="C300" s="1009"/>
      <c r="D300" s="3840"/>
      <c r="E300" s="489" t="s">
        <v>1625</v>
      </c>
      <c r="F300" s="1046">
        <v>0.71</v>
      </c>
      <c r="G300" s="1189" t="s">
        <v>714</v>
      </c>
      <c r="H300" s="3572"/>
      <c r="I300" s="1020"/>
      <c r="J300" s="1020"/>
      <c r="K300" s="1020"/>
      <c r="L300" s="1020"/>
      <c r="M300" s="1020"/>
      <c r="N300" s="1020"/>
      <c r="O300" s="1020"/>
      <c r="P300" s="1020"/>
      <c r="Q300" s="1020"/>
      <c r="R300" s="1020"/>
      <c r="S300" s="1012"/>
      <c r="T300" s="1012"/>
      <c r="U300" s="1012"/>
      <c r="V300" s="3842"/>
      <c r="W300" s="1022">
        <v>0.71</v>
      </c>
      <c r="X300" s="1022">
        <v>0.71</v>
      </c>
      <c r="Y300" s="1022">
        <v>0.71</v>
      </c>
      <c r="Z300" s="1046">
        <v>0.71</v>
      </c>
      <c r="AA300" s="1046">
        <v>0.71</v>
      </c>
      <c r="AB300" s="1046">
        <v>0.71</v>
      </c>
      <c r="AC300" s="1022"/>
      <c r="AD300" s="1022"/>
      <c r="AE300" s="1022"/>
      <c r="AF300" s="1022"/>
      <c r="AG300" s="1022"/>
      <c r="AK300" s="982"/>
      <c r="BB300" s="1008"/>
    </row>
    <row r="301" spans="1:54" s="993" customFormat="1" hidden="1" outlineLevel="1" x14ac:dyDescent="0.25">
      <c r="A301" s="1012"/>
      <c r="B301" s="1020"/>
      <c r="C301" s="1009"/>
      <c r="D301" s="3840"/>
      <c r="E301" s="483" t="s">
        <v>1627</v>
      </c>
      <c r="F301" s="1043">
        <v>1</v>
      </c>
      <c r="G301" s="1189" t="s">
        <v>714</v>
      </c>
      <c r="H301" s="3572"/>
      <c r="I301" s="1020"/>
      <c r="J301" s="1020"/>
      <c r="K301" s="1020"/>
      <c r="L301" s="1020"/>
      <c r="M301" s="1020"/>
      <c r="N301" s="1020"/>
      <c r="O301" s="1020"/>
      <c r="P301" s="1020"/>
      <c r="Q301" s="1020"/>
      <c r="R301" s="1020"/>
      <c r="S301" s="1012"/>
      <c r="T301" s="1012"/>
      <c r="U301" s="1012"/>
      <c r="V301" s="3842"/>
      <c r="W301" s="1021">
        <v>1</v>
      </c>
      <c r="X301" s="1021">
        <v>1</v>
      </c>
      <c r="Y301" s="1021">
        <v>1</v>
      </c>
      <c r="Z301" s="1043">
        <v>1</v>
      </c>
      <c r="AA301" s="1043">
        <v>1</v>
      </c>
      <c r="AB301" s="1043">
        <v>1</v>
      </c>
      <c r="AC301" s="1021"/>
      <c r="AD301" s="1021"/>
      <c r="AE301" s="1021"/>
      <c r="AF301" s="1021"/>
      <c r="AG301" s="1021"/>
      <c r="AK301" s="982"/>
      <c r="BB301" s="1008"/>
    </row>
    <row r="302" spans="1:54" s="993" customFormat="1" hidden="1" outlineLevel="1" x14ac:dyDescent="0.25">
      <c r="A302" s="1012"/>
      <c r="B302" s="1020"/>
      <c r="C302" s="1009"/>
      <c r="D302" s="3840"/>
      <c r="E302" s="489" t="s">
        <v>1629</v>
      </c>
      <c r="F302" s="1043">
        <f>7/3.412*0.85</f>
        <v>1.7438452520515826</v>
      </c>
      <c r="G302" s="1189" t="s">
        <v>714</v>
      </c>
      <c r="H302" s="3572"/>
      <c r="I302" s="1020"/>
      <c r="J302" s="1020"/>
      <c r="K302" s="1020"/>
      <c r="L302" s="1020"/>
      <c r="M302" s="1020"/>
      <c r="N302" s="1020"/>
      <c r="O302" s="1020"/>
      <c r="P302" s="1020"/>
      <c r="Q302" s="1020"/>
      <c r="R302" s="1020"/>
      <c r="S302" s="1012"/>
      <c r="T302" s="1012"/>
      <c r="U302" s="1012"/>
      <c r="V302" s="3842"/>
      <c r="W302" s="1021">
        <f>7/3.412*0.85</f>
        <v>1.7438452520515826</v>
      </c>
      <c r="X302" s="1021">
        <v>1.7438452520515826</v>
      </c>
      <c r="Y302" s="1021">
        <v>1.7438452520515826</v>
      </c>
      <c r="Z302" s="1043">
        <v>1.7438452520515826</v>
      </c>
      <c r="AA302" s="1043">
        <v>1.7438452520515826</v>
      </c>
      <c r="AB302" s="1043">
        <v>1.7438452520515826</v>
      </c>
      <c r="AC302" s="1021"/>
      <c r="AD302" s="1021"/>
      <c r="AE302" s="1021"/>
      <c r="AF302" s="1021"/>
      <c r="AG302" s="1021"/>
      <c r="AK302" s="982"/>
      <c r="BB302" s="1008"/>
    </row>
    <row r="303" spans="1:54" s="993" customFormat="1" hidden="1" outlineLevel="1" x14ac:dyDescent="0.25">
      <c r="A303" s="1012"/>
      <c r="B303" s="1020"/>
      <c r="C303" s="1009"/>
      <c r="D303" s="3840"/>
      <c r="E303" s="483" t="s">
        <v>1631</v>
      </c>
      <c r="F303" s="1046">
        <v>0.71</v>
      </c>
      <c r="G303" s="1189" t="s">
        <v>714</v>
      </c>
      <c r="H303" s="3572"/>
      <c r="I303" s="1020"/>
      <c r="J303" s="1020"/>
      <c r="K303" s="1020"/>
      <c r="L303" s="1020"/>
      <c r="M303" s="1020"/>
      <c r="N303" s="1020"/>
      <c r="O303" s="1020"/>
      <c r="P303" s="1020"/>
      <c r="Q303" s="1020"/>
      <c r="R303" s="1020"/>
      <c r="S303" s="1012"/>
      <c r="T303" s="1012"/>
      <c r="U303" s="1012"/>
      <c r="V303" s="3842"/>
      <c r="W303" s="1022">
        <v>0.71</v>
      </c>
      <c r="X303" s="1022">
        <v>0.71</v>
      </c>
      <c r="Y303" s="1022">
        <v>0.71</v>
      </c>
      <c r="Z303" s="1046">
        <v>0.71</v>
      </c>
      <c r="AA303" s="1046">
        <v>0.71</v>
      </c>
      <c r="AB303" s="1046">
        <v>0.71</v>
      </c>
      <c r="AC303" s="1022"/>
      <c r="AD303" s="1022"/>
      <c r="AE303" s="1022"/>
      <c r="AF303" s="1022"/>
      <c r="AG303" s="1022"/>
      <c r="AK303" s="982"/>
      <c r="BB303" s="1008"/>
    </row>
    <row r="304" spans="1:54" s="993" customFormat="1" hidden="1" outlineLevel="1" x14ac:dyDescent="0.25">
      <c r="A304" s="1012"/>
      <c r="B304" s="1020"/>
      <c r="C304" s="1009"/>
      <c r="D304" s="3840"/>
      <c r="E304" s="483" t="s">
        <v>1633</v>
      </c>
      <c r="F304" s="1043">
        <v>1</v>
      </c>
      <c r="G304" s="1189" t="s">
        <v>714</v>
      </c>
      <c r="H304" s="3572"/>
      <c r="I304" s="1020"/>
      <c r="J304" s="1020"/>
      <c r="K304" s="1020"/>
      <c r="L304" s="1020"/>
      <c r="M304" s="1020"/>
      <c r="N304" s="1020"/>
      <c r="O304" s="1020"/>
      <c r="P304" s="1020"/>
      <c r="Q304" s="1020"/>
      <c r="R304" s="1020"/>
      <c r="S304" s="1012"/>
      <c r="T304" s="1012"/>
      <c r="U304" s="1012"/>
      <c r="V304" s="3842"/>
      <c r="W304" s="1021">
        <v>1</v>
      </c>
      <c r="X304" s="1021">
        <v>1</v>
      </c>
      <c r="Y304" s="1021">
        <v>1</v>
      </c>
      <c r="Z304" s="1043">
        <v>1</v>
      </c>
      <c r="AA304" s="1043">
        <v>1</v>
      </c>
      <c r="AB304" s="1043">
        <v>1</v>
      </c>
      <c r="AC304" s="1021"/>
      <c r="AD304" s="1021"/>
      <c r="AE304" s="1021"/>
      <c r="AF304" s="1021"/>
      <c r="AG304" s="1021"/>
      <c r="AK304" s="982"/>
      <c r="BB304" s="1008"/>
    </row>
    <row r="305" spans="1:54" s="993" customFormat="1" hidden="1" outlineLevel="1" x14ac:dyDescent="0.25">
      <c r="A305" s="1012"/>
      <c r="B305" s="1020"/>
      <c r="C305" s="1009"/>
      <c r="D305" s="3840"/>
      <c r="E305" s="483" t="s">
        <v>1635</v>
      </c>
      <c r="F305" s="1043">
        <f>7/3.412*0.85</f>
        <v>1.7438452520515826</v>
      </c>
      <c r="G305" s="1189" t="s">
        <v>714</v>
      </c>
      <c r="H305" s="3572"/>
      <c r="I305" s="1020"/>
      <c r="J305" s="1020"/>
      <c r="K305" s="1020"/>
      <c r="L305" s="1020"/>
      <c r="M305" s="1020"/>
      <c r="N305" s="1020"/>
      <c r="O305" s="1020"/>
      <c r="P305" s="1020"/>
      <c r="Q305" s="1020"/>
      <c r="R305" s="1020"/>
      <c r="S305" s="1012"/>
      <c r="T305" s="1012"/>
      <c r="U305" s="1012"/>
      <c r="V305" s="3842"/>
      <c r="W305" s="1021">
        <f>7/3.412*0.85</f>
        <v>1.7438452520515826</v>
      </c>
      <c r="X305" s="1021">
        <v>1.7438452520515826</v>
      </c>
      <c r="Y305" s="1021">
        <v>1.7438452520515826</v>
      </c>
      <c r="Z305" s="1043">
        <v>1.7438452520515826</v>
      </c>
      <c r="AA305" s="1043">
        <v>1.7438452520515826</v>
      </c>
      <c r="AB305" s="1043">
        <v>1.7438452520515826</v>
      </c>
      <c r="AC305" s="1021"/>
      <c r="AD305" s="1021"/>
      <c r="AE305" s="1021"/>
      <c r="AF305" s="1021"/>
      <c r="AG305" s="1021"/>
      <c r="AK305" s="982"/>
      <c r="BB305" s="1008"/>
    </row>
    <row r="306" spans="1:54" s="993" customFormat="1" hidden="1" outlineLevel="1" x14ac:dyDescent="0.25">
      <c r="A306" s="1012"/>
      <c r="B306" s="1020"/>
      <c r="C306" s="1009"/>
      <c r="D306" s="3840"/>
      <c r="E306" s="489" t="s">
        <v>1637</v>
      </c>
      <c r="F306" s="1046">
        <v>0.71</v>
      </c>
      <c r="G306" s="1189" t="s">
        <v>714</v>
      </c>
      <c r="H306" s="3572"/>
      <c r="I306" s="1020"/>
      <c r="J306" s="1020"/>
      <c r="K306" s="1020"/>
      <c r="L306" s="1020"/>
      <c r="M306" s="1020"/>
      <c r="N306" s="1020"/>
      <c r="O306" s="1020"/>
      <c r="P306" s="1020"/>
      <c r="Q306" s="1020"/>
      <c r="R306" s="1020"/>
      <c r="S306" s="1012"/>
      <c r="T306" s="1012"/>
      <c r="U306" s="1012"/>
      <c r="V306" s="3842"/>
      <c r="W306" s="1022">
        <v>0.71</v>
      </c>
      <c r="X306" s="1022">
        <v>0.71</v>
      </c>
      <c r="Y306" s="1022">
        <v>0.71</v>
      </c>
      <c r="Z306" s="1046">
        <v>0.71</v>
      </c>
      <c r="AA306" s="1046">
        <v>0.71</v>
      </c>
      <c r="AB306" s="1046">
        <v>0.71</v>
      </c>
      <c r="AC306" s="1022"/>
      <c r="AD306" s="1022"/>
      <c r="AE306" s="1022"/>
      <c r="AF306" s="1022"/>
      <c r="AG306" s="1022"/>
      <c r="AK306" s="982"/>
      <c r="BB306" s="1008"/>
    </row>
    <row r="307" spans="1:54" s="993" customFormat="1" hidden="1" outlineLevel="1" x14ac:dyDescent="0.25">
      <c r="A307" s="1012"/>
      <c r="B307" s="1020"/>
      <c r="C307" s="1009"/>
      <c r="D307" s="3840"/>
      <c r="E307" s="483" t="s">
        <v>1639</v>
      </c>
      <c r="F307" s="1043">
        <v>1</v>
      </c>
      <c r="G307" s="1189" t="s">
        <v>714</v>
      </c>
      <c r="H307" s="3572"/>
      <c r="I307" s="1020"/>
      <c r="J307" s="1020"/>
      <c r="K307" s="1020"/>
      <c r="L307" s="1020"/>
      <c r="M307" s="1020"/>
      <c r="N307" s="1020"/>
      <c r="O307" s="1020"/>
      <c r="P307" s="1020"/>
      <c r="Q307" s="1020"/>
      <c r="R307" s="1020"/>
      <c r="S307" s="1012"/>
      <c r="T307" s="1012"/>
      <c r="U307" s="1012"/>
      <c r="V307" s="3842"/>
      <c r="W307" s="1021">
        <v>1</v>
      </c>
      <c r="X307" s="1021">
        <v>1</v>
      </c>
      <c r="Y307" s="1021">
        <v>1</v>
      </c>
      <c r="Z307" s="1043">
        <v>1</v>
      </c>
      <c r="AA307" s="1043">
        <v>1</v>
      </c>
      <c r="AB307" s="1043">
        <v>1</v>
      </c>
      <c r="AC307" s="1021"/>
      <c r="AD307" s="1021"/>
      <c r="AE307" s="1021"/>
      <c r="AF307" s="1021"/>
      <c r="AG307" s="1021"/>
      <c r="AK307" s="982"/>
      <c r="BB307" s="1008"/>
    </row>
    <row r="308" spans="1:54" s="993" customFormat="1" hidden="1" outlineLevel="1" x14ac:dyDescent="0.25">
      <c r="A308" s="1012"/>
      <c r="B308" s="1020"/>
      <c r="C308" s="1009"/>
      <c r="D308" s="3840"/>
      <c r="E308" s="489" t="s">
        <v>1641</v>
      </c>
      <c r="F308" s="1043">
        <f>7/3.412*0.85</f>
        <v>1.7438452520515826</v>
      </c>
      <c r="G308" s="1189" t="s">
        <v>714</v>
      </c>
      <c r="H308" s="3572"/>
      <c r="I308" s="1020"/>
      <c r="J308" s="1020"/>
      <c r="K308" s="1020"/>
      <c r="L308" s="1020"/>
      <c r="M308" s="1020"/>
      <c r="N308" s="1020"/>
      <c r="O308" s="1020"/>
      <c r="P308" s="1020"/>
      <c r="Q308" s="1020"/>
      <c r="R308" s="1020"/>
      <c r="S308" s="1012"/>
      <c r="T308" s="1012"/>
      <c r="U308" s="1012"/>
      <c r="V308" s="3842"/>
      <c r="W308" s="1021">
        <f>7/3.412*0.85</f>
        <v>1.7438452520515826</v>
      </c>
      <c r="X308" s="1021">
        <v>1.7438452520515826</v>
      </c>
      <c r="Y308" s="1021">
        <v>1.7438452520515826</v>
      </c>
      <c r="Z308" s="1043">
        <v>1.7438452520515826</v>
      </c>
      <c r="AA308" s="1043">
        <v>1.7438452520515826</v>
      </c>
      <c r="AB308" s="1043">
        <v>1.7438452520515826</v>
      </c>
      <c r="AC308" s="1021"/>
      <c r="AD308" s="1021"/>
      <c r="AE308" s="1021"/>
      <c r="AF308" s="1021"/>
      <c r="AG308" s="1021"/>
      <c r="AK308" s="982"/>
      <c r="BB308" s="1008"/>
    </row>
    <row r="309" spans="1:54" s="993" customFormat="1" hidden="1" outlineLevel="1" x14ac:dyDescent="0.25">
      <c r="A309" s="1012"/>
      <c r="B309" s="1020"/>
      <c r="C309" s="1009"/>
      <c r="D309" s="3840"/>
      <c r="E309" s="483" t="s">
        <v>1643</v>
      </c>
      <c r="F309" s="1046">
        <v>0.71</v>
      </c>
      <c r="G309" s="1189" t="s">
        <v>714</v>
      </c>
      <c r="H309" s="3856"/>
      <c r="I309" s="1020"/>
      <c r="J309" s="1020"/>
      <c r="K309" s="1020"/>
      <c r="L309" s="1020"/>
      <c r="M309" s="1020"/>
      <c r="N309" s="1020"/>
      <c r="O309" s="1020"/>
      <c r="P309" s="1020"/>
      <c r="Q309" s="1020"/>
      <c r="R309" s="1020"/>
      <c r="S309" s="1012"/>
      <c r="T309" s="1012"/>
      <c r="U309" s="1012"/>
      <c r="V309" s="3847"/>
      <c r="W309" s="1022">
        <v>0.71</v>
      </c>
      <c r="X309" s="1022">
        <v>0.71</v>
      </c>
      <c r="Y309" s="1022">
        <v>0.71</v>
      </c>
      <c r="Z309" s="1046">
        <v>0.71</v>
      </c>
      <c r="AA309" s="1046">
        <v>0.71</v>
      </c>
      <c r="AB309" s="1046">
        <v>0.71</v>
      </c>
      <c r="AC309" s="1022"/>
      <c r="AD309" s="1022"/>
      <c r="AE309" s="1022"/>
      <c r="AF309" s="1022"/>
      <c r="AG309" s="1022"/>
      <c r="AK309" s="982"/>
      <c r="BB309" s="1008"/>
    </row>
    <row r="310" spans="1:54" s="993" customFormat="1" hidden="1" outlineLevel="1" x14ac:dyDescent="0.25">
      <c r="A310" s="1012"/>
      <c r="B310" s="1020"/>
      <c r="C310" s="1009"/>
      <c r="D310" s="3860" t="s">
        <v>730</v>
      </c>
      <c r="E310" s="483" t="s">
        <v>1585</v>
      </c>
      <c r="F310" s="1043">
        <f t="shared" ref="F310:F339" si="42">(1-F157)*(1/(F187+5)-1/(F217+5))*F247*(1-F$277)*F$278*24*F$279/(100000*F280)</f>
        <v>0</v>
      </c>
      <c r="G310" s="1189" t="s">
        <v>731</v>
      </c>
      <c r="H310" s="1322"/>
      <c r="I310" s="1020"/>
      <c r="J310" s="1020"/>
      <c r="K310" s="1020"/>
      <c r="L310" s="1020"/>
      <c r="M310" s="1020"/>
      <c r="N310" s="1020"/>
      <c r="O310" s="1020"/>
      <c r="P310" s="1020"/>
      <c r="Q310" s="1020"/>
      <c r="R310" s="1020"/>
      <c r="S310" s="1012"/>
      <c r="T310" s="1012"/>
      <c r="U310" s="1012"/>
      <c r="V310" s="3841" t="str">
        <f>D310</f>
        <v>∆Therms</v>
      </c>
      <c r="W310" s="1021">
        <f t="shared" ref="W310:W339" si="43">(1-W157)*(1/(W187+5)-1/(W217+5))*W247*(1-W$277)*W$278*24*W$279/(100000*W280)</f>
        <v>0</v>
      </c>
      <c r="X310" s="1021">
        <v>0</v>
      </c>
      <c r="Y310" s="1021">
        <v>0</v>
      </c>
      <c r="Z310" s="1043">
        <v>0</v>
      </c>
      <c r="AA310" s="1043">
        <v>0</v>
      </c>
      <c r="AB310" s="1043">
        <v>0</v>
      </c>
      <c r="AC310" s="1021"/>
      <c r="AD310" s="1021"/>
      <c r="AE310" s="1021"/>
      <c r="AF310" s="1021"/>
      <c r="AG310" s="1021"/>
      <c r="AK310" s="982"/>
      <c r="BB310" s="1008"/>
    </row>
    <row r="311" spans="1:54" s="993" customFormat="1" hidden="1" outlineLevel="1" x14ac:dyDescent="0.25">
      <c r="A311" s="1012"/>
      <c r="B311" s="1020"/>
      <c r="C311" s="1009"/>
      <c r="D311" s="3861"/>
      <c r="E311" s="483" t="s">
        <v>1587</v>
      </c>
      <c r="F311" s="1043">
        <f t="shared" si="42"/>
        <v>0</v>
      </c>
      <c r="G311" s="1189" t="s">
        <v>731</v>
      </c>
      <c r="H311" s="1322"/>
      <c r="I311" s="1020"/>
      <c r="J311" s="1020"/>
      <c r="K311" s="1020"/>
      <c r="L311" s="1020"/>
      <c r="M311" s="1020"/>
      <c r="N311" s="1020"/>
      <c r="O311" s="1020"/>
      <c r="P311" s="1020"/>
      <c r="Q311" s="1020"/>
      <c r="R311" s="1020"/>
      <c r="S311" s="1012"/>
      <c r="T311" s="1012"/>
      <c r="U311" s="1012"/>
      <c r="V311" s="3842"/>
      <c r="W311" s="1021">
        <f t="shared" si="43"/>
        <v>0</v>
      </c>
      <c r="X311" s="1021">
        <v>0</v>
      </c>
      <c r="Y311" s="1021">
        <v>0</v>
      </c>
      <c r="Z311" s="1043">
        <v>0</v>
      </c>
      <c r="AA311" s="1043">
        <v>0</v>
      </c>
      <c r="AB311" s="1043">
        <v>0</v>
      </c>
      <c r="AC311" s="1021"/>
      <c r="AD311" s="1021"/>
      <c r="AE311" s="1021"/>
      <c r="AF311" s="1021"/>
      <c r="AG311" s="1021"/>
      <c r="AK311" s="982"/>
      <c r="BB311" s="1008"/>
    </row>
    <row r="312" spans="1:54" s="993" customFormat="1" hidden="1" outlineLevel="1" x14ac:dyDescent="0.25">
      <c r="A312" s="1012"/>
      <c r="B312" s="1020"/>
      <c r="C312" s="1009"/>
      <c r="D312" s="3861"/>
      <c r="E312" s="483" t="s">
        <v>1589</v>
      </c>
      <c r="F312" s="1043">
        <f t="shared" si="42"/>
        <v>4.5898308920187786E-2</v>
      </c>
      <c r="G312" s="1189" t="s">
        <v>731</v>
      </c>
      <c r="H312" s="1322"/>
      <c r="I312" s="1020"/>
      <c r="J312" s="1020"/>
      <c r="K312" s="1020"/>
      <c r="L312" s="1020"/>
      <c r="M312" s="1020"/>
      <c r="N312" s="1020"/>
      <c r="O312" s="1020"/>
      <c r="P312" s="1020"/>
      <c r="Q312" s="1020"/>
      <c r="R312" s="1020"/>
      <c r="S312" s="1012"/>
      <c r="T312" s="1012"/>
      <c r="U312" s="1012"/>
      <c r="V312" s="3842"/>
      <c r="W312" s="1021">
        <f t="shared" si="43"/>
        <v>40.186264375070415</v>
      </c>
      <c r="X312" s="1021">
        <v>40.186264375070415</v>
      </c>
      <c r="Y312" s="1021">
        <v>4.5898308920187786E-2</v>
      </c>
      <c r="Z312" s="1043">
        <v>4.5898308920187786E-2</v>
      </c>
      <c r="AA312" s="1043">
        <v>4.5898308920187786E-2</v>
      </c>
      <c r="AB312" s="1043">
        <v>4.5898308920187786E-2</v>
      </c>
      <c r="AC312" s="1021"/>
      <c r="AD312" s="1021"/>
      <c r="AE312" s="1021"/>
      <c r="AF312" s="1021"/>
      <c r="AG312" s="1021"/>
      <c r="AK312" s="982"/>
      <c r="BB312" s="1008"/>
    </row>
    <row r="313" spans="1:54" s="993" customFormat="1" hidden="1" outlineLevel="1" x14ac:dyDescent="0.25">
      <c r="A313" s="1012"/>
      <c r="B313" s="1020"/>
      <c r="C313" s="1009"/>
      <c r="D313" s="3861"/>
      <c r="E313" s="483" t="s">
        <v>1591</v>
      </c>
      <c r="F313" s="1043">
        <f t="shared" si="42"/>
        <v>0</v>
      </c>
      <c r="G313" s="1189" t="s">
        <v>731</v>
      </c>
      <c r="H313" s="1322"/>
      <c r="I313" s="1020"/>
      <c r="J313" s="1020"/>
      <c r="K313" s="1020"/>
      <c r="L313" s="1020"/>
      <c r="M313" s="1020"/>
      <c r="N313" s="1020"/>
      <c r="O313" s="1020"/>
      <c r="P313" s="1020"/>
      <c r="Q313" s="1020"/>
      <c r="R313" s="1020"/>
      <c r="S313" s="1012"/>
      <c r="T313" s="1012"/>
      <c r="U313" s="1012"/>
      <c r="V313" s="3842"/>
      <c r="W313" s="1021">
        <f t="shared" si="43"/>
        <v>0</v>
      </c>
      <c r="X313" s="1021">
        <v>0</v>
      </c>
      <c r="Y313" s="1021">
        <v>0</v>
      </c>
      <c r="Z313" s="1043">
        <v>0</v>
      </c>
      <c r="AA313" s="1043">
        <v>0</v>
      </c>
      <c r="AB313" s="1043">
        <v>0</v>
      </c>
      <c r="AC313" s="1021"/>
      <c r="AD313" s="1021"/>
      <c r="AE313" s="1021"/>
      <c r="AF313" s="1021"/>
      <c r="AG313" s="1021"/>
      <c r="AK313" s="982"/>
      <c r="BB313" s="1008"/>
    </row>
    <row r="314" spans="1:54" s="993" customFormat="1" hidden="1" outlineLevel="1" x14ac:dyDescent="0.25">
      <c r="A314" s="1012"/>
      <c r="B314" s="1020"/>
      <c r="C314" s="1009"/>
      <c r="D314" s="3861"/>
      <c r="E314" s="483" t="s">
        <v>1593</v>
      </c>
      <c r="F314" s="1043">
        <f t="shared" si="42"/>
        <v>0</v>
      </c>
      <c r="G314" s="1189" t="s">
        <v>731</v>
      </c>
      <c r="H314" s="1322"/>
      <c r="I314" s="1020"/>
      <c r="J314" s="1020"/>
      <c r="K314" s="1020"/>
      <c r="L314" s="1020"/>
      <c r="M314" s="1020"/>
      <c r="N314" s="1020"/>
      <c r="O314" s="1020"/>
      <c r="P314" s="1020"/>
      <c r="Q314" s="1020"/>
      <c r="R314" s="1020"/>
      <c r="S314" s="1012"/>
      <c r="T314" s="1012"/>
      <c r="U314" s="1012"/>
      <c r="V314" s="3842"/>
      <c r="W314" s="1021">
        <f t="shared" si="43"/>
        <v>0</v>
      </c>
      <c r="X314" s="1021">
        <v>0</v>
      </c>
      <c r="Y314" s="1021">
        <v>0</v>
      </c>
      <c r="Z314" s="1043">
        <v>0</v>
      </c>
      <c r="AA314" s="1043">
        <v>0</v>
      </c>
      <c r="AB314" s="1043">
        <v>0</v>
      </c>
      <c r="AC314" s="1021"/>
      <c r="AD314" s="1021"/>
      <c r="AE314" s="1021"/>
      <c r="AF314" s="1021"/>
      <c r="AG314" s="1021"/>
      <c r="AK314" s="982"/>
      <c r="BB314" s="1008"/>
    </row>
    <row r="315" spans="1:54" s="993" customFormat="1" hidden="1" outlineLevel="1" x14ac:dyDescent="0.25">
      <c r="A315" s="1012"/>
      <c r="B315" s="1020"/>
      <c r="C315" s="1009"/>
      <c r="D315" s="3861"/>
      <c r="E315" s="483" t="s">
        <v>1595</v>
      </c>
      <c r="F315" s="1043">
        <f t="shared" si="42"/>
        <v>4.5898308920187786E-2</v>
      </c>
      <c r="G315" s="1189" t="s">
        <v>731</v>
      </c>
      <c r="H315" s="1322"/>
      <c r="I315" s="1020"/>
      <c r="J315" s="1020"/>
      <c r="K315" s="1020"/>
      <c r="L315" s="1020"/>
      <c r="M315" s="1020"/>
      <c r="N315" s="1020"/>
      <c r="O315" s="1020"/>
      <c r="P315" s="1020"/>
      <c r="Q315" s="1020"/>
      <c r="R315" s="1020"/>
      <c r="S315" s="1012"/>
      <c r="T315" s="1012"/>
      <c r="U315" s="1012"/>
      <c r="V315" s="3842"/>
      <c r="W315" s="1021">
        <f t="shared" si="43"/>
        <v>61.825022115492956</v>
      </c>
      <c r="X315" s="1021">
        <v>61.825022115492956</v>
      </c>
      <c r="Y315" s="1021">
        <v>4.5898308920187786E-2</v>
      </c>
      <c r="Z315" s="1043">
        <v>4.5898308920187786E-2</v>
      </c>
      <c r="AA315" s="1043">
        <v>4.5898308920187786E-2</v>
      </c>
      <c r="AB315" s="1043">
        <v>4.5898308920187786E-2</v>
      </c>
      <c r="AC315" s="1021"/>
      <c r="AD315" s="1021"/>
      <c r="AE315" s="1021"/>
      <c r="AF315" s="1021"/>
      <c r="AG315" s="1021"/>
      <c r="AK315" s="982"/>
      <c r="BB315" s="1008"/>
    </row>
    <row r="316" spans="1:54" s="993" customFormat="1" hidden="1" outlineLevel="1" x14ac:dyDescent="0.25">
      <c r="A316" s="1012"/>
      <c r="B316" s="1020"/>
      <c r="C316" s="1009"/>
      <c r="D316" s="3861"/>
      <c r="E316" s="483" t="s">
        <v>1597</v>
      </c>
      <c r="F316" s="1043">
        <f t="shared" si="42"/>
        <v>0</v>
      </c>
      <c r="G316" s="1189" t="s">
        <v>731</v>
      </c>
      <c r="H316" s="1322"/>
      <c r="I316" s="1020"/>
      <c r="J316" s="1020"/>
      <c r="K316" s="1020"/>
      <c r="L316" s="1020"/>
      <c r="M316" s="1020"/>
      <c r="N316" s="1020"/>
      <c r="O316" s="1020"/>
      <c r="P316" s="1020"/>
      <c r="Q316" s="1020"/>
      <c r="R316" s="1020"/>
      <c r="S316" s="1012"/>
      <c r="T316" s="1012"/>
      <c r="U316" s="1012"/>
      <c r="V316" s="3842"/>
      <c r="W316" s="1021">
        <f t="shared" si="43"/>
        <v>0</v>
      </c>
      <c r="X316" s="1021">
        <v>0</v>
      </c>
      <c r="Y316" s="1021">
        <v>0</v>
      </c>
      <c r="Z316" s="1043">
        <v>0</v>
      </c>
      <c r="AA316" s="1043">
        <v>0</v>
      </c>
      <c r="AB316" s="1043">
        <v>0</v>
      </c>
      <c r="AC316" s="1021"/>
      <c r="AD316" s="1021"/>
      <c r="AE316" s="1021"/>
      <c r="AF316" s="1021"/>
      <c r="AG316" s="1021"/>
      <c r="AK316" s="982"/>
      <c r="BB316" s="1008"/>
    </row>
    <row r="317" spans="1:54" s="993" customFormat="1" hidden="1" outlineLevel="1" x14ac:dyDescent="0.25">
      <c r="A317" s="1012"/>
      <c r="B317" s="1020"/>
      <c r="C317" s="1009"/>
      <c r="D317" s="3861"/>
      <c r="E317" s="483" t="s">
        <v>1599</v>
      </c>
      <c r="F317" s="1043">
        <f t="shared" si="42"/>
        <v>0</v>
      </c>
      <c r="G317" s="1189" t="s">
        <v>731</v>
      </c>
      <c r="H317" s="1322"/>
      <c r="I317" s="1020"/>
      <c r="J317" s="1020"/>
      <c r="K317" s="1020"/>
      <c r="L317" s="1020"/>
      <c r="M317" s="1020"/>
      <c r="N317" s="1020"/>
      <c r="O317" s="1020"/>
      <c r="P317" s="1020"/>
      <c r="Q317" s="1020"/>
      <c r="R317" s="1020"/>
      <c r="S317" s="1012"/>
      <c r="T317" s="1012"/>
      <c r="U317" s="1012"/>
      <c r="V317" s="3842"/>
      <c r="W317" s="1021">
        <f t="shared" si="43"/>
        <v>0</v>
      </c>
      <c r="X317" s="1021">
        <v>0</v>
      </c>
      <c r="Y317" s="1021">
        <v>0</v>
      </c>
      <c r="Z317" s="1043">
        <v>0</v>
      </c>
      <c r="AA317" s="1043">
        <v>0</v>
      </c>
      <c r="AB317" s="1043">
        <v>0</v>
      </c>
      <c r="AC317" s="1021"/>
      <c r="AD317" s="1021"/>
      <c r="AE317" s="1021"/>
      <c r="AF317" s="1021"/>
      <c r="AG317" s="1021"/>
      <c r="AK317" s="982"/>
      <c r="BB317" s="1008"/>
    </row>
    <row r="318" spans="1:54" s="993" customFormat="1" hidden="1" outlineLevel="1" x14ac:dyDescent="0.25">
      <c r="A318" s="1012"/>
      <c r="B318" s="1020"/>
      <c r="C318" s="1009"/>
      <c r="D318" s="3861"/>
      <c r="E318" s="489" t="s">
        <v>1601</v>
      </c>
      <c r="F318" s="1043">
        <f t="shared" si="42"/>
        <v>7.4541614486921537E-2</v>
      </c>
      <c r="G318" s="1189" t="s">
        <v>731</v>
      </c>
      <c r="H318" s="1322"/>
      <c r="I318" s="1020"/>
      <c r="J318" s="1020"/>
      <c r="K318" s="1020"/>
      <c r="L318" s="1020"/>
      <c r="M318" s="1020"/>
      <c r="N318" s="1020"/>
      <c r="O318" s="1020"/>
      <c r="P318" s="1020"/>
      <c r="Q318" s="1020"/>
      <c r="R318" s="1020"/>
      <c r="S318" s="1012"/>
      <c r="T318" s="1012"/>
      <c r="U318" s="1012"/>
      <c r="V318" s="3842"/>
      <c r="W318" s="1021">
        <f t="shared" si="43"/>
        <v>53.587966654647893</v>
      </c>
      <c r="X318" s="1021">
        <v>53.587966654647893</v>
      </c>
      <c r="Y318" s="1021">
        <v>7.4541614486921537E-2</v>
      </c>
      <c r="Z318" s="1043">
        <v>7.4541614486921537E-2</v>
      </c>
      <c r="AA318" s="1043">
        <v>7.4541614486921537E-2</v>
      </c>
      <c r="AB318" s="1043">
        <v>7.4541614486921537E-2</v>
      </c>
      <c r="AC318" s="1021"/>
      <c r="AD318" s="1021"/>
      <c r="AE318" s="1021"/>
      <c r="AF318" s="1021"/>
      <c r="AG318" s="1021"/>
      <c r="AK318" s="982"/>
      <c r="BB318" s="1008"/>
    </row>
    <row r="319" spans="1:54" s="993" customFormat="1" hidden="1" outlineLevel="1" x14ac:dyDescent="0.25">
      <c r="A319" s="1012"/>
      <c r="B319" s="1020"/>
      <c r="C319" s="1009"/>
      <c r="D319" s="3861"/>
      <c r="E319" s="483" t="s">
        <v>1603</v>
      </c>
      <c r="F319" s="1043">
        <f t="shared" si="42"/>
        <v>0</v>
      </c>
      <c r="G319" s="1189" t="s">
        <v>731</v>
      </c>
      <c r="H319" s="1322"/>
      <c r="I319" s="1020"/>
      <c r="J319" s="1020"/>
      <c r="K319" s="1020"/>
      <c r="L319" s="1020"/>
      <c r="M319" s="1020"/>
      <c r="N319" s="1020"/>
      <c r="O319" s="1020"/>
      <c r="P319" s="1020"/>
      <c r="Q319" s="1020"/>
      <c r="R319" s="1020"/>
      <c r="S319" s="1012"/>
      <c r="T319" s="1012"/>
      <c r="U319" s="1012"/>
      <c r="V319" s="3842"/>
      <c r="W319" s="1021">
        <f t="shared" si="43"/>
        <v>0</v>
      </c>
      <c r="X319" s="1021">
        <v>0</v>
      </c>
      <c r="Y319" s="1021">
        <v>0</v>
      </c>
      <c r="Z319" s="1043">
        <v>0</v>
      </c>
      <c r="AA319" s="1043">
        <v>0</v>
      </c>
      <c r="AB319" s="1043">
        <v>0</v>
      </c>
      <c r="AC319" s="1021"/>
      <c r="AD319" s="1021"/>
      <c r="AE319" s="1021"/>
      <c r="AF319" s="1021"/>
      <c r="AG319" s="1021"/>
      <c r="AK319" s="982"/>
      <c r="BB319" s="1008"/>
    </row>
    <row r="320" spans="1:54" s="993" customFormat="1" hidden="1" outlineLevel="1" x14ac:dyDescent="0.25">
      <c r="A320" s="1012"/>
      <c r="B320" s="1020"/>
      <c r="C320" s="1009"/>
      <c r="D320" s="3861"/>
      <c r="E320" s="483" t="s">
        <v>1605</v>
      </c>
      <c r="F320" s="1043">
        <f t="shared" si="42"/>
        <v>0</v>
      </c>
      <c r="G320" s="1189" t="s">
        <v>731</v>
      </c>
      <c r="H320" s="1322"/>
      <c r="I320" s="1020"/>
      <c r="J320" s="1020"/>
      <c r="K320" s="1020"/>
      <c r="L320" s="1020"/>
      <c r="M320" s="1020"/>
      <c r="N320" s="1020"/>
      <c r="O320" s="1020"/>
      <c r="P320" s="1020"/>
      <c r="Q320" s="1020"/>
      <c r="R320" s="1020"/>
      <c r="S320" s="1012"/>
      <c r="T320" s="1012"/>
      <c r="U320" s="1012"/>
      <c r="V320" s="3842"/>
      <c r="W320" s="1021">
        <f t="shared" si="43"/>
        <v>0</v>
      </c>
      <c r="X320" s="1021">
        <v>0</v>
      </c>
      <c r="Y320" s="1021">
        <v>0</v>
      </c>
      <c r="Z320" s="1043">
        <v>0</v>
      </c>
      <c r="AA320" s="1043">
        <v>0</v>
      </c>
      <c r="AB320" s="1043">
        <v>0</v>
      </c>
      <c r="AC320" s="1021"/>
      <c r="AD320" s="1021"/>
      <c r="AE320" s="1021"/>
      <c r="AF320" s="1021"/>
      <c r="AG320" s="1021"/>
      <c r="AK320" s="982"/>
      <c r="BB320" s="1008"/>
    </row>
    <row r="321" spans="1:54" s="993" customFormat="1" hidden="1" outlineLevel="1" x14ac:dyDescent="0.25">
      <c r="A321" s="1012"/>
      <c r="B321" s="1020"/>
      <c r="C321" s="1009"/>
      <c r="D321" s="3861"/>
      <c r="E321" s="1851" t="s">
        <v>1607</v>
      </c>
      <c r="F321" s="1043">
        <f t="shared" si="42"/>
        <v>7.4541614486921537E-2</v>
      </c>
      <c r="G321" s="1189" t="s">
        <v>731</v>
      </c>
      <c r="H321" s="1322"/>
      <c r="I321" s="1020"/>
      <c r="J321" s="1020"/>
      <c r="K321" s="1020"/>
      <c r="L321" s="1020"/>
      <c r="M321" s="1020"/>
      <c r="N321" s="1020"/>
      <c r="O321" s="1020"/>
      <c r="P321" s="1020"/>
      <c r="Q321" s="1020"/>
      <c r="R321" s="1020"/>
      <c r="S321" s="1012"/>
      <c r="T321" s="1012"/>
      <c r="U321" s="1012"/>
      <c r="V321" s="3842"/>
      <c r="W321" s="1021">
        <f t="shared" si="43"/>
        <v>82.443025622535217</v>
      </c>
      <c r="X321" s="1021">
        <v>82.443025622535217</v>
      </c>
      <c r="Y321" s="1021">
        <v>7.4541614486921537E-2</v>
      </c>
      <c r="Z321" s="1043">
        <v>7.4541614486921537E-2</v>
      </c>
      <c r="AA321" s="1043">
        <v>7.4541614486921537E-2</v>
      </c>
      <c r="AB321" s="1043">
        <v>7.4541614486921537E-2</v>
      </c>
      <c r="AC321" s="1021"/>
      <c r="AD321" s="1021"/>
      <c r="AE321" s="1021"/>
      <c r="AF321" s="1021"/>
      <c r="AG321" s="1021"/>
      <c r="AK321" s="982"/>
      <c r="BB321" s="1008"/>
    </row>
    <row r="322" spans="1:54" s="993" customFormat="1" hidden="1" outlineLevel="1" x14ac:dyDescent="0.25">
      <c r="A322" s="1012"/>
      <c r="B322" s="1020"/>
      <c r="C322" s="1009"/>
      <c r="D322" s="3861"/>
      <c r="E322" s="483" t="s">
        <v>1609</v>
      </c>
      <c r="F322" s="1043">
        <f t="shared" si="42"/>
        <v>0</v>
      </c>
      <c r="G322" s="1189" t="s">
        <v>731</v>
      </c>
      <c r="H322" s="1322"/>
      <c r="I322" s="1020"/>
      <c r="J322" s="1020"/>
      <c r="K322" s="1020"/>
      <c r="L322" s="1020"/>
      <c r="M322" s="1020"/>
      <c r="N322" s="1020"/>
      <c r="O322" s="1020"/>
      <c r="P322" s="1020"/>
      <c r="Q322" s="1020"/>
      <c r="R322" s="1020"/>
      <c r="S322" s="1012"/>
      <c r="T322" s="1012"/>
      <c r="U322" s="1012"/>
      <c r="V322" s="3842"/>
      <c r="W322" s="1021">
        <f t="shared" si="43"/>
        <v>0</v>
      </c>
      <c r="X322" s="1021">
        <v>0</v>
      </c>
      <c r="Y322" s="1021">
        <v>0</v>
      </c>
      <c r="Z322" s="1043">
        <v>0</v>
      </c>
      <c r="AA322" s="1043">
        <v>0</v>
      </c>
      <c r="AB322" s="1043">
        <v>0</v>
      </c>
      <c r="AC322" s="1021"/>
      <c r="AD322" s="1021"/>
      <c r="AE322" s="1021"/>
      <c r="AF322" s="1021"/>
      <c r="AG322" s="1021"/>
      <c r="AK322" s="982"/>
      <c r="BB322" s="1008"/>
    </row>
    <row r="323" spans="1:54" s="993" customFormat="1" hidden="1" outlineLevel="1" x14ac:dyDescent="0.25">
      <c r="A323" s="1012"/>
      <c r="B323" s="1020"/>
      <c r="C323" s="1009"/>
      <c r="D323" s="3861"/>
      <c r="E323" s="483" t="s">
        <v>1611</v>
      </c>
      <c r="F323" s="1043">
        <f t="shared" si="42"/>
        <v>0</v>
      </c>
      <c r="G323" s="1189" t="s">
        <v>731</v>
      </c>
      <c r="H323" s="1322"/>
      <c r="I323" s="1020"/>
      <c r="J323" s="1020"/>
      <c r="K323" s="1020"/>
      <c r="L323" s="1020"/>
      <c r="M323" s="1020"/>
      <c r="N323" s="1020"/>
      <c r="O323" s="1020"/>
      <c r="P323" s="1020"/>
      <c r="Q323" s="1020"/>
      <c r="R323" s="1020"/>
      <c r="S323" s="1012"/>
      <c r="T323" s="1012"/>
      <c r="U323" s="1012"/>
      <c r="V323" s="3842"/>
      <c r="W323" s="1021">
        <f t="shared" si="43"/>
        <v>0</v>
      </c>
      <c r="X323" s="1021">
        <v>0</v>
      </c>
      <c r="Y323" s="1021">
        <v>0</v>
      </c>
      <c r="Z323" s="1043">
        <v>0</v>
      </c>
      <c r="AA323" s="1043">
        <v>0</v>
      </c>
      <c r="AB323" s="1043">
        <v>0</v>
      </c>
      <c r="AC323" s="1021"/>
      <c r="AD323" s="1021"/>
      <c r="AE323" s="1021"/>
      <c r="AF323" s="1021"/>
      <c r="AG323" s="1021"/>
      <c r="AK323" s="982"/>
      <c r="BB323" s="1008"/>
    </row>
    <row r="324" spans="1:54" s="993" customFormat="1" hidden="1" outlineLevel="1" x14ac:dyDescent="0.25">
      <c r="A324" s="1012"/>
      <c r="B324" s="1020"/>
      <c r="C324" s="1009"/>
      <c r="D324" s="3861"/>
      <c r="E324" s="489" t="s">
        <v>1613</v>
      </c>
      <c r="F324" s="1043">
        <f t="shared" si="42"/>
        <v>8.0088897425483141E-2</v>
      </c>
      <c r="G324" s="1189" t="s">
        <v>731</v>
      </c>
      <c r="H324" s="1322"/>
      <c r="I324" s="1020"/>
      <c r="J324" s="1020"/>
      <c r="K324" s="1020"/>
      <c r="L324" s="1020"/>
      <c r="M324" s="1020"/>
      <c r="N324" s="1020"/>
      <c r="O324" s="1020"/>
      <c r="P324" s="1020"/>
      <c r="Q324" s="1020"/>
      <c r="R324" s="1020"/>
      <c r="S324" s="1012"/>
      <c r="T324" s="1012"/>
      <c r="U324" s="1012"/>
      <c r="V324" s="3842"/>
      <c r="W324" s="1021">
        <f t="shared" si="43"/>
        <v>57.57590835917982</v>
      </c>
      <c r="X324" s="1021">
        <v>57.57590835917982</v>
      </c>
      <c r="Y324" s="1021">
        <v>8.0088897425483141E-2</v>
      </c>
      <c r="Z324" s="1043">
        <v>8.0088897425483141E-2</v>
      </c>
      <c r="AA324" s="1043">
        <v>8.0088897425483141E-2</v>
      </c>
      <c r="AB324" s="1043">
        <v>8.0088897425483141E-2</v>
      </c>
      <c r="AC324" s="1021"/>
      <c r="AD324" s="1021"/>
      <c r="AE324" s="1021"/>
      <c r="AF324" s="1021"/>
      <c r="AG324" s="1021"/>
      <c r="AK324" s="982"/>
      <c r="BB324" s="1008"/>
    </row>
    <row r="325" spans="1:54" s="993" customFormat="1" hidden="1" outlineLevel="1" x14ac:dyDescent="0.25">
      <c r="A325" s="1012"/>
      <c r="B325" s="1020"/>
      <c r="C325" s="1009"/>
      <c r="D325" s="3861"/>
      <c r="E325" s="483" t="s">
        <v>1615</v>
      </c>
      <c r="F325" s="1043">
        <f t="shared" si="42"/>
        <v>0</v>
      </c>
      <c r="G325" s="1189" t="s">
        <v>731</v>
      </c>
      <c r="H325" s="1322"/>
      <c r="I325" s="1020"/>
      <c r="J325" s="1020"/>
      <c r="K325" s="1020"/>
      <c r="L325" s="1020"/>
      <c r="M325" s="1020"/>
      <c r="N325" s="1020"/>
      <c r="O325" s="1020"/>
      <c r="P325" s="1020"/>
      <c r="Q325" s="1020"/>
      <c r="R325" s="1020"/>
      <c r="S325" s="1012"/>
      <c r="T325" s="1012"/>
      <c r="U325" s="1012"/>
      <c r="V325" s="3842"/>
      <c r="W325" s="1021">
        <f t="shared" si="43"/>
        <v>0</v>
      </c>
      <c r="X325" s="1021">
        <v>0</v>
      </c>
      <c r="Y325" s="1021">
        <v>0</v>
      </c>
      <c r="Z325" s="1043">
        <v>0</v>
      </c>
      <c r="AA325" s="1043">
        <v>0</v>
      </c>
      <c r="AB325" s="1043">
        <v>0</v>
      </c>
      <c r="AC325" s="1021"/>
      <c r="AD325" s="1021"/>
      <c r="AE325" s="1021"/>
      <c r="AF325" s="1021"/>
      <c r="AG325" s="1021"/>
      <c r="AK325" s="982"/>
      <c r="BB325" s="1008"/>
    </row>
    <row r="326" spans="1:54" s="993" customFormat="1" hidden="1" outlineLevel="1" x14ac:dyDescent="0.25">
      <c r="A326" s="1012"/>
      <c r="B326" s="1020"/>
      <c r="C326" s="1009"/>
      <c r="D326" s="3861"/>
      <c r="E326" s="483" t="s">
        <v>1617</v>
      </c>
      <c r="F326" s="1043">
        <f t="shared" si="42"/>
        <v>0</v>
      </c>
      <c r="G326" s="1189" t="s">
        <v>731</v>
      </c>
      <c r="H326" s="1322"/>
      <c r="I326" s="1020"/>
      <c r="J326" s="1020"/>
      <c r="K326" s="1020"/>
      <c r="L326" s="1020"/>
      <c r="M326" s="1020"/>
      <c r="N326" s="1020"/>
      <c r="O326" s="1020"/>
      <c r="P326" s="1020"/>
      <c r="Q326" s="1020"/>
      <c r="R326" s="1020"/>
      <c r="S326" s="1012"/>
      <c r="T326" s="1012"/>
      <c r="U326" s="1012"/>
      <c r="V326" s="3842"/>
      <c r="W326" s="1021">
        <f t="shared" si="43"/>
        <v>0</v>
      </c>
      <c r="X326" s="1021">
        <v>0</v>
      </c>
      <c r="Y326" s="1021">
        <v>0</v>
      </c>
      <c r="Z326" s="1043">
        <v>0</v>
      </c>
      <c r="AA326" s="1043">
        <v>0</v>
      </c>
      <c r="AB326" s="1043">
        <v>0</v>
      </c>
      <c r="AC326" s="1021"/>
      <c r="AD326" s="1021"/>
      <c r="AE326" s="1021"/>
      <c r="AF326" s="1021"/>
      <c r="AG326" s="1021"/>
      <c r="AK326" s="982"/>
      <c r="BB326" s="1008"/>
    </row>
    <row r="327" spans="1:54" s="993" customFormat="1" hidden="1" outlineLevel="1" x14ac:dyDescent="0.25">
      <c r="A327" s="1012"/>
      <c r="B327" s="1020"/>
      <c r="C327" s="1009"/>
      <c r="D327" s="3861"/>
      <c r="E327" s="1851" t="s">
        <v>1619</v>
      </c>
      <c r="F327" s="1043">
        <f t="shared" si="42"/>
        <v>8.0088897425483141E-2</v>
      </c>
      <c r="G327" s="1189" t="s">
        <v>731</v>
      </c>
      <c r="H327" s="1322"/>
      <c r="I327" s="1020"/>
      <c r="J327" s="1020"/>
      <c r="K327" s="1020"/>
      <c r="L327" s="1020"/>
      <c r="M327" s="1020"/>
      <c r="N327" s="1020"/>
      <c r="O327" s="1020"/>
      <c r="P327" s="1020"/>
      <c r="Q327" s="1020"/>
      <c r="R327" s="1020"/>
      <c r="S327" s="1012"/>
      <c r="T327" s="1012"/>
      <c r="U327" s="1012"/>
      <c r="V327" s="3842"/>
      <c r="W327" s="1021">
        <f t="shared" si="43"/>
        <v>88.578320552584344</v>
      </c>
      <c r="X327" s="1021">
        <v>88.578320552584344</v>
      </c>
      <c r="Y327" s="1021">
        <v>8.0088897425483141E-2</v>
      </c>
      <c r="Z327" s="1043">
        <v>8.0088897425483141E-2</v>
      </c>
      <c r="AA327" s="1043">
        <v>8.0088897425483141E-2</v>
      </c>
      <c r="AB327" s="1043">
        <v>8.0088897425483141E-2</v>
      </c>
      <c r="AC327" s="1021"/>
      <c r="AD327" s="1021"/>
      <c r="AE327" s="1021"/>
      <c r="AF327" s="1021"/>
      <c r="AG327" s="1021"/>
      <c r="AK327" s="982"/>
      <c r="BB327" s="1008"/>
    </row>
    <row r="328" spans="1:54" s="993" customFormat="1" hidden="1" outlineLevel="1" x14ac:dyDescent="0.25">
      <c r="A328" s="1012"/>
      <c r="B328" s="1020"/>
      <c r="C328" s="1009"/>
      <c r="D328" s="3861"/>
      <c r="E328" s="483" t="s">
        <v>1621</v>
      </c>
      <c r="F328" s="1043">
        <f t="shared" si="42"/>
        <v>0</v>
      </c>
      <c r="G328" s="1189" t="s">
        <v>731</v>
      </c>
      <c r="H328" s="1322"/>
      <c r="I328" s="1020"/>
      <c r="J328" s="1020"/>
      <c r="K328" s="1020"/>
      <c r="L328" s="1020"/>
      <c r="M328" s="1020"/>
      <c r="N328" s="1020"/>
      <c r="O328" s="1020"/>
      <c r="P328" s="1020"/>
      <c r="Q328" s="1020"/>
      <c r="R328" s="1020"/>
      <c r="S328" s="1012"/>
      <c r="T328" s="1012"/>
      <c r="U328" s="1012"/>
      <c r="V328" s="3842"/>
      <c r="W328" s="1021">
        <f t="shared" si="43"/>
        <v>0</v>
      </c>
      <c r="X328" s="1021">
        <v>0</v>
      </c>
      <c r="Y328" s="1021">
        <v>0</v>
      </c>
      <c r="Z328" s="1043">
        <v>0</v>
      </c>
      <c r="AA328" s="1043">
        <v>0</v>
      </c>
      <c r="AB328" s="1043">
        <v>0</v>
      </c>
      <c r="AC328" s="1021"/>
      <c r="AD328" s="1021"/>
      <c r="AE328" s="1021"/>
      <c r="AF328" s="1021"/>
      <c r="AG328" s="1021"/>
      <c r="AK328" s="982"/>
      <c r="BB328" s="1008"/>
    </row>
    <row r="329" spans="1:54" s="993" customFormat="1" hidden="1" outlineLevel="1" x14ac:dyDescent="0.25">
      <c r="A329" s="1012"/>
      <c r="B329" s="1020"/>
      <c r="C329" s="1009"/>
      <c r="D329" s="3861"/>
      <c r="E329" s="483" t="s">
        <v>1623</v>
      </c>
      <c r="F329" s="1043">
        <f t="shared" si="42"/>
        <v>0</v>
      </c>
      <c r="G329" s="1189" t="s">
        <v>731</v>
      </c>
      <c r="H329" s="1322"/>
      <c r="I329" s="1020"/>
      <c r="J329" s="1020"/>
      <c r="K329" s="1020"/>
      <c r="L329" s="1020"/>
      <c r="M329" s="1020"/>
      <c r="N329" s="1020"/>
      <c r="O329" s="1020"/>
      <c r="P329" s="1020"/>
      <c r="Q329" s="1020"/>
      <c r="R329" s="1020"/>
      <c r="S329" s="1012"/>
      <c r="T329" s="1012"/>
      <c r="U329" s="1012"/>
      <c r="V329" s="3842"/>
      <c r="W329" s="1021">
        <f t="shared" si="43"/>
        <v>0</v>
      </c>
      <c r="X329" s="1021">
        <v>0</v>
      </c>
      <c r="Y329" s="1021">
        <v>0</v>
      </c>
      <c r="Z329" s="1043">
        <v>0</v>
      </c>
      <c r="AA329" s="1043">
        <v>0</v>
      </c>
      <c r="AB329" s="1043">
        <v>0</v>
      </c>
      <c r="AC329" s="1021"/>
      <c r="AD329" s="1021"/>
      <c r="AE329" s="1021"/>
      <c r="AF329" s="1021"/>
      <c r="AG329" s="1021"/>
      <c r="AK329" s="982"/>
      <c r="BB329" s="1008"/>
    </row>
    <row r="330" spans="1:54" s="993" customFormat="1" hidden="1" outlineLevel="1" x14ac:dyDescent="0.25">
      <c r="A330" s="1012"/>
      <c r="B330" s="1020"/>
      <c r="C330" s="1009"/>
      <c r="D330" s="3861"/>
      <c r="E330" s="489" t="s">
        <v>1625</v>
      </c>
      <c r="F330" s="1043">
        <f t="shared" si="42"/>
        <v>8.5032656525821607E-2</v>
      </c>
      <c r="G330" s="1189" t="s">
        <v>731</v>
      </c>
      <c r="H330" s="1322"/>
      <c r="I330" s="1020"/>
      <c r="J330" s="1020"/>
      <c r="K330" s="1020"/>
      <c r="L330" s="1020"/>
      <c r="M330" s="1020"/>
      <c r="N330" s="1020"/>
      <c r="O330" s="1020"/>
      <c r="P330" s="1020"/>
      <c r="Q330" s="1020"/>
      <c r="R330" s="1020"/>
      <c r="S330" s="1012"/>
      <c r="T330" s="1012"/>
      <c r="U330" s="1012"/>
      <c r="V330" s="3842"/>
      <c r="W330" s="1021">
        <f t="shared" si="43"/>
        <v>61.129976776413137</v>
      </c>
      <c r="X330" s="1021">
        <v>61.129976776413137</v>
      </c>
      <c r="Y330" s="1021">
        <v>8.5032656525821607E-2</v>
      </c>
      <c r="Z330" s="1043">
        <v>8.5032656525821607E-2</v>
      </c>
      <c r="AA330" s="1043">
        <v>8.5032656525821607E-2</v>
      </c>
      <c r="AB330" s="1043">
        <v>8.5032656525821607E-2</v>
      </c>
      <c r="AC330" s="1021"/>
      <c r="AD330" s="1021"/>
      <c r="AE330" s="1021"/>
      <c r="AF330" s="1021"/>
      <c r="AG330" s="1021"/>
      <c r="AK330" s="982"/>
      <c r="BB330" s="1008"/>
    </row>
    <row r="331" spans="1:54" s="993" customFormat="1" hidden="1" outlineLevel="1" x14ac:dyDescent="0.25">
      <c r="A331" s="1012"/>
      <c r="B331" s="1020"/>
      <c r="C331" s="1009"/>
      <c r="D331" s="3861"/>
      <c r="E331" s="483" t="s">
        <v>1627</v>
      </c>
      <c r="F331" s="1043">
        <f t="shared" si="42"/>
        <v>0</v>
      </c>
      <c r="G331" s="1189" t="s">
        <v>731</v>
      </c>
      <c r="H331" s="1322"/>
      <c r="I331" s="1020"/>
      <c r="J331" s="1020"/>
      <c r="K331" s="1020"/>
      <c r="L331" s="1020"/>
      <c r="M331" s="1020"/>
      <c r="N331" s="1020"/>
      <c r="O331" s="1020"/>
      <c r="P331" s="1020"/>
      <c r="Q331" s="1020"/>
      <c r="R331" s="1020"/>
      <c r="S331" s="1012"/>
      <c r="T331" s="1012"/>
      <c r="U331" s="1012"/>
      <c r="V331" s="3842"/>
      <c r="W331" s="1021">
        <f t="shared" si="43"/>
        <v>0</v>
      </c>
      <c r="X331" s="1021">
        <v>0</v>
      </c>
      <c r="Y331" s="1021">
        <v>0</v>
      </c>
      <c r="Z331" s="1043">
        <v>0</v>
      </c>
      <c r="AA331" s="1043">
        <v>0</v>
      </c>
      <c r="AB331" s="1043">
        <v>0</v>
      </c>
      <c r="AC331" s="1021"/>
      <c r="AD331" s="1021"/>
      <c r="AE331" s="1021"/>
      <c r="AF331" s="1021"/>
      <c r="AG331" s="1021"/>
      <c r="AK331" s="982"/>
      <c r="BB331" s="1008"/>
    </row>
    <row r="332" spans="1:54" s="993" customFormat="1" hidden="1" outlineLevel="1" x14ac:dyDescent="0.25">
      <c r="A332" s="1012"/>
      <c r="B332" s="1020"/>
      <c r="C332" s="1009"/>
      <c r="D332" s="3861"/>
      <c r="E332" s="489" t="s">
        <v>1629</v>
      </c>
      <c r="F332" s="1043">
        <f t="shared" si="42"/>
        <v>0</v>
      </c>
      <c r="G332" s="1189" t="s">
        <v>731</v>
      </c>
      <c r="H332" s="1322"/>
      <c r="I332" s="1020"/>
      <c r="J332" s="1020"/>
      <c r="K332" s="1020"/>
      <c r="L332" s="1020"/>
      <c r="M332" s="1020"/>
      <c r="N332" s="1020"/>
      <c r="O332" s="1020"/>
      <c r="P332" s="1020"/>
      <c r="Q332" s="1020"/>
      <c r="R332" s="1020"/>
      <c r="S332" s="1012"/>
      <c r="T332" s="1012"/>
      <c r="U332" s="1012"/>
      <c r="V332" s="3842"/>
      <c r="W332" s="1021">
        <f t="shared" si="43"/>
        <v>0</v>
      </c>
      <c r="X332" s="1021">
        <v>0</v>
      </c>
      <c r="Y332" s="1021">
        <v>0</v>
      </c>
      <c r="Z332" s="1043">
        <v>0</v>
      </c>
      <c r="AA332" s="1043">
        <v>0</v>
      </c>
      <c r="AB332" s="1043">
        <v>0</v>
      </c>
      <c r="AC332" s="1021"/>
      <c r="AD332" s="1021"/>
      <c r="AE332" s="1021"/>
      <c r="AF332" s="1021"/>
      <c r="AG332" s="1021"/>
      <c r="AK332" s="982"/>
      <c r="BB332" s="1008"/>
    </row>
    <row r="333" spans="1:54" s="993" customFormat="1" hidden="1" outlineLevel="1" x14ac:dyDescent="0.25">
      <c r="A333" s="1012"/>
      <c r="B333" s="1020"/>
      <c r="C333" s="1009"/>
      <c r="D333" s="3861"/>
      <c r="E333" s="483" t="s">
        <v>1631</v>
      </c>
      <c r="F333" s="1043">
        <f t="shared" si="42"/>
        <v>8.5032656525821607E-2</v>
      </c>
      <c r="G333" s="1189" t="s">
        <v>731</v>
      </c>
      <c r="H333" s="1322"/>
      <c r="I333" s="1020"/>
      <c r="J333" s="1020"/>
      <c r="K333" s="1020"/>
      <c r="L333" s="1020"/>
      <c r="M333" s="1020"/>
      <c r="N333" s="1020"/>
      <c r="O333" s="1020"/>
      <c r="P333" s="1020"/>
      <c r="Q333" s="1020"/>
      <c r="R333" s="1020"/>
      <c r="S333" s="1012"/>
      <c r="T333" s="1012"/>
      <c r="U333" s="1012"/>
      <c r="V333" s="3842"/>
      <c r="W333" s="1021">
        <f t="shared" si="43"/>
        <v>94.046118117558692</v>
      </c>
      <c r="X333" s="1021">
        <v>94.046118117558692</v>
      </c>
      <c r="Y333" s="1021">
        <v>8.5032656525821607E-2</v>
      </c>
      <c r="Z333" s="1043">
        <v>8.5032656525821607E-2</v>
      </c>
      <c r="AA333" s="1043">
        <v>8.5032656525821607E-2</v>
      </c>
      <c r="AB333" s="1043">
        <v>8.5032656525821607E-2</v>
      </c>
      <c r="AC333" s="1021"/>
      <c r="AD333" s="1021"/>
      <c r="AE333" s="1021"/>
      <c r="AF333" s="1021"/>
      <c r="AG333" s="1021"/>
      <c r="AK333" s="982"/>
      <c r="BB333" s="1008"/>
    </row>
    <row r="334" spans="1:54" s="993" customFormat="1" hidden="1" outlineLevel="1" x14ac:dyDescent="0.25">
      <c r="A334" s="1012"/>
      <c r="B334" s="1020"/>
      <c r="C334" s="1009"/>
      <c r="D334" s="3861"/>
      <c r="E334" s="483" t="s">
        <v>1633</v>
      </c>
      <c r="F334" s="1043">
        <f t="shared" si="42"/>
        <v>0</v>
      </c>
      <c r="G334" s="1189" t="s">
        <v>731</v>
      </c>
      <c r="H334" s="1322"/>
      <c r="I334" s="1020"/>
      <c r="J334" s="1020"/>
      <c r="K334" s="1020"/>
      <c r="L334" s="1020"/>
      <c r="M334" s="1020"/>
      <c r="N334" s="1020"/>
      <c r="O334" s="1020"/>
      <c r="P334" s="1020"/>
      <c r="Q334" s="1020"/>
      <c r="R334" s="1020"/>
      <c r="S334" s="1012"/>
      <c r="T334" s="1012"/>
      <c r="U334" s="1012"/>
      <c r="V334" s="3842"/>
      <c r="W334" s="1021">
        <f t="shared" si="43"/>
        <v>0</v>
      </c>
      <c r="X334" s="1021">
        <v>0</v>
      </c>
      <c r="Y334" s="1021">
        <v>0</v>
      </c>
      <c r="Z334" s="1043">
        <v>0</v>
      </c>
      <c r="AA334" s="1043">
        <v>0</v>
      </c>
      <c r="AB334" s="1043">
        <v>0</v>
      </c>
      <c r="AC334" s="1021"/>
      <c r="AD334" s="1021"/>
      <c r="AE334" s="1021"/>
      <c r="AF334" s="1021"/>
      <c r="AG334" s="1021"/>
      <c r="AK334" s="982"/>
      <c r="BB334" s="1008"/>
    </row>
    <row r="335" spans="1:54" s="993" customFormat="1" hidden="1" outlineLevel="1" x14ac:dyDescent="0.25">
      <c r="A335" s="1012"/>
      <c r="B335" s="1020"/>
      <c r="C335" s="1009"/>
      <c r="D335" s="3861"/>
      <c r="E335" s="483" t="s">
        <v>1635</v>
      </c>
      <c r="F335" s="1043">
        <f t="shared" si="42"/>
        <v>0</v>
      </c>
      <c r="G335" s="1189" t="s">
        <v>731</v>
      </c>
      <c r="H335" s="1322"/>
      <c r="I335" s="1020"/>
      <c r="J335" s="1020"/>
      <c r="K335" s="1020"/>
      <c r="L335" s="1020"/>
      <c r="M335" s="1020"/>
      <c r="N335" s="1020"/>
      <c r="O335" s="1020"/>
      <c r="P335" s="1020"/>
      <c r="Q335" s="1020"/>
      <c r="R335" s="1020"/>
      <c r="S335" s="1012"/>
      <c r="T335" s="1012"/>
      <c r="U335" s="1012"/>
      <c r="V335" s="3842"/>
      <c r="W335" s="1021">
        <f t="shared" si="43"/>
        <v>0</v>
      </c>
      <c r="X335" s="1021">
        <v>0</v>
      </c>
      <c r="Y335" s="1021">
        <v>0</v>
      </c>
      <c r="Z335" s="1043">
        <v>0</v>
      </c>
      <c r="AA335" s="1043">
        <v>0</v>
      </c>
      <c r="AB335" s="1043">
        <v>0</v>
      </c>
      <c r="AC335" s="1021"/>
      <c r="AD335" s="1021"/>
      <c r="AE335" s="1021"/>
      <c r="AF335" s="1021"/>
      <c r="AG335" s="1021"/>
      <c r="AK335" s="982"/>
      <c r="BB335" s="1008"/>
    </row>
    <row r="336" spans="1:54" s="993" customFormat="1" hidden="1" outlineLevel="1" x14ac:dyDescent="0.25">
      <c r="A336" s="1012"/>
      <c r="B336" s="1020"/>
      <c r="C336" s="1009"/>
      <c r="D336" s="3861"/>
      <c r="E336" s="489" t="s">
        <v>1637</v>
      </c>
      <c r="F336" s="1043">
        <f t="shared" si="42"/>
        <v>8.8303143315276264E-2</v>
      </c>
      <c r="G336" s="1189" t="s">
        <v>731</v>
      </c>
      <c r="H336" s="1322"/>
      <c r="I336" s="1020"/>
      <c r="J336" s="1020"/>
      <c r="K336" s="1020"/>
      <c r="L336" s="1020"/>
      <c r="M336" s="1020"/>
      <c r="N336" s="1020"/>
      <c r="O336" s="1020"/>
      <c r="P336" s="1020"/>
      <c r="Q336" s="1020"/>
      <c r="R336" s="1020"/>
      <c r="S336" s="1012"/>
      <c r="T336" s="1012"/>
      <c r="U336" s="1012"/>
      <c r="V336" s="3842"/>
      <c r="W336" s="1021">
        <f t="shared" si="43"/>
        <v>63.481129729352105</v>
      </c>
      <c r="X336" s="1021">
        <v>63.481129729352105</v>
      </c>
      <c r="Y336" s="1021">
        <v>8.8303143315276264E-2</v>
      </c>
      <c r="Z336" s="1043">
        <v>8.8303143315276264E-2</v>
      </c>
      <c r="AA336" s="1043">
        <v>8.8303143315276264E-2</v>
      </c>
      <c r="AB336" s="1043">
        <v>8.8303143315276264E-2</v>
      </c>
      <c r="AC336" s="1021"/>
      <c r="AD336" s="1021"/>
      <c r="AE336" s="1021"/>
      <c r="AF336" s="1021"/>
      <c r="AG336" s="1021"/>
      <c r="AK336" s="982"/>
      <c r="BB336" s="1008"/>
    </row>
    <row r="337" spans="1:54" s="993" customFormat="1" hidden="1" outlineLevel="1" x14ac:dyDescent="0.25">
      <c r="A337" s="1012"/>
      <c r="B337" s="1020"/>
      <c r="C337" s="1009"/>
      <c r="D337" s="3861"/>
      <c r="E337" s="483" t="s">
        <v>1639</v>
      </c>
      <c r="F337" s="1043">
        <f t="shared" si="42"/>
        <v>0</v>
      </c>
      <c r="G337" s="1189" t="s">
        <v>731</v>
      </c>
      <c r="H337" s="1322"/>
      <c r="I337" s="1020"/>
      <c r="J337" s="1020"/>
      <c r="K337" s="1020"/>
      <c r="L337" s="1020"/>
      <c r="M337" s="1020"/>
      <c r="N337" s="1020"/>
      <c r="O337" s="1020"/>
      <c r="P337" s="1020"/>
      <c r="Q337" s="1020"/>
      <c r="R337" s="1020"/>
      <c r="S337" s="1012"/>
      <c r="T337" s="1012"/>
      <c r="U337" s="1012"/>
      <c r="V337" s="3842"/>
      <c r="W337" s="1021">
        <f t="shared" si="43"/>
        <v>0</v>
      </c>
      <c r="X337" s="1021">
        <v>0</v>
      </c>
      <c r="Y337" s="1021">
        <v>0</v>
      </c>
      <c r="Z337" s="1043">
        <v>0</v>
      </c>
      <c r="AA337" s="1043">
        <v>0</v>
      </c>
      <c r="AB337" s="1043">
        <v>0</v>
      </c>
      <c r="AC337" s="1021"/>
      <c r="AD337" s="1021"/>
      <c r="AE337" s="1021"/>
      <c r="AF337" s="1021"/>
      <c r="AG337" s="1021"/>
      <c r="AK337" s="982"/>
      <c r="BB337" s="1008"/>
    </row>
    <row r="338" spans="1:54" s="993" customFormat="1" hidden="1" outlineLevel="1" x14ac:dyDescent="0.25">
      <c r="A338" s="1012"/>
      <c r="B338" s="1020"/>
      <c r="C338" s="1009"/>
      <c r="D338" s="3861"/>
      <c r="E338" s="489" t="s">
        <v>1641</v>
      </c>
      <c r="F338" s="1043">
        <f t="shared" si="42"/>
        <v>0</v>
      </c>
      <c r="G338" s="1189" t="s">
        <v>731</v>
      </c>
      <c r="H338" s="1322"/>
      <c r="I338" s="1020"/>
      <c r="J338" s="1020"/>
      <c r="K338" s="1020"/>
      <c r="L338" s="1020"/>
      <c r="M338" s="1020"/>
      <c r="N338" s="1020"/>
      <c r="O338" s="1020"/>
      <c r="P338" s="1020"/>
      <c r="Q338" s="1020"/>
      <c r="R338" s="1020"/>
      <c r="S338" s="1012"/>
      <c r="T338" s="1012"/>
      <c r="U338" s="1012"/>
      <c r="V338" s="3842"/>
      <c r="W338" s="1021">
        <f t="shared" si="43"/>
        <v>0</v>
      </c>
      <c r="X338" s="1021">
        <v>0</v>
      </c>
      <c r="Y338" s="1021">
        <v>0</v>
      </c>
      <c r="Z338" s="1043">
        <v>0</v>
      </c>
      <c r="AA338" s="1043">
        <v>0</v>
      </c>
      <c r="AB338" s="1043">
        <v>0</v>
      </c>
      <c r="AC338" s="1021"/>
      <c r="AD338" s="1021"/>
      <c r="AE338" s="1021"/>
      <c r="AF338" s="1021"/>
      <c r="AG338" s="1021"/>
      <c r="AK338" s="982"/>
      <c r="BB338" s="1008"/>
    </row>
    <row r="339" spans="1:54" s="993" customFormat="1" hidden="1" outlineLevel="1" x14ac:dyDescent="0.25">
      <c r="A339" s="1012"/>
      <c r="B339" s="1020"/>
      <c r="C339" s="1009"/>
      <c r="D339" s="3861"/>
      <c r="E339" s="483" t="s">
        <v>1643</v>
      </c>
      <c r="F339" s="1043">
        <f t="shared" si="42"/>
        <v>8.8303143315276264E-2</v>
      </c>
      <c r="G339" s="1189" t="s">
        <v>731</v>
      </c>
      <c r="H339" s="1322"/>
      <c r="I339" s="1020"/>
      <c r="J339" s="1020"/>
      <c r="K339" s="1020"/>
      <c r="L339" s="1020"/>
      <c r="M339" s="1020"/>
      <c r="N339" s="1020"/>
      <c r="O339" s="1020"/>
      <c r="P339" s="1020"/>
      <c r="Q339" s="1020"/>
      <c r="R339" s="1020"/>
      <c r="S339" s="1012"/>
      <c r="T339" s="1012"/>
      <c r="U339" s="1012"/>
      <c r="V339" s="3847"/>
      <c r="W339" s="1021">
        <f t="shared" si="43"/>
        <v>97.663276506695567</v>
      </c>
      <c r="X339" s="1021">
        <v>97.663276506695567</v>
      </c>
      <c r="Y339" s="1021">
        <v>8.8303143315276264E-2</v>
      </c>
      <c r="Z339" s="1043">
        <v>8.8303143315276264E-2</v>
      </c>
      <c r="AA339" s="1043">
        <v>8.8303143315276264E-2</v>
      </c>
      <c r="AB339" s="1043">
        <v>8.8303143315276264E-2</v>
      </c>
      <c r="AC339" s="1021"/>
      <c r="AD339" s="1021"/>
      <c r="AE339" s="1021"/>
      <c r="AF339" s="1021"/>
      <c r="AG339" s="1021"/>
      <c r="AK339" s="982"/>
      <c r="BB339" s="1008"/>
    </row>
    <row r="340" spans="1:54" s="993" customFormat="1" hidden="1" outlineLevel="1" x14ac:dyDescent="0.25">
      <c r="A340" s="1012"/>
      <c r="B340" s="1020"/>
      <c r="C340" s="1009"/>
      <c r="D340" s="1463" t="s">
        <v>732</v>
      </c>
      <c r="E340" s="483" t="s">
        <v>591</v>
      </c>
      <c r="F340" s="1046">
        <v>3.1399999999999997E-2</v>
      </c>
      <c r="G340" s="1189" t="s">
        <v>714</v>
      </c>
      <c r="H340" s="1322"/>
      <c r="I340" s="1020"/>
      <c r="J340" s="1020"/>
      <c r="K340" s="1020"/>
      <c r="L340" s="1020"/>
      <c r="M340" s="1020"/>
      <c r="N340" s="1020"/>
      <c r="O340" s="1020"/>
      <c r="P340" s="1020"/>
      <c r="Q340" s="1020"/>
      <c r="R340" s="1020"/>
      <c r="S340" s="1012"/>
      <c r="T340" s="1012"/>
      <c r="U340" s="1012"/>
      <c r="V340" s="1019" t="str">
        <f>D340</f>
        <v>Fe</v>
      </c>
      <c r="W340" s="1022">
        <v>3.1399999999999997E-2</v>
      </c>
      <c r="X340" s="1022">
        <v>3.1399999999999997E-2</v>
      </c>
      <c r="Y340" s="1022">
        <v>3.1399999999999997E-2</v>
      </c>
      <c r="Z340" s="1046">
        <v>3.1399999999999997E-2</v>
      </c>
      <c r="AA340" s="1046">
        <v>3.1399999999999997E-2</v>
      </c>
      <c r="AB340" s="1046">
        <v>3.1399999999999997E-2</v>
      </c>
      <c r="AC340" s="1022"/>
      <c r="AD340" s="1022"/>
      <c r="AE340" s="1022"/>
      <c r="AF340" s="1022"/>
      <c r="AG340" s="1022"/>
      <c r="AK340" s="982"/>
      <c r="BB340" s="1008"/>
    </row>
    <row r="341" spans="1:54" s="993" customFormat="1" hidden="1" outlineLevel="1" x14ac:dyDescent="0.25">
      <c r="A341" s="1012"/>
      <c r="B341" s="1020"/>
      <c r="C341" s="1009"/>
      <c r="D341" s="1463" t="s">
        <v>1655</v>
      </c>
      <c r="E341" s="483" t="s">
        <v>591</v>
      </c>
      <c r="F341" s="1321">
        <v>1646</v>
      </c>
      <c r="G341" s="1189" t="s">
        <v>736</v>
      </c>
      <c r="H341" s="1322" t="s">
        <v>1656</v>
      </c>
      <c r="I341" s="1020"/>
      <c r="J341" s="1020"/>
      <c r="K341" s="1020"/>
      <c r="L341" s="1020"/>
      <c r="M341" s="1020"/>
      <c r="N341" s="1020"/>
      <c r="O341" s="1020"/>
      <c r="P341" s="1020"/>
      <c r="Q341" s="1020"/>
      <c r="R341" s="1020"/>
      <c r="S341" s="1012"/>
      <c r="T341" s="1012"/>
      <c r="U341" s="1012"/>
      <c r="V341" s="1019" t="str">
        <f>D341</f>
        <v>CDD</v>
      </c>
      <c r="W341" s="1003">
        <v>1646</v>
      </c>
      <c r="X341" s="1003">
        <v>1646</v>
      </c>
      <c r="Y341" s="1003">
        <v>1646</v>
      </c>
      <c r="Z341" s="1321">
        <v>1646</v>
      </c>
      <c r="AA341" s="1321">
        <v>1646</v>
      </c>
      <c r="AB341" s="1321">
        <v>1646</v>
      </c>
      <c r="AC341" s="1003"/>
      <c r="AD341" s="1003"/>
      <c r="AE341" s="1003"/>
      <c r="AF341" s="1003"/>
      <c r="AG341" s="1003"/>
      <c r="AK341" s="982"/>
      <c r="BB341" s="1008"/>
    </row>
    <row r="342" spans="1:54" s="993" customFormat="1" hidden="1" outlineLevel="1" x14ac:dyDescent="0.25">
      <c r="A342" s="1012"/>
      <c r="B342" s="1020"/>
      <c r="C342" s="1009"/>
      <c r="D342" s="1463" t="s">
        <v>1657</v>
      </c>
      <c r="E342" s="483" t="s">
        <v>591</v>
      </c>
      <c r="F342" s="1048">
        <v>0.75</v>
      </c>
      <c r="G342" s="1189" t="s">
        <v>714</v>
      </c>
      <c r="H342" s="1322"/>
      <c r="I342" s="1020"/>
      <c r="J342" s="1020"/>
      <c r="K342" s="1020"/>
      <c r="L342" s="1020"/>
      <c r="M342" s="1020"/>
      <c r="N342" s="1020"/>
      <c r="O342" s="1020"/>
      <c r="P342" s="1020"/>
      <c r="Q342" s="1020"/>
      <c r="R342" s="1020"/>
      <c r="S342" s="1012"/>
      <c r="T342" s="1012"/>
      <c r="U342" s="1012"/>
      <c r="V342" s="1019" t="str">
        <f>D342</f>
        <v>DUA</v>
      </c>
      <c r="W342" s="1017">
        <v>0.75</v>
      </c>
      <c r="X342" s="1017">
        <v>0.75</v>
      </c>
      <c r="Y342" s="1017">
        <v>0.75</v>
      </c>
      <c r="Z342" s="1048">
        <v>0.75</v>
      </c>
      <c r="AA342" s="1048">
        <v>0.75</v>
      </c>
      <c r="AB342" s="1048">
        <v>0.75</v>
      </c>
      <c r="AC342" s="1017"/>
      <c r="AD342" s="1017"/>
      <c r="AE342" s="1017"/>
      <c r="AF342" s="1017"/>
      <c r="AG342" s="1017"/>
      <c r="AK342" s="982"/>
      <c r="BB342" s="1008"/>
    </row>
    <row r="343" spans="1:54" s="993" customFormat="1" hidden="1" outlineLevel="1" x14ac:dyDescent="0.25">
      <c r="A343" s="1012"/>
      <c r="B343" s="1020"/>
      <c r="C343" s="1009"/>
      <c r="D343" s="3839" t="s">
        <v>1658</v>
      </c>
      <c r="E343" s="483" t="s">
        <v>1585</v>
      </c>
      <c r="F343" s="1048">
        <v>0.91</v>
      </c>
      <c r="G343" s="1189" t="s">
        <v>714</v>
      </c>
      <c r="H343" s="1322" t="s">
        <v>1659</v>
      </c>
      <c r="I343" s="1020"/>
      <c r="J343" s="1020"/>
      <c r="K343" s="1020"/>
      <c r="L343" s="1020"/>
      <c r="M343" s="1020"/>
      <c r="N343" s="1020"/>
      <c r="O343" s="1020"/>
      <c r="P343" s="1020"/>
      <c r="Q343" s="1020"/>
      <c r="R343" s="1020"/>
      <c r="S343" s="1012"/>
      <c r="T343" s="1012"/>
      <c r="U343" s="1012"/>
      <c r="V343" s="3841" t="str">
        <f>D343</f>
        <v>%cool</v>
      </c>
      <c r="W343" s="1017">
        <v>0.91</v>
      </c>
      <c r="X343" s="1017">
        <v>0.91</v>
      </c>
      <c r="Y343" s="1017">
        <v>0.91</v>
      </c>
      <c r="Z343" s="1048">
        <v>0.91</v>
      </c>
      <c r="AA343" s="1048">
        <v>0.91</v>
      </c>
      <c r="AB343" s="1048">
        <v>0.91</v>
      </c>
      <c r="AC343" s="1017"/>
      <c r="AD343" s="1017"/>
      <c r="AE343" s="1017"/>
      <c r="AF343" s="1017"/>
      <c r="AG343" s="1017"/>
      <c r="AK343" s="982"/>
      <c r="BB343" s="1008"/>
    </row>
    <row r="344" spans="1:54" s="993" customFormat="1" hidden="1" outlineLevel="1" x14ac:dyDescent="0.25">
      <c r="A344" s="1012"/>
      <c r="B344" s="1020"/>
      <c r="C344" s="1009"/>
      <c r="D344" s="3840"/>
      <c r="E344" s="483" t="s">
        <v>1587</v>
      </c>
      <c r="F344" s="1048">
        <v>1</v>
      </c>
      <c r="G344" s="1189" t="s">
        <v>714</v>
      </c>
      <c r="H344" s="1322" t="s">
        <v>1660</v>
      </c>
      <c r="I344" s="1020"/>
      <c r="J344" s="1020"/>
      <c r="K344" s="1020"/>
      <c r="L344" s="1020"/>
      <c r="M344" s="1020"/>
      <c r="N344" s="1020"/>
      <c r="O344" s="1020"/>
      <c r="P344" s="1020"/>
      <c r="Q344" s="1020"/>
      <c r="R344" s="1020"/>
      <c r="S344" s="1012"/>
      <c r="T344" s="1012"/>
      <c r="U344" s="1012"/>
      <c r="V344" s="3842"/>
      <c r="W344" s="1017">
        <v>1</v>
      </c>
      <c r="X344" s="1017">
        <v>1</v>
      </c>
      <c r="Y344" s="1017">
        <v>1</v>
      </c>
      <c r="Z344" s="1048">
        <v>1</v>
      </c>
      <c r="AA344" s="1048">
        <v>1</v>
      </c>
      <c r="AB344" s="1048">
        <v>1</v>
      </c>
      <c r="AC344" s="1017"/>
      <c r="AD344" s="1017"/>
      <c r="AE344" s="1017"/>
      <c r="AF344" s="1017"/>
      <c r="AG344" s="1017"/>
      <c r="AK344" s="982"/>
      <c r="BB344" s="1008"/>
    </row>
    <row r="345" spans="1:54" s="993" customFormat="1" hidden="1" outlineLevel="1" x14ac:dyDescent="0.25">
      <c r="A345" s="1012"/>
      <c r="B345" s="1020"/>
      <c r="C345" s="1009"/>
      <c r="D345" s="3840"/>
      <c r="E345" s="483" t="s">
        <v>1589</v>
      </c>
      <c r="F345" s="1048">
        <v>0.91</v>
      </c>
      <c r="G345" s="1189" t="s">
        <v>714</v>
      </c>
      <c r="H345" s="1322" t="s">
        <v>1659</v>
      </c>
      <c r="I345" s="1020"/>
      <c r="J345" s="1020"/>
      <c r="K345" s="1020"/>
      <c r="L345" s="1020"/>
      <c r="M345" s="1020"/>
      <c r="N345" s="1020"/>
      <c r="O345" s="1020"/>
      <c r="P345" s="1020"/>
      <c r="Q345" s="1020"/>
      <c r="R345" s="1020"/>
      <c r="S345" s="1012"/>
      <c r="T345" s="1012"/>
      <c r="U345" s="1012"/>
      <c r="V345" s="3842"/>
      <c r="W345" s="1017">
        <v>0.91</v>
      </c>
      <c r="X345" s="1017">
        <v>0.91</v>
      </c>
      <c r="Y345" s="1017">
        <v>0.91</v>
      </c>
      <c r="Z345" s="1048">
        <v>0.91</v>
      </c>
      <c r="AA345" s="1048">
        <v>0.91</v>
      </c>
      <c r="AB345" s="1048">
        <v>0.91</v>
      </c>
      <c r="AC345" s="1017"/>
      <c r="AD345" s="1017"/>
      <c r="AE345" s="1017"/>
      <c r="AF345" s="1017"/>
      <c r="AG345" s="1017"/>
      <c r="AK345" s="982"/>
      <c r="BB345" s="1008"/>
    </row>
    <row r="346" spans="1:54" s="993" customFormat="1" hidden="1" outlineLevel="1" x14ac:dyDescent="0.25">
      <c r="A346" s="1012"/>
      <c r="B346" s="1020"/>
      <c r="C346" s="1009"/>
      <c r="D346" s="3840"/>
      <c r="E346" s="483" t="s">
        <v>1591</v>
      </c>
      <c r="F346" s="1048">
        <v>0.91</v>
      </c>
      <c r="G346" s="1189" t="s">
        <v>714</v>
      </c>
      <c r="H346" s="1322" t="s">
        <v>1659</v>
      </c>
      <c r="I346" s="1020"/>
      <c r="J346" s="1020"/>
      <c r="K346" s="1020"/>
      <c r="L346" s="1020"/>
      <c r="M346" s="1020"/>
      <c r="N346" s="1020"/>
      <c r="O346" s="1020"/>
      <c r="P346" s="1020"/>
      <c r="Q346" s="1020"/>
      <c r="R346" s="1020"/>
      <c r="S346" s="1012"/>
      <c r="T346" s="1012"/>
      <c r="U346" s="1012"/>
      <c r="V346" s="3842"/>
      <c r="W346" s="1017">
        <v>0.91</v>
      </c>
      <c r="X346" s="1017">
        <v>0.91</v>
      </c>
      <c r="Y346" s="1017">
        <v>0.91</v>
      </c>
      <c r="Z346" s="1048">
        <v>0.91</v>
      </c>
      <c r="AA346" s="1048">
        <v>0.91</v>
      </c>
      <c r="AB346" s="1048">
        <v>0.91</v>
      </c>
      <c r="AC346" s="1017"/>
      <c r="AD346" s="1017"/>
      <c r="AE346" s="1017"/>
      <c r="AF346" s="1017"/>
      <c r="AG346" s="1017"/>
      <c r="AK346" s="982"/>
      <c r="BB346" s="1008"/>
    </row>
    <row r="347" spans="1:54" s="993" customFormat="1" hidden="1" outlineLevel="1" x14ac:dyDescent="0.25">
      <c r="A347" s="1012"/>
      <c r="B347" s="1020"/>
      <c r="C347" s="1009"/>
      <c r="D347" s="3840"/>
      <c r="E347" s="483" t="s">
        <v>1593</v>
      </c>
      <c r="F347" s="1048">
        <v>1</v>
      </c>
      <c r="G347" s="1189" t="s">
        <v>714</v>
      </c>
      <c r="H347" s="1322" t="s">
        <v>1660</v>
      </c>
      <c r="I347" s="1020"/>
      <c r="J347" s="1020"/>
      <c r="K347" s="1020"/>
      <c r="L347" s="1020"/>
      <c r="M347" s="1020"/>
      <c r="N347" s="1020"/>
      <c r="O347" s="1020"/>
      <c r="P347" s="1020"/>
      <c r="Q347" s="1020"/>
      <c r="R347" s="1020"/>
      <c r="S347" s="1012"/>
      <c r="T347" s="1012"/>
      <c r="U347" s="1012"/>
      <c r="V347" s="3842"/>
      <c r="W347" s="1017">
        <v>1</v>
      </c>
      <c r="X347" s="1017">
        <v>1</v>
      </c>
      <c r="Y347" s="1017">
        <v>1</v>
      </c>
      <c r="Z347" s="1048">
        <v>1</v>
      </c>
      <c r="AA347" s="1048">
        <v>1</v>
      </c>
      <c r="AB347" s="1048">
        <v>1</v>
      </c>
      <c r="AC347" s="1017"/>
      <c r="AD347" s="1017"/>
      <c r="AE347" s="1017"/>
      <c r="AF347" s="1017"/>
      <c r="AG347" s="1017"/>
      <c r="AK347" s="982"/>
      <c r="BB347" s="1008"/>
    </row>
    <row r="348" spans="1:54" s="993" customFormat="1" hidden="1" outlineLevel="1" x14ac:dyDescent="0.25">
      <c r="A348" s="1012"/>
      <c r="B348" s="1020"/>
      <c r="C348" s="1009"/>
      <c r="D348" s="3840"/>
      <c r="E348" s="483" t="s">
        <v>1595</v>
      </c>
      <c r="F348" s="1048">
        <v>0.91</v>
      </c>
      <c r="G348" s="1189" t="s">
        <v>714</v>
      </c>
      <c r="H348" s="1322" t="s">
        <v>1659</v>
      </c>
      <c r="I348" s="1020"/>
      <c r="J348" s="1020"/>
      <c r="K348" s="1020"/>
      <c r="L348" s="1020"/>
      <c r="M348" s="1020"/>
      <c r="N348" s="1020"/>
      <c r="O348" s="1020"/>
      <c r="P348" s="1020"/>
      <c r="Q348" s="1020"/>
      <c r="R348" s="1020"/>
      <c r="S348" s="1012"/>
      <c r="T348" s="1012"/>
      <c r="U348" s="1012"/>
      <c r="V348" s="3842"/>
      <c r="W348" s="1017">
        <v>0.91</v>
      </c>
      <c r="X348" s="1017">
        <v>0.91</v>
      </c>
      <c r="Y348" s="1017">
        <v>0.91</v>
      </c>
      <c r="Z348" s="1048">
        <v>0.91</v>
      </c>
      <c r="AA348" s="1048">
        <v>0.91</v>
      </c>
      <c r="AB348" s="1048">
        <v>0.91</v>
      </c>
      <c r="AC348" s="1017"/>
      <c r="AD348" s="1017"/>
      <c r="AE348" s="1017"/>
      <c r="AF348" s="1017"/>
      <c r="AG348" s="1017"/>
      <c r="AK348" s="982"/>
      <c r="BB348" s="1008"/>
    </row>
    <row r="349" spans="1:54" s="993" customFormat="1" hidden="1" outlineLevel="1" x14ac:dyDescent="0.25">
      <c r="A349" s="1012"/>
      <c r="B349" s="1020"/>
      <c r="C349" s="1009"/>
      <c r="D349" s="3840"/>
      <c r="E349" s="483" t="s">
        <v>1597</v>
      </c>
      <c r="F349" s="1048">
        <v>0.91</v>
      </c>
      <c r="G349" s="1189" t="s">
        <v>714</v>
      </c>
      <c r="H349" s="1322" t="s">
        <v>1659</v>
      </c>
      <c r="I349" s="1020"/>
      <c r="J349" s="1020"/>
      <c r="K349" s="1020"/>
      <c r="L349" s="1020"/>
      <c r="M349" s="1020"/>
      <c r="N349" s="1020"/>
      <c r="O349" s="1020"/>
      <c r="P349" s="1020"/>
      <c r="Q349" s="1020"/>
      <c r="R349" s="1020"/>
      <c r="S349" s="1012"/>
      <c r="T349" s="1012"/>
      <c r="U349" s="1012"/>
      <c r="V349" s="3842"/>
      <c r="W349" s="1017">
        <v>0.91</v>
      </c>
      <c r="X349" s="1017">
        <v>0.91</v>
      </c>
      <c r="Y349" s="1017">
        <v>0.91</v>
      </c>
      <c r="Z349" s="1048">
        <v>0.91</v>
      </c>
      <c r="AA349" s="1048">
        <v>0.91</v>
      </c>
      <c r="AB349" s="1048">
        <v>0.91</v>
      </c>
      <c r="AC349" s="1017"/>
      <c r="AD349" s="1017"/>
      <c r="AE349" s="1017"/>
      <c r="AF349" s="1017"/>
      <c r="AG349" s="1017"/>
      <c r="AK349" s="982"/>
      <c r="BB349" s="1008"/>
    </row>
    <row r="350" spans="1:54" s="993" customFormat="1" hidden="1" outlineLevel="1" x14ac:dyDescent="0.25">
      <c r="A350" s="1012"/>
      <c r="B350" s="1020"/>
      <c r="C350" s="1009"/>
      <c r="D350" s="3840"/>
      <c r="E350" s="483" t="s">
        <v>1599</v>
      </c>
      <c r="F350" s="1048">
        <v>1</v>
      </c>
      <c r="G350" s="1189" t="s">
        <v>714</v>
      </c>
      <c r="H350" s="1322" t="s">
        <v>1660</v>
      </c>
      <c r="I350" s="1020"/>
      <c r="J350" s="1020"/>
      <c r="K350" s="1020"/>
      <c r="L350" s="1020"/>
      <c r="M350" s="1020"/>
      <c r="N350" s="1020"/>
      <c r="O350" s="1020"/>
      <c r="P350" s="1020"/>
      <c r="Q350" s="1020"/>
      <c r="R350" s="1020"/>
      <c r="S350" s="1012"/>
      <c r="T350" s="1012"/>
      <c r="U350" s="1012"/>
      <c r="V350" s="3842"/>
      <c r="W350" s="1017">
        <v>1</v>
      </c>
      <c r="X350" s="1017">
        <v>1</v>
      </c>
      <c r="Y350" s="1017">
        <v>1</v>
      </c>
      <c r="Z350" s="1048">
        <v>1</v>
      </c>
      <c r="AA350" s="1048">
        <v>1</v>
      </c>
      <c r="AB350" s="1048">
        <v>1</v>
      </c>
      <c r="AC350" s="1017"/>
      <c r="AD350" s="1017"/>
      <c r="AE350" s="1017"/>
      <c r="AF350" s="1017"/>
      <c r="AG350" s="1017"/>
      <c r="AK350" s="982"/>
      <c r="BB350" s="1008"/>
    </row>
    <row r="351" spans="1:54" s="993" customFormat="1" hidden="1" outlineLevel="1" x14ac:dyDescent="0.25">
      <c r="A351" s="1012"/>
      <c r="B351" s="1020"/>
      <c r="C351" s="1009"/>
      <c r="D351" s="3840"/>
      <c r="E351" s="489" t="s">
        <v>1601</v>
      </c>
      <c r="F351" s="1048">
        <v>0.91</v>
      </c>
      <c r="G351" s="1189" t="s">
        <v>714</v>
      </c>
      <c r="H351" s="1322" t="s">
        <v>1659</v>
      </c>
      <c r="I351" s="1020"/>
      <c r="J351" s="1020"/>
      <c r="K351" s="1020"/>
      <c r="L351" s="1020"/>
      <c r="M351" s="1020"/>
      <c r="N351" s="1020"/>
      <c r="O351" s="1020"/>
      <c r="P351" s="1020"/>
      <c r="Q351" s="1020"/>
      <c r="R351" s="1020"/>
      <c r="S351" s="1012"/>
      <c r="T351" s="1012"/>
      <c r="U351" s="1012"/>
      <c r="V351" s="3842"/>
      <c r="W351" s="1017">
        <v>0.91</v>
      </c>
      <c r="X351" s="1017">
        <v>0.91</v>
      </c>
      <c r="Y351" s="1017">
        <v>0.91</v>
      </c>
      <c r="Z351" s="1048">
        <v>0.91</v>
      </c>
      <c r="AA351" s="1048">
        <v>0.91</v>
      </c>
      <c r="AB351" s="1048">
        <v>0.91</v>
      </c>
      <c r="AC351" s="1017"/>
      <c r="AD351" s="1017"/>
      <c r="AE351" s="1017"/>
      <c r="AF351" s="1017"/>
      <c r="AG351" s="1017"/>
      <c r="AK351" s="982"/>
      <c r="BB351" s="1008"/>
    </row>
    <row r="352" spans="1:54" s="993" customFormat="1" hidden="1" outlineLevel="1" x14ac:dyDescent="0.25">
      <c r="A352" s="1012"/>
      <c r="B352" s="1020"/>
      <c r="C352" s="1009"/>
      <c r="D352" s="3840"/>
      <c r="E352" s="483" t="s">
        <v>1603</v>
      </c>
      <c r="F352" s="1048">
        <v>0.91</v>
      </c>
      <c r="G352" s="1189" t="s">
        <v>714</v>
      </c>
      <c r="H352" s="1322" t="s">
        <v>1659</v>
      </c>
      <c r="I352" s="1020"/>
      <c r="J352" s="1020"/>
      <c r="K352" s="1020"/>
      <c r="L352" s="1020"/>
      <c r="M352" s="1020"/>
      <c r="N352" s="1020"/>
      <c r="O352" s="1020"/>
      <c r="P352" s="1020"/>
      <c r="Q352" s="1020"/>
      <c r="R352" s="1020"/>
      <c r="S352" s="1012"/>
      <c r="T352" s="1012"/>
      <c r="U352" s="1012"/>
      <c r="V352" s="3842"/>
      <c r="W352" s="1017">
        <v>0.91</v>
      </c>
      <c r="X352" s="1017">
        <v>0.91</v>
      </c>
      <c r="Y352" s="1017">
        <v>0.91</v>
      </c>
      <c r="Z352" s="1048">
        <v>0.91</v>
      </c>
      <c r="AA352" s="1048">
        <v>0.91</v>
      </c>
      <c r="AB352" s="1048">
        <v>0.91</v>
      </c>
      <c r="AC352" s="1017"/>
      <c r="AD352" s="1017"/>
      <c r="AE352" s="1017"/>
      <c r="AF352" s="1017"/>
      <c r="AG352" s="1017"/>
      <c r="AK352" s="982"/>
      <c r="BB352" s="1008"/>
    </row>
    <row r="353" spans="1:54" s="993" customFormat="1" hidden="1" outlineLevel="1" x14ac:dyDescent="0.25">
      <c r="A353" s="1012"/>
      <c r="B353" s="1020"/>
      <c r="C353" s="1009"/>
      <c r="D353" s="3840"/>
      <c r="E353" s="483" t="s">
        <v>1605</v>
      </c>
      <c r="F353" s="1048">
        <v>1</v>
      </c>
      <c r="G353" s="1189" t="s">
        <v>714</v>
      </c>
      <c r="H353" s="1322" t="s">
        <v>1660</v>
      </c>
      <c r="I353" s="1020"/>
      <c r="J353" s="1020"/>
      <c r="K353" s="1020"/>
      <c r="L353" s="1020"/>
      <c r="M353" s="1020"/>
      <c r="N353" s="1020"/>
      <c r="O353" s="1020"/>
      <c r="P353" s="1020"/>
      <c r="Q353" s="1020"/>
      <c r="R353" s="1020"/>
      <c r="S353" s="1012"/>
      <c r="T353" s="1012"/>
      <c r="U353" s="1012"/>
      <c r="V353" s="3842"/>
      <c r="W353" s="1017">
        <v>1</v>
      </c>
      <c r="X353" s="1017">
        <v>1</v>
      </c>
      <c r="Y353" s="1017">
        <v>1</v>
      </c>
      <c r="Z353" s="1048">
        <v>1</v>
      </c>
      <c r="AA353" s="1048">
        <v>1</v>
      </c>
      <c r="AB353" s="1048">
        <v>1</v>
      </c>
      <c r="AC353" s="1017"/>
      <c r="AD353" s="1017"/>
      <c r="AE353" s="1017"/>
      <c r="AF353" s="1017"/>
      <c r="AG353" s="1017"/>
      <c r="AK353" s="982"/>
      <c r="BB353" s="1008"/>
    </row>
    <row r="354" spans="1:54" s="993" customFormat="1" hidden="1" outlineLevel="1" x14ac:dyDescent="0.25">
      <c r="A354" s="1012"/>
      <c r="B354" s="1020"/>
      <c r="C354" s="1009"/>
      <c r="D354" s="3840"/>
      <c r="E354" s="1851" t="s">
        <v>1607</v>
      </c>
      <c r="F354" s="1048">
        <v>0.91</v>
      </c>
      <c r="G354" s="1189" t="s">
        <v>714</v>
      </c>
      <c r="H354" s="1322" t="s">
        <v>1659</v>
      </c>
      <c r="I354" s="1020"/>
      <c r="J354" s="1020"/>
      <c r="K354" s="1020"/>
      <c r="L354" s="1020"/>
      <c r="M354" s="1020"/>
      <c r="N354" s="1020"/>
      <c r="O354" s="1020"/>
      <c r="P354" s="1020"/>
      <c r="Q354" s="1020"/>
      <c r="R354" s="1020"/>
      <c r="S354" s="1012"/>
      <c r="T354" s="1012"/>
      <c r="U354" s="1012"/>
      <c r="V354" s="3842"/>
      <c r="W354" s="1017">
        <v>0.91</v>
      </c>
      <c r="X354" s="1017">
        <v>0.91</v>
      </c>
      <c r="Y354" s="1017">
        <v>0.91</v>
      </c>
      <c r="Z354" s="1048">
        <v>0.91</v>
      </c>
      <c r="AA354" s="1048">
        <v>0.91</v>
      </c>
      <c r="AB354" s="1048">
        <v>0.91</v>
      </c>
      <c r="AC354" s="1017"/>
      <c r="AD354" s="1017"/>
      <c r="AE354" s="1017"/>
      <c r="AF354" s="1017"/>
      <c r="AG354" s="1017"/>
      <c r="AK354" s="982"/>
      <c r="BB354" s="1008"/>
    </row>
    <row r="355" spans="1:54" s="993" customFormat="1" hidden="1" outlineLevel="1" x14ac:dyDescent="0.25">
      <c r="A355" s="1012"/>
      <c r="B355" s="1020"/>
      <c r="C355" s="1009"/>
      <c r="D355" s="3840"/>
      <c r="E355" s="483" t="s">
        <v>1609</v>
      </c>
      <c r="F355" s="1048">
        <v>0.91</v>
      </c>
      <c r="G355" s="1189" t="s">
        <v>714</v>
      </c>
      <c r="H355" s="1322" t="s">
        <v>1659</v>
      </c>
      <c r="I355" s="1020"/>
      <c r="J355" s="1020"/>
      <c r="K355" s="1020"/>
      <c r="L355" s="1020"/>
      <c r="M355" s="1020"/>
      <c r="N355" s="1020"/>
      <c r="O355" s="1020"/>
      <c r="P355" s="1020"/>
      <c r="Q355" s="1020"/>
      <c r="R355" s="1020"/>
      <c r="S355" s="1012"/>
      <c r="T355" s="1012"/>
      <c r="U355" s="1012"/>
      <c r="V355" s="3842"/>
      <c r="W355" s="1017">
        <v>0.91</v>
      </c>
      <c r="X355" s="1017">
        <v>0.91</v>
      </c>
      <c r="Y355" s="1017">
        <v>0.91</v>
      </c>
      <c r="Z355" s="1048">
        <v>0.91</v>
      </c>
      <c r="AA355" s="1048">
        <v>0.91</v>
      </c>
      <c r="AB355" s="1048">
        <v>0.91</v>
      </c>
      <c r="AC355" s="1017"/>
      <c r="AD355" s="1017"/>
      <c r="AE355" s="1017"/>
      <c r="AF355" s="1017"/>
      <c r="AG355" s="1017"/>
      <c r="AK355" s="982"/>
      <c r="BB355" s="1008"/>
    </row>
    <row r="356" spans="1:54" s="993" customFormat="1" hidden="1" outlineLevel="1" x14ac:dyDescent="0.25">
      <c r="A356" s="1012"/>
      <c r="B356" s="1020"/>
      <c r="C356" s="1009"/>
      <c r="D356" s="3840"/>
      <c r="E356" s="483" t="s">
        <v>1611</v>
      </c>
      <c r="F356" s="1048">
        <v>1</v>
      </c>
      <c r="G356" s="1189" t="s">
        <v>714</v>
      </c>
      <c r="H356" s="1322" t="s">
        <v>1660</v>
      </c>
      <c r="I356" s="1020"/>
      <c r="J356" s="1020"/>
      <c r="K356" s="1020"/>
      <c r="L356" s="1020"/>
      <c r="M356" s="1020"/>
      <c r="N356" s="1020"/>
      <c r="O356" s="1020"/>
      <c r="P356" s="1020"/>
      <c r="Q356" s="1020"/>
      <c r="R356" s="1020"/>
      <c r="S356" s="1012"/>
      <c r="T356" s="1012"/>
      <c r="U356" s="1012"/>
      <c r="V356" s="3842"/>
      <c r="W356" s="1017">
        <v>1</v>
      </c>
      <c r="X356" s="1017">
        <v>1</v>
      </c>
      <c r="Y356" s="1017">
        <v>1</v>
      </c>
      <c r="Z356" s="1048">
        <v>1</v>
      </c>
      <c r="AA356" s="1048">
        <v>1</v>
      </c>
      <c r="AB356" s="1048">
        <v>1</v>
      </c>
      <c r="AC356" s="1017"/>
      <c r="AD356" s="1017"/>
      <c r="AE356" s="1017"/>
      <c r="AF356" s="1017"/>
      <c r="AG356" s="1017"/>
      <c r="AK356" s="982"/>
      <c r="BB356" s="1008"/>
    </row>
    <row r="357" spans="1:54" s="993" customFormat="1" hidden="1" outlineLevel="1" x14ac:dyDescent="0.25">
      <c r="A357" s="1012"/>
      <c r="B357" s="1020"/>
      <c r="C357" s="1009"/>
      <c r="D357" s="3840"/>
      <c r="E357" s="489" t="s">
        <v>1613</v>
      </c>
      <c r="F357" s="1048">
        <v>0.91</v>
      </c>
      <c r="G357" s="1189" t="s">
        <v>714</v>
      </c>
      <c r="H357" s="1322" t="s">
        <v>1659</v>
      </c>
      <c r="I357" s="1020"/>
      <c r="J357" s="1020"/>
      <c r="K357" s="1020"/>
      <c r="L357" s="1020"/>
      <c r="M357" s="1020"/>
      <c r="N357" s="1020"/>
      <c r="O357" s="1020"/>
      <c r="P357" s="1020"/>
      <c r="Q357" s="1020"/>
      <c r="R357" s="1020"/>
      <c r="S357" s="1012"/>
      <c r="T357" s="1012"/>
      <c r="U357" s="1012"/>
      <c r="V357" s="3842"/>
      <c r="W357" s="1017">
        <v>0.91</v>
      </c>
      <c r="X357" s="1017">
        <v>0.91</v>
      </c>
      <c r="Y357" s="1017">
        <v>0.91</v>
      </c>
      <c r="Z357" s="1048">
        <v>0.91</v>
      </c>
      <c r="AA357" s="1048">
        <v>0.91</v>
      </c>
      <c r="AB357" s="1048">
        <v>0.91</v>
      </c>
      <c r="AC357" s="1017"/>
      <c r="AD357" s="1017"/>
      <c r="AE357" s="1017"/>
      <c r="AF357" s="1017"/>
      <c r="AG357" s="1017"/>
      <c r="AK357" s="982"/>
      <c r="BB357" s="1008"/>
    </row>
    <row r="358" spans="1:54" s="993" customFormat="1" hidden="1" outlineLevel="1" x14ac:dyDescent="0.25">
      <c r="A358" s="1012"/>
      <c r="B358" s="1020"/>
      <c r="C358" s="1009"/>
      <c r="D358" s="3840"/>
      <c r="E358" s="483" t="s">
        <v>1615</v>
      </c>
      <c r="F358" s="1048">
        <v>0.91</v>
      </c>
      <c r="G358" s="1189" t="s">
        <v>714</v>
      </c>
      <c r="H358" s="1322" t="s">
        <v>1659</v>
      </c>
      <c r="I358" s="1020"/>
      <c r="J358" s="1020"/>
      <c r="K358" s="1020"/>
      <c r="L358" s="1020"/>
      <c r="M358" s="1020"/>
      <c r="N358" s="1020"/>
      <c r="O358" s="1020"/>
      <c r="P358" s="1020"/>
      <c r="Q358" s="1020"/>
      <c r="R358" s="1020"/>
      <c r="S358" s="1012"/>
      <c r="T358" s="1012"/>
      <c r="U358" s="1012"/>
      <c r="V358" s="3842"/>
      <c r="W358" s="1017">
        <v>0.91</v>
      </c>
      <c r="X358" s="1017">
        <v>0.91</v>
      </c>
      <c r="Y358" s="1017">
        <v>0.91</v>
      </c>
      <c r="Z358" s="1048">
        <v>0.91</v>
      </c>
      <c r="AA358" s="1048">
        <v>0.91</v>
      </c>
      <c r="AB358" s="1048">
        <v>0.91</v>
      </c>
      <c r="AC358" s="1017"/>
      <c r="AD358" s="1017"/>
      <c r="AE358" s="1017"/>
      <c r="AF358" s="1017"/>
      <c r="AG358" s="1017"/>
      <c r="AK358" s="982"/>
      <c r="BB358" s="1008"/>
    </row>
    <row r="359" spans="1:54" s="993" customFormat="1" hidden="1" outlineLevel="1" x14ac:dyDescent="0.25">
      <c r="A359" s="1012"/>
      <c r="B359" s="1020"/>
      <c r="C359" s="1009"/>
      <c r="D359" s="3840"/>
      <c r="E359" s="483" t="s">
        <v>1617</v>
      </c>
      <c r="F359" s="1048">
        <v>1</v>
      </c>
      <c r="G359" s="1189" t="s">
        <v>714</v>
      </c>
      <c r="H359" s="1322" t="s">
        <v>1660</v>
      </c>
      <c r="I359" s="1020"/>
      <c r="J359" s="1020"/>
      <c r="K359" s="1020"/>
      <c r="L359" s="1020"/>
      <c r="M359" s="1020"/>
      <c r="N359" s="1020"/>
      <c r="O359" s="1020"/>
      <c r="P359" s="1020"/>
      <c r="Q359" s="1020"/>
      <c r="R359" s="1020"/>
      <c r="S359" s="1012"/>
      <c r="T359" s="1012"/>
      <c r="U359" s="1012"/>
      <c r="V359" s="3842"/>
      <c r="W359" s="1017">
        <v>1</v>
      </c>
      <c r="X359" s="1017">
        <v>1</v>
      </c>
      <c r="Y359" s="1017">
        <v>1</v>
      </c>
      <c r="Z359" s="1048">
        <v>1</v>
      </c>
      <c r="AA359" s="1048">
        <v>1</v>
      </c>
      <c r="AB359" s="1048">
        <v>1</v>
      </c>
      <c r="AC359" s="1017"/>
      <c r="AD359" s="1017"/>
      <c r="AE359" s="1017"/>
      <c r="AF359" s="1017"/>
      <c r="AG359" s="1017"/>
      <c r="AK359" s="982"/>
      <c r="BB359" s="1008"/>
    </row>
    <row r="360" spans="1:54" s="993" customFormat="1" hidden="1" outlineLevel="1" x14ac:dyDescent="0.25">
      <c r="A360" s="1012"/>
      <c r="B360" s="1020"/>
      <c r="C360" s="1009"/>
      <c r="D360" s="3840"/>
      <c r="E360" s="1851" t="s">
        <v>1619</v>
      </c>
      <c r="F360" s="1048">
        <v>0.91</v>
      </c>
      <c r="G360" s="1189" t="s">
        <v>714</v>
      </c>
      <c r="H360" s="1322" t="s">
        <v>1659</v>
      </c>
      <c r="I360" s="1020"/>
      <c r="J360" s="1020"/>
      <c r="K360" s="1020"/>
      <c r="L360" s="1020"/>
      <c r="M360" s="1020"/>
      <c r="N360" s="1020"/>
      <c r="O360" s="1020"/>
      <c r="P360" s="1020"/>
      <c r="Q360" s="1020"/>
      <c r="R360" s="1020"/>
      <c r="S360" s="1012"/>
      <c r="T360" s="1012"/>
      <c r="U360" s="1012"/>
      <c r="V360" s="3842"/>
      <c r="W360" s="1017">
        <v>0.91</v>
      </c>
      <c r="X360" s="1017">
        <v>0.91</v>
      </c>
      <c r="Y360" s="1017">
        <v>0.91</v>
      </c>
      <c r="Z360" s="1048">
        <v>0.91</v>
      </c>
      <c r="AA360" s="1048">
        <v>0.91</v>
      </c>
      <c r="AB360" s="1048">
        <v>0.91</v>
      </c>
      <c r="AC360" s="1017"/>
      <c r="AD360" s="1017"/>
      <c r="AE360" s="1017"/>
      <c r="AF360" s="1017"/>
      <c r="AG360" s="1017"/>
      <c r="AK360" s="982"/>
      <c r="BB360" s="1008"/>
    </row>
    <row r="361" spans="1:54" s="993" customFormat="1" hidden="1" outlineLevel="1" x14ac:dyDescent="0.25">
      <c r="A361" s="1012"/>
      <c r="B361" s="1020"/>
      <c r="C361" s="1009"/>
      <c r="D361" s="3840"/>
      <c r="E361" s="483" t="s">
        <v>1621</v>
      </c>
      <c r="F361" s="1048">
        <v>0.91</v>
      </c>
      <c r="G361" s="1189" t="s">
        <v>714</v>
      </c>
      <c r="H361" s="1322" t="s">
        <v>1659</v>
      </c>
      <c r="I361" s="1020"/>
      <c r="J361" s="1020"/>
      <c r="K361" s="1020"/>
      <c r="L361" s="1020"/>
      <c r="M361" s="1020"/>
      <c r="N361" s="1020"/>
      <c r="O361" s="1020"/>
      <c r="P361" s="1020"/>
      <c r="Q361" s="1020"/>
      <c r="R361" s="1020"/>
      <c r="S361" s="1012"/>
      <c r="T361" s="1012"/>
      <c r="U361" s="1012"/>
      <c r="V361" s="3842"/>
      <c r="W361" s="1017">
        <v>0.91</v>
      </c>
      <c r="X361" s="1017">
        <v>0.91</v>
      </c>
      <c r="Y361" s="1017">
        <v>0.91</v>
      </c>
      <c r="Z361" s="1048">
        <v>0.91</v>
      </c>
      <c r="AA361" s="1048">
        <v>0.91</v>
      </c>
      <c r="AB361" s="1048">
        <v>0.91</v>
      </c>
      <c r="AC361" s="1017"/>
      <c r="AD361" s="1017"/>
      <c r="AE361" s="1017"/>
      <c r="AF361" s="1017"/>
      <c r="AG361" s="1017"/>
      <c r="AK361" s="982"/>
      <c r="BB361" s="1008"/>
    </row>
    <row r="362" spans="1:54" s="993" customFormat="1" hidden="1" outlineLevel="1" x14ac:dyDescent="0.25">
      <c r="A362" s="1012"/>
      <c r="B362" s="1020"/>
      <c r="C362" s="1009"/>
      <c r="D362" s="3840"/>
      <c r="E362" s="483" t="s">
        <v>1623</v>
      </c>
      <c r="F362" s="1048">
        <v>1</v>
      </c>
      <c r="G362" s="1189" t="s">
        <v>714</v>
      </c>
      <c r="H362" s="1322" t="s">
        <v>1660</v>
      </c>
      <c r="I362" s="1020"/>
      <c r="J362" s="1020"/>
      <c r="K362" s="1020"/>
      <c r="L362" s="1020"/>
      <c r="M362" s="1020"/>
      <c r="N362" s="1020"/>
      <c r="O362" s="1020"/>
      <c r="P362" s="1020"/>
      <c r="Q362" s="1020"/>
      <c r="R362" s="1020"/>
      <c r="S362" s="1012"/>
      <c r="T362" s="1012"/>
      <c r="U362" s="1012"/>
      <c r="V362" s="3842"/>
      <c r="W362" s="1017">
        <v>1</v>
      </c>
      <c r="X362" s="1017">
        <v>1</v>
      </c>
      <c r="Y362" s="1017">
        <v>1</v>
      </c>
      <c r="Z362" s="1048">
        <v>1</v>
      </c>
      <c r="AA362" s="1048">
        <v>1</v>
      </c>
      <c r="AB362" s="1048">
        <v>1</v>
      </c>
      <c r="AC362" s="1017"/>
      <c r="AD362" s="1017"/>
      <c r="AE362" s="1017"/>
      <c r="AF362" s="1017"/>
      <c r="AG362" s="1017"/>
      <c r="AK362" s="982"/>
      <c r="BB362" s="1008"/>
    </row>
    <row r="363" spans="1:54" s="993" customFormat="1" hidden="1" outlineLevel="1" x14ac:dyDescent="0.25">
      <c r="A363" s="1012"/>
      <c r="B363" s="1020"/>
      <c r="C363" s="1009"/>
      <c r="D363" s="3840"/>
      <c r="E363" s="489" t="s">
        <v>1625</v>
      </c>
      <c r="F363" s="1048">
        <v>0.91</v>
      </c>
      <c r="G363" s="1189" t="s">
        <v>714</v>
      </c>
      <c r="H363" s="1322" t="s">
        <v>1659</v>
      </c>
      <c r="I363" s="1020"/>
      <c r="J363" s="1020"/>
      <c r="K363" s="1020"/>
      <c r="L363" s="1020"/>
      <c r="M363" s="1020"/>
      <c r="N363" s="1020"/>
      <c r="O363" s="1020"/>
      <c r="P363" s="1020"/>
      <c r="Q363" s="1020"/>
      <c r="R363" s="1020"/>
      <c r="S363" s="1012"/>
      <c r="T363" s="1012"/>
      <c r="U363" s="1012"/>
      <c r="V363" s="3842"/>
      <c r="W363" s="1017">
        <v>0.91</v>
      </c>
      <c r="X363" s="1017">
        <v>0.91</v>
      </c>
      <c r="Y363" s="1017">
        <v>0.91</v>
      </c>
      <c r="Z363" s="1048">
        <v>0.91</v>
      </c>
      <c r="AA363" s="1048">
        <v>0.91</v>
      </c>
      <c r="AB363" s="1048">
        <v>0.91</v>
      </c>
      <c r="AC363" s="1017"/>
      <c r="AD363" s="1017"/>
      <c r="AE363" s="1017"/>
      <c r="AF363" s="1017"/>
      <c r="AG363" s="1017"/>
      <c r="AK363" s="982"/>
      <c r="BB363" s="1008"/>
    </row>
    <row r="364" spans="1:54" s="993" customFormat="1" hidden="1" outlineLevel="1" x14ac:dyDescent="0.25">
      <c r="A364" s="1012"/>
      <c r="B364" s="1020"/>
      <c r="C364" s="1009"/>
      <c r="D364" s="3840"/>
      <c r="E364" s="483" t="s">
        <v>1627</v>
      </c>
      <c r="F364" s="1048">
        <v>0.91</v>
      </c>
      <c r="G364" s="1189" t="s">
        <v>714</v>
      </c>
      <c r="H364" s="1322" t="s">
        <v>1659</v>
      </c>
      <c r="I364" s="1020"/>
      <c r="J364" s="1020"/>
      <c r="K364" s="1020"/>
      <c r="L364" s="1020"/>
      <c r="M364" s="1020"/>
      <c r="N364" s="1020"/>
      <c r="O364" s="1020"/>
      <c r="P364" s="1020"/>
      <c r="Q364" s="1020"/>
      <c r="R364" s="1020"/>
      <c r="S364" s="1012"/>
      <c r="T364" s="1012"/>
      <c r="U364" s="1012"/>
      <c r="V364" s="3842"/>
      <c r="W364" s="1017">
        <v>0.91</v>
      </c>
      <c r="X364" s="1017">
        <v>0.91</v>
      </c>
      <c r="Y364" s="1017">
        <v>0.91</v>
      </c>
      <c r="Z364" s="1048">
        <v>0.91</v>
      </c>
      <c r="AA364" s="1048">
        <v>0.91</v>
      </c>
      <c r="AB364" s="1048">
        <v>0.91</v>
      </c>
      <c r="AC364" s="1017"/>
      <c r="AD364" s="1017"/>
      <c r="AE364" s="1017"/>
      <c r="AF364" s="1017"/>
      <c r="AG364" s="1017"/>
      <c r="AK364" s="982"/>
      <c r="BB364" s="1008"/>
    </row>
    <row r="365" spans="1:54" s="993" customFormat="1" hidden="1" outlineLevel="1" x14ac:dyDescent="0.25">
      <c r="A365" s="1012"/>
      <c r="B365" s="1020"/>
      <c r="C365" s="1009"/>
      <c r="D365" s="3840"/>
      <c r="E365" s="489" t="s">
        <v>1629</v>
      </c>
      <c r="F365" s="1048">
        <v>1</v>
      </c>
      <c r="G365" s="1189" t="s">
        <v>714</v>
      </c>
      <c r="H365" s="1322" t="s">
        <v>1660</v>
      </c>
      <c r="I365" s="1020"/>
      <c r="J365" s="1020"/>
      <c r="K365" s="1020"/>
      <c r="L365" s="1020"/>
      <c r="M365" s="1020"/>
      <c r="N365" s="1020"/>
      <c r="O365" s="1020"/>
      <c r="P365" s="1020"/>
      <c r="Q365" s="1020"/>
      <c r="R365" s="1020"/>
      <c r="S365" s="1012"/>
      <c r="T365" s="1012"/>
      <c r="U365" s="1012"/>
      <c r="V365" s="3842"/>
      <c r="W365" s="1017">
        <v>1</v>
      </c>
      <c r="X365" s="1017">
        <v>1</v>
      </c>
      <c r="Y365" s="1017">
        <v>1</v>
      </c>
      <c r="Z365" s="1048">
        <v>1</v>
      </c>
      <c r="AA365" s="1048">
        <v>1</v>
      </c>
      <c r="AB365" s="1048">
        <v>1</v>
      </c>
      <c r="AC365" s="1017"/>
      <c r="AD365" s="1017"/>
      <c r="AE365" s="1017"/>
      <c r="AF365" s="1017"/>
      <c r="AG365" s="1017"/>
      <c r="AK365" s="982"/>
      <c r="BB365" s="1008"/>
    </row>
    <row r="366" spans="1:54" s="993" customFormat="1" hidden="1" outlineLevel="1" x14ac:dyDescent="0.25">
      <c r="A366" s="1012"/>
      <c r="B366" s="1020"/>
      <c r="C366" s="1009"/>
      <c r="D366" s="3840"/>
      <c r="E366" s="483" t="s">
        <v>1631</v>
      </c>
      <c r="F366" s="1048">
        <v>0.91</v>
      </c>
      <c r="G366" s="1189" t="s">
        <v>714</v>
      </c>
      <c r="H366" s="1322" t="s">
        <v>1659</v>
      </c>
      <c r="I366" s="1020"/>
      <c r="J366" s="1020"/>
      <c r="K366" s="1020"/>
      <c r="L366" s="1020"/>
      <c r="M366" s="1020"/>
      <c r="N366" s="1020"/>
      <c r="O366" s="1020"/>
      <c r="P366" s="1020"/>
      <c r="Q366" s="1020"/>
      <c r="R366" s="1020"/>
      <c r="S366" s="1012"/>
      <c r="T366" s="1012"/>
      <c r="U366" s="1012"/>
      <c r="V366" s="3842"/>
      <c r="W366" s="1017">
        <v>0.91</v>
      </c>
      <c r="X366" s="1017">
        <v>0.91</v>
      </c>
      <c r="Y366" s="1017">
        <v>0.91</v>
      </c>
      <c r="Z366" s="1048">
        <v>0.91</v>
      </c>
      <c r="AA366" s="1048">
        <v>0.91</v>
      </c>
      <c r="AB366" s="1048">
        <v>0.91</v>
      </c>
      <c r="AC366" s="1017"/>
      <c r="AD366" s="1017"/>
      <c r="AE366" s="1017"/>
      <c r="AF366" s="1017"/>
      <c r="AG366" s="1017"/>
      <c r="AK366" s="982"/>
      <c r="BB366" s="1008"/>
    </row>
    <row r="367" spans="1:54" s="993" customFormat="1" hidden="1" outlineLevel="1" x14ac:dyDescent="0.25">
      <c r="A367" s="1012"/>
      <c r="B367" s="1020"/>
      <c r="C367" s="1009"/>
      <c r="D367" s="3840"/>
      <c r="E367" s="483" t="s">
        <v>1633</v>
      </c>
      <c r="F367" s="1048">
        <v>0.91</v>
      </c>
      <c r="G367" s="1189" t="s">
        <v>714</v>
      </c>
      <c r="H367" s="1322" t="s">
        <v>1659</v>
      </c>
      <c r="I367" s="1020"/>
      <c r="J367" s="1020"/>
      <c r="K367" s="1020"/>
      <c r="L367" s="1020"/>
      <c r="M367" s="1020"/>
      <c r="N367" s="1020"/>
      <c r="O367" s="1020"/>
      <c r="P367" s="1020"/>
      <c r="Q367" s="1020"/>
      <c r="R367" s="1020"/>
      <c r="S367" s="1012"/>
      <c r="T367" s="1012"/>
      <c r="U367" s="1012"/>
      <c r="V367" s="3842"/>
      <c r="W367" s="1017">
        <v>0.91</v>
      </c>
      <c r="X367" s="1017">
        <v>0.91</v>
      </c>
      <c r="Y367" s="1017">
        <v>0.91</v>
      </c>
      <c r="Z367" s="1048">
        <v>0.91</v>
      </c>
      <c r="AA367" s="1048">
        <v>0.91</v>
      </c>
      <c r="AB367" s="1048">
        <v>0.91</v>
      </c>
      <c r="AC367" s="1017"/>
      <c r="AD367" s="1017"/>
      <c r="AE367" s="1017"/>
      <c r="AF367" s="1017"/>
      <c r="AG367" s="1017"/>
      <c r="AK367" s="982"/>
      <c r="BB367" s="1008"/>
    </row>
    <row r="368" spans="1:54" s="993" customFormat="1" hidden="1" outlineLevel="1" x14ac:dyDescent="0.25">
      <c r="A368" s="1012"/>
      <c r="B368" s="1020"/>
      <c r="C368" s="1009"/>
      <c r="D368" s="3840"/>
      <c r="E368" s="483" t="s">
        <v>1635</v>
      </c>
      <c r="F368" s="1048">
        <v>1</v>
      </c>
      <c r="G368" s="1189" t="s">
        <v>714</v>
      </c>
      <c r="H368" s="1322" t="s">
        <v>1660</v>
      </c>
      <c r="I368" s="1020"/>
      <c r="J368" s="1020"/>
      <c r="K368" s="1020"/>
      <c r="L368" s="1020"/>
      <c r="M368" s="1020"/>
      <c r="N368" s="1020"/>
      <c r="O368" s="1020"/>
      <c r="P368" s="1020"/>
      <c r="Q368" s="1020"/>
      <c r="R368" s="1020"/>
      <c r="S368" s="1012"/>
      <c r="T368" s="1012"/>
      <c r="U368" s="1012"/>
      <c r="V368" s="3842"/>
      <c r="W368" s="1017">
        <v>1</v>
      </c>
      <c r="X368" s="1017">
        <v>1</v>
      </c>
      <c r="Y368" s="1017">
        <v>1</v>
      </c>
      <c r="Z368" s="1048">
        <v>1</v>
      </c>
      <c r="AA368" s="1048">
        <v>1</v>
      </c>
      <c r="AB368" s="1048">
        <v>1</v>
      </c>
      <c r="AC368" s="1017"/>
      <c r="AD368" s="1017"/>
      <c r="AE368" s="1017"/>
      <c r="AF368" s="1017"/>
      <c r="AG368" s="1017"/>
      <c r="AK368" s="982"/>
      <c r="BB368" s="1008"/>
    </row>
    <row r="369" spans="1:54" s="993" customFormat="1" hidden="1" outlineLevel="1" x14ac:dyDescent="0.25">
      <c r="A369" s="1012"/>
      <c r="B369" s="1020"/>
      <c r="C369" s="1009"/>
      <c r="D369" s="3840"/>
      <c r="E369" s="489" t="s">
        <v>1637</v>
      </c>
      <c r="F369" s="1048">
        <v>0.91</v>
      </c>
      <c r="G369" s="1189" t="s">
        <v>714</v>
      </c>
      <c r="H369" s="1322" t="s">
        <v>1659</v>
      </c>
      <c r="I369" s="1020"/>
      <c r="J369" s="1020"/>
      <c r="K369" s="1020"/>
      <c r="L369" s="1020"/>
      <c r="M369" s="1020"/>
      <c r="N369" s="1020"/>
      <c r="O369" s="1020"/>
      <c r="P369" s="1020"/>
      <c r="Q369" s="1020"/>
      <c r="R369" s="1020"/>
      <c r="S369" s="1012"/>
      <c r="T369" s="1012"/>
      <c r="U369" s="1012"/>
      <c r="V369" s="3842"/>
      <c r="W369" s="1017">
        <v>0.91</v>
      </c>
      <c r="X369" s="1017">
        <v>0.91</v>
      </c>
      <c r="Y369" s="1017">
        <v>0.91</v>
      </c>
      <c r="Z369" s="1048">
        <v>0.91</v>
      </c>
      <c r="AA369" s="1048">
        <v>0.91</v>
      </c>
      <c r="AB369" s="1048">
        <v>0.91</v>
      </c>
      <c r="AC369" s="1017"/>
      <c r="AD369" s="1017"/>
      <c r="AE369" s="1017"/>
      <c r="AF369" s="1017"/>
      <c r="AG369" s="1017"/>
      <c r="AK369" s="982"/>
      <c r="BB369" s="1008"/>
    </row>
    <row r="370" spans="1:54" s="993" customFormat="1" hidden="1" outlineLevel="1" x14ac:dyDescent="0.25">
      <c r="A370" s="1012"/>
      <c r="B370" s="1020"/>
      <c r="C370" s="1009"/>
      <c r="D370" s="3840"/>
      <c r="E370" s="483" t="s">
        <v>1639</v>
      </c>
      <c r="F370" s="1048">
        <v>0.91</v>
      </c>
      <c r="G370" s="1189" t="s">
        <v>714</v>
      </c>
      <c r="H370" s="1322" t="s">
        <v>1659</v>
      </c>
      <c r="I370" s="1020"/>
      <c r="J370" s="1020"/>
      <c r="K370" s="1020"/>
      <c r="L370" s="1020"/>
      <c r="M370" s="1020"/>
      <c r="N370" s="1020"/>
      <c r="O370" s="1020"/>
      <c r="P370" s="1020"/>
      <c r="Q370" s="1020"/>
      <c r="R370" s="1020"/>
      <c r="S370" s="1012"/>
      <c r="T370" s="1012"/>
      <c r="U370" s="1012"/>
      <c r="V370" s="3842"/>
      <c r="W370" s="1017">
        <v>0.91</v>
      </c>
      <c r="X370" s="1017">
        <v>0.91</v>
      </c>
      <c r="Y370" s="1017">
        <v>0.91</v>
      </c>
      <c r="Z370" s="1048">
        <v>0.91</v>
      </c>
      <c r="AA370" s="1048">
        <v>0.91</v>
      </c>
      <c r="AB370" s="1048">
        <v>0.91</v>
      </c>
      <c r="AC370" s="1017"/>
      <c r="AD370" s="1017"/>
      <c r="AE370" s="1017"/>
      <c r="AF370" s="1017"/>
      <c r="AG370" s="1017"/>
      <c r="AK370" s="982"/>
      <c r="BB370" s="1008"/>
    </row>
    <row r="371" spans="1:54" s="993" customFormat="1" hidden="1" outlineLevel="1" x14ac:dyDescent="0.25">
      <c r="A371" s="1012"/>
      <c r="B371" s="1020"/>
      <c r="C371" s="1009"/>
      <c r="D371" s="3840"/>
      <c r="E371" s="489" t="s">
        <v>1641</v>
      </c>
      <c r="F371" s="1048">
        <v>1</v>
      </c>
      <c r="G371" s="1189" t="s">
        <v>714</v>
      </c>
      <c r="H371" s="1322" t="s">
        <v>1660</v>
      </c>
      <c r="I371" s="1020"/>
      <c r="J371" s="1020"/>
      <c r="K371" s="1020"/>
      <c r="L371" s="1020"/>
      <c r="M371" s="1020"/>
      <c r="N371" s="1020"/>
      <c r="O371" s="1020"/>
      <c r="P371" s="1020"/>
      <c r="Q371" s="1020"/>
      <c r="R371" s="1020"/>
      <c r="S371" s="1012"/>
      <c r="T371" s="1012"/>
      <c r="U371" s="1012"/>
      <c r="V371" s="3842"/>
      <c r="W371" s="1017">
        <v>1</v>
      </c>
      <c r="X371" s="1017">
        <v>1</v>
      </c>
      <c r="Y371" s="1017">
        <v>1</v>
      </c>
      <c r="Z371" s="1048">
        <v>1</v>
      </c>
      <c r="AA371" s="1048">
        <v>1</v>
      </c>
      <c r="AB371" s="1048">
        <v>1</v>
      </c>
      <c r="AC371" s="1017"/>
      <c r="AD371" s="1017"/>
      <c r="AE371" s="1017"/>
      <c r="AF371" s="1017"/>
      <c r="AG371" s="1017"/>
      <c r="AK371" s="982"/>
      <c r="BB371" s="1008"/>
    </row>
    <row r="372" spans="1:54" s="993" customFormat="1" hidden="1" outlineLevel="1" x14ac:dyDescent="0.25">
      <c r="A372" s="1012"/>
      <c r="B372" s="1020"/>
      <c r="C372" s="1009"/>
      <c r="D372" s="3840"/>
      <c r="E372" s="483" t="s">
        <v>1643</v>
      </c>
      <c r="F372" s="1048">
        <v>0.91</v>
      </c>
      <c r="G372" s="1189" t="s">
        <v>714</v>
      </c>
      <c r="H372" s="1322" t="s">
        <v>1659</v>
      </c>
      <c r="I372" s="1020"/>
      <c r="J372" s="1020"/>
      <c r="K372" s="1020"/>
      <c r="L372" s="1020"/>
      <c r="M372" s="1020"/>
      <c r="N372" s="1020"/>
      <c r="O372" s="1020"/>
      <c r="P372" s="1020"/>
      <c r="Q372" s="1020"/>
      <c r="R372" s="1020"/>
      <c r="S372" s="1012"/>
      <c r="T372" s="1012"/>
      <c r="U372" s="1012"/>
      <c r="V372" s="3847"/>
      <c r="W372" s="1017">
        <v>0.91</v>
      </c>
      <c r="X372" s="1017">
        <v>0.91</v>
      </c>
      <c r="Y372" s="1017">
        <v>0.91</v>
      </c>
      <c r="Z372" s="1048">
        <v>0.91</v>
      </c>
      <c r="AA372" s="1048">
        <v>0.91</v>
      </c>
      <c r="AB372" s="1048">
        <v>0.91</v>
      </c>
      <c r="AC372" s="1017"/>
      <c r="AD372" s="1017"/>
      <c r="AE372" s="1017"/>
      <c r="AF372" s="1017"/>
      <c r="AG372" s="1017"/>
      <c r="AK372" s="982"/>
      <c r="BB372" s="1008"/>
    </row>
    <row r="373" spans="1:54" s="993" customFormat="1" hidden="1" outlineLevel="1" x14ac:dyDescent="0.25">
      <c r="A373" s="1012"/>
      <c r="B373" s="1020"/>
      <c r="C373" s="1009"/>
      <c r="D373" s="3839" t="s">
        <v>1661</v>
      </c>
      <c r="E373" s="483" t="s">
        <v>1585</v>
      </c>
      <c r="F373" s="1321">
        <v>11</v>
      </c>
      <c r="G373" s="1322" t="s">
        <v>1662</v>
      </c>
      <c r="H373" s="1322"/>
      <c r="I373" s="1020"/>
      <c r="J373" s="1020"/>
      <c r="K373" s="1020"/>
      <c r="L373" s="1020"/>
      <c r="M373" s="1020"/>
      <c r="N373" s="1020"/>
      <c r="O373" s="1020"/>
      <c r="P373" s="1020"/>
      <c r="Q373" s="1020"/>
      <c r="R373" s="1020"/>
      <c r="S373" s="1012"/>
      <c r="T373" s="1012"/>
      <c r="U373" s="1012"/>
      <c r="V373" s="3841" t="str">
        <f>D373</f>
        <v>ƞcool</v>
      </c>
      <c r="W373" s="1003">
        <v>11</v>
      </c>
      <c r="X373" s="1003">
        <v>11</v>
      </c>
      <c r="Y373" s="1003">
        <v>11</v>
      </c>
      <c r="Z373" s="1321">
        <v>11</v>
      </c>
      <c r="AA373" s="1321">
        <v>11</v>
      </c>
      <c r="AB373" s="1321">
        <v>11</v>
      </c>
      <c r="AC373" s="1003"/>
      <c r="AD373" s="1003"/>
      <c r="AE373" s="1003"/>
      <c r="AF373" s="1003"/>
      <c r="AG373" s="1003"/>
      <c r="AK373" s="982"/>
      <c r="BB373" s="1008"/>
    </row>
    <row r="374" spans="1:54" s="993" customFormat="1" hidden="1" outlineLevel="1" x14ac:dyDescent="0.25">
      <c r="A374" s="1012"/>
      <c r="B374" s="1020"/>
      <c r="C374" s="1009"/>
      <c r="D374" s="3840"/>
      <c r="E374" s="483" t="s">
        <v>1587</v>
      </c>
      <c r="F374" s="1321">
        <v>11</v>
      </c>
      <c r="G374" s="1322" t="s">
        <v>1645</v>
      </c>
      <c r="H374" s="3852" t="s">
        <v>717</v>
      </c>
      <c r="I374" s="1020"/>
      <c r="J374" s="1020"/>
      <c r="K374" s="1020"/>
      <c r="L374" s="1020"/>
      <c r="M374" s="1020"/>
      <c r="N374" s="1020"/>
      <c r="O374" s="1020"/>
      <c r="P374" s="1020"/>
      <c r="Q374" s="1020"/>
      <c r="R374" s="1020"/>
      <c r="S374" s="1012"/>
      <c r="T374" s="1012"/>
      <c r="U374" s="1012"/>
      <c r="V374" s="3842"/>
      <c r="W374" s="1003">
        <v>11</v>
      </c>
      <c r="X374" s="1003">
        <v>11</v>
      </c>
      <c r="Y374" s="1003">
        <v>11</v>
      </c>
      <c r="Z374" s="1321">
        <v>11</v>
      </c>
      <c r="AA374" s="1321">
        <v>11</v>
      </c>
      <c r="AB374" s="1321">
        <v>11</v>
      </c>
      <c r="AC374" s="1003"/>
      <c r="AD374" s="1003"/>
      <c r="AE374" s="1003"/>
      <c r="AF374" s="1003"/>
      <c r="AG374" s="1003"/>
      <c r="AK374" s="982"/>
      <c r="BB374" s="1008"/>
    </row>
    <row r="375" spans="1:54" s="993" customFormat="1" hidden="1" outlineLevel="1" x14ac:dyDescent="0.25">
      <c r="A375" s="1012"/>
      <c r="B375" s="1020"/>
      <c r="C375" s="1009"/>
      <c r="D375" s="3840"/>
      <c r="E375" s="483" t="s">
        <v>1589</v>
      </c>
      <c r="F375" s="1321">
        <v>11</v>
      </c>
      <c r="G375" s="1322" t="s">
        <v>1645</v>
      </c>
      <c r="H375" s="3572"/>
      <c r="I375" s="1020"/>
      <c r="J375" s="1020"/>
      <c r="K375" s="1020"/>
      <c r="L375" s="1020"/>
      <c r="M375" s="1020"/>
      <c r="N375" s="1020"/>
      <c r="O375" s="1020"/>
      <c r="P375" s="1020"/>
      <c r="Q375" s="1020"/>
      <c r="R375" s="1020"/>
      <c r="S375" s="1012"/>
      <c r="T375" s="1012"/>
      <c r="U375" s="1012"/>
      <c r="V375" s="3842"/>
      <c r="W375" s="1003">
        <v>11</v>
      </c>
      <c r="X375" s="1003">
        <v>11</v>
      </c>
      <c r="Y375" s="1003">
        <v>11</v>
      </c>
      <c r="Z375" s="1321">
        <v>11</v>
      </c>
      <c r="AA375" s="1321">
        <v>11</v>
      </c>
      <c r="AB375" s="1321">
        <v>11</v>
      </c>
      <c r="AC375" s="1003"/>
      <c r="AD375" s="1003"/>
      <c r="AE375" s="1003"/>
      <c r="AF375" s="1003"/>
      <c r="AG375" s="1003"/>
      <c r="AK375" s="982"/>
      <c r="BB375" s="1008"/>
    </row>
    <row r="376" spans="1:54" s="993" customFormat="1" hidden="1" outlineLevel="1" x14ac:dyDescent="0.25">
      <c r="A376" s="1012"/>
      <c r="B376" s="1020"/>
      <c r="C376" s="1009"/>
      <c r="D376" s="3840"/>
      <c r="E376" s="483" t="s">
        <v>1591</v>
      </c>
      <c r="F376" s="1321">
        <v>11</v>
      </c>
      <c r="G376" s="1322" t="s">
        <v>1645</v>
      </c>
      <c r="H376" s="3572"/>
      <c r="I376" s="1020"/>
      <c r="J376" s="1020"/>
      <c r="K376" s="1020"/>
      <c r="L376" s="1020"/>
      <c r="M376" s="1020"/>
      <c r="N376" s="1020"/>
      <c r="O376" s="1020"/>
      <c r="P376" s="1020"/>
      <c r="Q376" s="1020"/>
      <c r="R376" s="1020"/>
      <c r="S376" s="1012"/>
      <c r="T376" s="1012"/>
      <c r="U376" s="1012"/>
      <c r="V376" s="3842"/>
      <c r="W376" s="1003">
        <v>11</v>
      </c>
      <c r="X376" s="1003">
        <v>11</v>
      </c>
      <c r="Y376" s="1003">
        <v>11</v>
      </c>
      <c r="Z376" s="1321">
        <v>11</v>
      </c>
      <c r="AA376" s="1321">
        <v>11</v>
      </c>
      <c r="AB376" s="1321">
        <v>11</v>
      </c>
      <c r="AC376" s="1003"/>
      <c r="AD376" s="1003"/>
      <c r="AE376" s="1003"/>
      <c r="AF376" s="1003"/>
      <c r="AG376" s="1003"/>
      <c r="AK376" s="982"/>
      <c r="BB376" s="1008"/>
    </row>
    <row r="377" spans="1:54" s="993" customFormat="1" hidden="1" outlineLevel="1" x14ac:dyDescent="0.25">
      <c r="A377" s="1012"/>
      <c r="B377" s="1020"/>
      <c r="C377" s="1009"/>
      <c r="D377" s="3840"/>
      <c r="E377" s="483" t="s">
        <v>1593</v>
      </c>
      <c r="F377" s="1321">
        <v>11</v>
      </c>
      <c r="G377" s="1322" t="s">
        <v>1645</v>
      </c>
      <c r="H377" s="3572"/>
      <c r="I377" s="1020"/>
      <c r="J377" s="1020"/>
      <c r="K377" s="1020"/>
      <c r="L377" s="1020"/>
      <c r="M377" s="1020"/>
      <c r="N377" s="1020"/>
      <c r="O377" s="1020"/>
      <c r="P377" s="1020"/>
      <c r="Q377" s="1020"/>
      <c r="R377" s="1020"/>
      <c r="S377" s="1012"/>
      <c r="T377" s="1012"/>
      <c r="U377" s="1012"/>
      <c r="V377" s="3842"/>
      <c r="W377" s="1003">
        <v>11</v>
      </c>
      <c r="X377" s="1003">
        <v>11</v>
      </c>
      <c r="Y377" s="1003">
        <v>11</v>
      </c>
      <c r="Z377" s="1321">
        <v>11</v>
      </c>
      <c r="AA377" s="1321">
        <v>11</v>
      </c>
      <c r="AB377" s="1321">
        <v>11</v>
      </c>
      <c r="AC377" s="1003"/>
      <c r="AD377" s="1003"/>
      <c r="AE377" s="1003"/>
      <c r="AF377" s="1003"/>
      <c r="AG377" s="1003"/>
      <c r="AK377" s="982"/>
      <c r="BB377" s="1008"/>
    </row>
    <row r="378" spans="1:54" s="993" customFormat="1" hidden="1" outlineLevel="1" x14ac:dyDescent="0.25">
      <c r="A378" s="1012"/>
      <c r="B378" s="1020"/>
      <c r="C378" s="1009"/>
      <c r="D378" s="3840"/>
      <c r="E378" s="483" t="s">
        <v>1595</v>
      </c>
      <c r="F378" s="1321">
        <v>11</v>
      </c>
      <c r="G378" s="1322" t="s">
        <v>1645</v>
      </c>
      <c r="H378" s="3572"/>
      <c r="I378" s="1020"/>
      <c r="J378" s="1020"/>
      <c r="K378" s="1020"/>
      <c r="L378" s="1020"/>
      <c r="M378" s="1020"/>
      <c r="N378" s="1020"/>
      <c r="O378" s="1020"/>
      <c r="P378" s="1020"/>
      <c r="Q378" s="1020"/>
      <c r="R378" s="1020"/>
      <c r="S378" s="1012"/>
      <c r="T378" s="1012"/>
      <c r="U378" s="1012"/>
      <c r="V378" s="3842"/>
      <c r="W378" s="1003">
        <v>11</v>
      </c>
      <c r="X378" s="1003">
        <v>11</v>
      </c>
      <c r="Y378" s="1003">
        <v>11</v>
      </c>
      <c r="Z378" s="1321">
        <v>11</v>
      </c>
      <c r="AA378" s="1321">
        <v>11</v>
      </c>
      <c r="AB378" s="1321">
        <v>11</v>
      </c>
      <c r="AC378" s="1003"/>
      <c r="AD378" s="1003"/>
      <c r="AE378" s="1003"/>
      <c r="AF378" s="1003"/>
      <c r="AG378" s="1003"/>
      <c r="AK378" s="982"/>
      <c r="BB378" s="1008"/>
    </row>
    <row r="379" spans="1:54" s="993" customFormat="1" hidden="1" outlineLevel="1" x14ac:dyDescent="0.25">
      <c r="A379" s="1012"/>
      <c r="B379" s="1020"/>
      <c r="C379" s="1009"/>
      <c r="D379" s="3840"/>
      <c r="E379" s="483" t="s">
        <v>1597</v>
      </c>
      <c r="F379" s="1321">
        <v>11</v>
      </c>
      <c r="G379" s="1322" t="s">
        <v>1645</v>
      </c>
      <c r="H379" s="3572"/>
      <c r="I379" s="1020"/>
      <c r="J379" s="1020"/>
      <c r="K379" s="1020"/>
      <c r="L379" s="1020"/>
      <c r="M379" s="1020"/>
      <c r="N379" s="1020"/>
      <c r="O379" s="1020"/>
      <c r="P379" s="1020"/>
      <c r="Q379" s="1020"/>
      <c r="R379" s="1020"/>
      <c r="S379" s="1012"/>
      <c r="T379" s="1012"/>
      <c r="U379" s="1012"/>
      <c r="V379" s="3842"/>
      <c r="W379" s="1003">
        <v>11</v>
      </c>
      <c r="X379" s="1003">
        <v>11</v>
      </c>
      <c r="Y379" s="1003">
        <v>11</v>
      </c>
      <c r="Z379" s="1321">
        <v>11</v>
      </c>
      <c r="AA379" s="1321">
        <v>11</v>
      </c>
      <c r="AB379" s="1321">
        <v>11</v>
      </c>
      <c r="AC379" s="1003"/>
      <c r="AD379" s="1003"/>
      <c r="AE379" s="1003"/>
      <c r="AF379" s="1003"/>
      <c r="AG379" s="1003"/>
      <c r="AK379" s="982"/>
      <c r="BB379" s="1008"/>
    </row>
    <row r="380" spans="1:54" s="993" customFormat="1" hidden="1" outlineLevel="1" x14ac:dyDescent="0.25">
      <c r="A380" s="1012"/>
      <c r="B380" s="1020"/>
      <c r="C380" s="1009"/>
      <c r="D380" s="3840"/>
      <c r="E380" s="483" t="s">
        <v>1599</v>
      </c>
      <c r="F380" s="1321">
        <v>11</v>
      </c>
      <c r="G380" s="1322" t="s">
        <v>1645</v>
      </c>
      <c r="H380" s="3572"/>
      <c r="I380" s="1020"/>
      <c r="J380" s="1020"/>
      <c r="K380" s="1020"/>
      <c r="L380" s="1020"/>
      <c r="M380" s="1020"/>
      <c r="N380" s="1020"/>
      <c r="O380" s="1020"/>
      <c r="P380" s="1020"/>
      <c r="Q380" s="1020"/>
      <c r="R380" s="1020"/>
      <c r="S380" s="1012"/>
      <c r="T380" s="1012"/>
      <c r="U380" s="1012"/>
      <c r="V380" s="3842"/>
      <c r="W380" s="1003">
        <v>11</v>
      </c>
      <c r="X380" s="1003">
        <v>11</v>
      </c>
      <c r="Y380" s="1003">
        <v>11</v>
      </c>
      <c r="Z380" s="1321">
        <v>11</v>
      </c>
      <c r="AA380" s="1321">
        <v>11</v>
      </c>
      <c r="AB380" s="1321">
        <v>11</v>
      </c>
      <c r="AC380" s="1003"/>
      <c r="AD380" s="1003"/>
      <c r="AE380" s="1003"/>
      <c r="AF380" s="1003"/>
      <c r="AG380" s="1003"/>
      <c r="AK380" s="982"/>
      <c r="BB380" s="1008"/>
    </row>
    <row r="381" spans="1:54" s="993" customFormat="1" hidden="1" outlineLevel="1" x14ac:dyDescent="0.25">
      <c r="A381" s="1012"/>
      <c r="B381" s="1020"/>
      <c r="C381" s="1009"/>
      <c r="D381" s="3840"/>
      <c r="E381" s="489" t="s">
        <v>1601</v>
      </c>
      <c r="F381" s="1321">
        <v>11</v>
      </c>
      <c r="G381" s="1322" t="s">
        <v>1645</v>
      </c>
      <c r="H381" s="3572"/>
      <c r="I381" s="1020"/>
      <c r="J381" s="1020"/>
      <c r="K381" s="1020"/>
      <c r="L381" s="1020"/>
      <c r="M381" s="1020"/>
      <c r="N381" s="1020"/>
      <c r="O381" s="1020"/>
      <c r="P381" s="1020"/>
      <c r="Q381" s="1020"/>
      <c r="R381" s="1020"/>
      <c r="S381" s="1012"/>
      <c r="T381" s="1012"/>
      <c r="U381" s="1012"/>
      <c r="V381" s="3842"/>
      <c r="W381" s="1003">
        <v>11</v>
      </c>
      <c r="X381" s="1003">
        <v>11</v>
      </c>
      <c r="Y381" s="1003">
        <v>11</v>
      </c>
      <c r="Z381" s="1321">
        <v>11</v>
      </c>
      <c r="AA381" s="1321">
        <v>11</v>
      </c>
      <c r="AB381" s="1321">
        <v>11</v>
      </c>
      <c r="AC381" s="1003"/>
      <c r="AD381" s="1003"/>
      <c r="AE381" s="1003"/>
      <c r="AF381" s="1003"/>
      <c r="AG381" s="1003"/>
      <c r="AK381" s="982"/>
      <c r="BB381" s="1008"/>
    </row>
    <row r="382" spans="1:54" s="993" customFormat="1" hidden="1" outlineLevel="1" x14ac:dyDescent="0.25">
      <c r="A382" s="1012"/>
      <c r="B382" s="1020"/>
      <c r="C382" s="1009"/>
      <c r="D382" s="3840"/>
      <c r="E382" s="483" t="s">
        <v>1603</v>
      </c>
      <c r="F382" s="1321">
        <v>11</v>
      </c>
      <c r="G382" s="1322" t="s">
        <v>1645</v>
      </c>
      <c r="H382" s="3572"/>
      <c r="I382" s="1020"/>
      <c r="J382" s="1020"/>
      <c r="K382" s="1020"/>
      <c r="L382" s="1020"/>
      <c r="M382" s="1020"/>
      <c r="N382" s="1020"/>
      <c r="O382" s="1020"/>
      <c r="P382" s="1020"/>
      <c r="Q382" s="1020"/>
      <c r="R382" s="1020"/>
      <c r="S382" s="1012"/>
      <c r="T382" s="1012"/>
      <c r="U382" s="1012"/>
      <c r="V382" s="3842"/>
      <c r="W382" s="1003">
        <v>11</v>
      </c>
      <c r="X382" s="1003">
        <v>11</v>
      </c>
      <c r="Y382" s="1003">
        <v>11</v>
      </c>
      <c r="Z382" s="1321">
        <v>11</v>
      </c>
      <c r="AA382" s="1321">
        <v>11</v>
      </c>
      <c r="AB382" s="1321">
        <v>11</v>
      </c>
      <c r="AC382" s="1003"/>
      <c r="AD382" s="1003"/>
      <c r="AE382" s="1003"/>
      <c r="AF382" s="1003"/>
      <c r="AG382" s="1003"/>
      <c r="AK382" s="982"/>
      <c r="BB382" s="1008"/>
    </row>
    <row r="383" spans="1:54" s="993" customFormat="1" hidden="1" outlineLevel="1" x14ac:dyDescent="0.25">
      <c r="A383" s="1012"/>
      <c r="B383" s="1020"/>
      <c r="C383" s="1009"/>
      <c r="D383" s="3840"/>
      <c r="E383" s="483" t="s">
        <v>1605</v>
      </c>
      <c r="F383" s="1321">
        <v>11</v>
      </c>
      <c r="G383" s="1322" t="s">
        <v>1645</v>
      </c>
      <c r="H383" s="3572"/>
      <c r="I383" s="1020"/>
      <c r="J383" s="1020"/>
      <c r="K383" s="1020"/>
      <c r="L383" s="1020"/>
      <c r="M383" s="1020"/>
      <c r="N383" s="1020"/>
      <c r="O383" s="1020"/>
      <c r="P383" s="1020"/>
      <c r="Q383" s="1020"/>
      <c r="R383" s="1020"/>
      <c r="S383" s="1012"/>
      <c r="T383" s="1012"/>
      <c r="U383" s="1012"/>
      <c r="V383" s="3842"/>
      <c r="W383" s="1003">
        <v>11</v>
      </c>
      <c r="X383" s="1003">
        <v>11</v>
      </c>
      <c r="Y383" s="1003">
        <v>11</v>
      </c>
      <c r="Z383" s="1321">
        <v>11</v>
      </c>
      <c r="AA383" s="1321">
        <v>11</v>
      </c>
      <c r="AB383" s="1321">
        <v>11</v>
      </c>
      <c r="AC383" s="1003"/>
      <c r="AD383" s="1003"/>
      <c r="AE383" s="1003"/>
      <c r="AF383" s="1003"/>
      <c r="AG383" s="1003"/>
      <c r="AK383" s="982"/>
      <c r="BB383" s="1008"/>
    </row>
    <row r="384" spans="1:54" s="993" customFormat="1" hidden="1" outlineLevel="1" x14ac:dyDescent="0.25">
      <c r="A384" s="1012"/>
      <c r="B384" s="1020"/>
      <c r="C384" s="1009"/>
      <c r="D384" s="3840"/>
      <c r="E384" s="1851" t="s">
        <v>1607</v>
      </c>
      <c r="F384" s="1321">
        <v>11</v>
      </c>
      <c r="G384" s="1322" t="s">
        <v>1645</v>
      </c>
      <c r="H384" s="3572"/>
      <c r="I384" s="1020"/>
      <c r="J384" s="1020"/>
      <c r="K384" s="1020"/>
      <c r="L384" s="1020"/>
      <c r="M384" s="1020"/>
      <c r="N384" s="1020"/>
      <c r="O384" s="1020"/>
      <c r="P384" s="1020"/>
      <c r="Q384" s="1020"/>
      <c r="R384" s="1020"/>
      <c r="S384" s="1012"/>
      <c r="T384" s="1012"/>
      <c r="U384" s="1012"/>
      <c r="V384" s="3842"/>
      <c r="W384" s="1003">
        <v>11</v>
      </c>
      <c r="X384" s="1003">
        <v>11</v>
      </c>
      <c r="Y384" s="1003">
        <v>11</v>
      </c>
      <c r="Z384" s="1321">
        <v>11</v>
      </c>
      <c r="AA384" s="1321">
        <v>11</v>
      </c>
      <c r="AB384" s="1321">
        <v>11</v>
      </c>
      <c r="AC384" s="1003"/>
      <c r="AD384" s="1003"/>
      <c r="AE384" s="1003"/>
      <c r="AF384" s="1003"/>
      <c r="AG384" s="1003"/>
      <c r="AK384" s="982"/>
      <c r="BB384" s="1008"/>
    </row>
    <row r="385" spans="1:54" s="993" customFormat="1" hidden="1" outlineLevel="1" x14ac:dyDescent="0.25">
      <c r="A385" s="1012"/>
      <c r="B385" s="1020"/>
      <c r="C385" s="1009"/>
      <c r="D385" s="3840"/>
      <c r="E385" s="483" t="s">
        <v>1609</v>
      </c>
      <c r="F385" s="1321">
        <v>11</v>
      </c>
      <c r="G385" s="1322" t="s">
        <v>1645</v>
      </c>
      <c r="H385" s="3572"/>
      <c r="I385" s="1020"/>
      <c r="J385" s="1020"/>
      <c r="K385" s="1020"/>
      <c r="L385" s="1020"/>
      <c r="M385" s="1020"/>
      <c r="N385" s="1020"/>
      <c r="O385" s="1020"/>
      <c r="P385" s="1020"/>
      <c r="Q385" s="1020"/>
      <c r="R385" s="1020"/>
      <c r="S385" s="1012"/>
      <c r="T385" s="1012"/>
      <c r="U385" s="1012"/>
      <c r="V385" s="3842"/>
      <c r="W385" s="1003">
        <v>11</v>
      </c>
      <c r="X385" s="1003">
        <v>11</v>
      </c>
      <c r="Y385" s="1003">
        <v>11</v>
      </c>
      <c r="Z385" s="1321">
        <v>11</v>
      </c>
      <c r="AA385" s="1321">
        <v>11</v>
      </c>
      <c r="AB385" s="1321">
        <v>11</v>
      </c>
      <c r="AC385" s="1003"/>
      <c r="AD385" s="1003"/>
      <c r="AE385" s="1003"/>
      <c r="AF385" s="1003"/>
      <c r="AG385" s="1003"/>
      <c r="AK385" s="982"/>
      <c r="BB385" s="1008"/>
    </row>
    <row r="386" spans="1:54" s="993" customFormat="1" hidden="1" outlineLevel="1" x14ac:dyDescent="0.25">
      <c r="A386" s="1012"/>
      <c r="B386" s="1020"/>
      <c r="C386" s="1009"/>
      <c r="D386" s="3840"/>
      <c r="E386" s="483" t="s">
        <v>1611</v>
      </c>
      <c r="F386" s="1321">
        <v>11</v>
      </c>
      <c r="G386" s="1322" t="s">
        <v>1645</v>
      </c>
      <c r="H386" s="3572"/>
      <c r="I386" s="1020"/>
      <c r="J386" s="1020"/>
      <c r="K386" s="1020"/>
      <c r="L386" s="1020"/>
      <c r="M386" s="1020"/>
      <c r="N386" s="1020"/>
      <c r="O386" s="1020"/>
      <c r="P386" s="1020"/>
      <c r="Q386" s="1020"/>
      <c r="R386" s="1020"/>
      <c r="S386" s="1012"/>
      <c r="T386" s="1012"/>
      <c r="U386" s="1012"/>
      <c r="V386" s="3842"/>
      <c r="W386" s="1003">
        <v>11</v>
      </c>
      <c r="X386" s="1003">
        <v>11</v>
      </c>
      <c r="Y386" s="1003">
        <v>11</v>
      </c>
      <c r="Z386" s="1321">
        <v>11</v>
      </c>
      <c r="AA386" s="1321">
        <v>11</v>
      </c>
      <c r="AB386" s="1321">
        <v>11</v>
      </c>
      <c r="AC386" s="1003"/>
      <c r="AD386" s="1003"/>
      <c r="AE386" s="1003"/>
      <c r="AF386" s="1003"/>
      <c r="AG386" s="1003"/>
      <c r="AK386" s="982"/>
      <c r="BB386" s="1008"/>
    </row>
    <row r="387" spans="1:54" s="993" customFormat="1" hidden="1" outlineLevel="1" x14ac:dyDescent="0.25">
      <c r="A387" s="1012"/>
      <c r="B387" s="1020"/>
      <c r="C387" s="1009"/>
      <c r="D387" s="3840"/>
      <c r="E387" s="489" t="s">
        <v>1613</v>
      </c>
      <c r="F387" s="1321">
        <v>11</v>
      </c>
      <c r="G387" s="1322" t="s">
        <v>1645</v>
      </c>
      <c r="H387" s="3572"/>
      <c r="I387" s="1020"/>
      <c r="J387" s="1020"/>
      <c r="K387" s="1020"/>
      <c r="L387" s="1020"/>
      <c r="M387" s="1020"/>
      <c r="N387" s="1020"/>
      <c r="O387" s="1020"/>
      <c r="P387" s="1020"/>
      <c r="Q387" s="1020"/>
      <c r="R387" s="1020"/>
      <c r="S387" s="1012"/>
      <c r="T387" s="1012"/>
      <c r="U387" s="1012"/>
      <c r="V387" s="3842"/>
      <c r="W387" s="1003">
        <v>11</v>
      </c>
      <c r="X387" s="1003">
        <v>11</v>
      </c>
      <c r="Y387" s="1003">
        <v>11</v>
      </c>
      <c r="Z387" s="1321">
        <v>11</v>
      </c>
      <c r="AA387" s="1321">
        <v>11</v>
      </c>
      <c r="AB387" s="1321">
        <v>11</v>
      </c>
      <c r="AC387" s="1003"/>
      <c r="AD387" s="1003"/>
      <c r="AE387" s="1003"/>
      <c r="AF387" s="1003"/>
      <c r="AG387" s="1003"/>
      <c r="AK387" s="982"/>
      <c r="BB387" s="1008"/>
    </row>
    <row r="388" spans="1:54" s="993" customFormat="1" hidden="1" outlineLevel="1" x14ac:dyDescent="0.25">
      <c r="A388" s="1012"/>
      <c r="B388" s="1020"/>
      <c r="C388" s="1009"/>
      <c r="D388" s="3840"/>
      <c r="E388" s="489" t="s">
        <v>1615</v>
      </c>
      <c r="F388" s="1321">
        <v>11</v>
      </c>
      <c r="G388" s="1322" t="s">
        <v>1645</v>
      </c>
      <c r="H388" s="3572"/>
      <c r="I388" s="1020"/>
      <c r="J388" s="1020"/>
      <c r="K388" s="1020"/>
      <c r="L388" s="1020"/>
      <c r="M388" s="1020"/>
      <c r="N388" s="1020"/>
      <c r="O388" s="1020"/>
      <c r="P388" s="1020"/>
      <c r="Q388" s="1020"/>
      <c r="R388" s="1020"/>
      <c r="S388" s="1012"/>
      <c r="T388" s="1012"/>
      <c r="U388" s="1012"/>
      <c r="V388" s="3842"/>
      <c r="W388" s="1003">
        <v>11</v>
      </c>
      <c r="X388" s="1003">
        <v>11</v>
      </c>
      <c r="Y388" s="1003">
        <v>11</v>
      </c>
      <c r="Z388" s="1321">
        <v>11</v>
      </c>
      <c r="AA388" s="1321">
        <v>11</v>
      </c>
      <c r="AB388" s="1321">
        <v>11</v>
      </c>
      <c r="AC388" s="1003"/>
      <c r="AD388" s="1003"/>
      <c r="AE388" s="1003"/>
      <c r="AF388" s="1003"/>
      <c r="AG388" s="1003"/>
      <c r="AK388" s="982"/>
      <c r="BB388" s="1008"/>
    </row>
    <row r="389" spans="1:54" s="993" customFormat="1" hidden="1" outlineLevel="1" x14ac:dyDescent="0.25">
      <c r="A389" s="1012"/>
      <c r="B389" s="1020"/>
      <c r="C389" s="1009"/>
      <c r="D389" s="3850"/>
      <c r="E389" s="483" t="s">
        <v>1617</v>
      </c>
      <c r="F389" s="1852">
        <v>11</v>
      </c>
      <c r="G389" s="1322" t="s">
        <v>1645</v>
      </c>
      <c r="H389" s="3572"/>
      <c r="I389" s="1020"/>
      <c r="J389" s="1020"/>
      <c r="K389" s="1020"/>
      <c r="L389" s="1020"/>
      <c r="M389" s="1020"/>
      <c r="N389" s="1020"/>
      <c r="O389" s="1020"/>
      <c r="P389" s="1020"/>
      <c r="Q389" s="1020"/>
      <c r="R389" s="1020"/>
      <c r="S389" s="1012"/>
      <c r="T389" s="1012"/>
      <c r="U389" s="1012"/>
      <c r="V389" s="3842"/>
      <c r="W389" s="1023">
        <v>11</v>
      </c>
      <c r="X389" s="1023">
        <v>11</v>
      </c>
      <c r="Y389" s="1023">
        <v>11</v>
      </c>
      <c r="Z389" s="1852">
        <v>11</v>
      </c>
      <c r="AA389" s="1852">
        <v>11</v>
      </c>
      <c r="AB389" s="1852">
        <v>11</v>
      </c>
      <c r="AC389" s="1023"/>
      <c r="AD389" s="1023"/>
      <c r="AE389" s="1023"/>
      <c r="AF389" s="1023"/>
      <c r="AG389" s="1023"/>
      <c r="AK389" s="982"/>
      <c r="BB389" s="1008"/>
    </row>
    <row r="390" spans="1:54" s="993" customFormat="1" hidden="1" outlineLevel="1" x14ac:dyDescent="0.25">
      <c r="A390" s="1012"/>
      <c r="B390" s="1020"/>
      <c r="C390" s="1009"/>
      <c r="D390" s="3840"/>
      <c r="E390" s="1851" t="s">
        <v>1619</v>
      </c>
      <c r="F390" s="1853">
        <v>11</v>
      </c>
      <c r="G390" s="1322" t="s">
        <v>1645</v>
      </c>
      <c r="H390" s="3572"/>
      <c r="I390" s="1020"/>
      <c r="J390" s="1020"/>
      <c r="K390" s="1020"/>
      <c r="L390" s="1020"/>
      <c r="M390" s="1020"/>
      <c r="N390" s="1020"/>
      <c r="O390" s="1020"/>
      <c r="P390" s="1020"/>
      <c r="Q390" s="1020"/>
      <c r="R390" s="1020"/>
      <c r="S390" s="1012"/>
      <c r="T390" s="1012"/>
      <c r="U390" s="1012"/>
      <c r="V390" s="3842"/>
      <c r="W390" s="1024">
        <v>11</v>
      </c>
      <c r="X390" s="1024">
        <v>11</v>
      </c>
      <c r="Y390" s="1024">
        <v>11</v>
      </c>
      <c r="Z390" s="1853">
        <v>11</v>
      </c>
      <c r="AA390" s="1853">
        <v>11</v>
      </c>
      <c r="AB390" s="1853">
        <v>11</v>
      </c>
      <c r="AC390" s="1024"/>
      <c r="AD390" s="1024"/>
      <c r="AE390" s="1024"/>
      <c r="AF390" s="1024"/>
      <c r="AG390" s="1024"/>
      <c r="AK390" s="982"/>
      <c r="BB390" s="1008"/>
    </row>
    <row r="391" spans="1:54" s="993" customFormat="1" hidden="1" outlineLevel="1" x14ac:dyDescent="0.25">
      <c r="A391" s="1012"/>
      <c r="B391" s="1020"/>
      <c r="C391" s="1009"/>
      <c r="D391" s="3840"/>
      <c r="E391" s="483" t="s">
        <v>1621</v>
      </c>
      <c r="F391" s="1853">
        <v>11</v>
      </c>
      <c r="G391" s="1322" t="s">
        <v>1645</v>
      </c>
      <c r="H391" s="3572"/>
      <c r="I391" s="1020"/>
      <c r="J391" s="1020"/>
      <c r="K391" s="1020"/>
      <c r="L391" s="1020"/>
      <c r="M391" s="1020"/>
      <c r="N391" s="1020"/>
      <c r="O391" s="1020"/>
      <c r="P391" s="1020"/>
      <c r="Q391" s="1020"/>
      <c r="R391" s="1020"/>
      <c r="S391" s="1012"/>
      <c r="T391" s="1012"/>
      <c r="U391" s="1012"/>
      <c r="V391" s="3842"/>
      <c r="W391" s="1024">
        <v>11</v>
      </c>
      <c r="X391" s="1024">
        <v>11</v>
      </c>
      <c r="Y391" s="1024">
        <v>11</v>
      </c>
      <c r="Z391" s="1853">
        <v>11</v>
      </c>
      <c r="AA391" s="1853">
        <v>11</v>
      </c>
      <c r="AB391" s="1853">
        <v>11</v>
      </c>
      <c r="AC391" s="1024"/>
      <c r="AD391" s="1024"/>
      <c r="AE391" s="1024"/>
      <c r="AF391" s="1024"/>
      <c r="AG391" s="1024"/>
      <c r="AK391" s="982"/>
      <c r="BB391" s="1008"/>
    </row>
    <row r="392" spans="1:54" s="993" customFormat="1" hidden="1" outlineLevel="1" x14ac:dyDescent="0.25">
      <c r="A392" s="1012"/>
      <c r="B392" s="1020"/>
      <c r="C392" s="1009"/>
      <c r="D392" s="3840"/>
      <c r="E392" s="483" t="s">
        <v>1623</v>
      </c>
      <c r="F392" s="1853">
        <v>11</v>
      </c>
      <c r="G392" s="1322" t="s">
        <v>1645</v>
      </c>
      <c r="H392" s="3572"/>
      <c r="I392" s="1020"/>
      <c r="J392" s="1020"/>
      <c r="K392" s="1020"/>
      <c r="L392" s="1020"/>
      <c r="M392" s="1020"/>
      <c r="N392" s="1020"/>
      <c r="O392" s="1020"/>
      <c r="P392" s="1020"/>
      <c r="Q392" s="1020"/>
      <c r="R392" s="1020"/>
      <c r="S392" s="1012"/>
      <c r="T392" s="1012"/>
      <c r="U392" s="1012"/>
      <c r="V392" s="3842"/>
      <c r="W392" s="1024">
        <v>11</v>
      </c>
      <c r="X392" s="1024">
        <v>11</v>
      </c>
      <c r="Y392" s="1024">
        <v>11</v>
      </c>
      <c r="Z392" s="1853">
        <v>11</v>
      </c>
      <c r="AA392" s="1853">
        <v>11</v>
      </c>
      <c r="AB392" s="1853">
        <v>11</v>
      </c>
      <c r="AC392" s="1024"/>
      <c r="AD392" s="1024"/>
      <c r="AE392" s="1024"/>
      <c r="AF392" s="1024"/>
      <c r="AG392" s="1024"/>
      <c r="AK392" s="982"/>
      <c r="BB392" s="1008"/>
    </row>
    <row r="393" spans="1:54" s="993" customFormat="1" hidden="1" outlineLevel="1" x14ac:dyDescent="0.25">
      <c r="A393" s="1012"/>
      <c r="B393" s="1020"/>
      <c r="C393" s="1009"/>
      <c r="D393" s="3840"/>
      <c r="E393" s="489" t="s">
        <v>1625</v>
      </c>
      <c r="F393" s="1853">
        <v>11</v>
      </c>
      <c r="G393" s="1322" t="s">
        <v>1645</v>
      </c>
      <c r="H393" s="3572"/>
      <c r="I393" s="1020"/>
      <c r="J393" s="1020"/>
      <c r="K393" s="1020"/>
      <c r="L393" s="1020"/>
      <c r="M393" s="1020"/>
      <c r="N393" s="1020"/>
      <c r="O393" s="1020"/>
      <c r="P393" s="1020"/>
      <c r="Q393" s="1020"/>
      <c r="R393" s="1020"/>
      <c r="S393" s="1012"/>
      <c r="T393" s="1012"/>
      <c r="U393" s="1012"/>
      <c r="V393" s="3842"/>
      <c r="W393" s="1024">
        <v>11</v>
      </c>
      <c r="X393" s="1024">
        <v>11</v>
      </c>
      <c r="Y393" s="1024">
        <v>11</v>
      </c>
      <c r="Z393" s="1853">
        <v>11</v>
      </c>
      <c r="AA393" s="1853">
        <v>11</v>
      </c>
      <c r="AB393" s="1853">
        <v>11</v>
      </c>
      <c r="AC393" s="1024"/>
      <c r="AD393" s="1024"/>
      <c r="AE393" s="1024"/>
      <c r="AF393" s="1024"/>
      <c r="AG393" s="1024"/>
      <c r="AK393" s="982"/>
      <c r="BB393" s="1008"/>
    </row>
    <row r="394" spans="1:54" s="993" customFormat="1" hidden="1" outlineLevel="1" x14ac:dyDescent="0.25">
      <c r="A394" s="1012"/>
      <c r="B394" s="1020"/>
      <c r="C394" s="1009"/>
      <c r="D394" s="3840"/>
      <c r="E394" s="483" t="s">
        <v>1627</v>
      </c>
      <c r="F394" s="1853">
        <v>11</v>
      </c>
      <c r="G394" s="1322" t="s">
        <v>1645</v>
      </c>
      <c r="H394" s="3572"/>
      <c r="I394" s="1020"/>
      <c r="J394" s="1020"/>
      <c r="K394" s="1020"/>
      <c r="L394" s="1020"/>
      <c r="M394" s="1020"/>
      <c r="N394" s="1020"/>
      <c r="O394" s="1020"/>
      <c r="P394" s="1020"/>
      <c r="Q394" s="1020"/>
      <c r="R394" s="1020"/>
      <c r="S394" s="1012"/>
      <c r="T394" s="1012"/>
      <c r="U394" s="1012"/>
      <c r="V394" s="3842"/>
      <c r="W394" s="1024">
        <v>11</v>
      </c>
      <c r="X394" s="1024">
        <v>11</v>
      </c>
      <c r="Y394" s="1024">
        <v>11</v>
      </c>
      <c r="Z394" s="1853">
        <v>11</v>
      </c>
      <c r="AA394" s="1853">
        <v>11</v>
      </c>
      <c r="AB394" s="1853">
        <v>11</v>
      </c>
      <c r="AC394" s="1024"/>
      <c r="AD394" s="1024"/>
      <c r="AE394" s="1024"/>
      <c r="AF394" s="1024"/>
      <c r="AG394" s="1024"/>
      <c r="AK394" s="982"/>
      <c r="BB394" s="1008"/>
    </row>
    <row r="395" spans="1:54" s="993" customFormat="1" hidden="1" outlineLevel="1" x14ac:dyDescent="0.25">
      <c r="A395" s="1012"/>
      <c r="B395" s="1020"/>
      <c r="C395" s="1009"/>
      <c r="D395" s="3840"/>
      <c r="E395" s="489" t="s">
        <v>1629</v>
      </c>
      <c r="F395" s="1853">
        <v>11</v>
      </c>
      <c r="G395" s="1322" t="s">
        <v>1645</v>
      </c>
      <c r="H395" s="3572"/>
      <c r="I395" s="1020"/>
      <c r="J395" s="1020"/>
      <c r="K395" s="1020"/>
      <c r="L395" s="1020"/>
      <c r="M395" s="1020"/>
      <c r="N395" s="1020"/>
      <c r="O395" s="1020"/>
      <c r="P395" s="1020"/>
      <c r="Q395" s="1020"/>
      <c r="R395" s="1020"/>
      <c r="S395" s="1012"/>
      <c r="T395" s="1012"/>
      <c r="U395" s="1012"/>
      <c r="V395" s="3842"/>
      <c r="W395" s="1024">
        <v>11</v>
      </c>
      <c r="X395" s="1024">
        <v>11</v>
      </c>
      <c r="Y395" s="1024">
        <v>11</v>
      </c>
      <c r="Z395" s="1853">
        <v>11</v>
      </c>
      <c r="AA395" s="1853">
        <v>11</v>
      </c>
      <c r="AB395" s="1853">
        <v>11</v>
      </c>
      <c r="AC395" s="1024"/>
      <c r="AD395" s="1024"/>
      <c r="AE395" s="1024"/>
      <c r="AF395" s="1024"/>
      <c r="AG395" s="1024"/>
      <c r="AK395" s="982"/>
      <c r="BB395" s="1008"/>
    </row>
    <row r="396" spans="1:54" s="993" customFormat="1" hidden="1" outlineLevel="1" x14ac:dyDescent="0.25">
      <c r="A396" s="1012"/>
      <c r="B396" s="1020"/>
      <c r="C396" s="1009"/>
      <c r="D396" s="3840"/>
      <c r="E396" s="483" t="s">
        <v>1631</v>
      </c>
      <c r="F396" s="1853">
        <v>11</v>
      </c>
      <c r="G396" s="1322" t="s">
        <v>1645</v>
      </c>
      <c r="H396" s="3572"/>
      <c r="I396" s="1020"/>
      <c r="J396" s="1020"/>
      <c r="K396" s="1020"/>
      <c r="L396" s="1020"/>
      <c r="M396" s="1020"/>
      <c r="N396" s="1020"/>
      <c r="O396" s="1020"/>
      <c r="P396" s="1020"/>
      <c r="Q396" s="1020"/>
      <c r="R396" s="1020"/>
      <c r="S396" s="1012"/>
      <c r="T396" s="1012"/>
      <c r="U396" s="1012"/>
      <c r="V396" s="3842"/>
      <c r="W396" s="1024">
        <v>11</v>
      </c>
      <c r="X396" s="1024">
        <v>11</v>
      </c>
      <c r="Y396" s="1024">
        <v>11</v>
      </c>
      <c r="Z396" s="1853">
        <v>11</v>
      </c>
      <c r="AA396" s="1853">
        <v>11</v>
      </c>
      <c r="AB396" s="1853">
        <v>11</v>
      </c>
      <c r="AC396" s="1024"/>
      <c r="AD396" s="1024"/>
      <c r="AE396" s="1024"/>
      <c r="AF396" s="1024"/>
      <c r="AG396" s="1024"/>
      <c r="AK396" s="982"/>
      <c r="BB396" s="1008"/>
    </row>
    <row r="397" spans="1:54" s="993" customFormat="1" hidden="1" outlineLevel="1" x14ac:dyDescent="0.25">
      <c r="A397" s="1012"/>
      <c r="B397" s="1020"/>
      <c r="C397" s="1009"/>
      <c r="D397" s="3840"/>
      <c r="E397" s="483" t="s">
        <v>1633</v>
      </c>
      <c r="F397" s="1853">
        <v>11</v>
      </c>
      <c r="G397" s="1322" t="s">
        <v>1645</v>
      </c>
      <c r="H397" s="3572"/>
      <c r="I397" s="1020"/>
      <c r="J397" s="1020"/>
      <c r="K397" s="1020"/>
      <c r="L397" s="1020"/>
      <c r="M397" s="1020"/>
      <c r="N397" s="1020"/>
      <c r="O397" s="1020"/>
      <c r="P397" s="1020"/>
      <c r="Q397" s="1020"/>
      <c r="R397" s="1020"/>
      <c r="S397" s="1012"/>
      <c r="T397" s="1012"/>
      <c r="U397" s="1012"/>
      <c r="V397" s="3842"/>
      <c r="W397" s="1024">
        <v>11</v>
      </c>
      <c r="X397" s="1024">
        <v>11</v>
      </c>
      <c r="Y397" s="1024">
        <v>11</v>
      </c>
      <c r="Z397" s="1853">
        <v>11</v>
      </c>
      <c r="AA397" s="1853">
        <v>11</v>
      </c>
      <c r="AB397" s="1853">
        <v>11</v>
      </c>
      <c r="AC397" s="1024"/>
      <c r="AD397" s="1024"/>
      <c r="AE397" s="1024"/>
      <c r="AF397" s="1024"/>
      <c r="AG397" s="1024"/>
      <c r="AK397" s="982"/>
      <c r="BB397" s="1008"/>
    </row>
    <row r="398" spans="1:54" s="993" customFormat="1" hidden="1" outlineLevel="1" x14ac:dyDescent="0.25">
      <c r="A398" s="1012"/>
      <c r="B398" s="1020"/>
      <c r="C398" s="1009"/>
      <c r="D398" s="3840"/>
      <c r="E398" s="483" t="s">
        <v>1635</v>
      </c>
      <c r="F398" s="1853">
        <v>11</v>
      </c>
      <c r="G398" s="1322" t="s">
        <v>1645</v>
      </c>
      <c r="H398" s="3572"/>
      <c r="I398" s="1020"/>
      <c r="J398" s="1020"/>
      <c r="K398" s="1020"/>
      <c r="L398" s="1020"/>
      <c r="M398" s="1020"/>
      <c r="N398" s="1020"/>
      <c r="O398" s="1020"/>
      <c r="P398" s="1020"/>
      <c r="Q398" s="1020"/>
      <c r="R398" s="1020"/>
      <c r="S398" s="1012"/>
      <c r="T398" s="1012"/>
      <c r="U398" s="1012"/>
      <c r="V398" s="3842"/>
      <c r="W398" s="1024">
        <v>11</v>
      </c>
      <c r="X398" s="1024">
        <v>11</v>
      </c>
      <c r="Y398" s="1024">
        <v>11</v>
      </c>
      <c r="Z398" s="1853">
        <v>11</v>
      </c>
      <c r="AA398" s="1853">
        <v>11</v>
      </c>
      <c r="AB398" s="1853">
        <v>11</v>
      </c>
      <c r="AC398" s="1024"/>
      <c r="AD398" s="1024"/>
      <c r="AE398" s="1024"/>
      <c r="AF398" s="1024"/>
      <c r="AG398" s="1024"/>
      <c r="AK398" s="982"/>
      <c r="BB398" s="1008"/>
    </row>
    <row r="399" spans="1:54" s="993" customFormat="1" hidden="1" outlineLevel="1" x14ac:dyDescent="0.25">
      <c r="A399" s="1012"/>
      <c r="B399" s="1020"/>
      <c r="C399" s="1009"/>
      <c r="D399" s="3840"/>
      <c r="E399" s="489" t="s">
        <v>1637</v>
      </c>
      <c r="F399" s="1853">
        <v>11</v>
      </c>
      <c r="G399" s="1322" t="s">
        <v>1645</v>
      </c>
      <c r="H399" s="3572"/>
      <c r="I399" s="1020"/>
      <c r="J399" s="1020"/>
      <c r="K399" s="1020"/>
      <c r="L399" s="1020"/>
      <c r="M399" s="1020"/>
      <c r="N399" s="1020"/>
      <c r="O399" s="1020"/>
      <c r="P399" s="1020"/>
      <c r="Q399" s="1020"/>
      <c r="R399" s="1020"/>
      <c r="S399" s="1012"/>
      <c r="T399" s="1012"/>
      <c r="U399" s="1012"/>
      <c r="V399" s="3842"/>
      <c r="W399" s="1024">
        <v>11</v>
      </c>
      <c r="X399" s="1024">
        <v>11</v>
      </c>
      <c r="Y399" s="1024">
        <v>11</v>
      </c>
      <c r="Z399" s="1853">
        <v>11</v>
      </c>
      <c r="AA399" s="1853">
        <v>11</v>
      </c>
      <c r="AB399" s="1853">
        <v>11</v>
      </c>
      <c r="AC399" s="1024"/>
      <c r="AD399" s="1024"/>
      <c r="AE399" s="1024"/>
      <c r="AF399" s="1024"/>
      <c r="AG399" s="1024"/>
      <c r="AK399" s="982"/>
      <c r="BB399" s="1008"/>
    </row>
    <row r="400" spans="1:54" s="993" customFormat="1" hidden="1" outlineLevel="1" x14ac:dyDescent="0.25">
      <c r="A400" s="1012"/>
      <c r="B400" s="1020"/>
      <c r="C400" s="1009"/>
      <c r="D400" s="3840"/>
      <c r="E400" s="483" t="s">
        <v>1639</v>
      </c>
      <c r="F400" s="1853">
        <v>11</v>
      </c>
      <c r="G400" s="1322" t="s">
        <v>1645</v>
      </c>
      <c r="H400" s="3572"/>
      <c r="I400" s="1020"/>
      <c r="J400" s="1020"/>
      <c r="K400" s="1020"/>
      <c r="L400" s="1020"/>
      <c r="M400" s="1020"/>
      <c r="N400" s="1020"/>
      <c r="O400" s="1020"/>
      <c r="P400" s="1020"/>
      <c r="Q400" s="1020"/>
      <c r="R400" s="1020"/>
      <c r="S400" s="1012"/>
      <c r="T400" s="1012"/>
      <c r="U400" s="1012"/>
      <c r="V400" s="3842"/>
      <c r="W400" s="1024">
        <v>11</v>
      </c>
      <c r="X400" s="1024">
        <v>11</v>
      </c>
      <c r="Y400" s="1024">
        <v>11</v>
      </c>
      <c r="Z400" s="1853">
        <v>11</v>
      </c>
      <c r="AA400" s="1853">
        <v>11</v>
      </c>
      <c r="AB400" s="1853">
        <v>11</v>
      </c>
      <c r="AC400" s="1024"/>
      <c r="AD400" s="1024"/>
      <c r="AE400" s="1024"/>
      <c r="AF400" s="1024"/>
      <c r="AG400" s="1024"/>
      <c r="AK400" s="982"/>
      <c r="BB400" s="1008"/>
    </row>
    <row r="401" spans="1:54" s="993" customFormat="1" hidden="1" outlineLevel="1" x14ac:dyDescent="0.25">
      <c r="A401" s="1012"/>
      <c r="B401" s="1020"/>
      <c r="C401" s="1009"/>
      <c r="D401" s="3840"/>
      <c r="E401" s="489" t="s">
        <v>1641</v>
      </c>
      <c r="F401" s="1853">
        <v>11</v>
      </c>
      <c r="G401" s="1322" t="s">
        <v>1645</v>
      </c>
      <c r="H401" s="3572"/>
      <c r="I401" s="1020"/>
      <c r="J401" s="1020"/>
      <c r="K401" s="1020"/>
      <c r="L401" s="1020"/>
      <c r="M401" s="1020"/>
      <c r="N401" s="1020"/>
      <c r="O401" s="1020"/>
      <c r="P401" s="1020"/>
      <c r="Q401" s="1020"/>
      <c r="R401" s="1020"/>
      <c r="S401" s="1012"/>
      <c r="T401" s="1012"/>
      <c r="U401" s="1012"/>
      <c r="V401" s="3842"/>
      <c r="W401" s="1024">
        <v>11</v>
      </c>
      <c r="X401" s="1024">
        <v>11</v>
      </c>
      <c r="Y401" s="1024">
        <v>11</v>
      </c>
      <c r="Z401" s="1853">
        <v>11</v>
      </c>
      <c r="AA401" s="1853">
        <v>11</v>
      </c>
      <c r="AB401" s="1853">
        <v>11</v>
      </c>
      <c r="AC401" s="1024"/>
      <c r="AD401" s="1024"/>
      <c r="AE401" s="1024"/>
      <c r="AF401" s="1024"/>
      <c r="AG401" s="1024"/>
      <c r="AK401" s="982"/>
      <c r="BB401" s="1008"/>
    </row>
    <row r="402" spans="1:54" s="993" customFormat="1" hidden="1" outlineLevel="1" x14ac:dyDescent="0.25">
      <c r="A402" s="1012"/>
      <c r="B402" s="1020"/>
      <c r="C402" s="1009"/>
      <c r="D402" s="3851"/>
      <c r="E402" s="483" t="s">
        <v>1643</v>
      </c>
      <c r="F402" s="1321">
        <v>11</v>
      </c>
      <c r="G402" s="1322" t="s">
        <v>1645</v>
      </c>
      <c r="H402" s="3573"/>
      <c r="I402" s="1020"/>
      <c r="J402" s="1020"/>
      <c r="K402" s="1020"/>
      <c r="L402" s="1020"/>
      <c r="M402" s="1020"/>
      <c r="N402" s="1020"/>
      <c r="O402" s="1020"/>
      <c r="P402" s="1020"/>
      <c r="Q402" s="1020"/>
      <c r="R402" s="1020"/>
      <c r="S402" s="1012"/>
      <c r="T402" s="1012"/>
      <c r="U402" s="1012"/>
      <c r="V402" s="3847"/>
      <c r="W402" s="1003">
        <v>11</v>
      </c>
      <c r="X402" s="1003">
        <v>11</v>
      </c>
      <c r="Y402" s="1003">
        <v>11</v>
      </c>
      <c r="Z402" s="1321">
        <v>11</v>
      </c>
      <c r="AA402" s="1321">
        <v>11</v>
      </c>
      <c r="AB402" s="1321">
        <v>11</v>
      </c>
      <c r="AC402" s="1003"/>
      <c r="AD402" s="1003"/>
      <c r="AE402" s="1003"/>
      <c r="AF402" s="1003"/>
      <c r="AG402" s="1003"/>
      <c r="AK402" s="982"/>
      <c r="BB402" s="1008"/>
    </row>
    <row r="403" spans="1:54" s="993" customFormat="1" hidden="1" outlineLevel="1" x14ac:dyDescent="0.25">
      <c r="A403" s="1012"/>
      <c r="B403" s="1020"/>
      <c r="C403" s="1009"/>
      <c r="D403" s="1854" t="str">
        <f>D38</f>
        <v>EUL</v>
      </c>
      <c r="E403" s="1090" t="s">
        <v>591</v>
      </c>
      <c r="F403" s="1094">
        <v>25</v>
      </c>
      <c r="G403" s="1436"/>
      <c r="H403" s="1091"/>
      <c r="I403" s="490"/>
      <c r="J403" s="1020"/>
      <c r="K403" s="1020"/>
      <c r="L403" s="1020"/>
      <c r="M403" s="1020"/>
      <c r="N403" s="1020"/>
      <c r="O403" s="1020"/>
      <c r="P403" s="1020"/>
      <c r="Q403" s="1020"/>
      <c r="R403" s="1020"/>
      <c r="S403" s="1012"/>
      <c r="T403" s="1012"/>
      <c r="U403" s="1012"/>
      <c r="V403" s="1026" t="str">
        <f>D403</f>
        <v>EUL</v>
      </c>
      <c r="W403" s="1027">
        <v>25</v>
      </c>
      <c r="X403" s="1027">
        <v>25</v>
      </c>
      <c r="Y403" s="1027">
        <v>25</v>
      </c>
      <c r="Z403" s="1057">
        <v>25</v>
      </c>
      <c r="AA403" s="1057">
        <v>25</v>
      </c>
      <c r="AB403" s="1057">
        <v>25</v>
      </c>
      <c r="AC403" s="1027"/>
      <c r="AD403" s="1027"/>
      <c r="AE403" s="1027"/>
      <c r="AF403" s="1027"/>
      <c r="AG403" s="1027"/>
      <c r="AK403" s="982"/>
      <c r="BB403" s="1008"/>
    </row>
    <row r="404" spans="1:54" s="993" customFormat="1" hidden="1" outlineLevel="1" x14ac:dyDescent="0.25">
      <c r="A404" s="1012"/>
      <c r="B404" s="1020"/>
      <c r="C404" s="1009"/>
      <c r="D404" s="3545" t="str">
        <f>D103</f>
        <v>Inc. Cost</v>
      </c>
      <c r="E404" s="1090" t="s">
        <v>1585</v>
      </c>
      <c r="F404" s="508">
        <f>1860.46/(1347*0.65)</f>
        <v>2.1249043458397576</v>
      </c>
      <c r="G404" s="3848" t="s">
        <v>1580</v>
      </c>
      <c r="H404" s="1322" t="s">
        <v>1646</v>
      </c>
      <c r="I404" s="490">
        <f>0.65*1347</f>
        <v>875.55000000000007</v>
      </c>
      <c r="J404" s="1020"/>
      <c r="K404" s="1020"/>
      <c r="L404" s="1020"/>
      <c r="M404" s="1020"/>
      <c r="N404" s="1020"/>
      <c r="O404" s="1020"/>
      <c r="P404" s="1020"/>
      <c r="Q404" s="1020"/>
      <c r="R404" s="1020"/>
      <c r="S404" s="1012"/>
      <c r="T404" s="1012"/>
      <c r="U404" s="1012"/>
      <c r="V404" s="3857" t="str">
        <f>D404</f>
        <v>Inc. Cost</v>
      </c>
      <c r="W404" s="1029">
        <v>1860.46</v>
      </c>
      <c r="X404" s="1029">
        <v>1860.46</v>
      </c>
      <c r="Y404" s="763">
        <v>2.1249043458397576</v>
      </c>
      <c r="Z404" s="508">
        <v>2.1249043458397576</v>
      </c>
      <c r="AA404" s="508">
        <v>2.1249043458397576</v>
      </c>
      <c r="AB404" s="508">
        <v>2.1249043458397576</v>
      </c>
      <c r="AC404" s="1029"/>
      <c r="AD404" s="1029"/>
      <c r="AE404" s="1029"/>
      <c r="AF404" s="1029"/>
      <c r="AG404" s="1029"/>
      <c r="AK404" s="982"/>
      <c r="BB404" s="1008"/>
    </row>
    <row r="405" spans="1:54" s="993" customFormat="1" hidden="1" outlineLevel="1" x14ac:dyDescent="0.25">
      <c r="A405" s="1012"/>
      <c r="B405" s="1020"/>
      <c r="C405" s="1009"/>
      <c r="D405" s="3546"/>
      <c r="E405" s="1090" t="s">
        <v>1587</v>
      </c>
      <c r="F405" s="508">
        <f>1860.46/(1347*0.65)</f>
        <v>2.1249043458397576</v>
      </c>
      <c r="G405" s="3427"/>
      <c r="H405" s="1322" t="s">
        <v>1646</v>
      </c>
      <c r="I405" s="490">
        <f>0.65*1347</f>
        <v>875.55000000000007</v>
      </c>
      <c r="J405" s="1020"/>
      <c r="K405" s="1020"/>
      <c r="L405" s="1020"/>
      <c r="M405" s="1020"/>
      <c r="N405" s="1020"/>
      <c r="O405" s="1020"/>
      <c r="P405" s="1020"/>
      <c r="Q405" s="1020"/>
      <c r="R405" s="1020"/>
      <c r="S405" s="1012"/>
      <c r="T405" s="1012"/>
      <c r="U405" s="1012"/>
      <c r="V405" s="3858"/>
      <c r="W405" s="1029">
        <v>1860.46</v>
      </c>
      <c r="X405" s="1029">
        <v>1860.46</v>
      </c>
      <c r="Y405" s="763">
        <v>2.1249043458397576</v>
      </c>
      <c r="Z405" s="508">
        <v>2.1249043458397576</v>
      </c>
      <c r="AA405" s="508">
        <v>2.1249043458397576</v>
      </c>
      <c r="AB405" s="508">
        <v>2.1249043458397576</v>
      </c>
      <c r="AC405" s="1029"/>
      <c r="AD405" s="1029"/>
      <c r="AE405" s="1029"/>
      <c r="AF405" s="1029"/>
      <c r="AG405" s="1029"/>
      <c r="AK405" s="982"/>
      <c r="BB405" s="1008"/>
    </row>
    <row r="406" spans="1:54" s="993" customFormat="1" hidden="1" outlineLevel="1" x14ac:dyDescent="0.25">
      <c r="A406" s="1012"/>
      <c r="B406" s="1020"/>
      <c r="C406" s="1009"/>
      <c r="D406" s="3546"/>
      <c r="E406" s="1090" t="s">
        <v>1589</v>
      </c>
      <c r="F406" s="508">
        <f>1860.46/(1347*0.65)</f>
        <v>2.1249043458397576</v>
      </c>
      <c r="G406" s="3427"/>
      <c r="H406" s="1322" t="s">
        <v>1646</v>
      </c>
      <c r="I406" s="490">
        <f>0.65*1347</f>
        <v>875.55000000000007</v>
      </c>
      <c r="J406" s="1020"/>
      <c r="K406" s="1020"/>
      <c r="L406" s="1020"/>
      <c r="M406" s="1020"/>
      <c r="N406" s="1020"/>
      <c r="O406" s="1020"/>
      <c r="P406" s="1020"/>
      <c r="Q406" s="1020"/>
      <c r="R406" s="1020"/>
      <c r="S406" s="1012"/>
      <c r="T406" s="1012"/>
      <c r="U406" s="1012"/>
      <c r="V406" s="3858"/>
      <c r="W406" s="1029">
        <v>1860.46</v>
      </c>
      <c r="X406" s="1029">
        <v>1860.46</v>
      </c>
      <c r="Y406" s="763">
        <v>2.1249043458397576</v>
      </c>
      <c r="Z406" s="508">
        <v>2.1249043458397576</v>
      </c>
      <c r="AA406" s="508">
        <v>2.1249043458397576</v>
      </c>
      <c r="AB406" s="508">
        <v>2.1249043458397576</v>
      </c>
      <c r="AC406" s="1029"/>
      <c r="AD406" s="1029"/>
      <c r="AE406" s="1029"/>
      <c r="AF406" s="1029"/>
      <c r="AG406" s="1029"/>
      <c r="AK406" s="982"/>
      <c r="BB406" s="1008"/>
    </row>
    <row r="407" spans="1:54" s="993" customFormat="1" hidden="1" outlineLevel="1" x14ac:dyDescent="0.25">
      <c r="A407" s="1012"/>
      <c r="B407" s="1020"/>
      <c r="C407" s="1009"/>
      <c r="D407" s="3546"/>
      <c r="E407" s="1090" t="s">
        <v>1591</v>
      </c>
      <c r="F407" s="508">
        <f>2862.25/1347</f>
        <v>2.1249072011878249</v>
      </c>
      <c r="G407" s="3427"/>
      <c r="H407" s="1322" t="s">
        <v>1647</v>
      </c>
      <c r="I407" s="490">
        <v>1347</v>
      </c>
      <c r="J407" s="1020"/>
      <c r="K407" s="1020"/>
      <c r="L407" s="1020"/>
      <c r="M407" s="1020"/>
      <c r="N407" s="1020"/>
      <c r="O407" s="1020"/>
      <c r="P407" s="1020"/>
      <c r="Q407" s="1020"/>
      <c r="R407" s="1020"/>
      <c r="S407" s="1012"/>
      <c r="T407" s="1012"/>
      <c r="U407" s="1012"/>
      <c r="V407" s="3858"/>
      <c r="W407" s="1029">
        <v>2862.25</v>
      </c>
      <c r="X407" s="1029">
        <v>2862.25</v>
      </c>
      <c r="Y407" s="763">
        <v>2.1249072011878249</v>
      </c>
      <c r="Z407" s="508">
        <v>2.1249072011878249</v>
      </c>
      <c r="AA407" s="508">
        <v>2.1249072011878249</v>
      </c>
      <c r="AB407" s="508">
        <v>2.1249072011878249</v>
      </c>
      <c r="AC407" s="1029"/>
      <c r="AD407" s="1029"/>
      <c r="AE407" s="1029"/>
      <c r="AF407" s="1029"/>
      <c r="AG407" s="1029"/>
      <c r="AK407" s="982"/>
      <c r="BB407" s="1008"/>
    </row>
    <row r="408" spans="1:54" s="993" customFormat="1" hidden="1" outlineLevel="1" x14ac:dyDescent="0.25">
      <c r="A408" s="1012"/>
      <c r="B408" s="1020"/>
      <c r="C408" s="1009"/>
      <c r="D408" s="3546"/>
      <c r="E408" s="1090" t="s">
        <v>1593</v>
      </c>
      <c r="F408" s="508">
        <f>2862.25/1347</f>
        <v>2.1249072011878249</v>
      </c>
      <c r="G408" s="3427"/>
      <c r="H408" s="1322" t="s">
        <v>1647</v>
      </c>
      <c r="I408" s="490">
        <v>1347</v>
      </c>
      <c r="J408" s="1020"/>
      <c r="K408" s="1020"/>
      <c r="L408" s="1020"/>
      <c r="M408" s="1020"/>
      <c r="N408" s="1020"/>
      <c r="O408" s="1020"/>
      <c r="P408" s="1020"/>
      <c r="Q408" s="1020"/>
      <c r="R408" s="1020"/>
      <c r="S408" s="1012"/>
      <c r="T408" s="1012"/>
      <c r="U408" s="1012"/>
      <c r="V408" s="3858"/>
      <c r="W408" s="1029">
        <v>2862.25</v>
      </c>
      <c r="X408" s="1029">
        <v>2862.25</v>
      </c>
      <c r="Y408" s="763">
        <v>2.1249072011878249</v>
      </c>
      <c r="Z408" s="508">
        <v>2.1249072011878249</v>
      </c>
      <c r="AA408" s="508">
        <v>2.1249072011878249</v>
      </c>
      <c r="AB408" s="508">
        <v>2.1249072011878249</v>
      </c>
      <c r="AC408" s="1029"/>
      <c r="AD408" s="1029"/>
      <c r="AE408" s="1029"/>
      <c r="AF408" s="1029"/>
      <c r="AG408" s="1029"/>
      <c r="AK408" s="982"/>
      <c r="BB408" s="1008"/>
    </row>
    <row r="409" spans="1:54" s="993" customFormat="1" hidden="1" outlineLevel="1" x14ac:dyDescent="0.25">
      <c r="A409" s="1012"/>
      <c r="B409" s="1020"/>
      <c r="C409" s="1009"/>
      <c r="D409" s="3546"/>
      <c r="E409" s="1090" t="s">
        <v>1595</v>
      </c>
      <c r="F409" s="508">
        <f>2862.25/1347</f>
        <v>2.1249072011878249</v>
      </c>
      <c r="G409" s="3427"/>
      <c r="H409" s="1322" t="s">
        <v>1647</v>
      </c>
      <c r="I409" s="490">
        <v>1347</v>
      </c>
      <c r="J409" s="1020"/>
      <c r="K409" s="1020"/>
      <c r="L409" s="1020"/>
      <c r="M409" s="1020"/>
      <c r="N409" s="1020"/>
      <c r="O409" s="1020"/>
      <c r="P409" s="1020"/>
      <c r="Q409" s="1020"/>
      <c r="R409" s="1020"/>
      <c r="S409" s="1012"/>
      <c r="T409" s="1012"/>
      <c r="U409" s="1012"/>
      <c r="V409" s="3858"/>
      <c r="W409" s="1029">
        <v>2862.25</v>
      </c>
      <c r="X409" s="1029">
        <v>2862.25</v>
      </c>
      <c r="Y409" s="763">
        <v>2.1249072011878249</v>
      </c>
      <c r="Z409" s="508">
        <v>2.1249072011878249</v>
      </c>
      <c r="AA409" s="508">
        <v>2.1249072011878249</v>
      </c>
      <c r="AB409" s="508">
        <v>2.1249072011878249</v>
      </c>
      <c r="AC409" s="1029"/>
      <c r="AD409" s="1029"/>
      <c r="AE409" s="1029"/>
      <c r="AF409" s="1029"/>
      <c r="AG409" s="1029"/>
      <c r="AK409" s="982"/>
      <c r="BB409" s="1008"/>
    </row>
    <row r="410" spans="1:54" s="993" customFormat="1" hidden="1" outlineLevel="1" x14ac:dyDescent="0.25">
      <c r="A410" s="1012"/>
      <c r="B410" s="1020"/>
      <c r="C410" s="1009"/>
      <c r="D410" s="3546"/>
      <c r="E410" s="1090" t="s">
        <v>1597</v>
      </c>
      <c r="F410" s="508">
        <f>836.16/(1106*0.65)</f>
        <v>1.1631103074141049</v>
      </c>
      <c r="G410" s="3427"/>
      <c r="H410" s="1322" t="s">
        <v>1648</v>
      </c>
      <c r="I410" s="490">
        <f>0.65*1106</f>
        <v>718.9</v>
      </c>
      <c r="J410" s="1020"/>
      <c r="K410" s="1020"/>
      <c r="L410" s="1020"/>
      <c r="M410" s="1020"/>
      <c r="N410" s="1020"/>
      <c r="O410" s="1020"/>
      <c r="P410" s="1020"/>
      <c r="Q410" s="1020"/>
      <c r="R410" s="1020"/>
      <c r="S410" s="1012"/>
      <c r="T410" s="1012"/>
      <c r="U410" s="1012"/>
      <c r="V410" s="3858"/>
      <c r="W410" s="1029">
        <v>836.16</v>
      </c>
      <c r="X410" s="1029">
        <v>836.16</v>
      </c>
      <c r="Y410" s="763">
        <v>1.1631103074141049</v>
      </c>
      <c r="Z410" s="508">
        <v>1.1631103074141049</v>
      </c>
      <c r="AA410" s="508">
        <v>1.1631103074141049</v>
      </c>
      <c r="AB410" s="508">
        <v>1.1631103074141049</v>
      </c>
      <c r="AC410" s="1029"/>
      <c r="AD410" s="1029"/>
      <c r="AE410" s="1029"/>
      <c r="AF410" s="1029"/>
      <c r="AG410" s="1029"/>
      <c r="AK410" s="982"/>
      <c r="BB410" s="1008"/>
    </row>
    <row r="411" spans="1:54" s="993" customFormat="1" hidden="1" outlineLevel="1" x14ac:dyDescent="0.25">
      <c r="A411" s="1012"/>
      <c r="B411" s="1020"/>
      <c r="C411" s="1009"/>
      <c r="D411" s="3546"/>
      <c r="E411" s="1090" t="s">
        <v>1599</v>
      </c>
      <c r="F411" s="508">
        <f>836.16/(1106*0.65)</f>
        <v>1.1631103074141049</v>
      </c>
      <c r="G411" s="3427"/>
      <c r="H411" s="1322" t="s">
        <v>1648</v>
      </c>
      <c r="I411" s="490">
        <f>0.65*1106</f>
        <v>718.9</v>
      </c>
      <c r="J411" s="1020"/>
      <c r="K411" s="1020"/>
      <c r="L411" s="1020"/>
      <c r="M411" s="1020"/>
      <c r="N411" s="1020"/>
      <c r="O411" s="1020"/>
      <c r="P411" s="1020"/>
      <c r="Q411" s="1020"/>
      <c r="R411" s="1020"/>
      <c r="S411" s="1012"/>
      <c r="T411" s="1012"/>
      <c r="U411" s="1012"/>
      <c r="V411" s="3858"/>
      <c r="W411" s="1029">
        <v>836.16</v>
      </c>
      <c r="X411" s="1029">
        <v>836.16</v>
      </c>
      <c r="Y411" s="763">
        <v>1.1631103074141049</v>
      </c>
      <c r="Z411" s="508">
        <v>1.1631103074141049</v>
      </c>
      <c r="AA411" s="508">
        <v>1.1631103074141049</v>
      </c>
      <c r="AB411" s="508">
        <v>1.1631103074141049</v>
      </c>
      <c r="AC411" s="1029"/>
      <c r="AD411" s="1029"/>
      <c r="AE411" s="1029"/>
      <c r="AF411" s="1029"/>
      <c r="AG411" s="1029"/>
      <c r="AK411" s="982"/>
      <c r="BB411" s="1008"/>
    </row>
    <row r="412" spans="1:54" s="993" customFormat="1" hidden="1" outlineLevel="1" x14ac:dyDescent="0.25">
      <c r="A412" s="1012"/>
      <c r="B412" s="1020"/>
      <c r="C412" s="1009"/>
      <c r="D412" s="3546"/>
      <c r="E412" s="1855" t="s">
        <v>1601</v>
      </c>
      <c r="F412" s="508">
        <f>836.16/(1106*0.65)</f>
        <v>1.1631103074141049</v>
      </c>
      <c r="G412" s="3855"/>
      <c r="H412" s="1322" t="s">
        <v>1648</v>
      </c>
      <c r="I412" s="490">
        <f>0.65*1106</f>
        <v>718.9</v>
      </c>
      <c r="J412" s="1020"/>
      <c r="K412" s="1020"/>
      <c r="L412" s="1020"/>
      <c r="M412" s="1020"/>
      <c r="N412" s="1020"/>
      <c r="O412" s="1020"/>
      <c r="P412" s="1020"/>
      <c r="Q412" s="1020"/>
      <c r="R412" s="1020"/>
      <c r="S412" s="1012"/>
      <c r="T412" s="1012"/>
      <c r="U412" s="1012"/>
      <c r="V412" s="3858"/>
      <c r="W412" s="1029">
        <v>836.16</v>
      </c>
      <c r="X412" s="1029">
        <v>836.16</v>
      </c>
      <c r="Y412" s="763">
        <v>1.1631103074141049</v>
      </c>
      <c r="Z412" s="508">
        <v>1.1631103074141049</v>
      </c>
      <c r="AA412" s="508">
        <v>1.1631103074141049</v>
      </c>
      <c r="AB412" s="508">
        <v>1.1631103074141049</v>
      </c>
      <c r="AC412" s="1029"/>
      <c r="AD412" s="1029"/>
      <c r="AE412" s="1029"/>
      <c r="AF412" s="1029"/>
      <c r="AG412" s="1029"/>
      <c r="AK412" s="982"/>
      <c r="BB412" s="1008"/>
    </row>
    <row r="413" spans="1:54" s="993" customFormat="1" hidden="1" outlineLevel="1" x14ac:dyDescent="0.25">
      <c r="A413" s="1012"/>
      <c r="B413" s="1020"/>
      <c r="C413" s="1009"/>
      <c r="D413" s="3546"/>
      <c r="E413" s="1090" t="s">
        <v>1603</v>
      </c>
      <c r="F413" s="508">
        <f>1286.39/1106</f>
        <v>1.1631012658227848</v>
      </c>
      <c r="G413" s="3855"/>
      <c r="H413" s="1322" t="s">
        <v>1649</v>
      </c>
      <c r="I413" s="490">
        <v>1106</v>
      </c>
      <c r="J413" s="1020"/>
      <c r="K413" s="1020"/>
      <c r="L413" s="1020"/>
      <c r="M413" s="1020"/>
      <c r="N413" s="1020"/>
      <c r="O413" s="1020"/>
      <c r="P413" s="1020"/>
      <c r="Q413" s="1020"/>
      <c r="R413" s="1020"/>
      <c r="S413" s="1012"/>
      <c r="T413" s="1012"/>
      <c r="U413" s="1012"/>
      <c r="V413" s="3858"/>
      <c r="W413" s="1029">
        <v>1286.3900000000001</v>
      </c>
      <c r="X413" s="1029">
        <v>1286.3900000000001</v>
      </c>
      <c r="Y413" s="763">
        <v>1.1631012658227848</v>
      </c>
      <c r="Z413" s="508">
        <v>1.1631012658227848</v>
      </c>
      <c r="AA413" s="508">
        <v>1.1631012658227848</v>
      </c>
      <c r="AB413" s="508">
        <v>1.1631012658227848</v>
      </c>
      <c r="AC413" s="1029"/>
      <c r="AD413" s="1029"/>
      <c r="AE413" s="1029"/>
      <c r="AF413" s="1029"/>
      <c r="AG413" s="1029"/>
      <c r="AK413" s="982"/>
      <c r="BB413" s="1008"/>
    </row>
    <row r="414" spans="1:54" s="993" customFormat="1" hidden="1" outlineLevel="1" x14ac:dyDescent="0.25">
      <c r="A414" s="1012"/>
      <c r="B414" s="1020"/>
      <c r="C414" s="1009"/>
      <c r="D414" s="3546"/>
      <c r="E414" s="1090" t="s">
        <v>1605</v>
      </c>
      <c r="F414" s="508">
        <f>1286.39/1106</f>
        <v>1.1631012658227848</v>
      </c>
      <c r="G414" s="3855"/>
      <c r="H414" s="1322" t="s">
        <v>1649</v>
      </c>
      <c r="I414" s="490">
        <v>1106</v>
      </c>
      <c r="J414" s="1020"/>
      <c r="K414" s="1020"/>
      <c r="L414" s="1020"/>
      <c r="M414" s="1020"/>
      <c r="N414" s="1020"/>
      <c r="O414" s="1020"/>
      <c r="P414" s="1020"/>
      <c r="Q414" s="1020"/>
      <c r="R414" s="1020"/>
      <c r="S414" s="1012"/>
      <c r="T414" s="1012"/>
      <c r="U414" s="1012"/>
      <c r="V414" s="3858"/>
      <c r="W414" s="1029">
        <v>1286.3900000000001</v>
      </c>
      <c r="X414" s="1029">
        <v>1286.3900000000001</v>
      </c>
      <c r="Y414" s="763">
        <v>1.1631012658227848</v>
      </c>
      <c r="Z414" s="508">
        <v>1.1631012658227848</v>
      </c>
      <c r="AA414" s="508">
        <v>1.1631012658227848</v>
      </c>
      <c r="AB414" s="508">
        <v>1.1631012658227848</v>
      </c>
      <c r="AC414" s="1029"/>
      <c r="AD414" s="1029"/>
      <c r="AE414" s="1029"/>
      <c r="AF414" s="1029"/>
      <c r="AG414" s="1029"/>
      <c r="AK414" s="982"/>
      <c r="BB414" s="1008"/>
    </row>
    <row r="415" spans="1:54" s="993" customFormat="1" hidden="1" outlineLevel="1" x14ac:dyDescent="0.25">
      <c r="A415" s="1012"/>
      <c r="B415" s="1020"/>
      <c r="C415" s="1009"/>
      <c r="D415" s="3546"/>
      <c r="E415" s="1856" t="s">
        <v>1607</v>
      </c>
      <c r="F415" s="508">
        <f>1286.39/1106</f>
        <v>1.1631012658227848</v>
      </c>
      <c r="G415" s="3855"/>
      <c r="H415" s="1322" t="s">
        <v>1649</v>
      </c>
      <c r="I415" s="490">
        <v>1106</v>
      </c>
      <c r="J415" s="1020"/>
      <c r="K415" s="1020"/>
      <c r="L415" s="1020"/>
      <c r="M415" s="1020"/>
      <c r="N415" s="1020"/>
      <c r="O415" s="1020"/>
      <c r="P415" s="1020"/>
      <c r="Q415" s="1020"/>
      <c r="R415" s="1020"/>
      <c r="S415" s="1012"/>
      <c r="T415" s="1012"/>
      <c r="U415" s="1012"/>
      <c r="V415" s="3858"/>
      <c r="W415" s="1029">
        <v>1286.3900000000001</v>
      </c>
      <c r="X415" s="1029">
        <v>1286.3900000000001</v>
      </c>
      <c r="Y415" s="763">
        <v>1.1631012658227848</v>
      </c>
      <c r="Z415" s="508">
        <v>1.1631012658227848</v>
      </c>
      <c r="AA415" s="508">
        <v>1.1631012658227848</v>
      </c>
      <c r="AB415" s="508">
        <v>1.1631012658227848</v>
      </c>
      <c r="AC415" s="1029"/>
      <c r="AD415" s="1029"/>
      <c r="AE415" s="1029"/>
      <c r="AF415" s="1029"/>
      <c r="AG415" s="1029"/>
      <c r="AK415" s="982"/>
      <c r="BB415" s="1008"/>
    </row>
    <row r="416" spans="1:54" s="993" customFormat="1" hidden="1" outlineLevel="1" x14ac:dyDescent="0.25">
      <c r="A416" s="1012"/>
      <c r="B416" s="1020"/>
      <c r="C416" s="1009"/>
      <c r="D416" s="3546"/>
      <c r="E416" s="1090" t="s">
        <v>1609</v>
      </c>
      <c r="F416" s="508">
        <f>1208.5/(1106*0.65)</f>
        <v>1.6810404785088331</v>
      </c>
      <c r="G416" s="3855"/>
      <c r="H416" s="1322" t="s">
        <v>1648</v>
      </c>
      <c r="I416" s="490">
        <f>0.65*1106</f>
        <v>718.9</v>
      </c>
      <c r="J416" s="1020"/>
      <c r="K416" s="1020"/>
      <c r="L416" s="1020"/>
      <c r="M416" s="1020"/>
      <c r="N416" s="1020"/>
      <c r="O416" s="1020"/>
      <c r="P416" s="1020"/>
      <c r="Q416" s="1020"/>
      <c r="R416" s="1020"/>
      <c r="S416" s="1012"/>
      <c r="T416" s="1012"/>
      <c r="U416" s="1012"/>
      <c r="V416" s="3858"/>
      <c r="W416" s="1029">
        <v>1208.5</v>
      </c>
      <c r="X416" s="1029">
        <v>1208.5</v>
      </c>
      <c r="Y416" s="763">
        <v>1.6810404785088331</v>
      </c>
      <c r="Z416" s="508">
        <v>1.6810404785088331</v>
      </c>
      <c r="AA416" s="508">
        <v>1.6810404785088331</v>
      </c>
      <c r="AB416" s="508">
        <v>1.6810404785088331</v>
      </c>
      <c r="AC416" s="1029"/>
      <c r="AD416" s="1029"/>
      <c r="AE416" s="1029"/>
      <c r="AF416" s="1029"/>
      <c r="AG416" s="1029"/>
      <c r="AK416" s="982"/>
      <c r="BB416" s="1008"/>
    </row>
    <row r="417" spans="1:54" s="993" customFormat="1" hidden="1" outlineLevel="1" x14ac:dyDescent="0.25">
      <c r="A417" s="1012"/>
      <c r="B417" s="1020"/>
      <c r="C417" s="1009"/>
      <c r="D417" s="3546"/>
      <c r="E417" s="1090" t="s">
        <v>1611</v>
      </c>
      <c r="F417" s="508">
        <f>1208.5/(1106*0.65)</f>
        <v>1.6810404785088331</v>
      </c>
      <c r="G417" s="3855"/>
      <c r="H417" s="1322" t="s">
        <v>1648</v>
      </c>
      <c r="I417" s="490">
        <f>0.65*1106</f>
        <v>718.9</v>
      </c>
      <c r="J417" s="1020"/>
      <c r="K417" s="1020"/>
      <c r="L417" s="1020"/>
      <c r="M417" s="1020"/>
      <c r="N417" s="1020"/>
      <c r="O417" s="1020"/>
      <c r="P417" s="1020"/>
      <c r="Q417" s="1020"/>
      <c r="R417" s="1020"/>
      <c r="S417" s="1012"/>
      <c r="T417" s="1012"/>
      <c r="U417" s="1012"/>
      <c r="V417" s="3858"/>
      <c r="W417" s="1029">
        <v>1208.5</v>
      </c>
      <c r="X417" s="1029">
        <v>1208.5</v>
      </c>
      <c r="Y417" s="763">
        <v>1.6810404785088331</v>
      </c>
      <c r="Z417" s="508">
        <v>1.6810404785088331</v>
      </c>
      <c r="AA417" s="508">
        <v>1.6810404785088331</v>
      </c>
      <c r="AB417" s="508">
        <v>1.6810404785088331</v>
      </c>
      <c r="AC417" s="1029"/>
      <c r="AD417" s="1029"/>
      <c r="AE417" s="1029"/>
      <c r="AF417" s="1029"/>
      <c r="AG417" s="1029"/>
      <c r="AK417" s="982"/>
      <c r="BB417" s="1008"/>
    </row>
    <row r="418" spans="1:54" s="993" customFormat="1" hidden="1" outlineLevel="1" x14ac:dyDescent="0.25">
      <c r="A418" s="1012"/>
      <c r="B418" s="1020"/>
      <c r="C418" s="1009"/>
      <c r="D418" s="3546"/>
      <c r="E418" s="1855" t="s">
        <v>1613</v>
      </c>
      <c r="F418" s="508">
        <f>1208.5/(1106*0.65)</f>
        <v>1.6810404785088331</v>
      </c>
      <c r="G418" s="3855"/>
      <c r="H418" s="1322" t="s">
        <v>1648</v>
      </c>
      <c r="I418" s="490">
        <f>0.65*1106</f>
        <v>718.9</v>
      </c>
      <c r="J418" s="1020"/>
      <c r="K418" s="1020"/>
      <c r="L418" s="1020"/>
      <c r="M418" s="1020"/>
      <c r="N418" s="1020"/>
      <c r="O418" s="1020"/>
      <c r="P418" s="1020"/>
      <c r="Q418" s="1020"/>
      <c r="R418" s="1020"/>
      <c r="S418" s="1012"/>
      <c r="T418" s="1012"/>
      <c r="U418" s="1012"/>
      <c r="V418" s="3858"/>
      <c r="W418" s="1029">
        <v>1208.5</v>
      </c>
      <c r="X418" s="1029">
        <v>1208.5</v>
      </c>
      <c r="Y418" s="763">
        <v>1.6810404785088331</v>
      </c>
      <c r="Z418" s="508">
        <v>1.6810404785088331</v>
      </c>
      <c r="AA418" s="508">
        <v>1.6810404785088331</v>
      </c>
      <c r="AB418" s="508">
        <v>1.6810404785088331</v>
      </c>
      <c r="AC418" s="1029"/>
      <c r="AD418" s="1029"/>
      <c r="AE418" s="1029"/>
      <c r="AF418" s="1029"/>
      <c r="AG418" s="1029"/>
      <c r="AK418" s="982"/>
      <c r="BB418" s="1008"/>
    </row>
    <row r="419" spans="1:54" s="993" customFormat="1" hidden="1" outlineLevel="1" x14ac:dyDescent="0.25">
      <c r="A419" s="1012"/>
      <c r="B419" s="1020"/>
      <c r="C419" s="1009"/>
      <c r="D419" s="3546"/>
      <c r="E419" s="1855" t="s">
        <v>1615</v>
      </c>
      <c r="F419" s="508">
        <f>1859.23/1106</f>
        <v>1.6810397830018082</v>
      </c>
      <c r="G419" s="3855"/>
      <c r="H419" s="1322" t="s">
        <v>1649</v>
      </c>
      <c r="I419" s="490">
        <v>1106</v>
      </c>
      <c r="J419" s="1020"/>
      <c r="K419" s="1020"/>
      <c r="L419" s="1020"/>
      <c r="M419" s="1020"/>
      <c r="N419" s="1020"/>
      <c r="O419" s="1020"/>
      <c r="P419" s="1020"/>
      <c r="Q419" s="1020"/>
      <c r="R419" s="1020"/>
      <c r="S419" s="1012"/>
      <c r="T419" s="1012"/>
      <c r="U419" s="1012"/>
      <c r="V419" s="3858"/>
      <c r="W419" s="1029">
        <v>1859.23</v>
      </c>
      <c r="X419" s="1029">
        <v>1859.23</v>
      </c>
      <c r="Y419" s="763">
        <v>1.6810397830018082</v>
      </c>
      <c r="Z419" s="508">
        <v>1.6810397830018082</v>
      </c>
      <c r="AA419" s="508">
        <v>1.6810397830018082</v>
      </c>
      <c r="AB419" s="508">
        <v>1.6810397830018082</v>
      </c>
      <c r="AC419" s="1029"/>
      <c r="AD419" s="1029"/>
      <c r="AE419" s="1029"/>
      <c r="AF419" s="1029"/>
      <c r="AG419" s="1029"/>
      <c r="AK419" s="982"/>
      <c r="BB419" s="1008"/>
    </row>
    <row r="420" spans="1:54" s="993" customFormat="1" hidden="1" outlineLevel="1" x14ac:dyDescent="0.25">
      <c r="A420" s="1012"/>
      <c r="B420" s="1020"/>
      <c r="C420" s="1009"/>
      <c r="D420" s="3853"/>
      <c r="E420" s="1090" t="s">
        <v>1617</v>
      </c>
      <c r="F420" s="508">
        <f>1859.23/1106</f>
        <v>1.6810397830018082</v>
      </c>
      <c r="G420" s="3855"/>
      <c r="H420" s="1322" t="s">
        <v>1649</v>
      </c>
      <c r="I420" s="490">
        <v>1106</v>
      </c>
      <c r="J420" s="1020"/>
      <c r="K420" s="1020"/>
      <c r="L420" s="1020"/>
      <c r="M420" s="1020"/>
      <c r="N420" s="1020"/>
      <c r="O420" s="1020"/>
      <c r="P420" s="1020"/>
      <c r="Q420" s="1020"/>
      <c r="R420" s="1020"/>
      <c r="S420" s="1012"/>
      <c r="T420" s="1012"/>
      <c r="U420" s="1012"/>
      <c r="V420" s="3858"/>
      <c r="W420" s="1029">
        <v>1859.23</v>
      </c>
      <c r="X420" s="1029">
        <v>1859.23</v>
      </c>
      <c r="Y420" s="763">
        <v>1.6810397830018082</v>
      </c>
      <c r="Z420" s="508">
        <v>1.6810397830018082</v>
      </c>
      <c r="AA420" s="508">
        <v>1.6810397830018082</v>
      </c>
      <c r="AB420" s="508">
        <v>1.6810397830018082</v>
      </c>
      <c r="AC420" s="1029"/>
      <c r="AD420" s="1029"/>
      <c r="AE420" s="1029"/>
      <c r="AF420" s="1029"/>
      <c r="AG420" s="1029"/>
      <c r="AK420" s="982"/>
      <c r="BB420" s="1008"/>
    </row>
    <row r="421" spans="1:54" s="993" customFormat="1" hidden="1" outlineLevel="1" x14ac:dyDescent="0.25">
      <c r="A421" s="1012"/>
      <c r="B421" s="1020"/>
      <c r="C421" s="1009"/>
      <c r="D421" s="3546"/>
      <c r="E421" s="1856" t="s">
        <v>1619</v>
      </c>
      <c r="F421" s="508">
        <f>1859.23/1106</f>
        <v>1.6810397830018082</v>
      </c>
      <c r="G421" s="3855"/>
      <c r="H421" s="1322" t="s">
        <v>1649</v>
      </c>
      <c r="I421" s="490">
        <v>1106</v>
      </c>
      <c r="J421" s="1020"/>
      <c r="K421" s="1020"/>
      <c r="L421" s="1020"/>
      <c r="M421" s="1020"/>
      <c r="N421" s="1020"/>
      <c r="O421" s="1020"/>
      <c r="P421" s="1020"/>
      <c r="Q421" s="1020"/>
      <c r="R421" s="1020"/>
      <c r="S421" s="1012"/>
      <c r="T421" s="1012"/>
      <c r="U421" s="1012"/>
      <c r="V421" s="3858"/>
      <c r="W421" s="1029">
        <v>1859.23</v>
      </c>
      <c r="X421" s="1029">
        <v>1859.23</v>
      </c>
      <c r="Y421" s="763">
        <v>1.6810397830018082</v>
      </c>
      <c r="Z421" s="508">
        <v>1.6810397830018082</v>
      </c>
      <c r="AA421" s="508">
        <v>1.6810397830018082</v>
      </c>
      <c r="AB421" s="508">
        <v>1.6810397830018082</v>
      </c>
      <c r="AC421" s="1029"/>
      <c r="AD421" s="1029"/>
      <c r="AE421" s="1029"/>
      <c r="AF421" s="1029"/>
      <c r="AG421" s="1029"/>
      <c r="AK421" s="982"/>
      <c r="BB421" s="1008"/>
    </row>
    <row r="422" spans="1:54" s="993" customFormat="1" hidden="1" outlineLevel="1" x14ac:dyDescent="0.25">
      <c r="A422" s="1012"/>
      <c r="B422" s="1020"/>
      <c r="C422" s="1009"/>
      <c r="D422" s="3546"/>
      <c r="E422" s="1090" t="s">
        <v>1621</v>
      </c>
      <c r="F422" s="508">
        <f>1846.68/(1106*0.65)</f>
        <v>2.568757824454027</v>
      </c>
      <c r="G422" s="3855"/>
      <c r="H422" s="1322" t="s">
        <v>1648</v>
      </c>
      <c r="I422" s="490">
        <f>0.65*1106</f>
        <v>718.9</v>
      </c>
      <c r="J422" s="1020"/>
      <c r="K422" s="1020"/>
      <c r="L422" s="1020"/>
      <c r="M422" s="1020"/>
      <c r="N422" s="1020"/>
      <c r="O422" s="1020"/>
      <c r="P422" s="1020"/>
      <c r="Q422" s="1020"/>
      <c r="R422" s="1020"/>
      <c r="S422" s="1012"/>
      <c r="T422" s="1012"/>
      <c r="U422" s="1012"/>
      <c r="V422" s="3858"/>
      <c r="W422" s="1029">
        <v>1846.68</v>
      </c>
      <c r="X422" s="1029">
        <v>1846.68</v>
      </c>
      <c r="Y422" s="763">
        <v>2.568757824454027</v>
      </c>
      <c r="Z422" s="508">
        <v>2.568757824454027</v>
      </c>
      <c r="AA422" s="508">
        <v>2.568757824454027</v>
      </c>
      <c r="AB422" s="508">
        <v>2.568757824454027</v>
      </c>
      <c r="AC422" s="1029"/>
      <c r="AD422" s="1029"/>
      <c r="AE422" s="1029"/>
      <c r="AF422" s="1029"/>
      <c r="AG422" s="1029"/>
      <c r="AK422" s="982"/>
      <c r="BB422" s="1008"/>
    </row>
    <row r="423" spans="1:54" s="993" customFormat="1" hidden="1" outlineLevel="1" x14ac:dyDescent="0.25">
      <c r="A423" s="1012"/>
      <c r="B423" s="1020"/>
      <c r="C423" s="1009"/>
      <c r="D423" s="3546"/>
      <c r="E423" s="1090" t="s">
        <v>1623</v>
      </c>
      <c r="F423" s="508">
        <f>1846.68/(1106*0.65)</f>
        <v>2.568757824454027</v>
      </c>
      <c r="G423" s="3855"/>
      <c r="H423" s="1322" t="s">
        <v>1648</v>
      </c>
      <c r="I423" s="490">
        <f>0.65*1106</f>
        <v>718.9</v>
      </c>
      <c r="J423" s="1020"/>
      <c r="K423" s="1020"/>
      <c r="L423" s="1020"/>
      <c r="M423" s="1020"/>
      <c r="N423" s="1020"/>
      <c r="O423" s="1020"/>
      <c r="P423" s="1020"/>
      <c r="Q423" s="1020"/>
      <c r="R423" s="1020"/>
      <c r="S423" s="1012"/>
      <c r="T423" s="1012"/>
      <c r="U423" s="1012"/>
      <c r="V423" s="3858"/>
      <c r="W423" s="1029">
        <v>1846.68</v>
      </c>
      <c r="X423" s="1029">
        <v>1846.68</v>
      </c>
      <c r="Y423" s="763">
        <v>2.568757824454027</v>
      </c>
      <c r="Z423" s="508">
        <v>2.568757824454027</v>
      </c>
      <c r="AA423" s="508">
        <v>2.568757824454027</v>
      </c>
      <c r="AB423" s="508">
        <v>2.568757824454027</v>
      </c>
      <c r="AC423" s="1029"/>
      <c r="AD423" s="1029"/>
      <c r="AE423" s="1029"/>
      <c r="AF423" s="1029"/>
      <c r="AG423" s="1029"/>
      <c r="AK423" s="982"/>
      <c r="BB423" s="1008"/>
    </row>
    <row r="424" spans="1:54" s="993" customFormat="1" hidden="1" outlineLevel="1" x14ac:dyDescent="0.25">
      <c r="A424" s="1012"/>
      <c r="B424" s="1020"/>
      <c r="C424" s="1009"/>
      <c r="D424" s="3546"/>
      <c r="E424" s="1855" t="s">
        <v>1625</v>
      </c>
      <c r="F424" s="508">
        <f>1846.68/(1106*0.65)</f>
        <v>2.568757824454027</v>
      </c>
      <c r="G424" s="3855"/>
      <c r="H424" s="1322" t="s">
        <v>1648</v>
      </c>
      <c r="I424" s="490">
        <f>0.65*1106</f>
        <v>718.9</v>
      </c>
      <c r="J424" s="1020"/>
      <c r="K424" s="1020"/>
      <c r="L424" s="1020"/>
      <c r="M424" s="1020"/>
      <c r="N424" s="1020"/>
      <c r="O424" s="1020"/>
      <c r="P424" s="1020"/>
      <c r="Q424" s="1020"/>
      <c r="R424" s="1020"/>
      <c r="S424" s="1012"/>
      <c r="T424" s="1012"/>
      <c r="U424" s="1012"/>
      <c r="V424" s="3858"/>
      <c r="W424" s="1029">
        <v>1846.68</v>
      </c>
      <c r="X424" s="1029">
        <v>1846.68</v>
      </c>
      <c r="Y424" s="763">
        <v>2.568757824454027</v>
      </c>
      <c r="Z424" s="508">
        <v>2.568757824454027</v>
      </c>
      <c r="AA424" s="508">
        <v>2.568757824454027</v>
      </c>
      <c r="AB424" s="508">
        <v>2.568757824454027</v>
      </c>
      <c r="AC424" s="1029"/>
      <c r="AD424" s="1029"/>
      <c r="AE424" s="1029"/>
      <c r="AF424" s="1029"/>
      <c r="AG424" s="1029"/>
      <c r="AK424" s="982"/>
      <c r="BB424" s="1008"/>
    </row>
    <row r="425" spans="1:54" s="993" customFormat="1" hidden="1" outlineLevel="1" x14ac:dyDescent="0.25">
      <c r="A425" s="1012"/>
      <c r="B425" s="1020"/>
      <c r="C425" s="1009"/>
      <c r="D425" s="3546"/>
      <c r="E425" s="1090" t="s">
        <v>1627</v>
      </c>
      <c r="F425" s="508">
        <f>2841.04/1106</f>
        <v>2.5687522603978299</v>
      </c>
      <c r="G425" s="3855"/>
      <c r="H425" s="1322" t="s">
        <v>1649</v>
      </c>
      <c r="I425" s="490">
        <v>1106</v>
      </c>
      <c r="J425" s="1020"/>
      <c r="K425" s="1020"/>
      <c r="L425" s="1020"/>
      <c r="M425" s="1020"/>
      <c r="N425" s="1020"/>
      <c r="O425" s="1020"/>
      <c r="P425" s="1020"/>
      <c r="Q425" s="1020"/>
      <c r="R425" s="1020"/>
      <c r="S425" s="1012"/>
      <c r="T425" s="1012"/>
      <c r="U425" s="1012"/>
      <c r="V425" s="3858"/>
      <c r="W425" s="1029">
        <v>2841.04</v>
      </c>
      <c r="X425" s="1029">
        <v>2841.04</v>
      </c>
      <c r="Y425" s="763">
        <v>2.5687522603978299</v>
      </c>
      <c r="Z425" s="508">
        <v>2.5687522603978299</v>
      </c>
      <c r="AA425" s="508">
        <v>2.5687522603978299</v>
      </c>
      <c r="AB425" s="508">
        <v>2.5687522603978299</v>
      </c>
      <c r="AC425" s="1029"/>
      <c r="AD425" s="1029"/>
      <c r="AE425" s="1029"/>
      <c r="AF425" s="1029"/>
      <c r="AG425" s="1029"/>
      <c r="AK425" s="982"/>
      <c r="BB425" s="1008"/>
    </row>
    <row r="426" spans="1:54" s="993" customFormat="1" hidden="1" outlineLevel="1" x14ac:dyDescent="0.25">
      <c r="A426" s="1012"/>
      <c r="B426" s="1020"/>
      <c r="C426" s="1009"/>
      <c r="D426" s="3546"/>
      <c r="E426" s="1855" t="s">
        <v>1629</v>
      </c>
      <c r="F426" s="508">
        <f>2841.04/1106</f>
        <v>2.5687522603978299</v>
      </c>
      <c r="G426" s="3855"/>
      <c r="H426" s="1322" t="s">
        <v>1649</v>
      </c>
      <c r="I426" s="490">
        <v>1106</v>
      </c>
      <c r="J426" s="1020"/>
      <c r="K426" s="1020"/>
      <c r="L426" s="1020"/>
      <c r="M426" s="1020"/>
      <c r="N426" s="1020"/>
      <c r="O426" s="1020"/>
      <c r="P426" s="1020"/>
      <c r="Q426" s="1020"/>
      <c r="R426" s="1020"/>
      <c r="S426" s="1012"/>
      <c r="T426" s="1012"/>
      <c r="U426" s="1012"/>
      <c r="V426" s="3858"/>
      <c r="W426" s="1029">
        <v>2841.04</v>
      </c>
      <c r="X426" s="1029">
        <v>2841.04</v>
      </c>
      <c r="Y426" s="763">
        <v>2.5687522603978299</v>
      </c>
      <c r="Z426" s="508">
        <v>2.5687522603978299</v>
      </c>
      <c r="AA426" s="508">
        <v>2.5687522603978299</v>
      </c>
      <c r="AB426" s="508">
        <v>2.5687522603978299</v>
      </c>
      <c r="AC426" s="1029"/>
      <c r="AD426" s="1029"/>
      <c r="AE426" s="1029"/>
      <c r="AF426" s="1029"/>
      <c r="AG426" s="1029"/>
      <c r="AK426" s="982"/>
      <c r="BB426" s="1008"/>
    </row>
    <row r="427" spans="1:54" s="993" customFormat="1" hidden="1" outlineLevel="1" x14ac:dyDescent="0.25">
      <c r="A427" s="1012"/>
      <c r="B427" s="1020"/>
      <c r="C427" s="1009"/>
      <c r="D427" s="3546"/>
      <c r="E427" s="1090" t="s">
        <v>1631</v>
      </c>
      <c r="F427" s="508">
        <f>2841.04/1106</f>
        <v>2.5687522603978299</v>
      </c>
      <c r="G427" s="3855"/>
      <c r="H427" s="1322" t="s">
        <v>1649</v>
      </c>
      <c r="I427" s="490">
        <v>1106</v>
      </c>
      <c r="J427" s="1020"/>
      <c r="K427" s="1020"/>
      <c r="L427" s="1020"/>
      <c r="M427" s="1020"/>
      <c r="N427" s="1020"/>
      <c r="O427" s="1020"/>
      <c r="P427" s="1020"/>
      <c r="Q427" s="1020"/>
      <c r="R427" s="1020"/>
      <c r="S427" s="1012"/>
      <c r="T427" s="1012"/>
      <c r="U427" s="1012"/>
      <c r="V427" s="3858"/>
      <c r="W427" s="1029">
        <v>2841.04</v>
      </c>
      <c r="X427" s="1029">
        <v>2841.04</v>
      </c>
      <c r="Y427" s="763">
        <v>2.5687522603978299</v>
      </c>
      <c r="Z427" s="508">
        <v>2.5687522603978299</v>
      </c>
      <c r="AA427" s="508">
        <v>2.5687522603978299</v>
      </c>
      <c r="AB427" s="508">
        <v>2.5687522603978299</v>
      </c>
      <c r="AC427" s="1029"/>
      <c r="AD427" s="1029"/>
      <c r="AE427" s="1029"/>
      <c r="AF427" s="1029"/>
      <c r="AG427" s="1029"/>
      <c r="AK427" s="982"/>
      <c r="BB427" s="1008"/>
    </row>
    <row r="428" spans="1:54" s="993" customFormat="1" hidden="1" outlineLevel="1" x14ac:dyDescent="0.25">
      <c r="A428" s="1012"/>
      <c r="B428" s="1020"/>
      <c r="C428" s="1009"/>
      <c r="D428" s="3546"/>
      <c r="E428" s="1090" t="s">
        <v>1633</v>
      </c>
      <c r="F428" s="508">
        <f>2461.73/(1106*0.65)</f>
        <v>3.424301015440256</v>
      </c>
      <c r="G428" s="3855"/>
      <c r="H428" s="1322" t="s">
        <v>1648</v>
      </c>
      <c r="I428" s="490">
        <f>0.65*1106</f>
        <v>718.9</v>
      </c>
      <c r="J428" s="1020"/>
      <c r="K428" s="1020"/>
      <c r="L428" s="1020"/>
      <c r="M428" s="1020"/>
      <c r="N428" s="1020"/>
      <c r="O428" s="1020"/>
      <c r="P428" s="1020"/>
      <c r="Q428" s="1020"/>
      <c r="R428" s="1020"/>
      <c r="S428" s="1012"/>
      <c r="T428" s="1012"/>
      <c r="U428" s="1012"/>
      <c r="V428" s="3858"/>
      <c r="W428" s="1029">
        <v>2461.73</v>
      </c>
      <c r="X428" s="1029">
        <v>2461.73</v>
      </c>
      <c r="Y428" s="763">
        <v>3.424301015440256</v>
      </c>
      <c r="Z428" s="508">
        <v>3.424301015440256</v>
      </c>
      <c r="AA428" s="508">
        <v>3.424301015440256</v>
      </c>
      <c r="AB428" s="508">
        <v>3.424301015440256</v>
      </c>
      <c r="AC428" s="1029"/>
      <c r="AD428" s="1029"/>
      <c r="AE428" s="1029"/>
      <c r="AF428" s="1029"/>
      <c r="AG428" s="1029"/>
      <c r="AK428" s="982"/>
      <c r="BB428" s="1008"/>
    </row>
    <row r="429" spans="1:54" s="993" customFormat="1" hidden="1" outlineLevel="1" x14ac:dyDescent="0.25">
      <c r="A429" s="1012"/>
      <c r="B429" s="1020"/>
      <c r="C429" s="1009"/>
      <c r="D429" s="3546"/>
      <c r="E429" s="1090" t="s">
        <v>1635</v>
      </c>
      <c r="F429" s="508">
        <f>2461.73/(1106*0.65)</f>
        <v>3.424301015440256</v>
      </c>
      <c r="G429" s="3855"/>
      <c r="H429" s="1322" t="s">
        <v>1648</v>
      </c>
      <c r="I429" s="490">
        <f>0.65*1106</f>
        <v>718.9</v>
      </c>
      <c r="J429" s="1020"/>
      <c r="K429" s="1020"/>
      <c r="L429" s="1020"/>
      <c r="M429" s="1020"/>
      <c r="N429" s="1020"/>
      <c r="O429" s="1020"/>
      <c r="P429" s="1020"/>
      <c r="Q429" s="1020"/>
      <c r="R429" s="1020"/>
      <c r="S429" s="1012"/>
      <c r="T429" s="1012"/>
      <c r="U429" s="1012"/>
      <c r="V429" s="3858"/>
      <c r="W429" s="1029">
        <v>2461.73</v>
      </c>
      <c r="X429" s="1029">
        <v>2461.73</v>
      </c>
      <c r="Y429" s="763">
        <v>3.424301015440256</v>
      </c>
      <c r="Z429" s="508">
        <v>3.424301015440256</v>
      </c>
      <c r="AA429" s="508">
        <v>3.424301015440256</v>
      </c>
      <c r="AB429" s="508">
        <v>3.424301015440256</v>
      </c>
      <c r="AC429" s="1029"/>
      <c r="AD429" s="1029"/>
      <c r="AE429" s="1029"/>
      <c r="AF429" s="1029"/>
      <c r="AG429" s="1029"/>
      <c r="AK429" s="982"/>
      <c r="BB429" s="1008"/>
    </row>
    <row r="430" spans="1:54" s="993" customFormat="1" hidden="1" outlineLevel="1" x14ac:dyDescent="0.25">
      <c r="A430" s="1012"/>
      <c r="B430" s="1020"/>
      <c r="C430" s="1009"/>
      <c r="D430" s="3546"/>
      <c r="E430" s="1855" t="s">
        <v>1637</v>
      </c>
      <c r="F430" s="508">
        <f>2461.73/(1106*0.65)</f>
        <v>3.424301015440256</v>
      </c>
      <c r="G430" s="3855"/>
      <c r="H430" s="1322" t="s">
        <v>1648</v>
      </c>
      <c r="I430" s="490">
        <f>0.65*1106</f>
        <v>718.9</v>
      </c>
      <c r="J430" s="1020"/>
      <c r="K430" s="1020"/>
      <c r="L430" s="1020"/>
      <c r="M430" s="1020"/>
      <c r="N430" s="1020"/>
      <c r="O430" s="1020"/>
      <c r="P430" s="1020"/>
      <c r="Q430" s="1020"/>
      <c r="R430" s="1020"/>
      <c r="S430" s="1012"/>
      <c r="T430" s="1012"/>
      <c r="U430" s="1012"/>
      <c r="V430" s="3858"/>
      <c r="W430" s="1029">
        <v>2461.73</v>
      </c>
      <c r="X430" s="1029">
        <v>2461.73</v>
      </c>
      <c r="Y430" s="763">
        <v>3.424301015440256</v>
      </c>
      <c r="Z430" s="508">
        <v>3.424301015440256</v>
      </c>
      <c r="AA430" s="508">
        <v>3.424301015440256</v>
      </c>
      <c r="AB430" s="508">
        <v>3.424301015440256</v>
      </c>
      <c r="AC430" s="1029"/>
      <c r="AD430" s="1029"/>
      <c r="AE430" s="1029"/>
      <c r="AF430" s="1029"/>
      <c r="AG430" s="1029"/>
      <c r="AK430" s="982"/>
      <c r="BB430" s="1008"/>
    </row>
    <row r="431" spans="1:54" s="993" customFormat="1" hidden="1" outlineLevel="1" x14ac:dyDescent="0.25">
      <c r="A431" s="1012"/>
      <c r="B431" s="1020"/>
      <c r="C431" s="1009"/>
      <c r="D431" s="3546"/>
      <c r="E431" s="1090" t="s">
        <v>1639</v>
      </c>
      <c r="F431" s="508">
        <f>3787.28/1106</f>
        <v>3.4243037974683546</v>
      </c>
      <c r="G431" s="3855"/>
      <c r="H431" s="1322" t="s">
        <v>1649</v>
      </c>
      <c r="I431" s="490">
        <v>1106</v>
      </c>
      <c r="J431" s="1020"/>
      <c r="K431" s="1020"/>
      <c r="L431" s="1020"/>
      <c r="M431" s="1020"/>
      <c r="N431" s="1020"/>
      <c r="O431" s="1020"/>
      <c r="P431" s="1020"/>
      <c r="Q431" s="1020"/>
      <c r="R431" s="1020"/>
      <c r="S431" s="1012"/>
      <c r="T431" s="1012"/>
      <c r="U431" s="1012"/>
      <c r="V431" s="3858"/>
      <c r="W431" s="1029">
        <v>3787.28</v>
      </c>
      <c r="X431" s="1029">
        <v>3787.28</v>
      </c>
      <c r="Y431" s="763">
        <v>3.4243037974683546</v>
      </c>
      <c r="Z431" s="508">
        <v>3.4243037974683546</v>
      </c>
      <c r="AA431" s="508">
        <v>3.4243037974683546</v>
      </c>
      <c r="AB431" s="508">
        <v>3.4243037974683546</v>
      </c>
      <c r="AC431" s="1029"/>
      <c r="AD431" s="1029"/>
      <c r="AE431" s="1029"/>
      <c r="AF431" s="1029"/>
      <c r="AG431" s="1029"/>
      <c r="AK431" s="982"/>
      <c r="BB431" s="1008"/>
    </row>
    <row r="432" spans="1:54" s="993" customFormat="1" hidden="1" outlineLevel="1" x14ac:dyDescent="0.25">
      <c r="A432" s="1012"/>
      <c r="B432" s="1020"/>
      <c r="C432" s="1009"/>
      <c r="D432" s="3546"/>
      <c r="E432" s="1855" t="s">
        <v>1641</v>
      </c>
      <c r="F432" s="508">
        <f>3787.28/1106</f>
        <v>3.4243037974683546</v>
      </c>
      <c r="G432" s="3855"/>
      <c r="H432" s="1322" t="s">
        <v>1649</v>
      </c>
      <c r="I432" s="490">
        <v>1106</v>
      </c>
      <c r="J432" s="1020"/>
      <c r="K432" s="1020"/>
      <c r="L432" s="1020"/>
      <c r="M432" s="1020"/>
      <c r="N432" s="1020"/>
      <c r="O432" s="1020"/>
      <c r="P432" s="1020"/>
      <c r="Q432" s="1020"/>
      <c r="R432" s="1020"/>
      <c r="S432" s="1012"/>
      <c r="T432" s="1012"/>
      <c r="U432" s="1012"/>
      <c r="V432" s="3858"/>
      <c r="W432" s="1029">
        <v>3787.28</v>
      </c>
      <c r="X432" s="1029">
        <v>3787.28</v>
      </c>
      <c r="Y432" s="763">
        <v>3.4243037974683546</v>
      </c>
      <c r="Z432" s="508">
        <v>3.4243037974683546</v>
      </c>
      <c r="AA432" s="508">
        <v>3.4243037974683546</v>
      </c>
      <c r="AB432" s="508">
        <v>3.4243037974683546</v>
      </c>
      <c r="AC432" s="1029"/>
      <c r="AD432" s="1029"/>
      <c r="AE432" s="1029"/>
      <c r="AF432" s="1029"/>
      <c r="AG432" s="1029"/>
      <c r="AK432" s="982"/>
      <c r="BB432" s="1008"/>
    </row>
    <row r="433" spans="1:57" s="993" customFormat="1" hidden="1" outlineLevel="1" x14ac:dyDescent="0.25">
      <c r="A433" s="1012"/>
      <c r="B433" s="1020"/>
      <c r="C433" s="1009"/>
      <c r="D433" s="3854"/>
      <c r="E433" s="1090" t="s">
        <v>1643</v>
      </c>
      <c r="F433" s="508">
        <f>3787.28/1106</f>
        <v>3.4243037974683546</v>
      </c>
      <c r="G433" s="3856"/>
      <c r="H433" s="1322" t="s">
        <v>1649</v>
      </c>
      <c r="I433" s="490">
        <v>1106</v>
      </c>
      <c r="J433" s="1020"/>
      <c r="K433" s="1020"/>
      <c r="L433" s="1020"/>
      <c r="M433" s="1020"/>
      <c r="N433" s="1020"/>
      <c r="O433" s="1020"/>
      <c r="P433" s="1020"/>
      <c r="Q433" s="1020"/>
      <c r="R433" s="1020"/>
      <c r="S433" s="1012"/>
      <c r="T433" s="1012"/>
      <c r="U433" s="1012"/>
      <c r="V433" s="3859"/>
      <c r="W433" s="1029">
        <v>3787.28</v>
      </c>
      <c r="X433" s="1029">
        <v>3787.28</v>
      </c>
      <c r="Y433" s="763">
        <v>3.4243037974683546</v>
      </c>
      <c r="Z433" s="508">
        <v>3.4243037974683546</v>
      </c>
      <c r="AA433" s="508">
        <v>3.4243037974683546</v>
      </c>
      <c r="AB433" s="508">
        <v>3.4243037974683546</v>
      </c>
      <c r="AC433" s="1029"/>
      <c r="AD433" s="1029"/>
      <c r="AE433" s="1029"/>
      <c r="AF433" s="1029"/>
      <c r="AG433" s="1029"/>
      <c r="AK433" s="982"/>
      <c r="BB433" s="1008"/>
    </row>
    <row r="434" spans="1:57" collapsed="1" x14ac:dyDescent="0.25">
      <c r="B434" s="1359"/>
      <c r="C434" s="274"/>
      <c r="Y434" s="1701" t="s">
        <v>1581</v>
      </c>
      <c r="AK434" s="982"/>
    </row>
    <row r="435" spans="1:57" x14ac:dyDescent="0.25">
      <c r="B435" s="1359"/>
      <c r="C435" s="274"/>
      <c r="AK435" s="982"/>
    </row>
    <row r="436" spans="1:57" x14ac:dyDescent="0.25">
      <c r="B436" s="3350" t="s">
        <v>1663</v>
      </c>
      <c r="C436" s="3351"/>
      <c r="D436" s="3351"/>
      <c r="E436" s="3351"/>
      <c r="F436" s="3351"/>
      <c r="G436" s="3351"/>
      <c r="H436" s="3351"/>
      <c r="I436" s="3352"/>
      <c r="J436" s="3352"/>
      <c r="K436" s="3352"/>
      <c r="L436" s="3352"/>
      <c r="M436" s="3352"/>
      <c r="N436" s="3352"/>
      <c r="O436" s="3352"/>
      <c r="P436" s="3352"/>
      <c r="Q436" s="3352"/>
      <c r="R436" s="3353"/>
      <c r="V436" s="3350" t="str">
        <f>B436</f>
        <v>Floor Insulation</v>
      </c>
      <c r="W436" s="3351"/>
      <c r="X436" s="3351"/>
      <c r="Y436" s="3351"/>
      <c r="Z436" s="3351"/>
      <c r="AA436" s="3351"/>
      <c r="AB436" s="3351"/>
      <c r="AC436" s="3354"/>
      <c r="AD436" s="3354"/>
      <c r="AE436" s="3354"/>
      <c r="AF436" s="3354"/>
      <c r="AG436" s="3354"/>
      <c r="AH436" s="3354"/>
      <c r="AI436" s="3355"/>
      <c r="AK436" s="982"/>
    </row>
    <row r="437" spans="1:57" x14ac:dyDescent="0.25">
      <c r="B437" s="1823"/>
      <c r="C437" s="1009"/>
      <c r="D437" s="1835"/>
      <c r="E437" s="1835" t="s">
        <v>3383</v>
      </c>
      <c r="F437" s="1010"/>
      <c r="G437" s="1010"/>
      <c r="H437" s="1010"/>
      <c r="I437" s="1010"/>
      <c r="J437" s="1010"/>
      <c r="K437" s="1010"/>
      <c r="L437" s="1836"/>
      <c r="M437" s="1012"/>
      <c r="N437" s="1012"/>
      <c r="O437" s="1012"/>
      <c r="AK437" s="982"/>
    </row>
    <row r="438" spans="1:57" ht="30" x14ac:dyDescent="0.25">
      <c r="B438" s="1823"/>
      <c r="C438" s="2171" t="s">
        <v>17</v>
      </c>
      <c r="D438" s="2171" t="s">
        <v>616</v>
      </c>
      <c r="E438" s="2171" t="s">
        <v>19</v>
      </c>
      <c r="F438" s="2171" t="s">
        <v>20</v>
      </c>
      <c r="G438" s="2171" t="s">
        <v>21</v>
      </c>
      <c r="H438" s="2171" t="s">
        <v>22</v>
      </c>
      <c r="I438" s="2171" t="s">
        <v>872</v>
      </c>
      <c r="J438" s="2171" t="s">
        <v>873</v>
      </c>
      <c r="K438" s="2171" t="s">
        <v>23</v>
      </c>
      <c r="L438" s="2172" t="s">
        <v>24</v>
      </c>
      <c r="M438" s="2171" t="s">
        <v>25</v>
      </c>
      <c r="N438" s="2171" t="s">
        <v>1664</v>
      </c>
      <c r="O438" s="1012"/>
      <c r="P438" s="1012"/>
      <c r="Q438" s="1012"/>
      <c r="R438" s="1012"/>
      <c r="V438" s="55" t="s">
        <v>27</v>
      </c>
      <c r="W438" s="56">
        <f>W$6</f>
        <v>43252</v>
      </c>
      <c r="X438" s="56">
        <f t="shared" ref="X438:AG438" si="44">X$6</f>
        <v>43465</v>
      </c>
      <c r="Y438" s="420">
        <f t="shared" si="44"/>
        <v>43800</v>
      </c>
      <c r="Z438" s="56">
        <f t="shared" si="44"/>
        <v>43862</v>
      </c>
      <c r="AA438" s="56">
        <f t="shared" si="44"/>
        <v>44013</v>
      </c>
      <c r="AB438" s="56">
        <f t="shared" si="44"/>
        <v>44166</v>
      </c>
      <c r="AC438" s="56" t="str">
        <f t="shared" si="44"/>
        <v>-</v>
      </c>
      <c r="AD438" s="56" t="str">
        <f t="shared" si="44"/>
        <v>-</v>
      </c>
      <c r="AE438" s="56" t="str">
        <f t="shared" si="44"/>
        <v>-</v>
      </c>
      <c r="AF438" s="56" t="str">
        <f t="shared" si="44"/>
        <v>-</v>
      </c>
      <c r="AG438" s="56" t="str">
        <f t="shared" si="44"/>
        <v>-</v>
      </c>
      <c r="AK438" s="982"/>
      <c r="BB438" s="57" t="str">
        <f>$BB$6</f>
        <v>TRC (2020)</v>
      </c>
      <c r="BC438" s="93" t="str">
        <f>$BC$6</f>
        <v>Benefit Lookup</v>
      </c>
      <c r="BD438" s="741" t="str">
        <f>$BD$6</f>
        <v>Benefits (2019 $)</v>
      </c>
      <c r="BE438" s="279" t="str">
        <f>$BE$6</f>
        <v>Incremental Cost (2019 $)</v>
      </c>
    </row>
    <row r="439" spans="1:57" x14ac:dyDescent="0.25">
      <c r="B439" s="1823"/>
      <c r="C439" s="1323" t="s">
        <v>1665</v>
      </c>
      <c r="D439" s="1658" t="s">
        <v>1515</v>
      </c>
      <c r="E439" s="483" t="s">
        <v>3385</v>
      </c>
      <c r="F439" s="651">
        <f t="shared" ref="F439:F444" si="45">ROUND(I439+J439,2)</f>
        <v>2.4500000000000002</v>
      </c>
      <c r="G439" s="1658" t="s">
        <v>1558</v>
      </c>
      <c r="H439" s="202">
        <f>VLOOKUP(G439,'CP FACTORS'!$A$3:$B$38, 2, FALSE)</f>
        <v>4.6608050000000002E-4</v>
      </c>
      <c r="I439" s="1659">
        <f>(1/F$456-1/F$458)*F$459*(1-F$460)*F461*24*F$464/(F465*3412)</f>
        <v>2.2122733692848771</v>
      </c>
      <c r="J439" s="1659">
        <f>(1/$F$456-1/$F$458)*$F$459*(1-$F$460)*F468*24*$F$471/($F$472*1000)</f>
        <v>0.23319970909090906</v>
      </c>
      <c r="K439" s="994">
        <f t="shared" ref="K439:K444" si="46">ROUND(H439*F439,6)</f>
        <v>1.142E-3</v>
      </c>
      <c r="L439" s="2175">
        <f t="shared" ref="L439:L444" si="47">$F$473</f>
        <v>25</v>
      </c>
      <c r="M439" s="2176">
        <f t="shared" ref="M439:M444" si="48">$F$474</f>
        <v>0.67966666666666664</v>
      </c>
      <c r="N439" s="1088">
        <f t="shared" ref="N439:N444" si="49">$F$459</f>
        <v>1</v>
      </c>
      <c r="O439" s="1012"/>
      <c r="P439" s="1012"/>
      <c r="Q439" s="1012"/>
      <c r="R439" s="1012"/>
      <c r="V439" s="208" t="str">
        <f t="shared" ref="V439:V444" si="50">$F$51</f>
        <v>kWh Annual Savings</v>
      </c>
      <c r="W439" s="285">
        <v>2641.1109246458486</v>
      </c>
      <c r="X439" s="487">
        <v>2641.1109246458486</v>
      </c>
      <c r="Y439" s="984">
        <v>2.4500000000000002</v>
      </c>
      <c r="Z439" s="981">
        <v>2.4500000000000002</v>
      </c>
      <c r="AA439" s="981">
        <v>2.4500000000000002</v>
      </c>
      <c r="AB439" s="981">
        <v>2.4500000000000002</v>
      </c>
      <c r="AC439" s="208"/>
      <c r="AD439" s="208"/>
      <c r="AE439" s="208"/>
      <c r="AF439" s="208"/>
      <c r="AG439" s="208"/>
      <c r="AH439" s="976"/>
      <c r="AI439" s="976"/>
      <c r="AK439" s="982"/>
      <c r="BB439" s="107">
        <f t="shared" ref="BB439:BB444" si="51">(BD439)/(BE439)</f>
        <v>5.3158369630085787</v>
      </c>
      <c r="BC439" s="68" t="str">
        <f t="shared" ref="BC439:BC444" si="52">CONCATENATE(G439," ",L439," Year EUL")</f>
        <v>Building Shell RES 25 Year EUL</v>
      </c>
      <c r="BD439" s="214">
        <f>(INDEX('Avoided Cost Benefits'!$C$4:$C$857,MATCH(BC439,'Avoided Cost Benefits'!$A$4:$A$857,0)))*F439</f>
        <v>3.410096450393107</v>
      </c>
      <c r="BE439" s="109">
        <f t="shared" ref="BE439:BE444" si="53">M439/(1.0595^(2020-2019))</f>
        <v>0.64149756174296046</v>
      </c>
    </row>
    <row r="440" spans="1:57" x14ac:dyDescent="0.25">
      <c r="B440" s="1823"/>
      <c r="C440" s="1323" t="s">
        <v>1666</v>
      </c>
      <c r="D440" s="1658" t="s">
        <v>1515</v>
      </c>
      <c r="E440" s="483" t="s">
        <v>3386</v>
      </c>
      <c r="F440" s="651">
        <f t="shared" si="45"/>
        <v>1.42</v>
      </c>
      <c r="G440" s="1658" t="s">
        <v>1558</v>
      </c>
      <c r="H440" s="202">
        <f>VLOOKUP(G440,'CP FACTORS'!$A$3:$B$38, 2, FALSE)</f>
        <v>4.6608050000000002E-4</v>
      </c>
      <c r="I440" s="1659">
        <f>(1/F$456-1/F$458)*F$459*(1-F$460)*F462*24*F$464/(F466*3412)</f>
        <v>1.1851464478311842</v>
      </c>
      <c r="J440" s="1659">
        <f>(1/$F$456-1/$F$458)*$F$459*(1-$F$460)*F469*24*$F$471/($F$472*1000)</f>
        <v>0.23319970909090906</v>
      </c>
      <c r="K440" s="994">
        <f t="shared" si="46"/>
        <v>6.6200000000000005E-4</v>
      </c>
      <c r="L440" s="2175">
        <f t="shared" si="47"/>
        <v>25</v>
      </c>
      <c r="M440" s="2176">
        <f t="shared" si="48"/>
        <v>0.67966666666666664</v>
      </c>
      <c r="N440" s="1088">
        <f t="shared" si="49"/>
        <v>1</v>
      </c>
      <c r="O440" s="1012"/>
      <c r="P440" s="1012"/>
      <c r="Q440" s="1012"/>
      <c r="R440" s="1012"/>
      <c r="V440" s="208" t="str">
        <f t="shared" si="50"/>
        <v>kWh Annual Savings</v>
      </c>
      <c r="W440" s="285"/>
      <c r="X440" s="487"/>
      <c r="Y440" s="984">
        <v>1.42</v>
      </c>
      <c r="Z440" s="981">
        <v>1.42</v>
      </c>
      <c r="AA440" s="981">
        <v>1.42</v>
      </c>
      <c r="AB440" s="981">
        <v>1.42</v>
      </c>
      <c r="AC440" s="208"/>
      <c r="AD440" s="208"/>
      <c r="AE440" s="208"/>
      <c r="AF440" s="208"/>
      <c r="AG440" s="208"/>
      <c r="AH440" s="976"/>
      <c r="AI440" s="976"/>
      <c r="AK440" s="982"/>
      <c r="BB440" s="2237">
        <f t="shared" si="51"/>
        <v>3.0810157091723185</v>
      </c>
      <c r="BC440" s="2131" t="str">
        <f t="shared" si="52"/>
        <v>Building Shell RES 25 Year EUL</v>
      </c>
      <c r="BD440" s="2159">
        <f>(INDEX('Avoided Cost Benefits'!$C$4:$C$857,MATCH(BC440,'Avoided Cost Benefits'!$A$4:$A$857,0)))*F440</f>
        <v>1.9764640651258005</v>
      </c>
      <c r="BE440" s="2160">
        <f t="shared" si="53"/>
        <v>0.64149756174296046</v>
      </c>
    </row>
    <row r="441" spans="1:57" x14ac:dyDescent="0.25">
      <c r="B441" s="1823"/>
      <c r="C441" s="1323" t="s">
        <v>1667</v>
      </c>
      <c r="D441" s="1658" t="s">
        <v>1515</v>
      </c>
      <c r="E441" s="483" t="s">
        <v>3387</v>
      </c>
      <c r="F441" s="651">
        <f t="shared" si="45"/>
        <v>0.23</v>
      </c>
      <c r="G441" s="1658" t="s">
        <v>1558</v>
      </c>
      <c r="H441" s="202">
        <f>VLOOKUP(G441,'CP FACTORS'!$A$3:$B$38, 2, FALSE)</f>
        <v>4.6608050000000002E-4</v>
      </c>
      <c r="I441" s="1059">
        <f>(1/F$456-1/F$458)*F$459*(1-F$460)*F463*24*F$464/(F467*3412)</f>
        <v>0</v>
      </c>
      <c r="J441" s="1659">
        <f>(1/$F$456-1/$F$458)*$F$459*(1-$F$460)*F470*24*$F$471/($F$472*1000)</f>
        <v>0.23319970909090906</v>
      </c>
      <c r="K441" s="994">
        <f t="shared" si="46"/>
        <v>1.07E-4</v>
      </c>
      <c r="L441" s="2175">
        <f t="shared" si="47"/>
        <v>25</v>
      </c>
      <c r="M441" s="2176">
        <f t="shared" si="48"/>
        <v>0.67966666666666664</v>
      </c>
      <c r="N441" s="1088">
        <f t="shared" si="49"/>
        <v>1</v>
      </c>
      <c r="O441" s="1012"/>
      <c r="P441" s="1012"/>
      <c r="Q441" s="1012"/>
      <c r="R441" s="1012"/>
      <c r="V441" s="208" t="str">
        <f t="shared" si="50"/>
        <v>kWh Annual Savings</v>
      </c>
      <c r="W441" s="285"/>
      <c r="X441" s="487"/>
      <c r="Y441" s="984">
        <v>0.23</v>
      </c>
      <c r="Z441" s="981">
        <v>0.23</v>
      </c>
      <c r="AA441" s="981">
        <v>0.23</v>
      </c>
      <c r="AB441" s="981">
        <v>0.23</v>
      </c>
      <c r="AC441" s="208"/>
      <c r="AD441" s="208"/>
      <c r="AE441" s="208"/>
      <c r="AF441" s="208"/>
      <c r="AG441" s="208"/>
      <c r="AH441" s="976"/>
      <c r="AI441" s="976"/>
      <c r="AK441" s="982"/>
      <c r="BB441" s="2237">
        <f t="shared" si="51"/>
        <v>0.49903775571100939</v>
      </c>
      <c r="BC441" s="2131" t="str">
        <f t="shared" si="52"/>
        <v>Building Shell RES 25 Year EUL</v>
      </c>
      <c r="BD441" s="2159">
        <f>(INDEX('Avoided Cost Benefits'!$C$4:$C$857,MATCH(BC441,'Avoided Cost Benefits'!$A$4:$A$857,0)))*F441</f>
        <v>0.32013150350629166</v>
      </c>
      <c r="BE441" s="2160">
        <f t="shared" si="53"/>
        <v>0.64149756174296046</v>
      </c>
    </row>
    <row r="442" spans="1:57" x14ac:dyDescent="0.25">
      <c r="B442" s="1823"/>
      <c r="C442" s="1323" t="s">
        <v>3367</v>
      </c>
      <c r="D442" s="1658" t="s">
        <v>1515</v>
      </c>
      <c r="E442" s="483" t="s">
        <v>3380</v>
      </c>
      <c r="F442" s="651">
        <f t="shared" si="45"/>
        <v>0.22</v>
      </c>
      <c r="G442" s="1658" t="s">
        <v>1558</v>
      </c>
      <c r="H442" s="202">
        <f>VLOOKUP(G442,'CP FACTORS'!$A$3:$B$38, 2, FALSE)</f>
        <v>4.6608050000000002E-4</v>
      </c>
      <c r="I442" s="1659">
        <f>(1/F$457-1/F$458)*F$459*(1-F$460)*F461*24*F$464/(F465*3412)</f>
        <v>0.1973869528633678</v>
      </c>
      <c r="J442" s="1659">
        <f>(1/$F$457-1/$F$458)*$F$459*(1-$F$460)*F468*24*$F$471/($F$472*1000)</f>
        <v>2.080691320754716E-2</v>
      </c>
      <c r="K442" s="994">
        <f t="shared" si="46"/>
        <v>1.03E-4</v>
      </c>
      <c r="L442" s="2175">
        <f t="shared" si="47"/>
        <v>25</v>
      </c>
      <c r="M442" s="2176">
        <f t="shared" si="48"/>
        <v>0.67966666666666664</v>
      </c>
      <c r="N442" s="1088">
        <f t="shared" si="49"/>
        <v>1</v>
      </c>
      <c r="O442" s="1012"/>
      <c r="P442" s="1012"/>
      <c r="Q442" s="1012"/>
      <c r="R442" s="1012"/>
      <c r="V442" s="208" t="str">
        <f t="shared" si="50"/>
        <v>kWh Annual Savings</v>
      </c>
      <c r="W442" s="285"/>
      <c r="X442" s="487"/>
      <c r="Y442" s="984"/>
      <c r="Z442" s="2322">
        <v>0.22</v>
      </c>
      <c r="AA442" s="86">
        <v>0.22</v>
      </c>
      <c r="AB442" s="86">
        <v>0.22</v>
      </c>
      <c r="AC442" s="208"/>
      <c r="AD442" s="208"/>
      <c r="AE442" s="208"/>
      <c r="AF442" s="208"/>
      <c r="AG442" s="208"/>
      <c r="AH442" s="976"/>
      <c r="AI442" s="976"/>
      <c r="AK442" s="982"/>
      <c r="BB442" s="107">
        <f t="shared" si="51"/>
        <v>0.47734046198444374</v>
      </c>
      <c r="BC442" s="2131" t="str">
        <f t="shared" si="52"/>
        <v>Building Shell RES 25 Year EUL</v>
      </c>
      <c r="BD442" s="214">
        <f>(INDEX('Avoided Cost Benefits'!$C$4:$C$857,MATCH(BC442,'Avoided Cost Benefits'!$A$4:$A$857,0)))*F442</f>
        <v>0.30621274248427899</v>
      </c>
      <c r="BE442" s="109">
        <f t="shared" si="53"/>
        <v>0.64149756174296046</v>
      </c>
    </row>
    <row r="443" spans="1:57" x14ac:dyDescent="0.25">
      <c r="B443" s="1823"/>
      <c r="C443" s="1323" t="s">
        <v>3368</v>
      </c>
      <c r="D443" s="1658" t="s">
        <v>1515</v>
      </c>
      <c r="E443" s="483" t="s">
        <v>3381</v>
      </c>
      <c r="F443" s="651">
        <f t="shared" si="45"/>
        <v>0.13</v>
      </c>
      <c r="G443" s="1658" t="s">
        <v>1558</v>
      </c>
      <c r="H443" s="202">
        <f>VLOOKUP(G443,'CP FACTORS'!$A$3:$B$38, 2, FALSE)</f>
        <v>4.6608050000000002E-4</v>
      </c>
      <c r="I443" s="1659">
        <f>(1/F$457-1/F$458)*F$459*(1-F$460)*F462*24*F$464/(F466*3412)</f>
        <v>0.10574301046251848</v>
      </c>
      <c r="J443" s="1659">
        <f>(1/$F$457-1/$F$458)*$F$459*(1-$F$460)*F469*24*$F$471/($F$472*1000)</f>
        <v>2.080691320754716E-2</v>
      </c>
      <c r="K443" s="994">
        <f t="shared" si="46"/>
        <v>6.0999999999999999E-5</v>
      </c>
      <c r="L443" s="2175">
        <f t="shared" si="47"/>
        <v>25</v>
      </c>
      <c r="M443" s="2176">
        <f t="shared" si="48"/>
        <v>0.67966666666666664</v>
      </c>
      <c r="N443" s="1088">
        <f t="shared" si="49"/>
        <v>1</v>
      </c>
      <c r="O443" s="1012"/>
      <c r="P443" s="1012"/>
      <c r="Q443" s="1012"/>
      <c r="R443" s="1012"/>
      <c r="V443" s="208" t="str">
        <f t="shared" si="50"/>
        <v>kWh Annual Savings</v>
      </c>
      <c r="W443" s="285"/>
      <c r="X443" s="487"/>
      <c r="Y443" s="984"/>
      <c r="Z443" s="2322">
        <v>0.13</v>
      </c>
      <c r="AA443" s="86">
        <v>0.13</v>
      </c>
      <c r="AB443" s="86">
        <v>0.13</v>
      </c>
      <c r="AC443" s="208"/>
      <c r="AD443" s="208"/>
      <c r="AE443" s="208"/>
      <c r="AF443" s="208"/>
      <c r="AG443" s="208"/>
      <c r="AH443" s="976"/>
      <c r="AI443" s="976"/>
      <c r="AK443" s="982"/>
      <c r="BB443" s="2158">
        <f t="shared" si="51"/>
        <v>0.28206481844535308</v>
      </c>
      <c r="BC443" s="2131" t="str">
        <f t="shared" si="52"/>
        <v>Building Shell RES 25 Year EUL</v>
      </c>
      <c r="BD443" s="2159">
        <f>(INDEX('Avoided Cost Benefits'!$C$4:$C$857,MATCH(BC443,'Avoided Cost Benefits'!$A$4:$A$857,0)))*F443</f>
        <v>0.18094389328616484</v>
      </c>
      <c r="BE443" s="2160">
        <f t="shared" si="53"/>
        <v>0.64149756174296046</v>
      </c>
    </row>
    <row r="444" spans="1:57" x14ac:dyDescent="0.25">
      <c r="B444" s="1823"/>
      <c r="C444" s="1323" t="s">
        <v>3369</v>
      </c>
      <c r="D444" s="1658" t="s">
        <v>1515</v>
      </c>
      <c r="E444" s="483" t="s">
        <v>3382</v>
      </c>
      <c r="F444" s="651">
        <f t="shared" si="45"/>
        <v>0.02</v>
      </c>
      <c r="G444" s="1658" t="s">
        <v>1558</v>
      </c>
      <c r="H444" s="202">
        <f>VLOOKUP(G444,'CP FACTORS'!$A$3:$B$38, 2, FALSE)</f>
        <v>4.6608050000000002E-4</v>
      </c>
      <c r="I444" s="1659">
        <f>(1/F$457-1/F$458)*F$459*(1-F$460)*F463*24*F$464/(F467*3412)</f>
        <v>0</v>
      </c>
      <c r="J444" s="1659">
        <f>(1/$F$457-1/$F$458)*$F$459*(1-$F$460)*F470*24*$F$471/($F$472*1000)</f>
        <v>2.080691320754716E-2</v>
      </c>
      <c r="K444" s="994">
        <f t="shared" si="46"/>
        <v>9.0000000000000002E-6</v>
      </c>
      <c r="L444" s="2175">
        <f t="shared" si="47"/>
        <v>25</v>
      </c>
      <c r="M444" s="2176">
        <f t="shared" si="48"/>
        <v>0.67966666666666664</v>
      </c>
      <c r="N444" s="1088">
        <f t="shared" si="49"/>
        <v>1</v>
      </c>
      <c r="O444" s="1012"/>
      <c r="P444" s="1012"/>
      <c r="Q444" s="1012"/>
      <c r="R444" s="1012"/>
      <c r="V444" s="208" t="str">
        <f t="shared" si="50"/>
        <v>kWh Annual Savings</v>
      </c>
      <c r="W444" s="285"/>
      <c r="X444" s="487"/>
      <c r="Y444" s="984"/>
      <c r="Z444" s="2322">
        <v>0.02</v>
      </c>
      <c r="AA444" s="86">
        <v>0.02</v>
      </c>
      <c r="AB444" s="86">
        <v>0.02</v>
      </c>
      <c r="AC444" s="208"/>
      <c r="AD444" s="208"/>
      <c r="AE444" s="208"/>
      <c r="AF444" s="208"/>
      <c r="AG444" s="208"/>
      <c r="AH444" s="976"/>
      <c r="AI444" s="976"/>
      <c r="AK444" s="982"/>
      <c r="BB444" s="2158">
        <f t="shared" si="51"/>
        <v>4.3394587453131246E-2</v>
      </c>
      <c r="BC444" s="2131" t="str">
        <f t="shared" si="52"/>
        <v>Building Shell RES 25 Year EUL</v>
      </c>
      <c r="BD444" s="2159">
        <f>(INDEX('Avoided Cost Benefits'!$C$4:$C$857,MATCH(BC444,'Avoided Cost Benefits'!$A$4:$A$857,0)))*F444</f>
        <v>2.783752204402536E-2</v>
      </c>
      <c r="BE444" s="2160">
        <f t="shared" si="53"/>
        <v>0.64149756174296046</v>
      </c>
    </row>
    <row r="445" spans="1:57" outlineLevel="1" x14ac:dyDescent="0.25">
      <c r="B445" s="1823"/>
      <c r="C445" s="1009"/>
      <c r="D445" s="492"/>
      <c r="E445" s="492"/>
      <c r="F445" s="1669"/>
      <c r="G445" s="1012"/>
      <c r="H445" s="1012"/>
      <c r="I445" s="1012"/>
      <c r="J445" s="1012"/>
      <c r="K445" s="1012"/>
      <c r="L445" s="1012"/>
      <c r="M445" s="1012"/>
      <c r="N445" s="1012"/>
      <c r="O445" s="1012"/>
      <c r="P445" s="1012"/>
      <c r="Q445" s="1012"/>
      <c r="R445" s="1012"/>
      <c r="AK445" s="982"/>
    </row>
    <row r="446" spans="1:57" outlineLevel="1" x14ac:dyDescent="0.25">
      <c r="B446" s="1823"/>
      <c r="C446" s="1009"/>
      <c r="D446" s="222" t="s">
        <v>571</v>
      </c>
      <c r="E446" s="492"/>
      <c r="F446" s="1669"/>
      <c r="G446" s="1012"/>
      <c r="H446" s="1012"/>
      <c r="I446" s="1012"/>
      <c r="J446" s="1012"/>
      <c r="K446" s="1012"/>
      <c r="L446" s="1012"/>
      <c r="M446" s="1012"/>
      <c r="N446" s="1012"/>
      <c r="O446" s="1012"/>
      <c r="AK446" s="982"/>
    </row>
    <row r="447" spans="1:57" outlineLevel="1" x14ac:dyDescent="0.25">
      <c r="B447" s="1823"/>
      <c r="C447" s="1009"/>
      <c r="D447" s="222"/>
      <c r="E447" s="492"/>
      <c r="F447" s="1669"/>
      <c r="G447" s="1012"/>
      <c r="H447" s="1012"/>
      <c r="I447" s="1012"/>
      <c r="J447" s="1012"/>
      <c r="K447" s="1012"/>
      <c r="L447" s="1012"/>
      <c r="M447" s="1012"/>
      <c r="N447" s="1012"/>
      <c r="O447" s="1012"/>
      <c r="AK447" s="982"/>
    </row>
    <row r="448" spans="1:57" outlineLevel="1" x14ac:dyDescent="0.25">
      <c r="B448" s="1823"/>
      <c r="C448" s="1009"/>
      <c r="D448" s="222"/>
      <c r="E448" s="492"/>
      <c r="F448" s="1669"/>
      <c r="G448" s="1012"/>
      <c r="H448" s="1012"/>
      <c r="I448" s="1012"/>
      <c r="J448" s="1012"/>
      <c r="K448" s="1012"/>
      <c r="L448" s="1012"/>
      <c r="M448" s="1012"/>
      <c r="N448" s="1012"/>
      <c r="O448" s="1012"/>
      <c r="AK448" s="982"/>
    </row>
    <row r="449" spans="2:37" outlineLevel="1" x14ac:dyDescent="0.25">
      <c r="B449" s="1823"/>
      <c r="C449" s="1009"/>
      <c r="D449" s="222"/>
      <c r="E449" s="492"/>
      <c r="F449" s="1669"/>
      <c r="G449" s="1012"/>
      <c r="H449" s="1012"/>
      <c r="I449" s="1012"/>
      <c r="J449" s="1012"/>
      <c r="K449" s="1012"/>
      <c r="L449" s="1012"/>
      <c r="M449" s="1012"/>
      <c r="N449" s="1012"/>
      <c r="O449" s="1012"/>
      <c r="AK449" s="982"/>
    </row>
    <row r="450" spans="2:37" ht="18" customHeight="1" outlineLevel="1" x14ac:dyDescent="0.25">
      <c r="B450" s="1823"/>
      <c r="C450" s="1014"/>
      <c r="D450" s="3865"/>
      <c r="E450" s="3865"/>
      <c r="F450" s="3865"/>
      <c r="G450" s="3865"/>
      <c r="H450" s="1030"/>
      <c r="I450" s="1030"/>
      <c r="J450" s="1030"/>
      <c r="K450" s="1030"/>
      <c r="L450" s="1030"/>
      <c r="M450" s="1012"/>
      <c r="N450" s="1012"/>
      <c r="O450" s="1012"/>
      <c r="AK450" s="982"/>
    </row>
    <row r="451" spans="2:37" outlineLevel="1" x14ac:dyDescent="0.25">
      <c r="B451" s="1823"/>
      <c r="C451" s="1015"/>
      <c r="D451" s="3865"/>
      <c r="E451" s="3865"/>
      <c r="F451" s="3865"/>
      <c r="G451" s="3865"/>
      <c r="H451" s="1030"/>
      <c r="I451" s="1030"/>
      <c r="J451" s="1030"/>
      <c r="K451" s="1030"/>
      <c r="L451" s="1030"/>
      <c r="M451" s="1012"/>
      <c r="N451" s="1012"/>
      <c r="O451" s="1012"/>
      <c r="AK451" s="982"/>
    </row>
    <row r="452" spans="2:37" outlineLevel="1" x14ac:dyDescent="0.25">
      <c r="B452" s="1823"/>
      <c r="C452" s="1015"/>
      <c r="D452" s="3865"/>
      <c r="E452" s="3865"/>
      <c r="F452" s="3865"/>
      <c r="G452" s="3865"/>
      <c r="H452" s="1030"/>
      <c r="I452" s="1030"/>
      <c r="J452" s="1030"/>
      <c r="K452" s="1030"/>
      <c r="L452" s="1030"/>
      <c r="M452" s="1012"/>
      <c r="N452" s="1012"/>
      <c r="O452" s="1012"/>
      <c r="AK452" s="982"/>
    </row>
    <row r="453" spans="2:37" ht="15" customHeight="1" outlineLevel="1" x14ac:dyDescent="0.25">
      <c r="B453" s="1823"/>
      <c r="C453" s="1016"/>
      <c r="D453" s="3865"/>
      <c r="E453" s="3865"/>
      <c r="F453" s="3865"/>
      <c r="G453" s="3865"/>
      <c r="H453" s="1030"/>
      <c r="I453" s="1030"/>
      <c r="J453" s="1030"/>
      <c r="K453" s="1030"/>
      <c r="L453" s="1030"/>
      <c r="M453" s="1012"/>
      <c r="N453" s="1012"/>
      <c r="O453" s="1012"/>
      <c r="AK453" s="982"/>
    </row>
    <row r="454" spans="2:37" outlineLevel="1" x14ac:dyDescent="0.25">
      <c r="B454" s="1823"/>
      <c r="C454" s="1009"/>
      <c r="D454" s="492"/>
      <c r="E454" s="492"/>
      <c r="F454" s="1012"/>
      <c r="G454" s="1012"/>
      <c r="H454" s="1012"/>
      <c r="I454" s="1012"/>
      <c r="J454" s="1012"/>
      <c r="K454" s="1012"/>
      <c r="L454" s="1012"/>
      <c r="M454" s="1012"/>
      <c r="N454" s="1012"/>
      <c r="O454" s="1012"/>
      <c r="AK454" s="982"/>
    </row>
    <row r="455" spans="2:37" outlineLevel="1" x14ac:dyDescent="0.25">
      <c r="B455" s="1823"/>
      <c r="C455" s="1009"/>
      <c r="D455" s="1456" t="s">
        <v>572</v>
      </c>
      <c r="E455" s="1456" t="s">
        <v>573</v>
      </c>
      <c r="F455" s="1409" t="s">
        <v>574</v>
      </c>
      <c r="G455" s="1409" t="s">
        <v>624</v>
      </c>
      <c r="H455" s="1409" t="s">
        <v>713</v>
      </c>
      <c r="I455" s="1012"/>
      <c r="J455" s="1012"/>
      <c r="K455" s="1012"/>
      <c r="L455" s="1012"/>
      <c r="M455" s="1012"/>
      <c r="N455" s="1012"/>
      <c r="O455" s="1012"/>
      <c r="V455" s="55" t="s">
        <v>27</v>
      </c>
      <c r="W455" s="56">
        <f>W$6</f>
        <v>43252</v>
      </c>
      <c r="X455" s="56">
        <f t="shared" ref="X455:AG455" si="54">X$6</f>
        <v>43465</v>
      </c>
      <c r="Y455" s="420">
        <f t="shared" si="54"/>
        <v>43800</v>
      </c>
      <c r="Z455" s="56">
        <f t="shared" si="54"/>
        <v>43862</v>
      </c>
      <c r="AA455" s="56">
        <f t="shared" si="54"/>
        <v>44013</v>
      </c>
      <c r="AB455" s="56">
        <f t="shared" si="54"/>
        <v>44166</v>
      </c>
      <c r="AC455" s="56" t="str">
        <f t="shared" si="54"/>
        <v>-</v>
      </c>
      <c r="AD455" s="56" t="str">
        <f t="shared" si="54"/>
        <v>-</v>
      </c>
      <c r="AE455" s="56" t="str">
        <f t="shared" si="54"/>
        <v>-</v>
      </c>
      <c r="AF455" s="56" t="str">
        <f t="shared" si="54"/>
        <v>-</v>
      </c>
      <c r="AG455" s="56" t="str">
        <f t="shared" si="54"/>
        <v>-</v>
      </c>
      <c r="AK455" s="982"/>
    </row>
    <row r="456" spans="2:37" outlineLevel="1" x14ac:dyDescent="0.25">
      <c r="B456" s="1823"/>
      <c r="C456" s="1009"/>
      <c r="D456" s="3839" t="s">
        <v>2186</v>
      </c>
      <c r="E456" s="483" t="s">
        <v>3332</v>
      </c>
      <c r="F456" s="1043">
        <v>3.96</v>
      </c>
      <c r="G456" s="2179" t="s">
        <v>3334</v>
      </c>
      <c r="H456" s="1322"/>
      <c r="I456" s="1012"/>
      <c r="J456" s="1012"/>
      <c r="K456" s="1012"/>
      <c r="L456" s="1012"/>
      <c r="M456" s="1012"/>
      <c r="N456" s="1012"/>
      <c r="O456" s="1012"/>
      <c r="V456" s="3841" t="str">
        <f>D456</f>
        <v>Rold</v>
      </c>
      <c r="W456" s="1021">
        <v>3.96</v>
      </c>
      <c r="X456" s="1021">
        <v>3.96</v>
      </c>
      <c r="Y456" s="1021">
        <v>3.96</v>
      </c>
      <c r="Z456" s="1021">
        <v>3.96</v>
      </c>
      <c r="AA456" s="1043">
        <v>3.96</v>
      </c>
      <c r="AB456" s="1043">
        <v>3.96</v>
      </c>
      <c r="AC456" s="1021"/>
      <c r="AD456" s="1021"/>
      <c r="AE456" s="1021"/>
      <c r="AF456" s="1021"/>
      <c r="AG456" s="1021"/>
      <c r="AK456" s="982"/>
    </row>
    <row r="457" spans="2:37" outlineLevel="1" x14ac:dyDescent="0.25">
      <c r="B457" s="1823"/>
      <c r="C457" s="1009"/>
      <c r="D457" s="3437"/>
      <c r="E457" s="483" t="s">
        <v>3333</v>
      </c>
      <c r="F457" s="1043">
        <f>F456+13</f>
        <v>16.96</v>
      </c>
      <c r="G457" s="2179" t="s">
        <v>3335</v>
      </c>
      <c r="H457" s="1322"/>
      <c r="I457" s="1012"/>
      <c r="J457" s="1012"/>
      <c r="K457" s="1012"/>
      <c r="L457" s="1012"/>
      <c r="M457" s="1012"/>
      <c r="N457" s="1012"/>
      <c r="O457" s="1012"/>
      <c r="V457" s="3437"/>
      <c r="W457" s="1021"/>
      <c r="X457" s="1021"/>
      <c r="Y457" s="1018"/>
      <c r="Z457" s="1018">
        <v>16.96</v>
      </c>
      <c r="AA457" s="1043">
        <v>16.96</v>
      </c>
      <c r="AB457" s="1043">
        <v>16.96</v>
      </c>
      <c r="AC457" s="1021"/>
      <c r="AD457" s="1021"/>
      <c r="AE457" s="1021"/>
      <c r="AF457" s="1021"/>
      <c r="AG457" s="1021"/>
      <c r="AK457" s="982"/>
    </row>
    <row r="458" spans="2:37" ht="18" outlineLevel="1" x14ac:dyDescent="0.25">
      <c r="B458" s="1823"/>
      <c r="C458" s="1009"/>
      <c r="D458" s="1464" t="s">
        <v>3235</v>
      </c>
      <c r="E458" s="483" t="s">
        <v>1668</v>
      </c>
      <c r="F458" s="1321">
        <v>25</v>
      </c>
      <c r="G458" s="1189"/>
      <c r="H458" s="1322"/>
      <c r="I458" s="1012"/>
      <c r="J458" s="1012"/>
      <c r="K458" s="1012"/>
      <c r="L458" s="1012"/>
      <c r="M458" s="1012"/>
      <c r="N458" s="1012"/>
      <c r="O458" s="1012"/>
      <c r="V458" s="1031" t="str">
        <f t="shared" ref="V458:V472" si="55">D458</f>
        <v>Radded</v>
      </c>
      <c r="W458" s="1003">
        <v>25</v>
      </c>
      <c r="X458" s="1003">
        <v>25</v>
      </c>
      <c r="Y458" s="1003">
        <v>25</v>
      </c>
      <c r="Z458" s="1003">
        <v>25</v>
      </c>
      <c r="AA458" s="1321">
        <v>25</v>
      </c>
      <c r="AB458" s="1321">
        <v>25</v>
      </c>
      <c r="AC458" s="1003"/>
      <c r="AD458" s="1003"/>
      <c r="AE458" s="1003"/>
      <c r="AF458" s="1003"/>
      <c r="AG458" s="1003"/>
      <c r="AK458" s="982"/>
    </row>
    <row r="459" spans="2:37" ht="45" outlineLevel="1" x14ac:dyDescent="0.25">
      <c r="B459" s="1020"/>
      <c r="C459" s="1009"/>
      <c r="D459" s="1463" t="s">
        <v>3236</v>
      </c>
      <c r="E459" s="483" t="s">
        <v>1668</v>
      </c>
      <c r="F459" s="1321">
        <v>1</v>
      </c>
      <c r="G459" s="1189"/>
      <c r="H459" s="1189" t="s">
        <v>3237</v>
      </c>
      <c r="I459" s="1020"/>
      <c r="J459" s="1020"/>
      <c r="K459" s="1020"/>
      <c r="L459" s="1020"/>
      <c r="M459" s="1020"/>
      <c r="N459" s="1020"/>
      <c r="O459" s="1020"/>
      <c r="P459" s="1148"/>
      <c r="Q459" s="1148"/>
      <c r="R459" s="1148"/>
      <c r="V459" s="1019" t="str">
        <f t="shared" si="55"/>
        <v>AFloor</v>
      </c>
      <c r="W459" s="1003">
        <f>72*15</f>
        <v>1080</v>
      </c>
      <c r="X459" s="1003">
        <v>1080</v>
      </c>
      <c r="Y459" s="701">
        <v>1</v>
      </c>
      <c r="Z459" s="1003">
        <v>1</v>
      </c>
      <c r="AA459" s="1321">
        <v>1</v>
      </c>
      <c r="AB459" s="1321">
        <v>1</v>
      </c>
      <c r="AC459" s="1003"/>
      <c r="AD459" s="1003"/>
      <c r="AE459" s="1003"/>
      <c r="AF459" s="1003"/>
      <c r="AG459" s="1003"/>
      <c r="AK459" s="982"/>
    </row>
    <row r="460" spans="2:37" ht="18" outlineLevel="1" x14ac:dyDescent="0.25">
      <c r="B460" s="1020"/>
      <c r="C460" s="1009"/>
      <c r="D460" s="1463" t="s">
        <v>3238</v>
      </c>
      <c r="E460" s="483" t="s">
        <v>1668</v>
      </c>
      <c r="F460" s="1048">
        <v>0.12</v>
      </c>
      <c r="G460" s="1189"/>
      <c r="H460" s="1322"/>
      <c r="I460" s="1020"/>
      <c r="J460" s="1857"/>
      <c r="K460" s="1020"/>
      <c r="L460" s="1020"/>
      <c r="M460" s="1020"/>
      <c r="N460" s="1020"/>
      <c r="O460" s="1020"/>
      <c r="P460" s="1148"/>
      <c r="Q460" s="1148"/>
      <c r="R460" s="1148"/>
      <c r="V460" s="1019" t="str">
        <f t="shared" si="55"/>
        <v>Framing FactorFloor</v>
      </c>
      <c r="W460" s="1017">
        <v>0.12</v>
      </c>
      <c r="X460" s="1017">
        <v>0.12</v>
      </c>
      <c r="Y460" s="1017">
        <v>0.12</v>
      </c>
      <c r="Z460" s="1017">
        <v>0.12</v>
      </c>
      <c r="AA460" s="1048">
        <v>0.12</v>
      </c>
      <c r="AB460" s="1048">
        <v>0.12</v>
      </c>
      <c r="AC460" s="1017"/>
      <c r="AD460" s="1017"/>
      <c r="AE460" s="1017"/>
      <c r="AF460" s="1017"/>
      <c r="AG460" s="1017"/>
      <c r="AK460" s="982"/>
    </row>
    <row r="461" spans="2:37" outlineLevel="1" x14ac:dyDescent="0.25">
      <c r="B461" s="1020"/>
      <c r="C461" s="1009"/>
      <c r="D461" s="3839" t="s">
        <v>1652</v>
      </c>
      <c r="E461" s="483" t="str">
        <f>E439</f>
        <v>Floor Insulation R25 (R-3.96 base) MH electric furnace/baseboard and electric cooling</v>
      </c>
      <c r="F461" s="1321">
        <v>1911</v>
      </c>
      <c r="G461" s="3862" t="s">
        <v>736</v>
      </c>
      <c r="H461" s="3864" t="s">
        <v>1669</v>
      </c>
      <c r="I461" s="1020"/>
      <c r="J461" s="1020"/>
      <c r="K461" s="1020"/>
      <c r="L461" s="1020"/>
      <c r="M461" s="1020"/>
      <c r="N461" s="1020"/>
      <c r="O461" s="1020"/>
      <c r="P461" s="1148"/>
      <c r="Q461" s="1148"/>
      <c r="R461" s="1148"/>
      <c r="V461" s="3841" t="str">
        <f t="shared" si="55"/>
        <v>HDD</v>
      </c>
      <c r="W461" s="1003">
        <v>1911</v>
      </c>
      <c r="X461" s="1003">
        <v>1911</v>
      </c>
      <c r="Y461" s="1003">
        <v>1911</v>
      </c>
      <c r="Z461" s="1033">
        <v>1911</v>
      </c>
      <c r="AA461" s="1051">
        <v>1911</v>
      </c>
      <c r="AB461" s="1051">
        <v>1911</v>
      </c>
      <c r="AC461" s="1003"/>
      <c r="AD461" s="1003"/>
      <c r="AE461" s="1003"/>
      <c r="AF461" s="1003"/>
      <c r="AG461" s="1003"/>
      <c r="AK461" s="982"/>
    </row>
    <row r="462" spans="2:37" outlineLevel="1" x14ac:dyDescent="0.25">
      <c r="B462" s="1020"/>
      <c r="C462" s="1009"/>
      <c r="D462" s="3840"/>
      <c r="E462" s="483" t="str">
        <f>E440</f>
        <v>Floor Insulation R25 (R-3.96 base) MH heat pump and electric cooling</v>
      </c>
      <c r="F462" s="1321">
        <f>F461</f>
        <v>1911</v>
      </c>
      <c r="G462" s="3612"/>
      <c r="H462" s="3856"/>
      <c r="I462" s="1020"/>
      <c r="J462" s="1020"/>
      <c r="K462" s="1020"/>
      <c r="L462" s="1020"/>
      <c r="M462" s="1020"/>
      <c r="N462" s="1020"/>
      <c r="O462" s="1020"/>
      <c r="P462" s="1148"/>
      <c r="Q462" s="1148"/>
      <c r="R462" s="1148"/>
      <c r="V462" s="3842"/>
      <c r="W462" s="1003"/>
      <c r="X462" s="1003"/>
      <c r="Y462" s="1032">
        <v>1911</v>
      </c>
      <c r="Z462" s="1033">
        <v>1911</v>
      </c>
      <c r="AA462" s="1051">
        <v>1911</v>
      </c>
      <c r="AB462" s="1051">
        <v>1911</v>
      </c>
      <c r="AC462" s="1003"/>
      <c r="AD462" s="1003"/>
      <c r="AE462" s="1003"/>
      <c r="AF462" s="1003"/>
      <c r="AG462" s="1003"/>
      <c r="AK462" s="982"/>
    </row>
    <row r="463" spans="2:37" outlineLevel="1" x14ac:dyDescent="0.25">
      <c r="B463" s="1020"/>
      <c r="C463" s="1009"/>
      <c r="D463" s="3851"/>
      <c r="E463" s="483" t="str">
        <f>E441</f>
        <v>Floor Insulation R25 (R-3.96 base) MH gas furnace/baseboard and electric cooling</v>
      </c>
      <c r="F463" s="1321">
        <v>0</v>
      </c>
      <c r="G463" s="1189"/>
      <c r="H463" s="1322"/>
      <c r="I463" s="1020"/>
      <c r="J463" s="1020"/>
      <c r="K463" s="1020"/>
      <c r="L463" s="1020"/>
      <c r="M463" s="1020"/>
      <c r="N463" s="1020"/>
      <c r="O463" s="1020"/>
      <c r="P463" s="1148"/>
      <c r="Q463" s="1148"/>
      <c r="R463" s="1148"/>
      <c r="V463" s="3847"/>
      <c r="W463" s="1003"/>
      <c r="X463" s="1003"/>
      <c r="Y463" s="1032">
        <v>0</v>
      </c>
      <c r="Z463" s="1033">
        <v>0</v>
      </c>
      <c r="AA463" s="1051">
        <v>0</v>
      </c>
      <c r="AB463" s="1051">
        <v>0</v>
      </c>
      <c r="AC463" s="1003"/>
      <c r="AD463" s="1003"/>
      <c r="AE463" s="1003"/>
      <c r="AF463" s="1003"/>
      <c r="AG463" s="1003"/>
      <c r="AK463" s="982"/>
    </row>
    <row r="464" spans="2:37" ht="18" outlineLevel="1" x14ac:dyDescent="0.25">
      <c r="B464" s="1020"/>
      <c r="C464" s="1009"/>
      <c r="D464" s="1463" t="s">
        <v>3239</v>
      </c>
      <c r="E464" s="483" t="s">
        <v>1668</v>
      </c>
      <c r="F464" s="1048">
        <v>0.88</v>
      </c>
      <c r="G464" s="1189" t="s">
        <v>714</v>
      </c>
      <c r="H464" s="1322"/>
      <c r="I464" s="1858"/>
      <c r="J464" s="1020"/>
      <c r="K464" s="1020"/>
      <c r="L464" s="1020"/>
      <c r="M464" s="1020"/>
      <c r="N464" s="1020"/>
      <c r="O464" s="1020"/>
      <c r="P464" s="1148"/>
      <c r="Q464" s="1148"/>
      <c r="R464" s="1148"/>
      <c r="V464" s="1019" t="str">
        <f t="shared" si="55"/>
        <v>AdjFloor</v>
      </c>
      <c r="W464" s="1017">
        <v>0.88</v>
      </c>
      <c r="X464" s="1017">
        <v>0.88</v>
      </c>
      <c r="Y464" s="1017">
        <v>0.88</v>
      </c>
      <c r="Z464" s="1034">
        <v>0.88</v>
      </c>
      <c r="AA464" s="673">
        <v>0.88</v>
      </c>
      <c r="AB464" s="673">
        <v>0.88</v>
      </c>
      <c r="AC464" s="1017"/>
      <c r="AD464" s="1017"/>
      <c r="AE464" s="1017"/>
      <c r="AF464" s="1017"/>
      <c r="AG464" s="1017"/>
      <c r="AK464" s="982"/>
    </row>
    <row r="465" spans="2:57" outlineLevel="1" x14ac:dyDescent="0.25">
      <c r="B465" s="1020"/>
      <c r="C465" s="1009"/>
      <c r="D465" s="3839" t="s">
        <v>1654</v>
      </c>
      <c r="E465" s="483" t="str">
        <f>E439</f>
        <v>Floor Insulation R25 (R-3.96 base) MH electric furnace/baseboard and electric cooling</v>
      </c>
      <c r="F465" s="1043">
        <v>1</v>
      </c>
      <c r="G465" s="1189" t="s">
        <v>714</v>
      </c>
      <c r="H465" s="3862" t="s">
        <v>717</v>
      </c>
      <c r="I465" s="1020"/>
      <c r="J465" s="1020"/>
      <c r="K465" s="1020"/>
      <c r="L465" s="1020"/>
      <c r="M465" s="1020"/>
      <c r="N465" s="1020"/>
      <c r="O465" s="1020"/>
      <c r="P465" s="1148"/>
      <c r="Q465" s="1148"/>
      <c r="R465" s="1148"/>
      <c r="V465" s="3841" t="str">
        <f t="shared" si="55"/>
        <v>ƞheat</v>
      </c>
      <c r="W465" s="1021">
        <v>1</v>
      </c>
      <c r="X465" s="1021">
        <v>1</v>
      </c>
      <c r="Y465" s="1021">
        <v>1</v>
      </c>
      <c r="Z465" s="1035">
        <v>1</v>
      </c>
      <c r="AA465" s="1185">
        <v>1</v>
      </c>
      <c r="AB465" s="1185">
        <v>1</v>
      </c>
      <c r="AC465" s="1021"/>
      <c r="AD465" s="1021"/>
      <c r="AE465" s="1021"/>
      <c r="AF465" s="1021"/>
      <c r="AG465" s="1021"/>
      <c r="AK465" s="982"/>
    </row>
    <row r="466" spans="2:57" outlineLevel="1" x14ac:dyDescent="0.25">
      <c r="B466" s="1020"/>
      <c r="C466" s="1009"/>
      <c r="D466" s="3840"/>
      <c r="E466" s="483" t="str">
        <f>E440</f>
        <v>Floor Insulation R25 (R-3.96 base) MH heat pump and electric cooling</v>
      </c>
      <c r="F466" s="1185">
        <f>AVERAGE(1.7,1.9,2)</f>
        <v>1.8666666666666665</v>
      </c>
      <c r="G466" s="714" t="s">
        <v>1670</v>
      </c>
      <c r="H466" s="3863"/>
      <c r="I466" s="1020"/>
      <c r="J466" s="1020"/>
      <c r="K466" s="1020"/>
      <c r="L466" s="1020"/>
      <c r="M466" s="1020"/>
      <c r="N466" s="1020"/>
      <c r="O466" s="1020"/>
      <c r="P466" s="1148"/>
      <c r="Q466" s="1148"/>
      <c r="R466" s="1148"/>
      <c r="V466" s="3842"/>
      <c r="W466" s="1021"/>
      <c r="X466" s="1021"/>
      <c r="Y466" s="1036">
        <v>1.8666666666666665</v>
      </c>
      <c r="Z466" s="1035">
        <v>1.8666666666666665</v>
      </c>
      <c r="AA466" s="1185">
        <v>1.8666666666666665</v>
      </c>
      <c r="AB466" s="1185">
        <v>1.8666666666666665</v>
      </c>
      <c r="AC466" s="1021"/>
      <c r="AD466" s="1021"/>
      <c r="AE466" s="1021"/>
      <c r="AF466" s="1021"/>
      <c r="AG466" s="1021"/>
      <c r="AK466" s="982"/>
    </row>
    <row r="467" spans="2:57" outlineLevel="1" x14ac:dyDescent="0.25">
      <c r="B467" s="1020"/>
      <c r="C467" s="1009"/>
      <c r="D467" s="3851"/>
      <c r="E467" s="483" t="str">
        <f>E441</f>
        <v>Floor Insulation R25 (R-3.96 base) MH gas furnace/baseboard and electric cooling</v>
      </c>
      <c r="F467" s="1043">
        <v>1.0000000000000001E-17</v>
      </c>
      <c r="G467" s="1189"/>
      <c r="H467" s="3612"/>
      <c r="I467" s="1020"/>
      <c r="J467" s="1020"/>
      <c r="K467" s="1020"/>
      <c r="L467" s="1020"/>
      <c r="M467" s="1020"/>
      <c r="N467" s="1020"/>
      <c r="O467" s="1020"/>
      <c r="P467" s="1148"/>
      <c r="Q467" s="1148"/>
      <c r="R467" s="1148"/>
      <c r="V467" s="3847"/>
      <c r="W467" s="1021"/>
      <c r="X467" s="1021"/>
      <c r="Y467" s="1018">
        <v>1.0000000000000001E-17</v>
      </c>
      <c r="Z467" s="1035">
        <v>1.0000000000000001E-17</v>
      </c>
      <c r="AA467" s="1185">
        <v>1.0000000000000001E-17</v>
      </c>
      <c r="AB467" s="1185">
        <v>1.0000000000000001E-17</v>
      </c>
      <c r="AC467" s="1021"/>
      <c r="AD467" s="1021"/>
      <c r="AE467" s="1021"/>
      <c r="AF467" s="1021"/>
      <c r="AG467" s="1021"/>
      <c r="AK467" s="982"/>
    </row>
    <row r="468" spans="2:57" outlineLevel="1" x14ac:dyDescent="0.25">
      <c r="B468" s="1020"/>
      <c r="C468" s="1009"/>
      <c r="D468" s="3839" t="s">
        <v>1655</v>
      </c>
      <c r="E468" s="483" t="str">
        <f>E439</f>
        <v>Floor Insulation R25 (R-3.96 base) MH electric furnace/baseboard and electric cooling</v>
      </c>
      <c r="F468" s="1321">
        <v>762</v>
      </c>
      <c r="G468" s="3864" t="s">
        <v>736</v>
      </c>
      <c r="H468" s="3864" t="s">
        <v>1671</v>
      </c>
      <c r="I468" s="1020"/>
      <c r="J468" s="1020"/>
      <c r="K468" s="1020"/>
      <c r="L468" s="1020"/>
      <c r="M468" s="1020"/>
      <c r="N468" s="1020"/>
      <c r="O468" s="1020"/>
      <c r="P468" s="1148"/>
      <c r="Q468" s="1148"/>
      <c r="R468" s="1148"/>
      <c r="V468" s="3841" t="str">
        <f t="shared" si="55"/>
        <v>CDD</v>
      </c>
      <c r="W468" s="1003">
        <v>762</v>
      </c>
      <c r="X468" s="1003">
        <v>762</v>
      </c>
      <c r="Y468" s="1003">
        <v>762</v>
      </c>
      <c r="Z468" s="1033">
        <v>762</v>
      </c>
      <c r="AA468" s="1051">
        <v>762</v>
      </c>
      <c r="AB468" s="1051">
        <v>762</v>
      </c>
      <c r="AC468" s="1003"/>
      <c r="AD468" s="1003"/>
      <c r="AE468" s="1003"/>
      <c r="AF468" s="1003"/>
      <c r="AG468" s="1003"/>
      <c r="AK468" s="982"/>
    </row>
    <row r="469" spans="2:57" outlineLevel="1" x14ac:dyDescent="0.25">
      <c r="B469" s="1020"/>
      <c r="C469" s="1009"/>
      <c r="D469" s="3840"/>
      <c r="E469" s="483" t="str">
        <f>E440</f>
        <v>Floor Insulation R25 (R-3.96 base) MH heat pump and electric cooling</v>
      </c>
      <c r="F469" s="1321">
        <v>762</v>
      </c>
      <c r="G469" s="3855"/>
      <c r="H469" s="3855"/>
      <c r="I469" s="1020"/>
      <c r="J469" s="1020"/>
      <c r="K469" s="1020"/>
      <c r="L469" s="1020"/>
      <c r="M469" s="1020"/>
      <c r="N469" s="1020"/>
      <c r="O469" s="1020"/>
      <c r="P469" s="1148"/>
      <c r="Q469" s="1148"/>
      <c r="R469" s="1148"/>
      <c r="V469" s="3842"/>
      <c r="W469" s="1003"/>
      <c r="X469" s="1003"/>
      <c r="Y469" s="1032">
        <v>762</v>
      </c>
      <c r="Z469" s="1033">
        <v>762</v>
      </c>
      <c r="AA469" s="1051">
        <v>762</v>
      </c>
      <c r="AB469" s="1051">
        <v>762</v>
      </c>
      <c r="AC469" s="1003"/>
      <c r="AD469" s="1003"/>
      <c r="AE469" s="1003"/>
      <c r="AF469" s="1003"/>
      <c r="AG469" s="1003"/>
      <c r="AK469" s="982"/>
    </row>
    <row r="470" spans="2:57" outlineLevel="1" x14ac:dyDescent="0.25">
      <c r="B470" s="1020"/>
      <c r="C470" s="1009"/>
      <c r="D470" s="3851"/>
      <c r="E470" s="483" t="str">
        <f>E441</f>
        <v>Floor Insulation R25 (R-3.96 base) MH gas furnace/baseboard and electric cooling</v>
      </c>
      <c r="F470" s="1321">
        <v>762</v>
      </c>
      <c r="G470" s="3856"/>
      <c r="H470" s="3856"/>
      <c r="I470" s="1020"/>
      <c r="J470" s="1020"/>
      <c r="K470" s="1020"/>
      <c r="L470" s="1020"/>
      <c r="M470" s="1020"/>
      <c r="N470" s="1020"/>
      <c r="O470" s="1020"/>
      <c r="P470" s="1148"/>
      <c r="Q470" s="1148"/>
      <c r="R470" s="1148"/>
      <c r="V470" s="3847"/>
      <c r="W470" s="1003"/>
      <c r="X470" s="1003"/>
      <c r="Y470" s="1032">
        <v>762</v>
      </c>
      <c r="Z470" s="1033">
        <v>762</v>
      </c>
      <c r="AA470" s="1051">
        <v>762</v>
      </c>
      <c r="AB470" s="1051">
        <v>762</v>
      </c>
      <c r="AC470" s="1003"/>
      <c r="AD470" s="1003"/>
      <c r="AE470" s="1003"/>
      <c r="AF470" s="1003"/>
      <c r="AG470" s="1003"/>
      <c r="AK470" s="982"/>
    </row>
    <row r="471" spans="2:57" outlineLevel="1" x14ac:dyDescent="0.25">
      <c r="B471" s="1020"/>
      <c r="C471" s="1009"/>
      <c r="D471" s="1451" t="s">
        <v>1657</v>
      </c>
      <c r="E471" s="1090" t="s">
        <v>1668</v>
      </c>
      <c r="F471" s="541">
        <v>0.75</v>
      </c>
      <c r="G471" s="1436" t="s">
        <v>714</v>
      </c>
      <c r="H471" s="1091"/>
      <c r="I471" s="1020"/>
      <c r="J471" s="1020"/>
      <c r="K471" s="1020"/>
      <c r="L471" s="1020"/>
      <c r="M471" s="1020"/>
      <c r="N471" s="1020"/>
      <c r="O471" s="1020"/>
      <c r="P471" s="1148"/>
      <c r="Q471" s="1148"/>
      <c r="R471" s="1148"/>
      <c r="V471" s="1037" t="str">
        <f t="shared" si="55"/>
        <v>DUA</v>
      </c>
      <c r="W471" s="1017">
        <v>0.75</v>
      </c>
      <c r="X471" s="1017">
        <v>0.75</v>
      </c>
      <c r="Y471" s="1038">
        <v>0.75</v>
      </c>
      <c r="Z471" s="1017">
        <v>0.75</v>
      </c>
      <c r="AA471" s="1048">
        <v>0.75</v>
      </c>
      <c r="AB471" s="1048">
        <v>0.75</v>
      </c>
      <c r="AC471" s="1017"/>
      <c r="AD471" s="1017"/>
      <c r="AE471" s="1017"/>
      <c r="AF471" s="1017"/>
      <c r="AG471" s="1017"/>
      <c r="AK471" s="982"/>
    </row>
    <row r="472" spans="2:57" ht="60" outlineLevel="1" x14ac:dyDescent="0.25">
      <c r="B472" s="1020"/>
      <c r="C472" s="1009"/>
      <c r="D472" s="1451" t="s">
        <v>1661</v>
      </c>
      <c r="E472" s="1090" t="s">
        <v>1668</v>
      </c>
      <c r="F472" s="1092">
        <v>11</v>
      </c>
      <c r="G472" s="1091" t="s">
        <v>1672</v>
      </c>
      <c r="H472" s="1189" t="s">
        <v>717</v>
      </c>
      <c r="I472" s="1020"/>
      <c r="J472" s="1020"/>
      <c r="K472" s="1020"/>
      <c r="L472" s="1020"/>
      <c r="M472" s="1020"/>
      <c r="N472" s="1020"/>
      <c r="O472" s="1020"/>
      <c r="P472" s="1148"/>
      <c r="Q472" s="1148"/>
      <c r="R472" s="1148"/>
      <c r="V472" s="1037" t="str">
        <f t="shared" si="55"/>
        <v>ƞcool</v>
      </c>
      <c r="W472" s="1003">
        <v>11</v>
      </c>
      <c r="X472" s="1003">
        <v>11</v>
      </c>
      <c r="Y472" s="1039">
        <v>11</v>
      </c>
      <c r="Z472" s="1003">
        <v>11</v>
      </c>
      <c r="AA472" s="1321">
        <v>11</v>
      </c>
      <c r="AB472" s="1321">
        <v>11</v>
      </c>
      <c r="AC472" s="1003"/>
      <c r="AD472" s="1003"/>
      <c r="AE472" s="1003"/>
      <c r="AF472" s="1003"/>
      <c r="AG472" s="1003"/>
      <c r="AK472" s="982"/>
    </row>
    <row r="473" spans="2:57" outlineLevel="1" x14ac:dyDescent="0.25">
      <c r="B473" s="1020"/>
      <c r="C473" s="1009"/>
      <c r="D473" s="449" t="str">
        <f>L438</f>
        <v>EUL</v>
      </c>
      <c r="E473" s="1859" t="str">
        <f>E38</f>
        <v>Effective Useful Life</v>
      </c>
      <c r="F473" s="1094">
        <v>25</v>
      </c>
      <c r="G473" s="1436"/>
      <c r="H473" s="1091"/>
      <c r="I473" s="1020"/>
      <c r="J473" s="1020"/>
      <c r="K473" s="1020"/>
      <c r="L473" s="1020"/>
      <c r="M473" s="1020"/>
      <c r="N473" s="1020"/>
      <c r="O473" s="1020"/>
      <c r="P473" s="1148"/>
      <c r="Q473" s="1148"/>
      <c r="R473" s="1148"/>
      <c r="V473" s="1040" t="str">
        <f>D473</f>
        <v>EUL</v>
      </c>
      <c r="W473" s="1027">
        <v>25</v>
      </c>
      <c r="X473" s="1027">
        <v>25</v>
      </c>
      <c r="Y473" s="1025">
        <v>25</v>
      </c>
      <c r="Z473" s="1003">
        <v>25</v>
      </c>
      <c r="AA473" s="1321">
        <v>25</v>
      </c>
      <c r="AB473" s="1321">
        <v>25</v>
      </c>
      <c r="AC473" s="1003"/>
      <c r="AD473" s="1003"/>
      <c r="AE473" s="1003"/>
      <c r="AF473" s="1003"/>
      <c r="AG473" s="1003"/>
      <c r="AK473" s="982"/>
    </row>
    <row r="474" spans="2:57" ht="45" outlineLevel="1" x14ac:dyDescent="0.25">
      <c r="B474" s="1020"/>
      <c r="C474" s="1009"/>
      <c r="D474" s="449" t="str">
        <f>M438</f>
        <v>Inc. Cost</v>
      </c>
      <c r="E474" s="1859" t="str">
        <f>E39</f>
        <v>Incremental Cost</v>
      </c>
      <c r="F474" s="1415">
        <f>734.04/1080</f>
        <v>0.67966666666666664</v>
      </c>
      <c r="G474" s="1436"/>
      <c r="H474" s="1189" t="s">
        <v>3237</v>
      </c>
      <c r="I474" s="1020"/>
      <c r="J474" s="1020"/>
      <c r="K474" s="1020"/>
      <c r="L474" s="1020"/>
      <c r="M474" s="1020"/>
      <c r="N474" s="1020"/>
      <c r="O474" s="1020"/>
      <c r="P474" s="1148"/>
      <c r="Q474" s="1148"/>
      <c r="R474" s="1148"/>
      <c r="V474" s="1040" t="str">
        <f>D474</f>
        <v>Inc. Cost</v>
      </c>
      <c r="W474" s="1029">
        <v>734.04</v>
      </c>
      <c r="X474" s="1029">
        <v>734.04</v>
      </c>
      <c r="Y474" s="618">
        <v>0.67966666666666664</v>
      </c>
      <c r="Z474" s="1003">
        <v>0.67966666666666664</v>
      </c>
      <c r="AA474" s="1321">
        <v>0.67966666666666664</v>
      </c>
      <c r="AB474" s="1321">
        <v>0.67966666666666664</v>
      </c>
      <c r="AC474" s="1003"/>
      <c r="AD474" s="1003"/>
      <c r="AE474" s="1003"/>
      <c r="AF474" s="1003"/>
      <c r="AG474" s="1003"/>
      <c r="AK474" s="982"/>
    </row>
    <row r="475" spans="2:57" x14ac:dyDescent="0.25">
      <c r="B475" s="1823"/>
      <c r="C475" s="1009"/>
      <c r="D475" s="492"/>
      <c r="E475" s="492"/>
      <c r="F475" s="1012"/>
      <c r="G475" s="1012"/>
      <c r="H475" s="1012"/>
      <c r="I475" s="1012"/>
      <c r="J475" s="1012"/>
      <c r="K475" s="1012"/>
      <c r="L475" s="1012"/>
      <c r="M475" s="1012"/>
      <c r="N475" s="1012"/>
      <c r="O475" s="1012"/>
      <c r="Y475" s="1701" t="s">
        <v>1581</v>
      </c>
      <c r="AK475" s="982"/>
    </row>
    <row r="476" spans="2:57" x14ac:dyDescent="0.25">
      <c r="B476" s="1012"/>
      <c r="C476" s="1041"/>
      <c r="D476" s="492"/>
      <c r="E476" s="492"/>
      <c r="F476" s="1012"/>
      <c r="G476" s="1012"/>
      <c r="H476" s="1012"/>
      <c r="I476" s="1012"/>
      <c r="J476" s="1012"/>
      <c r="K476" s="1012"/>
      <c r="L476" s="1012"/>
      <c r="M476" s="1012"/>
      <c r="N476" s="1012"/>
      <c r="O476" s="1012"/>
      <c r="AK476" s="982"/>
    </row>
    <row r="477" spans="2:57" x14ac:dyDescent="0.25">
      <c r="B477" s="3350" t="s">
        <v>871</v>
      </c>
      <c r="C477" s="3351"/>
      <c r="D477" s="3351"/>
      <c r="E477" s="3351"/>
      <c r="F477" s="3351"/>
      <c r="G477" s="3351"/>
      <c r="H477" s="3351"/>
      <c r="I477" s="3352"/>
      <c r="J477" s="3352"/>
      <c r="K477" s="3352"/>
      <c r="L477" s="3352"/>
      <c r="M477" s="3352"/>
      <c r="N477" s="3352"/>
      <c r="O477" s="3352"/>
      <c r="P477" s="3352"/>
      <c r="Q477" s="3352"/>
      <c r="R477" s="3353"/>
      <c r="V477" s="3350" t="str">
        <f>B477</f>
        <v>Dirty Filter Alarm</v>
      </c>
      <c r="W477" s="3351"/>
      <c r="X477" s="3351"/>
      <c r="Y477" s="3351"/>
      <c r="Z477" s="3351"/>
      <c r="AA477" s="3351"/>
      <c r="AB477" s="3351"/>
      <c r="AC477" s="3354"/>
      <c r="AD477" s="3354"/>
      <c r="AE477" s="3354"/>
      <c r="AF477" s="3354"/>
      <c r="AG477" s="3354"/>
      <c r="AH477" s="3354"/>
      <c r="AI477" s="3355"/>
      <c r="AK477" s="982"/>
    </row>
    <row r="478" spans="2:57" x14ac:dyDescent="0.25">
      <c r="B478" s="1359"/>
      <c r="C478" s="274"/>
      <c r="D478" s="386" t="s">
        <v>1513</v>
      </c>
      <c r="E478" s="482"/>
      <c r="F478" s="275"/>
      <c r="G478" s="275"/>
      <c r="H478" s="275"/>
      <c r="I478" s="275"/>
      <c r="J478" s="275"/>
      <c r="K478" s="275"/>
      <c r="L478" s="1635"/>
      <c r="AK478" s="982"/>
    </row>
    <row r="479" spans="2:57" ht="30" x14ac:dyDescent="0.25">
      <c r="B479" s="1359"/>
      <c r="C479" s="1409" t="s">
        <v>17</v>
      </c>
      <c r="D479" s="1409" t="s">
        <v>616</v>
      </c>
      <c r="E479" s="1409" t="s">
        <v>19</v>
      </c>
      <c r="F479" s="1409" t="s">
        <v>20</v>
      </c>
      <c r="G479" s="1409" t="s">
        <v>21</v>
      </c>
      <c r="H479" s="1409" t="s">
        <v>22</v>
      </c>
      <c r="I479" s="1409" t="s">
        <v>872</v>
      </c>
      <c r="J479" s="1409" t="s">
        <v>873</v>
      </c>
      <c r="K479" s="1409" t="s">
        <v>23</v>
      </c>
      <c r="L479" s="1413" t="s">
        <v>24</v>
      </c>
      <c r="M479" s="1409" t="s">
        <v>25</v>
      </c>
      <c r="N479" s="1409" t="s">
        <v>26</v>
      </c>
      <c r="V479" s="55" t="s">
        <v>27</v>
      </c>
      <c r="W479" s="56">
        <f>W$6</f>
        <v>43252</v>
      </c>
      <c r="X479" s="56">
        <f t="shared" ref="X479:AG479" si="56">X$6</f>
        <v>43465</v>
      </c>
      <c r="Y479" s="420">
        <f t="shared" si="56"/>
        <v>43800</v>
      </c>
      <c r="Z479" s="56">
        <f t="shared" si="56"/>
        <v>43862</v>
      </c>
      <c r="AA479" s="56">
        <v>44013</v>
      </c>
      <c r="AB479" s="56">
        <f t="shared" si="56"/>
        <v>44166</v>
      </c>
      <c r="AC479" s="56" t="str">
        <f t="shared" si="56"/>
        <v>-</v>
      </c>
      <c r="AD479" s="56" t="str">
        <f t="shared" si="56"/>
        <v>-</v>
      </c>
      <c r="AE479" s="56" t="str">
        <f t="shared" si="56"/>
        <v>-</v>
      </c>
      <c r="AF479" s="56" t="str">
        <f t="shared" si="56"/>
        <v>-</v>
      </c>
      <c r="AG479" s="56" t="str">
        <f t="shared" si="56"/>
        <v>-</v>
      </c>
      <c r="AK479" s="982"/>
      <c r="BB479" s="57" t="str">
        <f>$BB$6</f>
        <v>TRC (2020)</v>
      </c>
      <c r="BC479" s="93" t="str">
        <f>$BC$6</f>
        <v>Benefit Lookup</v>
      </c>
      <c r="BD479" s="741" t="str">
        <f>$BD$6</f>
        <v>Benefits (2019 $)</v>
      </c>
      <c r="BE479" s="279" t="str">
        <f>$BE$6</f>
        <v>Incremental Cost (2019 $)</v>
      </c>
    </row>
    <row r="480" spans="2:57" x14ac:dyDescent="0.25">
      <c r="B480" s="1359"/>
      <c r="C480" s="1658" t="s">
        <v>1673</v>
      </c>
      <c r="D480" s="1658" t="s">
        <v>1518</v>
      </c>
      <c r="E480" s="483" t="s">
        <v>1674</v>
      </c>
      <c r="F480" s="651">
        <f>ROUND(I480+J480,2)</f>
        <v>102.68</v>
      </c>
      <c r="G480" s="1658" t="s">
        <v>877</v>
      </c>
      <c r="H480" s="202">
        <f>VLOOKUP(G480,'CP FACTORS'!$A$3:$B$38, 2, FALSE)</f>
        <v>4.6608050000000002E-4</v>
      </c>
      <c r="I480" s="1088">
        <f>F$492*F$493*F$494*F$496*F497*F498</f>
        <v>64.952579999999998</v>
      </c>
      <c r="J480" s="1088">
        <f>F$499*F$493*F$500*F$496*F497*F498</f>
        <v>37.7298075</v>
      </c>
      <c r="K480" s="994">
        <f>ROUND(H480*F480,6)</f>
        <v>4.7856999999999997E-2</v>
      </c>
      <c r="L480" s="1414">
        <f>F503</f>
        <v>14</v>
      </c>
      <c r="M480" s="1415">
        <f>F504</f>
        <v>5</v>
      </c>
      <c r="N480" s="1658" t="s">
        <v>37</v>
      </c>
      <c r="P480" s="278"/>
      <c r="Q480" s="278"/>
      <c r="R480" s="1627"/>
      <c r="V480" s="208" t="str">
        <f>F479</f>
        <v>kWh Annual Savings</v>
      </c>
      <c r="W480" s="209">
        <v>168.50624999999999</v>
      </c>
      <c r="X480" s="981">
        <v>141.0499999999999</v>
      </c>
      <c r="Y480" s="754">
        <v>102.68</v>
      </c>
      <c r="Z480" s="651">
        <v>102.68</v>
      </c>
      <c r="AA480" s="651">
        <v>102.68</v>
      </c>
      <c r="AB480" s="651">
        <v>102.68</v>
      </c>
      <c r="AC480" s="208"/>
      <c r="AD480" s="208"/>
      <c r="AE480" s="208"/>
      <c r="AF480" s="208"/>
      <c r="AG480" s="208"/>
      <c r="AH480" s="211"/>
      <c r="AK480" s="982"/>
      <c r="BB480" s="67">
        <f>(BD480)/(BE480)</f>
        <v>19.319216314838293</v>
      </c>
      <c r="BC480" s="68" t="str">
        <f>CONCATENATE(G480," ",L480," Year EUL")</f>
        <v>HVAC RES 14 Year EUL</v>
      </c>
      <c r="BD480" s="145">
        <f>(INDEX('Avoided Cost Benefits'!$C$4:$C$857,MATCH(BC480,'Avoided Cost Benefits'!$A$4:$A$857,0)))*F480</f>
        <v>91.171384213488864</v>
      </c>
      <c r="BE480" s="69">
        <f>M480/(1.0595^(2020-2019))</f>
        <v>4.7192071731949028</v>
      </c>
    </row>
    <row r="481" spans="2:57" x14ac:dyDescent="0.25">
      <c r="B481" s="1359"/>
      <c r="C481" s="1658" t="s">
        <v>1675</v>
      </c>
      <c r="D481" s="1658" t="s">
        <v>1521</v>
      </c>
      <c r="E481" s="388" t="str">
        <f>CONCATENATE(E480,"_CompE")</f>
        <v>Dirty Filter Alarm_MFLI_CompE</v>
      </c>
      <c r="F481" s="651">
        <f>ROUND(I481+J481,2)</f>
        <v>49.58</v>
      </c>
      <c r="G481" s="1658" t="s">
        <v>877</v>
      </c>
      <c r="H481" s="202">
        <f>VLOOKUP(G481,'CP FACTORS'!$A$3:$B$38, 2, FALSE)</f>
        <v>4.6608050000000002E-4</v>
      </c>
      <c r="I481" s="1088">
        <f>F$492*F$493*F$495*F$496*F498*F499</f>
        <v>22.142924999999998</v>
      </c>
      <c r="J481" s="1088">
        <f>F$499*F$493*F$501*F$496*F498*F499</f>
        <v>27.439859999999999</v>
      </c>
      <c r="K481" s="994">
        <f>ROUND(H481*F481,6)</f>
        <v>2.3108E-2</v>
      </c>
      <c r="L481" s="1414">
        <f>F503</f>
        <v>14</v>
      </c>
      <c r="M481" s="1415">
        <f>M480</f>
        <v>5</v>
      </c>
      <c r="N481" s="1658" t="s">
        <v>37</v>
      </c>
      <c r="P481" s="278"/>
      <c r="Q481" s="278"/>
      <c r="R481" s="1627"/>
      <c r="V481" s="208" t="str">
        <f>V480</f>
        <v>kWh Annual Savings</v>
      </c>
      <c r="W481" s="209"/>
      <c r="X481" s="981"/>
      <c r="Y481" s="754">
        <v>49.58</v>
      </c>
      <c r="Z481" s="651">
        <v>49.58</v>
      </c>
      <c r="AA481" s="651">
        <v>49.58</v>
      </c>
      <c r="AB481" s="651">
        <v>49.58</v>
      </c>
      <c r="AC481" s="208"/>
      <c r="AD481" s="208"/>
      <c r="AE481" s="208"/>
      <c r="AF481" s="208"/>
      <c r="AG481" s="208"/>
      <c r="AH481" s="211"/>
      <c r="AK481" s="982"/>
      <c r="BB481" s="74">
        <f>(BD481)/(BE481)</f>
        <v>9.3284645976790266</v>
      </c>
      <c r="BC481" s="72" t="str">
        <f>CONCATENATE(G481," ",L481," Year EUL")</f>
        <v>HVAC RES 14 Year EUL</v>
      </c>
      <c r="BD481" s="153">
        <f>(INDEX('Avoided Cost Benefits'!$C$4:$C$857,MATCH(BC481,'Avoided Cost Benefits'!$A$4:$A$857,0)))*F481</f>
        <v>44.022957044261567</v>
      </c>
      <c r="BE481" s="75">
        <f>M481/(1.0595^(2020-2019))</f>
        <v>4.7192071731949028</v>
      </c>
    </row>
    <row r="482" spans="2:57" outlineLevel="1" x14ac:dyDescent="0.25">
      <c r="B482" s="1359"/>
      <c r="C482" s="274"/>
      <c r="F482" s="297"/>
      <c r="V482"/>
      <c r="W482"/>
      <c r="X482"/>
      <c r="Y482" s="135"/>
      <c r="Z482"/>
      <c r="AA482"/>
      <c r="AB482"/>
      <c r="AC482"/>
      <c r="AD482"/>
      <c r="AE482"/>
      <c r="AF482"/>
      <c r="AG482"/>
      <c r="AK482" s="982"/>
    </row>
    <row r="483" spans="2:57" outlineLevel="1" x14ac:dyDescent="0.25">
      <c r="B483" s="1359"/>
      <c r="C483" s="274"/>
      <c r="D483" s="222" t="s">
        <v>571</v>
      </c>
      <c r="F483" s="297"/>
      <c r="V483"/>
      <c r="W483"/>
      <c r="X483"/>
      <c r="Y483" s="135"/>
      <c r="Z483"/>
      <c r="AA483"/>
      <c r="AB483"/>
      <c r="AC483"/>
      <c r="AD483"/>
      <c r="AE483"/>
      <c r="AF483"/>
      <c r="AG483"/>
      <c r="AK483" s="982"/>
    </row>
    <row r="484" spans="2:57" outlineLevel="1" x14ac:dyDescent="0.25">
      <c r="B484" s="1359"/>
      <c r="C484" s="274"/>
      <c r="F484" s="297"/>
      <c r="V484"/>
      <c r="W484"/>
      <c r="X484"/>
      <c r="Y484" s="135"/>
      <c r="Z484"/>
      <c r="AA484"/>
      <c r="AB484"/>
      <c r="AC484"/>
      <c r="AD484"/>
      <c r="AE484"/>
      <c r="AF484"/>
      <c r="AG484"/>
      <c r="AK484" s="982"/>
    </row>
    <row r="485" spans="2:57" outlineLevel="1" x14ac:dyDescent="0.25">
      <c r="B485" s="1359"/>
      <c r="C485" s="274"/>
      <c r="F485" s="297"/>
      <c r="V485" s="2277"/>
      <c r="W485" s="2277"/>
      <c r="X485" s="2277"/>
      <c r="Y485" s="135"/>
      <c r="Z485" s="2277"/>
      <c r="AA485" s="2277"/>
      <c r="AB485" s="2277"/>
      <c r="AC485" s="2277"/>
      <c r="AD485" s="2277"/>
      <c r="AE485" s="2277"/>
      <c r="AF485" s="2277"/>
      <c r="AG485" s="2277"/>
      <c r="AK485" s="982"/>
    </row>
    <row r="486" spans="2:57" outlineLevel="1" x14ac:dyDescent="0.25">
      <c r="B486" s="1359"/>
      <c r="C486" s="274"/>
      <c r="F486" s="297"/>
      <c r="V486" s="2277"/>
      <c r="W486" s="2277"/>
      <c r="X486" s="2277"/>
      <c r="Y486" s="135"/>
      <c r="Z486" s="2277"/>
      <c r="AA486" s="2277"/>
      <c r="AB486" s="2277"/>
      <c r="AC486" s="2277"/>
      <c r="AD486" s="2277"/>
      <c r="AE486" s="2277"/>
      <c r="AF486" s="2277"/>
      <c r="AG486" s="2277"/>
      <c r="AK486" s="982"/>
    </row>
    <row r="487" spans="2:57" outlineLevel="1" x14ac:dyDescent="0.25">
      <c r="B487" s="1359"/>
      <c r="C487" s="274"/>
      <c r="F487" s="297"/>
      <c r="V487"/>
      <c r="W487"/>
      <c r="X487"/>
      <c r="Y487" s="135"/>
      <c r="Z487"/>
      <c r="AA487"/>
      <c r="AB487"/>
      <c r="AC487"/>
      <c r="AD487"/>
      <c r="AE487"/>
      <c r="AF487"/>
      <c r="AG487"/>
      <c r="AK487" s="982"/>
    </row>
    <row r="488" spans="2:57" outlineLevel="1" x14ac:dyDescent="0.25">
      <c r="B488" s="1359"/>
      <c r="C488" s="274"/>
      <c r="F488" s="297"/>
      <c r="V488"/>
      <c r="W488"/>
      <c r="X488"/>
      <c r="Y488" s="135"/>
      <c r="Z488"/>
      <c r="AA488"/>
      <c r="AB488"/>
      <c r="AC488"/>
      <c r="AD488"/>
      <c r="AE488"/>
      <c r="AF488"/>
      <c r="AG488"/>
      <c r="AK488" s="982"/>
    </row>
    <row r="489" spans="2:57" outlineLevel="1" x14ac:dyDescent="0.25">
      <c r="B489" s="1359"/>
      <c r="C489" s="274"/>
      <c r="F489" s="297"/>
      <c r="V489"/>
      <c r="W489"/>
      <c r="X489"/>
      <c r="Y489" s="135"/>
      <c r="Z489"/>
      <c r="AA489"/>
      <c r="AB489"/>
      <c r="AC489"/>
      <c r="AD489"/>
      <c r="AE489"/>
      <c r="AF489"/>
      <c r="AG489"/>
      <c r="AK489" s="982"/>
    </row>
    <row r="490" spans="2:57" outlineLevel="1" x14ac:dyDescent="0.25">
      <c r="B490" s="1359"/>
      <c r="C490" s="274"/>
      <c r="V490"/>
      <c r="W490"/>
      <c r="X490"/>
      <c r="Y490" s="135"/>
      <c r="Z490"/>
      <c r="AA490"/>
      <c r="AB490"/>
      <c r="AC490"/>
      <c r="AD490"/>
      <c r="AE490"/>
      <c r="AF490"/>
      <c r="AG490"/>
      <c r="AK490" s="982"/>
    </row>
    <row r="491" spans="2:57" outlineLevel="1" x14ac:dyDescent="0.25">
      <c r="B491" s="1359"/>
      <c r="C491" s="274"/>
      <c r="D491" s="1456" t="s">
        <v>572</v>
      </c>
      <c r="E491" s="1456" t="s">
        <v>573</v>
      </c>
      <c r="F491" s="1409" t="s">
        <v>574</v>
      </c>
      <c r="G491" s="1409" t="s">
        <v>624</v>
      </c>
      <c r="H491" s="1409" t="s">
        <v>713</v>
      </c>
      <c r="V491" s="55" t="s">
        <v>27</v>
      </c>
      <c r="W491" s="56">
        <f>W$6</f>
        <v>43252</v>
      </c>
      <c r="X491" s="56">
        <f t="shared" ref="X491:AG491" si="57">X$6</f>
        <v>43465</v>
      </c>
      <c r="Y491" s="420">
        <f t="shared" si="57"/>
        <v>43800</v>
      </c>
      <c r="Z491" s="56">
        <f t="shared" si="57"/>
        <v>43862</v>
      </c>
      <c r="AA491" s="56">
        <f t="shared" si="57"/>
        <v>44013</v>
      </c>
      <c r="AB491" s="56">
        <f t="shared" si="57"/>
        <v>44166</v>
      </c>
      <c r="AC491" s="56" t="str">
        <f t="shared" si="57"/>
        <v>-</v>
      </c>
      <c r="AD491" s="56" t="str">
        <f t="shared" si="57"/>
        <v>-</v>
      </c>
      <c r="AE491" s="56" t="str">
        <f t="shared" si="57"/>
        <v>-</v>
      </c>
      <c r="AF491" s="56" t="str">
        <f t="shared" si="57"/>
        <v>-</v>
      </c>
      <c r="AG491" s="56" t="str">
        <f t="shared" si="57"/>
        <v>-</v>
      </c>
      <c r="AK491" s="982"/>
    </row>
    <row r="492" spans="2:57" ht="30" outlineLevel="1" x14ac:dyDescent="0.25">
      <c r="B492" s="1359"/>
      <c r="C492" s="274"/>
      <c r="D492" s="1042" t="s">
        <v>881</v>
      </c>
      <c r="E492" s="1427" t="s">
        <v>1674</v>
      </c>
      <c r="F492" s="673">
        <v>1</v>
      </c>
      <c r="G492" s="1047" t="s">
        <v>1193</v>
      </c>
      <c r="H492" s="714"/>
      <c r="P492" s="278"/>
      <c r="Q492" s="278"/>
      <c r="R492" s="278"/>
      <c r="S492" s="278"/>
      <c r="T492" s="278"/>
      <c r="U492" s="278"/>
      <c r="V492" s="1037" t="s">
        <v>881</v>
      </c>
      <c r="W492" s="1038">
        <v>0.95</v>
      </c>
      <c r="X492" s="672">
        <v>1</v>
      </c>
      <c r="Y492" s="672">
        <v>1</v>
      </c>
      <c r="Z492" s="673">
        <v>1</v>
      </c>
      <c r="AA492" s="673">
        <v>1</v>
      </c>
      <c r="AB492" s="673">
        <v>1</v>
      </c>
      <c r="AC492" s="1017"/>
      <c r="AD492" s="1017"/>
      <c r="AE492" s="1017"/>
      <c r="AF492" s="1017"/>
      <c r="AG492" s="1017"/>
      <c r="AK492" s="982"/>
    </row>
    <row r="493" spans="2:57" ht="30" outlineLevel="1" x14ac:dyDescent="0.25">
      <c r="B493" s="1359"/>
      <c r="C493" s="274"/>
      <c r="D493" s="1042" t="s">
        <v>23</v>
      </c>
      <c r="E493" s="1427" t="s">
        <v>1674</v>
      </c>
      <c r="F493" s="1043">
        <v>0.5</v>
      </c>
      <c r="G493" s="1047" t="s">
        <v>1193</v>
      </c>
      <c r="H493" s="714"/>
      <c r="P493" s="278"/>
      <c r="Q493" s="278"/>
      <c r="R493" s="278"/>
      <c r="S493" s="278"/>
      <c r="T493" s="278"/>
      <c r="U493" s="278"/>
      <c r="V493" s="1037" t="s">
        <v>23</v>
      </c>
      <c r="W493" s="1044">
        <v>0.5</v>
      </c>
      <c r="X493" s="1044">
        <v>0.5</v>
      </c>
      <c r="Y493" s="1021">
        <v>0.5</v>
      </c>
      <c r="Z493" s="1043">
        <v>0.5</v>
      </c>
      <c r="AA493" s="1043">
        <v>0.5</v>
      </c>
      <c r="AB493" s="1043">
        <v>0.5</v>
      </c>
      <c r="AC493" s="1021"/>
      <c r="AD493" s="1021"/>
      <c r="AE493" s="1021"/>
      <c r="AF493" s="1021"/>
      <c r="AG493" s="1021"/>
      <c r="AK493" s="982"/>
    </row>
    <row r="494" spans="2:57" ht="30" outlineLevel="1" x14ac:dyDescent="0.25">
      <c r="B494" s="1359"/>
      <c r="C494" s="274"/>
      <c r="D494" s="3868" t="s">
        <v>1676</v>
      </c>
      <c r="E494" s="1427" t="s">
        <v>1674</v>
      </c>
      <c r="F494" s="1051">
        <v>1496</v>
      </c>
      <c r="G494" s="1860" t="s">
        <v>889</v>
      </c>
      <c r="H494" s="714"/>
      <c r="P494" s="278"/>
      <c r="Q494" s="278"/>
      <c r="R494" s="278"/>
      <c r="S494" s="278"/>
      <c r="T494" s="278"/>
      <c r="U494" s="278"/>
      <c r="V494" s="3869" t="s">
        <v>1677</v>
      </c>
      <c r="W494" s="1039">
        <v>1496</v>
      </c>
      <c r="X494" s="1032">
        <v>2009</v>
      </c>
      <c r="Y494" s="1032">
        <v>1496</v>
      </c>
      <c r="Z494" s="1321">
        <v>1496</v>
      </c>
      <c r="AA494" s="1321">
        <v>1496</v>
      </c>
      <c r="AB494" s="1321">
        <v>1496</v>
      </c>
      <c r="AC494" s="1003"/>
      <c r="AD494" s="1003"/>
      <c r="AE494" s="1003"/>
      <c r="AF494" s="1003"/>
      <c r="AG494" s="1003"/>
      <c r="AK494" s="982"/>
    </row>
    <row r="495" spans="2:57" ht="30" outlineLevel="1" x14ac:dyDescent="0.25">
      <c r="B495" s="1359"/>
      <c r="C495" s="274"/>
      <c r="D495" s="3434"/>
      <c r="E495" s="1427" t="str">
        <f>E481</f>
        <v>Dirty Filter Alarm_MFLI_CompE</v>
      </c>
      <c r="F495" s="1051">
        <v>510</v>
      </c>
      <c r="G495" s="1860" t="s">
        <v>889</v>
      </c>
      <c r="H495" s="714"/>
      <c r="P495" s="278"/>
      <c r="Q495" s="278"/>
      <c r="R495" s="278"/>
      <c r="S495" s="278"/>
      <c r="T495" s="278"/>
      <c r="U495" s="278"/>
      <c r="V495" s="3437"/>
      <c r="W495" s="1039"/>
      <c r="X495" s="1032"/>
      <c r="Y495" s="1032">
        <v>510</v>
      </c>
      <c r="Z495" s="1321">
        <v>510</v>
      </c>
      <c r="AA495" s="1321">
        <v>510</v>
      </c>
      <c r="AB495" s="1321">
        <v>510</v>
      </c>
      <c r="AC495" s="1003"/>
      <c r="AD495" s="1003"/>
      <c r="AE495" s="1003"/>
      <c r="AF495" s="1003"/>
      <c r="AG495" s="1003"/>
      <c r="AK495" s="982"/>
    </row>
    <row r="496" spans="2:57" outlineLevel="1" x14ac:dyDescent="0.25">
      <c r="B496" s="1359"/>
      <c r="C496" s="274"/>
      <c r="D496" s="1427" t="s">
        <v>890</v>
      </c>
      <c r="E496" s="1427" t="s">
        <v>1674</v>
      </c>
      <c r="F496" s="1046">
        <v>0.15</v>
      </c>
      <c r="G496" s="1047" t="s">
        <v>714</v>
      </c>
      <c r="H496" s="714"/>
      <c r="P496" s="278"/>
      <c r="Q496" s="278"/>
      <c r="R496" s="278"/>
      <c r="S496" s="278"/>
      <c r="T496" s="278"/>
      <c r="U496" s="278"/>
      <c r="V496" s="1028" t="s">
        <v>890</v>
      </c>
      <c r="W496" s="1038">
        <v>0.15</v>
      </c>
      <c r="X496" s="1017">
        <v>0.15</v>
      </c>
      <c r="Y496" s="1022">
        <v>0.15</v>
      </c>
      <c r="Z496" s="1046">
        <v>0.15</v>
      </c>
      <c r="AA496" s="1046">
        <v>0.15</v>
      </c>
      <c r="AB496" s="1046">
        <v>0.15</v>
      </c>
      <c r="AC496" s="1017"/>
      <c r="AD496" s="1017"/>
      <c r="AE496" s="1017"/>
      <c r="AF496" s="1017"/>
      <c r="AG496" s="1017"/>
      <c r="AK496" s="982"/>
    </row>
    <row r="497" spans="1:57" outlineLevel="1" x14ac:dyDescent="0.25">
      <c r="B497" s="1359"/>
      <c r="C497" s="274"/>
      <c r="D497" s="1453" t="s">
        <v>892</v>
      </c>
      <c r="E497" s="1427" t="s">
        <v>1674</v>
      </c>
      <c r="F497" s="1048">
        <v>1</v>
      </c>
      <c r="G497" s="1047" t="s">
        <v>714</v>
      </c>
      <c r="H497" s="714"/>
      <c r="P497" s="278"/>
      <c r="Q497" s="278"/>
      <c r="R497" s="278"/>
      <c r="S497" s="278"/>
      <c r="T497" s="278"/>
      <c r="U497" s="278"/>
      <c r="V497" s="1049" t="s">
        <v>892</v>
      </c>
      <c r="W497" s="1038">
        <v>1</v>
      </c>
      <c r="X497" s="1017">
        <v>1</v>
      </c>
      <c r="Y497" s="1017">
        <v>1</v>
      </c>
      <c r="Z497" s="1048">
        <v>1</v>
      </c>
      <c r="AA497" s="1048">
        <v>1</v>
      </c>
      <c r="AB497" s="1048">
        <v>1</v>
      </c>
      <c r="AC497" s="1017"/>
      <c r="AD497" s="1017"/>
      <c r="AE497" s="1017"/>
      <c r="AF497" s="1017"/>
      <c r="AG497" s="1017"/>
      <c r="AK497" s="982"/>
    </row>
    <row r="498" spans="1:57" ht="30" outlineLevel="1" x14ac:dyDescent="0.25">
      <c r="B498" s="1359"/>
      <c r="C498" s="274"/>
      <c r="D498" s="1453" t="s">
        <v>75</v>
      </c>
      <c r="E498" s="1427" t="s">
        <v>1674</v>
      </c>
      <c r="F498" s="1046">
        <v>0.57889999999999997</v>
      </c>
      <c r="G498" s="1047" t="s">
        <v>1193</v>
      </c>
      <c r="H498" s="714" t="s">
        <v>1678</v>
      </c>
      <c r="P498" s="278"/>
      <c r="Q498" s="278"/>
      <c r="R498" s="278"/>
      <c r="S498" s="278"/>
      <c r="T498" s="278"/>
      <c r="U498" s="278"/>
      <c r="V498" s="1049" t="s">
        <v>75</v>
      </c>
      <c r="W498" s="1038">
        <v>1</v>
      </c>
      <c r="X498" s="1050">
        <v>0.58333333333333304</v>
      </c>
      <c r="Y498" s="1050">
        <v>0.57889999999999997</v>
      </c>
      <c r="Z498" s="1046">
        <v>0.57889999999999997</v>
      </c>
      <c r="AA498" s="1046">
        <v>0.57889999999999997</v>
      </c>
      <c r="AB498" s="1046">
        <v>0.57889999999999997</v>
      </c>
      <c r="AC498" s="1017"/>
      <c r="AD498" s="1017"/>
      <c r="AE498" s="1017"/>
      <c r="AF498" s="1017"/>
      <c r="AG498" s="1017"/>
      <c r="AK498" s="982"/>
    </row>
    <row r="499" spans="1:57" ht="30" outlineLevel="1" x14ac:dyDescent="0.25">
      <c r="B499" s="1359"/>
      <c r="C499" s="274"/>
      <c r="D499" s="1042" t="s">
        <v>734</v>
      </c>
      <c r="E499" s="1427" t="s">
        <v>1674</v>
      </c>
      <c r="F499" s="673">
        <v>1</v>
      </c>
      <c r="G499" s="1047" t="s">
        <v>1193</v>
      </c>
      <c r="H499" s="714"/>
      <c r="P499" s="278"/>
      <c r="Q499" s="278"/>
      <c r="R499" s="278"/>
      <c r="S499" s="278"/>
      <c r="T499" s="278"/>
      <c r="U499" s="278"/>
      <c r="V499" s="1037" t="s">
        <v>734</v>
      </c>
      <c r="W499" s="1038">
        <v>0.95</v>
      </c>
      <c r="X499" s="672">
        <v>1</v>
      </c>
      <c r="Y499" s="672">
        <v>1</v>
      </c>
      <c r="Z499" s="673">
        <v>1</v>
      </c>
      <c r="AA499" s="673">
        <v>1</v>
      </c>
      <c r="AB499" s="673">
        <v>1</v>
      </c>
      <c r="AC499" s="1017"/>
      <c r="AD499" s="1017"/>
      <c r="AE499" s="1017"/>
      <c r="AF499" s="1017"/>
      <c r="AG499" s="1017"/>
      <c r="AK499" s="982"/>
    </row>
    <row r="500" spans="1:57" ht="30" outlineLevel="1" x14ac:dyDescent="0.25">
      <c r="B500" s="1359"/>
      <c r="C500" s="274"/>
      <c r="D500" s="3868" t="s">
        <v>1679</v>
      </c>
      <c r="E500" s="1427" t="s">
        <v>1674</v>
      </c>
      <c r="F500" s="1051">
        <v>869</v>
      </c>
      <c r="G500" s="1047" t="s">
        <v>1193</v>
      </c>
      <c r="H500" s="714"/>
      <c r="V500" s="3841" t="s">
        <v>1680</v>
      </c>
      <c r="W500" s="1003">
        <v>869</v>
      </c>
      <c r="X500" s="1045">
        <v>1215</v>
      </c>
      <c r="Y500" s="1045">
        <v>869</v>
      </c>
      <c r="Z500" s="1051">
        <v>869</v>
      </c>
      <c r="AA500" s="1051">
        <v>869</v>
      </c>
      <c r="AB500" s="1051">
        <v>869</v>
      </c>
      <c r="AC500" s="1003"/>
      <c r="AD500" s="1003"/>
      <c r="AE500" s="1003"/>
      <c r="AF500" s="1003"/>
      <c r="AG500" s="1003"/>
      <c r="AK500" s="982"/>
    </row>
    <row r="501" spans="1:57" ht="30" outlineLevel="1" x14ac:dyDescent="0.25">
      <c r="B501" s="1359"/>
      <c r="C501" s="274"/>
      <c r="D501" s="3434"/>
      <c r="E501" s="1427" t="str">
        <f>E481</f>
        <v>Dirty Filter Alarm_MFLI_CompE</v>
      </c>
      <c r="F501" s="1051">
        <v>632</v>
      </c>
      <c r="G501" s="1047" t="s">
        <v>889</v>
      </c>
      <c r="H501" s="714"/>
      <c r="V501" s="3437"/>
      <c r="W501" s="1003"/>
      <c r="X501" s="1045"/>
      <c r="Y501" s="1045">
        <v>632</v>
      </c>
      <c r="Z501" s="1051">
        <v>632</v>
      </c>
      <c r="AA501" s="1051">
        <v>632</v>
      </c>
      <c r="AB501" s="1051">
        <v>632</v>
      </c>
      <c r="AC501" s="1003"/>
      <c r="AD501" s="1003"/>
      <c r="AE501" s="1003"/>
      <c r="AF501" s="1003"/>
      <c r="AG501" s="1003"/>
      <c r="AK501" s="982"/>
    </row>
    <row r="502" spans="1:57" customFormat="1" ht="30" outlineLevel="1" x14ac:dyDescent="0.25">
      <c r="A502" s="157"/>
      <c r="B502" s="1359"/>
      <c r="C502" s="1052"/>
      <c r="D502" s="1461" t="s">
        <v>898</v>
      </c>
      <c r="E502" s="1460" t="s">
        <v>899</v>
      </c>
      <c r="F502" s="506" t="s">
        <v>900</v>
      </c>
      <c r="G502" s="1047" t="s">
        <v>1193</v>
      </c>
      <c r="H502" s="1053"/>
      <c r="I502" s="298"/>
      <c r="J502" s="298"/>
      <c r="K502" s="298"/>
      <c r="L502" s="298"/>
      <c r="M502" s="1276"/>
      <c r="N502" s="298"/>
      <c r="O502" s="298"/>
      <c r="P502" s="298"/>
      <c r="Q502" s="298"/>
      <c r="R502" s="157"/>
      <c r="S502" s="157"/>
      <c r="T502" s="157"/>
      <c r="U502" s="157"/>
      <c r="V502" s="1054" t="str">
        <f>D502</f>
        <v>P</v>
      </c>
      <c r="W502" s="506" t="s">
        <v>900</v>
      </c>
      <c r="X502" s="506" t="s">
        <v>900</v>
      </c>
      <c r="Y502" s="506" t="s">
        <v>900</v>
      </c>
      <c r="Z502" s="506" t="s">
        <v>900</v>
      </c>
      <c r="AA502" s="506" t="s">
        <v>900</v>
      </c>
      <c r="AB502" s="506" t="s">
        <v>900</v>
      </c>
      <c r="AC502" s="506"/>
      <c r="AD502" s="506"/>
      <c r="AE502" s="506"/>
      <c r="AF502" s="506"/>
      <c r="AG502" s="506"/>
      <c r="BB502" s="1055"/>
    </row>
    <row r="503" spans="1:57" outlineLevel="1" x14ac:dyDescent="0.25">
      <c r="B503" s="1020"/>
      <c r="C503" s="1009"/>
      <c r="D503" s="1056" t="str">
        <f>D473</f>
        <v>EUL</v>
      </c>
      <c r="E503" s="1056" t="str">
        <f>E473</f>
        <v>Effective Useful Life</v>
      </c>
      <c r="F503" s="1057">
        <v>14</v>
      </c>
      <c r="G503" s="1047"/>
      <c r="H503" s="714"/>
      <c r="I503" s="1020"/>
      <c r="J503" s="1020"/>
      <c r="K503" s="1020"/>
      <c r="L503" s="1020"/>
      <c r="M503" s="1020"/>
      <c r="N503" s="1020"/>
      <c r="O503" s="1020"/>
      <c r="P503" s="1148"/>
      <c r="Q503" s="1148"/>
      <c r="R503" s="1148"/>
      <c r="V503" s="1019" t="str">
        <f>D503</f>
        <v>EUL</v>
      </c>
      <c r="W503" s="1027">
        <v>14</v>
      </c>
      <c r="X503" s="1027">
        <v>14</v>
      </c>
      <c r="Y503" s="1027">
        <v>14</v>
      </c>
      <c r="Z503" s="1057">
        <v>14</v>
      </c>
      <c r="AA503" s="1057">
        <v>14</v>
      </c>
      <c r="AB503" s="1057">
        <v>14</v>
      </c>
      <c r="AC503" s="1003"/>
      <c r="AD503" s="1003"/>
      <c r="AE503" s="1003"/>
      <c r="AF503" s="1003"/>
      <c r="AG503" s="1003"/>
      <c r="AK503" s="982"/>
    </row>
    <row r="504" spans="1:57" outlineLevel="1" x14ac:dyDescent="0.25">
      <c r="B504" s="1020"/>
      <c r="C504" s="1009"/>
      <c r="D504" s="1056" t="str">
        <f>D474</f>
        <v>Inc. Cost</v>
      </c>
      <c r="E504" s="1056" t="str">
        <f>E474</f>
        <v>Incremental Cost</v>
      </c>
      <c r="F504" s="508">
        <v>5</v>
      </c>
      <c r="G504" s="1047"/>
      <c r="H504" s="714"/>
      <c r="I504" s="1020"/>
      <c r="J504" s="1020"/>
      <c r="K504" s="1020"/>
      <c r="L504" s="1020"/>
      <c r="M504" s="1020"/>
      <c r="N504" s="1020"/>
      <c r="O504" s="1020"/>
      <c r="P504" s="1148"/>
      <c r="Q504" s="1148"/>
      <c r="R504" s="1148"/>
      <c r="V504" s="1019" t="str">
        <f>D504</f>
        <v>Inc. Cost</v>
      </c>
      <c r="W504" s="1029">
        <v>5</v>
      </c>
      <c r="X504" s="1029">
        <v>5</v>
      </c>
      <c r="Y504" s="1029">
        <v>5</v>
      </c>
      <c r="Z504" s="508">
        <v>5</v>
      </c>
      <c r="AA504" s="508">
        <v>5</v>
      </c>
      <c r="AB504" s="508">
        <v>5</v>
      </c>
      <c r="AC504" s="1003"/>
      <c r="AD504" s="1003"/>
      <c r="AE504" s="1003"/>
      <c r="AF504" s="1003"/>
      <c r="AG504" s="1003"/>
      <c r="AK504" s="982"/>
    </row>
    <row r="505" spans="1:57" x14ac:dyDescent="0.25">
      <c r="AK505" s="982"/>
    </row>
    <row r="506" spans="1:57" s="993" customFormat="1" x14ac:dyDescent="0.25">
      <c r="A506" s="1012"/>
      <c r="B506" s="3350" t="s">
        <v>1681</v>
      </c>
      <c r="C506" s="3351"/>
      <c r="D506" s="3351"/>
      <c r="E506" s="3351"/>
      <c r="F506" s="3351"/>
      <c r="G506" s="3351"/>
      <c r="H506" s="3351"/>
      <c r="I506" s="3352"/>
      <c r="J506" s="3352"/>
      <c r="K506" s="3352"/>
      <c r="L506" s="3352"/>
      <c r="M506" s="3352"/>
      <c r="N506" s="3352"/>
      <c r="O506" s="3352"/>
      <c r="P506" s="3352"/>
      <c r="Q506" s="3352"/>
      <c r="R506" s="3353"/>
      <c r="S506" s="1012"/>
      <c r="T506" s="1012"/>
      <c r="U506" s="1012"/>
      <c r="V506" s="3350" t="str">
        <f>B506</f>
        <v>Duct Insulation</v>
      </c>
      <c r="W506" s="3351"/>
      <c r="X506" s="3351"/>
      <c r="Y506" s="3351"/>
      <c r="Z506" s="3351"/>
      <c r="AA506" s="3351"/>
      <c r="AB506" s="3351"/>
      <c r="AC506" s="3354"/>
      <c r="AD506" s="3354"/>
      <c r="AE506" s="3354"/>
      <c r="AF506" s="3354"/>
      <c r="AG506" s="3354"/>
      <c r="AH506" s="3354"/>
      <c r="AI506" s="3355"/>
      <c r="AK506" s="982"/>
      <c r="BB506" s="1008"/>
    </row>
    <row r="507" spans="1:57" s="993" customFormat="1" ht="15" customHeight="1" x14ac:dyDescent="0.25">
      <c r="A507" s="1012"/>
      <c r="B507" s="1012"/>
      <c r="C507" s="1041"/>
      <c r="D507" s="492"/>
      <c r="E507" s="492"/>
      <c r="F507" s="1012"/>
      <c r="G507" s="1012"/>
      <c r="H507" s="1012"/>
      <c r="I507" s="1012"/>
      <c r="J507" s="1012"/>
      <c r="K507" s="1012"/>
      <c r="L507" s="1012"/>
      <c r="M507" s="1012"/>
      <c r="N507" s="1012"/>
      <c r="O507" s="1012"/>
      <c r="P507" s="1012"/>
      <c r="Q507" s="1012"/>
      <c r="R507" s="1012"/>
      <c r="S507" s="1012"/>
      <c r="T507" s="1012"/>
      <c r="U507" s="1012"/>
      <c r="V507" s="273"/>
      <c r="W507" s="273"/>
      <c r="X507" s="273"/>
      <c r="Y507" s="692"/>
      <c r="Z507" s="273"/>
      <c r="AA507" s="273"/>
      <c r="AB507" s="273"/>
      <c r="AC507" s="273"/>
      <c r="AD507" s="273"/>
      <c r="AE507" s="273"/>
      <c r="AF507" s="273"/>
      <c r="AG507" s="273"/>
      <c r="AH507" s="273"/>
      <c r="AI507" s="273"/>
      <c r="AK507" s="982"/>
      <c r="BB507" s="1008"/>
    </row>
    <row r="508" spans="1:57" s="993" customFormat="1" ht="45" x14ac:dyDescent="0.25">
      <c r="A508" s="1012"/>
      <c r="B508" s="1020"/>
      <c r="C508" s="1409" t="s">
        <v>17</v>
      </c>
      <c r="D508" s="1409" t="s">
        <v>616</v>
      </c>
      <c r="E508" s="1456" t="s">
        <v>19</v>
      </c>
      <c r="F508" s="1409" t="s">
        <v>1682</v>
      </c>
      <c r="G508" s="1409" t="s">
        <v>21</v>
      </c>
      <c r="H508" s="1409" t="s">
        <v>22</v>
      </c>
      <c r="I508" s="1409" t="s">
        <v>1683</v>
      </c>
      <c r="J508" s="1409" t="s">
        <v>1684</v>
      </c>
      <c r="K508" s="1409" t="s">
        <v>1685</v>
      </c>
      <c r="L508" s="1409" t="s">
        <v>23</v>
      </c>
      <c r="M508" s="1409" t="s">
        <v>24</v>
      </c>
      <c r="N508" s="1409" t="s">
        <v>529</v>
      </c>
      <c r="O508" s="1409" t="s">
        <v>1686</v>
      </c>
      <c r="P508" s="1012"/>
      <c r="Q508" s="1012"/>
      <c r="R508" s="1012"/>
      <c r="S508" s="1012"/>
      <c r="T508" s="1012"/>
      <c r="U508" s="1012"/>
      <c r="V508" s="55" t="s">
        <v>27</v>
      </c>
      <c r="W508" s="56">
        <f>W$6</f>
        <v>43252</v>
      </c>
      <c r="X508" s="56">
        <f t="shared" ref="X508:AG508" si="58">X$6</f>
        <v>43465</v>
      </c>
      <c r="Y508" s="420">
        <f t="shared" si="58"/>
        <v>43800</v>
      </c>
      <c r="Z508" s="56">
        <f t="shared" si="58"/>
        <v>43862</v>
      </c>
      <c r="AA508" s="56">
        <f t="shared" si="58"/>
        <v>44013</v>
      </c>
      <c r="AB508" s="56">
        <f t="shared" si="58"/>
        <v>44166</v>
      </c>
      <c r="AC508" s="56" t="str">
        <f t="shared" si="58"/>
        <v>-</v>
      </c>
      <c r="AD508" s="56" t="str">
        <f t="shared" si="58"/>
        <v>-</v>
      </c>
      <c r="AE508" s="56" t="str">
        <f t="shared" si="58"/>
        <v>-</v>
      </c>
      <c r="AF508" s="56" t="str">
        <f t="shared" si="58"/>
        <v>-</v>
      </c>
      <c r="AG508" s="56" t="str">
        <f t="shared" si="58"/>
        <v>-</v>
      </c>
      <c r="AH508" s="273"/>
      <c r="AI508" s="273"/>
      <c r="AK508" s="982"/>
      <c r="BB508" s="57" t="str">
        <f>$BB$6</f>
        <v>TRC (2020)</v>
      </c>
      <c r="BC508" s="93" t="str">
        <f>$BC$6</f>
        <v>Benefit Lookup</v>
      </c>
      <c r="BD508" s="741" t="str">
        <f>$BD$6</f>
        <v>Benefits (2019 $)</v>
      </c>
      <c r="BE508" s="279" t="str">
        <f>$BE$6</f>
        <v>Incremental Cost (2019 $)</v>
      </c>
    </row>
    <row r="509" spans="1:57" s="993" customFormat="1" ht="15" customHeight="1" x14ac:dyDescent="0.25">
      <c r="A509" s="1012"/>
      <c r="B509" s="1020"/>
      <c r="C509" s="1429" t="s">
        <v>1687</v>
      </c>
      <c r="D509" s="2132" t="s">
        <v>1515</v>
      </c>
      <c r="E509" s="1427" t="s">
        <v>1688</v>
      </c>
      <c r="F509" s="1059">
        <f>ROUND((I509+J509)*G540*G541*G542,2)</f>
        <v>29.13</v>
      </c>
      <c r="G509" s="1429" t="s">
        <v>877</v>
      </c>
      <c r="H509" s="202">
        <f>VLOOKUP(G509,'CP FACTORS'!$A$3:$B$38, 2, FALSE)</f>
        <v>4.6608050000000002E-4</v>
      </c>
      <c r="I509" s="506">
        <f>(1/G524-1/G525)*G526*G528*G529/(G530*G531)</f>
        <v>1.5815800000000002</v>
      </c>
      <c r="J509" s="506">
        <f>(1/G524-1/G525)*G526*G532*G533/(G534*G535)</f>
        <v>27.545779601406799</v>
      </c>
      <c r="K509" s="1059">
        <v>0</v>
      </c>
      <c r="L509" s="1861">
        <f>ROUND(H509*F509,6)</f>
        <v>1.3577000000000001E-2</v>
      </c>
      <c r="M509" s="506">
        <f>$G$543</f>
        <v>20</v>
      </c>
      <c r="N509" s="508">
        <f>$G$544</f>
        <v>4.2205065958870298</v>
      </c>
      <c r="O509" s="506">
        <v>1</v>
      </c>
      <c r="P509" s="1012"/>
      <c r="Q509" s="1012"/>
      <c r="R509" s="1012"/>
      <c r="S509" s="1012"/>
      <c r="T509" s="1012"/>
      <c r="U509" s="1012"/>
      <c r="V509" s="208" t="str">
        <f>$F$508</f>
        <v>kWh
Annual Savings</v>
      </c>
      <c r="W509" s="285">
        <v>1436.5606215435027</v>
      </c>
      <c r="X509" s="1060">
        <v>1436.5606215435027</v>
      </c>
      <c r="Y509" s="1061">
        <v>29.13</v>
      </c>
      <c r="Z509" s="2776">
        <v>29.13</v>
      </c>
      <c r="AA509" s="2776">
        <v>29.13</v>
      </c>
      <c r="AB509" s="2776">
        <v>29.13</v>
      </c>
      <c r="AC509" s="208"/>
      <c r="AD509" s="208"/>
      <c r="AE509" s="208"/>
      <c r="AF509" s="208"/>
      <c r="AG509" s="208"/>
      <c r="AH509" s="273"/>
      <c r="AI509" s="273"/>
      <c r="AK509" s="982"/>
      <c r="BB509" s="67">
        <f>(BD509)/(BE509)</f>
        <v>8.704896824384484</v>
      </c>
      <c r="BC509" s="68" t="str">
        <f>CONCATENATE(G509," ",M509," Year EUL")</f>
        <v>HVAC RES 20 Year EUL</v>
      </c>
      <c r="BD509" s="145">
        <f>(INDEX('Avoided Cost Benefits'!$C$4:$C$857,MATCH(BC509,'Avoided Cost Benefits'!$A$4:$A$857,0)))*F509</f>
        <v>34.675860749250376</v>
      </c>
      <c r="BE509" s="69">
        <f>N509/(1.0595^(2020-2019))</f>
        <v>3.9834890003652945</v>
      </c>
    </row>
    <row r="510" spans="1:57" s="993" customFormat="1" ht="15" customHeight="1" x14ac:dyDescent="0.25">
      <c r="A510" s="1012"/>
      <c r="B510" s="1020"/>
      <c r="C510" s="1429" t="s">
        <v>1689</v>
      </c>
      <c r="D510" s="2132" t="s">
        <v>1515</v>
      </c>
      <c r="E510" s="1427" t="s">
        <v>1690</v>
      </c>
      <c r="F510" s="1059">
        <f>ROUND((I510+J510)*G540*G541*G542,2)</f>
        <v>29.13</v>
      </c>
      <c r="G510" s="1429" t="s">
        <v>877</v>
      </c>
      <c r="H510" s="202">
        <f>VLOOKUP(G510,'CP FACTORS'!$A$3:$B$38, 2, FALSE)</f>
        <v>4.6608050000000002E-4</v>
      </c>
      <c r="I510" s="506">
        <f>(1/G524-1/G525)*G527*G528*G529/(G530*G531)</f>
        <v>1.5815800000000002</v>
      </c>
      <c r="J510" s="506">
        <f>(1/G524-1/G525)*G527*G532*G533/(G534*G535)</f>
        <v>27.545779601406799</v>
      </c>
      <c r="K510" s="1059">
        <v>0</v>
      </c>
      <c r="L510" s="1861">
        <f>ROUND(H510*F510,6)</f>
        <v>1.3577000000000001E-2</v>
      </c>
      <c r="M510" s="506">
        <f>$G$543</f>
        <v>20</v>
      </c>
      <c r="N510" s="508">
        <f>$G$544</f>
        <v>4.2205065958870298</v>
      </c>
      <c r="O510" s="506">
        <v>1</v>
      </c>
      <c r="P510" s="1012"/>
      <c r="Q510" s="1012"/>
      <c r="R510" s="1012"/>
      <c r="S510" s="1012"/>
      <c r="T510" s="1012"/>
      <c r="U510" s="1012"/>
      <c r="V510" s="208" t="str">
        <f>$F$508</f>
        <v>kWh
Annual Savings</v>
      </c>
      <c r="W510" s="285">
        <v>1267.6448744421125</v>
      </c>
      <c r="X510" s="1060">
        <v>1267.6448744421125</v>
      </c>
      <c r="Y510" s="1061">
        <v>29.13</v>
      </c>
      <c r="Z510" s="2776">
        <v>29.13</v>
      </c>
      <c r="AA510" s="2776">
        <v>29.13</v>
      </c>
      <c r="AB510" s="2776">
        <v>29.13</v>
      </c>
      <c r="AC510" s="208"/>
      <c r="AD510" s="208"/>
      <c r="AE510" s="208"/>
      <c r="AF510" s="208"/>
      <c r="AG510" s="208"/>
      <c r="AK510" s="982"/>
      <c r="BB510" s="71">
        <f>(BD510)/(BE510)</f>
        <v>8.704896824384484</v>
      </c>
      <c r="BC510" s="72" t="str">
        <f>CONCATENATE(G510," ",M510," Year EUL")</f>
        <v>HVAC RES 20 Year EUL</v>
      </c>
      <c r="BD510" s="148">
        <f>(INDEX('Avoided Cost Benefits'!$C$4:$C$857,MATCH(BC510,'Avoided Cost Benefits'!$A$4:$A$857,0)))*F510</f>
        <v>34.675860749250376</v>
      </c>
      <c r="BE510" s="73">
        <f>N510/(1.0595^(2020-2019))</f>
        <v>3.9834890003652945</v>
      </c>
    </row>
    <row r="511" spans="1:57" s="993" customFormat="1" x14ac:dyDescent="0.25">
      <c r="A511" s="1012"/>
      <c r="B511" s="1020"/>
      <c r="C511" s="1429" t="s">
        <v>1691</v>
      </c>
      <c r="D511" s="2132" t="s">
        <v>1515</v>
      </c>
      <c r="E511" s="1427" t="s">
        <v>1692</v>
      </c>
      <c r="F511" s="1059">
        <f>ROUND((I511+J511)*G540*G541*G542,2)</f>
        <v>2.69</v>
      </c>
      <c r="G511" s="1429" t="s">
        <v>877</v>
      </c>
      <c r="H511" s="202">
        <f>VLOOKUP(G511,'CP FACTORS'!$A$3:$B$38, 2, FALSE)</f>
        <v>4.6608050000000002E-4</v>
      </c>
      <c r="I511" s="506">
        <f>(1/G524-1/G525)*G526*G528*G529/(G530*G531)</f>
        <v>1.5815800000000002</v>
      </c>
      <c r="J511" s="506">
        <f>K511*G536*G537</f>
        <v>1.1085792785128203</v>
      </c>
      <c r="K511" s="1059">
        <f>(1/G524-1/G525)*G526*G532*G533/(100000*G539)</f>
        <v>1.204951282051282</v>
      </c>
      <c r="L511" s="1861">
        <f>ROUND(H511*F511,6)</f>
        <v>1.2539999999999999E-3</v>
      </c>
      <c r="M511" s="506">
        <f>$G$543</f>
        <v>20</v>
      </c>
      <c r="N511" s="508">
        <f>$G$544</f>
        <v>4.2205065958870298</v>
      </c>
      <c r="O511" s="506">
        <v>1</v>
      </c>
      <c r="P511" s="1012"/>
      <c r="Q511" s="1012"/>
      <c r="R511" s="1012"/>
      <c r="S511" s="1012"/>
      <c r="T511" s="1012"/>
      <c r="U511" s="1012"/>
      <c r="V511" s="208" t="str">
        <f>$F$508</f>
        <v>kWh
Annual Savings</v>
      </c>
      <c r="W511" s="285">
        <v>114.3457559964678</v>
      </c>
      <c r="X511" s="1060">
        <v>114.3457559964678</v>
      </c>
      <c r="Y511" s="1061">
        <v>2.69</v>
      </c>
      <c r="Z511" s="2776">
        <v>2.69</v>
      </c>
      <c r="AA511" s="2776">
        <v>2.69</v>
      </c>
      <c r="AB511" s="2776">
        <v>2.69</v>
      </c>
      <c r="AC511" s="208"/>
      <c r="AD511" s="208"/>
      <c r="AE511" s="208"/>
      <c r="AF511" s="208"/>
      <c r="AG511" s="208"/>
      <c r="AK511" s="982"/>
      <c r="BB511" s="74">
        <f>(BD511)/(BE511)</f>
        <v>0.80385075377941162</v>
      </c>
      <c r="BC511" s="72" t="str">
        <f>CONCATENATE(G511," ",M511," Year EUL")</f>
        <v>HVAC RES 20 Year EUL</v>
      </c>
      <c r="BD511" s="153">
        <f>(INDEX('Avoided Cost Benefits'!$C$4:$C$857,MATCH(BC511,'Avoided Cost Benefits'!$A$4:$A$857,0)))*F511</f>
        <v>3.2021306356156369</v>
      </c>
      <c r="BE511" s="75">
        <f>N511/(1.0595^(2020-2019))</f>
        <v>3.9834890003652945</v>
      </c>
    </row>
    <row r="512" spans="1:57" s="993" customFormat="1" ht="15" customHeight="1" outlineLevel="1" x14ac:dyDescent="0.25">
      <c r="A512" s="1012"/>
      <c r="B512" s="1020"/>
      <c r="C512" s="1009"/>
      <c r="D512" s="1862"/>
      <c r="E512" s="1862"/>
      <c r="F512" s="1063"/>
      <c r="G512" s="1063"/>
      <c r="H512" s="1063"/>
      <c r="I512" s="1063" t="s">
        <v>1693</v>
      </c>
      <c r="J512" s="1063"/>
      <c r="K512" s="1063"/>
      <c r="L512" s="1063"/>
      <c r="M512" s="1012"/>
      <c r="N512" s="1012"/>
      <c r="O512" s="1012"/>
      <c r="P512" s="1012"/>
      <c r="Q512" s="1012"/>
      <c r="R512" s="1012"/>
      <c r="S512" s="1012"/>
      <c r="T512" s="1012"/>
      <c r="U512" s="1012"/>
      <c r="Y512" s="1701" t="s">
        <v>1581</v>
      </c>
      <c r="AK512" s="982"/>
      <c r="BB512" s="1008"/>
    </row>
    <row r="513" spans="1:54" s="993" customFormat="1" ht="15" customHeight="1" outlineLevel="1" x14ac:dyDescent="0.25">
      <c r="A513" s="1012"/>
      <c r="B513" s="1020"/>
      <c r="C513" s="1009"/>
      <c r="D513" s="222" t="s">
        <v>571</v>
      </c>
      <c r="E513" s="1863"/>
      <c r="F513" s="1064"/>
      <c r="G513" s="1064"/>
      <c r="H513" s="1064"/>
      <c r="I513" s="1064"/>
      <c r="J513" s="1064"/>
      <c r="K513" s="1064"/>
      <c r="L513" s="1063"/>
      <c r="M513" s="1012"/>
      <c r="N513" s="1012"/>
      <c r="O513" s="1012"/>
      <c r="P513" s="1012"/>
      <c r="Q513" s="1012"/>
      <c r="R513" s="1012"/>
      <c r="S513" s="1012"/>
      <c r="T513" s="1012"/>
      <c r="U513" s="1012"/>
      <c r="Y513" s="1013"/>
      <c r="AK513" s="982"/>
      <c r="BB513" s="1008"/>
    </row>
    <row r="514" spans="1:54" s="993" customFormat="1" ht="15" customHeight="1" outlineLevel="1" x14ac:dyDescent="0.25">
      <c r="A514" s="1012"/>
      <c r="B514" s="1020"/>
      <c r="C514" s="1009"/>
      <c r="D514" s="1863"/>
      <c r="E514" s="1863"/>
      <c r="F514" s="1064"/>
      <c r="G514" s="1064"/>
      <c r="H514" s="1064"/>
      <c r="I514" s="1064"/>
      <c r="J514" s="1064"/>
      <c r="K514" s="1064"/>
      <c r="L514" s="1063"/>
      <c r="M514" s="1012"/>
      <c r="N514" s="1012"/>
      <c r="O514" s="1012"/>
      <c r="P514" s="1012"/>
      <c r="Q514" s="1012"/>
      <c r="R514" s="1012"/>
      <c r="S514" s="1012"/>
      <c r="T514" s="1012"/>
      <c r="U514" s="1012"/>
      <c r="Y514" s="1013"/>
      <c r="AK514" s="982"/>
      <c r="BB514" s="1008"/>
    </row>
    <row r="515" spans="1:54" s="993" customFormat="1" ht="27.75" customHeight="1" outlineLevel="1" x14ac:dyDescent="0.25">
      <c r="A515" s="1012"/>
      <c r="B515" s="1020"/>
      <c r="C515" s="1009"/>
      <c r="D515" s="1863"/>
      <c r="E515" s="1863"/>
      <c r="F515" s="1064"/>
      <c r="G515" s="1064"/>
      <c r="H515" s="1064"/>
      <c r="I515" s="1064"/>
      <c r="J515" s="1064"/>
      <c r="K515" s="1064"/>
      <c r="L515" s="1063"/>
      <c r="M515" s="1012"/>
      <c r="N515" s="1012"/>
      <c r="O515" s="1012"/>
      <c r="P515" s="1012"/>
      <c r="Q515" s="1012"/>
      <c r="R515" s="1012"/>
      <c r="S515" s="1012"/>
      <c r="T515" s="1012"/>
      <c r="U515" s="1012"/>
      <c r="Y515" s="1013"/>
      <c r="AK515" s="982"/>
      <c r="BB515" s="1008"/>
    </row>
    <row r="516" spans="1:54" s="993" customFormat="1" ht="15" customHeight="1" outlineLevel="1" x14ac:dyDescent="0.25">
      <c r="A516" s="1012"/>
      <c r="B516" s="1020"/>
      <c r="C516" s="1009"/>
      <c r="D516" s="1863"/>
      <c r="E516" s="1863"/>
      <c r="F516" s="1064"/>
      <c r="G516" s="1064"/>
      <c r="H516" s="1064"/>
      <c r="I516" s="1064"/>
      <c r="J516" s="1064"/>
      <c r="K516" s="1064"/>
      <c r="L516" s="1063"/>
      <c r="M516" s="1012"/>
      <c r="N516" s="1012"/>
      <c r="O516" s="1012"/>
      <c r="P516" s="1012"/>
      <c r="Q516" s="1012"/>
      <c r="R516" s="1012"/>
      <c r="S516" s="1012"/>
      <c r="T516" s="1012"/>
      <c r="U516" s="1012"/>
      <c r="Y516" s="1013"/>
      <c r="AK516" s="982"/>
      <c r="BB516" s="1008"/>
    </row>
    <row r="517" spans="1:54" s="993" customFormat="1" ht="15" customHeight="1" outlineLevel="1" x14ac:dyDescent="0.25">
      <c r="A517" s="1012"/>
      <c r="B517" s="1020"/>
      <c r="C517" s="1009"/>
      <c r="D517" s="1863"/>
      <c r="E517" s="1863"/>
      <c r="F517" s="1064"/>
      <c r="G517" s="1064"/>
      <c r="H517" s="1064"/>
      <c r="I517" s="1064"/>
      <c r="J517" s="1064"/>
      <c r="K517" s="1064"/>
      <c r="L517" s="1063"/>
      <c r="M517" s="1012"/>
      <c r="N517" s="1012"/>
      <c r="O517" s="1012"/>
      <c r="P517" s="1012"/>
      <c r="Q517" s="1012"/>
      <c r="R517" s="1012"/>
      <c r="S517" s="1012"/>
      <c r="T517" s="1012"/>
      <c r="U517" s="1012"/>
      <c r="Y517" s="1013"/>
      <c r="AK517" s="982"/>
      <c r="BB517" s="1008"/>
    </row>
    <row r="518" spans="1:54" s="993" customFormat="1" ht="15" customHeight="1" outlineLevel="1" x14ac:dyDescent="0.25">
      <c r="A518" s="1012"/>
      <c r="B518" s="1020"/>
      <c r="C518" s="1009"/>
      <c r="D518" s="1863"/>
      <c r="E518" s="1862"/>
      <c r="F518" s="1064"/>
      <c r="G518" s="1864" t="s">
        <v>1694</v>
      </c>
      <c r="H518" s="1064"/>
      <c r="I518" s="1064"/>
      <c r="J518" s="1064"/>
      <c r="K518" s="1064"/>
      <c r="L518" s="1063"/>
      <c r="M518" s="1012"/>
      <c r="N518" s="1012"/>
      <c r="O518" s="1012"/>
      <c r="P518" s="1012"/>
      <c r="Q518" s="1012"/>
      <c r="R518" s="1012"/>
      <c r="S518" s="1012"/>
      <c r="T518" s="1012"/>
      <c r="U518" s="1012"/>
      <c r="Y518" s="1013"/>
      <c r="AK518" s="982"/>
      <c r="BB518" s="1008"/>
    </row>
    <row r="519" spans="1:54" s="993" customFormat="1" ht="15" customHeight="1" outlineLevel="1" x14ac:dyDescent="0.25">
      <c r="A519" s="1012"/>
      <c r="B519" s="1020"/>
      <c r="C519" s="1009"/>
      <c r="D519" s="1863" t="s">
        <v>1695</v>
      </c>
      <c r="E519" s="1863"/>
      <c r="F519" s="1064"/>
      <c r="G519" s="1064"/>
      <c r="H519" s="648"/>
      <c r="I519" s="1064"/>
      <c r="J519" s="1064"/>
      <c r="K519" s="1064"/>
      <c r="L519" s="1063"/>
      <c r="M519" s="1012"/>
      <c r="N519" s="1012"/>
      <c r="O519" s="1012"/>
      <c r="P519" s="1012"/>
      <c r="Q519" s="1012"/>
      <c r="R519" s="1012"/>
      <c r="S519" s="1012"/>
      <c r="T519" s="1012"/>
      <c r="U519" s="1012"/>
      <c r="Y519" s="1013"/>
      <c r="AK519" s="982"/>
      <c r="BB519" s="1008"/>
    </row>
    <row r="520" spans="1:54" s="993" customFormat="1" ht="15" customHeight="1" outlineLevel="1" x14ac:dyDescent="0.25">
      <c r="A520" s="1012"/>
      <c r="B520" s="1020"/>
      <c r="C520" s="1009"/>
      <c r="D520" s="1863"/>
      <c r="E520" s="920"/>
      <c r="F520" s="1064"/>
      <c r="G520" s="1064"/>
      <c r="H520" s="1064"/>
      <c r="I520" s="1064"/>
      <c r="J520" s="1064"/>
      <c r="K520" s="1064"/>
      <c r="L520" s="1063"/>
      <c r="M520" s="1012"/>
      <c r="N520" s="1012"/>
      <c r="O520" s="1012"/>
      <c r="P520" s="1012"/>
      <c r="Q520" s="1012"/>
      <c r="R520" s="1012"/>
      <c r="S520" s="1012"/>
      <c r="T520" s="1012"/>
      <c r="U520" s="1012"/>
      <c r="Y520" s="1013"/>
      <c r="AK520" s="982"/>
      <c r="BB520" s="1008"/>
    </row>
    <row r="521" spans="1:54" s="993" customFormat="1" ht="15" customHeight="1" outlineLevel="1" x14ac:dyDescent="0.25">
      <c r="A521" s="1012"/>
      <c r="B521" s="1020"/>
      <c r="C521" s="1009"/>
      <c r="D521" s="1863"/>
      <c r="E521" s="1863"/>
      <c r="F521" s="1064"/>
      <c r="G521" s="1064"/>
      <c r="H521" s="1064"/>
      <c r="I521" s="1064"/>
      <c r="J521" s="1064"/>
      <c r="K521" s="1064"/>
      <c r="L521" s="1063"/>
      <c r="M521" s="1012"/>
      <c r="N521" s="1012"/>
      <c r="O521" s="1012"/>
      <c r="P521" s="1012"/>
      <c r="Q521" s="1012"/>
      <c r="R521" s="1012"/>
      <c r="S521" s="1012"/>
      <c r="T521" s="1012"/>
      <c r="U521" s="1012"/>
      <c r="Y521" s="1013"/>
      <c r="AK521" s="982"/>
      <c r="BB521" s="1008"/>
    </row>
    <row r="522" spans="1:54" s="993" customFormat="1" ht="15" customHeight="1" outlineLevel="1" x14ac:dyDescent="0.25">
      <c r="A522" s="1012"/>
      <c r="B522" s="1020"/>
      <c r="C522" s="1009"/>
      <c r="D522" s="1862"/>
      <c r="E522" s="1862"/>
      <c r="F522" s="1063"/>
      <c r="G522" s="1063"/>
      <c r="H522" s="1063"/>
      <c r="I522" s="1063"/>
      <c r="J522" s="1063"/>
      <c r="K522" s="1063"/>
      <c r="L522" s="1063"/>
      <c r="M522" s="1012"/>
      <c r="N522" s="1012"/>
      <c r="O522" s="1012"/>
      <c r="P522" s="1012"/>
      <c r="Q522" s="1012"/>
      <c r="R522" s="1012"/>
      <c r="S522" s="1012"/>
      <c r="T522" s="1012"/>
      <c r="U522" s="1012"/>
      <c r="Y522" s="1013"/>
      <c r="AK522" s="982"/>
      <c r="BB522" s="1008"/>
    </row>
    <row r="523" spans="1:54" s="993" customFormat="1" ht="15" customHeight="1" outlineLevel="1" x14ac:dyDescent="0.25">
      <c r="A523" s="1012"/>
      <c r="B523" s="1020"/>
      <c r="C523" s="1009"/>
      <c r="D523" s="1456" t="s">
        <v>572</v>
      </c>
      <c r="E523" s="1456" t="s">
        <v>573</v>
      </c>
      <c r="F523" s="1409" t="s">
        <v>623</v>
      </c>
      <c r="G523" s="1409" t="s">
        <v>574</v>
      </c>
      <c r="H523" s="3419" t="s">
        <v>624</v>
      </c>
      <c r="I523" s="3483"/>
      <c r="J523" s="3419" t="s">
        <v>575</v>
      </c>
      <c r="K523" s="3419"/>
      <c r="L523" s="3419"/>
      <c r="M523" s="1012"/>
      <c r="N523" s="1012"/>
      <c r="O523" s="1012"/>
      <c r="P523" s="1012"/>
      <c r="Q523" s="1012"/>
      <c r="R523" s="1012"/>
      <c r="S523" s="1012"/>
      <c r="T523" s="1012"/>
      <c r="U523" s="1012"/>
      <c r="V523" s="55" t="s">
        <v>27</v>
      </c>
      <c r="W523" s="56">
        <f>W$6</f>
        <v>43252</v>
      </c>
      <c r="X523" s="56">
        <f t="shared" ref="X523:AG523" si="59">X$6</f>
        <v>43465</v>
      </c>
      <c r="Y523" s="420">
        <f t="shared" si="59"/>
        <v>43800</v>
      </c>
      <c r="Z523" s="56">
        <f t="shared" si="59"/>
        <v>43862</v>
      </c>
      <c r="AA523" s="56">
        <f t="shared" si="59"/>
        <v>44013</v>
      </c>
      <c r="AB523" s="56">
        <f t="shared" si="59"/>
        <v>44166</v>
      </c>
      <c r="AC523" s="56" t="str">
        <f t="shared" si="59"/>
        <v>-</v>
      </c>
      <c r="AD523" s="56" t="str">
        <f t="shared" si="59"/>
        <v>-</v>
      </c>
      <c r="AE523" s="56" t="str">
        <f t="shared" si="59"/>
        <v>-</v>
      </c>
      <c r="AF523" s="56" t="str">
        <f t="shared" si="59"/>
        <v>-</v>
      </c>
      <c r="AG523" s="56" t="str">
        <f t="shared" si="59"/>
        <v>-</v>
      </c>
      <c r="AK523" s="982"/>
      <c r="BB523" s="1008"/>
    </row>
    <row r="524" spans="1:54" s="993" customFormat="1" outlineLevel="1" x14ac:dyDescent="0.25">
      <c r="A524" s="1012"/>
      <c r="B524" s="1020"/>
      <c r="C524" s="1009"/>
      <c r="D524" s="1467" t="s">
        <v>3240</v>
      </c>
      <c r="E524" s="1445" t="s">
        <v>1696</v>
      </c>
      <c r="F524" s="1865"/>
      <c r="G524" s="1866">
        <v>4</v>
      </c>
      <c r="H524" s="3866" t="s">
        <v>1697</v>
      </c>
      <c r="I524" s="3867"/>
      <c r="J524" s="3866"/>
      <c r="K524" s="3866"/>
      <c r="L524" s="3866"/>
      <c r="M524" s="1012"/>
      <c r="N524" s="1012"/>
      <c r="O524" s="1012"/>
      <c r="P524" s="1012"/>
      <c r="Q524" s="1012"/>
      <c r="R524" s="1012"/>
      <c r="S524" s="1012"/>
      <c r="T524" s="1012"/>
      <c r="U524" s="1012"/>
      <c r="V524" s="1026" t="str">
        <f>D524</f>
        <v>Rexisting</v>
      </c>
      <c r="W524" s="1066">
        <v>4</v>
      </c>
      <c r="X524" s="1066">
        <v>4</v>
      </c>
      <c r="Y524" s="1066">
        <v>4</v>
      </c>
      <c r="Z524" s="1866">
        <v>4</v>
      </c>
      <c r="AA524" s="1866">
        <v>4</v>
      </c>
      <c r="AB524" s="1866">
        <v>4</v>
      </c>
      <c r="AC524" s="1066"/>
      <c r="AD524" s="1066"/>
      <c r="AE524" s="1066"/>
      <c r="AF524" s="1066"/>
      <c r="AG524" s="1066"/>
      <c r="AK524" s="982"/>
      <c r="BB524" s="1008"/>
    </row>
    <row r="525" spans="1:54" s="993" customFormat="1" outlineLevel="1" x14ac:dyDescent="0.25">
      <c r="A525" s="1012"/>
      <c r="B525" s="1020"/>
      <c r="C525" s="1009"/>
      <c r="D525" s="1467" t="s">
        <v>3241</v>
      </c>
      <c r="E525" s="1445" t="s">
        <v>1698</v>
      </c>
      <c r="F525" s="1865"/>
      <c r="G525" s="1866">
        <v>8</v>
      </c>
      <c r="H525" s="3866" t="s">
        <v>1699</v>
      </c>
      <c r="I525" s="3867"/>
      <c r="J525" s="3866"/>
      <c r="K525" s="3866"/>
      <c r="L525" s="3866"/>
      <c r="M525" s="1012"/>
      <c r="N525" s="1012"/>
      <c r="O525" s="1012"/>
      <c r="P525" s="1012"/>
      <c r="Q525" s="1012"/>
      <c r="R525" s="1012"/>
      <c r="S525" s="1012"/>
      <c r="T525" s="1012"/>
      <c r="U525" s="1012"/>
      <c r="V525" s="1026" t="str">
        <f t="shared" ref="V525:V542" si="60">D525</f>
        <v>Rnew</v>
      </c>
      <c r="W525" s="1066">
        <v>8</v>
      </c>
      <c r="X525" s="1066">
        <v>8</v>
      </c>
      <c r="Y525" s="1066">
        <v>8</v>
      </c>
      <c r="Z525" s="1866">
        <v>8</v>
      </c>
      <c r="AA525" s="1866">
        <v>8</v>
      </c>
      <c r="AB525" s="1866">
        <v>8</v>
      </c>
      <c r="AC525" s="1066"/>
      <c r="AD525" s="1066"/>
      <c r="AE525" s="1066"/>
      <c r="AF525" s="1066"/>
      <c r="AG525" s="1066"/>
      <c r="AK525" s="982"/>
      <c r="BB525" s="1008"/>
    </row>
    <row r="526" spans="1:54" s="993" customFormat="1" outlineLevel="1" x14ac:dyDescent="0.25">
      <c r="A526" s="1012"/>
      <c r="B526" s="1012"/>
      <c r="C526" s="1009"/>
      <c r="D526" s="3876" t="s">
        <v>1700</v>
      </c>
      <c r="E526" s="3821" t="s">
        <v>1701</v>
      </c>
      <c r="F526" s="1442" t="s">
        <v>1702</v>
      </c>
      <c r="G526" s="1867">
        <f>SQRT(F$78)*((12+30+12+30)/12)</f>
        <v>7</v>
      </c>
      <c r="H526" s="3878" t="s">
        <v>1703</v>
      </c>
      <c r="I526" s="3879"/>
      <c r="J526" s="3866"/>
      <c r="K526" s="3866"/>
      <c r="L526" s="3866"/>
      <c r="M526" s="1012"/>
      <c r="N526" s="1012"/>
      <c r="O526" s="1012"/>
      <c r="P526" s="1012"/>
      <c r="Q526" s="1012"/>
      <c r="R526" s="1012"/>
      <c r="S526" s="1012"/>
      <c r="T526" s="1012"/>
      <c r="U526" s="1012"/>
      <c r="V526" s="1056" t="str">
        <f>F526</f>
        <v xml:space="preserve">Area - Single Family </v>
      </c>
      <c r="W526" s="1067">
        <f>SQRT(W$78)*((12+30+12+30)/12)</f>
        <v>260.69714229350501</v>
      </c>
      <c r="X526" s="1067">
        <f>SQRT(X$78)*((12+30+12+30)/12)</f>
        <v>260.69714229350501</v>
      </c>
      <c r="Y526" s="1067">
        <f>SQRT(Y$78)*((12+30+12+30)/12)</f>
        <v>7</v>
      </c>
      <c r="Z526" s="1867">
        <f t="shared" ref="Z526:AB526" si="61">SQRT(Z$78)*((12+30+12+30)/12)</f>
        <v>7</v>
      </c>
      <c r="AA526" s="1867">
        <f t="shared" si="61"/>
        <v>7</v>
      </c>
      <c r="AB526" s="1867">
        <f t="shared" si="61"/>
        <v>7</v>
      </c>
      <c r="AC526" s="1067"/>
      <c r="AD526" s="1067"/>
      <c r="AE526" s="1067"/>
      <c r="AF526" s="1067"/>
      <c r="AG526" s="1067"/>
      <c r="AK526" s="982"/>
      <c r="BB526" s="1008"/>
    </row>
    <row r="527" spans="1:54" s="993" customFormat="1" outlineLevel="1" x14ac:dyDescent="0.25">
      <c r="A527" s="1012"/>
      <c r="B527" s="1012"/>
      <c r="C527" s="1009"/>
      <c r="D527" s="3877"/>
      <c r="E527" s="3438"/>
      <c r="F527" s="1442" t="s">
        <v>1704</v>
      </c>
      <c r="G527" s="1868">
        <f>SQRT(F$81)*((12+30+12+30)/12)</f>
        <v>7</v>
      </c>
      <c r="H527" s="3866" t="s">
        <v>1703</v>
      </c>
      <c r="I527" s="3866"/>
      <c r="J527" s="3880"/>
      <c r="K527" s="3866"/>
      <c r="L527" s="3866"/>
      <c r="M527" s="1012"/>
      <c r="N527" s="1012"/>
      <c r="O527" s="1012"/>
      <c r="P527" s="1012"/>
      <c r="Q527" s="1012"/>
      <c r="R527" s="1012"/>
      <c r="S527" s="1012"/>
      <c r="T527" s="1012"/>
      <c r="U527" s="1012"/>
      <c r="V527" s="1056" t="str">
        <f>F527</f>
        <v>Area - Mobile Home</v>
      </c>
      <c r="W527" s="1068">
        <f>SQRT(W$81)*((12+30+12+30)/12)</f>
        <v>230.04347415216975</v>
      </c>
      <c r="X527" s="1068">
        <f>SQRT(X$81)*((12+30+12+30)/12)</f>
        <v>230.04347415216975</v>
      </c>
      <c r="Y527" s="1068">
        <f>SQRT(Y$81)*((12+30+12+30)/12)</f>
        <v>7</v>
      </c>
      <c r="Z527" s="1868">
        <f t="shared" ref="Z527:AB527" si="62">SQRT(Z$81)*((12+30+12+30)/12)</f>
        <v>7</v>
      </c>
      <c r="AA527" s="1868">
        <f t="shared" si="62"/>
        <v>7</v>
      </c>
      <c r="AB527" s="1868">
        <f t="shared" si="62"/>
        <v>7</v>
      </c>
      <c r="AC527" s="1068"/>
      <c r="AD527" s="1068"/>
      <c r="AE527" s="1068"/>
      <c r="AF527" s="1068"/>
      <c r="AG527" s="1067"/>
      <c r="AK527" s="982"/>
      <c r="BB527" s="1008"/>
    </row>
    <row r="528" spans="1:54" s="993" customFormat="1" outlineLevel="1" x14ac:dyDescent="0.25">
      <c r="A528" s="1012"/>
      <c r="B528" s="1012"/>
      <c r="C528" s="1009"/>
      <c r="D528" s="1869" t="s">
        <v>495</v>
      </c>
      <c r="E528" s="1442" t="s">
        <v>1705</v>
      </c>
      <c r="F528" s="1442"/>
      <c r="G528" s="1870">
        <v>869</v>
      </c>
      <c r="H528" s="3870" t="s">
        <v>3242</v>
      </c>
      <c r="I528" s="3871"/>
      <c r="J528" s="3872" t="s">
        <v>1706</v>
      </c>
      <c r="K528" s="3872"/>
      <c r="L528" s="3872"/>
      <c r="M528" s="1871"/>
      <c r="N528" s="1012"/>
      <c r="O528" s="1012"/>
      <c r="P528" s="1012"/>
      <c r="Q528" s="1012"/>
      <c r="R528" s="1012"/>
      <c r="S528" s="1012"/>
      <c r="T528" s="1012"/>
      <c r="U528" s="1012"/>
      <c r="V528" s="1026" t="str">
        <f t="shared" si="60"/>
        <v>EFLHcool</v>
      </c>
      <c r="W528" s="251">
        <v>869</v>
      </c>
      <c r="X528" s="251">
        <v>869</v>
      </c>
      <c r="Y528" s="251">
        <v>869</v>
      </c>
      <c r="Z528" s="1870">
        <v>869</v>
      </c>
      <c r="AA528" s="1870">
        <v>869</v>
      </c>
      <c r="AB528" s="1870">
        <v>869</v>
      </c>
      <c r="AC528" s="251"/>
      <c r="AD528" s="251"/>
      <c r="AE528" s="251"/>
      <c r="AF528" s="251"/>
      <c r="AG528" s="251"/>
      <c r="AK528" s="982"/>
      <c r="BB528" s="1008"/>
    </row>
    <row r="529" spans="1:54" s="993" customFormat="1" ht="30" outlineLevel="1" x14ac:dyDescent="0.25">
      <c r="A529" s="1012"/>
      <c r="B529" s="1012"/>
      <c r="C529" s="1009"/>
      <c r="D529" s="1869" t="s">
        <v>3243</v>
      </c>
      <c r="E529" s="1442" t="s">
        <v>1707</v>
      </c>
      <c r="F529" s="1442"/>
      <c r="G529" s="1870">
        <v>20.8</v>
      </c>
      <c r="H529" s="3873" t="s">
        <v>1708</v>
      </c>
      <c r="I529" s="3874"/>
      <c r="J529" s="3875" t="s">
        <v>1706</v>
      </c>
      <c r="K529" s="3875"/>
      <c r="L529" s="3875"/>
      <c r="M529" s="1871"/>
      <c r="N529" s="1012"/>
      <c r="O529" s="1012"/>
      <c r="P529" s="1012"/>
      <c r="Q529" s="1012"/>
      <c r="R529" s="1012"/>
      <c r="S529" s="1012"/>
      <c r="T529" s="1012"/>
      <c r="U529" s="1012"/>
      <c r="V529" s="1026" t="str">
        <f t="shared" si="60"/>
        <v>ΔTAVG, cooling</v>
      </c>
      <c r="W529" s="251">
        <v>20.8</v>
      </c>
      <c r="X529" s="251">
        <v>20.8</v>
      </c>
      <c r="Y529" s="251">
        <v>20.8</v>
      </c>
      <c r="Z529" s="1870">
        <v>20.8</v>
      </c>
      <c r="AA529" s="1870">
        <v>20.8</v>
      </c>
      <c r="AB529" s="1870">
        <v>20.8</v>
      </c>
      <c r="AC529" s="251"/>
      <c r="AD529" s="251"/>
      <c r="AE529" s="251"/>
      <c r="AF529" s="251"/>
      <c r="AG529" s="251"/>
      <c r="AK529" s="982"/>
      <c r="BB529" s="1008"/>
    </row>
    <row r="530" spans="1:54" s="993" customFormat="1" outlineLevel="1" x14ac:dyDescent="0.25">
      <c r="A530" s="1012"/>
      <c r="B530" s="1012"/>
      <c r="C530" s="1009"/>
      <c r="D530" s="1869">
        <v>1000</v>
      </c>
      <c r="E530" s="1442" t="s">
        <v>1552</v>
      </c>
      <c r="F530" s="1442"/>
      <c r="G530" s="1870">
        <v>1000</v>
      </c>
      <c r="H530" s="3459" t="s">
        <v>1553</v>
      </c>
      <c r="I530" s="3477"/>
      <c r="J530" s="3875" t="s">
        <v>1706</v>
      </c>
      <c r="K530" s="3875"/>
      <c r="L530" s="3875"/>
      <c r="M530" s="1871"/>
      <c r="N530" s="1012"/>
      <c r="O530" s="1012"/>
      <c r="P530" s="1012"/>
      <c r="Q530" s="1012"/>
      <c r="R530" s="1012"/>
      <c r="S530" s="1012"/>
      <c r="T530" s="1012"/>
      <c r="U530" s="1012"/>
      <c r="V530" s="1026">
        <f t="shared" si="60"/>
        <v>1000</v>
      </c>
      <c r="W530" s="251">
        <v>1000</v>
      </c>
      <c r="X530" s="251">
        <v>1000</v>
      </c>
      <c r="Y530" s="251">
        <v>1000</v>
      </c>
      <c r="Z530" s="1870">
        <v>1000</v>
      </c>
      <c r="AA530" s="1870">
        <v>1000</v>
      </c>
      <c r="AB530" s="1870">
        <v>1000</v>
      </c>
      <c r="AC530" s="251"/>
      <c r="AD530" s="251"/>
      <c r="AE530" s="251"/>
      <c r="AF530" s="251"/>
      <c r="AG530" s="251"/>
      <c r="AK530" s="982"/>
      <c r="BB530" s="1008"/>
    </row>
    <row r="531" spans="1:54" s="993" customFormat="1" outlineLevel="1" x14ac:dyDescent="0.25">
      <c r="A531" s="1012"/>
      <c r="B531" s="1012"/>
      <c r="C531" s="1009"/>
      <c r="D531" s="1869" t="s">
        <v>745</v>
      </c>
      <c r="E531" s="1442" t="s">
        <v>1709</v>
      </c>
      <c r="F531" s="1442"/>
      <c r="G531" s="1870">
        <v>10</v>
      </c>
      <c r="H531" s="3873" t="s">
        <v>1710</v>
      </c>
      <c r="I531" s="3874"/>
      <c r="J531" s="3875" t="s">
        <v>1711</v>
      </c>
      <c r="K531" s="3875"/>
      <c r="L531" s="3875"/>
      <c r="M531" s="1871"/>
      <c r="N531" s="1012"/>
      <c r="O531" s="1012"/>
      <c r="P531" s="1012"/>
      <c r="Q531" s="1012"/>
      <c r="R531" s="1012"/>
      <c r="S531" s="1012"/>
      <c r="T531" s="1012"/>
      <c r="U531" s="1012"/>
      <c r="V531" s="1026" t="str">
        <f t="shared" si="60"/>
        <v>SEER</v>
      </c>
      <c r="W531" s="251">
        <v>10</v>
      </c>
      <c r="X531" s="251">
        <v>10</v>
      </c>
      <c r="Y531" s="251">
        <v>10</v>
      </c>
      <c r="Z531" s="1870">
        <v>10</v>
      </c>
      <c r="AA531" s="1870">
        <v>10</v>
      </c>
      <c r="AB531" s="1870">
        <v>10</v>
      </c>
      <c r="AC531" s="251"/>
      <c r="AD531" s="251"/>
      <c r="AE531" s="251"/>
      <c r="AF531" s="251"/>
      <c r="AG531" s="251"/>
      <c r="AK531" s="982"/>
      <c r="BB531" s="1008"/>
    </row>
    <row r="532" spans="1:54" s="993" customFormat="1" outlineLevel="1" x14ac:dyDescent="0.25">
      <c r="A532" s="1012"/>
      <c r="B532" s="1012"/>
      <c r="C532" s="1009"/>
      <c r="D532" s="1869" t="s">
        <v>496</v>
      </c>
      <c r="E532" s="1442" t="s">
        <v>1288</v>
      </c>
      <c r="F532" s="1442"/>
      <c r="G532" s="1870">
        <v>1496</v>
      </c>
      <c r="H532" s="3870" t="s">
        <v>3242</v>
      </c>
      <c r="I532" s="3871"/>
      <c r="J532" s="3872" t="s">
        <v>1706</v>
      </c>
      <c r="K532" s="3872"/>
      <c r="L532" s="3872"/>
      <c r="M532" s="1871"/>
      <c r="N532" s="1012"/>
      <c r="O532" s="1012"/>
      <c r="P532" s="1012"/>
      <c r="Q532" s="1012"/>
      <c r="R532" s="1012"/>
      <c r="S532" s="1012"/>
      <c r="T532" s="1012"/>
      <c r="U532" s="1012"/>
      <c r="V532" s="1026" t="str">
        <f t="shared" si="60"/>
        <v>EFLHheat</v>
      </c>
      <c r="W532" s="251">
        <v>2009</v>
      </c>
      <c r="X532" s="251">
        <v>2009</v>
      </c>
      <c r="Y532" s="1070">
        <v>1496</v>
      </c>
      <c r="Z532" s="1870">
        <v>1496</v>
      </c>
      <c r="AA532" s="1870">
        <v>1496</v>
      </c>
      <c r="AB532" s="1870">
        <v>1496</v>
      </c>
      <c r="AC532" s="251"/>
      <c r="AD532" s="251"/>
      <c r="AE532" s="251"/>
      <c r="AF532" s="251"/>
      <c r="AG532" s="251"/>
      <c r="AK532" s="982"/>
      <c r="BB532" s="1008"/>
    </row>
    <row r="533" spans="1:54" s="993" customFormat="1" ht="30" outlineLevel="1" x14ac:dyDescent="0.25">
      <c r="A533" s="1012"/>
      <c r="B533" s="1012"/>
      <c r="C533" s="1009"/>
      <c r="D533" s="1869" t="s">
        <v>3244</v>
      </c>
      <c r="E533" s="1442" t="s">
        <v>1712</v>
      </c>
      <c r="F533" s="1442"/>
      <c r="G533" s="1870">
        <v>71.8</v>
      </c>
      <c r="H533" s="3873" t="s">
        <v>1708</v>
      </c>
      <c r="I533" s="3874"/>
      <c r="J533" s="3875" t="s">
        <v>1706</v>
      </c>
      <c r="K533" s="3875"/>
      <c r="L533" s="3875"/>
      <c r="M533" s="1871"/>
      <c r="N533" s="1012"/>
      <c r="O533" s="1012"/>
      <c r="P533" s="1012"/>
      <c r="Q533" s="1012"/>
      <c r="R533" s="1012"/>
      <c r="S533" s="1012"/>
      <c r="T533" s="1012"/>
      <c r="U533" s="1012"/>
      <c r="V533" s="1026" t="str">
        <f t="shared" si="60"/>
        <v>ΔTAVG, heating</v>
      </c>
      <c r="W533" s="251">
        <v>71.8</v>
      </c>
      <c r="X533" s="251">
        <v>71.8</v>
      </c>
      <c r="Y533" s="251">
        <v>71.8</v>
      </c>
      <c r="Z533" s="1870">
        <v>71.8</v>
      </c>
      <c r="AA533" s="1870">
        <v>71.8</v>
      </c>
      <c r="AB533" s="1870">
        <v>71.8</v>
      </c>
      <c r="AC533" s="251"/>
      <c r="AD533" s="251"/>
      <c r="AE533" s="251"/>
      <c r="AF533" s="251"/>
      <c r="AG533" s="251"/>
      <c r="AK533" s="982"/>
      <c r="BB533" s="1008"/>
    </row>
    <row r="534" spans="1:54" s="993" customFormat="1" outlineLevel="1" x14ac:dyDescent="0.25">
      <c r="A534" s="1012"/>
      <c r="B534" s="1012"/>
      <c r="C534" s="1009"/>
      <c r="D534" s="1869">
        <v>3412</v>
      </c>
      <c r="E534" s="1442" t="s">
        <v>1026</v>
      </c>
      <c r="F534" s="1442"/>
      <c r="G534" s="1870">
        <v>3412</v>
      </c>
      <c r="H534" s="3527" t="s">
        <v>1009</v>
      </c>
      <c r="I534" s="3485"/>
      <c r="J534" s="3517" t="s">
        <v>1713</v>
      </c>
      <c r="K534" s="3517"/>
      <c r="L534" s="3517"/>
      <c r="M534" s="1871"/>
      <c r="N534" s="1012"/>
      <c r="O534" s="1012"/>
      <c r="P534" s="1012"/>
      <c r="Q534" s="1012"/>
      <c r="R534" s="1012"/>
      <c r="S534" s="1012"/>
      <c r="T534" s="1012"/>
      <c r="U534" s="1012"/>
      <c r="V534" s="1026">
        <f t="shared" si="60"/>
        <v>3412</v>
      </c>
      <c r="W534" s="251">
        <v>3412</v>
      </c>
      <c r="X534" s="251">
        <v>3412</v>
      </c>
      <c r="Y534" s="251">
        <v>3412</v>
      </c>
      <c r="Z534" s="1870">
        <v>3412</v>
      </c>
      <c r="AA534" s="1870">
        <v>3412</v>
      </c>
      <c r="AB534" s="1870">
        <v>3412</v>
      </c>
      <c r="AC534" s="251"/>
      <c r="AD534" s="251"/>
      <c r="AE534" s="251"/>
      <c r="AF534" s="251"/>
      <c r="AG534" s="251"/>
      <c r="AK534" s="982"/>
      <c r="BB534" s="1008"/>
    </row>
    <row r="535" spans="1:54" s="993" customFormat="1" outlineLevel="1" x14ac:dyDescent="0.25">
      <c r="A535" s="1012"/>
      <c r="B535" s="1012"/>
      <c r="C535" s="1009"/>
      <c r="D535" s="1869" t="s">
        <v>1714</v>
      </c>
      <c r="E535" s="1442" t="s">
        <v>1715</v>
      </c>
      <c r="F535" s="1442"/>
      <c r="G535" s="242">
        <v>1</v>
      </c>
      <c r="H535" s="3873" t="s">
        <v>1716</v>
      </c>
      <c r="I535" s="3874"/>
      <c r="J535" s="3875" t="s">
        <v>1706</v>
      </c>
      <c r="K535" s="3875"/>
      <c r="L535" s="3875"/>
      <c r="M535" s="1871"/>
      <c r="N535" s="1012"/>
      <c r="O535" s="1012"/>
      <c r="P535" s="1012"/>
      <c r="Q535" s="1012"/>
      <c r="R535" s="1012"/>
      <c r="S535" s="1012"/>
      <c r="T535" s="1012"/>
      <c r="U535" s="1012"/>
      <c r="V535" s="1026" t="str">
        <f t="shared" si="60"/>
        <v>COP</v>
      </c>
      <c r="W535" s="241">
        <v>1</v>
      </c>
      <c r="X535" s="241">
        <v>1</v>
      </c>
      <c r="Y535" s="241">
        <v>1</v>
      </c>
      <c r="Z535" s="242">
        <v>1</v>
      </c>
      <c r="AA535" s="242">
        <v>1</v>
      </c>
      <c r="AB535" s="242">
        <v>1</v>
      </c>
      <c r="AC535" s="241"/>
      <c r="AD535" s="241"/>
      <c r="AE535" s="241"/>
      <c r="AF535" s="241"/>
      <c r="AG535" s="241"/>
      <c r="AK535" s="982"/>
      <c r="BB535" s="1008"/>
    </row>
    <row r="536" spans="1:54" s="993" customFormat="1" ht="18" outlineLevel="1" x14ac:dyDescent="0.25">
      <c r="A536" s="1012"/>
      <c r="B536" s="1012"/>
      <c r="C536" s="1009"/>
      <c r="D536" s="1869" t="s">
        <v>3245</v>
      </c>
      <c r="E536" s="1442" t="s">
        <v>1717</v>
      </c>
      <c r="F536" s="1442"/>
      <c r="G536" s="1872">
        <v>3.1399999999999997E-2</v>
      </c>
      <c r="H536" s="3873" t="s">
        <v>1718</v>
      </c>
      <c r="I536" s="3874"/>
      <c r="J536" s="3875" t="s">
        <v>1706</v>
      </c>
      <c r="K536" s="3875"/>
      <c r="L536" s="3875"/>
      <c r="M536" s="1871"/>
      <c r="N536" s="1012"/>
      <c r="O536" s="1012"/>
      <c r="P536" s="1012"/>
      <c r="Q536" s="1012"/>
      <c r="R536" s="1012"/>
      <c r="S536" s="1012"/>
      <c r="T536" s="1012"/>
      <c r="U536" s="1012"/>
      <c r="V536" s="1026" t="str">
        <f t="shared" si="60"/>
        <v>Fe</v>
      </c>
      <c r="W536" s="1071">
        <v>3.1399999999999997E-2</v>
      </c>
      <c r="X536" s="1071">
        <v>3.1399999999999997E-2</v>
      </c>
      <c r="Y536" s="1071">
        <v>3.1399999999999997E-2</v>
      </c>
      <c r="Z536" s="1872">
        <v>3.1399999999999997E-2</v>
      </c>
      <c r="AA536" s="1872">
        <v>3.1399999999999997E-2</v>
      </c>
      <c r="AB536" s="1872">
        <v>3.1399999999999997E-2</v>
      </c>
      <c r="AC536" s="1071"/>
      <c r="AD536" s="1071"/>
      <c r="AE536" s="1071"/>
      <c r="AF536" s="1071"/>
      <c r="AG536" s="1071"/>
      <c r="AK536" s="982"/>
      <c r="BB536" s="1008"/>
    </row>
    <row r="537" spans="1:54" s="993" customFormat="1" outlineLevel="1" x14ac:dyDescent="0.25">
      <c r="A537" s="1012"/>
      <c r="B537" s="1012"/>
      <c r="C537" s="1009"/>
      <c r="D537" s="1869">
        <v>29.3</v>
      </c>
      <c r="E537" s="1442" t="s">
        <v>1719</v>
      </c>
      <c r="F537" s="1442"/>
      <c r="G537" s="1447">
        <v>29.3</v>
      </c>
      <c r="H537" s="3873" t="s">
        <v>1720</v>
      </c>
      <c r="I537" s="3874"/>
      <c r="J537" s="3875" t="s">
        <v>1706</v>
      </c>
      <c r="K537" s="3875"/>
      <c r="L537" s="3875"/>
      <c r="M537" s="1871"/>
      <c r="N537" s="1012"/>
      <c r="O537" s="1012"/>
      <c r="P537" s="1012"/>
      <c r="Q537" s="1012"/>
      <c r="R537" s="1012"/>
      <c r="S537" s="1012"/>
      <c r="T537" s="1012"/>
      <c r="U537" s="1012"/>
      <c r="V537" s="1026">
        <f t="shared" si="60"/>
        <v>29.3</v>
      </c>
      <c r="W537" s="246">
        <v>29.3</v>
      </c>
      <c r="X537" s="246">
        <v>29.3</v>
      </c>
      <c r="Y537" s="246">
        <v>29.3</v>
      </c>
      <c r="Z537" s="2752">
        <v>29.3</v>
      </c>
      <c r="AA537" s="2752">
        <v>29.3</v>
      </c>
      <c r="AB537" s="2752">
        <v>29.3</v>
      </c>
      <c r="AC537" s="246"/>
      <c r="AD537" s="246"/>
      <c r="AE537" s="246"/>
      <c r="AF537" s="246"/>
      <c r="AG537" s="246"/>
      <c r="AK537" s="982"/>
      <c r="BB537" s="1008"/>
    </row>
    <row r="538" spans="1:54" s="993" customFormat="1" outlineLevel="1" x14ac:dyDescent="0.25">
      <c r="A538" s="1012"/>
      <c r="B538" s="1012"/>
      <c r="C538" s="1009"/>
      <c r="D538" s="1873">
        <v>100000</v>
      </c>
      <c r="E538" s="1442" t="s">
        <v>1721</v>
      </c>
      <c r="F538" s="1442"/>
      <c r="G538" s="1870">
        <v>100000</v>
      </c>
      <c r="H538" s="3873" t="s">
        <v>1722</v>
      </c>
      <c r="I538" s="3874"/>
      <c r="J538" s="3517" t="s">
        <v>1723</v>
      </c>
      <c r="K538" s="3517"/>
      <c r="L538" s="3517"/>
      <c r="M538" s="1871"/>
      <c r="N538" s="1012"/>
      <c r="O538" s="1012"/>
      <c r="P538" s="1012"/>
      <c r="Q538" s="1012"/>
      <c r="R538" s="1012"/>
      <c r="S538" s="1012"/>
      <c r="T538" s="1012"/>
      <c r="U538" s="1012"/>
      <c r="V538" s="1026">
        <f t="shared" si="60"/>
        <v>100000</v>
      </c>
      <c r="W538" s="251">
        <v>100000</v>
      </c>
      <c r="X538" s="251">
        <v>100000</v>
      </c>
      <c r="Y538" s="251">
        <v>100000</v>
      </c>
      <c r="Z538" s="1870">
        <v>100000</v>
      </c>
      <c r="AA538" s="1870">
        <v>100000</v>
      </c>
      <c r="AB538" s="1870">
        <v>100000</v>
      </c>
      <c r="AC538" s="251"/>
      <c r="AD538" s="251"/>
      <c r="AE538" s="251"/>
      <c r="AF538" s="251"/>
      <c r="AG538" s="251"/>
      <c r="AK538" s="982"/>
      <c r="BB538" s="1008"/>
    </row>
    <row r="539" spans="1:54" s="993" customFormat="1" ht="18" outlineLevel="1" x14ac:dyDescent="0.25">
      <c r="A539" s="1012"/>
      <c r="B539" s="1012"/>
      <c r="C539" s="1009"/>
      <c r="D539" s="1874" t="s">
        <v>3246</v>
      </c>
      <c r="E539" s="1442" t="s">
        <v>1724</v>
      </c>
      <c r="F539" s="1442"/>
      <c r="G539" s="1875">
        <v>0.78</v>
      </c>
      <c r="H539" s="3866"/>
      <c r="I539" s="3867"/>
      <c r="J539" s="3517" t="s">
        <v>1723</v>
      </c>
      <c r="K539" s="3517"/>
      <c r="L539" s="3517"/>
      <c r="M539" s="1871"/>
      <c r="N539" s="1012"/>
      <c r="O539" s="1012"/>
      <c r="P539" s="1012"/>
      <c r="Q539" s="1012"/>
      <c r="R539" s="1012"/>
      <c r="S539" s="1012"/>
      <c r="T539" s="1012"/>
      <c r="U539" s="1012"/>
      <c r="V539" s="1026" t="str">
        <f t="shared" si="60"/>
        <v>Effheat</v>
      </c>
      <c r="W539" s="1072">
        <v>0.78</v>
      </c>
      <c r="X539" s="1072">
        <v>0.78</v>
      </c>
      <c r="Y539" s="1072">
        <v>0.78</v>
      </c>
      <c r="Z539" s="1875">
        <v>0.78</v>
      </c>
      <c r="AA539" s="1875">
        <v>0.78</v>
      </c>
      <c r="AB539" s="1875">
        <v>0.78</v>
      </c>
      <c r="AC539" s="1072"/>
      <c r="AD539" s="1072"/>
      <c r="AE539" s="1072"/>
      <c r="AF539" s="1072"/>
      <c r="AG539" s="1072"/>
      <c r="AK539" s="982"/>
      <c r="BB539" s="1008"/>
    </row>
    <row r="540" spans="1:54" s="993" customFormat="1" outlineLevel="1" x14ac:dyDescent="0.25">
      <c r="A540" s="1012"/>
      <c r="B540" s="1012"/>
      <c r="C540" s="1009"/>
      <c r="D540" s="1410" t="s">
        <v>925</v>
      </c>
      <c r="E540" s="1410" t="s">
        <v>1725</v>
      </c>
      <c r="F540" s="1410"/>
      <c r="G540" s="1150">
        <v>1</v>
      </c>
      <c r="H540" s="3509" t="s">
        <v>930</v>
      </c>
      <c r="I540" s="3493"/>
      <c r="J540" s="3875" t="s">
        <v>1726</v>
      </c>
      <c r="K540" s="3875"/>
      <c r="L540" s="3875"/>
      <c r="M540" s="1871"/>
      <c r="N540" s="1012"/>
      <c r="O540" s="1012"/>
      <c r="P540" s="1012"/>
      <c r="Q540" s="1012"/>
      <c r="R540" s="1012"/>
      <c r="S540" s="1012"/>
      <c r="T540" s="1012"/>
      <c r="U540" s="1012"/>
      <c r="V540" s="1026" t="str">
        <f t="shared" si="60"/>
        <v>Electric Saturation</v>
      </c>
      <c r="W540" s="1074">
        <v>1</v>
      </c>
      <c r="X540" s="1074">
        <v>1</v>
      </c>
      <c r="Y540" s="1074">
        <v>1</v>
      </c>
      <c r="Z540" s="1150">
        <v>1</v>
      </c>
      <c r="AA540" s="1150">
        <v>1</v>
      </c>
      <c r="AB540" s="1150">
        <v>1</v>
      </c>
      <c r="AC540" s="1074"/>
      <c r="AD540" s="1074"/>
      <c r="AE540" s="1074"/>
      <c r="AF540" s="1074"/>
      <c r="AG540" s="1074"/>
      <c r="AK540" s="982"/>
      <c r="BB540" s="1008"/>
    </row>
    <row r="541" spans="1:54" s="993" customFormat="1" outlineLevel="1" x14ac:dyDescent="0.25">
      <c r="A541" s="1012"/>
      <c r="B541" s="1012"/>
      <c r="C541" s="1009"/>
      <c r="D541" s="1410" t="s">
        <v>892</v>
      </c>
      <c r="E541" s="1410" t="s">
        <v>929</v>
      </c>
      <c r="F541" s="1410"/>
      <c r="G541" s="1150">
        <v>1</v>
      </c>
      <c r="H541" s="3509" t="s">
        <v>930</v>
      </c>
      <c r="I541" s="3493"/>
      <c r="J541" s="3875" t="s">
        <v>1726</v>
      </c>
      <c r="K541" s="3875"/>
      <c r="L541" s="3875"/>
      <c r="M541" s="1871"/>
      <c r="N541" s="1012"/>
      <c r="O541" s="1012"/>
      <c r="P541" s="1012"/>
      <c r="Q541" s="1012"/>
      <c r="R541" s="1012"/>
      <c r="S541" s="1012"/>
      <c r="T541" s="1012"/>
      <c r="U541" s="1012"/>
      <c r="V541" s="1026" t="str">
        <f t="shared" si="60"/>
        <v>Utility Adjustment</v>
      </c>
      <c r="W541" s="1074">
        <v>1</v>
      </c>
      <c r="X541" s="1074">
        <v>1</v>
      </c>
      <c r="Y541" s="1074">
        <v>1</v>
      </c>
      <c r="Z541" s="1150">
        <v>1</v>
      </c>
      <c r="AA541" s="1150">
        <v>1</v>
      </c>
      <c r="AB541" s="1150">
        <v>1</v>
      </c>
      <c r="AC541" s="1074"/>
      <c r="AD541" s="1074"/>
      <c r="AE541" s="1074"/>
      <c r="AF541" s="1074"/>
      <c r="AG541" s="1074"/>
      <c r="AK541" s="982"/>
      <c r="BB541" s="1008"/>
    </row>
    <row r="542" spans="1:54" s="993" customFormat="1" outlineLevel="1" x14ac:dyDescent="0.25">
      <c r="A542" s="1012"/>
      <c r="B542" s="1012"/>
      <c r="C542" s="1009"/>
      <c r="D542" s="1443" t="s">
        <v>75</v>
      </c>
      <c r="E542" s="1443" t="s">
        <v>1727</v>
      </c>
      <c r="F542" s="1876"/>
      <c r="G542" s="1181">
        <v>1</v>
      </c>
      <c r="H542" s="3866" t="s">
        <v>1728</v>
      </c>
      <c r="I542" s="3867"/>
      <c r="J542" s="3517" t="s">
        <v>1713</v>
      </c>
      <c r="K542" s="3517"/>
      <c r="L542" s="3517"/>
      <c r="M542" s="1871"/>
      <c r="N542" s="1012"/>
      <c r="O542" s="1012"/>
      <c r="P542" s="1012"/>
      <c r="Q542" s="1012"/>
      <c r="R542" s="1012"/>
      <c r="S542" s="1012"/>
      <c r="T542" s="1012"/>
      <c r="U542" s="1012"/>
      <c r="V542" s="1026" t="str">
        <f t="shared" si="60"/>
        <v>ISR</v>
      </c>
      <c r="W542" s="1076">
        <v>1</v>
      </c>
      <c r="X542" s="1076">
        <v>1</v>
      </c>
      <c r="Y542" s="1076">
        <v>1</v>
      </c>
      <c r="Z542" s="1141">
        <v>1</v>
      </c>
      <c r="AA542" s="1141">
        <v>1</v>
      </c>
      <c r="AB542" s="1141">
        <v>1</v>
      </c>
      <c r="AC542" s="1076"/>
      <c r="AD542" s="1076"/>
      <c r="AE542" s="1076"/>
      <c r="AF542" s="1076"/>
      <c r="AG542" s="1076"/>
      <c r="AK542" s="982"/>
      <c r="BB542" s="1008"/>
    </row>
    <row r="543" spans="1:54" s="993" customFormat="1" outlineLevel="1" x14ac:dyDescent="0.25">
      <c r="A543" s="1012"/>
      <c r="B543" s="1012"/>
      <c r="C543" s="1009"/>
      <c r="D543" s="449" t="str">
        <f>D503</f>
        <v>EUL</v>
      </c>
      <c r="E543" s="449" t="str">
        <f>E503</f>
        <v>Effective Useful Life</v>
      </c>
      <c r="F543" s="1094" t="s">
        <v>591</v>
      </c>
      <c r="G543" s="1201">
        <v>20</v>
      </c>
      <c r="H543" s="3509"/>
      <c r="I543" s="3493"/>
      <c r="J543" s="3875"/>
      <c r="K543" s="3875"/>
      <c r="L543" s="3875"/>
      <c r="M543" s="1871"/>
      <c r="N543" s="1012"/>
      <c r="O543" s="1012"/>
      <c r="P543" s="1012"/>
      <c r="Q543" s="1012"/>
      <c r="R543" s="1012"/>
      <c r="S543" s="1012"/>
      <c r="T543" s="1012"/>
      <c r="U543" s="1012"/>
      <c r="V543" s="1026" t="str">
        <f>D543</f>
        <v>EUL</v>
      </c>
      <c r="W543" s="1077">
        <v>20</v>
      </c>
      <c r="X543" s="1077">
        <v>20</v>
      </c>
      <c r="Y543" s="1077">
        <v>20</v>
      </c>
      <c r="Z543" s="919">
        <v>20</v>
      </c>
      <c r="AA543" s="919">
        <v>20</v>
      </c>
      <c r="AB543" s="919">
        <v>20</v>
      </c>
      <c r="AC543" s="1077"/>
      <c r="AD543" s="1077"/>
      <c r="AE543" s="1077"/>
      <c r="AF543" s="1077"/>
      <c r="AG543" s="1077"/>
      <c r="AK543" s="982"/>
      <c r="BB543" s="1008"/>
    </row>
    <row r="544" spans="1:54" s="993" customFormat="1" outlineLevel="1" x14ac:dyDescent="0.25">
      <c r="A544" s="1012"/>
      <c r="B544" s="1012"/>
      <c r="C544" s="1009"/>
      <c r="D544" s="449" t="str">
        <f>D504</f>
        <v>Inc. Cost</v>
      </c>
      <c r="E544" s="449" t="str">
        <f>E504</f>
        <v>Incremental Cost</v>
      </c>
      <c r="F544" s="1415" t="s">
        <v>591</v>
      </c>
      <c r="G544" s="508">
        <f>138.7/SQRT(1080)</f>
        <v>4.2205065958870298</v>
      </c>
      <c r="H544" s="3866"/>
      <c r="I544" s="3867"/>
      <c r="J544" s="3517" t="s">
        <v>1729</v>
      </c>
      <c r="K544" s="3517"/>
      <c r="L544" s="3517"/>
      <c r="M544" s="1871"/>
      <c r="N544" s="1012"/>
      <c r="O544" s="1012"/>
      <c r="P544" s="1012"/>
      <c r="Q544" s="1012"/>
      <c r="R544" s="1012"/>
      <c r="S544" s="1012"/>
      <c r="T544" s="1012"/>
      <c r="U544" s="1012"/>
      <c r="V544" s="1026" t="str">
        <f>D544</f>
        <v>Inc. Cost</v>
      </c>
      <c r="W544" s="1029">
        <v>138.69999999999999</v>
      </c>
      <c r="X544" s="1029">
        <v>138.69999999999999</v>
      </c>
      <c r="Y544" s="763">
        <f>138.7/SQRT(1080)</f>
        <v>4.2205065958870298</v>
      </c>
      <c r="Z544" s="508">
        <f t="shared" ref="Z544:AB544" si="63">138.7/SQRT(1080)</f>
        <v>4.2205065958870298</v>
      </c>
      <c r="AA544" s="508">
        <f t="shared" si="63"/>
        <v>4.2205065958870298</v>
      </c>
      <c r="AB544" s="508">
        <f t="shared" si="63"/>
        <v>4.2205065958870298</v>
      </c>
      <c r="AC544" s="1029"/>
      <c r="AD544" s="1029"/>
      <c r="AE544" s="1029"/>
      <c r="AF544" s="1029"/>
      <c r="AG544" s="1029"/>
      <c r="AK544" s="982"/>
      <c r="BB544" s="1008"/>
    </row>
    <row r="545" spans="1:57" s="993" customFormat="1" x14ac:dyDescent="0.25">
      <c r="A545" s="1012"/>
      <c r="B545" s="1012"/>
      <c r="C545" s="1009"/>
      <c r="D545" s="1877"/>
      <c r="E545" s="1877"/>
      <c r="F545" s="1878"/>
      <c r="G545" s="1878"/>
      <c r="H545" s="1878"/>
      <c r="I545" s="1012"/>
      <c r="J545" s="1012"/>
      <c r="K545" s="1012"/>
      <c r="L545" s="1012"/>
      <c r="M545" s="1012"/>
      <c r="N545" s="1012"/>
      <c r="O545" s="1012"/>
      <c r="P545" s="1012"/>
      <c r="Q545" s="1012"/>
      <c r="R545" s="1012"/>
      <c r="S545" s="1012"/>
      <c r="T545" s="1012"/>
      <c r="U545" s="1012"/>
      <c r="Y545" s="1701" t="s">
        <v>1581</v>
      </c>
      <c r="AK545" s="982"/>
      <c r="BB545" s="1008"/>
    </row>
    <row r="546" spans="1:57" s="993" customFormat="1" x14ac:dyDescent="0.25">
      <c r="A546" s="1012"/>
      <c r="B546" s="1012"/>
      <c r="C546" s="1009"/>
      <c r="D546" s="1877"/>
      <c r="E546" s="1877"/>
      <c r="F546" s="1878"/>
      <c r="G546" s="1878"/>
      <c r="H546" s="1878"/>
      <c r="I546" s="1012"/>
      <c r="J546" s="1012"/>
      <c r="K546" s="1012"/>
      <c r="L546" s="1012"/>
      <c r="M546" s="1012"/>
      <c r="N546" s="1012"/>
      <c r="O546" s="1012"/>
      <c r="P546" s="1012"/>
      <c r="Q546" s="1012"/>
      <c r="R546" s="1012"/>
      <c r="S546" s="1012"/>
      <c r="T546" s="1012"/>
      <c r="U546" s="1012"/>
      <c r="Y546" s="1013"/>
      <c r="AK546" s="982"/>
      <c r="BB546" s="1008"/>
    </row>
    <row r="547" spans="1:57" s="993" customFormat="1" x14ac:dyDescent="0.25">
      <c r="A547" s="1012"/>
      <c r="B547" s="3350" t="s">
        <v>1730</v>
      </c>
      <c r="C547" s="3351"/>
      <c r="D547" s="3351"/>
      <c r="E547" s="3351"/>
      <c r="F547" s="3351"/>
      <c r="G547" s="3351"/>
      <c r="H547" s="3351"/>
      <c r="I547" s="3352"/>
      <c r="J547" s="3352"/>
      <c r="K547" s="3352"/>
      <c r="L547" s="3352"/>
      <c r="M547" s="3352"/>
      <c r="N547" s="3352"/>
      <c r="O547" s="3352"/>
      <c r="P547" s="3352"/>
      <c r="Q547" s="3352"/>
      <c r="R547" s="3353"/>
      <c r="S547" s="1012"/>
      <c r="T547" s="1012"/>
      <c r="U547" s="1012"/>
      <c r="V547" s="3350" t="str">
        <f>B547</f>
        <v>Duct Repair (Duct Sealing and Repair - Methodology 3)</v>
      </c>
      <c r="W547" s="3351"/>
      <c r="X547" s="3351"/>
      <c r="Y547" s="3351"/>
      <c r="Z547" s="3351"/>
      <c r="AA547" s="3351"/>
      <c r="AB547" s="3351"/>
      <c r="AC547" s="3354"/>
      <c r="AD547" s="3354"/>
      <c r="AE547" s="3354"/>
      <c r="AF547" s="3354"/>
      <c r="AG547" s="3354"/>
      <c r="AH547" s="3354"/>
      <c r="AI547" s="3355"/>
      <c r="AK547" s="982"/>
      <c r="BB547" s="1008"/>
    </row>
    <row r="548" spans="1:57" s="993" customFormat="1" ht="15" customHeight="1" x14ac:dyDescent="0.25">
      <c r="A548" s="1012"/>
      <c r="B548" s="1172"/>
      <c r="C548" s="1041"/>
      <c r="D548" s="492"/>
      <c r="E548" s="492"/>
      <c r="F548" s="1012"/>
      <c r="G548" s="1012"/>
      <c r="H548" s="1012"/>
      <c r="I548" s="1012"/>
      <c r="J548" s="1012"/>
      <c r="K548" s="1012"/>
      <c r="L548" s="1012"/>
      <c r="M548" s="1012"/>
      <c r="N548" s="1012"/>
      <c r="O548" s="1012"/>
      <c r="P548" s="1012"/>
      <c r="Q548" s="1012"/>
      <c r="R548" s="1012"/>
      <c r="S548" s="1012"/>
      <c r="T548" s="1012"/>
      <c r="U548" s="1012"/>
      <c r="V548" s="273"/>
      <c r="W548" s="273"/>
      <c r="X548" s="273"/>
      <c r="Y548" s="692"/>
      <c r="Z548" s="273"/>
      <c r="AA548" s="273"/>
      <c r="AB548" s="273"/>
      <c r="AC548" s="273"/>
      <c r="AD548" s="273"/>
      <c r="AE548" s="273"/>
      <c r="AF548" s="273"/>
      <c r="AG548" s="273"/>
      <c r="AH548" s="273"/>
      <c r="AI548" s="273"/>
      <c r="AK548" s="982"/>
      <c r="BB548" s="1008"/>
    </row>
    <row r="549" spans="1:57" s="993" customFormat="1" ht="45" x14ac:dyDescent="0.25">
      <c r="A549" s="1012"/>
      <c r="B549" s="1172"/>
      <c r="C549" s="1409" t="s">
        <v>17</v>
      </c>
      <c r="D549" s="1409" t="s">
        <v>616</v>
      </c>
      <c r="E549" s="1409" t="s">
        <v>19</v>
      </c>
      <c r="F549" s="1409" t="s">
        <v>1682</v>
      </c>
      <c r="G549" s="1409" t="s">
        <v>21</v>
      </c>
      <c r="H549" s="1409" t="s">
        <v>22</v>
      </c>
      <c r="I549" s="1409" t="s">
        <v>1683</v>
      </c>
      <c r="J549" s="1409" t="s">
        <v>1684</v>
      </c>
      <c r="K549" s="1409" t="s">
        <v>23</v>
      </c>
      <c r="L549" s="1409" t="s">
        <v>24</v>
      </c>
      <c r="M549" s="1409" t="s">
        <v>529</v>
      </c>
      <c r="N549" s="1409" t="s">
        <v>1686</v>
      </c>
      <c r="O549" s="1012"/>
      <c r="P549" s="1012"/>
      <c r="Q549" s="1012"/>
      <c r="R549" s="1012"/>
      <c r="S549" s="1012"/>
      <c r="T549" s="1012"/>
      <c r="U549" s="1012"/>
      <c r="V549" s="55" t="s">
        <v>27</v>
      </c>
      <c r="W549" s="56">
        <f>W$6</f>
        <v>43252</v>
      </c>
      <c r="X549" s="56">
        <f t="shared" ref="X549:AG549" si="64">X$6</f>
        <v>43465</v>
      </c>
      <c r="Y549" s="420">
        <f t="shared" si="64"/>
        <v>43800</v>
      </c>
      <c r="Z549" s="56">
        <f t="shared" si="64"/>
        <v>43862</v>
      </c>
      <c r="AA549" s="56">
        <f t="shared" si="64"/>
        <v>44013</v>
      </c>
      <c r="AB549" s="56">
        <f t="shared" si="64"/>
        <v>44166</v>
      </c>
      <c r="AC549" s="56" t="str">
        <f t="shared" si="64"/>
        <v>-</v>
      </c>
      <c r="AD549" s="56" t="str">
        <f t="shared" si="64"/>
        <v>-</v>
      </c>
      <c r="AE549" s="56" t="str">
        <f t="shared" si="64"/>
        <v>-</v>
      </c>
      <c r="AF549" s="56" t="str">
        <f t="shared" si="64"/>
        <v>-</v>
      </c>
      <c r="AG549" s="56" t="str">
        <f t="shared" si="64"/>
        <v>-</v>
      </c>
      <c r="AH549" s="273"/>
      <c r="AI549" s="273"/>
      <c r="AK549" s="982"/>
      <c r="BB549" s="57" t="str">
        <f>$BB$6</f>
        <v>TRC (2020)</v>
      </c>
      <c r="BC549" s="93" t="str">
        <f>$BC$6</f>
        <v>Benefit Lookup</v>
      </c>
      <c r="BD549" s="741" t="str">
        <f>$BD$6</f>
        <v>Benefits (2019 $)</v>
      </c>
      <c r="BE549" s="279" t="str">
        <f>$BE$6</f>
        <v>Incremental Cost (2019 $)</v>
      </c>
    </row>
    <row r="550" spans="1:57" s="993" customFormat="1" ht="15" customHeight="1" x14ac:dyDescent="0.25">
      <c r="A550" s="1012"/>
      <c r="B550" s="1172"/>
      <c r="C550" s="1658" t="s">
        <v>1731</v>
      </c>
      <c r="D550" s="1658" t="s">
        <v>1515</v>
      </c>
      <c r="E550" s="483" t="s">
        <v>3247</v>
      </c>
      <c r="F550" s="651">
        <f>ROUND(I550+J550,2)</f>
        <v>4.92</v>
      </c>
      <c r="G550" s="1658" t="s">
        <v>877</v>
      </c>
      <c r="H550" s="202">
        <f>VLOOKUP(G550,'CP FACTORS'!$A$3:$B$38, 2, FALSE)</f>
        <v>4.6608050000000002E-4</v>
      </c>
      <c r="I550" s="1088">
        <f>$G$567*$G$570</f>
        <v>0.81</v>
      </c>
      <c r="J550" s="1088">
        <f>$G$571*$G$570</f>
        <v>4.1100000000000003</v>
      </c>
      <c r="K550" s="994">
        <f>ROUND(H550*F550,6)</f>
        <v>2.2929999999999999E-3</v>
      </c>
      <c r="L550" s="1088">
        <f>$G$582</f>
        <v>20</v>
      </c>
      <c r="M550" s="764">
        <f>$G$583</f>
        <v>8.0376653213977498</v>
      </c>
      <c r="N550" s="1088">
        <f>G570</f>
        <v>1</v>
      </c>
      <c r="O550" s="1012"/>
      <c r="P550" s="1012"/>
      <c r="Q550" s="1012"/>
      <c r="R550" s="1012"/>
      <c r="S550" s="1012"/>
      <c r="T550" s="1012"/>
      <c r="U550" s="1012"/>
      <c r="V550" s="208" t="str">
        <f>$F$508</f>
        <v>kWh
Annual Savings</v>
      </c>
      <c r="W550" s="1078">
        <v>183.23284858343499</v>
      </c>
      <c r="X550" s="980">
        <v>183.23284858343499</v>
      </c>
      <c r="Y550" s="984">
        <v>4.92</v>
      </c>
      <c r="Z550" s="981">
        <v>4.92</v>
      </c>
      <c r="AA550" s="981">
        <v>4.92</v>
      </c>
      <c r="AB550" s="637">
        <v>4.92</v>
      </c>
      <c r="AC550" s="208"/>
      <c r="AD550" s="208"/>
      <c r="AE550" s="208"/>
      <c r="AF550" s="208"/>
      <c r="AG550" s="208"/>
      <c r="AH550" s="273"/>
      <c r="AI550" s="273"/>
      <c r="AK550" s="982"/>
      <c r="BB550" s="67">
        <f>(BD550)/(BE550)</f>
        <v>0.77200997302022389</v>
      </c>
      <c r="BC550" s="68" t="str">
        <f>CONCATENATE(G550," ",L550," Year EUL")</f>
        <v>HVAC RES 20 Year EUL</v>
      </c>
      <c r="BD550" s="145">
        <f>(INDEX('Avoided Cost Benefits'!$C$4:$C$857,MATCH(BC550,'Avoided Cost Benefits'!$A$4:$A$857,0)))*F550</f>
        <v>5.8566850287096415</v>
      </c>
      <c r="BE550" s="69">
        <f>M550/(1.0595^(2020-2019))</f>
        <v>7.5862815680960347</v>
      </c>
    </row>
    <row r="551" spans="1:57" s="993" customFormat="1" ht="15" customHeight="1" x14ac:dyDescent="0.25">
      <c r="A551" s="1012"/>
      <c r="B551" s="1172"/>
      <c r="C551" s="1658" t="s">
        <v>1732</v>
      </c>
      <c r="D551" s="1658" t="s">
        <v>1515</v>
      </c>
      <c r="E551" s="483" t="s">
        <v>1733</v>
      </c>
      <c r="F551" s="651">
        <f>ROUND(I551+J551,2)</f>
        <v>1.02</v>
      </c>
      <c r="G551" s="1658" t="s">
        <v>877</v>
      </c>
      <c r="H551" s="202">
        <f>VLOOKUP(G551,'CP FACTORS'!$A$3:$B$38, 2, FALSE)</f>
        <v>4.6608050000000002E-4</v>
      </c>
      <c r="I551" s="1088">
        <f>$G$567*$G$570</f>
        <v>0.81</v>
      </c>
      <c r="J551" s="1088">
        <f>$G$574*$G$570</f>
        <v>0.21</v>
      </c>
      <c r="K551" s="994">
        <f>ROUND(H551*F551,6)</f>
        <v>4.75E-4</v>
      </c>
      <c r="L551" s="1088">
        <f>$G$582</f>
        <v>20</v>
      </c>
      <c r="M551" s="764">
        <f>$G$583</f>
        <v>8.0376653213977498</v>
      </c>
      <c r="N551" s="1088">
        <v>1</v>
      </c>
      <c r="O551" s="1012"/>
      <c r="P551" s="1012"/>
      <c r="Q551" s="1012"/>
      <c r="R551" s="1012"/>
      <c r="S551" s="1012"/>
      <c r="T551" s="1012"/>
      <c r="U551" s="1012"/>
      <c r="V551" s="208" t="str">
        <f>$F$508</f>
        <v>kWh
Annual Savings</v>
      </c>
      <c r="W551" s="1078"/>
      <c r="X551" s="980"/>
      <c r="Y551" s="984">
        <v>1.02</v>
      </c>
      <c r="Z551" s="981">
        <v>1.02</v>
      </c>
      <c r="AA551" s="981">
        <v>1.02</v>
      </c>
      <c r="AB551" s="637">
        <v>1.02</v>
      </c>
      <c r="AC551" s="208"/>
      <c r="AD551" s="208"/>
      <c r="AE551" s="208"/>
      <c r="AF551" s="208"/>
      <c r="AG551" s="208"/>
      <c r="AH551" s="273"/>
      <c r="AI551" s="273"/>
      <c r="AK551" s="982"/>
      <c r="BB551" s="71">
        <f>(BD551)/(BE551)</f>
        <v>0.16005084806516837</v>
      </c>
      <c r="BC551" s="72" t="str">
        <f>CONCATENATE(G551," ",L551," Year EUL")</f>
        <v>HVAC RES 20 Year EUL</v>
      </c>
      <c r="BD551" s="148">
        <f>(INDEX('Avoided Cost Benefits'!$C$4:$C$857,MATCH(BC551,'Avoided Cost Benefits'!$A$4:$A$857,0)))*F551</f>
        <v>1.2141907986349256</v>
      </c>
      <c r="BE551" s="73">
        <f>M551/(1.0595^(2020-2019))</f>
        <v>7.5862815680960347</v>
      </c>
    </row>
    <row r="552" spans="1:57" s="993" customFormat="1" ht="15" customHeight="1" x14ac:dyDescent="0.25">
      <c r="A552" s="1012"/>
      <c r="B552" s="1172"/>
      <c r="C552" s="1658" t="s">
        <v>3818</v>
      </c>
      <c r="D552" s="1658" t="s">
        <v>1518</v>
      </c>
      <c r="E552" s="483" t="s">
        <v>3676</v>
      </c>
      <c r="F552" s="651">
        <f t="shared" ref="F552:F553" si="65">ROUND(I552+J552,2)</f>
        <v>4.1100000000000003</v>
      </c>
      <c r="G552" s="1658" t="s">
        <v>877</v>
      </c>
      <c r="H552" s="202">
        <f>VLOOKUP(G552,'CP FACTORS'!$A$3:$B$38, 2, FALSE)</f>
        <v>4.6608050000000002E-4</v>
      </c>
      <c r="I552" s="3271">
        <f>$G$568*$G$570</f>
        <v>0.7</v>
      </c>
      <c r="J552" s="3271">
        <f>$G$572*$G$570</f>
        <v>3.41</v>
      </c>
      <c r="K552" s="3272">
        <f t="shared" ref="K552:K553" si="66">ROUND(H552*F552,6)</f>
        <v>1.916E-3</v>
      </c>
      <c r="L552" s="2759">
        <f t="shared" ref="L552:L553" si="67">$G$582</f>
        <v>20</v>
      </c>
      <c r="M552" s="2758">
        <f t="shared" ref="M552:M553" si="68">$G$583</f>
        <v>8.0376653213977498</v>
      </c>
      <c r="N552" s="2759">
        <v>1</v>
      </c>
      <c r="O552" s="1012"/>
      <c r="P552" s="1012"/>
      <c r="Q552" s="1012"/>
      <c r="R552" s="1012"/>
      <c r="S552" s="1012"/>
      <c r="T552" s="1012"/>
      <c r="U552" s="1012"/>
      <c r="V552" s="2305" t="str">
        <f t="shared" ref="V552:V553" si="69">$F$508</f>
        <v>kWh
Annual Savings</v>
      </c>
      <c r="W552" s="2781"/>
      <c r="X552" s="2782"/>
      <c r="Y552" s="984"/>
      <c r="Z552" s="984"/>
      <c r="AA552" s="984"/>
      <c r="AB552" s="2298">
        <v>4.1100000000000003</v>
      </c>
      <c r="AC552" s="208"/>
      <c r="AD552" s="208"/>
      <c r="AE552" s="208"/>
      <c r="AF552" s="208"/>
      <c r="AG552" s="208"/>
      <c r="AH552" s="273"/>
      <c r="AI552" s="273"/>
      <c r="AK552" s="982"/>
      <c r="BB552" s="71">
        <f t="shared" ref="BB552:BB553" si="70">(BD552)/(BE552)</f>
        <v>0.64491077014494314</v>
      </c>
      <c r="BC552" s="2295" t="str">
        <f t="shared" ref="BC552:BC553" si="71">CONCATENATE(G552," ",L552," Year EUL")</f>
        <v>HVAC RES 20 Year EUL</v>
      </c>
      <c r="BD552" s="148">
        <f>(INDEX('Avoided Cost Benefits'!$C$4:$C$857,MATCH(BC552,'Avoided Cost Benefits'!$A$4:$A$857,0)))*F552</f>
        <v>4.8924746886172006</v>
      </c>
      <c r="BE552" s="2296">
        <f t="shared" ref="BE552:BE553" si="72">M552/(1.0595^(2020-2019))</f>
        <v>7.5862815680960347</v>
      </c>
    </row>
    <row r="553" spans="1:57" s="993" customFormat="1" ht="15" customHeight="1" x14ac:dyDescent="0.25">
      <c r="A553" s="1012"/>
      <c r="B553" s="1172"/>
      <c r="C553" s="1658" t="s">
        <v>3819</v>
      </c>
      <c r="D553" s="1658" t="s">
        <v>1518</v>
      </c>
      <c r="E553" s="483" t="s">
        <v>3677</v>
      </c>
      <c r="F553" s="651">
        <f t="shared" si="65"/>
        <v>0.89</v>
      </c>
      <c r="G553" s="1658" t="s">
        <v>877</v>
      </c>
      <c r="H553" s="202">
        <f>VLOOKUP(G553,'CP FACTORS'!$A$3:$B$38, 2, FALSE)</f>
        <v>4.6608050000000002E-4</v>
      </c>
      <c r="I553" s="3271">
        <f>$G$568*$G$570</f>
        <v>0.7</v>
      </c>
      <c r="J553" s="3271">
        <f>$G$575*$G$570</f>
        <v>0.19</v>
      </c>
      <c r="K553" s="3272">
        <f t="shared" si="66"/>
        <v>4.15E-4</v>
      </c>
      <c r="L553" s="2759">
        <f t="shared" si="67"/>
        <v>20</v>
      </c>
      <c r="M553" s="2758">
        <f t="shared" si="68"/>
        <v>8.0376653213977498</v>
      </c>
      <c r="N553" s="2759">
        <v>1</v>
      </c>
      <c r="O553" s="1012"/>
      <c r="P553" s="1012"/>
      <c r="Q553" s="1012"/>
      <c r="R553" s="1012"/>
      <c r="S553" s="1012"/>
      <c r="T553" s="1012"/>
      <c r="U553" s="1012"/>
      <c r="V553" s="2305" t="str">
        <f t="shared" si="69"/>
        <v>kWh
Annual Savings</v>
      </c>
      <c r="W553" s="2781"/>
      <c r="X553" s="2782"/>
      <c r="Y553" s="984"/>
      <c r="Z553" s="984"/>
      <c r="AA553" s="984"/>
      <c r="AB553" s="2298">
        <v>0.89</v>
      </c>
      <c r="AC553" s="208"/>
      <c r="AD553" s="208"/>
      <c r="AE553" s="208"/>
      <c r="AF553" s="208"/>
      <c r="AG553" s="208"/>
      <c r="AH553" s="273"/>
      <c r="AI553" s="273"/>
      <c r="AK553" s="982"/>
      <c r="BB553" s="71">
        <f t="shared" si="70"/>
        <v>0.13965221056666652</v>
      </c>
      <c r="BC553" s="2295" t="str">
        <f t="shared" si="71"/>
        <v>HVAC RES 20 Year EUL</v>
      </c>
      <c r="BD553" s="148">
        <f>(INDEX('Avoided Cost Benefits'!$C$4:$C$857,MATCH(BC553,'Avoided Cost Benefits'!$A$4:$A$857,0)))*F553</f>
        <v>1.0594409909657685</v>
      </c>
      <c r="BE553" s="2296">
        <f t="shared" si="72"/>
        <v>7.5862815680960347</v>
      </c>
    </row>
    <row r="554" spans="1:57" s="993" customFormat="1" ht="15" customHeight="1" x14ac:dyDescent="0.25">
      <c r="A554" s="1012"/>
      <c r="B554" s="1172"/>
      <c r="C554" s="1658" t="s">
        <v>1734</v>
      </c>
      <c r="D554" s="1658" t="s">
        <v>1515</v>
      </c>
      <c r="E554" s="483" t="s">
        <v>1735</v>
      </c>
      <c r="F554" s="651">
        <f>ROUND(I554+J554,2)</f>
        <v>6.01</v>
      </c>
      <c r="G554" s="1658" t="s">
        <v>877</v>
      </c>
      <c r="H554" s="202">
        <f>VLOOKUP(G554,'CP FACTORS'!$A$3:$B$38, 2, FALSE)</f>
        <v>4.6608050000000002E-4</v>
      </c>
      <c r="I554" s="1088">
        <f>G569*G570</f>
        <v>0.95</v>
      </c>
      <c r="J554" s="1088">
        <f>G573*G570</f>
        <v>5.0599999999999996</v>
      </c>
      <c r="K554" s="994">
        <f>ROUND(H554*F554,6)</f>
        <v>2.8010000000000001E-3</v>
      </c>
      <c r="L554" s="1088">
        <f>$G$582</f>
        <v>20</v>
      </c>
      <c r="M554" s="764">
        <f>$G$583</f>
        <v>8.0376653213977498</v>
      </c>
      <c r="N554" s="1088">
        <f>G570</f>
        <v>1</v>
      </c>
      <c r="O554" s="1012"/>
      <c r="P554" s="1012"/>
      <c r="Q554" s="1012"/>
      <c r="R554" s="1012"/>
      <c r="S554" s="1012"/>
      <c r="T554" s="1012"/>
      <c r="U554" s="1012"/>
      <c r="V554" s="208" t="str">
        <f>$F$508</f>
        <v>kWh
Annual Savings</v>
      </c>
      <c r="W554" s="1078">
        <v>218.61317503755345</v>
      </c>
      <c r="X554" s="980">
        <v>218.61317503755345</v>
      </c>
      <c r="Y554" s="984">
        <v>6.01</v>
      </c>
      <c r="Z554" s="981">
        <v>6.01</v>
      </c>
      <c r="AA554" s="981">
        <v>6.01</v>
      </c>
      <c r="AB554" s="637">
        <v>6.01</v>
      </c>
      <c r="AC554" s="208"/>
      <c r="AD554" s="208"/>
      <c r="AE554" s="208"/>
      <c r="AF554" s="208"/>
      <c r="AG554" s="208"/>
      <c r="AK554" s="982"/>
      <c r="BB554" s="71">
        <f>(BD554)/(BE554)</f>
        <v>0.94304470281535469</v>
      </c>
      <c r="BC554" s="72" t="str">
        <f>CONCATENATE(G554," ",L554," Year EUL")</f>
        <v>HVAC RES 20 Year EUL</v>
      </c>
      <c r="BD554" s="148">
        <f>(INDEX('Avoided Cost Benefits'!$C$4:$C$857,MATCH(BC554,'Avoided Cost Benefits'!$A$4:$A$857,0)))*F554</f>
        <v>7.1542026468587281</v>
      </c>
      <c r="BE554" s="73">
        <f>M554/(1.0595^(2020-2019))</f>
        <v>7.5862815680960347</v>
      </c>
    </row>
    <row r="555" spans="1:57" s="993" customFormat="1" ht="15" customHeight="1" x14ac:dyDescent="0.25">
      <c r="A555" s="1012"/>
      <c r="B555" s="1172"/>
      <c r="C555" s="1658" t="s">
        <v>1736</v>
      </c>
      <c r="D555" s="1658" t="s">
        <v>1515</v>
      </c>
      <c r="E555" s="483" t="s">
        <v>1737</v>
      </c>
      <c r="F555" s="651">
        <f>ROUND(I555+J555,2)</f>
        <v>1.21</v>
      </c>
      <c r="G555" s="1658" t="s">
        <v>877</v>
      </c>
      <c r="H555" s="202">
        <f>VLOOKUP(G555,'CP FACTORS'!$A$3:$B$38, 2, FALSE)</f>
        <v>4.6608050000000002E-4</v>
      </c>
      <c r="I555" s="1088">
        <f>$G$569*$G$570</f>
        <v>0.95</v>
      </c>
      <c r="J555" s="1088">
        <f>$G$576*$G$570</f>
        <v>0.26</v>
      </c>
      <c r="K555" s="994">
        <f>ROUND(H555*F555,6)</f>
        <v>5.6400000000000005E-4</v>
      </c>
      <c r="L555" s="1088">
        <f>$G$582</f>
        <v>20</v>
      </c>
      <c r="M555" s="764">
        <f>$G$583</f>
        <v>8.0376653213977498</v>
      </c>
      <c r="N555" s="1088">
        <v>1</v>
      </c>
      <c r="O555" s="1012"/>
      <c r="P555" s="1012"/>
      <c r="Q555" s="1012"/>
      <c r="R555" s="1012"/>
      <c r="S555" s="1012"/>
      <c r="T555" s="1012"/>
      <c r="U555" s="1012"/>
      <c r="V555" s="208" t="str">
        <f>$F$508</f>
        <v>kWh
Annual Savings</v>
      </c>
      <c r="W555" s="1078"/>
      <c r="X555" s="980"/>
      <c r="Y555" s="984">
        <v>1.21</v>
      </c>
      <c r="Z555" s="981">
        <v>1.21</v>
      </c>
      <c r="AA555" s="981">
        <v>1.21</v>
      </c>
      <c r="AB555" s="637">
        <v>1.21</v>
      </c>
      <c r="AC555" s="208"/>
      <c r="AD555" s="208"/>
      <c r="AE555" s="208"/>
      <c r="AF555" s="208"/>
      <c r="AG555" s="208"/>
      <c r="AK555" s="982"/>
      <c r="BB555" s="74">
        <f>(BD555)/(BE555)</f>
        <v>0.18986424133220953</v>
      </c>
      <c r="BC555" s="72" t="str">
        <f>CONCATENATE(G555," ",L555," Year EUL")</f>
        <v>HVAC RES 20 Year EUL</v>
      </c>
      <c r="BD555" s="153">
        <f>(INDEX('Avoided Cost Benefits'!$C$4:$C$857,MATCH(BC555,'Avoided Cost Benefits'!$A$4:$A$857,0)))*F555</f>
        <v>1.4403635944590785</v>
      </c>
      <c r="BE555" s="75">
        <f>M555/(1.0595^(2020-2019))</f>
        <v>7.5862815680960347</v>
      </c>
    </row>
    <row r="556" spans="1:57" s="993" customFormat="1" ht="15" customHeight="1" outlineLevel="1" x14ac:dyDescent="0.25">
      <c r="A556" s="1012"/>
      <c r="B556" s="1172"/>
      <c r="C556" s="1009"/>
      <c r="D556" s="492"/>
      <c r="E556" s="492"/>
      <c r="F556" s="1012"/>
      <c r="G556" s="1012"/>
      <c r="H556" s="1012"/>
      <c r="I556" s="1063" t="s">
        <v>1693</v>
      </c>
      <c r="J556" s="1012"/>
      <c r="K556" s="1012"/>
      <c r="L556" s="1012"/>
      <c r="M556" s="1012"/>
      <c r="N556" s="1012"/>
      <c r="O556" s="1012"/>
      <c r="P556" s="1012"/>
      <c r="Q556" s="1012"/>
      <c r="R556" s="1012"/>
      <c r="S556" s="1012"/>
      <c r="T556" s="1012"/>
      <c r="U556" s="1012"/>
      <c r="Y556" s="1701" t="s">
        <v>1581</v>
      </c>
      <c r="AK556" s="982"/>
      <c r="BB556" s="1008"/>
      <c r="BE556" s="659"/>
    </row>
    <row r="557" spans="1:57" s="993" customFormat="1" ht="15" customHeight="1" outlineLevel="1" x14ac:dyDescent="0.25">
      <c r="A557" s="1012"/>
      <c r="B557" s="1172"/>
      <c r="C557" s="1009"/>
      <c r="D557" s="222" t="s">
        <v>571</v>
      </c>
      <c r="E557" s="490"/>
      <c r="F557" s="1009"/>
      <c r="G557" s="1009"/>
      <c r="H557" s="1020"/>
      <c r="I557" s="1020"/>
      <c r="J557" s="1020"/>
      <c r="K557" s="1020"/>
      <c r="L557" s="1012"/>
      <c r="M557" s="1012"/>
      <c r="N557" s="1012"/>
      <c r="O557" s="1012"/>
      <c r="P557" s="1012"/>
      <c r="Q557" s="1012"/>
      <c r="R557" s="1012"/>
      <c r="S557" s="1012"/>
      <c r="T557" s="1012"/>
      <c r="U557" s="1012"/>
      <c r="Y557" s="1013"/>
      <c r="AK557" s="982"/>
      <c r="BB557" s="1008"/>
      <c r="BE557" s="659"/>
    </row>
    <row r="558" spans="1:57" s="993" customFormat="1" ht="15" customHeight="1" outlineLevel="1" x14ac:dyDescent="0.25">
      <c r="A558" s="1012"/>
      <c r="B558" s="1172"/>
      <c r="C558" s="1009"/>
      <c r="D558" s="490" t="s">
        <v>1738</v>
      </c>
      <c r="E558" s="490"/>
      <c r="F558" s="1009"/>
      <c r="G558" s="1009"/>
      <c r="H558" s="1020"/>
      <c r="I558" s="1020"/>
      <c r="J558" s="1020"/>
      <c r="K558" s="1020"/>
      <c r="L558" s="1012"/>
      <c r="M558" s="1012"/>
      <c r="N558" s="1012"/>
      <c r="O558" s="1012"/>
      <c r="P558" s="1012"/>
      <c r="Q558" s="1012"/>
      <c r="R558" s="1012"/>
      <c r="S558" s="1012"/>
      <c r="T558" s="1012"/>
      <c r="U558" s="1012"/>
      <c r="Y558" s="1013"/>
      <c r="AK558" s="982"/>
      <c r="BB558" s="1008"/>
      <c r="BE558" s="659"/>
    </row>
    <row r="559" spans="1:57" s="993" customFormat="1" outlineLevel="1" x14ac:dyDescent="0.25">
      <c r="A559" s="1012"/>
      <c r="B559" s="1172"/>
      <c r="C559" s="1009"/>
      <c r="D559" s="490"/>
      <c r="E559" s="490"/>
      <c r="F559" s="1009"/>
      <c r="G559" s="1009"/>
      <c r="H559" s="1020"/>
      <c r="I559" s="1020"/>
      <c r="J559" s="1020"/>
      <c r="K559" s="1020"/>
      <c r="L559" s="1012"/>
      <c r="M559" s="1012"/>
      <c r="N559" s="1012"/>
      <c r="O559" s="1012"/>
      <c r="P559" s="1012"/>
      <c r="Q559" s="1012"/>
      <c r="R559" s="1012"/>
      <c r="S559" s="1012"/>
      <c r="T559" s="1012"/>
      <c r="U559" s="1012"/>
      <c r="Y559" s="1013"/>
      <c r="AK559" s="982"/>
      <c r="BB559" s="1008"/>
      <c r="BE559" s="659"/>
    </row>
    <row r="560" spans="1:57" s="993" customFormat="1" ht="15" customHeight="1" outlineLevel="1" x14ac:dyDescent="0.25">
      <c r="A560" s="1012"/>
      <c r="B560" s="1172"/>
      <c r="C560" s="1009"/>
      <c r="D560" s="490"/>
      <c r="E560" s="490"/>
      <c r="F560" s="1009"/>
      <c r="G560" s="1009"/>
      <c r="H560" s="1020"/>
      <c r="I560" s="1020"/>
      <c r="J560" s="1020"/>
      <c r="K560" s="1020"/>
      <c r="L560" s="1012"/>
      <c r="M560" s="1012"/>
      <c r="N560" s="1012"/>
      <c r="O560" s="1012"/>
      <c r="P560" s="1012"/>
      <c r="Q560" s="1012"/>
      <c r="R560" s="1012"/>
      <c r="S560" s="1012"/>
      <c r="T560" s="1012"/>
      <c r="U560" s="1012"/>
      <c r="Y560" s="1013"/>
      <c r="AK560" s="982"/>
      <c r="BB560" s="1008"/>
      <c r="BE560" s="659"/>
    </row>
    <row r="561" spans="1:57" s="993" customFormat="1" ht="15" customHeight="1" outlineLevel="1" x14ac:dyDescent="0.25">
      <c r="A561" s="1012"/>
      <c r="B561" s="1172"/>
      <c r="C561" s="1009"/>
      <c r="D561" s="490"/>
      <c r="E561" s="490"/>
      <c r="F561" s="1009"/>
      <c r="G561" s="1009"/>
      <c r="H561" s="1020"/>
      <c r="I561" s="1020"/>
      <c r="J561" s="1020"/>
      <c r="K561" s="1020"/>
      <c r="L561" s="1012"/>
      <c r="M561" s="1012"/>
      <c r="N561" s="1012"/>
      <c r="O561" s="1012"/>
      <c r="P561" s="1012"/>
      <c r="Q561" s="1012"/>
      <c r="R561" s="1012"/>
      <c r="S561" s="1012"/>
      <c r="T561" s="1012"/>
      <c r="U561" s="1012"/>
      <c r="Y561" s="1013"/>
      <c r="AK561" s="982"/>
      <c r="BB561" s="1008"/>
      <c r="BE561" s="659"/>
    </row>
    <row r="562" spans="1:57" s="993" customFormat="1" ht="15" customHeight="1" outlineLevel="1" x14ac:dyDescent="0.25">
      <c r="A562" s="1012"/>
      <c r="B562" s="1172"/>
      <c r="C562" s="1009"/>
      <c r="D562" s="490" t="s">
        <v>1695</v>
      </c>
      <c r="E562" s="490"/>
      <c r="F562" s="1020"/>
      <c r="G562" s="1009" t="s">
        <v>1694</v>
      </c>
      <c r="H562" s="157"/>
      <c r="I562" s="1020"/>
      <c r="J562" s="1020"/>
      <c r="K562" s="1020"/>
      <c r="L562" s="1012"/>
      <c r="M562" s="1012"/>
      <c r="N562" s="1012"/>
      <c r="O562" s="1012"/>
      <c r="P562" s="1012"/>
      <c r="Q562" s="1012"/>
      <c r="R562" s="1012"/>
      <c r="S562" s="1012"/>
      <c r="T562" s="1012"/>
      <c r="U562" s="1012"/>
      <c r="Y562" s="1013"/>
      <c r="AK562" s="982"/>
      <c r="BB562" s="1008"/>
      <c r="BE562" s="659"/>
    </row>
    <row r="563" spans="1:57" s="993" customFormat="1" ht="15" customHeight="1" outlineLevel="1" x14ac:dyDescent="0.25">
      <c r="A563" s="1012"/>
      <c r="B563" s="1172"/>
      <c r="C563" s="1009"/>
      <c r="D563" s="490"/>
      <c r="E563" s="386"/>
      <c r="F563" s="1020"/>
      <c r="G563" s="1020"/>
      <c r="H563" s="1020"/>
      <c r="I563" s="1020"/>
      <c r="J563" s="1020"/>
      <c r="K563" s="1020"/>
      <c r="L563" s="1012"/>
      <c r="M563" s="1012"/>
      <c r="N563" s="1012"/>
      <c r="O563" s="1012"/>
      <c r="P563" s="1012"/>
      <c r="Q563" s="1012"/>
      <c r="R563" s="1012"/>
      <c r="S563" s="1012"/>
      <c r="T563" s="1012"/>
      <c r="U563" s="1012"/>
      <c r="Y563" s="1013"/>
      <c r="AK563" s="982"/>
      <c r="BB563" s="1008"/>
      <c r="BE563" s="659"/>
    </row>
    <row r="564" spans="1:57" s="993" customFormat="1" ht="15" customHeight="1" outlineLevel="1" x14ac:dyDescent="0.25">
      <c r="A564" s="1012"/>
      <c r="B564" s="1172"/>
      <c r="C564" s="1009"/>
      <c r="D564" s="490"/>
      <c r="E564" s="490"/>
      <c r="F564" s="1020"/>
      <c r="G564" s="1020"/>
      <c r="H564" s="1020"/>
      <c r="I564" s="1020"/>
      <c r="J564" s="1020"/>
      <c r="K564" s="1020"/>
      <c r="L564" s="1012"/>
      <c r="M564" s="1012"/>
      <c r="N564" s="1012"/>
      <c r="O564" s="1012"/>
      <c r="P564" s="1012"/>
      <c r="Q564" s="1012"/>
      <c r="R564" s="1012"/>
      <c r="S564" s="1012"/>
      <c r="T564" s="1012"/>
      <c r="U564" s="1012"/>
      <c r="Y564" s="1013"/>
      <c r="AK564" s="982"/>
      <c r="BB564" s="1008"/>
      <c r="BE564" s="659"/>
    </row>
    <row r="565" spans="1:57" s="993" customFormat="1" ht="15" customHeight="1" outlineLevel="1" x14ac:dyDescent="0.25">
      <c r="A565" s="1012"/>
      <c r="B565" s="1172"/>
      <c r="C565" s="1009"/>
      <c r="D565" s="492"/>
      <c r="E565" s="492"/>
      <c r="F565" s="1012"/>
      <c r="G565" s="1012"/>
      <c r="H565" s="1012"/>
      <c r="I565" s="1012"/>
      <c r="J565" s="1012"/>
      <c r="K565" s="1012"/>
      <c r="L565" s="1012"/>
      <c r="M565" s="1012"/>
      <c r="N565" s="1012"/>
      <c r="O565" s="1012"/>
      <c r="P565" s="1012"/>
      <c r="Q565" s="1012"/>
      <c r="R565" s="1012"/>
      <c r="S565" s="1012"/>
      <c r="T565" s="1012"/>
      <c r="U565" s="1012"/>
      <c r="Y565" s="1013"/>
      <c r="AK565" s="982"/>
      <c r="BB565" s="1008"/>
      <c r="BE565" s="659"/>
    </row>
    <row r="566" spans="1:57" s="993" customFormat="1" ht="15" customHeight="1" outlineLevel="1" x14ac:dyDescent="0.25">
      <c r="A566" s="1012"/>
      <c r="B566" s="1172"/>
      <c r="C566" s="1009"/>
      <c r="D566" s="1456" t="s">
        <v>572</v>
      </c>
      <c r="E566" s="1456" t="s">
        <v>573</v>
      </c>
      <c r="F566" s="1409" t="s">
        <v>623</v>
      </c>
      <c r="G566" s="1409" t="s">
        <v>574</v>
      </c>
      <c r="H566" s="3419" t="s">
        <v>624</v>
      </c>
      <c r="I566" s="3419"/>
      <c r="J566" s="3419" t="s">
        <v>575</v>
      </c>
      <c r="K566" s="3419"/>
      <c r="L566" s="3419"/>
      <c r="M566" s="1012"/>
      <c r="N566" s="1012"/>
      <c r="O566" s="1012"/>
      <c r="P566" s="1012"/>
      <c r="Q566" s="1012"/>
      <c r="R566" s="1012"/>
      <c r="S566" s="1012"/>
      <c r="T566" s="1012"/>
      <c r="U566" s="1012"/>
      <c r="V566" s="55" t="s">
        <v>27</v>
      </c>
      <c r="W566" s="56">
        <f>W$6</f>
        <v>43252</v>
      </c>
      <c r="X566" s="56">
        <f t="shared" ref="X566:AG566" si="73">X$6</f>
        <v>43465</v>
      </c>
      <c r="Y566" s="420">
        <f t="shared" si="73"/>
        <v>43800</v>
      </c>
      <c r="Z566" s="56">
        <f t="shared" si="73"/>
        <v>43862</v>
      </c>
      <c r="AA566" s="56">
        <f t="shared" si="73"/>
        <v>44013</v>
      </c>
      <c r="AB566" s="56">
        <f t="shared" si="73"/>
        <v>44166</v>
      </c>
      <c r="AC566" s="56" t="str">
        <f t="shared" si="73"/>
        <v>-</v>
      </c>
      <c r="AD566" s="56" t="str">
        <f t="shared" si="73"/>
        <v>-</v>
      </c>
      <c r="AE566" s="56" t="str">
        <f t="shared" si="73"/>
        <v>-</v>
      </c>
      <c r="AF566" s="56" t="str">
        <f t="shared" si="73"/>
        <v>-</v>
      </c>
      <c r="AG566" s="56" t="str">
        <f t="shared" si="73"/>
        <v>-</v>
      </c>
      <c r="AK566" s="982"/>
      <c r="BB566" s="1008"/>
      <c r="BE566" s="659"/>
    </row>
    <row r="567" spans="1:57" s="993" customFormat="1" outlineLevel="1" x14ac:dyDescent="0.25">
      <c r="A567" s="1012"/>
      <c r="B567" s="1172"/>
      <c r="C567" s="1009"/>
      <c r="D567" s="3876" t="s">
        <v>3824</v>
      </c>
      <c r="E567" s="3821" t="s">
        <v>1739</v>
      </c>
      <c r="F567" s="1091" t="s">
        <v>740</v>
      </c>
      <c r="G567" s="1082">
        <v>0.81</v>
      </c>
      <c r="H567" s="3866" t="s">
        <v>1198</v>
      </c>
      <c r="I567" s="3866"/>
      <c r="J567" s="3878" t="s">
        <v>1740</v>
      </c>
      <c r="K567" s="3879"/>
      <c r="L567" s="3884"/>
      <c r="M567" s="1012"/>
      <c r="N567" s="1012"/>
      <c r="O567" s="1012"/>
      <c r="P567" s="1012"/>
      <c r="Q567" s="1012"/>
      <c r="R567" s="1012"/>
      <c r="S567" s="1012"/>
      <c r="T567" s="1012"/>
      <c r="U567" s="1012"/>
      <c r="V567" s="3881" t="str">
        <f>D567</f>
        <v>CoolSavingsPerUnit</v>
      </c>
      <c r="W567" s="1079">
        <v>0.81</v>
      </c>
      <c r="X567" s="1079">
        <v>0.81</v>
      </c>
      <c r="Y567" s="1079">
        <v>0.81</v>
      </c>
      <c r="Z567" s="1082">
        <v>0.81</v>
      </c>
      <c r="AA567" s="1082">
        <v>0.81</v>
      </c>
      <c r="AB567" s="1082">
        <v>0.81</v>
      </c>
      <c r="AC567" s="1066"/>
      <c r="AD567" s="1066"/>
      <c r="AE567" s="1066"/>
      <c r="AF567" s="1066"/>
      <c r="AG567" s="1066"/>
      <c r="AK567" s="982"/>
      <c r="BB567" s="1008"/>
      <c r="BE567" s="659"/>
    </row>
    <row r="568" spans="1:57" s="993" customFormat="1" outlineLevel="1" x14ac:dyDescent="0.25">
      <c r="A568" s="1012"/>
      <c r="B568" s="1172"/>
      <c r="C568" s="1009"/>
      <c r="D568" s="3892"/>
      <c r="E568" s="3833"/>
      <c r="F568" s="3082" t="s">
        <v>742</v>
      </c>
      <c r="G568" s="1879">
        <v>0.7</v>
      </c>
      <c r="H568" s="3866" t="s">
        <v>1198</v>
      </c>
      <c r="I568" s="3866"/>
      <c r="J568" s="3885"/>
      <c r="K568" s="3886"/>
      <c r="L568" s="3887"/>
      <c r="M568" s="1012"/>
      <c r="N568" s="1012"/>
      <c r="O568" s="1012"/>
      <c r="P568" s="1012"/>
      <c r="Q568" s="1012"/>
      <c r="R568" s="1012"/>
      <c r="S568" s="1012"/>
      <c r="T568" s="1012"/>
      <c r="U568" s="1012"/>
      <c r="V568" s="3882"/>
      <c r="W568" s="1080">
        <v>0.7</v>
      </c>
      <c r="X568" s="1080">
        <v>0.7</v>
      </c>
      <c r="Y568" s="1080">
        <v>0.7</v>
      </c>
      <c r="Z568" s="1879">
        <v>0.7</v>
      </c>
      <c r="AA568" s="1879">
        <v>0.7</v>
      </c>
      <c r="AB568" s="1879">
        <v>0.7</v>
      </c>
      <c r="AC568" s="1066"/>
      <c r="AD568" s="1066"/>
      <c r="AE568" s="1066"/>
      <c r="AF568" s="1066"/>
      <c r="AG568" s="1066"/>
      <c r="AK568" s="982"/>
      <c r="BB568" s="1008"/>
      <c r="BE568" s="659"/>
    </row>
    <row r="569" spans="1:57" s="993" customFormat="1" outlineLevel="1" x14ac:dyDescent="0.25">
      <c r="A569" s="1012"/>
      <c r="B569" s="1172"/>
      <c r="C569" s="1009"/>
      <c r="D569" s="3877"/>
      <c r="E569" s="3438"/>
      <c r="F569" s="3082" t="s">
        <v>1741</v>
      </c>
      <c r="G569" s="1879">
        <v>0.95</v>
      </c>
      <c r="H569" s="3866" t="s">
        <v>1742</v>
      </c>
      <c r="I569" s="3866"/>
      <c r="J569" s="3888"/>
      <c r="K569" s="3889"/>
      <c r="L569" s="3890"/>
      <c r="M569" s="1012"/>
      <c r="N569" s="1012"/>
      <c r="O569" s="1012"/>
      <c r="P569" s="1012"/>
      <c r="Q569" s="1012"/>
      <c r="R569" s="1012"/>
      <c r="S569" s="1012"/>
      <c r="T569" s="1012"/>
      <c r="U569" s="1012"/>
      <c r="V569" s="3883"/>
      <c r="W569" s="1080"/>
      <c r="X569" s="1080"/>
      <c r="Y569" s="1080"/>
      <c r="Z569" s="1879"/>
      <c r="AA569" s="2779">
        <v>0.95</v>
      </c>
      <c r="AB569" s="1879">
        <v>0.95</v>
      </c>
      <c r="AC569" s="1066"/>
      <c r="AD569" s="1066"/>
      <c r="AE569" s="1066"/>
      <c r="AF569" s="1066"/>
      <c r="AG569" s="1066"/>
      <c r="AK569" s="982"/>
      <c r="BB569" s="1008"/>
      <c r="BE569" s="659"/>
    </row>
    <row r="570" spans="1:57" s="993" customFormat="1" ht="18" outlineLevel="1" x14ac:dyDescent="0.25">
      <c r="A570" s="1012"/>
      <c r="B570" s="1172"/>
      <c r="C570" s="1009"/>
      <c r="D570" s="3083" t="s">
        <v>3248</v>
      </c>
      <c r="E570" s="3077" t="s">
        <v>3678</v>
      </c>
      <c r="F570" s="1091"/>
      <c r="G570" s="1866">
        <v>1</v>
      </c>
      <c r="H570" s="3891"/>
      <c r="I570" s="3891"/>
      <c r="J570" s="3517" t="s">
        <v>1729</v>
      </c>
      <c r="K570" s="3517"/>
      <c r="L570" s="3517"/>
      <c r="M570" s="1012"/>
      <c r="N570" s="1012"/>
      <c r="O570" s="1012"/>
      <c r="P570" s="1012"/>
      <c r="Q570" s="1012"/>
      <c r="R570" s="1012"/>
      <c r="S570" s="1012"/>
      <c r="T570" s="1012"/>
      <c r="U570" s="1012"/>
      <c r="V570" s="1081" t="str">
        <f>D570</f>
        <v>DuctLength</v>
      </c>
      <c r="W570" s="1066">
        <f>SQRT($F$78)</f>
        <v>1</v>
      </c>
      <c r="X570" s="1066">
        <v>37.242448899072144</v>
      </c>
      <c r="Y570" s="1066">
        <v>1</v>
      </c>
      <c r="Z570" s="1866">
        <v>1</v>
      </c>
      <c r="AA570" s="1866">
        <v>1</v>
      </c>
      <c r="AB570" s="1866">
        <v>1</v>
      </c>
      <c r="AC570" s="1066"/>
      <c r="AD570" s="1066"/>
      <c r="AE570" s="1066"/>
      <c r="AF570" s="1066"/>
      <c r="AG570" s="1066"/>
      <c r="AK570" s="982"/>
      <c r="BB570" s="1008"/>
      <c r="BE570" s="659"/>
    </row>
    <row r="571" spans="1:57" s="993" customFormat="1" outlineLevel="1" x14ac:dyDescent="0.25">
      <c r="A571" s="1012"/>
      <c r="B571" s="1172"/>
      <c r="C571" s="1009"/>
      <c r="D571" s="3876" t="s">
        <v>3823</v>
      </c>
      <c r="E571" s="3821" t="s">
        <v>1743</v>
      </c>
      <c r="F571" s="1091" t="s">
        <v>1744</v>
      </c>
      <c r="G571" s="1082">
        <v>4.1100000000000003</v>
      </c>
      <c r="H571" s="3866" t="s">
        <v>1198</v>
      </c>
      <c r="I571" s="3866"/>
      <c r="J571" s="3878" t="s">
        <v>1745</v>
      </c>
      <c r="K571" s="3879"/>
      <c r="L571" s="3884"/>
      <c r="M571" s="1012"/>
      <c r="N571" s="1012"/>
      <c r="O571" s="1012"/>
      <c r="P571" s="1012"/>
      <c r="Q571" s="1012"/>
      <c r="R571" s="1012"/>
      <c r="S571" s="1012"/>
      <c r="T571" s="1012"/>
      <c r="U571" s="1012"/>
      <c r="V571" s="3881" t="str">
        <f>D571</f>
        <v>HeatSavingsPerUnit</v>
      </c>
      <c r="W571" s="1079">
        <v>4.1100000000000003</v>
      </c>
      <c r="X571" s="1079">
        <v>4.1100000000000003</v>
      </c>
      <c r="Y571" s="1079">
        <v>4.1100000000000003</v>
      </c>
      <c r="Z571" s="1082">
        <v>4.1100000000000003</v>
      </c>
      <c r="AA571" s="1082">
        <v>4.1100000000000003</v>
      </c>
      <c r="AB571" s="1082">
        <v>4.1100000000000003</v>
      </c>
      <c r="AC571" s="1066"/>
      <c r="AD571" s="1066"/>
      <c r="AE571" s="1066"/>
      <c r="AF571" s="1066"/>
      <c r="AG571" s="1066"/>
      <c r="AK571" s="982"/>
      <c r="BB571" s="1008"/>
      <c r="BE571" s="659"/>
    </row>
    <row r="572" spans="1:57" s="993" customFormat="1" outlineLevel="1" x14ac:dyDescent="0.25">
      <c r="A572" s="1012"/>
      <c r="B572" s="1172"/>
      <c r="C572" s="1009"/>
      <c r="D572" s="3892"/>
      <c r="E572" s="3833"/>
      <c r="F572" s="1091" t="s">
        <v>1746</v>
      </c>
      <c r="G572" s="1082">
        <v>3.41</v>
      </c>
      <c r="H572" s="3866" t="s">
        <v>1198</v>
      </c>
      <c r="I572" s="3866"/>
      <c r="J572" s="3885"/>
      <c r="K572" s="3886"/>
      <c r="L572" s="3887"/>
      <c r="M572" s="1012"/>
      <c r="N572" s="1012"/>
      <c r="O572" s="1012"/>
      <c r="P572" s="1012"/>
      <c r="Q572" s="1012"/>
      <c r="R572" s="1012"/>
      <c r="S572" s="1012"/>
      <c r="T572" s="1012"/>
      <c r="U572" s="1012"/>
      <c r="V572" s="3882"/>
      <c r="W572" s="1079">
        <v>3.41</v>
      </c>
      <c r="X572" s="1079">
        <v>3.41</v>
      </c>
      <c r="Y572" s="1079">
        <v>3.41</v>
      </c>
      <c r="Z572" s="1082">
        <v>3.41</v>
      </c>
      <c r="AA572" s="1082">
        <v>3.41</v>
      </c>
      <c r="AB572" s="1082">
        <v>3.41</v>
      </c>
      <c r="AC572" s="1066"/>
      <c r="AD572" s="1066"/>
      <c r="AE572" s="1066"/>
      <c r="AF572" s="1066"/>
      <c r="AG572" s="1066"/>
      <c r="AK572" s="982"/>
      <c r="BB572" s="1008"/>
      <c r="BE572" s="659"/>
    </row>
    <row r="573" spans="1:57" s="993" customFormat="1" outlineLevel="1" x14ac:dyDescent="0.25">
      <c r="A573" s="1012"/>
      <c r="B573" s="1172"/>
      <c r="C573" s="1009"/>
      <c r="D573" s="3892"/>
      <c r="E573" s="3833"/>
      <c r="F573" s="1091" t="s">
        <v>1747</v>
      </c>
      <c r="G573" s="1082">
        <v>5.0599999999999996</v>
      </c>
      <c r="H573" s="3866" t="s">
        <v>1198</v>
      </c>
      <c r="I573" s="3866"/>
      <c r="J573" s="3885"/>
      <c r="K573" s="3886"/>
      <c r="L573" s="3887"/>
      <c r="M573" s="1012"/>
      <c r="N573" s="1012"/>
      <c r="O573" s="1012"/>
      <c r="P573" s="1012"/>
      <c r="Q573" s="1012"/>
      <c r="R573" s="1012"/>
      <c r="S573" s="1012"/>
      <c r="T573" s="1012"/>
      <c r="U573" s="1012"/>
      <c r="V573" s="3882"/>
      <c r="W573" s="1079">
        <v>5.0599999999999996</v>
      </c>
      <c r="X573" s="1079">
        <v>5.0599999999999996</v>
      </c>
      <c r="Y573" s="1079">
        <v>5.0599999999999996</v>
      </c>
      <c r="Z573" s="1082">
        <v>5.0599999999999996</v>
      </c>
      <c r="AA573" s="1082">
        <v>5.0599999999999996</v>
      </c>
      <c r="AB573" s="1082">
        <v>5.0599999999999996</v>
      </c>
      <c r="AC573" s="1066"/>
      <c r="AD573" s="1066"/>
      <c r="AE573" s="1066"/>
      <c r="AF573" s="1066"/>
      <c r="AG573" s="1066"/>
      <c r="AK573" s="982"/>
      <c r="BB573" s="1008"/>
      <c r="BE573" s="659"/>
    </row>
    <row r="574" spans="1:57" s="993" customFormat="1" outlineLevel="1" x14ac:dyDescent="0.25">
      <c r="A574" s="1012"/>
      <c r="B574" s="1172"/>
      <c r="C574" s="1009"/>
      <c r="D574" s="3892"/>
      <c r="E574" s="3833"/>
      <c r="F574" s="1091" t="s">
        <v>1748</v>
      </c>
      <c r="G574" s="1082">
        <v>0.21</v>
      </c>
      <c r="H574" s="3866" t="s">
        <v>1198</v>
      </c>
      <c r="I574" s="3866"/>
      <c r="J574" s="3885"/>
      <c r="K574" s="3886"/>
      <c r="L574" s="3887"/>
      <c r="M574" s="1012"/>
      <c r="N574" s="1012"/>
      <c r="O574" s="1012"/>
      <c r="P574" s="1012"/>
      <c r="Q574" s="1012"/>
      <c r="R574" s="1012"/>
      <c r="S574" s="1012"/>
      <c r="T574" s="1012"/>
      <c r="U574" s="1012"/>
      <c r="V574" s="3882"/>
      <c r="W574" s="1079">
        <v>0.21</v>
      </c>
      <c r="X574" s="1079">
        <v>0.21</v>
      </c>
      <c r="Y574" s="1079">
        <v>0.21</v>
      </c>
      <c r="Z574" s="1082">
        <v>0.21</v>
      </c>
      <c r="AA574" s="1082">
        <v>0.21</v>
      </c>
      <c r="AB574" s="1082">
        <v>0.21</v>
      </c>
      <c r="AC574" s="1066"/>
      <c r="AD574" s="1066"/>
      <c r="AE574" s="1066"/>
      <c r="AF574" s="1066"/>
      <c r="AG574" s="1066"/>
      <c r="AK574" s="982"/>
      <c r="BB574" s="1008"/>
      <c r="BE574" s="659"/>
    </row>
    <row r="575" spans="1:57" s="993" customFormat="1" outlineLevel="1" x14ac:dyDescent="0.25">
      <c r="A575" s="1012"/>
      <c r="B575" s="1172"/>
      <c r="C575" s="1009"/>
      <c r="D575" s="3892"/>
      <c r="E575" s="3833"/>
      <c r="F575" s="3082" t="s">
        <v>1749</v>
      </c>
      <c r="G575" s="1082">
        <v>0.19</v>
      </c>
      <c r="H575" s="3866" t="s">
        <v>1198</v>
      </c>
      <c r="I575" s="3866"/>
      <c r="J575" s="3885"/>
      <c r="K575" s="3886"/>
      <c r="L575" s="3887"/>
      <c r="M575" s="1012"/>
      <c r="N575" s="1012"/>
      <c r="O575" s="1012"/>
      <c r="P575" s="1012"/>
      <c r="Q575" s="1012"/>
      <c r="R575" s="1012"/>
      <c r="S575" s="1012"/>
      <c r="T575" s="1012"/>
      <c r="U575" s="1012"/>
      <c r="V575" s="3882"/>
      <c r="W575" s="1079">
        <v>0.19</v>
      </c>
      <c r="X575" s="1079">
        <v>0.19</v>
      </c>
      <c r="Y575" s="1079">
        <v>0.19</v>
      </c>
      <c r="Z575" s="1082">
        <v>0.19</v>
      </c>
      <c r="AA575" s="1082">
        <v>0.19</v>
      </c>
      <c r="AB575" s="1082">
        <v>0.19</v>
      </c>
      <c r="AC575" s="1066"/>
      <c r="AD575" s="1066"/>
      <c r="AE575" s="1066"/>
      <c r="AF575" s="1066"/>
      <c r="AG575" s="1066"/>
      <c r="AK575" s="982"/>
      <c r="BB575" s="1008"/>
      <c r="BE575" s="659"/>
    </row>
    <row r="576" spans="1:57" s="993" customFormat="1" outlineLevel="1" x14ac:dyDescent="0.25">
      <c r="A576" s="1012"/>
      <c r="B576" s="1172"/>
      <c r="C576" s="1009"/>
      <c r="D576" s="3573"/>
      <c r="E576" s="3573"/>
      <c r="F576" s="3082" t="s">
        <v>1750</v>
      </c>
      <c r="G576" s="1082">
        <v>0.26</v>
      </c>
      <c r="H576" s="3867" t="s">
        <v>1742</v>
      </c>
      <c r="I576" s="3880"/>
      <c r="J576" s="3888"/>
      <c r="K576" s="3889"/>
      <c r="L576" s="3890"/>
      <c r="M576" s="1012"/>
      <c r="N576" s="1012"/>
      <c r="O576" s="1012"/>
      <c r="P576" s="1012"/>
      <c r="Q576" s="1012"/>
      <c r="R576" s="1012"/>
      <c r="S576" s="1012"/>
      <c r="T576" s="1012"/>
      <c r="U576" s="1012"/>
      <c r="V576" s="3883"/>
      <c r="W576" s="1079"/>
      <c r="X576" s="1079"/>
      <c r="Y576" s="1079"/>
      <c r="Z576" s="1082"/>
      <c r="AA576" s="2780">
        <v>0.26</v>
      </c>
      <c r="AB576" s="1082">
        <v>0.26</v>
      </c>
      <c r="AC576" s="1066"/>
      <c r="AD576" s="1066"/>
      <c r="AE576" s="1066"/>
      <c r="AF576" s="1066"/>
      <c r="AG576" s="1066"/>
      <c r="AK576" s="982"/>
      <c r="BB576" s="1008"/>
      <c r="BE576" s="659"/>
    </row>
    <row r="577" spans="1:57" s="993" customFormat="1" ht="32.25" customHeight="1" outlineLevel="1" x14ac:dyDescent="0.25">
      <c r="A577" s="1012"/>
      <c r="B577" s="1172"/>
      <c r="C577" s="1009"/>
      <c r="D577" s="1869" t="s">
        <v>3245</v>
      </c>
      <c r="E577" s="3003" t="s">
        <v>1717</v>
      </c>
      <c r="F577" s="3082"/>
      <c r="G577" s="1872">
        <v>3.1399999999999997E-2</v>
      </c>
      <c r="H577" s="3873" t="s">
        <v>1198</v>
      </c>
      <c r="I577" s="3873"/>
      <c r="J577" s="3875"/>
      <c r="K577" s="3875"/>
      <c r="L577" s="3875"/>
      <c r="M577" s="1012"/>
      <c r="N577" s="1012"/>
      <c r="O577" s="1012"/>
      <c r="P577" s="1012"/>
      <c r="Q577" s="1012"/>
      <c r="R577" s="1012"/>
      <c r="S577" s="1012"/>
      <c r="T577" s="1012"/>
      <c r="U577" s="1012"/>
      <c r="V577" s="1026" t="str">
        <f t="shared" ref="V577:V583" si="74">D577</f>
        <v>Fe</v>
      </c>
      <c r="W577" s="1071">
        <v>3.1399999999999997E-2</v>
      </c>
      <c r="X577" s="1071">
        <v>3.1399999999999997E-2</v>
      </c>
      <c r="Y577" s="1071">
        <v>3.1399999999999997E-2</v>
      </c>
      <c r="Z577" s="1872">
        <v>3.1399999999999997E-2</v>
      </c>
      <c r="AA577" s="1872">
        <v>3.1399999999999997E-2</v>
      </c>
      <c r="AB577" s="1872">
        <v>3.1399999999999997E-2</v>
      </c>
      <c r="AC577" s="1066"/>
      <c r="AD577" s="1066"/>
      <c r="AE577" s="1066"/>
      <c r="AF577" s="1066"/>
      <c r="AG577" s="1066"/>
      <c r="AK577" s="982"/>
      <c r="BB577" s="1008"/>
      <c r="BE577" s="659"/>
    </row>
    <row r="578" spans="1:57" s="993" customFormat="1" ht="15" customHeight="1" outlineLevel="1" x14ac:dyDescent="0.25">
      <c r="A578" s="1012"/>
      <c r="B578" s="1172"/>
      <c r="C578" s="1009"/>
      <c r="D578" s="1443">
        <v>29.3</v>
      </c>
      <c r="E578" s="3003" t="s">
        <v>1719</v>
      </c>
      <c r="F578" s="3082"/>
      <c r="G578" s="3078">
        <v>29.3</v>
      </c>
      <c r="H578" s="3866" t="s">
        <v>1720</v>
      </c>
      <c r="I578" s="3866"/>
      <c r="J578" s="3875"/>
      <c r="K578" s="3875"/>
      <c r="L578" s="3875"/>
      <c r="M578" s="1012"/>
      <c r="N578" s="1012"/>
      <c r="O578" s="1012"/>
      <c r="P578" s="1012"/>
      <c r="Q578" s="1012"/>
      <c r="R578" s="1012"/>
      <c r="S578" s="1012"/>
      <c r="T578" s="1012"/>
      <c r="U578" s="1012"/>
      <c r="V578" s="1026">
        <f t="shared" si="74"/>
        <v>29.3</v>
      </c>
      <c r="W578" s="246">
        <v>29.3</v>
      </c>
      <c r="X578" s="246">
        <v>29.3</v>
      </c>
      <c r="Y578" s="246">
        <v>29.3</v>
      </c>
      <c r="Z578" s="2752">
        <v>29.3</v>
      </c>
      <c r="AA578" s="2752">
        <v>29.3</v>
      </c>
      <c r="AB578" s="2752">
        <v>29.3</v>
      </c>
      <c r="AC578" s="1066"/>
      <c r="AD578" s="1066"/>
      <c r="AE578" s="1066"/>
      <c r="AF578" s="1066"/>
      <c r="AG578" s="1066"/>
      <c r="AK578" s="982"/>
      <c r="BB578" s="1008"/>
      <c r="BE578" s="659"/>
    </row>
    <row r="579" spans="1:57" s="993" customFormat="1" ht="15" customHeight="1" outlineLevel="1" x14ac:dyDescent="0.25">
      <c r="A579" s="1012"/>
      <c r="B579" s="1172"/>
      <c r="C579" s="1009"/>
      <c r="D579" s="3008" t="s">
        <v>925</v>
      </c>
      <c r="E579" s="3008" t="s">
        <v>1725</v>
      </c>
      <c r="F579" s="3082"/>
      <c r="G579" s="1150">
        <v>1</v>
      </c>
      <c r="H579" s="3509" t="s">
        <v>930</v>
      </c>
      <c r="I579" s="3509"/>
      <c r="J579" s="3875"/>
      <c r="K579" s="3875"/>
      <c r="L579" s="3875"/>
      <c r="M579" s="1012"/>
      <c r="N579" s="1012"/>
      <c r="O579" s="1012"/>
      <c r="P579" s="1012"/>
      <c r="Q579" s="1012"/>
      <c r="R579" s="1012"/>
      <c r="S579" s="1012"/>
      <c r="T579" s="1012"/>
      <c r="U579" s="1012"/>
      <c r="V579" s="1026" t="str">
        <f t="shared" si="74"/>
        <v>Electric Saturation</v>
      </c>
      <c r="W579" s="1074">
        <v>1</v>
      </c>
      <c r="X579" s="1074">
        <v>1</v>
      </c>
      <c r="Y579" s="1074">
        <v>1</v>
      </c>
      <c r="Z579" s="1150">
        <v>1</v>
      </c>
      <c r="AA579" s="1150">
        <v>1</v>
      </c>
      <c r="AB579" s="1150">
        <v>1</v>
      </c>
      <c r="AC579" s="1066"/>
      <c r="AD579" s="1066"/>
      <c r="AE579" s="1066"/>
      <c r="AF579" s="1066"/>
      <c r="AG579" s="1066"/>
      <c r="AK579" s="982"/>
      <c r="BB579" s="1008"/>
      <c r="BE579" s="659"/>
    </row>
    <row r="580" spans="1:57" s="993" customFormat="1" ht="15" customHeight="1" outlineLevel="1" x14ac:dyDescent="0.25">
      <c r="A580" s="1012"/>
      <c r="B580" s="1172"/>
      <c r="C580" s="1009"/>
      <c r="D580" s="3008" t="s">
        <v>892</v>
      </c>
      <c r="E580" s="3008" t="s">
        <v>929</v>
      </c>
      <c r="F580" s="3082"/>
      <c r="G580" s="1150">
        <v>1</v>
      </c>
      <c r="H580" s="3509" t="s">
        <v>930</v>
      </c>
      <c r="I580" s="3509"/>
      <c r="J580" s="3875"/>
      <c r="K580" s="3875"/>
      <c r="L580" s="3875"/>
      <c r="M580" s="1012"/>
      <c r="N580" s="1012"/>
      <c r="O580" s="1012"/>
      <c r="P580" s="1012"/>
      <c r="Q580" s="1012"/>
      <c r="R580" s="1012"/>
      <c r="S580" s="1012"/>
      <c r="T580" s="1012"/>
      <c r="U580" s="1012"/>
      <c r="V580" s="1026" t="str">
        <f t="shared" si="74"/>
        <v>Utility Adjustment</v>
      </c>
      <c r="W580" s="1074">
        <v>1</v>
      </c>
      <c r="X580" s="1074">
        <v>1</v>
      </c>
      <c r="Y580" s="1074">
        <v>1</v>
      </c>
      <c r="Z580" s="1150">
        <v>1</v>
      </c>
      <c r="AA580" s="1150">
        <v>1</v>
      </c>
      <c r="AB580" s="1150">
        <v>1</v>
      </c>
      <c r="AC580" s="1066"/>
      <c r="AD580" s="1066"/>
      <c r="AE580" s="1066"/>
      <c r="AF580" s="1066"/>
      <c r="AG580" s="1066"/>
      <c r="AK580" s="982"/>
      <c r="BB580" s="1008"/>
      <c r="BE580" s="659"/>
    </row>
    <row r="581" spans="1:57" s="993" customFormat="1" ht="15" customHeight="1" outlineLevel="1" x14ac:dyDescent="0.25">
      <c r="A581" s="1012"/>
      <c r="B581" s="1172"/>
      <c r="C581" s="1009"/>
      <c r="D581" s="1443" t="s">
        <v>75</v>
      </c>
      <c r="E581" s="1443" t="s">
        <v>1727</v>
      </c>
      <c r="F581" s="3082"/>
      <c r="G581" s="1181">
        <v>1</v>
      </c>
      <c r="H581" s="3866" t="s">
        <v>1728</v>
      </c>
      <c r="I581" s="3866"/>
      <c r="J581" s="3517" t="s">
        <v>1713</v>
      </c>
      <c r="K581" s="3517"/>
      <c r="L581" s="3517"/>
      <c r="M581" s="1012"/>
      <c r="N581" s="1012"/>
      <c r="O581" s="1012"/>
      <c r="P581" s="1012"/>
      <c r="Q581" s="1012"/>
      <c r="R581" s="1012"/>
      <c r="S581" s="1012"/>
      <c r="T581" s="1012"/>
      <c r="U581" s="1012"/>
      <c r="V581" s="1026" t="str">
        <f t="shared" si="74"/>
        <v>ISR</v>
      </c>
      <c r="W581" s="1076">
        <v>1</v>
      </c>
      <c r="X581" s="1076">
        <v>1</v>
      </c>
      <c r="Y581" s="1076">
        <v>1</v>
      </c>
      <c r="Z581" s="1141">
        <v>1</v>
      </c>
      <c r="AA581" s="1141">
        <v>1</v>
      </c>
      <c r="AB581" s="1141">
        <v>1</v>
      </c>
      <c r="AC581" s="1066"/>
      <c r="AD581" s="1066"/>
      <c r="AE581" s="1066"/>
      <c r="AF581" s="1066"/>
      <c r="AG581" s="1066"/>
      <c r="AK581" s="982"/>
      <c r="BB581" s="1008"/>
      <c r="BE581" s="659"/>
    </row>
    <row r="582" spans="1:57" s="993" customFormat="1" ht="15" customHeight="1" outlineLevel="1" x14ac:dyDescent="0.25">
      <c r="A582" s="1012"/>
      <c r="B582" s="1012"/>
      <c r="C582" s="1009"/>
      <c r="D582" s="2043" t="str">
        <f>D543</f>
        <v>EUL</v>
      </c>
      <c r="E582" s="2043" t="str">
        <f>E543</f>
        <v>Effective Useful Life</v>
      </c>
      <c r="F582" s="1094" t="s">
        <v>591</v>
      </c>
      <c r="G582" s="1201">
        <v>20</v>
      </c>
      <c r="H582" s="3509"/>
      <c r="I582" s="3493"/>
      <c r="J582" s="3875"/>
      <c r="K582" s="3875"/>
      <c r="L582" s="3875"/>
      <c r="M582" s="1871"/>
      <c r="N582" s="1012"/>
      <c r="O582" s="1012"/>
      <c r="P582" s="1012"/>
      <c r="Q582" s="1012"/>
      <c r="R582" s="1012"/>
      <c r="S582" s="1012"/>
      <c r="T582" s="1012"/>
      <c r="U582" s="1012"/>
      <c r="V582" s="1026" t="str">
        <f t="shared" si="74"/>
        <v>EUL</v>
      </c>
      <c r="W582" s="1077">
        <v>20</v>
      </c>
      <c r="X582" s="1077">
        <v>20</v>
      </c>
      <c r="Y582" s="1077">
        <v>20</v>
      </c>
      <c r="Z582" s="919">
        <v>20</v>
      </c>
      <c r="AA582" s="919">
        <v>20</v>
      </c>
      <c r="AB582" s="919">
        <v>20</v>
      </c>
      <c r="AC582" s="1077"/>
      <c r="AD582" s="1077"/>
      <c r="AE582" s="1077"/>
      <c r="AF582" s="1077"/>
      <c r="AG582" s="1077"/>
      <c r="AK582" s="982"/>
      <c r="BB582" s="1008"/>
      <c r="BE582" s="659"/>
    </row>
    <row r="583" spans="1:57" s="993" customFormat="1" ht="15" customHeight="1" outlineLevel="1" x14ac:dyDescent="0.25">
      <c r="A583" s="1012"/>
      <c r="B583" s="1012"/>
      <c r="C583" s="1009"/>
      <c r="D583" s="2043" t="str">
        <f>D544</f>
        <v>Inc. Cost</v>
      </c>
      <c r="E583" s="2043" t="str">
        <f>E544</f>
        <v>Incremental Cost</v>
      </c>
      <c r="F583" s="2758" t="s">
        <v>591</v>
      </c>
      <c r="G583" s="508">
        <f>299.34234/SQRT(1387)</f>
        <v>8.0376653213977498</v>
      </c>
      <c r="H583" s="3866" t="s">
        <v>1751</v>
      </c>
      <c r="I583" s="3867"/>
      <c r="J583" s="3517" t="s">
        <v>1729</v>
      </c>
      <c r="K583" s="3517"/>
      <c r="L583" s="3517"/>
      <c r="M583" s="1871"/>
      <c r="N583" s="1012"/>
      <c r="O583" s="1012"/>
      <c r="P583" s="1012"/>
      <c r="Q583" s="1012"/>
      <c r="R583" s="1012"/>
      <c r="S583" s="1012"/>
      <c r="T583" s="1012"/>
      <c r="U583" s="1012"/>
      <c r="V583" s="1026" t="str">
        <f t="shared" si="74"/>
        <v>Inc. Cost</v>
      </c>
      <c r="W583" s="1029">
        <v>299.34233999999998</v>
      </c>
      <c r="X583" s="1029">
        <v>299.34233999999998</v>
      </c>
      <c r="Y583" s="763">
        <v>8.0376653213977498</v>
      </c>
      <c r="Z583" s="508">
        <v>8.0376653213977498</v>
      </c>
      <c r="AA583" s="508">
        <v>8.0376653213977498</v>
      </c>
      <c r="AB583" s="508">
        <v>8.0376653213977498</v>
      </c>
      <c r="AC583" s="1029"/>
      <c r="AD583" s="1029"/>
      <c r="AE583" s="1029"/>
      <c r="AF583" s="1029"/>
      <c r="AG583" s="1029"/>
      <c r="AK583" s="982"/>
      <c r="BB583" s="1008"/>
      <c r="BE583" s="659"/>
    </row>
    <row r="584" spans="1:57" s="993" customFormat="1" x14ac:dyDescent="0.25">
      <c r="A584" s="1012"/>
      <c r="B584" s="1172"/>
      <c r="C584" s="1009"/>
      <c r="D584" s="1877"/>
      <c r="E584" s="1877"/>
      <c r="F584" s="1012"/>
      <c r="G584" s="1878"/>
      <c r="H584" s="1878"/>
      <c r="I584" s="1878"/>
      <c r="J584" s="1012"/>
      <c r="K584" s="1012"/>
      <c r="L584" s="1012"/>
      <c r="M584" s="1012"/>
      <c r="N584" s="1012"/>
      <c r="O584" s="1012"/>
      <c r="P584" s="1012"/>
      <c r="Q584" s="1012"/>
      <c r="R584" s="1012"/>
      <c r="S584" s="1012"/>
      <c r="T584" s="1012"/>
      <c r="U584" s="1012"/>
      <c r="Y584" s="1701" t="s">
        <v>1581</v>
      </c>
      <c r="AK584" s="982"/>
      <c r="BB584" s="1008"/>
    </row>
    <row r="585" spans="1:57" s="993" customFormat="1" x14ac:dyDescent="0.25">
      <c r="A585" s="1012"/>
      <c r="B585" s="1012"/>
      <c r="C585" s="1009"/>
      <c r="D585" s="1877"/>
      <c r="E585" s="1877"/>
      <c r="F585" s="1878"/>
      <c r="G585" s="1878"/>
      <c r="H585" s="1878"/>
      <c r="I585" s="1012"/>
      <c r="J585" s="1012"/>
      <c r="K585" s="1012"/>
      <c r="L585" s="1012"/>
      <c r="M585" s="1012"/>
      <c r="N585" s="1012"/>
      <c r="O585" s="1012"/>
      <c r="P585" s="1012"/>
      <c r="Q585" s="1012"/>
      <c r="R585" s="1012"/>
      <c r="S585" s="1012"/>
      <c r="T585" s="1012"/>
      <c r="U585" s="1012"/>
      <c r="Y585" s="1013"/>
      <c r="AK585" s="982"/>
      <c r="BB585" s="1008"/>
    </row>
    <row r="586" spans="1:57" x14ac:dyDescent="0.25">
      <c r="A586" s="1136"/>
      <c r="B586" s="3350" t="str">
        <f>'HVAC Deemed Table'!B4:L4</f>
        <v>ECM/ Blower Motor</v>
      </c>
      <c r="C586" s="3351"/>
      <c r="D586" s="3351"/>
      <c r="E586" s="3351"/>
      <c r="F586" s="3351"/>
      <c r="G586" s="3351"/>
      <c r="H586" s="3351"/>
      <c r="I586" s="3352"/>
      <c r="J586" s="3352"/>
      <c r="K586" s="3352"/>
      <c r="L586" s="3352"/>
      <c r="M586" s="3352"/>
      <c r="N586" s="3352"/>
      <c r="O586" s="3352"/>
      <c r="P586" s="3352"/>
      <c r="Q586" s="3352"/>
      <c r="R586" s="3353"/>
      <c r="V586" s="3350" t="str">
        <f>B586</f>
        <v>ECM/ Blower Motor</v>
      </c>
      <c r="W586" s="3351"/>
      <c r="X586" s="3351"/>
      <c r="Y586" s="3351"/>
      <c r="Z586" s="3351"/>
      <c r="AA586" s="3351"/>
      <c r="AB586" s="3351"/>
      <c r="AC586" s="3354"/>
      <c r="AD586" s="3354"/>
      <c r="AE586" s="3354"/>
      <c r="AF586" s="3354"/>
      <c r="AG586" s="3354"/>
      <c r="AH586" s="3354"/>
      <c r="AI586" s="3355"/>
      <c r="AJ586" s="993"/>
      <c r="AK586" s="982"/>
    </row>
    <row r="587" spans="1:57" x14ac:dyDescent="0.25">
      <c r="B587" s="1359"/>
      <c r="C587" s="274"/>
      <c r="D587" s="482"/>
      <c r="E587" s="482"/>
      <c r="F587" s="275"/>
      <c r="G587" s="275"/>
      <c r="H587" s="275"/>
      <c r="I587" s="275"/>
      <c r="J587" s="275"/>
      <c r="K587" s="275"/>
      <c r="L587" s="1635"/>
      <c r="AJ587" s="993"/>
      <c r="AK587" s="982"/>
    </row>
    <row r="588" spans="1:57" ht="30" x14ac:dyDescent="0.25">
      <c r="B588" s="1359"/>
      <c r="C588" s="1409" t="s">
        <v>17</v>
      </c>
      <c r="D588" s="1409" t="s">
        <v>616</v>
      </c>
      <c r="E588" s="1409" t="s">
        <v>19</v>
      </c>
      <c r="F588" s="1409" t="s">
        <v>20</v>
      </c>
      <c r="G588" s="1409" t="s">
        <v>21</v>
      </c>
      <c r="H588" s="1409" t="s">
        <v>22</v>
      </c>
      <c r="I588" s="1409" t="s">
        <v>872</v>
      </c>
      <c r="J588" s="1409" t="s">
        <v>873</v>
      </c>
      <c r="K588" s="1409" t="s">
        <v>1057</v>
      </c>
      <c r="L588" s="1409" t="s">
        <v>1058</v>
      </c>
      <c r="M588" s="1409" t="s">
        <v>23</v>
      </c>
      <c r="N588" s="1413" t="s">
        <v>24</v>
      </c>
      <c r="O588" s="1409" t="s">
        <v>25</v>
      </c>
      <c r="P588" s="1409" t="s">
        <v>26</v>
      </c>
      <c r="V588" s="55" t="s">
        <v>27</v>
      </c>
      <c r="W588" s="56">
        <f>W$6</f>
        <v>43252</v>
      </c>
      <c r="X588" s="56">
        <f t="shared" ref="X588:AG588" si="75">X$6</f>
        <v>43465</v>
      </c>
      <c r="Y588" s="420">
        <f t="shared" si="75"/>
        <v>43800</v>
      </c>
      <c r="Z588" s="56">
        <f t="shared" si="75"/>
        <v>43862</v>
      </c>
      <c r="AA588" s="56">
        <f t="shared" si="75"/>
        <v>44013</v>
      </c>
      <c r="AB588" s="56">
        <f t="shared" si="75"/>
        <v>44166</v>
      </c>
      <c r="AC588" s="56" t="str">
        <f t="shared" si="75"/>
        <v>-</v>
      </c>
      <c r="AD588" s="56" t="str">
        <f t="shared" si="75"/>
        <v>-</v>
      </c>
      <c r="AE588" s="56" t="str">
        <f t="shared" si="75"/>
        <v>-</v>
      </c>
      <c r="AF588" s="56" t="str">
        <f t="shared" si="75"/>
        <v>-</v>
      </c>
      <c r="AG588" s="56" t="str">
        <f t="shared" si="75"/>
        <v>-</v>
      </c>
      <c r="AJ588" s="993"/>
      <c r="AK588" s="982"/>
      <c r="BB588" s="57" t="str">
        <f>$BB$6</f>
        <v>TRC (2020)</v>
      </c>
      <c r="BC588" s="93" t="str">
        <f>$BC$6</f>
        <v>Benefit Lookup</v>
      </c>
      <c r="BD588" s="741" t="str">
        <f>$BD$6</f>
        <v>Benefits (2019 $)</v>
      </c>
      <c r="BE588" s="279" t="str">
        <f>$BE$6</f>
        <v>Incremental Cost (2019 $)</v>
      </c>
    </row>
    <row r="589" spans="1:57" x14ac:dyDescent="0.25">
      <c r="B589" s="1359"/>
      <c r="C589" s="1658" t="s">
        <v>1752</v>
      </c>
      <c r="D589" s="1658" t="s">
        <v>1515</v>
      </c>
      <c r="E589" s="3045" t="s">
        <v>1753</v>
      </c>
      <c r="F589" s="1880">
        <f>ROUND(I589+J589+K589+L589,2)</f>
        <v>582</v>
      </c>
      <c r="G589" s="1658" t="s">
        <v>877</v>
      </c>
      <c r="H589" s="202">
        <f>VLOOKUP(G589,'CP FACTORS'!$A$3:$B$38, 2, FALSE)</f>
        <v>4.6608050000000002E-4</v>
      </c>
      <c r="I589" s="1088">
        <f>(1-G620)*$G$626*G$627/G$628*G643*$G$649</f>
        <v>264.14545423487061</v>
      </c>
      <c r="J589" s="1088">
        <f>(1-G629)*$G$635*G$636/G$637*G643*$G$649</f>
        <v>31.133309957924254</v>
      </c>
      <c r="K589" s="1088">
        <f>(25*G$636/G$637+2960*$G$640-$G$642)*G643*$G$649</f>
        <v>286.72123580720518</v>
      </c>
      <c r="L589" s="1088">
        <v>0</v>
      </c>
      <c r="M589" s="994">
        <f>ROUND(H589*F589,6)</f>
        <v>0.27125899999999997</v>
      </c>
      <c r="N589" s="1881">
        <f>G650</f>
        <v>20</v>
      </c>
      <c r="O589" s="2758">
        <f>G656</f>
        <v>74.327224020150311</v>
      </c>
      <c r="P589" s="1882" t="s">
        <v>37</v>
      </c>
      <c r="R589" s="1136"/>
      <c r="V589" s="208" t="str">
        <f>$F$508</f>
        <v>kWh
Annual Savings</v>
      </c>
      <c r="W589" s="1083">
        <v>591.90332067911811</v>
      </c>
      <c r="X589" s="487">
        <v>591.90332067911811</v>
      </c>
      <c r="Y589" s="1084">
        <v>582</v>
      </c>
      <c r="Z589" s="2777">
        <v>582</v>
      </c>
      <c r="AA589" s="2777">
        <v>582</v>
      </c>
      <c r="AB589" s="2777">
        <v>582</v>
      </c>
      <c r="AC589" s="208"/>
      <c r="AD589" s="208"/>
      <c r="AE589" s="208"/>
      <c r="AF589" s="208"/>
      <c r="AG589" s="208"/>
      <c r="AJ589" s="993"/>
      <c r="AK589" s="982"/>
      <c r="BB589" s="67">
        <f>(BD589)/(BE589)</f>
        <v>9.8755842478136593</v>
      </c>
      <c r="BC589" s="1058" t="str">
        <f>CONCATENATE(G589," ",N589," Year EUL")</f>
        <v>HVAC RES 20 Year EUL</v>
      </c>
      <c r="BD589" s="145">
        <f>(INDEX('Avoided Cost Benefits'!$C$4:$C$857,MATCH(BC589,'Avoided Cost Benefits'!$A$4:$A$857,0)))*F589</f>
        <v>692.80298510345756</v>
      </c>
      <c r="BE589" s="69">
        <f>O589/(1.0595^(2020-2019))</f>
        <v>70.153113751911562</v>
      </c>
    </row>
    <row r="590" spans="1:57" x14ac:dyDescent="0.25">
      <c r="B590" s="1359"/>
      <c r="C590" s="1658" t="s">
        <v>1754</v>
      </c>
      <c r="D590" s="1658" t="s">
        <v>1515</v>
      </c>
      <c r="E590" s="656" t="s">
        <v>1755</v>
      </c>
      <c r="F590" s="1880">
        <f t="shared" ref="F590:F600" si="76">ROUND(I590+J590+K590+L590,2)</f>
        <v>582</v>
      </c>
      <c r="G590" s="1658" t="s">
        <v>877</v>
      </c>
      <c r="H590" s="202">
        <f>VLOOKUP(G590,'CP FACTORS'!$A$3:$B$38, 2, FALSE)</f>
        <v>4.6608050000000002E-4</v>
      </c>
      <c r="I590" s="1088">
        <f>(1-G621)*$G$626*G$627/G$628*G644*$G$649</f>
        <v>264.14545423487061</v>
      </c>
      <c r="J590" s="1088">
        <f>(1-G630)*$G$635*G$636/G$637*G644*$G$649</f>
        <v>31.133309957924254</v>
      </c>
      <c r="K590" s="1088">
        <f>(25*G$636/G$637+2960*$G$640-$G$642)*G644*$G$649</f>
        <v>286.72123580720518</v>
      </c>
      <c r="L590" s="1088">
        <v>0</v>
      </c>
      <c r="M590" s="994">
        <f t="shared" ref="M590:M600" si="77">ROUND(H590*F590,6)</f>
        <v>0.27125899999999997</v>
      </c>
      <c r="N590" s="1881">
        <f>G651</f>
        <v>6</v>
      </c>
      <c r="O590" s="2758">
        <f>G657</f>
        <v>475</v>
      </c>
      <c r="P590" s="282" t="s">
        <v>37</v>
      </c>
      <c r="R590" s="1136"/>
      <c r="V590" s="208" t="str">
        <f t="shared" ref="V590:V600" si="78">$F$508</f>
        <v>kWh
Annual Savings</v>
      </c>
      <c r="W590" s="1083">
        <v>794.49034774724942</v>
      </c>
      <c r="X590" s="487">
        <v>794.49034774724942</v>
      </c>
      <c r="Y590" s="1084">
        <v>582</v>
      </c>
      <c r="Z590" s="2777">
        <v>582</v>
      </c>
      <c r="AA590" s="2777">
        <v>582</v>
      </c>
      <c r="AB590" s="2777">
        <v>582</v>
      </c>
      <c r="AC590" s="208"/>
      <c r="AD590" s="208"/>
      <c r="AE590" s="208"/>
      <c r="AF590" s="208"/>
      <c r="AG590" s="208"/>
      <c r="AH590" s="993"/>
      <c r="AI590" s="993"/>
      <c r="AJ590" s="993"/>
      <c r="AK590" s="982"/>
      <c r="BB590" s="71">
        <f>(BD590+BD591)/(BE590+BE591)</f>
        <v>1.4249213128950478</v>
      </c>
      <c r="BC590" s="1085" t="str">
        <f t="shared" ref="BC590:BC600" si="79">CONCATENATE(G590," ",N590," Year EUL")</f>
        <v>HVAC RES 6 Year EUL</v>
      </c>
      <c r="BD590" s="148">
        <f>(INDEX('Avoided Cost Benefits'!$C$4:$C$857,MATCH(BC590,'Avoided Cost Benefits'!$A$4:$A$857,0)))*F590</f>
        <v>214.66614365077814</v>
      </c>
      <c r="BE590" s="73">
        <f t="shared" ref="BE590:BE600" si="80">O590/(1.0595^(2020-2019))</f>
        <v>448.32468145351578</v>
      </c>
    </row>
    <row r="591" spans="1:57" x14ac:dyDescent="0.25">
      <c r="B591" s="1359"/>
      <c r="C591" s="1658" t="s">
        <v>1754</v>
      </c>
      <c r="D591" s="1658" t="s">
        <v>1515</v>
      </c>
      <c r="E591" s="2295" t="s">
        <v>1756</v>
      </c>
      <c r="F591" s="1880">
        <f t="shared" si="76"/>
        <v>582</v>
      </c>
      <c r="G591" s="3048" t="str">
        <f>'CP FACTORS'!$A$17</f>
        <v>HVAC RES ER2</v>
      </c>
      <c r="H591" s="202">
        <f>VLOOKUP(G591,'CP FACTORS'!$A$3:$B$38, 2, FALSE)</f>
        <v>4.6608050000000002E-4</v>
      </c>
      <c r="I591" s="1088">
        <f>(1-G622)*$G$626*G$627/G$628*G645*$G$649</f>
        <v>264.14545423487061</v>
      </c>
      <c r="J591" s="1088">
        <f>(1-G631)*$G$635*G$636/G$637*G645*$G$649</f>
        <v>31.133309957924254</v>
      </c>
      <c r="K591" s="1088">
        <f>(25*G$636/G$637+2960*$G$640-$G$642)*G645*$G$649</f>
        <v>286.72123580720518</v>
      </c>
      <c r="L591" s="1088">
        <v>0</v>
      </c>
      <c r="M591" s="994">
        <f t="shared" si="77"/>
        <v>0.27125899999999997</v>
      </c>
      <c r="N591" s="1881">
        <f>G652</f>
        <v>12</v>
      </c>
      <c r="O591" s="2758">
        <f>G658</f>
        <v>0</v>
      </c>
      <c r="P591" s="282" t="s">
        <v>37</v>
      </c>
      <c r="R591" s="1136"/>
      <c r="V591" s="208" t="str">
        <f t="shared" si="78"/>
        <v>kWh
Annual Savings</v>
      </c>
      <c r="W591" s="1083">
        <v>591.90332067911811</v>
      </c>
      <c r="X591" s="487">
        <v>591.90332067911811</v>
      </c>
      <c r="Y591" s="1084">
        <v>582</v>
      </c>
      <c r="Z591" s="2777">
        <v>582</v>
      </c>
      <c r="AA591" s="2777">
        <v>582</v>
      </c>
      <c r="AB591" s="2777">
        <v>582</v>
      </c>
      <c r="AC591" s="208"/>
      <c r="AD591" s="208"/>
      <c r="AE591" s="208"/>
      <c r="AF591" s="208"/>
      <c r="AG591" s="208"/>
      <c r="AK591" s="982"/>
      <c r="BB591" s="1087"/>
      <c r="BC591" s="1086" t="str">
        <f t="shared" si="79"/>
        <v>HVAC RES ER2 12 Year EUL</v>
      </c>
      <c r="BD591" s="148">
        <f>(INDEX('Avoided Cost Benefits'!$C$4:$C$857,MATCH(BC591,'Avoided Cost Benefits'!$A$4:$A$857,0)))*F591</f>
        <v>424.16125004921963</v>
      </c>
      <c r="BE591" s="73">
        <f t="shared" si="80"/>
        <v>0</v>
      </c>
    </row>
    <row r="592" spans="1:57" x14ac:dyDescent="0.25">
      <c r="B592" s="1359"/>
      <c r="C592" s="1658" t="s">
        <v>1757</v>
      </c>
      <c r="D592" s="1658" t="s">
        <v>1515</v>
      </c>
      <c r="E592" s="3045" t="s">
        <v>1758</v>
      </c>
      <c r="F592" s="1880">
        <f t="shared" si="76"/>
        <v>582</v>
      </c>
      <c r="G592" s="3048" t="s">
        <v>877</v>
      </c>
      <c r="H592" s="202">
        <f>VLOOKUP(G592,'CP FACTORS'!$A$3:$B$38, 2, FALSE)</f>
        <v>4.6608050000000002E-4</v>
      </c>
      <c r="I592" s="1088">
        <f t="shared" ref="I592:I597" si="81">(1-G620)*$G$626*G$627/G$628*G643*$G$649</f>
        <v>264.14545423487061</v>
      </c>
      <c r="J592" s="1088">
        <f t="shared" ref="J592:J597" si="82">(1-G629)*$G$635*G$636/G$637*G643*$G$649</f>
        <v>31.133309957924254</v>
      </c>
      <c r="K592" s="1088">
        <v>0</v>
      </c>
      <c r="L592" s="1088">
        <f>(25*G$636/G$637+2960*$G$640-$G$642)*G644*$G$649</f>
        <v>286.72123580720518</v>
      </c>
      <c r="M592" s="994">
        <f t="shared" si="77"/>
        <v>0.27125899999999997</v>
      </c>
      <c r="N592" s="1881">
        <f t="shared" ref="N592:N597" si="83">G650</f>
        <v>20</v>
      </c>
      <c r="O592" s="2758">
        <f t="shared" ref="O592:O597" si="84">G656</f>
        <v>74.327224020150311</v>
      </c>
      <c r="P592" s="282" t="s">
        <v>37</v>
      </c>
      <c r="R592" s="1136"/>
      <c r="V592" s="208" t="str">
        <f t="shared" si="78"/>
        <v>kWh
Annual Savings</v>
      </c>
      <c r="W592" s="1083">
        <v>3255.9033206791182</v>
      </c>
      <c r="X592" s="487">
        <v>3255.9033206791182</v>
      </c>
      <c r="Y592" s="1084">
        <v>582</v>
      </c>
      <c r="Z592" s="2777">
        <v>582</v>
      </c>
      <c r="AA592" s="2777">
        <v>582</v>
      </c>
      <c r="AB592" s="2777">
        <v>582</v>
      </c>
      <c r="AC592" s="208"/>
      <c r="AD592" s="208"/>
      <c r="AE592" s="208"/>
      <c r="AF592" s="208"/>
      <c r="AG592" s="208"/>
      <c r="AK592" s="982"/>
      <c r="BB592" s="71">
        <f t="shared" ref="BB592:BB598" si="85">(BD592)/(BE592)</f>
        <v>9.8755842478136593</v>
      </c>
      <c r="BC592" s="1058" t="str">
        <f t="shared" si="79"/>
        <v>HVAC RES 20 Year EUL</v>
      </c>
      <c r="BD592" s="148">
        <f>(INDEX('Avoided Cost Benefits'!$C$4:$C$857,MATCH(BC592,'Avoided Cost Benefits'!$A$4:$A$857,0)))*F592</f>
        <v>692.80298510345756</v>
      </c>
      <c r="BE592" s="73">
        <f t="shared" si="80"/>
        <v>70.153113751911562</v>
      </c>
    </row>
    <row r="593" spans="2:57" x14ac:dyDescent="0.25">
      <c r="B593" s="1359"/>
      <c r="C593" s="1658" t="s">
        <v>1759</v>
      </c>
      <c r="D593" s="1658" t="s">
        <v>1515</v>
      </c>
      <c r="E593" s="656" t="s">
        <v>1760</v>
      </c>
      <c r="F593" s="1880">
        <f t="shared" si="76"/>
        <v>582</v>
      </c>
      <c r="G593" s="3048" t="s">
        <v>877</v>
      </c>
      <c r="H593" s="202">
        <f>VLOOKUP(G593,'CP FACTORS'!$A$3:$B$38, 2, FALSE)</f>
        <v>4.6608050000000002E-4</v>
      </c>
      <c r="I593" s="1088">
        <f t="shared" si="81"/>
        <v>264.14545423487061</v>
      </c>
      <c r="J593" s="1088">
        <f t="shared" si="82"/>
        <v>31.133309957924254</v>
      </c>
      <c r="K593" s="1088">
        <v>0</v>
      </c>
      <c r="L593" s="1088">
        <f>(25*G$636/G$637+2960*$G$640-$G$642)*G645*$G$649</f>
        <v>286.72123580720518</v>
      </c>
      <c r="M593" s="994">
        <f t="shared" si="77"/>
        <v>0.27125899999999997</v>
      </c>
      <c r="N593" s="1881">
        <f t="shared" si="83"/>
        <v>6</v>
      </c>
      <c r="O593" s="2758">
        <f t="shared" si="84"/>
        <v>475</v>
      </c>
      <c r="P593" s="282" t="s">
        <v>37</v>
      </c>
      <c r="R593" s="1136"/>
      <c r="V593" s="208" t="str">
        <f t="shared" si="78"/>
        <v>kWh
Annual Savings</v>
      </c>
      <c r="W593" s="1083">
        <v>3458.4903477472494</v>
      </c>
      <c r="X593" s="487">
        <v>3458.4903477472494</v>
      </c>
      <c r="Y593" s="1084">
        <v>582</v>
      </c>
      <c r="Z593" s="2777">
        <v>582</v>
      </c>
      <c r="AA593" s="2777">
        <v>582</v>
      </c>
      <c r="AB593" s="2777">
        <v>582</v>
      </c>
      <c r="AC593" s="208"/>
      <c r="AD593" s="208"/>
      <c r="AE593" s="208"/>
      <c r="AF593" s="208"/>
      <c r="AG593" s="208"/>
      <c r="AK593" s="982"/>
      <c r="BB593" s="71">
        <f>(BD593+BD594)/(BE593+BE594)</f>
        <v>1.4249213128950478</v>
      </c>
      <c r="BC593" s="1085" t="str">
        <f t="shared" si="79"/>
        <v>HVAC RES 6 Year EUL</v>
      </c>
      <c r="BD593" s="148">
        <f>(INDEX('Avoided Cost Benefits'!$C$4:$C$857,MATCH(BC593,'Avoided Cost Benefits'!$A$4:$A$857,0)))*F593</f>
        <v>214.66614365077814</v>
      </c>
      <c r="BE593" s="73">
        <f t="shared" si="80"/>
        <v>448.32468145351578</v>
      </c>
    </row>
    <row r="594" spans="2:57" x14ac:dyDescent="0.25">
      <c r="B594" s="1359"/>
      <c r="C594" s="1658" t="s">
        <v>1759</v>
      </c>
      <c r="D594" s="1658" t="s">
        <v>1515</v>
      </c>
      <c r="E594" s="2295" t="s">
        <v>1761</v>
      </c>
      <c r="F594" s="1880">
        <f t="shared" si="76"/>
        <v>582</v>
      </c>
      <c r="G594" s="3048" t="str">
        <f>'CP FACTORS'!$A$17</f>
        <v>HVAC RES ER2</v>
      </c>
      <c r="H594" s="202">
        <f>VLOOKUP(G594,'CP FACTORS'!$A$3:$B$38, 2, FALSE)</f>
        <v>4.6608050000000002E-4</v>
      </c>
      <c r="I594" s="1088">
        <f t="shared" si="81"/>
        <v>264.14545423487061</v>
      </c>
      <c r="J594" s="1088">
        <f t="shared" si="82"/>
        <v>31.133309957924254</v>
      </c>
      <c r="K594" s="1088">
        <v>0</v>
      </c>
      <c r="L594" s="1088">
        <f>(25*G$636/G$637+2960*$G$640-$G$642)*G646*$G$649</f>
        <v>286.72123580720518</v>
      </c>
      <c r="M594" s="994">
        <f t="shared" si="77"/>
        <v>0.27125899999999997</v>
      </c>
      <c r="N594" s="1881">
        <f t="shared" si="83"/>
        <v>12</v>
      </c>
      <c r="O594" s="2758">
        <f t="shared" si="84"/>
        <v>0</v>
      </c>
      <c r="P594" s="282" t="s">
        <v>37</v>
      </c>
      <c r="R594" s="1136"/>
      <c r="V594" s="208" t="str">
        <f t="shared" si="78"/>
        <v>kWh
Annual Savings</v>
      </c>
      <c r="W594" s="1083">
        <v>3255.9033206791182</v>
      </c>
      <c r="X594" s="487">
        <v>3255.9033206791182</v>
      </c>
      <c r="Y594" s="1084">
        <v>582</v>
      </c>
      <c r="Z594" s="2777">
        <v>582</v>
      </c>
      <c r="AA594" s="2777">
        <v>582</v>
      </c>
      <c r="AB594" s="2777">
        <v>582</v>
      </c>
      <c r="AC594" s="208"/>
      <c r="AD594" s="208"/>
      <c r="AE594" s="208"/>
      <c r="AF594" s="208"/>
      <c r="AG594" s="208"/>
      <c r="AK594" s="982"/>
      <c r="BB594" s="1087"/>
      <c r="BC594" s="1086" t="str">
        <f t="shared" si="79"/>
        <v>HVAC RES ER2 12 Year EUL</v>
      </c>
      <c r="BD594" s="148">
        <f>(INDEX('Avoided Cost Benefits'!$C$4:$C$857,MATCH(BC594,'Avoided Cost Benefits'!$A$4:$A$857,0)))*F594</f>
        <v>424.16125004921963</v>
      </c>
      <c r="BE594" s="73">
        <f t="shared" si="80"/>
        <v>0</v>
      </c>
    </row>
    <row r="595" spans="2:57" x14ac:dyDescent="0.25">
      <c r="B595" s="1359"/>
      <c r="C595" s="1658" t="s">
        <v>1762</v>
      </c>
      <c r="D595" s="1658" t="s">
        <v>1518</v>
      </c>
      <c r="E595" s="3045" t="s">
        <v>1763</v>
      </c>
      <c r="F595" s="1880">
        <f t="shared" si="76"/>
        <v>582</v>
      </c>
      <c r="G595" s="3048" t="s">
        <v>877</v>
      </c>
      <c r="H595" s="202">
        <f>VLOOKUP(G595,'CP FACTORS'!$A$3:$B$38, 2, FALSE)</f>
        <v>4.6608050000000002E-4</v>
      </c>
      <c r="I595" s="1088">
        <f t="shared" si="81"/>
        <v>264.14545423487061</v>
      </c>
      <c r="J595" s="1088">
        <f t="shared" si="82"/>
        <v>31.133309957924254</v>
      </c>
      <c r="K595" s="1088">
        <f>(25*G$636/G$637+2960*$G$640-$G$642)*G646*$G$649</f>
        <v>286.72123580720518</v>
      </c>
      <c r="L595" s="506">
        <v>0</v>
      </c>
      <c r="M595" s="994">
        <f t="shared" si="77"/>
        <v>0.27125899999999997</v>
      </c>
      <c r="N595" s="1881">
        <f t="shared" si="83"/>
        <v>20</v>
      </c>
      <c r="O595" s="2758">
        <f t="shared" si="84"/>
        <v>74.327224020150311</v>
      </c>
      <c r="P595" s="282" t="s">
        <v>37</v>
      </c>
      <c r="R595" s="1136"/>
      <c r="V595" s="208" t="str">
        <f t="shared" si="78"/>
        <v>kWh
Annual Savings</v>
      </c>
      <c r="W595" s="1083">
        <v>591.90332067911811</v>
      </c>
      <c r="X595" s="487">
        <v>591.90332067911811</v>
      </c>
      <c r="Y595" s="1084">
        <v>582</v>
      </c>
      <c r="Z595" s="2777">
        <v>582</v>
      </c>
      <c r="AA595" s="2777">
        <v>582</v>
      </c>
      <c r="AB595" s="2777">
        <v>582</v>
      </c>
      <c r="AC595" s="208"/>
      <c r="AD595" s="208"/>
      <c r="AE595" s="208"/>
      <c r="AF595" s="208"/>
      <c r="AG595" s="208"/>
      <c r="AK595" s="982"/>
      <c r="BB595" s="71">
        <f t="shared" si="85"/>
        <v>9.8755842478136593</v>
      </c>
      <c r="BC595" s="1058" t="str">
        <f t="shared" si="79"/>
        <v>HVAC RES 20 Year EUL</v>
      </c>
      <c r="BD595" s="148">
        <f>(INDEX('Avoided Cost Benefits'!$C$4:$C$857,MATCH(BC595,'Avoided Cost Benefits'!$A$4:$A$857,0)))*F595</f>
        <v>692.80298510345756</v>
      </c>
      <c r="BE595" s="73">
        <f t="shared" si="80"/>
        <v>70.153113751911562</v>
      </c>
    </row>
    <row r="596" spans="2:57" x14ac:dyDescent="0.25">
      <c r="B596" s="1359"/>
      <c r="C596" s="1658" t="s">
        <v>1764</v>
      </c>
      <c r="D596" s="1658" t="s">
        <v>1518</v>
      </c>
      <c r="E596" s="656" t="s">
        <v>1765</v>
      </c>
      <c r="F596" s="1880">
        <f t="shared" si="76"/>
        <v>582</v>
      </c>
      <c r="G596" s="3048" t="s">
        <v>877</v>
      </c>
      <c r="H596" s="202">
        <f>VLOOKUP(G596,'CP FACTORS'!$A$3:$B$38, 2, FALSE)</f>
        <v>4.6608050000000002E-4</v>
      </c>
      <c r="I596" s="1088">
        <f t="shared" si="81"/>
        <v>264.14545423487061</v>
      </c>
      <c r="J596" s="1088">
        <f t="shared" si="82"/>
        <v>31.133309957924254</v>
      </c>
      <c r="K596" s="1088">
        <f>(25*G$636/G$637+2960*$G$640-$G$642)*G647*$G$649</f>
        <v>286.72123580720518</v>
      </c>
      <c r="L596" s="506">
        <v>0</v>
      </c>
      <c r="M596" s="994">
        <f t="shared" si="77"/>
        <v>0.27125899999999997</v>
      </c>
      <c r="N596" s="1881">
        <f t="shared" si="83"/>
        <v>6</v>
      </c>
      <c r="O596" s="2758">
        <f t="shared" si="84"/>
        <v>475</v>
      </c>
      <c r="P596" s="282" t="s">
        <v>37</v>
      </c>
      <c r="R596" s="1136"/>
      <c r="V596" s="208" t="str">
        <f t="shared" si="78"/>
        <v>kWh
Annual Savings</v>
      </c>
      <c r="W596" s="1083">
        <v>794.49034774724942</v>
      </c>
      <c r="X596" s="487">
        <v>794.49034774724942</v>
      </c>
      <c r="Y596" s="1084">
        <v>582</v>
      </c>
      <c r="Z596" s="2777">
        <v>582</v>
      </c>
      <c r="AA596" s="2777">
        <v>582</v>
      </c>
      <c r="AB596" s="2777">
        <v>582</v>
      </c>
      <c r="AC596" s="208"/>
      <c r="AD596" s="208"/>
      <c r="AE596" s="208"/>
      <c r="AF596" s="208"/>
      <c r="AG596" s="208"/>
      <c r="AK596" s="982"/>
      <c r="BB596" s="71">
        <f>(BD596+BD597)/(BE596+BE597)</f>
        <v>1.4249213128950478</v>
      </c>
      <c r="BC596" s="1085" t="str">
        <f t="shared" si="79"/>
        <v>HVAC RES 6 Year EUL</v>
      </c>
      <c r="BD596" s="148">
        <f>(INDEX('Avoided Cost Benefits'!$C$4:$C$857,MATCH(BC596,'Avoided Cost Benefits'!$A$4:$A$857,0)))*F596</f>
        <v>214.66614365077814</v>
      </c>
      <c r="BE596" s="73">
        <f t="shared" si="80"/>
        <v>448.32468145351578</v>
      </c>
    </row>
    <row r="597" spans="2:57" x14ac:dyDescent="0.25">
      <c r="B597" s="1359"/>
      <c r="C597" s="1658" t="s">
        <v>1764</v>
      </c>
      <c r="D597" s="1658" t="s">
        <v>1518</v>
      </c>
      <c r="E597" s="2295" t="s">
        <v>1766</v>
      </c>
      <c r="F597" s="1880">
        <f t="shared" si="76"/>
        <v>582</v>
      </c>
      <c r="G597" s="3048" t="str">
        <f>'CP FACTORS'!$A$17</f>
        <v>HVAC RES ER2</v>
      </c>
      <c r="H597" s="202">
        <f>VLOOKUP(G597,'CP FACTORS'!$A$3:$B$38, 2, FALSE)</f>
        <v>4.6608050000000002E-4</v>
      </c>
      <c r="I597" s="1088">
        <f t="shared" si="81"/>
        <v>264.14545423487061</v>
      </c>
      <c r="J597" s="1088">
        <f t="shared" si="82"/>
        <v>31.133309957924254</v>
      </c>
      <c r="K597" s="1088">
        <f>(25*G$636/G$637+2960*$G$640-$G$642)*G648*$G$649</f>
        <v>286.72123580720518</v>
      </c>
      <c r="L597" s="506">
        <v>0</v>
      </c>
      <c r="M597" s="994">
        <f t="shared" si="77"/>
        <v>0.27125899999999997</v>
      </c>
      <c r="N597" s="1881">
        <f t="shared" si="83"/>
        <v>12</v>
      </c>
      <c r="O597" s="2758">
        <f t="shared" si="84"/>
        <v>0</v>
      </c>
      <c r="P597" s="282" t="s">
        <v>37</v>
      </c>
      <c r="R597" s="1136"/>
      <c r="V597" s="208" t="str">
        <f t="shared" si="78"/>
        <v>kWh
Annual Savings</v>
      </c>
      <c r="W597" s="1083">
        <v>591.90332067911811</v>
      </c>
      <c r="X597" s="487">
        <v>591.90332067911811</v>
      </c>
      <c r="Y597" s="1084">
        <v>582</v>
      </c>
      <c r="Z597" s="2777">
        <v>582</v>
      </c>
      <c r="AA597" s="2777">
        <v>582</v>
      </c>
      <c r="AB597" s="2777">
        <v>582</v>
      </c>
      <c r="AC597" s="208"/>
      <c r="AD597" s="208"/>
      <c r="AE597" s="208"/>
      <c r="AF597" s="208"/>
      <c r="AG597" s="208"/>
      <c r="AK597" s="982"/>
      <c r="BB597" s="1087"/>
      <c r="BC597" s="1086" t="str">
        <f t="shared" si="79"/>
        <v>HVAC RES ER2 12 Year EUL</v>
      </c>
      <c r="BD597" s="148">
        <f>(INDEX('Avoided Cost Benefits'!$C$4:$C$857,MATCH(BC597,'Avoided Cost Benefits'!$A$4:$A$857,0)))*F597</f>
        <v>424.16125004921963</v>
      </c>
      <c r="BE597" s="73">
        <f t="shared" si="80"/>
        <v>0</v>
      </c>
    </row>
    <row r="598" spans="2:57" x14ac:dyDescent="0.25">
      <c r="B598" s="1359"/>
      <c r="C598" s="1658" t="s">
        <v>1767</v>
      </c>
      <c r="D598" s="1658" t="s">
        <v>1518</v>
      </c>
      <c r="E598" s="3045" t="s">
        <v>1768</v>
      </c>
      <c r="F598" s="1880">
        <f t="shared" si="76"/>
        <v>582</v>
      </c>
      <c r="G598" s="3048" t="s">
        <v>877</v>
      </c>
      <c r="H598" s="202">
        <f>VLOOKUP(G598,'CP FACTORS'!$A$3:$B$38, 2, FALSE)</f>
        <v>4.6608050000000002E-4</v>
      </c>
      <c r="I598" s="1088">
        <f>(1-G623)*$G$626*G$627/G$628*G646*$G$649</f>
        <v>264.14545423487061</v>
      </c>
      <c r="J598" s="1088">
        <f>(1-G632)*$G$635*G$636/G$637*G646*$G$649</f>
        <v>31.133309957924254</v>
      </c>
      <c r="K598" s="1088">
        <v>0</v>
      </c>
      <c r="L598" s="1088">
        <f>(25*G$636/G$637+2960*$G$641-$G$642)*G646*$G$649</f>
        <v>286.72123580720518</v>
      </c>
      <c r="M598" s="994">
        <f t="shared" si="77"/>
        <v>0.27125899999999997</v>
      </c>
      <c r="N598" s="1881">
        <f>G653</f>
        <v>20</v>
      </c>
      <c r="O598" s="2758">
        <f>G659</f>
        <v>74.327224020150311</v>
      </c>
      <c r="P598" s="282" t="s">
        <v>37</v>
      </c>
      <c r="R598" s="1136"/>
      <c r="V598" s="208" t="str">
        <f t="shared" si="78"/>
        <v>kWh
Annual Savings</v>
      </c>
      <c r="W598" s="1083">
        <v>3255.9033206791182</v>
      </c>
      <c r="X598" s="487">
        <v>3255.9033206791182</v>
      </c>
      <c r="Y598" s="1084">
        <v>582</v>
      </c>
      <c r="Z598" s="2777">
        <v>582</v>
      </c>
      <c r="AA598" s="2777">
        <v>582</v>
      </c>
      <c r="AB598" s="2777">
        <v>582</v>
      </c>
      <c r="AC598" s="208"/>
      <c r="AD598" s="208"/>
      <c r="AE598" s="208"/>
      <c r="AF598" s="208"/>
      <c r="AG598" s="208"/>
      <c r="AK598" s="982"/>
      <c r="BB598" s="71">
        <f t="shared" si="85"/>
        <v>9.8755842478136593</v>
      </c>
      <c r="BC598" s="1058" t="str">
        <f t="shared" si="79"/>
        <v>HVAC RES 20 Year EUL</v>
      </c>
      <c r="BD598" s="148">
        <f>(INDEX('Avoided Cost Benefits'!$C$4:$C$857,MATCH(BC598,'Avoided Cost Benefits'!$A$4:$A$857,0)))*F598</f>
        <v>692.80298510345756</v>
      </c>
      <c r="BE598" s="73">
        <f t="shared" si="80"/>
        <v>70.153113751911562</v>
      </c>
    </row>
    <row r="599" spans="2:57" x14ac:dyDescent="0.25">
      <c r="B599" s="1359"/>
      <c r="C599" s="1658" t="s">
        <v>1769</v>
      </c>
      <c r="D599" s="1658" t="s">
        <v>1518</v>
      </c>
      <c r="E599" s="656" t="s">
        <v>1770</v>
      </c>
      <c r="F599" s="1880">
        <f t="shared" si="76"/>
        <v>582</v>
      </c>
      <c r="G599" s="3048" t="s">
        <v>877</v>
      </c>
      <c r="H599" s="202">
        <f>VLOOKUP(G599,'CP FACTORS'!$A$3:$B$38, 2, FALSE)</f>
        <v>4.6608050000000002E-4</v>
      </c>
      <c r="I599" s="1088">
        <f>(1-G624)*$G$626*G$627/G$628*G647*$G$649</f>
        <v>264.14545423487061</v>
      </c>
      <c r="J599" s="1088">
        <f>(1-G633)*$G$635*G$636/G$637*G647*$G$649</f>
        <v>31.133309957924254</v>
      </c>
      <c r="K599" s="1088">
        <v>0</v>
      </c>
      <c r="L599" s="1088">
        <f>(25*G$636/G$637+2960*$G$641-$G$642)*G647*$G$649</f>
        <v>286.72123580720518</v>
      </c>
      <c r="M599" s="994">
        <f t="shared" si="77"/>
        <v>0.27125899999999997</v>
      </c>
      <c r="N599" s="1881">
        <f>G654</f>
        <v>6</v>
      </c>
      <c r="O599" s="2758">
        <f>G660</f>
        <v>475</v>
      </c>
      <c r="P599" s="282" t="s">
        <v>37</v>
      </c>
      <c r="R599" s="1136"/>
      <c r="V599" s="208" t="str">
        <f t="shared" si="78"/>
        <v>kWh
Annual Savings</v>
      </c>
      <c r="W599" s="1083">
        <v>3458.4903477472494</v>
      </c>
      <c r="X599" s="487">
        <v>3458.4903477472494</v>
      </c>
      <c r="Y599" s="1084">
        <v>582</v>
      </c>
      <c r="Z599" s="2777">
        <v>582</v>
      </c>
      <c r="AA599" s="2777">
        <v>582</v>
      </c>
      <c r="AB599" s="2777">
        <v>582</v>
      </c>
      <c r="AC599" s="208"/>
      <c r="AD599" s="208"/>
      <c r="AE599" s="208"/>
      <c r="AF599" s="208"/>
      <c r="AG599" s="208"/>
      <c r="AK599" s="982"/>
      <c r="BB599" s="71">
        <f>(BD599+BD600)/(BE599+BE600)</f>
        <v>1.4249213128950478</v>
      </c>
      <c r="BC599" s="1085" t="str">
        <f t="shared" si="79"/>
        <v>HVAC RES 6 Year EUL</v>
      </c>
      <c r="BD599" s="148">
        <f>(INDEX('Avoided Cost Benefits'!$C$4:$C$857,MATCH(BC599,'Avoided Cost Benefits'!$A$4:$A$857,0)))*F599</f>
        <v>214.66614365077814</v>
      </c>
      <c r="BE599" s="73">
        <f t="shared" si="80"/>
        <v>448.32468145351578</v>
      </c>
    </row>
    <row r="600" spans="2:57" x14ac:dyDescent="0.25">
      <c r="B600" s="1359"/>
      <c r="C600" s="1658" t="s">
        <v>1769</v>
      </c>
      <c r="D600" s="1658" t="s">
        <v>1518</v>
      </c>
      <c r="E600" s="2295" t="s">
        <v>1771</v>
      </c>
      <c r="F600" s="1880">
        <f t="shared" si="76"/>
        <v>582</v>
      </c>
      <c r="G600" s="3048" t="str">
        <f>'CP FACTORS'!$A$17</f>
        <v>HVAC RES ER2</v>
      </c>
      <c r="H600" s="202">
        <f>VLOOKUP(G600,'CP FACTORS'!$A$3:$B$38, 2, FALSE)</f>
        <v>4.6608050000000002E-4</v>
      </c>
      <c r="I600" s="1088">
        <f>(1-G625)*$G$626*G$627/G$628*G648*$G$649</f>
        <v>264.14545423487061</v>
      </c>
      <c r="J600" s="1088">
        <f>(1-G634)*$G$635*G$636/G$637*G648*$G$649</f>
        <v>31.133309957924254</v>
      </c>
      <c r="K600" s="1088">
        <v>0</v>
      </c>
      <c r="L600" s="1088">
        <f>(25*G$636/G$637+2960*$G$641-$G$642)*G648*$G$649</f>
        <v>286.72123580720518</v>
      </c>
      <c r="M600" s="994">
        <f t="shared" si="77"/>
        <v>0.27125899999999997</v>
      </c>
      <c r="N600" s="1881">
        <f>G655</f>
        <v>12</v>
      </c>
      <c r="O600" s="2758">
        <f>G661</f>
        <v>0</v>
      </c>
      <c r="P600" s="1882" t="s">
        <v>37</v>
      </c>
      <c r="R600" s="1136"/>
      <c r="V600" s="208" t="str">
        <f t="shared" si="78"/>
        <v>kWh
Annual Savings</v>
      </c>
      <c r="W600" s="1083">
        <v>3255.9033206791182</v>
      </c>
      <c r="X600" s="487">
        <v>3255.9033206791182</v>
      </c>
      <c r="Y600" s="1084">
        <v>582</v>
      </c>
      <c r="Z600" s="2777">
        <v>582</v>
      </c>
      <c r="AA600" s="2777">
        <v>582</v>
      </c>
      <c r="AB600" s="2777">
        <v>582</v>
      </c>
      <c r="AC600" s="208"/>
      <c r="AD600" s="208"/>
      <c r="AE600" s="208"/>
      <c r="AF600" s="208"/>
      <c r="AG600" s="208"/>
      <c r="AK600" s="982"/>
      <c r="BB600" s="1089"/>
      <c r="BC600" s="1086" t="str">
        <f t="shared" si="79"/>
        <v>HVAC RES ER2 12 Year EUL</v>
      </c>
      <c r="BD600" s="153">
        <f>(INDEX('Avoided Cost Benefits'!$C$4:$C$857,MATCH(BC600,'Avoided Cost Benefits'!$A$4:$A$857,0)))*F600</f>
        <v>424.16125004921963</v>
      </c>
      <c r="BE600" s="75">
        <f t="shared" si="80"/>
        <v>0</v>
      </c>
    </row>
    <row r="601" spans="2:57" x14ac:dyDescent="0.25">
      <c r="B601" s="1359"/>
      <c r="C601" s="296" t="s">
        <v>3616</v>
      </c>
      <c r="F601" s="297"/>
      <c r="AK601" s="982"/>
    </row>
    <row r="602" spans="2:57" outlineLevel="1" x14ac:dyDescent="0.25">
      <c r="B602" s="1359"/>
      <c r="C602" s="2467"/>
      <c r="F602" s="297"/>
      <c r="AK602" s="982"/>
    </row>
    <row r="603" spans="2:57" outlineLevel="1" x14ac:dyDescent="0.25">
      <c r="B603" s="1359"/>
      <c r="C603" s="274"/>
      <c r="D603" s="222" t="s">
        <v>571</v>
      </c>
      <c r="F603" s="297"/>
      <c r="AK603" s="982"/>
    </row>
    <row r="604" spans="2:57" ht="18" customHeight="1" outlineLevel="1" x14ac:dyDescent="0.25">
      <c r="B604" s="1359"/>
      <c r="C604" s="274"/>
      <c r="E604" s="1883"/>
      <c r="AK604" s="982"/>
    </row>
    <row r="605" spans="2:57" ht="18" customHeight="1" outlineLevel="1" x14ac:dyDescent="0.25">
      <c r="B605" s="1359"/>
      <c r="C605" s="274"/>
      <c r="E605" s="1883"/>
      <c r="AK605" s="982"/>
    </row>
    <row r="606" spans="2:57" ht="18" customHeight="1" outlineLevel="1" x14ac:dyDescent="0.25">
      <c r="B606" s="1359"/>
      <c r="C606" s="274"/>
      <c r="E606" s="1883"/>
      <c r="AK606" s="982"/>
    </row>
    <row r="607" spans="2:57" ht="14.45" customHeight="1" outlineLevel="1" x14ac:dyDescent="0.25">
      <c r="B607" s="1359"/>
      <c r="C607" s="274"/>
      <c r="E607" s="1883"/>
      <c r="AK607" s="982"/>
    </row>
    <row r="608" spans="2:57" ht="14.45" customHeight="1" outlineLevel="1" x14ac:dyDescent="0.25">
      <c r="B608" s="1359"/>
      <c r="C608" s="274"/>
      <c r="E608" s="1883"/>
      <c r="AK608" s="982"/>
    </row>
    <row r="609" spans="2:37" ht="14.45" customHeight="1" outlineLevel="1" x14ac:dyDescent="0.25">
      <c r="B609" s="1359"/>
      <c r="C609" s="274"/>
      <c r="E609" s="1883"/>
      <c r="AK609" s="982"/>
    </row>
    <row r="610" spans="2:37" ht="14.45" customHeight="1" outlineLevel="1" x14ac:dyDescent="0.25">
      <c r="B610" s="1359"/>
      <c r="C610" s="274"/>
      <c r="E610" s="1883"/>
      <c r="AK610" s="982"/>
    </row>
    <row r="611" spans="2:37" ht="14.45" customHeight="1" outlineLevel="1" x14ac:dyDescent="0.25">
      <c r="B611" s="1359"/>
      <c r="C611" s="274"/>
      <c r="E611" s="1883"/>
      <c r="AK611" s="982"/>
    </row>
    <row r="612" spans="2:37" ht="14.45" customHeight="1" outlineLevel="1" x14ac:dyDescent="0.25">
      <c r="B612" s="1359"/>
      <c r="C612" s="274"/>
      <c r="E612" s="1883"/>
      <c r="AK612" s="982"/>
    </row>
    <row r="613" spans="2:37" ht="14.45" customHeight="1" outlineLevel="1" x14ac:dyDescent="0.25">
      <c r="B613" s="1359"/>
      <c r="C613" s="274"/>
      <c r="E613" s="1883"/>
      <c r="AK613" s="982"/>
    </row>
    <row r="614" spans="2:37" ht="14.45" customHeight="1" outlineLevel="1" x14ac:dyDescent="0.25">
      <c r="B614" s="1359"/>
      <c r="C614" s="274"/>
      <c r="E614" s="1883"/>
      <c r="AK614" s="982"/>
    </row>
    <row r="615" spans="2:37" ht="41.25" customHeight="1" outlineLevel="1" x14ac:dyDescent="0.25">
      <c r="B615" s="1359"/>
      <c r="C615" s="274"/>
      <c r="E615" s="1883"/>
      <c r="AK615" s="982"/>
    </row>
    <row r="616" spans="2:37" outlineLevel="1" x14ac:dyDescent="0.25">
      <c r="B616" s="1359"/>
      <c r="C616" s="274"/>
      <c r="E616" s="1883"/>
      <c r="AK616" s="982"/>
    </row>
    <row r="617" spans="2:37" outlineLevel="1" x14ac:dyDescent="0.25">
      <c r="B617" s="1359"/>
      <c r="C617" s="274"/>
      <c r="E617" s="1883"/>
      <c r="AK617" s="982"/>
    </row>
    <row r="618" spans="2:37" outlineLevel="1" x14ac:dyDescent="0.25">
      <c r="B618" s="1359"/>
      <c r="C618" s="274"/>
      <c r="AK618" s="982"/>
    </row>
    <row r="619" spans="2:37" outlineLevel="1" x14ac:dyDescent="0.25">
      <c r="B619" s="1359"/>
      <c r="C619" s="274"/>
      <c r="D619" s="1456" t="s">
        <v>572</v>
      </c>
      <c r="E619" s="1456" t="s">
        <v>573</v>
      </c>
      <c r="F619" s="1409" t="s">
        <v>623</v>
      </c>
      <c r="G619" s="1409" t="s">
        <v>574</v>
      </c>
      <c r="H619" s="1409" t="s">
        <v>624</v>
      </c>
      <c r="I619" s="1409" t="s">
        <v>713</v>
      </c>
      <c r="V619" s="55" t="s">
        <v>27</v>
      </c>
      <c r="W619" s="56">
        <f>W$6</f>
        <v>43252</v>
      </c>
      <c r="X619" s="56">
        <f t="shared" ref="X619:AG619" si="86">X$6</f>
        <v>43465</v>
      </c>
      <c r="Y619" s="420">
        <f t="shared" si="86"/>
        <v>43800</v>
      </c>
      <c r="Z619" s="56">
        <f t="shared" si="86"/>
        <v>43862</v>
      </c>
      <c r="AA619" s="56">
        <f t="shared" si="86"/>
        <v>44013</v>
      </c>
      <c r="AB619" s="56">
        <f t="shared" si="86"/>
        <v>44166</v>
      </c>
      <c r="AC619" s="56" t="str">
        <f t="shared" si="86"/>
        <v>-</v>
      </c>
      <c r="AD619" s="56" t="str">
        <f t="shared" si="86"/>
        <v>-</v>
      </c>
      <c r="AE619" s="56" t="str">
        <f t="shared" si="86"/>
        <v>-</v>
      </c>
      <c r="AF619" s="56" t="str">
        <f t="shared" si="86"/>
        <v>-</v>
      </c>
      <c r="AG619" s="56" t="str">
        <f t="shared" si="86"/>
        <v>-</v>
      </c>
      <c r="AK619" s="982"/>
    </row>
    <row r="620" spans="2:37" outlineLevel="1" x14ac:dyDescent="0.25">
      <c r="B620" s="1359"/>
      <c r="C620" s="274"/>
      <c r="D620" s="3893" t="s">
        <v>1079</v>
      </c>
      <c r="E620" s="3893" t="s">
        <v>1080</v>
      </c>
      <c r="F620" s="1090" t="s">
        <v>1772</v>
      </c>
      <c r="G620" s="541">
        <v>0.16336956521739129</v>
      </c>
      <c r="H620" s="3082" t="s">
        <v>714</v>
      </c>
      <c r="I620" s="1091"/>
      <c r="V620" s="3556" t="s">
        <v>1079</v>
      </c>
      <c r="W620" s="1034">
        <v>0.16</v>
      </c>
      <c r="X620" s="1038">
        <v>0.16</v>
      </c>
      <c r="Y620" s="541">
        <v>0.16336956521739129</v>
      </c>
      <c r="Z620" s="541">
        <v>0.16336956521739129</v>
      </c>
      <c r="AA620" s="541">
        <v>0.16336956521739129</v>
      </c>
      <c r="AB620" s="541">
        <v>0.16336956521739129</v>
      </c>
      <c r="AC620" s="1034"/>
      <c r="AD620" s="1034"/>
      <c r="AE620" s="1034"/>
      <c r="AF620" s="1034"/>
      <c r="AG620" s="1034"/>
      <c r="AK620" s="982"/>
    </row>
    <row r="621" spans="2:37" outlineLevel="1" x14ac:dyDescent="0.25">
      <c r="B621" s="1359"/>
      <c r="C621" s="274"/>
      <c r="D621" s="3893"/>
      <c r="E621" s="3893"/>
      <c r="F621" s="1090" t="s">
        <v>1773</v>
      </c>
      <c r="G621" s="541">
        <v>0.16336956521739129</v>
      </c>
      <c r="H621" s="3082" t="s">
        <v>714</v>
      </c>
      <c r="I621" s="1091"/>
      <c r="V621" s="3556"/>
      <c r="W621" s="1034">
        <v>0</v>
      </c>
      <c r="X621" s="1038">
        <v>0</v>
      </c>
      <c r="Y621" s="541">
        <v>0.16336956521739129</v>
      </c>
      <c r="Z621" s="541">
        <v>0.16336956521739129</v>
      </c>
      <c r="AA621" s="541">
        <v>0.16336956521739129</v>
      </c>
      <c r="AB621" s="541">
        <v>0.16336956521739129</v>
      </c>
      <c r="AC621" s="1034"/>
      <c r="AD621" s="1034"/>
      <c r="AE621" s="1034"/>
      <c r="AF621" s="1034"/>
      <c r="AG621" s="1034"/>
      <c r="AK621" s="982"/>
    </row>
    <row r="622" spans="2:37" outlineLevel="1" x14ac:dyDescent="0.25">
      <c r="B622" s="1359"/>
      <c r="C622" s="274"/>
      <c r="D622" s="3893"/>
      <c r="E622" s="3893"/>
      <c r="F622" s="1090" t="s">
        <v>1774</v>
      </c>
      <c r="G622" s="541">
        <v>0.16336956521739129</v>
      </c>
      <c r="H622" s="3082" t="s">
        <v>714</v>
      </c>
      <c r="I622" s="1091"/>
      <c r="V622" s="3556"/>
      <c r="W622" s="1034">
        <v>0.16</v>
      </c>
      <c r="X622" s="1038">
        <v>0.16</v>
      </c>
      <c r="Y622" s="541">
        <v>0.16336956521739129</v>
      </c>
      <c r="Z622" s="541">
        <v>0.16336956521739129</v>
      </c>
      <c r="AA622" s="541">
        <v>0.16336956521739129</v>
      </c>
      <c r="AB622" s="541">
        <v>0.16336956521739129</v>
      </c>
      <c r="AC622" s="1034"/>
      <c r="AD622" s="1034"/>
      <c r="AE622" s="1034"/>
      <c r="AF622" s="1034"/>
      <c r="AG622" s="1034"/>
      <c r="AK622" s="982"/>
    </row>
    <row r="623" spans="2:37" outlineLevel="1" x14ac:dyDescent="0.25">
      <c r="B623" s="1359"/>
      <c r="C623" s="274"/>
      <c r="D623" s="3893"/>
      <c r="E623" s="3893"/>
      <c r="F623" s="1090" t="s">
        <v>1775</v>
      </c>
      <c r="G623" s="541">
        <v>0.16336956521739129</v>
      </c>
      <c r="H623" s="3082" t="s">
        <v>714</v>
      </c>
      <c r="I623" s="1091"/>
      <c r="V623" s="3556"/>
      <c r="W623" s="1034">
        <v>0.16</v>
      </c>
      <c r="X623" s="1038">
        <v>0.16</v>
      </c>
      <c r="Y623" s="541">
        <v>0.16336956521739129</v>
      </c>
      <c r="Z623" s="541">
        <v>0.16336956521739129</v>
      </c>
      <c r="AA623" s="541">
        <v>0.16336956521739129</v>
      </c>
      <c r="AB623" s="541">
        <v>0.16336956521739129</v>
      </c>
      <c r="AC623" s="1034"/>
      <c r="AD623" s="1034"/>
      <c r="AE623" s="1034"/>
      <c r="AF623" s="1034"/>
      <c r="AG623" s="1034"/>
      <c r="AK623" s="982"/>
    </row>
    <row r="624" spans="2:37" outlineLevel="1" x14ac:dyDescent="0.25">
      <c r="B624" s="1359"/>
      <c r="C624" s="274"/>
      <c r="D624" s="3893"/>
      <c r="E624" s="3893"/>
      <c r="F624" s="1090" t="s">
        <v>1776</v>
      </c>
      <c r="G624" s="541">
        <v>0.16336956521739129</v>
      </c>
      <c r="H624" s="3082" t="s">
        <v>714</v>
      </c>
      <c r="I624" s="1091"/>
      <c r="V624" s="3556"/>
      <c r="W624" s="1034">
        <v>0</v>
      </c>
      <c r="X624" s="1038">
        <v>0</v>
      </c>
      <c r="Y624" s="541">
        <v>0.16336956521739129</v>
      </c>
      <c r="Z624" s="541">
        <v>0.16336956521739129</v>
      </c>
      <c r="AA624" s="541">
        <v>0.16336956521739129</v>
      </c>
      <c r="AB624" s="541">
        <v>0.16336956521739129</v>
      </c>
      <c r="AC624" s="1034"/>
      <c r="AD624" s="1034"/>
      <c r="AE624" s="1034"/>
      <c r="AF624" s="1034"/>
      <c r="AG624" s="1034"/>
      <c r="AK624" s="982"/>
    </row>
    <row r="625" spans="2:37" outlineLevel="1" x14ac:dyDescent="0.25">
      <c r="B625" s="1359"/>
      <c r="C625" s="274"/>
      <c r="D625" s="3893"/>
      <c r="E625" s="3893"/>
      <c r="F625" s="1090" t="s">
        <v>1777</v>
      </c>
      <c r="G625" s="541">
        <v>0.16336956521739129</v>
      </c>
      <c r="H625" s="3082" t="s">
        <v>714</v>
      </c>
      <c r="I625" s="1091"/>
      <c r="V625" s="3556"/>
      <c r="W625" s="1034">
        <v>0.16</v>
      </c>
      <c r="X625" s="1038">
        <v>0.16</v>
      </c>
      <c r="Y625" s="541">
        <v>0.16336956521739129</v>
      </c>
      <c r="Z625" s="541">
        <v>0.16336956521739129</v>
      </c>
      <c r="AA625" s="541">
        <v>0.16336956521739129</v>
      </c>
      <c r="AB625" s="541">
        <v>0.16336956521739129</v>
      </c>
      <c r="AC625" s="1034"/>
      <c r="AD625" s="1034"/>
      <c r="AE625" s="1034"/>
      <c r="AF625" s="1034"/>
      <c r="AG625" s="1034"/>
      <c r="AK625" s="982"/>
    </row>
    <row r="626" spans="2:37" outlineLevel="1" x14ac:dyDescent="0.25">
      <c r="B626" s="1359"/>
      <c r="C626" s="274"/>
      <c r="D626" s="2746" t="s">
        <v>1082</v>
      </c>
      <c r="E626" s="3047" t="s">
        <v>1083</v>
      </c>
      <c r="F626" s="1090" t="s">
        <v>591</v>
      </c>
      <c r="G626" s="1092">
        <v>400</v>
      </c>
      <c r="H626" s="3866" t="s">
        <v>1084</v>
      </c>
      <c r="I626" s="3469"/>
      <c r="V626" s="2746" t="s">
        <v>1082</v>
      </c>
      <c r="W626" s="1034"/>
      <c r="X626" s="1038"/>
      <c r="Y626" s="1045">
        <v>400</v>
      </c>
      <c r="Z626" s="1051">
        <v>400</v>
      </c>
      <c r="AA626" s="1051">
        <v>400</v>
      </c>
      <c r="AB626" s="1051">
        <v>400</v>
      </c>
      <c r="AC626" s="1034"/>
      <c r="AD626" s="1034"/>
      <c r="AE626" s="1034"/>
      <c r="AF626" s="1034"/>
      <c r="AG626" s="1034"/>
      <c r="AK626" s="982"/>
    </row>
    <row r="627" spans="2:37" ht="18" outlineLevel="1" x14ac:dyDescent="0.25">
      <c r="B627" s="1359"/>
      <c r="C627" s="274"/>
      <c r="D627" s="2753" t="s">
        <v>3681</v>
      </c>
      <c r="E627" s="3086" t="s">
        <v>1086</v>
      </c>
      <c r="F627" s="1090" t="s">
        <v>591</v>
      </c>
      <c r="G627" s="1092">
        <v>2009</v>
      </c>
      <c r="H627" s="3082" t="s">
        <v>714</v>
      </c>
      <c r="I627" s="1091"/>
      <c r="V627" s="2754" t="s">
        <v>1085</v>
      </c>
      <c r="W627" s="1033">
        <v>2009</v>
      </c>
      <c r="X627" s="1039">
        <v>2009</v>
      </c>
      <c r="Y627" s="1092">
        <v>2009</v>
      </c>
      <c r="Z627" s="1092">
        <v>2009</v>
      </c>
      <c r="AA627" s="1092">
        <v>2009</v>
      </c>
      <c r="AB627" s="1092">
        <v>2009</v>
      </c>
      <c r="AC627" s="1033"/>
      <c r="AD627" s="1033"/>
      <c r="AE627" s="1033"/>
      <c r="AF627" s="1033"/>
      <c r="AG627" s="1033"/>
      <c r="AK627" s="982"/>
    </row>
    <row r="628" spans="2:37" ht="18" outlineLevel="1" x14ac:dyDescent="0.25">
      <c r="B628" s="1359"/>
      <c r="C628" s="274"/>
      <c r="D628" s="2753" t="s">
        <v>3682</v>
      </c>
      <c r="E628" s="3086" t="s">
        <v>1088</v>
      </c>
      <c r="F628" s="1090" t="s">
        <v>591</v>
      </c>
      <c r="G628" s="1093">
        <v>2545.25</v>
      </c>
      <c r="H628" s="3082" t="s">
        <v>714</v>
      </c>
      <c r="I628" s="1091"/>
      <c r="V628" s="2754" t="s">
        <v>1087</v>
      </c>
      <c r="W628" s="1035">
        <v>2545.25</v>
      </c>
      <c r="X628" s="1044">
        <v>2545.25</v>
      </c>
      <c r="Y628" s="1093">
        <v>2545.25</v>
      </c>
      <c r="Z628" s="1093">
        <v>2545.25</v>
      </c>
      <c r="AA628" s="1093">
        <v>2545.25</v>
      </c>
      <c r="AB628" s="1093">
        <v>2545.25</v>
      </c>
      <c r="AC628" s="1035"/>
      <c r="AD628" s="1035"/>
      <c r="AE628" s="1035"/>
      <c r="AF628" s="1035"/>
      <c r="AG628" s="1035"/>
      <c r="AK628" s="982"/>
    </row>
    <row r="629" spans="2:37" outlineLevel="1" x14ac:dyDescent="0.25">
      <c r="B629" s="1359"/>
      <c r="C629" s="274"/>
      <c r="D629" s="3893" t="s">
        <v>1090</v>
      </c>
      <c r="E629" s="3893" t="s">
        <v>1091</v>
      </c>
      <c r="F629" s="1090" t="str">
        <f t="shared" ref="F629:F634" si="87">F620</f>
        <v>ECM Fan EUL Replacement -SF</v>
      </c>
      <c r="G629" s="541">
        <v>0.80141304347826092</v>
      </c>
      <c r="H629" s="3082" t="s">
        <v>714</v>
      </c>
      <c r="I629" s="1091"/>
      <c r="V629" s="3556" t="s">
        <v>1090</v>
      </c>
      <c r="W629" s="1034">
        <v>0.97</v>
      </c>
      <c r="X629" s="1038">
        <v>0.97</v>
      </c>
      <c r="Y629" s="541">
        <v>0.80141304347826092</v>
      </c>
      <c r="Z629" s="541">
        <v>0.80141304347826092</v>
      </c>
      <c r="AA629" s="541">
        <v>0.80141304347826092</v>
      </c>
      <c r="AB629" s="541">
        <v>0.80141304347826092</v>
      </c>
      <c r="AC629" s="1034"/>
      <c r="AD629" s="1034"/>
      <c r="AE629" s="1034"/>
      <c r="AF629" s="1034"/>
      <c r="AG629" s="1034"/>
      <c r="AK629" s="982"/>
    </row>
    <row r="630" spans="2:37" outlineLevel="1" x14ac:dyDescent="0.25">
      <c r="B630" s="1359"/>
      <c r="C630" s="274"/>
      <c r="D630" s="3893"/>
      <c r="E630" s="3893"/>
      <c r="F630" s="1090" t="str">
        <f t="shared" si="87"/>
        <v>ECM Fan Early Replacement ER 1 (Full Cost) - SF</v>
      </c>
      <c r="G630" s="541">
        <v>0.80141304347826092</v>
      </c>
      <c r="H630" s="3082" t="s">
        <v>714</v>
      </c>
      <c r="I630" s="1091"/>
      <c r="V630" s="3556"/>
      <c r="W630" s="1034">
        <v>0</v>
      </c>
      <c r="X630" s="1038">
        <v>0</v>
      </c>
      <c r="Y630" s="541">
        <v>0.80141304347826092</v>
      </c>
      <c r="Z630" s="541">
        <v>0.80141304347826092</v>
      </c>
      <c r="AA630" s="541">
        <v>0.80141304347826092</v>
      </c>
      <c r="AB630" s="541">
        <v>0.80141304347826092</v>
      </c>
      <c r="AC630" s="1034"/>
      <c r="AD630" s="1034"/>
      <c r="AE630" s="1034"/>
      <c r="AF630" s="1034"/>
      <c r="AG630" s="1034"/>
      <c r="AK630" s="982"/>
    </row>
    <row r="631" spans="2:37" outlineLevel="1" x14ac:dyDescent="0.25">
      <c r="B631" s="1359"/>
      <c r="C631" s="274"/>
      <c r="D631" s="3893"/>
      <c r="E631" s="3893"/>
      <c r="F631" s="1090" t="str">
        <f t="shared" si="87"/>
        <v>ECM Fan Early Replacement ER 2 (Remaining Life) - SF</v>
      </c>
      <c r="G631" s="541">
        <v>0.80141304347826092</v>
      </c>
      <c r="H631" s="3082" t="s">
        <v>714</v>
      </c>
      <c r="I631" s="1091"/>
      <c r="V631" s="3556"/>
      <c r="W631" s="1034">
        <v>0.97</v>
      </c>
      <c r="X631" s="1038">
        <v>0.97</v>
      </c>
      <c r="Y631" s="541">
        <v>0.80141304347826092</v>
      </c>
      <c r="Z631" s="541">
        <v>0.80141304347826092</v>
      </c>
      <c r="AA631" s="541">
        <v>0.80141304347826092</v>
      </c>
      <c r="AB631" s="541">
        <v>0.80141304347826092</v>
      </c>
      <c r="AC631" s="1034"/>
      <c r="AD631" s="1034"/>
      <c r="AE631" s="1034"/>
      <c r="AF631" s="1034"/>
      <c r="AG631" s="1034"/>
      <c r="AK631" s="982"/>
    </row>
    <row r="632" spans="2:37" outlineLevel="1" x14ac:dyDescent="0.25">
      <c r="B632" s="1359"/>
      <c r="C632" s="274"/>
      <c r="D632" s="3893"/>
      <c r="E632" s="3893"/>
      <c r="F632" s="1090" t="str">
        <f t="shared" si="87"/>
        <v>ECM Fan EUL Replacement - MF</v>
      </c>
      <c r="G632" s="541">
        <v>0.80141304347826092</v>
      </c>
      <c r="H632" s="3082" t="s">
        <v>714</v>
      </c>
      <c r="I632" s="1091"/>
      <c r="V632" s="3556"/>
      <c r="W632" s="1034">
        <v>0.97</v>
      </c>
      <c r="X632" s="1038">
        <v>0.97</v>
      </c>
      <c r="Y632" s="541">
        <v>0.80141304347826092</v>
      </c>
      <c r="Z632" s="541">
        <v>0.80141304347826092</v>
      </c>
      <c r="AA632" s="541">
        <v>0.80141304347826092</v>
      </c>
      <c r="AB632" s="541">
        <v>0.80141304347826092</v>
      </c>
      <c r="AC632" s="1034"/>
      <c r="AD632" s="1034"/>
      <c r="AE632" s="1034"/>
      <c r="AF632" s="1034"/>
      <c r="AG632" s="1034"/>
      <c r="AK632" s="982"/>
    </row>
    <row r="633" spans="2:37" outlineLevel="1" x14ac:dyDescent="0.25">
      <c r="B633" s="1359"/>
      <c r="C633" s="274"/>
      <c r="D633" s="3893"/>
      <c r="E633" s="3893"/>
      <c r="F633" s="1090" t="str">
        <f t="shared" si="87"/>
        <v>ECM Fan Early Replacement ER 1 (Full Cost) - MF</v>
      </c>
      <c r="G633" s="541">
        <v>0.80141304347826092</v>
      </c>
      <c r="H633" s="3082" t="s">
        <v>714</v>
      </c>
      <c r="I633" s="1091"/>
      <c r="V633" s="3556"/>
      <c r="W633" s="1034">
        <v>0</v>
      </c>
      <c r="X633" s="1038">
        <v>0</v>
      </c>
      <c r="Y633" s="541">
        <v>0.80141304347826092</v>
      </c>
      <c r="Z633" s="541">
        <v>0.80141304347826092</v>
      </c>
      <c r="AA633" s="541">
        <v>0.80141304347826092</v>
      </c>
      <c r="AB633" s="541">
        <v>0.80141304347826092</v>
      </c>
      <c r="AC633" s="1034"/>
      <c r="AD633" s="1034"/>
      <c r="AE633" s="1034"/>
      <c r="AF633" s="1034"/>
      <c r="AG633" s="1034"/>
      <c r="AK633" s="982"/>
    </row>
    <row r="634" spans="2:37" outlineLevel="1" x14ac:dyDescent="0.25">
      <c r="B634" s="1359"/>
      <c r="C634" s="274"/>
      <c r="D634" s="3893"/>
      <c r="E634" s="3893"/>
      <c r="F634" s="1090" t="str">
        <f t="shared" si="87"/>
        <v>ECM Fan Early Replacement ER 2 (Remaining Life) - MF</v>
      </c>
      <c r="G634" s="541">
        <v>0.80141304347826092</v>
      </c>
      <c r="H634" s="3082" t="s">
        <v>714</v>
      </c>
      <c r="I634" s="1091"/>
      <c r="V634" s="3556"/>
      <c r="W634" s="1034">
        <v>0.97</v>
      </c>
      <c r="X634" s="1038">
        <v>0.97</v>
      </c>
      <c r="Y634" s="541">
        <v>0.80141304347826092</v>
      </c>
      <c r="Z634" s="541">
        <v>0.80141304347826092</v>
      </c>
      <c r="AA634" s="541">
        <v>0.80141304347826092</v>
      </c>
      <c r="AB634" s="541">
        <v>0.80141304347826092</v>
      </c>
      <c r="AC634" s="1034"/>
      <c r="AD634" s="1034"/>
      <c r="AE634" s="1034"/>
      <c r="AF634" s="1034"/>
      <c r="AG634" s="1034"/>
      <c r="AK634" s="982"/>
    </row>
    <row r="635" spans="2:37" outlineLevel="1" x14ac:dyDescent="0.25">
      <c r="B635" s="1359"/>
      <c r="C635" s="274"/>
      <c r="D635" s="2746" t="s">
        <v>1092</v>
      </c>
      <c r="E635" s="3043" t="s">
        <v>1093</v>
      </c>
      <c r="F635" s="3045" t="s">
        <v>591</v>
      </c>
      <c r="G635" s="1057">
        <v>70</v>
      </c>
      <c r="H635" s="3866" t="s">
        <v>1084</v>
      </c>
      <c r="I635" s="3469"/>
      <c r="V635" s="2746" t="s">
        <v>1092</v>
      </c>
      <c r="W635" s="1034"/>
      <c r="X635" s="1038"/>
      <c r="Y635" s="1045">
        <v>70</v>
      </c>
      <c r="Z635" s="1051">
        <v>70</v>
      </c>
      <c r="AA635" s="1051">
        <v>70</v>
      </c>
      <c r="AB635" s="1051">
        <v>70</v>
      </c>
      <c r="AC635" s="1034"/>
      <c r="AD635" s="1034"/>
      <c r="AE635" s="1034"/>
      <c r="AF635" s="1034"/>
      <c r="AG635" s="1034"/>
      <c r="AK635" s="982"/>
    </row>
    <row r="636" spans="2:37" ht="18" outlineLevel="1" x14ac:dyDescent="0.25">
      <c r="B636" s="1359"/>
      <c r="C636" s="274"/>
      <c r="D636" s="2746" t="s">
        <v>3683</v>
      </c>
      <c r="E636" s="3086" t="s">
        <v>1096</v>
      </c>
      <c r="F636" s="1090" t="s">
        <v>591</v>
      </c>
      <c r="G636" s="1093">
        <v>1215</v>
      </c>
      <c r="H636" s="3082" t="s">
        <v>714</v>
      </c>
      <c r="I636" s="1091"/>
      <c r="V636" s="2783" t="s">
        <v>1095</v>
      </c>
      <c r="W636" s="1035">
        <v>1215</v>
      </c>
      <c r="X636" s="1044">
        <v>1215</v>
      </c>
      <c r="Y636" s="1093">
        <v>1215</v>
      </c>
      <c r="Z636" s="1093">
        <v>1215</v>
      </c>
      <c r="AA636" s="1093">
        <v>1215</v>
      </c>
      <c r="AB636" s="1093">
        <v>1215</v>
      </c>
      <c r="AC636" s="1035"/>
      <c r="AD636" s="1035"/>
      <c r="AE636" s="1035"/>
      <c r="AF636" s="1035"/>
      <c r="AG636" s="1035"/>
      <c r="AK636" s="982"/>
    </row>
    <row r="637" spans="2:37" ht="18" outlineLevel="1" x14ac:dyDescent="0.25">
      <c r="B637" s="1359"/>
      <c r="C637" s="274"/>
      <c r="D637" s="2746" t="s">
        <v>3684</v>
      </c>
      <c r="E637" s="3086" t="s">
        <v>1098</v>
      </c>
      <c r="F637" s="1090" t="s">
        <v>591</v>
      </c>
      <c r="G637" s="1094">
        <v>542.5</v>
      </c>
      <c r="H637" s="3082" t="s">
        <v>714</v>
      </c>
      <c r="I637" s="1091"/>
      <c r="V637" s="2783" t="s">
        <v>1097</v>
      </c>
      <c r="W637" s="1027">
        <v>542.5</v>
      </c>
      <c r="X637" s="1025">
        <v>542.5</v>
      </c>
      <c r="Y637" s="1094">
        <v>542.5</v>
      </c>
      <c r="Z637" s="1094">
        <v>542.5</v>
      </c>
      <c r="AA637" s="1094">
        <v>542.5</v>
      </c>
      <c r="AB637" s="1094">
        <v>542.5</v>
      </c>
      <c r="AC637" s="1027"/>
      <c r="AD637" s="1027"/>
      <c r="AE637" s="1027"/>
      <c r="AF637" s="1027"/>
      <c r="AG637" s="1027"/>
      <c r="AK637" s="982"/>
    </row>
    <row r="638" spans="2:37" ht="15" customHeight="1" outlineLevel="1" x14ac:dyDescent="0.25">
      <c r="B638" s="1359"/>
      <c r="C638" s="274"/>
      <c r="D638" s="2746" t="s">
        <v>1099</v>
      </c>
      <c r="E638" s="3086" t="s">
        <v>1100</v>
      </c>
      <c r="F638" s="3045" t="s">
        <v>591</v>
      </c>
      <c r="G638" s="1057">
        <v>25</v>
      </c>
      <c r="H638" s="3092" t="s">
        <v>1084</v>
      </c>
      <c r="I638" s="3011"/>
      <c r="V638" s="2746" t="s">
        <v>1099</v>
      </c>
      <c r="W638" s="1027"/>
      <c r="X638" s="1025"/>
      <c r="Y638" s="1045">
        <v>25</v>
      </c>
      <c r="Z638" s="1051">
        <v>25</v>
      </c>
      <c r="AA638" s="1051">
        <v>25</v>
      </c>
      <c r="AB638" s="1051">
        <v>25</v>
      </c>
      <c r="AC638" s="1027"/>
      <c r="AD638" s="1027"/>
      <c r="AE638" s="1027"/>
      <c r="AF638" s="1027"/>
      <c r="AG638" s="1027"/>
      <c r="AK638" s="982"/>
    </row>
    <row r="639" spans="2:37" outlineLevel="1" x14ac:dyDescent="0.25">
      <c r="B639" s="1359"/>
      <c r="C639" s="274"/>
      <c r="D639" s="2746" t="s">
        <v>1101</v>
      </c>
      <c r="E639" s="3086" t="s">
        <v>1102</v>
      </c>
      <c r="F639" s="3045" t="s">
        <v>591</v>
      </c>
      <c r="G639" s="1057">
        <v>2960</v>
      </c>
      <c r="H639" s="3092" t="s">
        <v>1084</v>
      </c>
      <c r="I639" s="3011"/>
      <c r="V639" s="2746" t="s">
        <v>1101</v>
      </c>
      <c r="W639" s="1027"/>
      <c r="X639" s="1025"/>
      <c r="Y639" s="702">
        <v>2960</v>
      </c>
      <c r="Z639" s="1057">
        <v>2960</v>
      </c>
      <c r="AA639" s="1057">
        <v>2960</v>
      </c>
      <c r="AB639" s="1057">
        <v>2960</v>
      </c>
      <c r="AC639" s="1027"/>
      <c r="AD639" s="1027"/>
      <c r="AE639" s="1027"/>
      <c r="AF639" s="1027"/>
      <c r="AG639" s="1027"/>
      <c r="AK639" s="982"/>
    </row>
    <row r="640" spans="2:37" outlineLevel="1" x14ac:dyDescent="0.25">
      <c r="B640" s="1359"/>
      <c r="C640" s="274"/>
      <c r="D640" s="3609" t="s">
        <v>1103</v>
      </c>
      <c r="E640" s="3609" t="s">
        <v>1104</v>
      </c>
      <c r="F640" s="3045" t="s">
        <v>1105</v>
      </c>
      <c r="G640" s="707">
        <v>8.8084612296306403E-2</v>
      </c>
      <c r="H640" s="670" t="s">
        <v>1106</v>
      </c>
      <c r="I640" s="2784"/>
      <c r="V640" s="3609" t="s">
        <v>1103</v>
      </c>
      <c r="W640" s="1027"/>
      <c r="X640" s="1025"/>
      <c r="Y640" s="706">
        <v>8.8084612296306403E-2</v>
      </c>
      <c r="Z640" s="707">
        <v>8.8084612296306403E-2</v>
      </c>
      <c r="AA640" s="707">
        <v>8.8084612296306403E-2</v>
      </c>
      <c r="AB640" s="707">
        <v>8.8084612296306403E-2</v>
      </c>
      <c r="AC640" s="1027"/>
      <c r="AD640" s="1027"/>
      <c r="AE640" s="1027"/>
      <c r="AF640" s="1027"/>
      <c r="AG640" s="1027"/>
      <c r="AK640" s="982"/>
    </row>
    <row r="641" spans="2:37" outlineLevel="1" x14ac:dyDescent="0.25">
      <c r="B641" s="1359"/>
      <c r="C641" s="274"/>
      <c r="D641" s="3609"/>
      <c r="E641" s="3609"/>
      <c r="F641" s="3045" t="s">
        <v>1107</v>
      </c>
      <c r="G641" s="707">
        <v>8.8084612296306403E-2</v>
      </c>
      <c r="H641" s="670" t="s">
        <v>1106</v>
      </c>
      <c r="I641" s="2785"/>
      <c r="V641" s="3609"/>
      <c r="W641" s="1027"/>
      <c r="X641" s="1025"/>
      <c r="Y641" s="706">
        <v>8.8084612296306403E-2</v>
      </c>
      <c r="Z641" s="707">
        <v>8.8084612296306403E-2</v>
      </c>
      <c r="AA641" s="707">
        <v>8.8084612296306403E-2</v>
      </c>
      <c r="AB641" s="707">
        <v>8.8084612296306403E-2</v>
      </c>
      <c r="AC641" s="1027"/>
      <c r="AD641" s="1027"/>
      <c r="AE641" s="1027"/>
      <c r="AF641" s="1027"/>
      <c r="AG641" s="1027"/>
      <c r="AK641" s="982"/>
    </row>
    <row r="642" spans="2:37" outlineLevel="1" x14ac:dyDescent="0.25">
      <c r="B642" s="1359"/>
      <c r="C642" s="274"/>
      <c r="D642" s="2746" t="s">
        <v>1108</v>
      </c>
      <c r="E642" s="3086" t="s">
        <v>1109</v>
      </c>
      <c r="F642" s="3045" t="s">
        <v>591</v>
      </c>
      <c r="G642" s="1057">
        <v>30</v>
      </c>
      <c r="H642" s="3866" t="s">
        <v>1084</v>
      </c>
      <c r="I642" s="3469"/>
      <c r="V642" s="2746" t="s">
        <v>1108</v>
      </c>
      <c r="W642" s="1034"/>
      <c r="X642" s="1038"/>
      <c r="Y642" s="1045">
        <v>30</v>
      </c>
      <c r="Z642" s="1051">
        <v>30</v>
      </c>
      <c r="AA642" s="1051">
        <v>30</v>
      </c>
      <c r="AB642" s="1051">
        <v>30</v>
      </c>
      <c r="AC642" s="1034"/>
      <c r="AD642" s="1034"/>
      <c r="AE642" s="1034"/>
      <c r="AF642" s="1034"/>
      <c r="AG642" s="1034"/>
      <c r="AK642" s="982"/>
    </row>
    <row r="643" spans="2:37" outlineLevel="1" x14ac:dyDescent="0.25">
      <c r="B643" s="1359"/>
      <c r="C643" s="274"/>
      <c r="D643" s="3893" t="s">
        <v>722</v>
      </c>
      <c r="E643" s="3893" t="s">
        <v>3679</v>
      </c>
      <c r="F643" s="1090" t="s">
        <v>1753</v>
      </c>
      <c r="G643" s="541">
        <v>1</v>
      </c>
      <c r="H643" s="1091"/>
      <c r="I643" s="1091"/>
      <c r="V643" s="3893" t="s">
        <v>722</v>
      </c>
      <c r="W643" s="1034">
        <v>1</v>
      </c>
      <c r="X643" s="1038">
        <v>1</v>
      </c>
      <c r="Y643" s="541">
        <v>1</v>
      </c>
      <c r="Z643" s="541">
        <v>1</v>
      </c>
      <c r="AA643" s="541">
        <v>1</v>
      </c>
      <c r="AB643" s="541">
        <v>1</v>
      </c>
      <c r="AC643" s="1034"/>
      <c r="AD643" s="1034"/>
      <c r="AE643" s="1034"/>
      <c r="AF643" s="1034"/>
      <c r="AG643" s="1034"/>
      <c r="AK643" s="982"/>
    </row>
    <row r="644" spans="2:37" outlineLevel="1" x14ac:dyDescent="0.25">
      <c r="B644" s="1359"/>
      <c r="C644" s="274"/>
      <c r="D644" s="3893"/>
      <c r="E644" s="3893"/>
      <c r="F644" s="1090" t="s">
        <v>1778</v>
      </c>
      <c r="G644" s="541">
        <v>1</v>
      </c>
      <c r="H644" s="1091"/>
      <c r="I644" s="1091"/>
      <c r="V644" s="3893"/>
      <c r="W644" s="1034">
        <v>1</v>
      </c>
      <c r="X644" s="1038">
        <v>1</v>
      </c>
      <c r="Y644" s="541">
        <v>1</v>
      </c>
      <c r="Z644" s="541">
        <v>1</v>
      </c>
      <c r="AA644" s="541">
        <v>1</v>
      </c>
      <c r="AB644" s="541">
        <v>1</v>
      </c>
      <c r="AC644" s="1034"/>
      <c r="AD644" s="1034"/>
      <c r="AE644" s="1034"/>
      <c r="AF644" s="1034"/>
      <c r="AG644" s="1034"/>
      <c r="AK644" s="982"/>
    </row>
    <row r="645" spans="2:37" outlineLevel="1" x14ac:dyDescent="0.25">
      <c r="B645" s="1359"/>
      <c r="C645" s="274"/>
      <c r="D645" s="3893"/>
      <c r="E645" s="3893"/>
      <c r="F645" s="1090" t="s">
        <v>1779</v>
      </c>
      <c r="G645" s="541">
        <v>1</v>
      </c>
      <c r="H645" s="1091"/>
      <c r="I645" s="1091"/>
      <c r="M645" s="3483" t="s">
        <v>613</v>
      </c>
      <c r="N645" s="3646"/>
      <c r="O645" s="3646"/>
      <c r="P645" s="3533"/>
      <c r="R645" s="157"/>
      <c r="S645" s="157"/>
      <c r="V645" s="3893"/>
      <c r="W645" s="1034">
        <v>1</v>
      </c>
      <c r="X645" s="1038">
        <v>1</v>
      </c>
      <c r="Y645" s="541">
        <v>1</v>
      </c>
      <c r="Z645" s="541">
        <v>1</v>
      </c>
      <c r="AA645" s="541">
        <v>1</v>
      </c>
      <c r="AB645" s="541">
        <v>1</v>
      </c>
      <c r="AC645" s="1034"/>
      <c r="AD645" s="1034"/>
      <c r="AE645" s="1034"/>
      <c r="AF645" s="1034"/>
      <c r="AG645" s="1034"/>
      <c r="AK645" s="982"/>
    </row>
    <row r="646" spans="2:37" outlineLevel="1" x14ac:dyDescent="0.25">
      <c r="B646" s="1359"/>
      <c r="C646" s="274"/>
      <c r="D646" s="3893"/>
      <c r="E646" s="3893"/>
      <c r="F646" s="1090" t="s">
        <v>1763</v>
      </c>
      <c r="G646" s="541">
        <v>1</v>
      </c>
      <c r="H646" s="1091"/>
      <c r="I646" s="1091"/>
      <c r="M646" s="1412"/>
      <c r="N646" s="1416"/>
      <c r="O646" s="1413" t="s">
        <v>3263</v>
      </c>
      <c r="P646" s="1420" t="s">
        <v>3223</v>
      </c>
      <c r="R646" s="1095"/>
      <c r="S646" s="157"/>
      <c r="V646" s="3893"/>
      <c r="W646" s="1034">
        <v>1</v>
      </c>
      <c r="X646" s="1038">
        <v>1</v>
      </c>
      <c r="Y646" s="541">
        <v>1</v>
      </c>
      <c r="Z646" s="541">
        <v>1</v>
      </c>
      <c r="AA646" s="541">
        <v>1</v>
      </c>
      <c r="AB646" s="541">
        <v>1</v>
      </c>
      <c r="AC646" s="1034"/>
      <c r="AD646" s="1034"/>
      <c r="AE646" s="1034"/>
      <c r="AF646" s="1034"/>
      <c r="AG646" s="1034"/>
      <c r="AK646" s="982"/>
    </row>
    <row r="647" spans="2:37" outlineLevel="1" x14ac:dyDescent="0.25">
      <c r="B647" s="1359"/>
      <c r="C647" s="274"/>
      <c r="D647" s="3893"/>
      <c r="E647" s="3893"/>
      <c r="F647" s="1090" t="s">
        <v>1782</v>
      </c>
      <c r="G647" s="541">
        <v>1</v>
      </c>
      <c r="H647" s="1091"/>
      <c r="I647" s="1091"/>
      <c r="M647" s="3619" t="s">
        <v>1783</v>
      </c>
      <c r="N647" s="3620"/>
      <c r="O647" s="1341">
        <f>($O$654/1+P647)-$O$653/((1+$O$656)^($O$657-1))</f>
        <v>74.327224020150311</v>
      </c>
      <c r="P647" s="725">
        <v>0</v>
      </c>
      <c r="Q647" s="157"/>
      <c r="S647" s="157"/>
      <c r="V647" s="3893"/>
      <c r="W647" s="1034">
        <v>1</v>
      </c>
      <c r="X647" s="1038">
        <v>1</v>
      </c>
      <c r="Y647" s="541">
        <v>1</v>
      </c>
      <c r="Z647" s="541">
        <v>1</v>
      </c>
      <c r="AA647" s="541">
        <v>1</v>
      </c>
      <c r="AB647" s="541">
        <v>1</v>
      </c>
      <c r="AC647" s="1034"/>
      <c r="AD647" s="1034"/>
      <c r="AE647" s="1034"/>
      <c r="AF647" s="1034"/>
      <c r="AG647" s="1034"/>
      <c r="AK647" s="982"/>
    </row>
    <row r="648" spans="2:37" outlineLevel="1" x14ac:dyDescent="0.25">
      <c r="B648" s="1359"/>
      <c r="C648" s="274"/>
      <c r="D648" s="3893"/>
      <c r="E648" s="3893"/>
      <c r="F648" s="1090" t="s">
        <v>1784</v>
      </c>
      <c r="G648" s="541">
        <v>1</v>
      </c>
      <c r="H648" s="1091"/>
      <c r="I648" s="1091"/>
      <c r="M648" s="157"/>
      <c r="N648" s="157"/>
      <c r="O648" s="157"/>
      <c r="P648" s="278"/>
      <c r="Q648" s="157"/>
      <c r="R648" s="157"/>
      <c r="S648" s="157"/>
      <c r="V648" s="3893"/>
      <c r="W648" s="1034">
        <v>1</v>
      </c>
      <c r="X648" s="1038">
        <v>1</v>
      </c>
      <c r="Y648" s="541">
        <v>1</v>
      </c>
      <c r="Z648" s="541">
        <v>1</v>
      </c>
      <c r="AA648" s="541">
        <v>1</v>
      </c>
      <c r="AB648" s="541">
        <v>1</v>
      </c>
      <c r="AC648" s="1034"/>
      <c r="AD648" s="1034"/>
      <c r="AE648" s="1034"/>
      <c r="AF648" s="1034"/>
      <c r="AG648" s="1034"/>
      <c r="AK648" s="982"/>
    </row>
    <row r="649" spans="2:37" outlineLevel="1" x14ac:dyDescent="0.25">
      <c r="B649" s="1359"/>
      <c r="C649" s="274"/>
      <c r="D649" s="3273" t="s">
        <v>75</v>
      </c>
      <c r="E649" s="3273" t="s">
        <v>3614</v>
      </c>
      <c r="F649" s="1090" t="s">
        <v>591</v>
      </c>
      <c r="G649" s="541">
        <v>1</v>
      </c>
      <c r="H649" s="1091" t="s">
        <v>3615</v>
      </c>
      <c r="I649" s="1091"/>
      <c r="M649" s="157"/>
      <c r="N649" s="157"/>
      <c r="O649" s="157"/>
      <c r="P649" s="278"/>
      <c r="Q649" s="157"/>
      <c r="R649" s="157"/>
      <c r="S649" s="157"/>
      <c r="V649" s="2786" t="s">
        <v>75</v>
      </c>
      <c r="W649" s="1034"/>
      <c r="X649" s="1038"/>
      <c r="Y649" s="541"/>
      <c r="Z649" s="541"/>
      <c r="AA649" s="541"/>
      <c r="AB649" s="543">
        <v>1</v>
      </c>
      <c r="AC649" s="1034"/>
      <c r="AD649" s="1034"/>
      <c r="AE649" s="1034"/>
      <c r="AF649" s="1034"/>
      <c r="AG649" s="1034"/>
      <c r="AK649" s="982"/>
    </row>
    <row r="650" spans="2:37" outlineLevel="1" x14ac:dyDescent="0.25">
      <c r="B650" s="1359"/>
      <c r="C650" s="274"/>
      <c r="D650" s="3894" t="str">
        <f>D582</f>
        <v>EUL</v>
      </c>
      <c r="E650" s="3894" t="s">
        <v>3680</v>
      </c>
      <c r="F650" s="1090" t="s">
        <v>1753</v>
      </c>
      <c r="G650" s="1096">
        <v>20</v>
      </c>
      <c r="H650" s="1091"/>
      <c r="I650" s="1091"/>
      <c r="M650" s="157"/>
      <c r="N650" s="157"/>
      <c r="O650" s="157"/>
      <c r="P650" s="278"/>
      <c r="Q650" s="157"/>
      <c r="R650" s="157"/>
      <c r="S650" s="157"/>
      <c r="V650" s="3896" t="str">
        <f>V582</f>
        <v>EUL</v>
      </c>
      <c r="W650" s="1097">
        <v>20</v>
      </c>
      <c r="X650" s="1098">
        <v>20</v>
      </c>
      <c r="Y650" s="1096">
        <v>20</v>
      </c>
      <c r="Z650" s="1096">
        <v>20</v>
      </c>
      <c r="AA650" s="1096">
        <v>20</v>
      </c>
      <c r="AB650" s="1096">
        <v>20</v>
      </c>
      <c r="AC650" s="1097"/>
      <c r="AD650" s="1097"/>
      <c r="AE650" s="1097"/>
      <c r="AF650" s="1097"/>
      <c r="AG650" s="1097"/>
      <c r="AK650" s="982"/>
    </row>
    <row r="651" spans="2:37" outlineLevel="1" x14ac:dyDescent="0.25">
      <c r="B651" s="1359"/>
      <c r="C651" s="274"/>
      <c r="D651" s="3548"/>
      <c r="E651" s="3548"/>
      <c r="F651" s="1090" t="s">
        <v>1778</v>
      </c>
      <c r="G651" s="1096">
        <v>6</v>
      </c>
      <c r="H651" s="1091"/>
      <c r="I651" s="1091"/>
      <c r="M651" s="157"/>
      <c r="N651" s="157"/>
      <c r="O651" s="157"/>
      <c r="P651" s="278"/>
      <c r="Q651" s="157"/>
      <c r="R651" s="157"/>
      <c r="S651" s="157"/>
      <c r="V651" s="3893"/>
      <c r="W651" s="1097">
        <v>6</v>
      </c>
      <c r="X651" s="1098">
        <v>6</v>
      </c>
      <c r="Y651" s="1096">
        <v>6</v>
      </c>
      <c r="Z651" s="1096">
        <v>6</v>
      </c>
      <c r="AA651" s="1096">
        <v>6</v>
      </c>
      <c r="AB651" s="1096">
        <v>6</v>
      </c>
      <c r="AC651" s="1097"/>
      <c r="AD651" s="1097"/>
      <c r="AE651" s="1097"/>
      <c r="AF651" s="1097"/>
      <c r="AG651" s="1097"/>
      <c r="AK651" s="982"/>
    </row>
    <row r="652" spans="2:37" outlineLevel="1" x14ac:dyDescent="0.25">
      <c r="B652" s="1359"/>
      <c r="C652" s="274"/>
      <c r="D652" s="3548"/>
      <c r="E652" s="3548"/>
      <c r="F652" s="1090" t="s">
        <v>1779</v>
      </c>
      <c r="G652" s="1096">
        <v>12</v>
      </c>
      <c r="H652" s="1091"/>
      <c r="I652" s="1091"/>
      <c r="M652" s="3483" t="s">
        <v>1112</v>
      </c>
      <c r="N652" s="3646"/>
      <c r="O652" s="3533"/>
      <c r="P652" s="278"/>
      <c r="Q652" s="157"/>
      <c r="R652" s="157"/>
      <c r="S652" s="157"/>
      <c r="V652" s="3893"/>
      <c r="W652" s="1097">
        <v>12</v>
      </c>
      <c r="X652" s="1098">
        <v>12</v>
      </c>
      <c r="Y652" s="1096">
        <v>12</v>
      </c>
      <c r="Z652" s="1096">
        <v>12</v>
      </c>
      <c r="AA652" s="1096">
        <v>12</v>
      </c>
      <c r="AB652" s="1096">
        <v>12</v>
      </c>
      <c r="AC652" s="1097"/>
      <c r="AD652" s="1097"/>
      <c r="AE652" s="1097"/>
      <c r="AF652" s="1097"/>
      <c r="AG652" s="1097"/>
      <c r="AK652" s="982"/>
    </row>
    <row r="653" spans="2:37" outlineLevel="1" x14ac:dyDescent="0.25">
      <c r="B653" s="1359"/>
      <c r="C653" s="274"/>
      <c r="D653" s="3548"/>
      <c r="E653" s="3548"/>
      <c r="F653" s="1090" t="s">
        <v>1763</v>
      </c>
      <c r="G653" s="1096">
        <v>20</v>
      </c>
      <c r="H653" s="1091"/>
      <c r="I653" s="1091"/>
      <c r="M653" s="3634" t="s">
        <v>1113</v>
      </c>
      <c r="N653" s="3635"/>
      <c r="O653" s="732">
        <f>O654*(1+O655)^O657</f>
        <v>534.92714915040006</v>
      </c>
      <c r="P653" s="278"/>
      <c r="Q653" s="157"/>
      <c r="R653" s="157"/>
      <c r="S653" s="157"/>
      <c r="V653" s="3893"/>
      <c r="W653" s="1097">
        <v>20</v>
      </c>
      <c r="X653" s="1098">
        <v>20</v>
      </c>
      <c r="Y653" s="1096">
        <v>20</v>
      </c>
      <c r="Z653" s="1096">
        <v>20</v>
      </c>
      <c r="AA653" s="1096">
        <v>20</v>
      </c>
      <c r="AB653" s="1096">
        <v>20</v>
      </c>
      <c r="AC653" s="1097"/>
      <c r="AD653" s="1097"/>
      <c r="AE653" s="1097"/>
      <c r="AF653" s="1097"/>
      <c r="AG653" s="1097"/>
      <c r="AK653" s="982"/>
    </row>
    <row r="654" spans="2:37" outlineLevel="1" x14ac:dyDescent="0.25">
      <c r="B654" s="1359"/>
      <c r="C654" s="274"/>
      <c r="D654" s="3548"/>
      <c r="E654" s="3548"/>
      <c r="F654" s="1090" t="s">
        <v>1782</v>
      </c>
      <c r="G654" s="1096">
        <v>6</v>
      </c>
      <c r="H654" s="1091"/>
      <c r="I654" s="1091"/>
      <c r="M654" s="3634" t="s">
        <v>1114</v>
      </c>
      <c r="N654" s="3635"/>
      <c r="O654" s="734">
        <v>475</v>
      </c>
      <c r="P654" s="1344" t="s">
        <v>1115</v>
      </c>
      <c r="Q654" s="157"/>
      <c r="R654" s="157"/>
      <c r="S654" s="157"/>
      <c r="V654" s="3893"/>
      <c r="W654" s="1097">
        <v>6</v>
      </c>
      <c r="X654" s="1098">
        <v>6</v>
      </c>
      <c r="Y654" s="1096">
        <v>6</v>
      </c>
      <c r="Z654" s="1096">
        <v>6</v>
      </c>
      <c r="AA654" s="1096">
        <v>6</v>
      </c>
      <c r="AB654" s="1096">
        <v>6</v>
      </c>
      <c r="AC654" s="1097"/>
      <c r="AD654" s="1097"/>
      <c r="AE654" s="1097"/>
      <c r="AF654" s="1097"/>
      <c r="AG654" s="1097"/>
      <c r="AK654" s="982"/>
    </row>
    <row r="655" spans="2:37" outlineLevel="1" x14ac:dyDescent="0.25">
      <c r="B655" s="1359"/>
      <c r="C655" s="274"/>
      <c r="D655" s="3895"/>
      <c r="E655" s="3895"/>
      <c r="F655" s="1090" t="s">
        <v>1784</v>
      </c>
      <c r="G655" s="1096">
        <v>12</v>
      </c>
      <c r="H655" s="1091"/>
      <c r="I655" s="1091"/>
      <c r="M655" s="3634" t="s">
        <v>1116</v>
      </c>
      <c r="N655" s="3635"/>
      <c r="O655" s="735">
        <v>0.02</v>
      </c>
      <c r="P655" s="278"/>
      <c r="Q655" s="157"/>
      <c r="R655" s="157"/>
      <c r="S655" s="157"/>
      <c r="V655" s="3893"/>
      <c r="W655" s="1097">
        <v>12</v>
      </c>
      <c r="X655" s="1098">
        <v>12</v>
      </c>
      <c r="Y655" s="1096">
        <v>12</v>
      </c>
      <c r="Z655" s="1096">
        <v>12</v>
      </c>
      <c r="AA655" s="1096">
        <v>12</v>
      </c>
      <c r="AB655" s="1096">
        <v>12</v>
      </c>
      <c r="AC655" s="1097"/>
      <c r="AD655" s="1097"/>
      <c r="AE655" s="1097"/>
      <c r="AF655" s="1097"/>
      <c r="AG655" s="1097"/>
      <c r="AK655" s="982"/>
    </row>
    <row r="656" spans="2:37" outlineLevel="1" x14ac:dyDescent="0.25">
      <c r="B656" s="1359"/>
      <c r="C656" s="274"/>
      <c r="D656" s="3894" t="str">
        <f>D583</f>
        <v>Inc. Cost</v>
      </c>
      <c r="E656" s="3894" t="s">
        <v>613</v>
      </c>
      <c r="F656" s="1090" t="s">
        <v>1753</v>
      </c>
      <c r="G656" s="2758">
        <f>O647</f>
        <v>74.327224020150311</v>
      </c>
      <c r="H656" s="1091"/>
      <c r="I656" s="1091"/>
      <c r="M656" s="3636" t="s">
        <v>1117</v>
      </c>
      <c r="N656" s="3637"/>
      <c r="O656" s="735">
        <v>5.9499999999999997E-2</v>
      </c>
      <c r="P656" s="278"/>
      <c r="Q656" s="157"/>
      <c r="R656" s="157"/>
      <c r="S656" s="157"/>
      <c r="V656" s="3896" t="str">
        <f>V583</f>
        <v>Inc. Cost</v>
      </c>
      <c r="W656" s="1029">
        <v>97</v>
      </c>
      <c r="X656" s="995">
        <v>97</v>
      </c>
      <c r="Y656" s="618">
        <f>'HVAC Deemed Table'!Q96</f>
        <v>74.327224020150311</v>
      </c>
      <c r="Z656" s="2758">
        <f>'HVAC Deemed Table'!R96</f>
        <v>0</v>
      </c>
      <c r="AA656" s="2758">
        <f>'HVAC Deemed Table'!S96</f>
        <v>0</v>
      </c>
      <c r="AB656" s="2758">
        <f>'HVAC Deemed Table'!T96</f>
        <v>0</v>
      </c>
      <c r="AC656" s="1029"/>
      <c r="AD656" s="1029"/>
      <c r="AE656" s="1029"/>
      <c r="AF656" s="1029"/>
      <c r="AG656" s="1029"/>
      <c r="AK656" s="982"/>
    </row>
    <row r="657" spans="1:57" outlineLevel="1" x14ac:dyDescent="0.25">
      <c r="B657" s="1359"/>
      <c r="C657" s="274"/>
      <c r="D657" s="3548"/>
      <c r="E657" s="3548"/>
      <c r="F657" s="1090" t="s">
        <v>1778</v>
      </c>
      <c r="G657" s="2758">
        <f>O654</f>
        <v>475</v>
      </c>
      <c r="H657" s="1091"/>
      <c r="I657" s="1091"/>
      <c r="M657" s="736" t="s">
        <v>1118</v>
      </c>
      <c r="N657" s="737"/>
      <c r="O657" s="734">
        <v>6</v>
      </c>
      <c r="P657" s="278"/>
      <c r="Q657" s="157"/>
      <c r="R657" s="157"/>
      <c r="S657" s="157"/>
      <c r="V657" s="3893"/>
      <c r="W657" s="1029">
        <v>475</v>
      </c>
      <c r="X657" s="995">
        <v>475</v>
      </c>
      <c r="Y657" s="507">
        <f>'HVAC Deemed Table'!Q102</f>
        <v>475</v>
      </c>
      <c r="Z657" s="2758" t="str">
        <f>'HVAC Deemed Table'!R102</f>
        <v>https://energy.mo.gov/sites/energy/files/evaluation-of-retrofit-variable-speed-furnace-fan-motors.pdf</v>
      </c>
      <c r="AA657" s="2758">
        <f>'HVAC Deemed Table'!S102</f>
        <v>0</v>
      </c>
      <c r="AB657" s="2758">
        <f>'HVAC Deemed Table'!T102</f>
        <v>0</v>
      </c>
      <c r="AC657" s="1029"/>
      <c r="AD657" s="1029"/>
      <c r="AE657" s="1029"/>
      <c r="AF657" s="1029"/>
      <c r="AG657" s="1029"/>
      <c r="AK657" s="982"/>
    </row>
    <row r="658" spans="1:57" outlineLevel="1" x14ac:dyDescent="0.25">
      <c r="B658" s="1359"/>
      <c r="C658" s="274"/>
      <c r="D658" s="3548"/>
      <c r="E658" s="3548"/>
      <c r="F658" s="1090" t="s">
        <v>1779</v>
      </c>
      <c r="G658" s="2758"/>
      <c r="H658" s="1091"/>
      <c r="I658" s="1091"/>
      <c r="V658" s="3893"/>
      <c r="W658" s="1029"/>
      <c r="X658" s="995"/>
      <c r="Y658" s="507"/>
      <c r="Z658" s="2758"/>
      <c r="AA658" s="2758"/>
      <c r="AB658" s="2758"/>
      <c r="AC658" s="1029"/>
      <c r="AD658" s="1029"/>
      <c r="AE658" s="1029"/>
      <c r="AF658" s="1029"/>
      <c r="AG658" s="1029"/>
      <c r="AK658" s="982"/>
    </row>
    <row r="659" spans="1:57" outlineLevel="1" x14ac:dyDescent="0.25">
      <c r="B659" s="1359"/>
      <c r="C659" s="274"/>
      <c r="D659" s="3548"/>
      <c r="E659" s="3548"/>
      <c r="F659" s="1090" t="s">
        <v>1763</v>
      </c>
      <c r="G659" s="2758">
        <f>O647</f>
        <v>74.327224020150311</v>
      </c>
      <c r="H659" s="1091"/>
      <c r="I659" s="1091"/>
      <c r="V659" s="3893"/>
      <c r="W659" s="1029">
        <v>97</v>
      </c>
      <c r="X659" s="995">
        <v>97</v>
      </c>
      <c r="Y659" s="618">
        <f>'HVAC Deemed Table'!Q96</f>
        <v>74.327224020150311</v>
      </c>
      <c r="Z659" s="2758">
        <f>'HVAC Deemed Table'!R96</f>
        <v>0</v>
      </c>
      <c r="AA659" s="2758">
        <f>'HVAC Deemed Table'!S96</f>
        <v>0</v>
      </c>
      <c r="AB659" s="2758">
        <f>'HVAC Deemed Table'!T96</f>
        <v>0</v>
      </c>
      <c r="AC659" s="1029"/>
      <c r="AD659" s="1029"/>
      <c r="AE659" s="1029"/>
      <c r="AF659" s="1029"/>
      <c r="AG659" s="1029"/>
      <c r="AK659" s="982"/>
    </row>
    <row r="660" spans="1:57" outlineLevel="1" x14ac:dyDescent="0.25">
      <c r="B660" s="1359"/>
      <c r="C660" s="274"/>
      <c r="D660" s="3548"/>
      <c r="E660" s="3548"/>
      <c r="F660" s="1090" t="s">
        <v>1782</v>
      </c>
      <c r="G660" s="2758">
        <f>O654</f>
        <v>475</v>
      </c>
      <c r="H660" s="1091"/>
      <c r="I660" s="1091"/>
      <c r="V660" s="3893"/>
      <c r="W660" s="1029">
        <v>475</v>
      </c>
      <c r="X660" s="995">
        <v>475</v>
      </c>
      <c r="Y660" s="507">
        <f>'HVAC Deemed Table'!Q102</f>
        <v>475</v>
      </c>
      <c r="Z660" s="2758" t="str">
        <f>'HVAC Deemed Table'!R102</f>
        <v>https://energy.mo.gov/sites/energy/files/evaluation-of-retrofit-variable-speed-furnace-fan-motors.pdf</v>
      </c>
      <c r="AA660" s="2758">
        <f>'HVAC Deemed Table'!S102</f>
        <v>0</v>
      </c>
      <c r="AB660" s="2758">
        <f>'HVAC Deemed Table'!T102</f>
        <v>0</v>
      </c>
      <c r="AC660" s="1029"/>
      <c r="AD660" s="1029"/>
      <c r="AE660" s="1029"/>
      <c r="AF660" s="1029"/>
      <c r="AG660" s="1029"/>
      <c r="AK660" s="982"/>
    </row>
    <row r="661" spans="1:57" outlineLevel="1" x14ac:dyDescent="0.25">
      <c r="B661" s="1359"/>
      <c r="C661" s="274"/>
      <c r="D661" s="3895"/>
      <c r="E661" s="3895"/>
      <c r="F661" s="1090" t="s">
        <v>1784</v>
      </c>
      <c r="G661" s="2758"/>
      <c r="H661" s="1091"/>
      <c r="I661" s="1091"/>
      <c r="V661" s="3893"/>
      <c r="W661" s="1029"/>
      <c r="X661" s="995"/>
      <c r="Y661" s="507"/>
      <c r="Z661" s="2758"/>
      <c r="AA661" s="2758"/>
      <c r="AB661" s="2758"/>
      <c r="AC661" s="1029"/>
      <c r="AD661" s="1029"/>
      <c r="AE661" s="1029"/>
      <c r="AF661" s="1029"/>
      <c r="AG661" s="1029"/>
      <c r="AK661" s="982"/>
    </row>
    <row r="662" spans="1:57" outlineLevel="1" x14ac:dyDescent="0.25">
      <c r="AK662" s="982"/>
    </row>
    <row r="663" spans="1:57" x14ac:dyDescent="0.25">
      <c r="AK663" s="982"/>
    </row>
    <row r="664" spans="1:57" s="194" customFormat="1" x14ac:dyDescent="0.25">
      <c r="B664" s="3350" t="s">
        <v>1785</v>
      </c>
      <c r="C664" s="3351"/>
      <c r="D664" s="3351"/>
      <c r="E664" s="3351"/>
      <c r="F664" s="3351"/>
      <c r="G664" s="3351"/>
      <c r="H664" s="3351"/>
      <c r="I664" s="3352"/>
      <c r="J664" s="3352"/>
      <c r="K664" s="3352"/>
      <c r="L664" s="3352"/>
      <c r="M664" s="3352"/>
      <c r="N664" s="3352"/>
      <c r="O664" s="3353"/>
      <c r="P664" s="3350"/>
      <c r="Q664" s="3351"/>
      <c r="R664" s="3351"/>
      <c r="V664" s="3350" t="str">
        <f>B664</f>
        <v>Heat Pump (HP) Tune-up</v>
      </c>
      <c r="W664" s="3351"/>
      <c r="X664" s="3351"/>
      <c r="Y664" s="3351"/>
      <c r="Z664" s="3351"/>
      <c r="AA664" s="3351"/>
      <c r="AB664" s="3351"/>
      <c r="AC664" s="3354"/>
      <c r="AD664" s="3354"/>
      <c r="AE664" s="3354"/>
      <c r="AF664" s="3354"/>
      <c r="AG664" s="3354"/>
      <c r="AH664" s="3354"/>
      <c r="AI664" s="3355"/>
      <c r="AK664" s="982"/>
      <c r="BB664" s="937"/>
    </row>
    <row r="665" spans="1:57" s="43" customFormat="1" x14ac:dyDescent="0.25">
      <c r="A665" s="198"/>
      <c r="B665" s="198"/>
      <c r="C665" s="196"/>
      <c r="D665" s="386" t="s">
        <v>1513</v>
      </c>
      <c r="E665" s="197"/>
      <c r="F665" s="198"/>
      <c r="G665" s="198"/>
      <c r="H665" s="198"/>
      <c r="I665" s="198"/>
      <c r="J665" s="198"/>
      <c r="K665" s="198"/>
      <c r="L665" s="198"/>
      <c r="M665" s="198"/>
      <c r="N665" s="198"/>
      <c r="O665" s="198"/>
      <c r="P665" s="198"/>
      <c r="Q665" s="198"/>
      <c r="R665" s="198"/>
      <c r="S665" s="198"/>
      <c r="T665" s="198"/>
      <c r="U665" s="198"/>
      <c r="V665" s="273"/>
      <c r="W665" s="273"/>
      <c r="X665" s="273"/>
      <c r="Y665" s="692"/>
      <c r="Z665" s="273"/>
      <c r="AA665" s="273"/>
      <c r="AB665" s="273"/>
      <c r="AC665" s="273"/>
      <c r="AD665" s="273"/>
      <c r="AE665" s="273"/>
      <c r="AF665" s="273"/>
      <c r="AG665" s="273"/>
      <c r="AH665" s="273"/>
      <c r="AI665" s="273"/>
      <c r="AK665" s="982"/>
      <c r="BB665" s="1099"/>
    </row>
    <row r="666" spans="1:57" s="1100" customFormat="1" ht="48.75" customHeight="1" x14ac:dyDescent="0.25">
      <c r="A666" s="1884"/>
      <c r="B666" s="1884"/>
      <c r="C666" s="1409" t="s">
        <v>17</v>
      </c>
      <c r="D666" s="1409" t="s">
        <v>616</v>
      </c>
      <c r="E666" s="1409" t="s">
        <v>19</v>
      </c>
      <c r="F666" s="1409" t="s">
        <v>20</v>
      </c>
      <c r="G666" s="1409" t="s">
        <v>21</v>
      </c>
      <c r="H666" s="1409" t="s">
        <v>22</v>
      </c>
      <c r="I666" s="1409" t="s">
        <v>23</v>
      </c>
      <c r="J666" s="1413" t="s">
        <v>24</v>
      </c>
      <c r="K666" s="1409" t="s">
        <v>25</v>
      </c>
      <c r="L666" s="1409" t="s">
        <v>26</v>
      </c>
      <c r="M666" s="1012"/>
      <c r="N666" s="1012"/>
      <c r="O666" s="1012"/>
      <c r="P666" s="1012"/>
      <c r="Q666" s="1012"/>
      <c r="R666" s="1012"/>
      <c r="S666" s="1884"/>
      <c r="T666" s="1884"/>
      <c r="U666" s="1884"/>
      <c r="V666" s="55" t="s">
        <v>27</v>
      </c>
      <c r="W666" s="56">
        <f>W$6</f>
        <v>43252</v>
      </c>
      <c r="X666" s="56">
        <f t="shared" ref="X666:AG666" si="88">X$6</f>
        <v>43465</v>
      </c>
      <c r="Y666" s="420">
        <f t="shared" si="88"/>
        <v>43800</v>
      </c>
      <c r="Z666" s="56">
        <f t="shared" si="88"/>
        <v>43862</v>
      </c>
      <c r="AA666" s="56">
        <f t="shared" si="88"/>
        <v>44013</v>
      </c>
      <c r="AB666" s="56">
        <f t="shared" si="88"/>
        <v>44166</v>
      </c>
      <c r="AC666" s="56" t="str">
        <f t="shared" si="88"/>
        <v>-</v>
      </c>
      <c r="AD666" s="56" t="str">
        <f t="shared" si="88"/>
        <v>-</v>
      </c>
      <c r="AE666" s="56" t="str">
        <f t="shared" si="88"/>
        <v>-</v>
      </c>
      <c r="AF666" s="56" t="str">
        <f t="shared" si="88"/>
        <v>-</v>
      </c>
      <c r="AG666" s="56" t="str">
        <f t="shared" si="88"/>
        <v>-</v>
      </c>
      <c r="AH666" s="273"/>
      <c r="AI666" s="273"/>
      <c r="AK666" s="982"/>
      <c r="BB666" s="57" t="str">
        <f>$BB$6</f>
        <v>TRC (2020)</v>
      </c>
      <c r="BC666" s="93" t="str">
        <f>$BC$6</f>
        <v>Benefit Lookup</v>
      </c>
      <c r="BD666" s="741" t="str">
        <f>$BD$6</f>
        <v>Benefits (2019 $)</v>
      </c>
      <c r="BE666" s="279" t="str">
        <f>$BE$6</f>
        <v>Incremental Cost (2019 $)</v>
      </c>
    </row>
    <row r="667" spans="1:57" s="1100" customFormat="1" x14ac:dyDescent="0.25">
      <c r="A667" s="1884"/>
      <c r="B667" s="1884"/>
      <c r="C667" s="1323" t="s">
        <v>1786</v>
      </c>
      <c r="D667" s="1756" t="s">
        <v>1515</v>
      </c>
      <c r="E667" s="489" t="s">
        <v>1787</v>
      </c>
      <c r="F667" s="1818">
        <f>ROUND((G695*G697*(1/G699-1/G703)/G707),2)</f>
        <v>146.06</v>
      </c>
      <c r="G667" s="1756" t="s">
        <v>690</v>
      </c>
      <c r="H667" s="202">
        <f>VLOOKUP(G667,'CP FACTORS'!$A$3:$B$38, 2, FALSE)</f>
        <v>9.4741810000000004E-4</v>
      </c>
      <c r="I667" s="1733">
        <f>ROUND(F667*H667,6)</f>
        <v>0.13838</v>
      </c>
      <c r="J667" s="1101">
        <f t="shared" ref="J667:J688" si="89">$G$720</f>
        <v>2</v>
      </c>
      <c r="K667" s="1415">
        <f>$G$721</f>
        <v>70</v>
      </c>
      <c r="L667" s="1102" t="s">
        <v>37</v>
      </c>
      <c r="M667" s="1012"/>
      <c r="N667" s="1012"/>
      <c r="O667" s="1012"/>
      <c r="P667" s="1012"/>
      <c r="Q667" s="1012"/>
      <c r="R667" s="1627"/>
      <c r="S667" s="1884"/>
      <c r="T667" s="1884"/>
      <c r="U667" s="1884"/>
      <c r="V667" s="208" t="str">
        <f>$F$508</f>
        <v>kWh
Annual Savings</v>
      </c>
      <c r="W667" s="1103">
        <v>146.05813953488371</v>
      </c>
      <c r="X667" s="187">
        <v>146.05813953488371</v>
      </c>
      <c r="Y667" s="85">
        <v>146.06</v>
      </c>
      <c r="Z667" s="85">
        <v>146.06</v>
      </c>
      <c r="AA667" s="85">
        <v>146.06</v>
      </c>
      <c r="AB667" s="85">
        <v>146.06</v>
      </c>
      <c r="AC667" s="208"/>
      <c r="AD667" s="208"/>
      <c r="AE667" s="208"/>
      <c r="AF667" s="208"/>
      <c r="AG667" s="208"/>
      <c r="AH667" s="211"/>
      <c r="AI667" s="273"/>
      <c r="AK667" s="982"/>
      <c r="BB667" s="67">
        <f>(BD667+BD668)/(BE667+BE668)</f>
        <v>0.47929235975456674</v>
      </c>
      <c r="BC667" s="1011" t="str">
        <f>CONCATENATE(G667," ",J667," Year EUL")</f>
        <v>Cooling RES 2 Year EUL</v>
      </c>
      <c r="BD667" s="145">
        <f>(INDEX('Avoided Cost Benefits'!$C$4:$C$857,MATCH(BC667,'Avoided Cost Benefits'!$A$4:$A$857,0)))*F667</f>
        <v>24.9939171195353</v>
      </c>
      <c r="BE667" s="69">
        <f>K667/(1.0595^(2020-2019))</f>
        <v>66.068900424728639</v>
      </c>
    </row>
    <row r="668" spans="1:57" s="1100" customFormat="1" x14ac:dyDescent="0.25">
      <c r="A668" s="1884"/>
      <c r="B668" s="1884"/>
      <c r="C668" s="1323" t="s">
        <v>1786</v>
      </c>
      <c r="D668" s="1756" t="s">
        <v>1515</v>
      </c>
      <c r="E668" s="1885" t="s">
        <v>1787</v>
      </c>
      <c r="F668" s="1818">
        <f>ROUND((G708*G710*(1/G712-1/G716)/G707),2)</f>
        <v>117.55</v>
      </c>
      <c r="G668" s="1756" t="s">
        <v>691</v>
      </c>
      <c r="H668" s="202">
        <f>VLOOKUP(G668,'CP FACTORS'!$A$3:$B$38, 2, FALSE)</f>
        <v>0</v>
      </c>
      <c r="I668" s="1733">
        <f t="shared" ref="I668:I688" si="90">ROUND(F668*H668,6)</f>
        <v>0</v>
      </c>
      <c r="J668" s="1101">
        <f t="shared" si="89"/>
        <v>2</v>
      </c>
      <c r="K668" s="1415">
        <v>0</v>
      </c>
      <c r="L668" s="517" t="s">
        <v>37</v>
      </c>
      <c r="M668" s="1012"/>
      <c r="N668" s="1012"/>
      <c r="O668" s="1012"/>
      <c r="P668" s="1012"/>
      <c r="Q668" s="1012"/>
      <c r="R668" s="1627"/>
      <c r="S668" s="1884"/>
      <c r="T668" s="1884"/>
      <c r="U668" s="1884"/>
      <c r="V668" s="208" t="str">
        <f t="shared" ref="V668:V688" si="91">$F$508</f>
        <v>kWh
Annual Savings</v>
      </c>
      <c r="W668" s="1103">
        <v>157.864509605661</v>
      </c>
      <c r="X668" s="187">
        <v>157.864509605661</v>
      </c>
      <c r="Y668" s="84">
        <v>117.55</v>
      </c>
      <c r="Z668" s="85">
        <v>117.55</v>
      </c>
      <c r="AA668" s="85">
        <v>117.55</v>
      </c>
      <c r="AB668" s="85">
        <v>117.55</v>
      </c>
      <c r="AC668" s="208"/>
      <c r="AD668" s="208"/>
      <c r="AE668" s="208"/>
      <c r="AF668" s="208"/>
      <c r="AG668" s="208"/>
      <c r="AH668" s="211"/>
      <c r="AI668" s="993"/>
      <c r="AK668" s="982"/>
      <c r="BB668" s="1087"/>
      <c r="BC668" s="1104" t="str">
        <f>CONCATENATE(G668," ",J668," Year EUL")</f>
        <v>Heating RES 2 Year EUL</v>
      </c>
      <c r="BD668" s="148">
        <f>(INDEX('Avoided Cost Benefits'!$C$4:$C$857,MATCH(BC668,'Avoided Cost Benefits'!$A$4:$A$857,0)))*F668</f>
        <v>6.6724020714223853</v>
      </c>
      <c r="BE668" s="73">
        <f>K668/(1.0595^(2020-2019))</f>
        <v>0</v>
      </c>
    </row>
    <row r="669" spans="1:57" s="1100" customFormat="1" x14ac:dyDescent="0.25">
      <c r="A669" s="1884"/>
      <c r="B669" s="1884"/>
      <c r="C669" s="1323" t="s">
        <v>1788</v>
      </c>
      <c r="D669" s="1756" t="s">
        <v>1518</v>
      </c>
      <c r="E669" s="489" t="s">
        <v>1787</v>
      </c>
      <c r="F669" s="1818">
        <f>ROUND((G695*G698*(1/G699-1/G703)/G707),2)</f>
        <v>87.28</v>
      </c>
      <c r="G669" s="1756" t="s">
        <v>690</v>
      </c>
      <c r="H669" s="202">
        <f>VLOOKUP(G669,'CP FACTORS'!$A$3:$B$38, 2, FALSE)</f>
        <v>9.4741810000000004E-4</v>
      </c>
      <c r="I669" s="1733">
        <f t="shared" si="90"/>
        <v>8.2691000000000001E-2</v>
      </c>
      <c r="J669" s="1101">
        <f t="shared" si="89"/>
        <v>2</v>
      </c>
      <c r="K669" s="1415">
        <f>$G$721</f>
        <v>70</v>
      </c>
      <c r="L669" s="1102" t="s">
        <v>37</v>
      </c>
      <c r="M669" s="1012"/>
      <c r="N669" s="1012"/>
      <c r="O669" s="1012"/>
      <c r="P669" s="1012"/>
      <c r="Q669" s="1012"/>
      <c r="R669" s="1627"/>
      <c r="S669" s="1884"/>
      <c r="T669" s="1884"/>
      <c r="U669" s="1884"/>
      <c r="V669" s="208" t="str">
        <f t="shared" si="91"/>
        <v>kWh
Annual Savings</v>
      </c>
      <c r="W669" s="1103">
        <v>94.937790697674416</v>
      </c>
      <c r="X669" s="187">
        <v>94.937790697674416</v>
      </c>
      <c r="Y669" s="84">
        <v>87.28</v>
      </c>
      <c r="Z669" s="85">
        <v>87.28</v>
      </c>
      <c r="AA669" s="85">
        <v>87.28</v>
      </c>
      <c r="AB669" s="85">
        <v>87.28</v>
      </c>
      <c r="AC669" s="208"/>
      <c r="AD669" s="208"/>
      <c r="AE669" s="208"/>
      <c r="AF669" s="208"/>
      <c r="AG669" s="208"/>
      <c r="AH669" s="211"/>
      <c r="AK669" s="982"/>
      <c r="BB669" s="71">
        <f>(BD669+BD670)/(BE669+BE670)</f>
        <v>0.28641280431879457</v>
      </c>
      <c r="BC669" s="1011" t="str">
        <f t="shared" ref="BC669:BC686" si="92">CONCATENATE(G669," ",J669," Year EUL")</f>
        <v>Cooling RES 2 Year EUL</v>
      </c>
      <c r="BD669" s="148">
        <f>(INDEX('Avoided Cost Benefits'!$C$4:$C$857,MATCH(BC669,'Avoided Cost Benefits'!$A$4:$A$857,0)))*F669</f>
        <v>14.935431235061214</v>
      </c>
      <c r="BE669" s="73">
        <f t="shared" ref="BE669:BE686" si="93">K669/(1.0595^(2020-2019))</f>
        <v>66.068900424728639</v>
      </c>
    </row>
    <row r="670" spans="1:57" s="1100" customFormat="1" x14ac:dyDescent="0.25">
      <c r="A670" s="1884"/>
      <c r="B670" s="1884"/>
      <c r="C670" s="1323" t="s">
        <v>1788</v>
      </c>
      <c r="D670" s="1756" t="s">
        <v>1518</v>
      </c>
      <c r="E670" s="1885" t="s">
        <v>1787</v>
      </c>
      <c r="F670" s="1818">
        <f>ROUND((G708*G711*(1/G712-1/G716)/G707),2)</f>
        <v>70.25</v>
      </c>
      <c r="G670" s="1756" t="s">
        <v>691</v>
      </c>
      <c r="H670" s="202">
        <f>VLOOKUP(G670,'CP FACTORS'!$A$3:$B$38, 2, FALSE)</f>
        <v>0</v>
      </c>
      <c r="I670" s="1733">
        <f t="shared" si="90"/>
        <v>0</v>
      </c>
      <c r="J670" s="1101">
        <f t="shared" si="89"/>
        <v>2</v>
      </c>
      <c r="K670" s="1415">
        <v>0</v>
      </c>
      <c r="L670" s="517" t="s">
        <v>37</v>
      </c>
      <c r="M670" s="1012"/>
      <c r="N670" s="1012"/>
      <c r="O670" s="1012"/>
      <c r="P670" s="1012"/>
      <c r="Q670" s="1012"/>
      <c r="R670" s="1627"/>
      <c r="S670" s="1884"/>
      <c r="T670" s="1884"/>
      <c r="U670" s="1884"/>
      <c r="V670" s="208" t="str">
        <f t="shared" si="91"/>
        <v>kWh
Annual Savings</v>
      </c>
      <c r="W670" s="1103">
        <v>102.61193124367966</v>
      </c>
      <c r="X670" s="187">
        <v>102.61193124367966</v>
      </c>
      <c r="Y670" s="84">
        <v>70.25</v>
      </c>
      <c r="Z670" s="85">
        <v>70.25</v>
      </c>
      <c r="AA670" s="85">
        <v>70.25</v>
      </c>
      <c r="AB670" s="85">
        <v>70.25</v>
      </c>
      <c r="AC670" s="208"/>
      <c r="AD670" s="208"/>
      <c r="AE670" s="208"/>
      <c r="AF670" s="208"/>
      <c r="AG670" s="208"/>
      <c r="AH670" s="211"/>
      <c r="AK670" s="982"/>
      <c r="BB670" s="1087"/>
      <c r="BC670" s="1104" t="str">
        <f t="shared" si="92"/>
        <v>Heating RES 2 Year EUL</v>
      </c>
      <c r="BD670" s="148">
        <f>(INDEX('Avoided Cost Benefits'!$C$4:$C$857,MATCH(BC670,'Avoided Cost Benefits'!$A$4:$A$857,0)))*F670</f>
        <v>3.9875478138445133</v>
      </c>
      <c r="BE670" s="73">
        <f t="shared" si="93"/>
        <v>0</v>
      </c>
    </row>
    <row r="671" spans="1:57" s="374" customFormat="1" x14ac:dyDescent="0.25">
      <c r="A671" s="224"/>
      <c r="B671" s="224"/>
      <c r="C671" s="1323" t="s">
        <v>1789</v>
      </c>
      <c r="D671" s="1756" t="s">
        <v>1515</v>
      </c>
      <c r="E671" s="489" t="s">
        <v>1790</v>
      </c>
      <c r="F671" s="1818">
        <f>ROUND((G695*G697*(1/G700-1/G704)/G707),2)</f>
        <v>609.19000000000005</v>
      </c>
      <c r="G671" s="1756" t="s">
        <v>690</v>
      </c>
      <c r="H671" s="202">
        <f>VLOOKUP(G671,'CP FACTORS'!$A$3:$B$38, 2, FALSE)</f>
        <v>9.4741810000000004E-4</v>
      </c>
      <c r="I671" s="1733">
        <f t="shared" si="90"/>
        <v>0.57715799999999995</v>
      </c>
      <c r="J671" s="1101">
        <f t="shared" si="89"/>
        <v>2</v>
      </c>
      <c r="K671" s="1415">
        <f>$G$722</f>
        <v>81</v>
      </c>
      <c r="L671" s="1102" t="s">
        <v>37</v>
      </c>
      <c r="M671" s="1012"/>
      <c r="N671" s="1012"/>
      <c r="O671" s="1012"/>
      <c r="P671" s="1012"/>
      <c r="Q671" s="1012"/>
      <c r="R671" s="1627"/>
      <c r="S671" s="228"/>
      <c r="T671" s="224"/>
      <c r="U671" s="224"/>
      <c r="V671" s="208" t="str">
        <f t="shared" si="91"/>
        <v>kWh
Annual Savings</v>
      </c>
      <c r="W671" s="1103">
        <v>609.19309466886068</v>
      </c>
      <c r="X671" s="187">
        <v>609.19309466886068</v>
      </c>
      <c r="Y671" s="84">
        <v>609.19000000000005</v>
      </c>
      <c r="Z671" s="85">
        <v>609.19000000000005</v>
      </c>
      <c r="AA671" s="85">
        <v>609.19000000000005</v>
      </c>
      <c r="AB671" s="85">
        <v>609.19000000000005</v>
      </c>
      <c r="AC671" s="208"/>
      <c r="AD671" s="208"/>
      <c r="AE671" s="208"/>
      <c r="AF671" s="208"/>
      <c r="AG671" s="208"/>
      <c r="AH671" s="211"/>
      <c r="AK671" s="982"/>
      <c r="BB671" s="71">
        <f>(BD671+BD672)/(BE671+BE672)</f>
        <v>1.7837274405751224</v>
      </c>
      <c r="BC671" s="1011" t="str">
        <f t="shared" si="92"/>
        <v>Cooling RES 2 Year EUL</v>
      </c>
      <c r="BD671" s="148">
        <f>(INDEX('Avoided Cost Benefits'!$C$4:$C$857,MATCH(BC671,'Avoided Cost Benefits'!$A$4:$A$857,0)))*F671</f>
        <v>104.24513467102362</v>
      </c>
      <c r="BE671" s="73">
        <f t="shared" si="93"/>
        <v>76.451156205757428</v>
      </c>
    </row>
    <row r="672" spans="1:57" s="374" customFormat="1" x14ac:dyDescent="0.25">
      <c r="A672" s="224"/>
      <c r="B672" s="224"/>
      <c r="C672" s="1323" t="s">
        <v>1789</v>
      </c>
      <c r="D672" s="1756" t="s">
        <v>1515</v>
      </c>
      <c r="E672" s="1885" t="s">
        <v>1790</v>
      </c>
      <c r="F672" s="1818">
        <f>ROUND((G708*G710*(1/G713-1/G717)/G707),2)</f>
        <v>565.91999999999996</v>
      </c>
      <c r="G672" s="1756" t="s">
        <v>691</v>
      </c>
      <c r="H672" s="202">
        <f>VLOOKUP(G672,'CP FACTORS'!$A$3:$B$38, 2, FALSE)</f>
        <v>0</v>
      </c>
      <c r="I672" s="1733">
        <f t="shared" si="90"/>
        <v>0</v>
      </c>
      <c r="J672" s="1101">
        <f t="shared" si="89"/>
        <v>2</v>
      </c>
      <c r="K672" s="1415">
        <v>0</v>
      </c>
      <c r="L672" s="517" t="s">
        <v>37</v>
      </c>
      <c r="M672" s="1886"/>
      <c r="N672" s="1887"/>
      <c r="O672" s="1887"/>
      <c r="P672" s="1887"/>
      <c r="Q672" s="1887"/>
      <c r="R672" s="1627"/>
      <c r="S672" s="228"/>
      <c r="T672" s="224"/>
      <c r="U672" s="224"/>
      <c r="V672" s="208" t="str">
        <f t="shared" si="91"/>
        <v>kWh
Annual Savings</v>
      </c>
      <c r="W672" s="1103">
        <v>759.98528433977378</v>
      </c>
      <c r="X672" s="187">
        <v>759.98528433977378</v>
      </c>
      <c r="Y672" s="84">
        <v>565.91999999999996</v>
      </c>
      <c r="Z672" s="85">
        <v>565.91999999999996</v>
      </c>
      <c r="AA672" s="85">
        <v>565.91999999999996</v>
      </c>
      <c r="AB672" s="85">
        <v>565.91999999999996</v>
      </c>
      <c r="AC672" s="208"/>
      <c r="AD672" s="208"/>
      <c r="AE672" s="208"/>
      <c r="AF672" s="208"/>
      <c r="AG672" s="208"/>
      <c r="AH672" s="211"/>
      <c r="AK672" s="982"/>
      <c r="BB672" s="1087"/>
      <c r="BC672" s="1104" t="str">
        <f t="shared" si="92"/>
        <v>Heating RES 2 Year EUL</v>
      </c>
      <c r="BD672" s="148">
        <f>(INDEX('Avoided Cost Benefits'!$C$4:$C$857,MATCH(BC672,'Avoided Cost Benefits'!$A$4:$A$857,0)))*F672</f>
        <v>32.12289051688095</v>
      </c>
      <c r="BE672" s="73">
        <f t="shared" si="93"/>
        <v>0</v>
      </c>
    </row>
    <row r="673" spans="1:57" s="993" customFormat="1" x14ac:dyDescent="0.25">
      <c r="A673" s="1012"/>
      <c r="B673" s="1823"/>
      <c r="C673" s="1323" t="s">
        <v>1791</v>
      </c>
      <c r="D673" s="1756" t="s">
        <v>1518</v>
      </c>
      <c r="E673" s="489" t="s">
        <v>1792</v>
      </c>
      <c r="F673" s="1818">
        <f>ROUND(($G$695*$G$698*(1/$G$700-1/$G$704)/$G$707),2)</f>
        <v>364.03</v>
      </c>
      <c r="G673" s="1756" t="s">
        <v>690</v>
      </c>
      <c r="H673" s="202">
        <f>VLOOKUP(G673,'CP FACTORS'!$A$3:$B$38, 2, FALSE)</f>
        <v>9.4741810000000004E-4</v>
      </c>
      <c r="I673" s="1733">
        <f t="shared" si="90"/>
        <v>0.344889</v>
      </c>
      <c r="J673" s="1101">
        <f t="shared" si="89"/>
        <v>2</v>
      </c>
      <c r="K673" s="1415">
        <f>$G$722</f>
        <v>81</v>
      </c>
      <c r="L673" s="1102" t="s">
        <v>37</v>
      </c>
      <c r="M673" s="1012"/>
      <c r="N673" s="1012"/>
      <c r="O673" s="1012"/>
      <c r="P673" s="1012"/>
      <c r="Q673" s="1012"/>
      <c r="R673" s="1627"/>
      <c r="S673" s="1012"/>
      <c r="T673" s="1012"/>
      <c r="U673" s="1012"/>
      <c r="V673" s="208" t="str">
        <f t="shared" si="91"/>
        <v>kWh
Annual Savings</v>
      </c>
      <c r="W673" s="1103">
        <v>395.97551153475945</v>
      </c>
      <c r="X673" s="187">
        <v>395.97551153475945</v>
      </c>
      <c r="Y673" s="84">
        <v>364.03</v>
      </c>
      <c r="Z673" s="85">
        <v>364.03</v>
      </c>
      <c r="AA673" s="85">
        <v>364.03</v>
      </c>
      <c r="AB673" s="85">
        <v>364.03</v>
      </c>
      <c r="AC673" s="208"/>
      <c r="AD673" s="208"/>
      <c r="AE673" s="208"/>
      <c r="AF673" s="208"/>
      <c r="AG673" s="208"/>
      <c r="AH673" s="211"/>
      <c r="AK673" s="982"/>
      <c r="BB673" s="71">
        <f>(BD673+BD674)/(BE673+BE674)</f>
        <v>1.0658961610897484</v>
      </c>
      <c r="BC673" s="1011" t="str">
        <f t="shared" si="92"/>
        <v>Cooling RES 2 Year EUL</v>
      </c>
      <c r="BD673" s="148">
        <f>(INDEX('Avoided Cost Benefits'!$C$4:$C$857,MATCH(BC673,'Avoided Cost Benefits'!$A$4:$A$857,0)))*F673</f>
        <v>62.293137402604643</v>
      </c>
      <c r="BE673" s="73">
        <f t="shared" si="93"/>
        <v>76.451156205757428</v>
      </c>
    </row>
    <row r="674" spans="1:57" s="993" customFormat="1" x14ac:dyDescent="0.25">
      <c r="A674" s="1012"/>
      <c r="B674" s="1823"/>
      <c r="C674" s="1323" t="s">
        <v>1791</v>
      </c>
      <c r="D674" s="1756" t="s">
        <v>1518</v>
      </c>
      <c r="E674" s="1885" t="s">
        <v>1792</v>
      </c>
      <c r="F674" s="1818">
        <f>ROUND(($G$708*$G$711*(1/$G$713-1/$G$717)/$G$707),2)</f>
        <v>338.18</v>
      </c>
      <c r="G674" s="1756" t="s">
        <v>691</v>
      </c>
      <c r="H674" s="202">
        <f>VLOOKUP(G674,'CP FACTORS'!$A$3:$B$38, 2, FALSE)</f>
        <v>0</v>
      </c>
      <c r="I674" s="1733">
        <f t="shared" si="90"/>
        <v>0</v>
      </c>
      <c r="J674" s="1101">
        <f t="shared" si="89"/>
        <v>2</v>
      </c>
      <c r="K674" s="1415">
        <v>0</v>
      </c>
      <c r="L674" s="517" t="s">
        <v>37</v>
      </c>
      <c r="M674" s="1012"/>
      <c r="N674" s="1012"/>
      <c r="O674" s="1012"/>
      <c r="P674" s="1012"/>
      <c r="Q674" s="1012"/>
      <c r="R674" s="1627"/>
      <c r="S674" s="1012"/>
      <c r="T674" s="1012"/>
      <c r="U674" s="1012"/>
      <c r="V674" s="208" t="str">
        <f t="shared" si="91"/>
        <v>kWh
Annual Savings</v>
      </c>
      <c r="W674" s="1103">
        <v>493.99043482085307</v>
      </c>
      <c r="X674" s="187">
        <v>493.99043482085307</v>
      </c>
      <c r="Y674" s="84">
        <v>338.18</v>
      </c>
      <c r="Z674" s="85">
        <v>338.18</v>
      </c>
      <c r="AA674" s="85">
        <v>338.18</v>
      </c>
      <c r="AB674" s="85">
        <v>338.18</v>
      </c>
      <c r="AC674" s="208"/>
      <c r="AD674" s="208"/>
      <c r="AE674" s="208"/>
      <c r="AF674" s="208"/>
      <c r="AG674" s="208"/>
      <c r="AH674" s="211"/>
      <c r="AK674" s="982"/>
      <c r="BB674" s="1087"/>
      <c r="BC674" s="1104" t="str">
        <f t="shared" si="92"/>
        <v>Heating RES 2 Year EUL</v>
      </c>
      <c r="BD674" s="148">
        <f>(INDEX('Avoided Cost Benefits'!$C$4:$C$857,MATCH(BC674,'Avoided Cost Benefits'!$A$4:$A$857,0)))*F674</f>
        <v>19.195856507984878</v>
      </c>
      <c r="BE674" s="73">
        <f t="shared" si="93"/>
        <v>0</v>
      </c>
    </row>
    <row r="675" spans="1:57" s="993" customFormat="1" x14ac:dyDescent="0.25">
      <c r="A675" s="1012"/>
      <c r="B675" s="1823"/>
      <c r="C675" s="1323" t="s">
        <v>1793</v>
      </c>
      <c r="D675" s="1756" t="s">
        <v>1521</v>
      </c>
      <c r="E675" s="742" t="str">
        <f>CONCATENATE(E673,"_CompE")</f>
        <v>HP tune-up / Refrigerant charge MF_CompE</v>
      </c>
      <c r="F675" s="1818">
        <f>ROUND(($G$696*$G$698*(1/$G$700-1/$G$704)/$G$707),2)</f>
        <v>264.75</v>
      </c>
      <c r="G675" s="1756" t="s">
        <v>690</v>
      </c>
      <c r="H675" s="202">
        <f>VLOOKUP(G675,'CP FACTORS'!$A$3:$B$38, 2, FALSE)</f>
        <v>9.4741810000000004E-4</v>
      </c>
      <c r="I675" s="1733">
        <f t="shared" si="90"/>
        <v>0.25082900000000002</v>
      </c>
      <c r="J675" s="1101">
        <f t="shared" si="89"/>
        <v>2</v>
      </c>
      <c r="K675" s="1415">
        <f>$G$722</f>
        <v>81</v>
      </c>
      <c r="L675" s="1102" t="s">
        <v>37</v>
      </c>
      <c r="M675" s="1012"/>
      <c r="N675" s="1012"/>
      <c r="O675" s="1012"/>
      <c r="P675" s="1012"/>
      <c r="Q675" s="1012"/>
      <c r="R675" s="1627"/>
      <c r="S675" s="1012"/>
      <c r="T675" s="1012"/>
      <c r="U675" s="1012"/>
      <c r="V675" s="208" t="str">
        <f t="shared" si="91"/>
        <v>kWh
Annual Savings</v>
      </c>
      <c r="W675" s="1103"/>
      <c r="X675" s="187"/>
      <c r="Y675" s="84">
        <v>264.75</v>
      </c>
      <c r="Z675" s="85">
        <v>264.75</v>
      </c>
      <c r="AA675" s="85">
        <v>264.75</v>
      </c>
      <c r="AB675" s="85">
        <v>264.75</v>
      </c>
      <c r="AC675" s="208"/>
      <c r="AD675" s="208"/>
      <c r="AE675" s="208"/>
      <c r="AF675" s="208"/>
      <c r="AG675" s="208"/>
      <c r="AH675" s="211"/>
      <c r="AK675" s="982"/>
      <c r="BB675" s="71">
        <f>(BD675+BD676)/(BE675+BE676)</f>
        <v>0.67818954560335631</v>
      </c>
      <c r="BC675" s="1011" t="str">
        <f>CONCATENATE(G675," ",J675," Year EUL")</f>
        <v>Cooling RES 2 Year EUL</v>
      </c>
      <c r="BD675" s="148">
        <f>(INDEX('Avoided Cost Benefits'!$C$4:$C$857,MATCH(BC675,'Avoided Cost Benefits'!$A$4:$A$857,0)))*F675</f>
        <v>45.304255493612011</v>
      </c>
      <c r="BE675" s="73">
        <f>K675/(1.0595^(2020-2019))</f>
        <v>76.451156205757428</v>
      </c>
    </row>
    <row r="676" spans="1:57" s="993" customFormat="1" x14ac:dyDescent="0.25">
      <c r="A676" s="1012"/>
      <c r="B676" s="1823"/>
      <c r="C676" s="1323" t="s">
        <v>1793</v>
      </c>
      <c r="D676" s="1756" t="s">
        <v>1521</v>
      </c>
      <c r="E676" s="750" t="str">
        <f>CONCATENATE(E674,"_CompE")</f>
        <v>HP tune-up / Refrigerant charge MF_CompE</v>
      </c>
      <c r="F676" s="1818">
        <f>ROUND(($G$709*$G$711*(1/$G$713-1/$G$717)/$G$707),2)</f>
        <v>115.29</v>
      </c>
      <c r="G676" s="1756" t="s">
        <v>691</v>
      </c>
      <c r="H676" s="202">
        <f>VLOOKUP(G676,'CP FACTORS'!$A$3:$B$38, 2, FALSE)</f>
        <v>0</v>
      </c>
      <c r="I676" s="1733">
        <f t="shared" si="90"/>
        <v>0</v>
      </c>
      <c r="J676" s="1101">
        <f t="shared" si="89"/>
        <v>2</v>
      </c>
      <c r="K676" s="1415">
        <v>0</v>
      </c>
      <c r="L676" s="517" t="s">
        <v>37</v>
      </c>
      <c r="M676" s="1012"/>
      <c r="N676" s="1012"/>
      <c r="O676" s="1012"/>
      <c r="P676" s="1012"/>
      <c r="Q676" s="1012"/>
      <c r="R676" s="1627"/>
      <c r="S676" s="1012"/>
      <c r="T676" s="1012"/>
      <c r="U676" s="1012"/>
      <c r="V676" s="208" t="str">
        <f t="shared" si="91"/>
        <v>kWh
Annual Savings</v>
      </c>
      <c r="W676" s="1103"/>
      <c r="X676" s="187"/>
      <c r="Y676" s="84">
        <v>115.29</v>
      </c>
      <c r="Z676" s="85">
        <v>115.29</v>
      </c>
      <c r="AA676" s="85">
        <v>115.29</v>
      </c>
      <c r="AB676" s="85">
        <v>115.29</v>
      </c>
      <c r="AC676" s="208"/>
      <c r="AD676" s="208"/>
      <c r="AE676" s="208"/>
      <c r="AF676" s="208"/>
      <c r="AG676" s="208"/>
      <c r="AH676" s="211"/>
      <c r="AK676" s="982"/>
      <c r="BB676" s="1087"/>
      <c r="BC676" s="1104" t="str">
        <f>CONCATENATE(G676," ",J676," Year EUL")</f>
        <v>Heating RES 2 Year EUL</v>
      </c>
      <c r="BD676" s="148">
        <f>(INDEX('Avoided Cost Benefits'!$C$4:$C$857,MATCH(BC676,'Avoided Cost Benefits'!$A$4:$A$857,0)))*F676</f>
        <v>6.5441193944218359</v>
      </c>
      <c r="BE676" s="73">
        <f>K676/(1.0595^(2020-2019))</f>
        <v>0</v>
      </c>
    </row>
    <row r="677" spans="1:57" s="993" customFormat="1" x14ac:dyDescent="0.25">
      <c r="A677" s="1012"/>
      <c r="B677" s="1823"/>
      <c r="C677" s="1323" t="s">
        <v>1794</v>
      </c>
      <c r="D677" s="1756" t="s">
        <v>1515</v>
      </c>
      <c r="E677" s="489" t="s">
        <v>1795</v>
      </c>
      <c r="F677" s="1818">
        <f>ROUND((G695*G697*(1/G701-1/G705)/G707),2)</f>
        <v>100.83</v>
      </c>
      <c r="G677" s="1756" t="s">
        <v>690</v>
      </c>
      <c r="H677" s="202">
        <f>VLOOKUP(G677,'CP FACTORS'!$A$3:$B$38, 2, FALSE)</f>
        <v>9.4741810000000004E-4</v>
      </c>
      <c r="I677" s="1733">
        <f t="shared" si="90"/>
        <v>9.5528000000000002E-2</v>
      </c>
      <c r="J677" s="1101">
        <f t="shared" si="89"/>
        <v>2</v>
      </c>
      <c r="K677" s="1415">
        <f>$G$723</f>
        <v>63</v>
      </c>
      <c r="L677" s="1102" t="s">
        <v>37</v>
      </c>
      <c r="M677" s="1012"/>
      <c r="N677" s="1012"/>
      <c r="O677" s="1012"/>
      <c r="P677" s="1012"/>
      <c r="Q677" s="1012"/>
      <c r="R677" s="1627"/>
      <c r="S677" s="1012"/>
      <c r="T677" s="1012"/>
      <c r="U677" s="1012"/>
      <c r="V677" s="208" t="str">
        <f t="shared" si="91"/>
        <v>kWh
Annual Savings</v>
      </c>
      <c r="W677" s="1103">
        <v>100.82956618593137</v>
      </c>
      <c r="X677" s="187">
        <v>100.82956618593137</v>
      </c>
      <c r="Y677" s="85">
        <v>100.83</v>
      </c>
      <c r="Z677" s="85">
        <v>100.83</v>
      </c>
      <c r="AA677" s="85">
        <v>100.83</v>
      </c>
      <c r="AB677" s="85">
        <v>100.83</v>
      </c>
      <c r="AC677" s="208"/>
      <c r="AD677" s="208"/>
      <c r="AE677" s="208"/>
      <c r="AF677" s="208"/>
      <c r="AG677" s="208"/>
      <c r="AH677" s="211"/>
      <c r="AK677" s="982"/>
      <c r="BB677" s="71">
        <f>(BD677+BD678)/(BE677+BE678)</f>
        <v>0.36664321827502205</v>
      </c>
      <c r="BC677" s="1011" t="str">
        <f t="shared" si="92"/>
        <v>Cooling RES 2 Year EUL</v>
      </c>
      <c r="BD677" s="148">
        <f>(INDEX('Avoided Cost Benefits'!$C$4:$C$857,MATCH(BC677,'Avoided Cost Benefits'!$A$4:$A$857,0)))*F677</f>
        <v>17.254119287708779</v>
      </c>
      <c r="BE677" s="73">
        <f t="shared" si="93"/>
        <v>59.462010382255777</v>
      </c>
    </row>
    <row r="678" spans="1:57" s="993" customFormat="1" x14ac:dyDescent="0.25">
      <c r="A678" s="1012"/>
      <c r="B678" s="1823"/>
      <c r="C678" s="1323" t="s">
        <v>1794</v>
      </c>
      <c r="D678" s="1756" t="s">
        <v>1515</v>
      </c>
      <c r="E678" s="1885" t="s">
        <v>1795</v>
      </c>
      <c r="F678" s="1818">
        <f>ROUND((G708*G710*(1/G714-1/G718)/G707),2)</f>
        <v>80.11</v>
      </c>
      <c r="G678" s="1756" t="s">
        <v>691</v>
      </c>
      <c r="H678" s="202">
        <f>VLOOKUP(G678,'CP FACTORS'!$A$3:$B$38, 2, FALSE)</f>
        <v>0</v>
      </c>
      <c r="I678" s="1733">
        <f t="shared" si="90"/>
        <v>0</v>
      </c>
      <c r="J678" s="1101">
        <f t="shared" si="89"/>
        <v>2</v>
      </c>
      <c r="K678" s="1415">
        <v>0</v>
      </c>
      <c r="L678" s="517" t="s">
        <v>37</v>
      </c>
      <c r="M678" s="1012"/>
      <c r="N678" s="1012"/>
      <c r="O678" s="1012"/>
      <c r="P678" s="1012"/>
      <c r="Q678" s="1012"/>
      <c r="R678" s="1627"/>
      <c r="S678" s="1012"/>
      <c r="T678" s="1012"/>
      <c r="U678" s="1012"/>
      <c r="V678" s="208" t="str">
        <f t="shared" si="91"/>
        <v>kWh
Annual Savings</v>
      </c>
      <c r="W678" s="1103">
        <v>107.57620062894772</v>
      </c>
      <c r="X678" s="187">
        <v>107.57620062894772</v>
      </c>
      <c r="Y678" s="84">
        <v>80.11</v>
      </c>
      <c r="Z678" s="85">
        <v>80.11</v>
      </c>
      <c r="AA678" s="85">
        <v>80.11</v>
      </c>
      <c r="AB678" s="85">
        <v>80.11</v>
      </c>
      <c r="AC678" s="208"/>
      <c r="AD678" s="208"/>
      <c r="AE678" s="208"/>
      <c r="AF678" s="208"/>
      <c r="AG678" s="208"/>
      <c r="AH678" s="211"/>
      <c r="AK678" s="982"/>
      <c r="BB678" s="1087"/>
      <c r="BC678" s="1104" t="str">
        <f t="shared" si="92"/>
        <v>Heating RES 2 Year EUL</v>
      </c>
      <c r="BD678" s="148">
        <f>(INDEX('Avoided Cost Benefits'!$C$4:$C$857,MATCH(BC678,'Avoided Cost Benefits'!$A$4:$A$857,0)))*F678</f>
        <v>4.5472235639442555</v>
      </c>
      <c r="BE678" s="73">
        <f t="shared" si="93"/>
        <v>0</v>
      </c>
    </row>
    <row r="679" spans="1:57" s="993" customFormat="1" x14ac:dyDescent="0.25">
      <c r="A679" s="1012"/>
      <c r="B679" s="1823"/>
      <c r="C679" s="1323" t="s">
        <v>1796</v>
      </c>
      <c r="D679" s="1756" t="s">
        <v>1518</v>
      </c>
      <c r="E679" s="489" t="s">
        <v>1797</v>
      </c>
      <c r="F679" s="1818">
        <f>ROUND(($G$695*$G$698*(1/$G$701-1/$G$705)/$G$707),2)</f>
        <v>60.25</v>
      </c>
      <c r="G679" s="1756" t="s">
        <v>690</v>
      </c>
      <c r="H679" s="202">
        <f>VLOOKUP(G679,'CP FACTORS'!$A$3:$B$38, 2, FALSE)</f>
        <v>9.4741810000000004E-4</v>
      </c>
      <c r="I679" s="1733">
        <f t="shared" si="90"/>
        <v>5.7082000000000001E-2</v>
      </c>
      <c r="J679" s="1101">
        <f t="shared" si="89"/>
        <v>2</v>
      </c>
      <c r="K679" s="1415">
        <f>$G$723</f>
        <v>63</v>
      </c>
      <c r="L679" s="1102" t="s">
        <v>37</v>
      </c>
      <c r="M679" s="1012"/>
      <c r="N679" s="1012"/>
      <c r="O679" s="1012"/>
      <c r="P679" s="1012"/>
      <c r="Q679" s="1012"/>
      <c r="R679" s="1627"/>
      <c r="S679" s="1012"/>
      <c r="T679" s="1012"/>
      <c r="U679" s="1012"/>
      <c r="V679" s="208" t="str">
        <f t="shared" si="91"/>
        <v>kWh
Annual Savings</v>
      </c>
      <c r="W679" s="1103">
        <v>65.539218020855401</v>
      </c>
      <c r="X679" s="187">
        <v>65.539218020855401</v>
      </c>
      <c r="Y679" s="84">
        <v>60.25</v>
      </c>
      <c r="Z679" s="85">
        <v>60.25</v>
      </c>
      <c r="AA679" s="85">
        <v>60.25</v>
      </c>
      <c r="AB679" s="85">
        <v>60.25</v>
      </c>
      <c r="AC679" s="208"/>
      <c r="AD679" s="208"/>
      <c r="AE679" s="208"/>
      <c r="AF679" s="208"/>
      <c r="AG679" s="208"/>
      <c r="AH679" s="211"/>
      <c r="AK679" s="982"/>
      <c r="BB679" s="71">
        <f>(BD679+BD680)/(BE679+BE680)</f>
        <v>0.2190851309322446</v>
      </c>
      <c r="BC679" s="1011" t="str">
        <f t="shared" si="92"/>
        <v>Cooling RES 2 Year EUL</v>
      </c>
      <c r="BD679" s="148">
        <f>(INDEX('Avoided Cost Benefits'!$C$4:$C$857,MATCH(BC679,'Avoided Cost Benefits'!$A$4:$A$857,0)))*F679</f>
        <v>10.310033592030685</v>
      </c>
      <c r="BE679" s="73">
        <f t="shared" si="93"/>
        <v>59.462010382255777</v>
      </c>
    </row>
    <row r="680" spans="1:57" s="993" customFormat="1" x14ac:dyDescent="0.25">
      <c r="A680" s="1012"/>
      <c r="B680" s="1823"/>
      <c r="C680" s="1323" t="s">
        <v>1796</v>
      </c>
      <c r="D680" s="1756" t="s">
        <v>1518</v>
      </c>
      <c r="E680" s="1885" t="s">
        <v>1797</v>
      </c>
      <c r="F680" s="1818">
        <f>ROUND(($G$708*$G$711*(1/$G$714-1/$G$718)/$G$707),2)</f>
        <v>47.87</v>
      </c>
      <c r="G680" s="1756" t="s">
        <v>691</v>
      </c>
      <c r="H680" s="202">
        <f>VLOOKUP(G680,'CP FACTORS'!$A$3:$B$38, 2, FALSE)</f>
        <v>0</v>
      </c>
      <c r="I680" s="1733">
        <f t="shared" si="90"/>
        <v>0</v>
      </c>
      <c r="J680" s="1101">
        <f t="shared" si="89"/>
        <v>2</v>
      </c>
      <c r="K680" s="1415">
        <v>0</v>
      </c>
      <c r="L680" s="517" t="s">
        <v>37</v>
      </c>
      <c r="M680" s="1012"/>
      <c r="N680" s="1012"/>
      <c r="O680" s="1012"/>
      <c r="P680" s="1012"/>
      <c r="Q680" s="1012"/>
      <c r="R680" s="1627"/>
      <c r="S680" s="1012"/>
      <c r="T680" s="1012"/>
      <c r="U680" s="1012"/>
      <c r="V680" s="208" t="str">
        <f t="shared" si="91"/>
        <v>kWh
Annual Savings</v>
      </c>
      <c r="W680" s="1103">
        <v>69.924530408816025</v>
      </c>
      <c r="X680" s="187">
        <v>69.924530408816025</v>
      </c>
      <c r="Y680" s="84">
        <v>47.87</v>
      </c>
      <c r="Z680" s="85">
        <v>47.87</v>
      </c>
      <c r="AA680" s="85">
        <v>47.87</v>
      </c>
      <c r="AB680" s="85">
        <v>47.87</v>
      </c>
      <c r="AC680" s="208"/>
      <c r="AD680" s="208"/>
      <c r="AE680" s="208"/>
      <c r="AF680" s="208"/>
      <c r="AG680" s="208"/>
      <c r="AH680" s="211"/>
      <c r="AK680" s="982"/>
      <c r="BB680" s="1087"/>
      <c r="BC680" s="1104" t="str">
        <f t="shared" si="92"/>
        <v>Heating RES 2 Year EUL</v>
      </c>
      <c r="BD680" s="148">
        <f>(INDEX('Avoided Cost Benefits'!$C$4:$C$857,MATCH(BC680,'Avoided Cost Benefits'!$A$4:$A$857,0)))*F680</f>
        <v>2.7172087380603109</v>
      </c>
      <c r="BE680" s="73">
        <f t="shared" si="93"/>
        <v>0</v>
      </c>
    </row>
    <row r="681" spans="1:57" s="993" customFormat="1" x14ac:dyDescent="0.25">
      <c r="A681" s="1012"/>
      <c r="B681" s="1823"/>
      <c r="C681" s="1323" t="s">
        <v>1798</v>
      </c>
      <c r="D681" s="1756" t="s">
        <v>1521</v>
      </c>
      <c r="E681" s="742" t="str">
        <f>CONCATENATE(E679,"_CompE")</f>
        <v>HP tune-up / Indoor Coil (Evaporator) Cleaning MF_CompE</v>
      </c>
      <c r="F681" s="1818">
        <f>ROUND(($G$696*$G$698*(1/$G$701-1/$G$705)/$G$707),2)</f>
        <v>43.82</v>
      </c>
      <c r="G681" s="1756" t="s">
        <v>690</v>
      </c>
      <c r="H681" s="202">
        <f>VLOOKUP(G681,'CP FACTORS'!$A$3:$B$38, 2, FALSE)</f>
        <v>9.4741810000000004E-4</v>
      </c>
      <c r="I681" s="1733">
        <f t="shared" si="90"/>
        <v>4.1515999999999997E-2</v>
      </c>
      <c r="J681" s="1101">
        <f t="shared" si="89"/>
        <v>2</v>
      </c>
      <c r="K681" s="1415">
        <f>$G$723</f>
        <v>63</v>
      </c>
      <c r="L681" s="1102" t="s">
        <v>37</v>
      </c>
      <c r="M681" s="1012"/>
      <c r="N681" s="1012"/>
      <c r="O681" s="1012"/>
      <c r="P681" s="1012"/>
      <c r="Q681" s="1012"/>
      <c r="R681" s="1627"/>
      <c r="S681" s="1012"/>
      <c r="T681" s="1012"/>
      <c r="U681" s="1012"/>
      <c r="V681" s="208" t="str">
        <f t="shared" si="91"/>
        <v>kWh
Annual Savings</v>
      </c>
      <c r="W681" s="1103"/>
      <c r="X681" s="187"/>
      <c r="Y681" s="84">
        <v>43.82</v>
      </c>
      <c r="Z681" s="85">
        <v>43.82</v>
      </c>
      <c r="AA681" s="85">
        <v>43.82</v>
      </c>
      <c r="AB681" s="85">
        <v>43.82</v>
      </c>
      <c r="AC681" s="208"/>
      <c r="AD681" s="208"/>
      <c r="AE681" s="208"/>
      <c r="AF681" s="208"/>
      <c r="AG681" s="208"/>
      <c r="AH681" s="211"/>
      <c r="AK681" s="982"/>
      <c r="BB681" s="71">
        <f>(BD681+BD682)/(BE681+BE682)</f>
        <v>0.14168503866104951</v>
      </c>
      <c r="BC681" s="1011" t="str">
        <f>CONCATENATE(G681," ",J681," Year EUL")</f>
        <v>Cooling RES 2 Year EUL</v>
      </c>
      <c r="BD681" s="148">
        <f>(INDEX('Avoided Cost Benefits'!$C$4:$C$857,MATCH(BC681,'Avoided Cost Benefits'!$A$4:$A$857,0)))*F681</f>
        <v>7.4985173776395788</v>
      </c>
      <c r="BE681" s="73">
        <f>K681/(1.0595^(2020-2019))</f>
        <v>59.462010382255777</v>
      </c>
    </row>
    <row r="682" spans="1:57" s="993" customFormat="1" x14ac:dyDescent="0.25">
      <c r="A682" s="1012"/>
      <c r="B682" s="1823"/>
      <c r="C682" s="1323" t="s">
        <v>1798</v>
      </c>
      <c r="D682" s="1756" t="s">
        <v>1521</v>
      </c>
      <c r="E682" s="750" t="str">
        <f>CONCATENATE(E680,"_CompE")</f>
        <v>HP tune-up / Indoor Coil (Evaporator) Cleaning MF_CompE</v>
      </c>
      <c r="F682" s="1818">
        <f>ROUND(($G$709*$G$711*(1/$G$714-1/$G$718)/$G$707),2)</f>
        <v>16.32</v>
      </c>
      <c r="G682" s="1756" t="s">
        <v>691</v>
      </c>
      <c r="H682" s="202">
        <f>VLOOKUP(G682,'CP FACTORS'!$A$3:$B$38, 2, FALSE)</f>
        <v>0</v>
      </c>
      <c r="I682" s="1733">
        <f t="shared" si="90"/>
        <v>0</v>
      </c>
      <c r="J682" s="1101">
        <f t="shared" si="89"/>
        <v>2</v>
      </c>
      <c r="K682" s="1415">
        <v>0</v>
      </c>
      <c r="L682" s="517" t="s">
        <v>37</v>
      </c>
      <c r="M682" s="1012"/>
      <c r="N682" s="1012"/>
      <c r="O682" s="1012"/>
      <c r="P682" s="1012"/>
      <c r="Q682" s="1012"/>
      <c r="R682" s="1627"/>
      <c r="S682" s="1012"/>
      <c r="T682" s="1012"/>
      <c r="U682" s="1012"/>
      <c r="V682" s="208" t="str">
        <f t="shared" si="91"/>
        <v>kWh
Annual Savings</v>
      </c>
      <c r="W682" s="1103"/>
      <c r="X682" s="187"/>
      <c r="Y682" s="84">
        <v>16.32</v>
      </c>
      <c r="Z682" s="85">
        <v>16.32</v>
      </c>
      <c r="AA682" s="85">
        <v>16.32</v>
      </c>
      <c r="AB682" s="85">
        <v>16.32</v>
      </c>
      <c r="AC682" s="208"/>
      <c r="AD682" s="208"/>
      <c r="AE682" s="208"/>
      <c r="AF682" s="208"/>
      <c r="AG682" s="208"/>
      <c r="AH682" s="211"/>
      <c r="AK682" s="982"/>
      <c r="BB682" s="1087"/>
      <c r="BC682" s="1104" t="str">
        <f>CONCATENATE(G682," ",J682," Year EUL")</f>
        <v>Heating RES 2 Year EUL</v>
      </c>
      <c r="BD682" s="148">
        <f>(INDEX('Avoided Cost Benefits'!$C$4:$C$857,MATCH(BC682,'Avoided Cost Benefits'!$A$4:$A$857,0)))*F682</f>
        <v>0.92635986223405642</v>
      </c>
      <c r="BE682" s="73">
        <f>K682/(1.0595^(2020-2019))</f>
        <v>0</v>
      </c>
    </row>
    <row r="683" spans="1:57" s="993" customFormat="1" x14ac:dyDescent="0.25">
      <c r="A683" s="1012"/>
      <c r="B683" s="1823"/>
      <c r="C683" s="1323" t="s">
        <v>1799</v>
      </c>
      <c r="D683" s="1756" t="s">
        <v>1515</v>
      </c>
      <c r="E683" s="489" t="s">
        <v>1800</v>
      </c>
      <c r="F683" s="1818">
        <f>ROUND((G695*G697*(1/G702-1/G706)/G707),2)</f>
        <v>201.65</v>
      </c>
      <c r="G683" s="1756" t="s">
        <v>690</v>
      </c>
      <c r="H683" s="202">
        <f>VLOOKUP(G683,'CP FACTORS'!$A$3:$B$38, 2, FALSE)</f>
        <v>9.4741810000000004E-4</v>
      </c>
      <c r="I683" s="1733">
        <f t="shared" si="90"/>
        <v>0.19104699999999999</v>
      </c>
      <c r="J683" s="1101">
        <f t="shared" si="89"/>
        <v>2</v>
      </c>
      <c r="K683" s="1415">
        <f>$G$724</f>
        <v>31</v>
      </c>
      <c r="L683" s="1102" t="s">
        <v>37</v>
      </c>
      <c r="M683" s="1012"/>
      <c r="N683" s="1012"/>
      <c r="O683" s="1012"/>
      <c r="P683" s="1012"/>
      <c r="Q683" s="1012"/>
      <c r="R683" s="1627"/>
      <c r="S683" s="1012"/>
      <c r="T683" s="1012"/>
      <c r="U683" s="1012"/>
      <c r="V683" s="208" t="str">
        <f t="shared" si="91"/>
        <v>kWh
Annual Savings</v>
      </c>
      <c r="W683" s="1103">
        <v>201.65421409635425</v>
      </c>
      <c r="X683" s="187">
        <v>201.65421409635425</v>
      </c>
      <c r="Y683" s="85">
        <v>201.65</v>
      </c>
      <c r="Z683" s="85">
        <v>201.65</v>
      </c>
      <c r="AA683" s="85">
        <v>201.65</v>
      </c>
      <c r="AB683" s="85">
        <v>201.65</v>
      </c>
      <c r="AC683" s="208"/>
      <c r="AD683" s="208"/>
      <c r="AE683" s="208"/>
      <c r="AF683" s="208"/>
      <c r="AG683" s="208"/>
      <c r="AH683" s="211"/>
      <c r="AK683" s="982"/>
      <c r="BB683" s="71">
        <f>(BD683+BD684)/(BE683+BE684)</f>
        <v>1.4993449285619023</v>
      </c>
      <c r="BC683" s="1011" t="str">
        <f t="shared" si="92"/>
        <v>Cooling RES 2 Year EUL</v>
      </c>
      <c r="BD683" s="148">
        <f>(INDEX('Avoided Cost Benefits'!$C$4:$C$857,MATCH(BC683,'Avoided Cost Benefits'!$A$4:$A$857,0)))*F683</f>
        <v>34.506527366522619</v>
      </c>
      <c r="BE683" s="73">
        <f t="shared" si="93"/>
        <v>29.259084473808397</v>
      </c>
    </row>
    <row r="684" spans="1:57" s="993" customFormat="1" x14ac:dyDescent="0.25">
      <c r="A684" s="1012"/>
      <c r="B684" s="1823"/>
      <c r="C684" s="1323" t="s">
        <v>1799</v>
      </c>
      <c r="D684" s="1756" t="s">
        <v>1515</v>
      </c>
      <c r="E684" s="1885" t="s">
        <v>1800</v>
      </c>
      <c r="F684" s="1818">
        <f>ROUND((G708*G710*(1/G715-1/G719)/G707),2)</f>
        <v>164.95</v>
      </c>
      <c r="G684" s="1756" t="s">
        <v>691</v>
      </c>
      <c r="H684" s="202">
        <f>VLOOKUP(G684,'CP FACTORS'!$A$3:$B$38, 2, FALSE)</f>
        <v>0</v>
      </c>
      <c r="I684" s="1733">
        <f t="shared" si="90"/>
        <v>0</v>
      </c>
      <c r="J684" s="1101">
        <f t="shared" si="89"/>
        <v>2</v>
      </c>
      <c r="K684" s="1415">
        <v>0</v>
      </c>
      <c r="L684" s="517" t="s">
        <v>37</v>
      </c>
      <c r="M684" s="1012"/>
      <c r="N684" s="1012"/>
      <c r="O684" s="1012"/>
      <c r="P684" s="1012"/>
      <c r="Q684" s="1012"/>
      <c r="R684" s="1627"/>
      <c r="S684" s="1012"/>
      <c r="T684" s="1012"/>
      <c r="U684" s="1012"/>
      <c r="V684" s="208" t="str">
        <f t="shared" si="91"/>
        <v>kWh
Annual Savings</v>
      </c>
      <c r="W684" s="1103">
        <v>221.50760781464643</v>
      </c>
      <c r="X684" s="187">
        <v>221.50760781464643</v>
      </c>
      <c r="Y684" s="84">
        <v>164.95</v>
      </c>
      <c r="Z684" s="85">
        <v>164.95</v>
      </c>
      <c r="AA684" s="85">
        <v>164.95</v>
      </c>
      <c r="AB684" s="85">
        <v>164.95</v>
      </c>
      <c r="AC684" s="208"/>
      <c r="AD684" s="208"/>
      <c r="AE684" s="208"/>
      <c r="AF684" s="208"/>
      <c r="AG684" s="208"/>
      <c r="AH684" s="211"/>
      <c r="AK684" s="982"/>
      <c r="BB684" s="1087"/>
      <c r="BC684" s="1104" t="str">
        <f t="shared" si="92"/>
        <v>Heating RES 2 Year EUL</v>
      </c>
      <c r="BD684" s="148">
        <f>(INDEX('Avoided Cost Benefits'!$C$4:$C$857,MATCH(BC684,'Avoided Cost Benefits'!$A$4:$A$857,0)))*F684</f>
        <v>9.3629325536462975</v>
      </c>
      <c r="BE684" s="73">
        <f t="shared" si="93"/>
        <v>0</v>
      </c>
    </row>
    <row r="685" spans="1:57" s="993" customFormat="1" x14ac:dyDescent="0.25">
      <c r="A685" s="1012"/>
      <c r="B685" s="1823"/>
      <c r="C685" s="1323" t="s">
        <v>1801</v>
      </c>
      <c r="D685" s="1756" t="s">
        <v>1518</v>
      </c>
      <c r="E685" s="489" t="s">
        <v>1802</v>
      </c>
      <c r="F685" s="1818">
        <f>ROUND(($G$695*$G$698*(1/$G$702-1/$G$706)/$G$707),2)</f>
        <v>120.5</v>
      </c>
      <c r="G685" s="1756" t="s">
        <v>690</v>
      </c>
      <c r="H685" s="202">
        <f>VLOOKUP(G685,'CP FACTORS'!$A$3:$B$38, 2, FALSE)</f>
        <v>9.4741810000000004E-4</v>
      </c>
      <c r="I685" s="1733">
        <f t="shared" si="90"/>
        <v>0.114164</v>
      </c>
      <c r="J685" s="1101">
        <f t="shared" si="89"/>
        <v>2</v>
      </c>
      <c r="K685" s="1415">
        <f>$G$724</f>
        <v>31</v>
      </c>
      <c r="L685" s="1102" t="s">
        <v>37</v>
      </c>
      <c r="M685" s="1012"/>
      <c r="N685" s="1012"/>
      <c r="O685" s="1012"/>
      <c r="P685" s="1012"/>
      <c r="Q685" s="1012"/>
      <c r="R685" s="1627"/>
      <c r="S685" s="1012"/>
      <c r="T685" s="1012"/>
      <c r="U685" s="1012"/>
      <c r="V685" s="208" t="str">
        <f t="shared" si="91"/>
        <v>kWh
Annual Savings</v>
      </c>
      <c r="W685" s="1103">
        <v>131.07523916263028</v>
      </c>
      <c r="X685" s="187">
        <v>131.07523916263028</v>
      </c>
      <c r="Y685" s="84">
        <v>120.5</v>
      </c>
      <c r="Z685" s="85">
        <v>120.5</v>
      </c>
      <c r="AA685" s="85">
        <v>120.5</v>
      </c>
      <c r="AB685" s="85">
        <v>120.5</v>
      </c>
      <c r="AC685" s="208"/>
      <c r="AD685" s="208"/>
      <c r="AE685" s="208"/>
      <c r="AF685" s="208"/>
      <c r="AG685" s="208"/>
      <c r="AH685" s="211"/>
      <c r="AK685" s="982"/>
      <c r="BB685" s="71">
        <f>(BD685+BD686)/(BE685+BE686)</f>
        <v>0.89596521180051769</v>
      </c>
      <c r="BC685" s="1011" t="str">
        <f t="shared" si="92"/>
        <v>Cooling RES 2 Year EUL</v>
      </c>
      <c r="BD685" s="148">
        <f>(INDEX('Avoided Cost Benefits'!$C$4:$C$857,MATCH(BC685,'Avoided Cost Benefits'!$A$4:$A$857,0)))*F685</f>
        <v>20.620067184061369</v>
      </c>
      <c r="BE685" s="73">
        <f t="shared" si="93"/>
        <v>29.259084473808397</v>
      </c>
    </row>
    <row r="686" spans="1:57" s="993" customFormat="1" x14ac:dyDescent="0.25">
      <c r="A686" s="1012"/>
      <c r="B686" s="1823"/>
      <c r="C686" s="1323" t="s">
        <v>1801</v>
      </c>
      <c r="D686" s="1756" t="s">
        <v>1518</v>
      </c>
      <c r="E686" s="1885" t="s">
        <v>1802</v>
      </c>
      <c r="F686" s="1818">
        <f>ROUND(($G$708*$G$711*(1/$G$715-1/$G$719)/$G$707),2)</f>
        <v>98.57</v>
      </c>
      <c r="G686" s="1756" t="s">
        <v>691</v>
      </c>
      <c r="H686" s="202">
        <f>VLOOKUP(G686,'CP FACTORS'!$A$3:$B$38, 2, FALSE)</f>
        <v>0</v>
      </c>
      <c r="I686" s="1733">
        <f t="shared" si="90"/>
        <v>0</v>
      </c>
      <c r="J686" s="1101">
        <f t="shared" si="89"/>
        <v>2</v>
      </c>
      <c r="K686" s="1415">
        <v>0</v>
      </c>
      <c r="L686" s="517" t="s">
        <v>37</v>
      </c>
      <c r="M686" s="1012"/>
      <c r="N686" s="1012"/>
      <c r="O686" s="1012"/>
      <c r="P686" s="1012"/>
      <c r="Q686" s="1012"/>
      <c r="R686" s="1627"/>
      <c r="S686" s="1012"/>
      <c r="T686" s="1012"/>
      <c r="U686" s="1012"/>
      <c r="V686" s="208" t="str">
        <f t="shared" si="91"/>
        <v>kWh
Annual Savings</v>
      </c>
      <c r="W686" s="1106">
        <v>143.97994507952021</v>
      </c>
      <c r="X686" s="187">
        <v>143.97994507952021</v>
      </c>
      <c r="Y686" s="84">
        <v>98.57</v>
      </c>
      <c r="Z686" s="85">
        <v>98.57</v>
      </c>
      <c r="AA686" s="85">
        <v>98.57</v>
      </c>
      <c r="AB686" s="85">
        <v>98.57</v>
      </c>
      <c r="AC686" s="208"/>
      <c r="AD686" s="208"/>
      <c r="AE686" s="208"/>
      <c r="AF686" s="208"/>
      <c r="AG686" s="208"/>
      <c r="AH686" s="211"/>
      <c r="AK686" s="982"/>
      <c r="BB686" s="1087"/>
      <c r="BC686" s="1104" t="str">
        <f t="shared" si="92"/>
        <v>Heating RES 2 Year EUL</v>
      </c>
      <c r="BD686" s="148">
        <f>(INDEX('Avoided Cost Benefits'!$C$4:$C$857,MATCH(BC686,'Avoided Cost Benefits'!$A$4:$A$857,0)))*F686</f>
        <v>5.5950546336036107</v>
      </c>
      <c r="BE686" s="73">
        <f t="shared" si="93"/>
        <v>0</v>
      </c>
    </row>
    <row r="687" spans="1:57" s="993" customFormat="1" x14ac:dyDescent="0.25">
      <c r="A687" s="1012"/>
      <c r="B687" s="1823"/>
      <c r="C687" s="4143" t="s">
        <v>3294</v>
      </c>
      <c r="D687" s="1756" t="s">
        <v>1521</v>
      </c>
      <c r="E687" s="742" t="str">
        <f>CONCATENATE(E685,"_CompE")</f>
        <v>HP tune-up / Outdoor Coil (Condenser) Cleaning MF_CompE</v>
      </c>
      <c r="F687" s="1818">
        <f>ROUND(($G$696*$G$698*(1/$G$702-1/$G$706)/$G$707),2)</f>
        <v>87.64</v>
      </c>
      <c r="G687" s="1756" t="s">
        <v>690</v>
      </c>
      <c r="H687" s="202">
        <f>VLOOKUP(G687,'CP FACTORS'!$A$3:$B$38, 2, FALSE)</f>
        <v>9.4741810000000004E-4</v>
      </c>
      <c r="I687" s="1733">
        <f t="shared" si="90"/>
        <v>8.3031999999999995E-2</v>
      </c>
      <c r="J687" s="1101">
        <f t="shared" si="89"/>
        <v>2</v>
      </c>
      <c r="K687" s="1415">
        <f>$G$724</f>
        <v>31</v>
      </c>
      <c r="L687" s="1102" t="s">
        <v>37</v>
      </c>
      <c r="M687" s="1012"/>
      <c r="N687" s="1012"/>
      <c r="O687" s="1012"/>
      <c r="P687" s="1012"/>
      <c r="Q687" s="1012"/>
      <c r="R687" s="1627"/>
      <c r="S687" s="1012"/>
      <c r="T687" s="1012"/>
      <c r="U687" s="1012"/>
      <c r="V687" s="208" t="str">
        <f t="shared" si="91"/>
        <v>kWh
Annual Savings</v>
      </c>
      <c r="W687" s="1103"/>
      <c r="X687" s="187"/>
      <c r="Y687" s="84">
        <v>87.64</v>
      </c>
      <c r="Z687" s="85">
        <v>87.64</v>
      </c>
      <c r="AA687" s="85">
        <v>87.64</v>
      </c>
      <c r="AB687" s="85">
        <v>87.64</v>
      </c>
      <c r="AC687" s="208"/>
      <c r="AD687" s="208"/>
      <c r="AE687" s="208"/>
      <c r="AF687" s="208"/>
      <c r="AG687" s="208"/>
      <c r="AH687" s="211"/>
      <c r="AK687" s="982"/>
      <c r="BB687" s="71">
        <f>(BD687+BD688)/(BE687+BE688)</f>
        <v>0.57774351249716316</v>
      </c>
      <c r="BC687" s="1011" t="str">
        <f>CONCATENATE(G687," ",J687," Year EUL")</f>
        <v>Cooling RES 2 Year EUL</v>
      </c>
      <c r="BD687" s="148">
        <f>(INDEX('Avoided Cost Benefits'!$C$4:$C$857,MATCH(BC687,'Avoided Cost Benefits'!$A$4:$A$857,0)))*F687</f>
        <v>14.997034755279158</v>
      </c>
      <c r="BE687" s="73">
        <f>K687/(1.0595^(2020-2019))</f>
        <v>29.259084473808397</v>
      </c>
    </row>
    <row r="688" spans="1:57" s="993" customFormat="1" x14ac:dyDescent="0.25">
      <c r="A688" s="1012"/>
      <c r="B688" s="1823"/>
      <c r="C688" s="4143" t="s">
        <v>3294</v>
      </c>
      <c r="D688" s="1756" t="s">
        <v>1521</v>
      </c>
      <c r="E688" s="750" t="str">
        <f>CONCATENATE(E686,"_CompE")</f>
        <v>HP tune-up / Outdoor Coil (Condenser) Cleaning MF_CompE</v>
      </c>
      <c r="F688" s="1818">
        <f>ROUND(($G$709*$G$711*(1/$G$715-1/$G$719)/$G$707),2)</f>
        <v>33.6</v>
      </c>
      <c r="G688" s="1756" t="s">
        <v>691</v>
      </c>
      <c r="H688" s="202">
        <f>VLOOKUP(G688,'CP FACTORS'!$A$3:$B$38, 2, FALSE)</f>
        <v>0</v>
      </c>
      <c r="I688" s="1733">
        <f t="shared" si="90"/>
        <v>0</v>
      </c>
      <c r="J688" s="1101">
        <f t="shared" si="89"/>
        <v>2</v>
      </c>
      <c r="K688" s="1415">
        <v>0</v>
      </c>
      <c r="L688" s="517" t="s">
        <v>37</v>
      </c>
      <c r="M688" s="1012"/>
      <c r="N688" s="1012"/>
      <c r="O688" s="1012"/>
      <c r="P688" s="1012"/>
      <c r="Q688" s="1012"/>
      <c r="R688" s="1627"/>
      <c r="S688" s="1012"/>
      <c r="T688" s="1012"/>
      <c r="U688" s="1012"/>
      <c r="V688" s="208" t="str">
        <f t="shared" si="91"/>
        <v>kWh
Annual Savings</v>
      </c>
      <c r="W688" s="1106"/>
      <c r="X688" s="187"/>
      <c r="Y688" s="84">
        <v>33.6</v>
      </c>
      <c r="Z688" s="85">
        <v>33.6</v>
      </c>
      <c r="AA688" s="85">
        <v>33.6</v>
      </c>
      <c r="AB688" s="85">
        <v>33.6</v>
      </c>
      <c r="AC688" s="208"/>
      <c r="AD688" s="208"/>
      <c r="AE688" s="208"/>
      <c r="AF688" s="208"/>
      <c r="AG688" s="208"/>
      <c r="AH688" s="211"/>
      <c r="AK688" s="982"/>
      <c r="BB688" s="1089"/>
      <c r="BC688" s="1104" t="str">
        <f>CONCATENATE(G688," ",J688," Year EUL")</f>
        <v>Heating RES 2 Year EUL</v>
      </c>
      <c r="BD688" s="153">
        <f>(INDEX('Avoided Cost Benefits'!$C$4:$C$857,MATCH(BC688,'Avoided Cost Benefits'!$A$4:$A$857,0)))*F688</f>
        <v>1.9072114810701162</v>
      </c>
      <c r="BE688" s="75">
        <f>K688/(1.0595^(2020-2019))</f>
        <v>0</v>
      </c>
    </row>
    <row r="689" spans="1:54" s="43" customFormat="1" outlineLevel="1" x14ac:dyDescent="0.25">
      <c r="A689" s="198"/>
      <c r="B689" s="198"/>
      <c r="C689" s="196"/>
      <c r="D689" s="197"/>
      <c r="E689" s="197"/>
      <c r="F689" s="1819"/>
      <c r="G689" s="198"/>
      <c r="H689" s="198"/>
      <c r="I689" s="198"/>
      <c r="J689" s="1136" t="s">
        <v>1803</v>
      </c>
      <c r="K689" s="198"/>
      <c r="L689" s="198"/>
      <c r="M689" s="198"/>
      <c r="N689" s="157"/>
      <c r="O689" s="157"/>
      <c r="P689" s="157"/>
      <c r="Q689" s="157"/>
      <c r="R689" s="198"/>
      <c r="S689" s="198"/>
      <c r="T689" s="198"/>
      <c r="U689" s="198"/>
      <c r="Y689" s="1107"/>
      <c r="AK689" s="982"/>
      <c r="BB689" s="1099"/>
    </row>
    <row r="690" spans="1:54" s="43" customFormat="1" outlineLevel="1" x14ac:dyDescent="0.25">
      <c r="A690" s="198"/>
      <c r="B690" s="198"/>
      <c r="C690" s="196"/>
      <c r="D690" s="222" t="s">
        <v>571</v>
      </c>
      <c r="E690" s="370"/>
      <c r="F690" s="1820"/>
      <c r="G690" s="198"/>
      <c r="H690" s="198"/>
      <c r="I690" s="198"/>
      <c r="J690" s="198"/>
      <c r="K690" s="198"/>
      <c r="L690" s="198"/>
      <c r="M690" s="198"/>
      <c r="N690" s="1477"/>
      <c r="O690" s="1477"/>
      <c r="P690" s="1477"/>
      <c r="Q690" s="1477"/>
      <c r="R690" s="1477"/>
      <c r="S690" s="1477"/>
      <c r="T690" s="1477"/>
      <c r="U690" s="1477"/>
      <c r="V690" s="42"/>
      <c r="Y690" s="1107"/>
      <c r="AK690" s="982"/>
      <c r="BB690" s="1099"/>
    </row>
    <row r="691" spans="1:54" s="43" customFormat="1" outlineLevel="1" x14ac:dyDescent="0.25">
      <c r="A691" s="198"/>
      <c r="B691" s="198"/>
      <c r="C691" s="196"/>
      <c r="D691" s="1311"/>
      <c r="E691" s="370"/>
      <c r="F691" s="1820"/>
      <c r="G691" s="198"/>
      <c r="H691" s="198"/>
      <c r="I691" s="198"/>
      <c r="J691" s="198"/>
      <c r="K691" s="198"/>
      <c r="L691" s="198"/>
      <c r="M691" s="198"/>
      <c r="N691" s="198"/>
      <c r="O691" s="1136"/>
      <c r="P691" s="1136"/>
      <c r="Q691" s="1136"/>
      <c r="R691" s="1136"/>
      <c r="S691" s="1136"/>
      <c r="T691" s="1136"/>
      <c r="U691" s="1136"/>
      <c r="V691" s="42"/>
      <c r="Y691" s="1107"/>
      <c r="AK691" s="982"/>
      <c r="BB691" s="1099"/>
    </row>
    <row r="692" spans="1:54" s="43" customFormat="1" outlineLevel="1" x14ac:dyDescent="0.25">
      <c r="A692" s="198"/>
      <c r="B692" s="198"/>
      <c r="C692" s="196"/>
      <c r="D692" s="1311"/>
      <c r="E692" s="370"/>
      <c r="F692" s="1820"/>
      <c r="G692" s="198"/>
      <c r="H692" s="198"/>
      <c r="I692" s="198"/>
      <c r="J692" s="198"/>
      <c r="K692" s="198"/>
      <c r="L692" s="198"/>
      <c r="M692" s="198"/>
      <c r="N692" s="198"/>
      <c r="O692" s="198"/>
      <c r="P692" s="198"/>
      <c r="Q692" s="198"/>
      <c r="R692" s="198"/>
      <c r="S692" s="198"/>
      <c r="T692" s="198"/>
      <c r="U692" s="198"/>
      <c r="V692" s="199"/>
      <c r="W692" s="199"/>
      <c r="X692" s="199"/>
      <c r="Y692" s="1108"/>
      <c r="Z692" s="199"/>
      <c r="AA692" s="199"/>
      <c r="AK692" s="982"/>
      <c r="BB692" s="1099"/>
    </row>
    <row r="693" spans="1:54" s="43" customFormat="1" outlineLevel="1" x14ac:dyDescent="0.25">
      <c r="A693" s="198"/>
      <c r="B693" s="198"/>
      <c r="C693" s="196"/>
      <c r="D693" s="197"/>
      <c r="E693" s="197"/>
      <c r="F693" s="198"/>
      <c r="G693" s="198"/>
      <c r="H693" s="198"/>
      <c r="I693" s="198"/>
      <c r="J693" s="198"/>
      <c r="K693" s="198"/>
      <c r="L693" s="198"/>
      <c r="M693" s="198"/>
      <c r="N693" s="198"/>
      <c r="O693" s="198"/>
      <c r="P693" s="198"/>
      <c r="Q693" s="198"/>
      <c r="R693" s="198"/>
      <c r="S693" s="198"/>
      <c r="T693" s="198"/>
      <c r="U693" s="198"/>
      <c r="Y693" s="1107"/>
      <c r="AK693" s="982"/>
      <c r="BB693" s="1099"/>
    </row>
    <row r="694" spans="1:54" s="77" customFormat="1" ht="15" customHeight="1" outlineLevel="1" x14ac:dyDescent="0.25">
      <c r="A694" s="463"/>
      <c r="B694" s="463"/>
      <c r="C694" s="196"/>
      <c r="D694" s="1456" t="s">
        <v>572</v>
      </c>
      <c r="E694" s="1456" t="s">
        <v>573</v>
      </c>
      <c r="F694" s="1456" t="s">
        <v>623</v>
      </c>
      <c r="G694" s="1412" t="s">
        <v>574</v>
      </c>
      <c r="H694" s="3419" t="s">
        <v>624</v>
      </c>
      <c r="I694" s="3419"/>
      <c r="J694" s="3483" t="s">
        <v>575</v>
      </c>
      <c r="K694" s="3772"/>
      <c r="L694" s="3772"/>
      <c r="M694" s="3484"/>
      <c r="N694" s="198"/>
      <c r="O694" s="198"/>
      <c r="P694" s="198"/>
      <c r="Q694" s="198"/>
      <c r="R694" s="463"/>
      <c r="S694" s="463"/>
      <c r="T694" s="463"/>
      <c r="U694" s="463"/>
      <c r="V694" s="55" t="s">
        <v>27</v>
      </c>
      <c r="W694" s="56">
        <f>W$6</f>
        <v>43252</v>
      </c>
      <c r="X694" s="56">
        <f t="shared" ref="X694:AG694" si="94">X$6</f>
        <v>43465</v>
      </c>
      <c r="Y694" s="420">
        <f t="shared" si="94"/>
        <v>43800</v>
      </c>
      <c r="Z694" s="56">
        <f t="shared" si="94"/>
        <v>43862</v>
      </c>
      <c r="AA694" s="56">
        <f t="shared" si="94"/>
        <v>44013</v>
      </c>
      <c r="AB694" s="56">
        <f t="shared" si="94"/>
        <v>44166</v>
      </c>
      <c r="AC694" s="56" t="str">
        <f t="shared" si="94"/>
        <v>-</v>
      </c>
      <c r="AD694" s="56" t="str">
        <f t="shared" si="94"/>
        <v>-</v>
      </c>
      <c r="AE694" s="56" t="str">
        <f t="shared" si="94"/>
        <v>-</v>
      </c>
      <c r="AF694" s="56" t="str">
        <f t="shared" si="94"/>
        <v>-</v>
      </c>
      <c r="AG694" s="56" t="str">
        <f t="shared" si="94"/>
        <v>-</v>
      </c>
      <c r="AK694" s="982"/>
      <c r="BB694" s="97"/>
    </row>
    <row r="695" spans="1:54" s="128" customFormat="1" outlineLevel="1" x14ac:dyDescent="0.25">
      <c r="A695" s="272"/>
      <c r="B695" s="272"/>
      <c r="C695" s="229"/>
      <c r="D695" s="3821" t="s">
        <v>1804</v>
      </c>
      <c r="E695" s="3821" t="s">
        <v>1299</v>
      </c>
      <c r="F695" s="1113" t="s">
        <v>735</v>
      </c>
      <c r="G695" s="1109">
        <v>869</v>
      </c>
      <c r="H695" s="3897" t="s">
        <v>3675</v>
      </c>
      <c r="I695" s="3898"/>
      <c r="J695" s="3823"/>
      <c r="K695" s="3823"/>
      <c r="L695" s="3823"/>
      <c r="M695" s="3823"/>
      <c r="N695" s="198"/>
      <c r="O695" s="198"/>
      <c r="P695" s="198"/>
      <c r="Q695" s="198"/>
      <c r="R695" s="272"/>
      <c r="S695" s="272"/>
      <c r="T695" s="272"/>
      <c r="U695" s="272"/>
      <c r="V695" s="3824" t="s">
        <v>1538</v>
      </c>
      <c r="W695" s="1110">
        <v>869</v>
      </c>
      <c r="X695" s="249">
        <v>869</v>
      </c>
      <c r="Y695" s="249">
        <v>869</v>
      </c>
      <c r="Z695" s="249">
        <v>869</v>
      </c>
      <c r="AA695" s="249">
        <v>869</v>
      </c>
      <c r="AB695" s="249">
        <v>869</v>
      </c>
      <c r="AC695" s="251"/>
      <c r="AD695" s="251"/>
      <c r="AE695" s="251"/>
      <c r="AF695" s="251"/>
      <c r="AG695" s="251"/>
      <c r="AK695" s="982"/>
      <c r="BB695" s="1111"/>
    </row>
    <row r="696" spans="1:54" s="128" customFormat="1" outlineLevel="1" x14ac:dyDescent="0.25">
      <c r="A696" s="272"/>
      <c r="B696" s="272"/>
      <c r="C696" s="229"/>
      <c r="D696" s="3573"/>
      <c r="E696" s="3573"/>
      <c r="F696" s="1113" t="s">
        <v>737</v>
      </c>
      <c r="G696" s="1109">
        <v>632</v>
      </c>
      <c r="H696" s="3899"/>
      <c r="I696" s="3900"/>
      <c r="J696" s="1446"/>
      <c r="K696" s="1448"/>
      <c r="L696" s="1448"/>
      <c r="M696" s="1449"/>
      <c r="N696" s="198"/>
      <c r="O696" s="198"/>
      <c r="P696" s="198"/>
      <c r="Q696" s="198"/>
      <c r="R696" s="272"/>
      <c r="S696" s="272"/>
      <c r="T696" s="272"/>
      <c r="U696" s="272"/>
      <c r="V696" s="3832"/>
      <c r="W696" s="1110"/>
      <c r="X696" s="249"/>
      <c r="Y696" s="1112">
        <v>632</v>
      </c>
      <c r="Z696" s="249">
        <v>632</v>
      </c>
      <c r="AA696" s="249">
        <v>632</v>
      </c>
      <c r="AB696" s="249">
        <v>632</v>
      </c>
      <c r="AC696" s="251"/>
      <c r="AD696" s="251"/>
      <c r="AE696" s="251"/>
      <c r="AF696" s="251"/>
      <c r="AG696" s="251"/>
      <c r="AK696" s="982"/>
      <c r="BB696" s="1111"/>
    </row>
    <row r="697" spans="1:54" s="128" customFormat="1" outlineLevel="1" x14ac:dyDescent="0.25">
      <c r="A697" s="272"/>
      <c r="B697" s="272"/>
      <c r="C697" s="229"/>
      <c r="D697" s="3821" t="s">
        <v>1805</v>
      </c>
      <c r="E697" s="3821" t="s">
        <v>1507</v>
      </c>
      <c r="F697" s="1113" t="s">
        <v>740</v>
      </c>
      <c r="G697" s="1109">
        <v>37716.279069767443</v>
      </c>
      <c r="H697" s="3531" t="s">
        <v>1806</v>
      </c>
      <c r="I697" s="3532"/>
      <c r="J697" s="3470" t="s">
        <v>1541</v>
      </c>
      <c r="K697" s="3822"/>
      <c r="L697" s="3822"/>
      <c r="M697" s="3471"/>
      <c r="N697" s="198"/>
      <c r="O697" s="198"/>
      <c r="P697" s="198"/>
      <c r="Q697" s="198"/>
      <c r="R697" s="272"/>
      <c r="S697" s="272"/>
      <c r="T697" s="272"/>
      <c r="U697" s="272"/>
      <c r="V697" s="3824" t="s">
        <v>1539</v>
      </c>
      <c r="W697" s="1110">
        <v>37716.279069767443</v>
      </c>
      <c r="X697" s="249">
        <v>37716.279069767443</v>
      </c>
      <c r="Y697" s="249">
        <v>37716.279069767443</v>
      </c>
      <c r="Z697" s="249">
        <v>37716.279069767443</v>
      </c>
      <c r="AA697" s="249">
        <v>37716.279069767443</v>
      </c>
      <c r="AB697" s="249">
        <v>37716.279069767443</v>
      </c>
      <c r="AC697" s="251"/>
      <c r="AD697" s="251"/>
      <c r="AE697" s="251"/>
      <c r="AF697" s="251"/>
      <c r="AG697" s="251"/>
      <c r="AK697" s="982"/>
      <c r="BB697" s="1111"/>
    </row>
    <row r="698" spans="1:54" s="128" customFormat="1" outlineLevel="1" x14ac:dyDescent="0.25">
      <c r="A698" s="272"/>
      <c r="B698" s="272"/>
      <c r="C698" s="229"/>
      <c r="D698" s="3438"/>
      <c r="E698" s="3438"/>
      <c r="F698" s="1113" t="s">
        <v>742</v>
      </c>
      <c r="G698" s="1109">
        <v>22537.991266375546</v>
      </c>
      <c r="H698" s="3531" t="s">
        <v>1193</v>
      </c>
      <c r="I698" s="3532"/>
      <c r="J698" s="3470"/>
      <c r="K698" s="3822"/>
      <c r="L698" s="3822"/>
      <c r="M698" s="3471"/>
      <c r="N698" s="198"/>
      <c r="O698" s="198"/>
      <c r="P698" s="198"/>
      <c r="Q698" s="198"/>
      <c r="R698" s="272"/>
      <c r="S698" s="272"/>
      <c r="T698" s="272"/>
      <c r="U698" s="272"/>
      <c r="V698" s="3825"/>
      <c r="W698" s="1110">
        <f>W697*0.65</f>
        <v>24515.58139534884</v>
      </c>
      <c r="X698" s="249">
        <v>24515.58139534884</v>
      </c>
      <c r="Y698" s="1112">
        <v>22537.991266375546</v>
      </c>
      <c r="Z698" s="249">
        <v>22537.991266375546</v>
      </c>
      <c r="AA698" s="249">
        <v>22537.991266375546</v>
      </c>
      <c r="AB698" s="249">
        <v>22537.991266375546</v>
      </c>
      <c r="AC698" s="251"/>
      <c r="AD698" s="251"/>
      <c r="AE698" s="251"/>
      <c r="AF698" s="251"/>
      <c r="AG698" s="251"/>
      <c r="AK698" s="982"/>
      <c r="BB698" s="1111"/>
    </row>
    <row r="699" spans="1:54" s="128" customFormat="1" outlineLevel="1" x14ac:dyDescent="0.25">
      <c r="A699" s="272"/>
      <c r="B699" s="272"/>
      <c r="C699" s="229"/>
      <c r="D699" s="3821" t="s">
        <v>1543</v>
      </c>
      <c r="E699" s="3821" t="s">
        <v>1544</v>
      </c>
      <c r="F699" s="1113" t="s">
        <v>1545</v>
      </c>
      <c r="G699" s="1446">
        <v>11.9</v>
      </c>
      <c r="H699" s="3531" t="s">
        <v>1198</v>
      </c>
      <c r="I699" s="3532"/>
      <c r="J699" s="3531"/>
      <c r="K699" s="3901"/>
      <c r="L699" s="3901"/>
      <c r="M699" s="3532"/>
      <c r="N699" s="198"/>
      <c r="O699" s="272"/>
      <c r="P699" s="272"/>
      <c r="Q699" s="272"/>
      <c r="R699" s="272"/>
      <c r="S699" s="272"/>
      <c r="T699" s="272"/>
      <c r="U699" s="272"/>
      <c r="V699" s="3824" t="s">
        <v>1543</v>
      </c>
      <c r="W699" s="1114">
        <v>11.9</v>
      </c>
      <c r="X699" s="244">
        <v>11.9</v>
      </c>
      <c r="Y699" s="245">
        <v>11.9</v>
      </c>
      <c r="Z699" s="244">
        <v>11.9</v>
      </c>
      <c r="AA699" s="244">
        <v>11.9</v>
      </c>
      <c r="AB699" s="244">
        <v>11.9</v>
      </c>
      <c r="AC699" s="246"/>
      <c r="AD699" s="246"/>
      <c r="AE699" s="246"/>
      <c r="AF699" s="246"/>
      <c r="AG699" s="246"/>
      <c r="AK699" s="982"/>
      <c r="BB699" s="1111"/>
    </row>
    <row r="700" spans="1:54" s="128" customFormat="1" outlineLevel="1" x14ac:dyDescent="0.25">
      <c r="A700" s="272"/>
      <c r="B700" s="272"/>
      <c r="C700" s="229"/>
      <c r="D700" s="3833"/>
      <c r="E700" s="3833"/>
      <c r="F700" s="1113" t="s">
        <v>1546</v>
      </c>
      <c r="G700" s="1446">
        <v>11.9</v>
      </c>
      <c r="H700" s="3531"/>
      <c r="I700" s="3532"/>
      <c r="J700" s="3531"/>
      <c r="K700" s="3901"/>
      <c r="L700" s="3901"/>
      <c r="M700" s="3532"/>
      <c r="N700" s="198"/>
      <c r="O700" s="272"/>
      <c r="P700" s="272"/>
      <c r="Q700" s="272"/>
      <c r="R700" s="272"/>
      <c r="S700" s="272"/>
      <c r="T700" s="272"/>
      <c r="U700" s="272"/>
      <c r="V700" s="3834"/>
      <c r="W700" s="1114">
        <v>11.9</v>
      </c>
      <c r="X700" s="1115">
        <v>11.9</v>
      </c>
      <c r="Y700" s="245">
        <v>11.9</v>
      </c>
      <c r="Z700" s="244">
        <v>11.9</v>
      </c>
      <c r="AA700" s="244">
        <v>11.9</v>
      </c>
      <c r="AB700" s="244">
        <v>11.9</v>
      </c>
      <c r="AC700" s="246"/>
      <c r="AD700" s="246"/>
      <c r="AE700" s="246"/>
      <c r="AF700" s="246"/>
      <c r="AG700" s="246"/>
      <c r="AK700" s="982"/>
      <c r="BB700" s="1111"/>
    </row>
    <row r="701" spans="1:54" s="128" customFormat="1" outlineLevel="1" x14ac:dyDescent="0.25">
      <c r="A701" s="272"/>
      <c r="B701" s="272"/>
      <c r="C701" s="229"/>
      <c r="D701" s="3833"/>
      <c r="E701" s="3833"/>
      <c r="F701" s="1113" t="s">
        <v>1547</v>
      </c>
      <c r="G701" s="1446">
        <v>11.9</v>
      </c>
      <c r="H701" s="3531" t="s">
        <v>1198</v>
      </c>
      <c r="I701" s="3532"/>
      <c r="J701" s="3531" t="s">
        <v>1548</v>
      </c>
      <c r="K701" s="3901"/>
      <c r="L701" s="3901"/>
      <c r="M701" s="3532"/>
      <c r="N701" s="198"/>
      <c r="O701" s="272"/>
      <c r="P701" s="272"/>
      <c r="Q701" s="272"/>
      <c r="R701" s="272"/>
      <c r="S701" s="272"/>
      <c r="T701" s="272"/>
      <c r="U701" s="272"/>
      <c r="V701" s="3834"/>
      <c r="W701" s="1114">
        <v>11.9</v>
      </c>
      <c r="X701" s="244">
        <v>11.9</v>
      </c>
      <c r="Y701" s="245">
        <v>11.9</v>
      </c>
      <c r="Z701" s="244">
        <v>11.9</v>
      </c>
      <c r="AA701" s="244">
        <v>11.9</v>
      </c>
      <c r="AB701" s="244">
        <v>11.9</v>
      </c>
      <c r="AC701" s="246"/>
      <c r="AD701" s="246"/>
      <c r="AE701" s="246"/>
      <c r="AF701" s="246"/>
      <c r="AG701" s="246"/>
      <c r="AK701" s="982"/>
      <c r="BB701" s="1111"/>
    </row>
    <row r="702" spans="1:54" s="128" customFormat="1" outlineLevel="1" x14ac:dyDescent="0.25">
      <c r="A702" s="272"/>
      <c r="B702" s="272"/>
      <c r="C702" s="229"/>
      <c r="D702" s="3438"/>
      <c r="E702" s="3438"/>
      <c r="F702" s="1113" t="s">
        <v>1549</v>
      </c>
      <c r="G702" s="1446">
        <v>11.9</v>
      </c>
      <c r="H702" s="3531"/>
      <c r="I702" s="3532"/>
      <c r="J702" s="3531"/>
      <c r="K702" s="3901"/>
      <c r="L702" s="3901"/>
      <c r="M702" s="3532"/>
      <c r="N702" s="272"/>
      <c r="O702" s="272"/>
      <c r="P702" s="272"/>
      <c r="Q702" s="272"/>
      <c r="R702" s="272"/>
      <c r="S702" s="272"/>
      <c r="T702" s="272"/>
      <c r="U702" s="272"/>
      <c r="V702" s="3825"/>
      <c r="W702" s="1114">
        <v>11.9</v>
      </c>
      <c r="X702" s="244">
        <v>11.9</v>
      </c>
      <c r="Y702" s="245">
        <v>11.9</v>
      </c>
      <c r="Z702" s="244">
        <v>11.9</v>
      </c>
      <c r="AA702" s="244">
        <v>11.9</v>
      </c>
      <c r="AB702" s="244">
        <v>11.9</v>
      </c>
      <c r="AC702" s="246"/>
      <c r="AD702" s="246"/>
      <c r="AE702" s="246"/>
      <c r="AF702" s="246"/>
      <c r="AG702" s="246"/>
      <c r="AK702" s="982"/>
      <c r="BB702" s="1111"/>
    </row>
    <row r="703" spans="1:54" s="128" customFormat="1" outlineLevel="1" x14ac:dyDescent="0.25">
      <c r="A703" s="272"/>
      <c r="B703" s="272"/>
      <c r="C703" s="229"/>
      <c r="D703" s="3821" t="s">
        <v>1807</v>
      </c>
      <c r="E703" s="3821" t="s">
        <v>1551</v>
      </c>
      <c r="F703" s="1113" t="s">
        <v>1545</v>
      </c>
      <c r="G703" s="1446">
        <v>12.566400000000002</v>
      </c>
      <c r="H703" s="3424" t="s">
        <v>1198</v>
      </c>
      <c r="I703" s="3424"/>
      <c r="J703" s="3424" t="s">
        <v>1548</v>
      </c>
      <c r="K703" s="3424"/>
      <c r="L703" s="3424"/>
      <c r="M703" s="3424"/>
      <c r="N703" s="198"/>
      <c r="O703" s="272"/>
      <c r="P703" s="272"/>
      <c r="Q703" s="272"/>
      <c r="R703" s="272"/>
      <c r="S703" s="272"/>
      <c r="T703" s="272"/>
      <c r="U703" s="272"/>
      <c r="V703" s="3824" t="s">
        <v>1550</v>
      </c>
      <c r="W703" s="1114">
        <v>12.566400000000002</v>
      </c>
      <c r="X703" s="244">
        <v>12.566400000000002</v>
      </c>
      <c r="Y703" s="245">
        <v>12.566400000000002</v>
      </c>
      <c r="Z703" s="244">
        <v>12.566400000000002</v>
      </c>
      <c r="AA703" s="244">
        <v>12.566400000000002</v>
      </c>
      <c r="AB703" s="244">
        <v>12.566400000000002</v>
      </c>
      <c r="AC703" s="246"/>
      <c r="AD703" s="246"/>
      <c r="AE703" s="246"/>
      <c r="AF703" s="246"/>
      <c r="AG703" s="246"/>
      <c r="AK703" s="982"/>
      <c r="BB703" s="1111"/>
    </row>
    <row r="704" spans="1:54" s="128" customFormat="1" outlineLevel="1" x14ac:dyDescent="0.25">
      <c r="A704" s="272"/>
      <c r="B704" s="272"/>
      <c r="C704" s="229"/>
      <c r="D704" s="3833"/>
      <c r="E704" s="3833"/>
      <c r="F704" s="1113" t="s">
        <v>1546</v>
      </c>
      <c r="G704" s="1446">
        <v>15.2796</v>
      </c>
      <c r="H704" s="3424" t="s">
        <v>1198</v>
      </c>
      <c r="I704" s="3424"/>
      <c r="J704" s="3424" t="s">
        <v>1548</v>
      </c>
      <c r="K704" s="3424"/>
      <c r="L704" s="3424"/>
      <c r="M704" s="3424"/>
      <c r="N704" s="198"/>
      <c r="O704" s="272"/>
      <c r="P704" s="272"/>
      <c r="Q704" s="272"/>
      <c r="R704" s="272"/>
      <c r="S704" s="272"/>
      <c r="T704" s="272"/>
      <c r="U704" s="272"/>
      <c r="V704" s="3834"/>
      <c r="W704" s="1114">
        <v>15.2796</v>
      </c>
      <c r="X704" s="244">
        <v>15.2796</v>
      </c>
      <c r="Y704" s="245">
        <v>15.2796</v>
      </c>
      <c r="Z704" s="244">
        <v>15.2796</v>
      </c>
      <c r="AA704" s="244">
        <v>15.2796</v>
      </c>
      <c r="AB704" s="244">
        <v>15.2796</v>
      </c>
      <c r="AC704" s="246"/>
      <c r="AD704" s="246"/>
      <c r="AE704" s="246"/>
      <c r="AF704" s="246"/>
      <c r="AG704" s="246"/>
      <c r="AK704" s="982"/>
      <c r="BB704" s="1111"/>
    </row>
    <row r="705" spans="1:54" s="128" customFormat="1" outlineLevel="1" x14ac:dyDescent="0.25">
      <c r="A705" s="272"/>
      <c r="B705" s="272"/>
      <c r="C705" s="229"/>
      <c r="D705" s="3833"/>
      <c r="E705" s="3833"/>
      <c r="F705" s="1113" t="s">
        <v>1547</v>
      </c>
      <c r="G705" s="1446">
        <v>12.352200000000002</v>
      </c>
      <c r="H705" s="3424" t="s">
        <v>1198</v>
      </c>
      <c r="I705" s="3424"/>
      <c r="J705" s="3424" t="s">
        <v>1548</v>
      </c>
      <c r="K705" s="3424"/>
      <c r="L705" s="3424"/>
      <c r="M705" s="3424"/>
      <c r="N705" s="198"/>
      <c r="O705" s="272"/>
      <c r="P705" s="272"/>
      <c r="Q705" s="272"/>
      <c r="R705" s="272"/>
      <c r="S705" s="272"/>
      <c r="T705" s="272"/>
      <c r="U705" s="272"/>
      <c r="V705" s="3834"/>
      <c r="W705" s="1114">
        <v>12.352200000000002</v>
      </c>
      <c r="X705" s="244">
        <v>12.352200000000002</v>
      </c>
      <c r="Y705" s="245">
        <v>12.352200000000002</v>
      </c>
      <c r="Z705" s="244">
        <v>12.352200000000002</v>
      </c>
      <c r="AA705" s="244">
        <v>12.352200000000002</v>
      </c>
      <c r="AB705" s="244">
        <v>12.352200000000002</v>
      </c>
      <c r="AC705" s="246"/>
      <c r="AD705" s="246"/>
      <c r="AE705" s="246"/>
      <c r="AF705" s="246"/>
      <c r="AG705" s="246"/>
      <c r="AK705" s="982"/>
      <c r="BB705" s="1111"/>
    </row>
    <row r="706" spans="1:54" s="128" customFormat="1" outlineLevel="1" x14ac:dyDescent="0.25">
      <c r="A706" s="272"/>
      <c r="B706" s="272"/>
      <c r="C706" s="229"/>
      <c r="D706" s="3438"/>
      <c r="E706" s="3438"/>
      <c r="F706" s="1113" t="s">
        <v>1549</v>
      </c>
      <c r="G706" s="1447">
        <v>12.8401</v>
      </c>
      <c r="H706" s="3424" t="s">
        <v>1198</v>
      </c>
      <c r="I706" s="3424"/>
      <c r="J706" s="3424" t="s">
        <v>1548</v>
      </c>
      <c r="K706" s="3424"/>
      <c r="L706" s="3424"/>
      <c r="M706" s="3424"/>
      <c r="N706" s="272"/>
      <c r="O706" s="272"/>
      <c r="P706" s="272"/>
      <c r="Q706" s="272"/>
      <c r="R706" s="272"/>
      <c r="S706" s="272"/>
      <c r="T706" s="272"/>
      <c r="U706" s="272"/>
      <c r="V706" s="3825"/>
      <c r="W706" s="244">
        <v>12.8401</v>
      </c>
      <c r="X706" s="244">
        <v>12.8401</v>
      </c>
      <c r="Y706" s="245">
        <v>12.8401</v>
      </c>
      <c r="Z706" s="244">
        <v>12.8401</v>
      </c>
      <c r="AA706" s="244">
        <v>12.8401</v>
      </c>
      <c r="AB706" s="244">
        <v>12.8401</v>
      </c>
      <c r="AC706" s="246"/>
      <c r="AD706" s="246"/>
      <c r="AE706" s="246"/>
      <c r="AF706" s="246"/>
      <c r="AG706" s="246"/>
      <c r="AK706" s="982"/>
      <c r="BB706" s="1111"/>
    </row>
    <row r="707" spans="1:54" s="43" customFormat="1" outlineLevel="1" x14ac:dyDescent="0.25">
      <c r="A707" s="198"/>
      <c r="B707" s="198"/>
      <c r="C707" s="196"/>
      <c r="D707" s="1116">
        <v>1000</v>
      </c>
      <c r="E707" s="1117" t="s">
        <v>1552</v>
      </c>
      <c r="F707" s="1113"/>
      <c r="G707" s="1109">
        <v>1000</v>
      </c>
      <c r="H707" s="3459" t="s">
        <v>1553</v>
      </c>
      <c r="I707" s="3459"/>
      <c r="J707" s="3823"/>
      <c r="K707" s="3823"/>
      <c r="L707" s="3823"/>
      <c r="M707" s="3823"/>
      <c r="N707" s="272"/>
      <c r="O707" s="272"/>
      <c r="P707" s="272"/>
      <c r="Q707" s="272"/>
      <c r="R707" s="272"/>
      <c r="S707" s="272"/>
      <c r="T707" s="272"/>
      <c r="U707" s="272"/>
      <c r="V707" s="988">
        <v>1000</v>
      </c>
      <c r="W707" s="1110">
        <v>1000</v>
      </c>
      <c r="X707" s="249">
        <v>1000</v>
      </c>
      <c r="Y707" s="250">
        <v>1000</v>
      </c>
      <c r="Z707" s="249">
        <v>1000</v>
      </c>
      <c r="AA707" s="249">
        <v>1000</v>
      </c>
      <c r="AB707" s="249">
        <v>1000</v>
      </c>
      <c r="AC707" s="251"/>
      <c r="AD707" s="251"/>
      <c r="AE707" s="251"/>
      <c r="AF707" s="251"/>
      <c r="AG707" s="251"/>
      <c r="AK707" s="982"/>
      <c r="BB707" s="1099"/>
    </row>
    <row r="708" spans="1:54" s="43" customFormat="1" outlineLevel="1" x14ac:dyDescent="0.25">
      <c r="A708" s="198"/>
      <c r="B708" s="198"/>
      <c r="C708" s="196"/>
      <c r="D708" s="3821" t="s">
        <v>1808</v>
      </c>
      <c r="E708" s="3821" t="s">
        <v>1288</v>
      </c>
      <c r="F708" s="1113" t="s">
        <v>735</v>
      </c>
      <c r="G708" s="1109">
        <v>1496</v>
      </c>
      <c r="H708" s="3424" t="s">
        <v>3675</v>
      </c>
      <c r="I708" s="3424"/>
      <c r="J708" s="3823"/>
      <c r="K708" s="3823"/>
      <c r="L708" s="3823"/>
      <c r="M708" s="3823"/>
      <c r="N708" s="198"/>
      <c r="O708" s="272"/>
      <c r="P708" s="272"/>
      <c r="Q708" s="272"/>
      <c r="R708" s="272"/>
      <c r="S708" s="272"/>
      <c r="T708" s="272"/>
      <c r="U708" s="272"/>
      <c r="V708" s="3824" t="s">
        <v>1809</v>
      </c>
      <c r="W708" s="1110">
        <v>2009</v>
      </c>
      <c r="X708" s="1110">
        <v>2009</v>
      </c>
      <c r="Y708" s="1118">
        <v>1496</v>
      </c>
      <c r="Z708" s="1110">
        <v>1496</v>
      </c>
      <c r="AA708" s="1110">
        <v>1496</v>
      </c>
      <c r="AB708" s="1110">
        <v>1496</v>
      </c>
      <c r="AC708" s="251"/>
      <c r="AD708" s="251"/>
      <c r="AE708" s="251"/>
      <c r="AF708" s="251"/>
      <c r="AG708" s="251"/>
      <c r="AK708" s="982"/>
      <c r="BB708" s="1099"/>
    </row>
    <row r="709" spans="1:54" s="43" customFormat="1" outlineLevel="1" x14ac:dyDescent="0.25">
      <c r="A709" s="198"/>
      <c r="B709" s="198"/>
      <c r="C709" s="196"/>
      <c r="D709" s="3573"/>
      <c r="E709" s="3573"/>
      <c r="F709" s="1113" t="s">
        <v>737</v>
      </c>
      <c r="G709" s="1109">
        <v>510</v>
      </c>
      <c r="H709" s="3531" t="s">
        <v>3675</v>
      </c>
      <c r="I709" s="3532"/>
      <c r="J709" s="1446"/>
      <c r="K709" s="1448"/>
      <c r="L709" s="1448"/>
      <c r="M709" s="1449"/>
      <c r="N709" s="198"/>
      <c r="O709" s="272"/>
      <c r="P709" s="272"/>
      <c r="Q709" s="272"/>
      <c r="R709" s="272"/>
      <c r="S709" s="272"/>
      <c r="T709" s="272"/>
      <c r="U709" s="272"/>
      <c r="V709" s="3832"/>
      <c r="W709" s="1110"/>
      <c r="X709" s="1110"/>
      <c r="Y709" s="1118">
        <v>510</v>
      </c>
      <c r="Z709" s="1110">
        <v>510</v>
      </c>
      <c r="AA709" s="1110">
        <v>510</v>
      </c>
      <c r="AB709" s="1110">
        <v>510</v>
      </c>
      <c r="AC709" s="251"/>
      <c r="AD709" s="251"/>
      <c r="AE709" s="251"/>
      <c r="AF709" s="251"/>
      <c r="AG709" s="251"/>
      <c r="AK709" s="982"/>
      <c r="BB709" s="1099"/>
    </row>
    <row r="710" spans="1:54" s="64" customFormat="1" outlineLevel="1" x14ac:dyDescent="0.25">
      <c r="A710" s="648"/>
      <c r="B710" s="157"/>
      <c r="C710" s="385"/>
      <c r="D710" s="3821" t="s">
        <v>1810</v>
      </c>
      <c r="E710" s="3821" t="s">
        <v>1285</v>
      </c>
      <c r="F710" s="1113" t="s">
        <v>740</v>
      </c>
      <c r="G710" s="1109">
        <v>37716.279069767443</v>
      </c>
      <c r="H710" s="3531" t="s">
        <v>1806</v>
      </c>
      <c r="I710" s="3532"/>
      <c r="J710" s="3470" t="s">
        <v>1541</v>
      </c>
      <c r="K710" s="3822"/>
      <c r="L710" s="3822"/>
      <c r="M710" s="3471"/>
      <c r="N710" s="157"/>
      <c r="O710" s="277"/>
      <c r="P710" s="277"/>
      <c r="Q710" s="277"/>
      <c r="R710" s="277"/>
      <c r="S710" s="277"/>
      <c r="T710" s="277"/>
      <c r="U710" s="277"/>
      <c r="V710" s="3824" t="s">
        <v>1811</v>
      </c>
      <c r="W710" s="1110">
        <v>37716.279069767443</v>
      </c>
      <c r="X710" s="249">
        <v>37716.279069767443</v>
      </c>
      <c r="Y710" s="249">
        <v>37716.279069767443</v>
      </c>
      <c r="Z710" s="249">
        <v>37716.279069767443</v>
      </c>
      <c r="AA710" s="249">
        <v>37716.279069767443</v>
      </c>
      <c r="AB710" s="249">
        <v>37716.279069767443</v>
      </c>
      <c r="AC710" s="251"/>
      <c r="AD710" s="251"/>
      <c r="AE710" s="251"/>
      <c r="AF710" s="251"/>
      <c r="AG710" s="251"/>
      <c r="AK710" s="982"/>
      <c r="BB710" s="992"/>
    </row>
    <row r="711" spans="1:54" s="64" customFormat="1" outlineLevel="1" x14ac:dyDescent="0.25">
      <c r="A711" s="648"/>
      <c r="B711" s="157"/>
      <c r="C711" s="385"/>
      <c r="D711" s="3438"/>
      <c r="E711" s="3438"/>
      <c r="F711" s="1113" t="s">
        <v>742</v>
      </c>
      <c r="G711" s="1109">
        <v>22537.991266375546</v>
      </c>
      <c r="H711" s="3531" t="s">
        <v>1193</v>
      </c>
      <c r="I711" s="3532"/>
      <c r="J711" s="3823"/>
      <c r="K711" s="3823"/>
      <c r="L711" s="3823"/>
      <c r="M711" s="3823"/>
      <c r="N711" s="157"/>
      <c r="O711" s="277"/>
      <c r="P711" s="277"/>
      <c r="Q711" s="277"/>
      <c r="R711" s="277"/>
      <c r="S711" s="277"/>
      <c r="T711" s="277"/>
      <c r="U711" s="277"/>
      <c r="V711" s="3825"/>
      <c r="W711" s="1110">
        <v>24515.58139534884</v>
      </c>
      <c r="X711" s="249">
        <v>24515.58139534884</v>
      </c>
      <c r="Y711" s="1112">
        <v>22537.991266375546</v>
      </c>
      <c r="Z711" s="249">
        <v>22537.991266375546</v>
      </c>
      <c r="AA711" s="249">
        <v>22537.991266375546</v>
      </c>
      <c r="AB711" s="249">
        <v>22537.991266375546</v>
      </c>
      <c r="AC711" s="251"/>
      <c r="AD711" s="251"/>
      <c r="AE711" s="251"/>
      <c r="AF711" s="251"/>
      <c r="AG711" s="251"/>
      <c r="AK711" s="982"/>
      <c r="BB711" s="992"/>
    </row>
    <row r="712" spans="1:54" s="64" customFormat="1" outlineLevel="1" x14ac:dyDescent="0.25">
      <c r="A712" s="648"/>
      <c r="B712" s="157"/>
      <c r="C712" s="385"/>
      <c r="D712" s="3424" t="s">
        <v>1812</v>
      </c>
      <c r="E712" s="3903" t="s">
        <v>1813</v>
      </c>
      <c r="F712" s="1113" t="s">
        <v>1545</v>
      </c>
      <c r="G712" s="242">
        <v>6.3</v>
      </c>
      <c r="H712" s="3470" t="s">
        <v>1814</v>
      </c>
      <c r="I712" s="3482"/>
      <c r="J712" s="3470"/>
      <c r="K712" s="3481"/>
      <c r="L712" s="3481"/>
      <c r="M712" s="3482"/>
      <c r="N712" s="157"/>
      <c r="O712" s="277"/>
      <c r="P712" s="277"/>
      <c r="Q712" s="277"/>
      <c r="R712" s="277"/>
      <c r="S712" s="277"/>
      <c r="T712" s="277"/>
      <c r="U712" s="277"/>
      <c r="V712" s="3902" t="s">
        <v>1815</v>
      </c>
      <c r="W712" s="237">
        <v>6.3</v>
      </c>
      <c r="X712" s="237">
        <v>6.3</v>
      </c>
      <c r="Y712" s="1119">
        <v>6.3</v>
      </c>
      <c r="Z712" s="237">
        <v>6.3</v>
      </c>
      <c r="AA712" s="237">
        <v>6.3</v>
      </c>
      <c r="AB712" s="237">
        <v>6.3</v>
      </c>
      <c r="AC712" s="1120"/>
      <c r="AD712" s="1120"/>
      <c r="AE712" s="1120"/>
      <c r="AF712" s="1120"/>
      <c r="AG712" s="1120"/>
      <c r="AK712" s="982"/>
      <c r="BB712" s="992"/>
    </row>
    <row r="713" spans="1:54" s="64" customFormat="1" outlineLevel="1" x14ac:dyDescent="0.25">
      <c r="A713" s="648"/>
      <c r="B713" s="157"/>
      <c r="C713" s="385"/>
      <c r="D713" s="3424"/>
      <c r="E713" s="3903"/>
      <c r="F713" s="1113" t="s">
        <v>1546</v>
      </c>
      <c r="G713" s="242">
        <v>6.3</v>
      </c>
      <c r="H713" s="3470"/>
      <c r="I713" s="3482"/>
      <c r="J713" s="3470"/>
      <c r="K713" s="3481"/>
      <c r="L713" s="3481"/>
      <c r="M713" s="3482"/>
      <c r="N713" s="157"/>
      <c r="O713" s="277"/>
      <c r="P713" s="277"/>
      <c r="Q713" s="277"/>
      <c r="R713" s="277"/>
      <c r="S713" s="277"/>
      <c r="T713" s="277"/>
      <c r="U713" s="277"/>
      <c r="V713" s="3902"/>
      <c r="W713" s="237">
        <v>6.3</v>
      </c>
      <c r="X713" s="237">
        <v>6.3</v>
      </c>
      <c r="Y713" s="1119">
        <v>6.3</v>
      </c>
      <c r="Z713" s="237">
        <v>6.3</v>
      </c>
      <c r="AA713" s="237">
        <v>6.3</v>
      </c>
      <c r="AB713" s="237">
        <v>6.3</v>
      </c>
      <c r="AC713" s="1120"/>
      <c r="AD713" s="1120"/>
      <c r="AE713" s="1120"/>
      <c r="AF713" s="1120"/>
      <c r="AG713" s="1120"/>
      <c r="AK713" s="982"/>
      <c r="BB713" s="992"/>
    </row>
    <row r="714" spans="1:54" s="64" customFormat="1" outlineLevel="1" x14ac:dyDescent="0.25">
      <c r="A714" s="648"/>
      <c r="B714" s="157"/>
      <c r="C714" s="385"/>
      <c r="D714" s="3424"/>
      <c r="E714" s="3903"/>
      <c r="F714" s="1113" t="s">
        <v>1547</v>
      </c>
      <c r="G714" s="242">
        <v>6.3</v>
      </c>
      <c r="H714" s="3470" t="s">
        <v>1814</v>
      </c>
      <c r="I714" s="3482"/>
      <c r="J714" s="3470"/>
      <c r="K714" s="3481"/>
      <c r="L714" s="3481"/>
      <c r="M714" s="3482"/>
      <c r="N714" s="157"/>
      <c r="O714" s="277"/>
      <c r="P714" s="277"/>
      <c r="Q714" s="277"/>
      <c r="R714" s="277"/>
      <c r="S714" s="277"/>
      <c r="T714" s="277"/>
      <c r="U714" s="277"/>
      <c r="V714" s="3902"/>
      <c r="W714" s="237">
        <v>6.3</v>
      </c>
      <c r="X714" s="237">
        <v>6.3</v>
      </c>
      <c r="Y714" s="1119">
        <v>6.3</v>
      </c>
      <c r="Z714" s="237">
        <v>6.3</v>
      </c>
      <c r="AA714" s="237">
        <v>6.3</v>
      </c>
      <c r="AB714" s="237">
        <v>6.3</v>
      </c>
      <c r="AC714" s="1120"/>
      <c r="AD714" s="1120"/>
      <c r="AE714" s="1120"/>
      <c r="AF714" s="1120"/>
      <c r="AG714" s="1120"/>
      <c r="AK714" s="982"/>
      <c r="BB714" s="992"/>
    </row>
    <row r="715" spans="1:54" s="64" customFormat="1" outlineLevel="1" x14ac:dyDescent="0.25">
      <c r="A715" s="648"/>
      <c r="B715" s="157"/>
      <c r="C715" s="385"/>
      <c r="D715" s="3424"/>
      <c r="E715" s="3903"/>
      <c r="F715" s="1113" t="s">
        <v>1549</v>
      </c>
      <c r="G715" s="242">
        <v>6.3</v>
      </c>
      <c r="H715" s="3470"/>
      <c r="I715" s="3482"/>
      <c r="J715" s="3470"/>
      <c r="K715" s="3481"/>
      <c r="L715" s="3481"/>
      <c r="M715" s="3482"/>
      <c r="N715" s="157"/>
      <c r="O715" s="277"/>
      <c r="P715" s="277"/>
      <c r="Q715" s="277"/>
      <c r="R715" s="277"/>
      <c r="S715" s="277"/>
      <c r="T715" s="277"/>
      <c r="U715" s="277"/>
      <c r="V715" s="3902"/>
      <c r="W715" s="237">
        <v>6.3</v>
      </c>
      <c r="X715" s="237">
        <v>6.3</v>
      </c>
      <c r="Y715" s="1119">
        <v>6.3</v>
      </c>
      <c r="Z715" s="237">
        <v>6.3</v>
      </c>
      <c r="AA715" s="237">
        <v>6.3</v>
      </c>
      <c r="AB715" s="237">
        <v>6.3</v>
      </c>
      <c r="AC715" s="1120"/>
      <c r="AD715" s="1120"/>
      <c r="AE715" s="1120"/>
      <c r="AF715" s="1120"/>
      <c r="AG715" s="1120"/>
      <c r="AK715" s="982"/>
      <c r="BB715" s="992"/>
    </row>
    <row r="716" spans="1:54" s="64" customFormat="1" outlineLevel="1" x14ac:dyDescent="0.25">
      <c r="A716" s="648"/>
      <c r="B716" s="157"/>
      <c r="C716" s="385"/>
      <c r="D716" s="3424" t="s">
        <v>1816</v>
      </c>
      <c r="E716" s="3903" t="s">
        <v>1817</v>
      </c>
      <c r="F716" s="1113" t="s">
        <v>1545</v>
      </c>
      <c r="G716" s="242">
        <v>6.3837905236907728</v>
      </c>
      <c r="H716" s="3823" t="s">
        <v>1818</v>
      </c>
      <c r="I716" s="3823"/>
      <c r="J716" s="3823" t="s">
        <v>1819</v>
      </c>
      <c r="K716" s="3823"/>
      <c r="L716" s="3823"/>
      <c r="M716" s="3823"/>
      <c r="N716" s="157"/>
      <c r="O716" s="277"/>
      <c r="P716" s="277"/>
      <c r="Q716" s="277"/>
      <c r="R716" s="277"/>
      <c r="S716" s="277"/>
      <c r="T716" s="277"/>
      <c r="U716" s="277"/>
      <c r="V716" s="3902" t="s">
        <v>1815</v>
      </c>
      <c r="W716" s="237">
        <v>6.3837905236907728</v>
      </c>
      <c r="X716" s="237">
        <v>6.3837905236907728</v>
      </c>
      <c r="Y716" s="1119">
        <v>6.3837905236907728</v>
      </c>
      <c r="Z716" s="237">
        <v>6.3837905236907728</v>
      </c>
      <c r="AA716" s="237">
        <v>6.3837905236907728</v>
      </c>
      <c r="AB716" s="237">
        <v>6.3837905236907728</v>
      </c>
      <c r="AC716" s="1120"/>
      <c r="AD716" s="1120"/>
      <c r="AE716" s="1120"/>
      <c r="AF716" s="1120"/>
      <c r="AG716" s="1120"/>
      <c r="AK716" s="982"/>
      <c r="BB716" s="992"/>
    </row>
    <row r="717" spans="1:54" s="64" customFormat="1" outlineLevel="1" x14ac:dyDescent="0.25">
      <c r="A717" s="648"/>
      <c r="B717" s="157"/>
      <c r="C717" s="385"/>
      <c r="D717" s="3424"/>
      <c r="E717" s="3903"/>
      <c r="F717" s="1113" t="s">
        <v>1546</v>
      </c>
      <c r="G717" s="242">
        <v>6.7249376558603498</v>
      </c>
      <c r="H717" s="3823"/>
      <c r="I717" s="3823"/>
      <c r="J717" s="3823"/>
      <c r="K717" s="3823"/>
      <c r="L717" s="3823"/>
      <c r="M717" s="3823"/>
      <c r="N717" s="157"/>
      <c r="O717" s="277"/>
      <c r="P717" s="277"/>
      <c r="Q717" s="277"/>
      <c r="R717" s="277"/>
      <c r="S717" s="277"/>
      <c r="T717" s="277"/>
      <c r="U717" s="277"/>
      <c r="V717" s="3902"/>
      <c r="W717" s="237">
        <v>6.7249376558603498</v>
      </c>
      <c r="X717" s="1121">
        <v>6.7249376558603498</v>
      </c>
      <c r="Y717" s="1119">
        <v>6.7249376558603498</v>
      </c>
      <c r="Z717" s="237">
        <v>6.7249376558603498</v>
      </c>
      <c r="AA717" s="237">
        <v>6.7249376558603498</v>
      </c>
      <c r="AB717" s="237">
        <v>6.7249376558603498</v>
      </c>
      <c r="AC717" s="1120"/>
      <c r="AD717" s="1120"/>
      <c r="AE717" s="1120"/>
      <c r="AF717" s="1120"/>
      <c r="AG717" s="1120"/>
      <c r="AK717" s="982"/>
      <c r="BB717" s="992"/>
    </row>
    <row r="718" spans="1:54" s="64" customFormat="1" outlineLevel="1" x14ac:dyDescent="0.25">
      <c r="A718" s="648"/>
      <c r="B718" s="157"/>
      <c r="C718" s="385"/>
      <c r="D718" s="3424"/>
      <c r="E718" s="3903"/>
      <c r="F718" s="1113" t="s">
        <v>1547</v>
      </c>
      <c r="G718" s="242">
        <v>6.3568578553615955</v>
      </c>
      <c r="H718" s="3823"/>
      <c r="I718" s="3823"/>
      <c r="J718" s="3823"/>
      <c r="K718" s="3823"/>
      <c r="L718" s="3823"/>
      <c r="M718" s="3823"/>
      <c r="N718" s="157"/>
      <c r="O718" s="277"/>
      <c r="P718" s="277"/>
      <c r="Q718" s="277"/>
      <c r="R718" s="277"/>
      <c r="S718" s="277"/>
      <c r="T718" s="277"/>
      <c r="U718" s="277"/>
      <c r="V718" s="3902"/>
      <c r="W718" s="237">
        <v>6.3568578553615955</v>
      </c>
      <c r="X718" s="237">
        <v>6.3568578553615955</v>
      </c>
      <c r="Y718" s="1119">
        <v>6.3568578553615955</v>
      </c>
      <c r="Z718" s="237">
        <v>6.3568578553615955</v>
      </c>
      <c r="AA718" s="237">
        <v>6.3568578553615955</v>
      </c>
      <c r="AB718" s="237">
        <v>6.3568578553615955</v>
      </c>
      <c r="AC718" s="1120"/>
      <c r="AD718" s="1120"/>
      <c r="AE718" s="1120"/>
      <c r="AF718" s="1120"/>
      <c r="AG718" s="1120"/>
      <c r="AK718" s="982"/>
      <c r="BB718" s="992"/>
    </row>
    <row r="719" spans="1:54" s="64" customFormat="1" outlineLevel="1" x14ac:dyDescent="0.25">
      <c r="A719" s="648"/>
      <c r="B719" s="157"/>
      <c r="C719" s="385"/>
      <c r="D719" s="3424"/>
      <c r="E719" s="3903"/>
      <c r="F719" s="1113" t="s">
        <v>1549</v>
      </c>
      <c r="G719" s="242">
        <v>6.4182044887780547</v>
      </c>
      <c r="H719" s="3823"/>
      <c r="I719" s="3823"/>
      <c r="J719" s="3823"/>
      <c r="K719" s="3823"/>
      <c r="L719" s="3823"/>
      <c r="M719" s="3823"/>
      <c r="N719" s="157"/>
      <c r="O719" s="277"/>
      <c r="P719" s="277"/>
      <c r="Q719" s="277"/>
      <c r="R719" s="277"/>
      <c r="S719" s="277"/>
      <c r="T719" s="277"/>
      <c r="U719" s="277"/>
      <c r="V719" s="3902"/>
      <c r="W719" s="237">
        <v>6.4182044887780547</v>
      </c>
      <c r="X719" s="1121">
        <v>6.4182044887780547</v>
      </c>
      <c r="Y719" s="1119">
        <v>6.4182044887780547</v>
      </c>
      <c r="Z719" s="237">
        <v>6.4182044887780547</v>
      </c>
      <c r="AA719" s="237">
        <v>6.4182044887780547</v>
      </c>
      <c r="AB719" s="237">
        <v>6.4182044887780547</v>
      </c>
      <c r="AC719" s="1120"/>
      <c r="AD719" s="1120"/>
      <c r="AE719" s="1120"/>
      <c r="AF719" s="1120"/>
      <c r="AG719" s="1120"/>
      <c r="AK719" s="982"/>
      <c r="BB719" s="992"/>
    </row>
    <row r="720" spans="1:54" s="64" customFormat="1" outlineLevel="1" x14ac:dyDescent="0.25">
      <c r="A720" s="648"/>
      <c r="B720" s="157"/>
      <c r="C720" s="385"/>
      <c r="D720" s="1445" t="str">
        <f>D650</f>
        <v>EUL</v>
      </c>
      <c r="E720" s="1122" t="str">
        <f>E582</f>
        <v>Effective Useful Life</v>
      </c>
      <c r="F720" s="1113" t="s">
        <v>591</v>
      </c>
      <c r="G720" s="1123">
        <v>2</v>
      </c>
      <c r="H720" s="3424"/>
      <c r="I720" s="3424"/>
      <c r="J720" s="3424"/>
      <c r="K720" s="3424"/>
      <c r="L720" s="3424"/>
      <c r="M720" s="3424"/>
      <c r="N720" s="157"/>
      <c r="O720" s="157"/>
      <c r="P720" s="157"/>
      <c r="Q720" s="157"/>
      <c r="R720" s="157"/>
      <c r="S720" s="157"/>
      <c r="T720" s="157"/>
      <c r="U720" s="157"/>
      <c r="V720" s="1065" t="str">
        <f>D720</f>
        <v>EUL</v>
      </c>
      <c r="W720" s="1124">
        <v>2</v>
      </c>
      <c r="X720" s="237">
        <v>2</v>
      </c>
      <c r="Y720" s="1119">
        <v>2</v>
      </c>
      <c r="Z720" s="237">
        <v>2</v>
      </c>
      <c r="AA720" s="237">
        <v>2</v>
      </c>
      <c r="AB720" s="237">
        <v>2</v>
      </c>
      <c r="AC720" s="1120"/>
      <c r="AD720" s="1120"/>
      <c r="AE720" s="1120"/>
      <c r="AF720" s="1120"/>
      <c r="AG720" s="1120"/>
      <c r="AK720" s="982"/>
      <c r="BB720" s="992"/>
    </row>
    <row r="721" spans="1:57" s="128" customFormat="1" outlineLevel="1" x14ac:dyDescent="0.25">
      <c r="A721" s="272"/>
      <c r="B721" s="272"/>
      <c r="C721" s="229"/>
      <c r="D721" s="3821" t="str">
        <f>D583</f>
        <v>Inc. Cost</v>
      </c>
      <c r="E721" s="3821" t="str">
        <f>E583</f>
        <v>Incremental Cost</v>
      </c>
      <c r="F721" s="1113" t="s">
        <v>1545</v>
      </c>
      <c r="G721" s="1446">
        <v>70</v>
      </c>
      <c r="H721" s="3424"/>
      <c r="I721" s="3424"/>
      <c r="J721" s="3424"/>
      <c r="K721" s="3424"/>
      <c r="L721" s="3424"/>
      <c r="M721" s="3424"/>
      <c r="N721" s="198"/>
      <c r="O721" s="198"/>
      <c r="P721" s="198"/>
      <c r="Q721" s="198"/>
      <c r="R721" s="272"/>
      <c r="S721" s="272"/>
      <c r="T721" s="272"/>
      <c r="U721" s="272"/>
      <c r="V721" s="3824" t="str">
        <f>D721</f>
        <v>Inc. Cost</v>
      </c>
      <c r="W721" s="1114">
        <v>70</v>
      </c>
      <c r="X721" s="244">
        <v>70</v>
      </c>
      <c r="Y721" s="245">
        <v>70</v>
      </c>
      <c r="Z721" s="244">
        <v>70</v>
      </c>
      <c r="AA721" s="244">
        <v>70</v>
      </c>
      <c r="AB721" s="244">
        <v>70</v>
      </c>
      <c r="AC721" s="246"/>
      <c r="AD721" s="246"/>
      <c r="AE721" s="246"/>
      <c r="AF721" s="246"/>
      <c r="AG721" s="246"/>
      <c r="AK721" s="982"/>
      <c r="BB721" s="1111"/>
    </row>
    <row r="722" spans="1:57" s="128" customFormat="1" outlineLevel="1" x14ac:dyDescent="0.25">
      <c r="A722" s="272"/>
      <c r="B722" s="272"/>
      <c r="C722" s="229"/>
      <c r="D722" s="3833"/>
      <c r="E722" s="3833"/>
      <c r="F722" s="1113" t="s">
        <v>1546</v>
      </c>
      <c r="G722" s="1446">
        <v>81</v>
      </c>
      <c r="H722" s="3424"/>
      <c r="I722" s="3424"/>
      <c r="J722" s="3424"/>
      <c r="K722" s="3424"/>
      <c r="L722" s="3424"/>
      <c r="M722" s="3424"/>
      <c r="N722" s="198"/>
      <c r="O722" s="198"/>
      <c r="P722" s="198"/>
      <c r="Q722" s="198"/>
      <c r="R722" s="272"/>
      <c r="S722" s="272"/>
      <c r="T722" s="272"/>
      <c r="U722" s="272"/>
      <c r="V722" s="3834"/>
      <c r="W722" s="1114">
        <v>81</v>
      </c>
      <c r="X722" s="244">
        <v>81</v>
      </c>
      <c r="Y722" s="245">
        <v>81</v>
      </c>
      <c r="Z722" s="244">
        <v>81</v>
      </c>
      <c r="AA722" s="244">
        <v>81</v>
      </c>
      <c r="AB722" s="244">
        <v>81</v>
      </c>
      <c r="AC722" s="246"/>
      <c r="AD722" s="246"/>
      <c r="AE722" s="246"/>
      <c r="AF722" s="246"/>
      <c r="AG722" s="246"/>
      <c r="AK722" s="982"/>
      <c r="BB722" s="1111"/>
    </row>
    <row r="723" spans="1:57" s="128" customFormat="1" outlineLevel="1" x14ac:dyDescent="0.25">
      <c r="A723" s="272"/>
      <c r="B723" s="272"/>
      <c r="C723" s="229"/>
      <c r="D723" s="3833"/>
      <c r="E723" s="3833"/>
      <c r="F723" s="1113" t="s">
        <v>1547</v>
      </c>
      <c r="G723" s="1446">
        <v>63</v>
      </c>
      <c r="H723" s="3424"/>
      <c r="I723" s="3424"/>
      <c r="J723" s="3424"/>
      <c r="K723" s="3424"/>
      <c r="L723" s="3424"/>
      <c r="M723" s="3424"/>
      <c r="N723" s="198"/>
      <c r="O723" s="198"/>
      <c r="P723" s="198"/>
      <c r="Q723" s="198"/>
      <c r="R723" s="272"/>
      <c r="S723" s="272"/>
      <c r="T723" s="272"/>
      <c r="U723" s="272"/>
      <c r="V723" s="3834"/>
      <c r="W723" s="1114">
        <v>63</v>
      </c>
      <c r="X723" s="244">
        <v>63</v>
      </c>
      <c r="Y723" s="245">
        <v>63</v>
      </c>
      <c r="Z723" s="244">
        <v>63</v>
      </c>
      <c r="AA723" s="244">
        <v>63</v>
      </c>
      <c r="AB723" s="244">
        <v>63</v>
      </c>
      <c r="AC723" s="246"/>
      <c r="AD723" s="246"/>
      <c r="AE723" s="246"/>
      <c r="AF723" s="246"/>
      <c r="AG723" s="246"/>
      <c r="AK723" s="982"/>
      <c r="BB723" s="1111"/>
    </row>
    <row r="724" spans="1:57" s="128" customFormat="1" outlineLevel="1" x14ac:dyDescent="0.25">
      <c r="A724" s="272"/>
      <c r="B724" s="272"/>
      <c r="C724" s="229"/>
      <c r="D724" s="3438"/>
      <c r="E724" s="3438"/>
      <c r="F724" s="1113" t="s">
        <v>1549</v>
      </c>
      <c r="G724" s="1447">
        <v>31</v>
      </c>
      <c r="H724" s="3424"/>
      <c r="I724" s="3424"/>
      <c r="J724" s="3424"/>
      <c r="K724" s="3424"/>
      <c r="L724" s="3424"/>
      <c r="M724" s="3424"/>
      <c r="N724" s="272"/>
      <c r="O724" s="272"/>
      <c r="P724" s="272"/>
      <c r="Q724" s="272"/>
      <c r="R724" s="272"/>
      <c r="S724" s="272"/>
      <c r="T724" s="272"/>
      <c r="U724" s="272"/>
      <c r="V724" s="3825"/>
      <c r="W724" s="244">
        <v>31</v>
      </c>
      <c r="X724" s="244">
        <v>31</v>
      </c>
      <c r="Y724" s="245">
        <v>31</v>
      </c>
      <c r="Z724" s="244">
        <v>31</v>
      </c>
      <c r="AA724" s="244">
        <v>31</v>
      </c>
      <c r="AB724" s="244">
        <v>31</v>
      </c>
      <c r="AC724" s="246"/>
      <c r="AD724" s="246"/>
      <c r="AE724" s="246"/>
      <c r="AF724" s="246"/>
      <c r="AG724" s="246"/>
      <c r="AK724" s="982"/>
      <c r="BB724" s="1111"/>
    </row>
    <row r="725" spans="1:57" ht="15" customHeight="1" x14ac:dyDescent="0.25">
      <c r="B725" s="1359"/>
      <c r="C725" s="274"/>
      <c r="AK725" s="982"/>
    </row>
    <row r="726" spans="1:57" x14ac:dyDescent="0.25">
      <c r="B726" s="1359"/>
      <c r="C726" s="274"/>
      <c r="AK726" s="982"/>
    </row>
    <row r="727" spans="1:57" ht="15" customHeight="1" x14ac:dyDescent="0.25">
      <c r="B727" s="3350" t="s">
        <v>3689</v>
      </c>
      <c r="C727" s="3351"/>
      <c r="D727" s="3351"/>
      <c r="E727" s="3351"/>
      <c r="F727" s="3351"/>
      <c r="G727" s="3351"/>
      <c r="H727" s="3351"/>
      <c r="I727" s="3352"/>
      <c r="J727" s="3352"/>
      <c r="K727" s="3352"/>
      <c r="L727" s="3352"/>
      <c r="M727" s="3352"/>
      <c r="N727" s="3352"/>
      <c r="O727" s="3352"/>
      <c r="P727" s="3352"/>
      <c r="Q727" s="3352"/>
      <c r="R727" s="3353"/>
      <c r="V727" s="3904" t="str">
        <f>B727</f>
        <v>Low Flow Faucet Aerators (Bathroom)</v>
      </c>
      <c r="W727" s="3905"/>
      <c r="X727" s="3905"/>
      <c r="Y727" s="3905"/>
      <c r="Z727" s="3905"/>
      <c r="AA727" s="3905"/>
      <c r="AB727" s="3905"/>
      <c r="AC727" s="3906"/>
      <c r="AD727" s="3906"/>
      <c r="AE727" s="3906"/>
      <c r="AF727" s="3906"/>
      <c r="AG727" s="3906"/>
      <c r="AH727" s="3906"/>
      <c r="AI727" s="3907"/>
      <c r="AK727" s="982"/>
    </row>
    <row r="728" spans="1:57" ht="15" customHeight="1" x14ac:dyDescent="0.25">
      <c r="B728" s="1359"/>
      <c r="C728" s="274"/>
      <c r="D728" s="482"/>
      <c r="E728" s="482"/>
      <c r="F728" s="275"/>
      <c r="G728" s="275"/>
      <c r="H728" s="275"/>
      <c r="I728" s="275"/>
      <c r="J728" s="275"/>
      <c r="K728" s="275"/>
      <c r="L728" s="1635"/>
      <c r="AK728" s="982"/>
    </row>
    <row r="729" spans="1:57" ht="30" x14ac:dyDescent="0.25">
      <c r="B729" s="1359"/>
      <c r="C729" s="3002" t="s">
        <v>17</v>
      </c>
      <c r="D729" s="3002" t="s">
        <v>616</v>
      </c>
      <c r="E729" s="3002" t="s">
        <v>19</v>
      </c>
      <c r="F729" s="3002" t="s">
        <v>1682</v>
      </c>
      <c r="G729" s="3002" t="s">
        <v>21</v>
      </c>
      <c r="H729" s="3002" t="s">
        <v>22</v>
      </c>
      <c r="I729" s="3002" t="s">
        <v>933</v>
      </c>
      <c r="J729" s="3002" t="s">
        <v>23</v>
      </c>
      <c r="K729" s="3002" t="s">
        <v>24</v>
      </c>
      <c r="L729" s="3002" t="s">
        <v>25</v>
      </c>
      <c r="M729" s="3002" t="s">
        <v>26</v>
      </c>
      <c r="V729" s="55" t="s">
        <v>27</v>
      </c>
      <c r="W729" s="56">
        <f>W$6</f>
        <v>43252</v>
      </c>
      <c r="X729" s="56">
        <f t="shared" ref="X729:AG729" si="95">X$6</f>
        <v>43465</v>
      </c>
      <c r="Y729" s="420">
        <f t="shared" si="95"/>
        <v>43800</v>
      </c>
      <c r="Z729" s="56">
        <f t="shared" si="95"/>
        <v>43862</v>
      </c>
      <c r="AA729" s="56">
        <f t="shared" si="95"/>
        <v>44013</v>
      </c>
      <c r="AB729" s="56">
        <f t="shared" si="95"/>
        <v>44166</v>
      </c>
      <c r="AC729" s="56" t="str">
        <f t="shared" si="95"/>
        <v>-</v>
      </c>
      <c r="AD729" s="56" t="str">
        <f t="shared" si="95"/>
        <v>-</v>
      </c>
      <c r="AE729" s="56" t="str">
        <f t="shared" si="95"/>
        <v>-</v>
      </c>
      <c r="AF729" s="56" t="str">
        <f t="shared" si="95"/>
        <v>-</v>
      </c>
      <c r="AG729" s="56" t="str">
        <f t="shared" si="95"/>
        <v>-</v>
      </c>
      <c r="AK729" s="982"/>
      <c r="BB729" s="57" t="str">
        <f>$BB$6</f>
        <v>TRC (2020)</v>
      </c>
      <c r="BC729" s="93" t="str">
        <f>$BC$6</f>
        <v>Benefit Lookup</v>
      </c>
      <c r="BD729" s="741" t="str">
        <f>$BD$6</f>
        <v>Benefits (2019 $)</v>
      </c>
      <c r="BE729" s="279" t="str">
        <f>$BE$6</f>
        <v>Incremental Cost (2019 $)</v>
      </c>
    </row>
    <row r="730" spans="1:57" s="993" customFormat="1" x14ac:dyDescent="0.25">
      <c r="A730" s="1012"/>
      <c r="B730" s="1823"/>
      <c r="C730" s="1658" t="s">
        <v>1820</v>
      </c>
      <c r="D730" s="3048" t="s">
        <v>1518</v>
      </c>
      <c r="E730" s="3045" t="s">
        <v>1821</v>
      </c>
      <c r="F730" s="601">
        <f>ROUND(G742*(G743*G744-G745*G746)*G747*G748*G749/G750*I730*G758*G757,2)</f>
        <v>37.020000000000003</v>
      </c>
      <c r="G730" s="517" t="s">
        <v>1822</v>
      </c>
      <c r="H730" s="515">
        <f>VLOOKUP(G730,'CP FACTORS'!$A$3:$B$38, 2, FALSE)</f>
        <v>8.8731800000000003E-5</v>
      </c>
      <c r="I730" s="596">
        <f>$G$751*$G$752*($G$753-$G$754)/($G$755*$G$756)</f>
        <v>4.658558030480657E-2</v>
      </c>
      <c r="J730" s="1888">
        <f>ROUND(F730*H730,6)</f>
        <v>3.2850000000000002E-3</v>
      </c>
      <c r="K730" s="2759">
        <f>$G$760</f>
        <v>11</v>
      </c>
      <c r="L730" s="2758">
        <f>G761</f>
        <v>3</v>
      </c>
      <c r="M730" s="517" t="s">
        <v>37</v>
      </c>
      <c r="N730" s="1012"/>
      <c r="O730" s="1012"/>
      <c r="P730" s="1172"/>
      <c r="Q730" s="1172"/>
      <c r="R730" s="1627"/>
      <c r="S730" s="1172"/>
      <c r="T730" s="1172"/>
      <c r="U730" s="1012"/>
      <c r="V730" s="1125" t="str">
        <f>F729</f>
        <v>kWh
Annual Savings</v>
      </c>
      <c r="W730" s="1097">
        <v>38.83611813974143</v>
      </c>
      <c r="X730" s="1126">
        <v>40.786805206808886</v>
      </c>
      <c r="Y730" s="488">
        <v>36.979999999999997</v>
      </c>
      <c r="Z730" s="2582">
        <v>36.979999999999997</v>
      </c>
      <c r="AA730" s="2582">
        <v>36.979999999999997</v>
      </c>
      <c r="AB730" s="2322">
        <v>37.020000000000003</v>
      </c>
      <c r="AC730" s="1125"/>
      <c r="AD730" s="1125"/>
      <c r="AE730" s="1125"/>
      <c r="AF730" s="1125"/>
      <c r="AG730" s="1125"/>
      <c r="AH730" s="456"/>
      <c r="AK730" s="1127"/>
      <c r="BB730" s="1128">
        <f>(BD730)/(BE730)</f>
        <v>4.8410687977914924</v>
      </c>
      <c r="BC730" s="68" t="str">
        <f>CONCATENATE(G730," ",K730," Year EUL")</f>
        <v>Water heating RES 11 Year EUL</v>
      </c>
      <c r="BD730" s="145">
        <f>(INDEX('Avoided Cost Benefits'!$C$4:$C$857,MATCH(BC730,'Avoided Cost Benefits'!$A$4:$A$857,0)))*F730</f>
        <v>13.707603957880581</v>
      </c>
      <c r="BE730" s="1129">
        <f>L730/(1.0595^(2020-2019))</f>
        <v>2.8315243039169418</v>
      </c>
    </row>
    <row r="731" spans="1:57" s="993" customFormat="1" x14ac:dyDescent="0.25">
      <c r="A731" s="1012"/>
      <c r="B731" s="1823"/>
      <c r="C731" s="517" t="s">
        <v>3856</v>
      </c>
      <c r="D731" s="517" t="s">
        <v>1515</v>
      </c>
      <c r="E731" s="1090" t="s">
        <v>3686</v>
      </c>
      <c r="F731" s="601">
        <f>ROUND(G742*(G743*G744-G745*G746)*G747*G748*G749/G750*I730*G758*G757,2)</f>
        <v>37.020000000000003</v>
      </c>
      <c r="G731" s="517" t="s">
        <v>1822</v>
      </c>
      <c r="H731" s="202">
        <f>VLOOKUP(G731,'CP FACTORS'!$A$3:$B$38, 2, FALSE)</f>
        <v>8.8731800000000003E-5</v>
      </c>
      <c r="I731" s="596">
        <f t="shared" ref="I731:I733" si="96">$G$751*$G$752*($G$753-$G$754)/($G$755*$G$756)</f>
        <v>4.658558030480657E-2</v>
      </c>
      <c r="J731" s="1888">
        <f>ROUND(F731*H731,6)</f>
        <v>3.2850000000000002E-3</v>
      </c>
      <c r="K731" s="2759">
        <f>$G$760</f>
        <v>11</v>
      </c>
      <c r="L731" s="2758">
        <f>G761</f>
        <v>3</v>
      </c>
      <c r="M731" s="517" t="s">
        <v>37</v>
      </c>
      <c r="N731" s="1012"/>
      <c r="O731" s="1012"/>
      <c r="P731" s="1172"/>
      <c r="Q731" s="1172"/>
      <c r="R731" s="1627"/>
      <c r="S731" s="1172"/>
      <c r="T731" s="1172"/>
      <c r="U731" s="1012"/>
      <c r="V731" s="2305" t="str">
        <f>V730</f>
        <v>kWh
Annual Savings</v>
      </c>
      <c r="W731" s="1097"/>
      <c r="X731" s="1126"/>
      <c r="Y731" s="488"/>
      <c r="Z731" s="2582"/>
      <c r="AA731" s="2582"/>
      <c r="AB731" s="2322">
        <v>37.020000000000003</v>
      </c>
      <c r="AC731" s="1125"/>
      <c r="AD731" s="1125"/>
      <c r="AE731" s="1125"/>
      <c r="AF731" s="1125"/>
      <c r="AG731" s="1125"/>
      <c r="AH731" s="456"/>
      <c r="AK731" s="1127"/>
      <c r="BB731" s="1131"/>
      <c r="BC731" s="2295"/>
      <c r="BD731" s="148"/>
      <c r="BE731" s="1132"/>
    </row>
    <row r="732" spans="1:57" s="993" customFormat="1" x14ac:dyDescent="0.25">
      <c r="A732" s="1012"/>
      <c r="B732" s="1823"/>
      <c r="C732" s="1658" t="s">
        <v>1823</v>
      </c>
      <c r="D732" s="3048" t="s">
        <v>1824</v>
      </c>
      <c r="E732" s="3045" t="s">
        <v>1825</v>
      </c>
      <c r="F732" s="3274">
        <f>ROUND(G742*(G743*G744-G745*G746)*G747*G748*G749/G750*I732*G759*G757,2)</f>
        <v>35.17</v>
      </c>
      <c r="G732" s="517" t="s">
        <v>1822</v>
      </c>
      <c r="H732" s="515">
        <f>VLOOKUP(G732,'CP FACTORS'!$A$3:$B$38, 2, FALSE)</f>
        <v>8.8731800000000003E-5</v>
      </c>
      <c r="I732" s="596">
        <f t="shared" si="96"/>
        <v>4.658558030480657E-2</v>
      </c>
      <c r="J732" s="1888">
        <f>ROUND(F732*H732,6)</f>
        <v>3.1210000000000001E-3</v>
      </c>
      <c r="K732" s="2759">
        <f>$G$760</f>
        <v>11</v>
      </c>
      <c r="L732" s="2758">
        <f>$G$762</f>
        <v>11.33</v>
      </c>
      <c r="M732" s="517" t="s">
        <v>37</v>
      </c>
      <c r="N732" s="1012"/>
      <c r="O732" s="1012"/>
      <c r="P732" s="1012"/>
      <c r="Q732" s="1012"/>
      <c r="R732" s="1627"/>
      <c r="S732" s="1012"/>
      <c r="T732" s="1012"/>
      <c r="U732" s="1012"/>
      <c r="V732" s="1125" t="str">
        <f t="shared" ref="V732:V733" si="97">V731</f>
        <v>kWh
Annual Savings</v>
      </c>
      <c r="W732" s="1097">
        <v>37.942887422527377</v>
      </c>
      <c r="X732" s="1130">
        <v>40.786805206808886</v>
      </c>
      <c r="Y732" s="488">
        <v>35.130000000000003</v>
      </c>
      <c r="Z732" s="2582">
        <v>35.130000000000003</v>
      </c>
      <c r="AA732" s="2582">
        <v>35.130000000000003</v>
      </c>
      <c r="AB732" s="2322">
        <v>35.17</v>
      </c>
      <c r="AC732" s="1125"/>
      <c r="AD732" s="1125"/>
      <c r="AE732" s="1125"/>
      <c r="AF732" s="1125"/>
      <c r="AG732" s="1125"/>
      <c r="AH732" s="456"/>
      <c r="AK732" s="1127"/>
      <c r="BB732" s="1131">
        <f>(BD732)/(BE732)</f>
        <v>1.217779203948774</v>
      </c>
      <c r="BC732" s="72" t="str">
        <f>CONCATENATE(G732," ",K732," Year EUL")</f>
        <v>Water heating RES 11 Year EUL</v>
      </c>
      <c r="BD732" s="148">
        <f>(INDEX('Avoided Cost Benefits'!$C$4:$C$857,MATCH(BC732,'Avoided Cost Benefits'!$A$4:$A$857,0)))*F732</f>
        <v>13.022594035620205</v>
      </c>
      <c r="BE732" s="1132">
        <f>L732/(1.0595^(2020-2019))</f>
        <v>10.693723454459649</v>
      </c>
    </row>
    <row r="733" spans="1:57" s="993" customFormat="1" x14ac:dyDescent="0.25">
      <c r="A733" s="1012"/>
      <c r="B733" s="1823"/>
      <c r="C733" s="1658" t="s">
        <v>1826</v>
      </c>
      <c r="D733" s="3048" t="s">
        <v>1827</v>
      </c>
      <c r="E733" s="3045" t="s">
        <v>1828</v>
      </c>
      <c r="F733" s="601">
        <f>ROUND(G742*(G743*G744-G745*G746)*G747*G748*G749/G750*I733*G759*G757,2)</f>
        <v>35.17</v>
      </c>
      <c r="G733" s="517" t="s">
        <v>1822</v>
      </c>
      <c r="H733" s="515">
        <f>VLOOKUP(G733,'CP FACTORS'!$A$3:$B$38, 2, FALSE)</f>
        <v>8.8731800000000003E-5</v>
      </c>
      <c r="I733" s="596">
        <f t="shared" si="96"/>
        <v>4.658558030480657E-2</v>
      </c>
      <c r="J733" s="1888">
        <f>ROUND(F733*H733,6)</f>
        <v>3.1210000000000001E-3</v>
      </c>
      <c r="K733" s="2759">
        <f>$G$760</f>
        <v>11</v>
      </c>
      <c r="L733" s="2758">
        <f>$G$762</f>
        <v>11.33</v>
      </c>
      <c r="M733" s="517" t="s">
        <v>37</v>
      </c>
      <c r="N733" s="1012"/>
      <c r="O733" s="1012"/>
      <c r="P733" s="1012"/>
      <c r="Q733" s="1012"/>
      <c r="R733" s="1627"/>
      <c r="S733" s="1012"/>
      <c r="T733" s="1012"/>
      <c r="U733" s="1012"/>
      <c r="V733" s="1125" t="str">
        <f t="shared" si="97"/>
        <v>kWh
Annual Savings</v>
      </c>
      <c r="W733" s="1097">
        <v>37.942887422527377</v>
      </c>
      <c r="X733" s="1126">
        <v>40.786805206808886</v>
      </c>
      <c r="Y733" s="488">
        <v>35.130000000000003</v>
      </c>
      <c r="Z733" s="2582">
        <v>35.130000000000003</v>
      </c>
      <c r="AA733" s="2582">
        <v>35.130000000000003</v>
      </c>
      <c r="AB733" s="2322">
        <v>35.17</v>
      </c>
      <c r="AC733" s="1125"/>
      <c r="AD733" s="1125"/>
      <c r="AE733" s="1125"/>
      <c r="AF733" s="1125"/>
      <c r="AG733" s="1125"/>
      <c r="AH733" s="456"/>
      <c r="AK733" s="1127"/>
      <c r="BB733" s="1133">
        <f>(BD733)/(BE733)</f>
        <v>1.217779203948774</v>
      </c>
      <c r="BC733" s="72" t="str">
        <f>CONCATENATE(G733," ",K733," Year EUL")</f>
        <v>Water heating RES 11 Year EUL</v>
      </c>
      <c r="BD733" s="153">
        <f>(INDEX('Avoided Cost Benefits'!$C$4:$C$857,MATCH(BC733,'Avoided Cost Benefits'!$A$4:$A$857,0)))*F733</f>
        <v>13.022594035620205</v>
      </c>
      <c r="BE733" s="1134">
        <f>L733/(1.0595^(2020-2019))</f>
        <v>10.693723454459649</v>
      </c>
    </row>
    <row r="734" spans="1:57" outlineLevel="1" x14ac:dyDescent="0.25">
      <c r="B734" s="1359"/>
      <c r="C734" s="274"/>
      <c r="D734" s="1326"/>
      <c r="E734" s="1326"/>
      <c r="F734" s="1889"/>
      <c r="G734" s="1052"/>
      <c r="H734" s="1890"/>
      <c r="I734" s="1135"/>
      <c r="J734" s="1135"/>
      <c r="K734" s="1135"/>
      <c r="L734" s="1891"/>
      <c r="V734"/>
      <c r="W734" s="64"/>
      <c r="X734"/>
      <c r="Y734" s="135"/>
      <c r="Z734"/>
      <c r="AA734"/>
      <c r="AB734"/>
      <c r="AC734"/>
      <c r="AD734"/>
      <c r="AE734"/>
      <c r="AF734"/>
      <c r="AG734"/>
      <c r="AH734" s="211"/>
      <c r="AK734" s="982"/>
    </row>
    <row r="735" spans="1:57" outlineLevel="1" x14ac:dyDescent="0.25">
      <c r="B735" s="1359"/>
      <c r="C735" s="274"/>
      <c r="D735" s="1332"/>
      <c r="E735" s="1332"/>
      <c r="F735" s="1889"/>
      <c r="G735" s="1701"/>
      <c r="H735" s="1892"/>
      <c r="I735" s="1136"/>
      <c r="J735" s="1136"/>
      <c r="K735" s="1136"/>
      <c r="L735" s="1136"/>
      <c r="V735"/>
      <c r="W735"/>
      <c r="X735"/>
      <c r="Y735" s="135"/>
      <c r="Z735"/>
      <c r="AA735"/>
      <c r="AB735"/>
      <c r="AC735"/>
      <c r="AD735"/>
      <c r="AE735"/>
      <c r="AF735"/>
      <c r="AG735"/>
      <c r="AK735" s="982"/>
    </row>
    <row r="736" spans="1:57" outlineLevel="1" x14ac:dyDescent="0.25">
      <c r="B736" s="1359"/>
      <c r="C736" s="274"/>
      <c r="D736" s="222" t="s">
        <v>571</v>
      </c>
      <c r="E736" s="1332"/>
      <c r="F736" s="1889"/>
      <c r="G736" s="1136"/>
      <c r="H736" s="1701"/>
      <c r="I736" s="1136"/>
      <c r="J736" s="1136"/>
      <c r="K736" s="1136"/>
      <c r="L736" s="1136"/>
      <c r="V736"/>
      <c r="W736"/>
      <c r="X736"/>
      <c r="Y736" s="135"/>
      <c r="Z736"/>
      <c r="AA736"/>
      <c r="AB736"/>
      <c r="AC736"/>
      <c r="AD736"/>
      <c r="AE736"/>
      <c r="AF736"/>
      <c r="AG736"/>
      <c r="AK736" s="982"/>
    </row>
    <row r="737" spans="2:37" outlineLevel="1" x14ac:dyDescent="0.25">
      <c r="B737" s="1359"/>
      <c r="C737" s="302"/>
      <c r="D737" s="1893"/>
      <c r="E737" s="1894"/>
      <c r="F737" s="1895"/>
      <c r="G737" s="1895"/>
      <c r="H737" s="1136"/>
      <c r="I737" s="1136"/>
      <c r="J737" s="1136"/>
      <c r="K737" s="1136"/>
      <c r="L737" s="1136"/>
      <c r="V737"/>
      <c r="W737"/>
      <c r="X737"/>
      <c r="Y737" s="135"/>
      <c r="Z737"/>
      <c r="AA737"/>
      <c r="AB737"/>
      <c r="AC737"/>
      <c r="AD737"/>
      <c r="AE737"/>
      <c r="AF737"/>
      <c r="AG737"/>
      <c r="AK737" s="982"/>
    </row>
    <row r="738" spans="2:37" outlineLevel="1" x14ac:dyDescent="0.25">
      <c r="B738" s="1359"/>
      <c r="C738" s="316"/>
      <c r="D738" s="1896"/>
      <c r="E738" s="1897"/>
      <c r="F738" s="1898"/>
      <c r="G738" s="1898"/>
      <c r="H738" s="1136"/>
      <c r="I738" s="1136"/>
      <c r="J738" s="1136"/>
      <c r="K738" s="1136"/>
      <c r="L738" s="1136"/>
      <c r="V738"/>
      <c r="W738"/>
      <c r="X738"/>
      <c r="Y738" s="135"/>
      <c r="Z738"/>
      <c r="AA738"/>
      <c r="AB738"/>
      <c r="AC738"/>
      <c r="AD738"/>
      <c r="AE738"/>
      <c r="AF738"/>
      <c r="AG738"/>
      <c r="AK738" s="982"/>
    </row>
    <row r="739" spans="2:37" ht="15" customHeight="1" outlineLevel="1" x14ac:dyDescent="0.25">
      <c r="B739" s="1359"/>
      <c r="C739" s="316"/>
      <c r="D739" s="1828"/>
      <c r="E739" s="1829"/>
      <c r="F739" s="1830"/>
      <c r="G739" s="1830"/>
      <c r="V739"/>
      <c r="W739"/>
      <c r="X739"/>
      <c r="Y739" s="135"/>
      <c r="Z739"/>
      <c r="AA739"/>
      <c r="AB739"/>
      <c r="AC739"/>
      <c r="AD739"/>
      <c r="AE739"/>
      <c r="AF739"/>
      <c r="AG739"/>
      <c r="AK739" s="982"/>
    </row>
    <row r="740" spans="2:37" outlineLevel="1" x14ac:dyDescent="0.25">
      <c r="B740" s="1359"/>
      <c r="C740" s="274"/>
      <c r="D740" s="1900"/>
      <c r="V740"/>
      <c r="W740"/>
      <c r="X740"/>
      <c r="Y740" s="135"/>
      <c r="Z740"/>
      <c r="AA740"/>
      <c r="AB740"/>
      <c r="AC740"/>
      <c r="AD740"/>
      <c r="AE740"/>
      <c r="AF740"/>
      <c r="AG740"/>
      <c r="AK740" s="982"/>
    </row>
    <row r="741" spans="2:37" ht="45.75" customHeight="1" outlineLevel="1" x14ac:dyDescent="0.25">
      <c r="B741" s="1359"/>
      <c r="C741" s="274"/>
      <c r="D741" s="1456" t="s">
        <v>572</v>
      </c>
      <c r="E741" s="1456" t="s">
        <v>573</v>
      </c>
      <c r="F741" s="1409" t="s">
        <v>1829</v>
      </c>
      <c r="G741" s="1412" t="s">
        <v>574</v>
      </c>
      <c r="H741" s="3419" t="s">
        <v>624</v>
      </c>
      <c r="I741" s="3419"/>
      <c r="J741" s="3908" t="s">
        <v>575</v>
      </c>
      <c r="K741" s="3909"/>
      <c r="L741" s="3910"/>
      <c r="V741" s="55" t="s">
        <v>27</v>
      </c>
      <c r="W741" s="56">
        <f>W$6</f>
        <v>43252</v>
      </c>
      <c r="X741" s="56">
        <f t="shared" ref="X741:AG741" si="98">X$6</f>
        <v>43465</v>
      </c>
      <c r="Y741" s="420">
        <f t="shared" si="98"/>
        <v>43800</v>
      </c>
      <c r="Z741" s="56">
        <f t="shared" si="98"/>
        <v>43862</v>
      </c>
      <c r="AA741" s="56">
        <f t="shared" si="98"/>
        <v>44013</v>
      </c>
      <c r="AB741" s="56">
        <f t="shared" si="98"/>
        <v>44166</v>
      </c>
      <c r="AC741" s="56" t="str">
        <f t="shared" si="98"/>
        <v>-</v>
      </c>
      <c r="AD741" s="56" t="str">
        <f t="shared" si="98"/>
        <v>-</v>
      </c>
      <c r="AE741" s="56" t="str">
        <f t="shared" si="98"/>
        <v>-</v>
      </c>
      <c r="AF741" s="56" t="str">
        <f t="shared" si="98"/>
        <v>-</v>
      </c>
      <c r="AG741" s="56" t="str">
        <f t="shared" si="98"/>
        <v>-</v>
      </c>
      <c r="AK741" s="982"/>
    </row>
    <row r="742" spans="2:37" ht="15" customHeight="1" outlineLevel="1" x14ac:dyDescent="0.25">
      <c r="B742" s="1359"/>
      <c r="D742" s="3008" t="s">
        <v>937</v>
      </c>
      <c r="E742" s="3008" t="s">
        <v>938</v>
      </c>
      <c r="F742" s="3008"/>
      <c r="G742" s="1150">
        <v>1</v>
      </c>
      <c r="H742" s="3493" t="s">
        <v>930</v>
      </c>
      <c r="I742" s="3494"/>
      <c r="J742" s="3911" t="s">
        <v>1726</v>
      </c>
      <c r="K742" s="3912"/>
      <c r="L742" s="3912"/>
      <c r="V742" s="527" t="s">
        <v>937</v>
      </c>
      <c r="W742" s="1074">
        <v>1</v>
      </c>
      <c r="X742" s="1074">
        <v>1</v>
      </c>
      <c r="Y742" s="1074">
        <v>1</v>
      </c>
      <c r="Z742" s="1150">
        <v>1</v>
      </c>
      <c r="AA742" s="1150">
        <v>1</v>
      </c>
      <c r="AB742" s="1150">
        <v>1</v>
      </c>
      <c r="AC742" s="208"/>
      <c r="AD742" s="208"/>
      <c r="AE742" s="208"/>
      <c r="AF742" s="208"/>
      <c r="AG742" s="208"/>
      <c r="AK742" s="982"/>
    </row>
    <row r="743" spans="2:37" ht="105" customHeight="1" outlineLevel="1" x14ac:dyDescent="0.25">
      <c r="B743" s="1359"/>
      <c r="D743" s="3008" t="s">
        <v>941</v>
      </c>
      <c r="E743" s="3008" t="s">
        <v>3687</v>
      </c>
      <c r="F743" s="3008"/>
      <c r="G743" s="3095">
        <v>2.2000000000000002</v>
      </c>
      <c r="H743" s="3477" t="s">
        <v>986</v>
      </c>
      <c r="I743" s="3479"/>
      <c r="J743" s="3915" t="s">
        <v>1830</v>
      </c>
      <c r="K743" s="3916"/>
      <c r="L743" s="3917"/>
      <c r="V743" s="527" t="s">
        <v>941</v>
      </c>
      <c r="W743" s="1137">
        <v>2.2000000000000002</v>
      </c>
      <c r="X743" s="1191">
        <v>2.2000000000000002</v>
      </c>
      <c r="Y743" s="1191">
        <v>2.2000000000000002</v>
      </c>
      <c r="Z743" s="2749">
        <v>2.2000000000000002</v>
      </c>
      <c r="AA743" s="2749">
        <v>2.2000000000000002</v>
      </c>
      <c r="AB743" s="2749">
        <v>2.2000000000000002</v>
      </c>
      <c r="AC743" s="208"/>
      <c r="AD743" s="208"/>
      <c r="AE743" s="208"/>
      <c r="AF743" s="208"/>
      <c r="AG743" s="208"/>
      <c r="AK743" s="982"/>
    </row>
    <row r="744" spans="2:37" ht="30" customHeight="1" outlineLevel="1" x14ac:dyDescent="0.25">
      <c r="B744" s="1359"/>
      <c r="D744" s="3008" t="s">
        <v>944</v>
      </c>
      <c r="E744" s="3088" t="s">
        <v>1831</v>
      </c>
      <c r="F744" s="3008"/>
      <c r="G744" s="2792">
        <v>3.7</v>
      </c>
      <c r="H744" s="3913" t="s">
        <v>1832</v>
      </c>
      <c r="I744" s="3914"/>
      <c r="J744" s="3915" t="s">
        <v>1830</v>
      </c>
      <c r="K744" s="3916"/>
      <c r="L744" s="3917"/>
      <c r="V744" s="527" t="s">
        <v>944</v>
      </c>
      <c r="W744" s="1076">
        <v>3.7</v>
      </c>
      <c r="X744" s="1076">
        <v>3.7</v>
      </c>
      <c r="Y744" s="1076">
        <v>3.7</v>
      </c>
      <c r="Z744" s="1141">
        <v>3.7</v>
      </c>
      <c r="AA744" s="1141">
        <v>3.7</v>
      </c>
      <c r="AB744" s="1141">
        <v>3.7</v>
      </c>
      <c r="AC744" s="208"/>
      <c r="AD744" s="208"/>
      <c r="AE744" s="208"/>
      <c r="AF744" s="208"/>
      <c r="AG744" s="208"/>
      <c r="AK744" s="982"/>
    </row>
    <row r="745" spans="2:37" ht="30" customHeight="1" outlineLevel="1" x14ac:dyDescent="0.25">
      <c r="B745" s="1359"/>
      <c r="D745" s="3008" t="s">
        <v>948</v>
      </c>
      <c r="E745" s="3008" t="s">
        <v>3688</v>
      </c>
      <c r="F745" s="3008"/>
      <c r="G745" s="3095">
        <v>1.5</v>
      </c>
      <c r="H745" s="3477" t="s">
        <v>1833</v>
      </c>
      <c r="I745" s="3479"/>
      <c r="J745" s="3915" t="s">
        <v>1830</v>
      </c>
      <c r="K745" s="3916"/>
      <c r="L745" s="3917"/>
      <c r="V745" s="527" t="s">
        <v>948</v>
      </c>
      <c r="W745" s="1137">
        <v>1.5</v>
      </c>
      <c r="X745" s="1191">
        <v>1.5</v>
      </c>
      <c r="Y745" s="1191">
        <v>1.5</v>
      </c>
      <c r="Z745" s="2749">
        <v>1.5</v>
      </c>
      <c r="AA745" s="2749">
        <v>1.5</v>
      </c>
      <c r="AB745" s="2749">
        <v>1.5</v>
      </c>
      <c r="AC745" s="1001"/>
      <c r="AD745" s="1001"/>
      <c r="AE745" s="1001"/>
      <c r="AF745" s="1001"/>
      <c r="AG745" s="1001"/>
      <c r="AK745" s="982"/>
    </row>
    <row r="746" spans="2:37" ht="30" customHeight="1" outlineLevel="1" x14ac:dyDescent="0.25">
      <c r="B746" s="1359"/>
      <c r="D746" s="3008" t="s">
        <v>950</v>
      </c>
      <c r="E746" s="3088" t="s">
        <v>1831</v>
      </c>
      <c r="F746" s="3008"/>
      <c r="G746" s="1285">
        <v>3.7</v>
      </c>
      <c r="H746" s="3913" t="s">
        <v>1832</v>
      </c>
      <c r="I746" s="3914"/>
      <c r="J746" s="3915" t="s">
        <v>1830</v>
      </c>
      <c r="K746" s="3916"/>
      <c r="L746" s="3917"/>
      <c r="V746" s="527" t="s">
        <v>950</v>
      </c>
      <c r="W746" s="2790">
        <v>3.7</v>
      </c>
      <c r="X746" s="2790">
        <v>3.7</v>
      </c>
      <c r="Y746" s="2791">
        <v>3.7</v>
      </c>
      <c r="Z746" s="1285">
        <v>3.7</v>
      </c>
      <c r="AA746" s="1285">
        <v>3.7</v>
      </c>
      <c r="AB746" s="1285">
        <v>3.7</v>
      </c>
      <c r="AC746" s="1001"/>
      <c r="AD746" s="1001"/>
      <c r="AE746" s="1001"/>
      <c r="AF746" s="1001"/>
      <c r="AG746" s="1001"/>
      <c r="AK746" s="982"/>
    </row>
    <row r="747" spans="2:37" ht="45" customHeight="1" outlineLevel="1" x14ac:dyDescent="0.25">
      <c r="B747" s="1359"/>
      <c r="D747" s="3008" t="s">
        <v>637</v>
      </c>
      <c r="E747" s="3088" t="s">
        <v>1834</v>
      </c>
      <c r="F747" s="3008"/>
      <c r="G747" s="1138">
        <v>1.5644946808510638</v>
      </c>
      <c r="H747" s="3913" t="s">
        <v>1835</v>
      </c>
      <c r="I747" s="3914"/>
      <c r="J747" s="3915" t="s">
        <v>1830</v>
      </c>
      <c r="K747" s="3916"/>
      <c r="L747" s="3917"/>
      <c r="V747" s="527" t="s">
        <v>637</v>
      </c>
      <c r="W747" s="1076">
        <v>2.0699999999999998</v>
      </c>
      <c r="X747" s="1139">
        <v>1.6639999999999999</v>
      </c>
      <c r="Y747" s="1140">
        <v>1.5644946808510638</v>
      </c>
      <c r="Z747" s="1138">
        <v>1.5644946808510638</v>
      </c>
      <c r="AA747" s="1138">
        <v>1.5644946808510638</v>
      </c>
      <c r="AB747" s="1138">
        <v>1.5644946808510638</v>
      </c>
      <c r="AC747" s="1001"/>
      <c r="AD747" s="1001"/>
      <c r="AE747" s="1001"/>
      <c r="AF747" s="1001"/>
      <c r="AG747" s="1001"/>
      <c r="AK747" s="982"/>
    </row>
    <row r="748" spans="2:37" ht="15" customHeight="1" outlineLevel="1" x14ac:dyDescent="0.25">
      <c r="B748" s="1359"/>
      <c r="D748" s="513" t="s">
        <v>954</v>
      </c>
      <c r="E748" s="3022" t="s">
        <v>955</v>
      </c>
      <c r="F748" s="3008"/>
      <c r="G748" s="1141">
        <v>1</v>
      </c>
      <c r="H748" s="3485" t="s">
        <v>1193</v>
      </c>
      <c r="I748" s="3486"/>
      <c r="J748" s="3918" t="s">
        <v>1836</v>
      </c>
      <c r="K748" s="3919"/>
      <c r="L748" s="3920"/>
      <c r="V748" s="530" t="s">
        <v>954</v>
      </c>
      <c r="W748" s="1076">
        <v>0.75</v>
      </c>
      <c r="X748" s="1139">
        <v>1</v>
      </c>
      <c r="Y748" s="1142">
        <v>1</v>
      </c>
      <c r="Z748" s="1174">
        <v>1</v>
      </c>
      <c r="AA748" s="1174">
        <v>1</v>
      </c>
      <c r="AB748" s="1141">
        <v>1</v>
      </c>
      <c r="AC748" s="1001"/>
      <c r="AD748" s="1001"/>
      <c r="AE748" s="1001"/>
      <c r="AF748" s="1001"/>
      <c r="AG748" s="1001"/>
      <c r="AK748" s="982"/>
    </row>
    <row r="749" spans="2:37" ht="15" customHeight="1" outlineLevel="1" x14ac:dyDescent="0.25">
      <c r="B749" s="1359"/>
      <c r="D749" s="513">
        <v>365.25</v>
      </c>
      <c r="E749" s="3088" t="s">
        <v>1837</v>
      </c>
      <c r="F749" s="3008"/>
      <c r="G749" s="282">
        <v>365.25</v>
      </c>
      <c r="H749" s="3477" t="s">
        <v>921</v>
      </c>
      <c r="I749" s="3479"/>
      <c r="J749" s="3915" t="s">
        <v>1830</v>
      </c>
      <c r="K749" s="3916"/>
      <c r="L749" s="3917"/>
      <c r="V749" s="530">
        <v>365.25</v>
      </c>
      <c r="W749" s="1076">
        <v>365</v>
      </c>
      <c r="X749" s="1076">
        <v>365</v>
      </c>
      <c r="Y749" s="1143">
        <v>365</v>
      </c>
      <c r="Z749" s="2778">
        <v>365</v>
      </c>
      <c r="AA749" s="2778">
        <v>365</v>
      </c>
      <c r="AB749" s="2787">
        <v>365.25</v>
      </c>
      <c r="AC749" s="1001"/>
      <c r="AD749" s="1001"/>
      <c r="AE749" s="1001"/>
      <c r="AF749" s="1001"/>
      <c r="AG749" s="1001"/>
      <c r="AK749" s="982"/>
    </row>
    <row r="750" spans="2:37" ht="15" customHeight="1" outlineLevel="1" x14ac:dyDescent="0.25">
      <c r="B750" s="1359"/>
      <c r="D750" s="513" t="s">
        <v>957</v>
      </c>
      <c r="E750" s="3088" t="s">
        <v>1838</v>
      </c>
      <c r="F750" s="3008"/>
      <c r="G750" s="1138">
        <v>1.8624708624708626</v>
      </c>
      <c r="H750" s="3485" t="s">
        <v>1193</v>
      </c>
      <c r="I750" s="3486"/>
      <c r="J750" s="3915" t="s">
        <v>1839</v>
      </c>
      <c r="K750" s="3916"/>
      <c r="L750" s="3917"/>
      <c r="V750" s="530" t="s">
        <v>957</v>
      </c>
      <c r="W750" s="1076">
        <v>1.76</v>
      </c>
      <c r="X750" s="1139">
        <v>1.7961826857532379</v>
      </c>
      <c r="Y750" s="1140">
        <v>1.8624708624708626</v>
      </c>
      <c r="Z750" s="1138">
        <v>1.8624708624708626</v>
      </c>
      <c r="AA750" s="1138">
        <v>1.8624708624708626</v>
      </c>
      <c r="AB750" s="1138">
        <v>1.8624708624708626</v>
      </c>
      <c r="AC750" s="1001"/>
      <c r="AD750" s="1001"/>
      <c r="AE750" s="1001"/>
      <c r="AF750" s="1001"/>
      <c r="AG750" s="1001"/>
      <c r="AK750" s="982"/>
    </row>
    <row r="751" spans="2:37" ht="15" customHeight="1" outlineLevel="1" x14ac:dyDescent="0.25">
      <c r="B751" s="1359"/>
      <c r="D751" s="513">
        <v>8.33</v>
      </c>
      <c r="E751" s="3088" t="s">
        <v>959</v>
      </c>
      <c r="F751" s="3008"/>
      <c r="G751" s="1141">
        <v>8.33</v>
      </c>
      <c r="H751" s="3493" t="s">
        <v>960</v>
      </c>
      <c r="I751" s="3494"/>
      <c r="J751" s="3915" t="s">
        <v>1830</v>
      </c>
      <c r="K751" s="3916"/>
      <c r="L751" s="3917"/>
      <c r="V751" s="530">
        <v>8.33</v>
      </c>
      <c r="W751" s="1076">
        <v>8.33</v>
      </c>
      <c r="X751" s="1076">
        <v>8.33</v>
      </c>
      <c r="Y751" s="1076">
        <v>8.33</v>
      </c>
      <c r="Z751" s="1141">
        <v>8.33</v>
      </c>
      <c r="AA751" s="1141">
        <v>8.33</v>
      </c>
      <c r="AB751" s="1141">
        <v>8.33</v>
      </c>
      <c r="AC751" s="1001"/>
      <c r="AD751" s="1001"/>
      <c r="AE751" s="1001"/>
      <c r="AF751" s="1001"/>
      <c r="AG751" s="1001"/>
      <c r="AK751" s="982"/>
    </row>
    <row r="752" spans="2:37" ht="15" customHeight="1" outlineLevel="1" x14ac:dyDescent="0.25">
      <c r="B752" s="1359"/>
      <c r="D752" s="513">
        <v>1</v>
      </c>
      <c r="E752" s="1901" t="s">
        <v>1840</v>
      </c>
      <c r="F752" s="3008"/>
      <c r="G752" s="1141">
        <v>1</v>
      </c>
      <c r="H752" s="3477" t="s">
        <v>962</v>
      </c>
      <c r="I752" s="3479"/>
      <c r="J752" s="3915" t="s">
        <v>1830</v>
      </c>
      <c r="K752" s="3916"/>
      <c r="L752" s="3917"/>
      <c r="V752" s="530">
        <v>1</v>
      </c>
      <c r="W752" s="1076">
        <v>1</v>
      </c>
      <c r="X752" s="1076">
        <v>1</v>
      </c>
      <c r="Y752" s="1076">
        <v>1</v>
      </c>
      <c r="Z752" s="1141">
        <v>1</v>
      </c>
      <c r="AA752" s="1141">
        <v>1</v>
      </c>
      <c r="AB752" s="1141">
        <v>1</v>
      </c>
      <c r="AC752" s="1001"/>
      <c r="AD752" s="1001"/>
      <c r="AE752" s="1001"/>
      <c r="AF752" s="1001"/>
      <c r="AG752" s="1001"/>
      <c r="AK752" s="982"/>
    </row>
    <row r="753" spans="1:57" ht="15" customHeight="1" outlineLevel="1" x14ac:dyDescent="0.25">
      <c r="B753" s="1359"/>
      <c r="D753" s="3008" t="s">
        <v>963</v>
      </c>
      <c r="E753" s="3088" t="s">
        <v>1841</v>
      </c>
      <c r="F753" s="3008"/>
      <c r="G753" s="1141">
        <v>80</v>
      </c>
      <c r="H753" s="3913" t="s">
        <v>1842</v>
      </c>
      <c r="I753" s="3914"/>
      <c r="J753" s="3915" t="s">
        <v>1830</v>
      </c>
      <c r="K753" s="3916"/>
      <c r="L753" s="3917"/>
      <c r="V753" s="527" t="s">
        <v>963</v>
      </c>
      <c r="W753" s="1076">
        <v>80</v>
      </c>
      <c r="X753" s="1076">
        <v>80</v>
      </c>
      <c r="Y753" s="1076">
        <v>80</v>
      </c>
      <c r="Z753" s="1141">
        <v>80</v>
      </c>
      <c r="AA753" s="1141">
        <v>80</v>
      </c>
      <c r="AB753" s="1141">
        <v>80</v>
      </c>
      <c r="AC753" s="1001"/>
      <c r="AD753" s="1001"/>
      <c r="AE753" s="1001"/>
      <c r="AF753" s="1001"/>
      <c r="AG753" s="1001"/>
      <c r="AK753" s="982"/>
    </row>
    <row r="754" spans="1:57" ht="60" customHeight="1" outlineLevel="1" x14ac:dyDescent="0.25">
      <c r="B754" s="1359"/>
      <c r="D754" s="3008" t="s">
        <v>966</v>
      </c>
      <c r="E754" s="3088" t="s">
        <v>1843</v>
      </c>
      <c r="F754" s="3008"/>
      <c r="G754" s="1141">
        <v>61.3</v>
      </c>
      <c r="H754" s="3477" t="s">
        <v>968</v>
      </c>
      <c r="I754" s="3479"/>
      <c r="J754" s="3915" t="s">
        <v>1830</v>
      </c>
      <c r="K754" s="3916"/>
      <c r="L754" s="3917"/>
      <c r="V754" s="527" t="s">
        <v>966</v>
      </c>
      <c r="W754" s="1076">
        <v>61.3</v>
      </c>
      <c r="X754" s="1076">
        <v>61.3</v>
      </c>
      <c r="Y754" s="1076">
        <v>61.3</v>
      </c>
      <c r="Z754" s="1141">
        <v>61.3</v>
      </c>
      <c r="AA754" s="1141">
        <v>61.3</v>
      </c>
      <c r="AB754" s="1141">
        <v>61.3</v>
      </c>
      <c r="AC754" s="1001"/>
      <c r="AD754" s="1001"/>
      <c r="AE754" s="1001"/>
      <c r="AF754" s="1001"/>
      <c r="AG754" s="1001"/>
      <c r="AK754" s="982"/>
    </row>
    <row r="755" spans="1:57" ht="30" customHeight="1" outlineLevel="1" x14ac:dyDescent="0.25">
      <c r="B755" s="1359"/>
      <c r="D755" s="3008" t="s">
        <v>969</v>
      </c>
      <c r="E755" s="3088" t="s">
        <v>1844</v>
      </c>
      <c r="F755" s="3008"/>
      <c r="G755" s="1141">
        <v>0.98</v>
      </c>
      <c r="H755" s="3913" t="s">
        <v>1845</v>
      </c>
      <c r="I755" s="3914"/>
      <c r="J755" s="3915" t="s">
        <v>1830</v>
      </c>
      <c r="K755" s="3916"/>
      <c r="L755" s="3917"/>
      <c r="V755" s="527" t="s">
        <v>969</v>
      </c>
      <c r="W755" s="1076">
        <v>0.98</v>
      </c>
      <c r="X755" s="1076">
        <v>0.98</v>
      </c>
      <c r="Y755" s="1076">
        <v>0.98</v>
      </c>
      <c r="Z755" s="1141">
        <v>0.98</v>
      </c>
      <c r="AA755" s="1141">
        <v>0.98</v>
      </c>
      <c r="AB755" s="1141">
        <v>0.98</v>
      </c>
      <c r="AC755" s="1001"/>
      <c r="AD755" s="1001"/>
      <c r="AE755" s="1001"/>
      <c r="AF755" s="1001"/>
      <c r="AG755" s="1001"/>
      <c r="AK755" s="982"/>
    </row>
    <row r="756" spans="1:57" ht="15" customHeight="1" outlineLevel="1" x14ac:dyDescent="0.25">
      <c r="B756" s="1359"/>
      <c r="D756" s="3008">
        <v>3412</v>
      </c>
      <c r="E756" s="3088">
        <v>3412</v>
      </c>
      <c r="F756" s="3008"/>
      <c r="G756" s="1141">
        <v>3412</v>
      </c>
      <c r="H756" s="3493" t="s">
        <v>655</v>
      </c>
      <c r="I756" s="3494"/>
      <c r="J756" s="3915" t="s">
        <v>1830</v>
      </c>
      <c r="K756" s="3916"/>
      <c r="L756" s="3917"/>
      <c r="V756" s="527">
        <v>3412</v>
      </c>
      <c r="W756" s="1076">
        <v>3413</v>
      </c>
      <c r="X756" s="1076">
        <v>3413</v>
      </c>
      <c r="Y756" s="1076">
        <v>3413</v>
      </c>
      <c r="Z756" s="1141">
        <v>3413</v>
      </c>
      <c r="AA756" s="1141">
        <v>3413</v>
      </c>
      <c r="AB756" s="1139">
        <v>3412</v>
      </c>
      <c r="AC756" s="1001"/>
      <c r="AD756" s="1001"/>
      <c r="AE756" s="1001"/>
      <c r="AF756" s="1001"/>
      <c r="AG756" s="1001"/>
      <c r="AK756" s="982"/>
    </row>
    <row r="757" spans="1:57" ht="15" customHeight="1" outlineLevel="1" x14ac:dyDescent="0.25">
      <c r="B757" s="1359"/>
      <c r="D757" s="3008" t="s">
        <v>892</v>
      </c>
      <c r="E757" s="3008" t="s">
        <v>929</v>
      </c>
      <c r="F757" s="3008"/>
      <c r="G757" s="1902">
        <v>1</v>
      </c>
      <c r="H757" s="3493" t="s">
        <v>930</v>
      </c>
      <c r="I757" s="3494"/>
      <c r="J757" s="3915" t="s">
        <v>1726</v>
      </c>
      <c r="K757" s="3916"/>
      <c r="L757" s="3916"/>
      <c r="V757" s="527" t="s">
        <v>892</v>
      </c>
      <c r="W757" s="1144">
        <v>1</v>
      </c>
      <c r="X757" s="1144">
        <v>1</v>
      </c>
      <c r="Y757" s="1144">
        <v>1</v>
      </c>
      <c r="Z757" s="1902">
        <v>1</v>
      </c>
      <c r="AA757" s="1902">
        <v>1</v>
      </c>
      <c r="AB757" s="1902">
        <v>1</v>
      </c>
      <c r="AC757" s="1001"/>
      <c r="AD757" s="1001"/>
      <c r="AE757" s="1001"/>
      <c r="AF757" s="1001"/>
      <c r="AG757" s="1001"/>
      <c r="AK757" s="982"/>
    </row>
    <row r="758" spans="1:57" ht="15" customHeight="1" outlineLevel="1" x14ac:dyDescent="0.25">
      <c r="B758" s="1359"/>
      <c r="D758" s="3459" t="s">
        <v>75</v>
      </c>
      <c r="E758" s="3921" t="s">
        <v>1727</v>
      </c>
      <c r="F758" s="3008" t="s">
        <v>1846</v>
      </c>
      <c r="G758" s="1902">
        <v>1</v>
      </c>
      <c r="H758" s="3913" t="s">
        <v>1847</v>
      </c>
      <c r="I758" s="3914"/>
      <c r="J758" s="3915" t="s">
        <v>1830</v>
      </c>
      <c r="K758" s="3916"/>
      <c r="L758" s="3917"/>
      <c r="V758" s="3922" t="s">
        <v>75</v>
      </c>
      <c r="W758" s="1144">
        <v>1</v>
      </c>
      <c r="X758" s="1144">
        <v>1</v>
      </c>
      <c r="Y758" s="1144">
        <v>1</v>
      </c>
      <c r="Z758" s="1902">
        <v>1</v>
      </c>
      <c r="AA758" s="1902">
        <v>1</v>
      </c>
      <c r="AB758" s="1902">
        <v>1</v>
      </c>
      <c r="AC758" s="1001"/>
      <c r="AD758" s="1001"/>
      <c r="AE758" s="1001"/>
      <c r="AF758" s="1001"/>
      <c r="AG758" s="1001"/>
      <c r="AK758" s="982"/>
    </row>
    <row r="759" spans="1:57" ht="15" customHeight="1" outlineLevel="1" x14ac:dyDescent="0.25">
      <c r="B759" s="1359"/>
      <c r="D759" s="3459"/>
      <c r="E759" s="3921"/>
      <c r="F759" s="3008" t="s">
        <v>1848</v>
      </c>
      <c r="G759" s="341">
        <v>0.95</v>
      </c>
      <c r="H759" s="3485" t="s">
        <v>1193</v>
      </c>
      <c r="I759" s="3486"/>
      <c r="J759" s="3453"/>
      <c r="K759" s="3923"/>
      <c r="L759" s="3454"/>
      <c r="V759" s="3922"/>
      <c r="W759" s="1074">
        <v>0.97699999999999998</v>
      </c>
      <c r="X759" s="608">
        <v>1</v>
      </c>
      <c r="Y759" s="326">
        <v>0.95</v>
      </c>
      <c r="Z759" s="341">
        <v>0.95</v>
      </c>
      <c r="AA759" s="341">
        <v>0.95</v>
      </c>
      <c r="AB759" s="341">
        <v>0.95</v>
      </c>
      <c r="AC759" s="1001"/>
      <c r="AD759" s="1001"/>
      <c r="AE759" s="1001"/>
      <c r="AF759" s="1001"/>
      <c r="AG759" s="1001"/>
      <c r="AK759" s="982"/>
    </row>
    <row r="760" spans="1:57" ht="15" customHeight="1" outlineLevel="1" x14ac:dyDescent="0.25">
      <c r="B760" s="1359"/>
      <c r="D760" s="3087" t="str">
        <f>D720</f>
        <v>EUL</v>
      </c>
      <c r="E760" s="3087" t="str">
        <f>E720</f>
        <v>Effective Useful Life</v>
      </c>
      <c r="F760" s="3008" t="s">
        <v>591</v>
      </c>
      <c r="G760" s="1141">
        <v>11</v>
      </c>
      <c r="H760" s="3925"/>
      <c r="I760" s="3926"/>
      <c r="J760" s="3453"/>
      <c r="K760" s="3923"/>
      <c r="L760" s="3454"/>
      <c r="V760" s="1145" t="str">
        <f>D760</f>
        <v>EUL</v>
      </c>
      <c r="W760" s="1076">
        <v>10</v>
      </c>
      <c r="X760" s="1076">
        <v>10</v>
      </c>
      <c r="Y760" s="1076">
        <v>11</v>
      </c>
      <c r="Z760" s="1141">
        <v>11</v>
      </c>
      <c r="AA760" s="1141">
        <v>11</v>
      </c>
      <c r="AB760" s="1141">
        <v>11</v>
      </c>
      <c r="AC760" s="1001"/>
      <c r="AD760" s="1001"/>
      <c r="AE760" s="1001"/>
      <c r="AF760" s="1001"/>
      <c r="AG760" s="1001"/>
      <c r="AK760" s="982"/>
    </row>
    <row r="761" spans="1:57" ht="15" customHeight="1" outlineLevel="1" x14ac:dyDescent="0.25">
      <c r="B761" s="1359"/>
      <c r="D761" s="3896" t="str">
        <f>D721</f>
        <v>Inc. Cost</v>
      </c>
      <c r="E761" s="3896" t="str">
        <f>E721</f>
        <v>Incremental Cost</v>
      </c>
      <c r="F761" s="3008" t="s">
        <v>1846</v>
      </c>
      <c r="G761" s="2788">
        <v>3</v>
      </c>
      <c r="H761" s="3925"/>
      <c r="I761" s="3926"/>
      <c r="J761" s="3453" t="s">
        <v>1849</v>
      </c>
      <c r="K761" s="3923"/>
      <c r="L761" s="3454"/>
      <c r="V761" s="3924" t="str">
        <f>D761</f>
        <v>Inc. Cost</v>
      </c>
      <c r="W761" s="1076">
        <v>11.33</v>
      </c>
      <c r="X761" s="1139">
        <v>3</v>
      </c>
      <c r="Y761" s="1141">
        <v>3</v>
      </c>
      <c r="Z761" s="1141">
        <v>3</v>
      </c>
      <c r="AA761" s="1141">
        <v>3</v>
      </c>
      <c r="AB761" s="2788">
        <v>3</v>
      </c>
      <c r="AC761" s="1001"/>
      <c r="AD761" s="1001"/>
      <c r="AE761" s="1001"/>
      <c r="AF761" s="1001"/>
      <c r="AG761" s="1001"/>
      <c r="AK761" s="982"/>
    </row>
    <row r="762" spans="1:57" ht="15" customHeight="1" outlineLevel="1" x14ac:dyDescent="0.25">
      <c r="B762" s="1359"/>
      <c r="D762" s="3804"/>
      <c r="E762" s="3804"/>
      <c r="F762" s="3008" t="s">
        <v>1848</v>
      </c>
      <c r="G762" s="2788">
        <v>11.33</v>
      </c>
      <c r="H762" s="3925"/>
      <c r="I762" s="3926"/>
      <c r="J762" s="3453"/>
      <c r="K762" s="3923"/>
      <c r="L762" s="3454"/>
      <c r="V762" s="3922"/>
      <c r="W762" s="1076">
        <v>11.33</v>
      </c>
      <c r="X762" s="1076">
        <v>11.33</v>
      </c>
      <c r="Y762" s="1076">
        <v>11.33</v>
      </c>
      <c r="Z762" s="1141">
        <v>11.33</v>
      </c>
      <c r="AA762" s="1141">
        <v>11.33</v>
      </c>
      <c r="AB762" s="2788">
        <v>11.33</v>
      </c>
      <c r="AC762" s="1001"/>
      <c r="AD762" s="1001"/>
      <c r="AE762" s="1001"/>
      <c r="AF762" s="1001"/>
      <c r="AG762" s="1001"/>
      <c r="AK762" s="982"/>
    </row>
    <row r="763" spans="1:57" ht="15" customHeight="1" x14ac:dyDescent="0.25">
      <c r="B763" s="1359"/>
      <c r="C763" s="375"/>
      <c r="AK763" s="982"/>
    </row>
    <row r="764" spans="1:57" ht="15" customHeight="1" x14ac:dyDescent="0.25">
      <c r="B764" s="1359"/>
      <c r="C764" s="274"/>
      <c r="AK764" s="982"/>
    </row>
    <row r="765" spans="1:57" ht="15" customHeight="1" x14ac:dyDescent="0.25">
      <c r="B765" s="3350" t="s">
        <v>3698</v>
      </c>
      <c r="C765" s="3351"/>
      <c r="D765" s="3351"/>
      <c r="E765" s="3351"/>
      <c r="F765" s="3351"/>
      <c r="G765" s="3351"/>
      <c r="H765" s="3351"/>
      <c r="I765" s="3352"/>
      <c r="J765" s="3352"/>
      <c r="K765" s="3352"/>
      <c r="L765" s="3352"/>
      <c r="M765" s="3352"/>
      <c r="N765" s="3352"/>
      <c r="O765" s="3352"/>
      <c r="P765" s="3352"/>
      <c r="Q765" s="3352"/>
      <c r="R765" s="3353"/>
      <c r="V765" s="3350" t="str">
        <f>B765</f>
        <v>Low Flow Faucet Aerators (Kitchen)</v>
      </c>
      <c r="W765" s="3351"/>
      <c r="X765" s="3351"/>
      <c r="Y765" s="3351"/>
      <c r="Z765" s="3351"/>
      <c r="AA765" s="3351"/>
      <c r="AB765" s="3351"/>
      <c r="AC765" s="3352"/>
      <c r="AD765" s="3352"/>
      <c r="AE765" s="3352"/>
      <c r="AF765" s="3352"/>
      <c r="AG765" s="3352"/>
      <c r="AH765" s="3352"/>
      <c r="AI765" s="3353"/>
      <c r="AK765" s="982"/>
    </row>
    <row r="766" spans="1:57" ht="15" customHeight="1" x14ac:dyDescent="0.25">
      <c r="B766" s="1359"/>
      <c r="C766" s="274"/>
      <c r="D766" s="482"/>
      <c r="E766" s="482"/>
      <c r="F766" s="275"/>
      <c r="G766" s="275"/>
      <c r="H766" s="275"/>
      <c r="I766" s="275"/>
      <c r="J766" s="275"/>
      <c r="K766" s="275"/>
      <c r="L766" s="1635"/>
      <c r="AK766" s="982"/>
    </row>
    <row r="767" spans="1:57" ht="30" x14ac:dyDescent="0.25">
      <c r="B767" s="1359"/>
      <c r="C767" s="3002" t="s">
        <v>17</v>
      </c>
      <c r="D767" s="3002" t="s">
        <v>616</v>
      </c>
      <c r="E767" s="3002" t="s">
        <v>19</v>
      </c>
      <c r="F767" s="3002" t="s">
        <v>1682</v>
      </c>
      <c r="G767" s="3002" t="s">
        <v>21</v>
      </c>
      <c r="H767" s="3002" t="s">
        <v>22</v>
      </c>
      <c r="I767" s="3002" t="s">
        <v>933</v>
      </c>
      <c r="J767" s="3002" t="s">
        <v>23</v>
      </c>
      <c r="K767" s="3002" t="s">
        <v>24</v>
      </c>
      <c r="L767" s="3002" t="s">
        <v>25</v>
      </c>
      <c r="M767" s="3002" t="s">
        <v>26</v>
      </c>
      <c r="V767" s="623" t="s">
        <v>27</v>
      </c>
      <c r="W767" s="624">
        <f>W$6</f>
        <v>43252</v>
      </c>
      <c r="X767" s="624">
        <f t="shared" ref="X767:AG767" si="99">X$6</f>
        <v>43465</v>
      </c>
      <c r="Y767" s="2898">
        <f t="shared" si="99"/>
        <v>43800</v>
      </c>
      <c r="Z767" s="624">
        <f t="shared" si="99"/>
        <v>43862</v>
      </c>
      <c r="AA767" s="624">
        <f t="shared" si="99"/>
        <v>44013</v>
      </c>
      <c r="AB767" s="624">
        <f t="shared" si="99"/>
        <v>44166</v>
      </c>
      <c r="AC767" s="2284" t="str">
        <f t="shared" si="99"/>
        <v>-</v>
      </c>
      <c r="AD767" s="2284" t="str">
        <f t="shared" si="99"/>
        <v>-</v>
      </c>
      <c r="AE767" s="2284" t="str">
        <f t="shared" si="99"/>
        <v>-</v>
      </c>
      <c r="AF767" s="2284" t="str">
        <f t="shared" si="99"/>
        <v>-</v>
      </c>
      <c r="AG767" s="2284" t="str">
        <f t="shared" si="99"/>
        <v>-</v>
      </c>
      <c r="AK767" s="982"/>
      <c r="BB767" s="2285" t="str">
        <f>$BB$6</f>
        <v>TRC (2020)</v>
      </c>
      <c r="BC767" s="2300" t="str">
        <f>$BC$6</f>
        <v>Benefit Lookup</v>
      </c>
      <c r="BD767" s="741" t="str">
        <f>$BD$6</f>
        <v>Benefits (2019 $)</v>
      </c>
      <c r="BE767" s="279" t="str">
        <f>$BE$6</f>
        <v>Incremental Cost (2019 $)</v>
      </c>
    </row>
    <row r="768" spans="1:57" s="993" customFormat="1" x14ac:dyDescent="0.25">
      <c r="A768" s="1012"/>
      <c r="B768" s="1823"/>
      <c r="C768" s="1670" t="s">
        <v>3690</v>
      </c>
      <c r="D768" s="517" t="s">
        <v>1518</v>
      </c>
      <c r="E768" s="3275" t="s">
        <v>3691</v>
      </c>
      <c r="F768" s="601">
        <f>ROUND(G781*(G782*G783-G784*G785)*G786*G787*G788/G789*I768*G797*G796,2)</f>
        <v>116.88</v>
      </c>
      <c r="G768" s="3080" t="s">
        <v>622</v>
      </c>
      <c r="H768" s="202">
        <f>VLOOKUP(G768,'CP FACTORS'!$A$3:$B$38, 2, FALSE)</f>
        <v>8.8731800000000003E-5</v>
      </c>
      <c r="I768" s="596">
        <f>G790*G791*(G792-G793)/(G794*G795)</f>
        <v>7.8971277842907403E-2</v>
      </c>
      <c r="J768" s="1757">
        <f>ROUND(F768*H768,6)</f>
        <v>1.0371E-2</v>
      </c>
      <c r="K768" s="3095">
        <f>$G$799</f>
        <v>11</v>
      </c>
      <c r="L768" s="3276">
        <f>$G$800</f>
        <v>3</v>
      </c>
      <c r="M768" s="1102" t="s">
        <v>37</v>
      </c>
      <c r="N768" s="1012"/>
      <c r="O768" s="1012"/>
      <c r="P768" s="1172"/>
      <c r="Q768" s="1172"/>
      <c r="R768" s="1627"/>
      <c r="S768" s="1172"/>
      <c r="T768" s="1172"/>
      <c r="U768" s="1012"/>
      <c r="V768" s="2309" t="str">
        <f>F767</f>
        <v>kWh
Annual Savings</v>
      </c>
      <c r="W768" s="286"/>
      <c r="X768" s="2798"/>
      <c r="Y768" s="488"/>
      <c r="Z768" s="488"/>
      <c r="AA768" s="488"/>
      <c r="AB768" s="2322">
        <v>116.88</v>
      </c>
      <c r="AC768" s="1125"/>
      <c r="AD768" s="1125"/>
      <c r="AE768" s="1125"/>
      <c r="AF768" s="1125"/>
      <c r="AG768" s="1125"/>
      <c r="AH768" s="456"/>
      <c r="AK768" s="1127"/>
      <c r="BB768" s="1128">
        <f>(BD768)/(BE768)</f>
        <v>15.284282039056441</v>
      </c>
      <c r="BC768" s="2742" t="str">
        <f>CONCATENATE(G768," ",K768," Year EUL")</f>
        <v>Water Heating RES 11 Year EUL</v>
      </c>
      <c r="BD768" s="145">
        <f>(INDEX('Avoided Cost Benefits'!$C$4:$C$857,MATCH(BC768,'Avoided Cost Benefits'!$A$4:$A$857,0)))*F768</f>
        <v>43.277816061509505</v>
      </c>
      <c r="BE768" s="1129">
        <f>L768/(1.0595^(2020-2019))</f>
        <v>2.8315243039169418</v>
      </c>
    </row>
    <row r="769" spans="1:57" s="993" customFormat="1" x14ac:dyDescent="0.25">
      <c r="A769" s="1012"/>
      <c r="B769" s="1823"/>
      <c r="C769" s="1670" t="s">
        <v>3692</v>
      </c>
      <c r="D769" s="517" t="s">
        <v>1515</v>
      </c>
      <c r="E769" s="3275" t="s">
        <v>3693</v>
      </c>
      <c r="F769" s="601">
        <f>ROUND(G781*(G782*G783-G784*G785)*G786*G787*G788/G789*I768*G797*G796,2)</f>
        <v>116.88</v>
      </c>
      <c r="G769" s="3080" t="s">
        <v>622</v>
      </c>
      <c r="H769" s="202">
        <f>VLOOKUP(G769,'CP FACTORS'!$A$3:$B$38, 2, FALSE)</f>
        <v>8.8731800000000003E-5</v>
      </c>
      <c r="I769" s="596">
        <f>G790*G791*(G792-G793)/(G794*G795)</f>
        <v>7.8971277842907403E-2</v>
      </c>
      <c r="J769" s="1757">
        <f>ROUND(F769*H769,6)</f>
        <v>1.0371E-2</v>
      </c>
      <c r="K769" s="3095">
        <f t="shared" ref="K769:K771" si="100">$G$799</f>
        <v>11</v>
      </c>
      <c r="L769" s="3276">
        <f>$G$800</f>
        <v>3</v>
      </c>
      <c r="M769" s="1102" t="s">
        <v>37</v>
      </c>
      <c r="N769" s="1012"/>
      <c r="O769" s="1012"/>
      <c r="P769" s="1172"/>
      <c r="Q769" s="1172"/>
      <c r="R769" s="1627"/>
      <c r="S769" s="1172"/>
      <c r="T769" s="1172"/>
      <c r="U769" s="1012"/>
      <c r="V769" s="2309" t="str">
        <f>V768</f>
        <v>kWh
Annual Savings</v>
      </c>
      <c r="W769" s="286"/>
      <c r="X769" s="2798"/>
      <c r="Y769" s="488"/>
      <c r="Z769" s="488"/>
      <c r="AA769" s="488"/>
      <c r="AB769" s="2322">
        <v>116.88</v>
      </c>
      <c r="AC769" s="1125"/>
      <c r="AD769" s="1125"/>
      <c r="AE769" s="1125"/>
      <c r="AF769" s="1125"/>
      <c r="AG769" s="1125"/>
      <c r="AH769" s="456"/>
      <c r="AK769" s="1127"/>
      <c r="BB769" s="1128">
        <f>(BD769)/(BE769)</f>
        <v>15.284282039056441</v>
      </c>
      <c r="BC769" s="2922" t="str">
        <f>CONCATENATE(G769," ",K769," Year EUL")</f>
        <v>Water Heating RES 11 Year EUL</v>
      </c>
      <c r="BD769" s="145">
        <f>(INDEX('Avoided Cost Benefits'!$C$4:$C$857,MATCH(BC769,'Avoided Cost Benefits'!$A$4:$A$857,0)))*F769</f>
        <v>43.277816061509505</v>
      </c>
      <c r="BE769" s="1129">
        <f>L769/(1.0595^(2020-2019))</f>
        <v>2.8315243039169418</v>
      </c>
    </row>
    <row r="770" spans="1:57" s="993" customFormat="1" x14ac:dyDescent="0.25">
      <c r="A770" s="1012"/>
      <c r="B770" s="1823"/>
      <c r="C770" s="1670" t="s">
        <v>3694</v>
      </c>
      <c r="D770" s="517" t="s">
        <v>1824</v>
      </c>
      <c r="E770" s="3275" t="s">
        <v>3695</v>
      </c>
      <c r="F770" s="601">
        <f>ROUND(G781*(G782*G783-G784*G785)*G786*G787*G788/G789*I770*G798*G796,2)</f>
        <v>111.03</v>
      </c>
      <c r="G770" s="3080" t="s">
        <v>622</v>
      </c>
      <c r="H770" s="202">
        <f>VLOOKUP(G770,'CP FACTORS'!$A$3:$B$38, 2, FALSE)</f>
        <v>8.8731800000000003E-5</v>
      </c>
      <c r="I770" s="596">
        <f>G790*G791*(G792-G793)/(G794*G795)</f>
        <v>7.8971277842907403E-2</v>
      </c>
      <c r="J770" s="1757">
        <f>ROUND(F770*H770,6)</f>
        <v>9.8519999999999996E-3</v>
      </c>
      <c r="K770" s="3095">
        <f t="shared" si="100"/>
        <v>11</v>
      </c>
      <c r="L770" s="3276">
        <f t="shared" ref="L770:L771" si="101">$G$801</f>
        <v>11.33</v>
      </c>
      <c r="M770" s="1102" t="s">
        <v>37</v>
      </c>
      <c r="N770" s="1012"/>
      <c r="O770" s="1012"/>
      <c r="P770" s="1012"/>
      <c r="Q770" s="1012"/>
      <c r="R770" s="1627"/>
      <c r="S770" s="1012"/>
      <c r="T770" s="1012"/>
      <c r="U770" s="1012"/>
      <c r="V770" s="2309" t="str">
        <f t="shared" ref="V770:V771" si="102">V769</f>
        <v>kWh
Annual Savings</v>
      </c>
      <c r="W770" s="286"/>
      <c r="X770" s="2799"/>
      <c r="Y770" s="488"/>
      <c r="Z770" s="488"/>
      <c r="AA770" s="488"/>
      <c r="AB770" s="2322">
        <v>111.03</v>
      </c>
      <c r="AC770" s="1125"/>
      <c r="AD770" s="1125"/>
      <c r="AE770" s="1125"/>
      <c r="AF770" s="1125"/>
      <c r="AG770" s="1125"/>
      <c r="AH770" s="456"/>
      <c r="AK770" s="1127"/>
      <c r="BB770" s="1131">
        <f>(BD770)/(BE770)</f>
        <v>3.8444704297535508</v>
      </c>
      <c r="BC770" s="2295" t="str">
        <f>CONCATENATE(G770," ",K770," Year EUL")</f>
        <v>Water Heating RES 11 Year EUL</v>
      </c>
      <c r="BD770" s="148">
        <f>(INDEX('Avoided Cost Benefits'!$C$4:$C$857,MATCH(BC770,'Avoided Cost Benefits'!$A$4:$A$857,0)))*F770</f>
        <v>41.111703604632112</v>
      </c>
      <c r="BE770" s="1132">
        <f>L770/(1.0595^(2020-2019))</f>
        <v>10.693723454459649</v>
      </c>
    </row>
    <row r="771" spans="1:57" s="993" customFormat="1" x14ac:dyDescent="0.25">
      <c r="A771" s="1012"/>
      <c r="B771" s="1823"/>
      <c r="C771" s="1670" t="s">
        <v>3696</v>
      </c>
      <c r="D771" s="517" t="s">
        <v>1827</v>
      </c>
      <c r="E771" s="3275" t="s">
        <v>3697</v>
      </c>
      <c r="F771" s="601">
        <f>ROUND(G781*(G782*G783-G784*G785)*G786*G787*G788/G789*I771*G798*G796,2)</f>
        <v>111.03</v>
      </c>
      <c r="G771" s="3080" t="s">
        <v>622</v>
      </c>
      <c r="H771" s="202">
        <f>VLOOKUP(G771,'CP FACTORS'!$A$3:$B$38, 2, FALSE)</f>
        <v>8.8731800000000003E-5</v>
      </c>
      <c r="I771" s="596">
        <f>G790*G791*(G792-G793)/(G794*G795)</f>
        <v>7.8971277842907403E-2</v>
      </c>
      <c r="J771" s="1757">
        <f>ROUND(F771*H771,6)</f>
        <v>9.8519999999999996E-3</v>
      </c>
      <c r="K771" s="3095">
        <f t="shared" si="100"/>
        <v>11</v>
      </c>
      <c r="L771" s="3276">
        <f t="shared" si="101"/>
        <v>11.33</v>
      </c>
      <c r="M771" s="1102" t="s">
        <v>37</v>
      </c>
      <c r="N771" s="1012"/>
      <c r="O771" s="1012"/>
      <c r="P771" s="1012"/>
      <c r="Q771" s="1012"/>
      <c r="R771" s="1627"/>
      <c r="S771" s="1012"/>
      <c r="T771" s="1012"/>
      <c r="U771" s="1012"/>
      <c r="V771" s="2309" t="str">
        <f t="shared" si="102"/>
        <v>kWh
Annual Savings</v>
      </c>
      <c r="W771" s="286"/>
      <c r="X771" s="2798"/>
      <c r="Y771" s="488"/>
      <c r="Z771" s="488"/>
      <c r="AA771" s="488"/>
      <c r="AB771" s="2322">
        <v>111.03</v>
      </c>
      <c r="AC771" s="1125"/>
      <c r="AD771" s="1125"/>
      <c r="AE771" s="1125"/>
      <c r="AF771" s="1125"/>
      <c r="AG771" s="1125"/>
      <c r="AH771" s="456"/>
      <c r="AK771" s="1127"/>
      <c r="BB771" s="1133">
        <f>(BD771)/(BE771)</f>
        <v>3.8444704297535508</v>
      </c>
      <c r="BC771" s="2295" t="str">
        <f>CONCATENATE(G771," ",K771," Year EUL")</f>
        <v>Water Heating RES 11 Year EUL</v>
      </c>
      <c r="BD771" s="153">
        <f>(INDEX('Avoided Cost Benefits'!$C$4:$C$857,MATCH(BC771,'Avoided Cost Benefits'!$A$4:$A$857,0)))*F771</f>
        <v>41.111703604632112</v>
      </c>
      <c r="BE771" s="1134">
        <f>L771/(1.0595^(2020-2019))</f>
        <v>10.693723454459649</v>
      </c>
    </row>
    <row r="772" spans="1:57" outlineLevel="1" x14ac:dyDescent="0.25">
      <c r="B772" s="1359"/>
      <c r="C772" s="274"/>
      <c r="D772" s="1326"/>
      <c r="E772" s="1326"/>
      <c r="F772" s="1889"/>
      <c r="G772" s="1052"/>
      <c r="H772" s="1890"/>
      <c r="I772" s="1135"/>
      <c r="J772" s="1135"/>
      <c r="K772" s="1135"/>
      <c r="L772" s="1891"/>
      <c r="V772" s="157"/>
      <c r="W772" s="2289"/>
      <c r="X772" s="2277"/>
      <c r="Y772" s="135"/>
      <c r="Z772" s="2277"/>
      <c r="AA772" s="2277"/>
      <c r="AB772" s="2277"/>
      <c r="AC772" s="2277"/>
      <c r="AD772" s="2277"/>
      <c r="AE772" s="2277"/>
      <c r="AF772" s="2277"/>
      <c r="AG772" s="2277"/>
      <c r="AH772" s="211"/>
      <c r="AK772" s="982"/>
    </row>
    <row r="773" spans="1:57" outlineLevel="1" x14ac:dyDescent="0.25">
      <c r="B773" s="1359"/>
      <c r="C773" s="274"/>
      <c r="D773" s="1332"/>
      <c r="E773" s="1332"/>
      <c r="F773" s="1889"/>
      <c r="G773" s="1701"/>
      <c r="H773" s="1892"/>
      <c r="I773" s="1136"/>
      <c r="J773" s="1136"/>
      <c r="K773" s="1136"/>
      <c r="L773" s="1136"/>
      <c r="V773" s="157"/>
      <c r="W773" s="2277"/>
      <c r="X773" s="2277"/>
      <c r="Y773" s="135"/>
      <c r="Z773" s="2277"/>
      <c r="AA773" s="2277"/>
      <c r="AB773" s="2277"/>
      <c r="AC773" s="2277"/>
      <c r="AD773" s="2277"/>
      <c r="AE773" s="2277"/>
      <c r="AF773" s="2277"/>
      <c r="AG773" s="2277"/>
      <c r="AK773" s="982"/>
    </row>
    <row r="774" spans="1:57" outlineLevel="1" x14ac:dyDescent="0.25">
      <c r="B774" s="1359"/>
      <c r="C774" s="274"/>
      <c r="D774" s="222" t="s">
        <v>571</v>
      </c>
      <c r="E774" s="1332"/>
      <c r="F774" s="1889"/>
      <c r="G774" s="1136"/>
      <c r="H774" s="1701"/>
      <c r="I774" s="1136"/>
      <c r="J774" s="1136"/>
      <c r="K774" s="1136"/>
      <c r="L774" s="1136"/>
      <c r="V774" s="157"/>
      <c r="W774" s="2277"/>
      <c r="X774" s="2277"/>
      <c r="Y774" s="135"/>
      <c r="Z774" s="2277"/>
      <c r="AA774" s="2277"/>
      <c r="AB774" s="2277"/>
      <c r="AC774" s="2277"/>
      <c r="AD774" s="2277"/>
      <c r="AE774" s="2277"/>
      <c r="AF774" s="2277"/>
      <c r="AG774" s="2277"/>
      <c r="AK774" s="982"/>
    </row>
    <row r="775" spans="1:57" outlineLevel="1" x14ac:dyDescent="0.25">
      <c r="B775" s="1359"/>
      <c r="C775" s="302"/>
      <c r="D775" s="1893"/>
      <c r="E775" s="1894"/>
      <c r="F775" s="1895"/>
      <c r="G775" s="1895"/>
      <c r="H775" s="1136"/>
      <c r="I775" s="1136"/>
      <c r="J775" s="1136"/>
      <c r="K775" s="1136"/>
      <c r="L775" s="1136"/>
      <c r="V775" s="157"/>
      <c r="W775" s="2277"/>
      <c r="X775" s="2277"/>
      <c r="Y775" s="135"/>
      <c r="Z775" s="2277"/>
      <c r="AA775" s="2277"/>
      <c r="AB775" s="2277"/>
      <c r="AC775" s="2277"/>
      <c r="AD775" s="2277"/>
      <c r="AE775" s="2277"/>
      <c r="AF775" s="2277"/>
      <c r="AG775" s="2277"/>
      <c r="AK775" s="982"/>
    </row>
    <row r="776" spans="1:57" outlineLevel="1" x14ac:dyDescent="0.25">
      <c r="B776" s="1359"/>
      <c r="C776" s="316"/>
      <c r="D776" s="1896"/>
      <c r="E776" s="1897"/>
      <c r="F776" s="1898"/>
      <c r="G776" s="1898"/>
      <c r="H776" s="1136"/>
      <c r="I776" s="1136"/>
      <c r="J776" s="1136"/>
      <c r="K776" s="1136"/>
      <c r="L776" s="1136"/>
      <c r="V776" s="157"/>
      <c r="W776" s="2277"/>
      <c r="X776" s="2277"/>
      <c r="Y776" s="135"/>
      <c r="Z776" s="2277"/>
      <c r="AA776" s="2277"/>
      <c r="AB776" s="2277"/>
      <c r="AC776" s="2277"/>
      <c r="AD776" s="2277"/>
      <c r="AE776" s="2277"/>
      <c r="AF776" s="2277"/>
      <c r="AG776" s="2277"/>
      <c r="AK776" s="982"/>
    </row>
    <row r="777" spans="1:57" outlineLevel="1" x14ac:dyDescent="0.25">
      <c r="B777" s="1359"/>
      <c r="C777" s="316"/>
      <c r="D777" s="1896"/>
      <c r="E777" s="1897"/>
      <c r="F777" s="1898"/>
      <c r="G777" s="1898"/>
      <c r="H777" s="1136"/>
      <c r="I777" s="1136"/>
      <c r="J777" s="1136"/>
      <c r="K777" s="1136"/>
      <c r="L777" s="1136"/>
      <c r="V777" s="157"/>
      <c r="W777" s="2277"/>
      <c r="X777" s="2277"/>
      <c r="Y777" s="135"/>
      <c r="Z777" s="2277"/>
      <c r="AA777" s="2277"/>
      <c r="AB777" s="2277"/>
      <c r="AC777" s="2277"/>
      <c r="AD777" s="2277"/>
      <c r="AE777" s="2277"/>
      <c r="AF777" s="2277"/>
      <c r="AG777" s="2277"/>
      <c r="AK777" s="982"/>
    </row>
    <row r="778" spans="1:57" ht="15" customHeight="1" outlineLevel="1" x14ac:dyDescent="0.25">
      <c r="B778" s="1359"/>
      <c r="C778" s="316"/>
      <c r="D778" s="1828"/>
      <c r="E778" s="1829"/>
      <c r="F778" s="1830"/>
      <c r="G778" s="1830"/>
      <c r="V778" s="157"/>
      <c r="W778" s="2277"/>
      <c r="X778" s="2277"/>
      <c r="Y778" s="135"/>
      <c r="Z778" s="2277"/>
      <c r="AA778" s="2277"/>
      <c r="AB778" s="2277"/>
      <c r="AC778" s="2277"/>
      <c r="AD778" s="2277"/>
      <c r="AE778" s="2277"/>
      <c r="AF778" s="2277"/>
      <c r="AG778" s="2277"/>
      <c r="AK778" s="982"/>
    </row>
    <row r="779" spans="1:57" outlineLevel="1" x14ac:dyDescent="0.25">
      <c r="B779" s="1359"/>
      <c r="C779" s="274"/>
      <c r="D779" s="1900"/>
      <c r="V779" s="157"/>
      <c r="W779" s="2277"/>
      <c r="X779" s="2277"/>
      <c r="Y779" s="135"/>
      <c r="Z779" s="2277"/>
      <c r="AA779" s="2277"/>
      <c r="AB779" s="2277"/>
      <c r="AC779" s="2277"/>
      <c r="AD779" s="2277"/>
      <c r="AE779" s="2277"/>
      <c r="AF779" s="2277"/>
      <c r="AG779" s="2277"/>
      <c r="AK779" s="982"/>
    </row>
    <row r="780" spans="1:57" outlineLevel="1" x14ac:dyDescent="0.25">
      <c r="B780" s="1359"/>
      <c r="C780" s="274"/>
      <c r="D780" s="3101" t="s">
        <v>572</v>
      </c>
      <c r="E780" s="3101" t="s">
        <v>573</v>
      </c>
      <c r="F780" s="3002" t="s">
        <v>1829</v>
      </c>
      <c r="G780" s="3013" t="s">
        <v>574</v>
      </c>
      <c r="H780" s="3419" t="s">
        <v>624</v>
      </c>
      <c r="I780" s="3419"/>
      <c r="J780" s="3908" t="s">
        <v>575</v>
      </c>
      <c r="K780" s="3909"/>
      <c r="L780" s="3910"/>
      <c r="V780" s="623" t="s">
        <v>27</v>
      </c>
      <c r="W780" s="624">
        <f>W$6</f>
        <v>43252</v>
      </c>
      <c r="X780" s="624">
        <f t="shared" ref="X780:AG780" si="103">X$6</f>
        <v>43465</v>
      </c>
      <c r="Y780" s="2898">
        <f t="shared" si="103"/>
        <v>43800</v>
      </c>
      <c r="Z780" s="624">
        <f t="shared" si="103"/>
        <v>43862</v>
      </c>
      <c r="AA780" s="624">
        <f t="shared" si="103"/>
        <v>44013</v>
      </c>
      <c r="AB780" s="624">
        <f t="shared" si="103"/>
        <v>44166</v>
      </c>
      <c r="AC780" s="624" t="str">
        <f t="shared" si="103"/>
        <v>-</v>
      </c>
      <c r="AD780" s="624" t="str">
        <f t="shared" si="103"/>
        <v>-</v>
      </c>
      <c r="AE780" s="624" t="str">
        <f t="shared" si="103"/>
        <v>-</v>
      </c>
      <c r="AF780" s="624" t="str">
        <f t="shared" si="103"/>
        <v>-</v>
      </c>
      <c r="AG780" s="624" t="str">
        <f t="shared" si="103"/>
        <v>-</v>
      </c>
      <c r="AK780" s="982"/>
    </row>
    <row r="781" spans="1:57" ht="15" customHeight="1" outlineLevel="1" x14ac:dyDescent="0.25">
      <c r="B781" s="1359"/>
      <c r="D781" s="3008" t="s">
        <v>937</v>
      </c>
      <c r="E781" s="3008" t="s">
        <v>938</v>
      </c>
      <c r="F781" s="3008"/>
      <c r="G781" s="1150">
        <v>1</v>
      </c>
      <c r="H781" s="3493" t="s">
        <v>930</v>
      </c>
      <c r="I781" s="3494"/>
      <c r="J781" s="3911" t="s">
        <v>1726</v>
      </c>
      <c r="K781" s="3912"/>
      <c r="L781" s="3912"/>
      <c r="V781" s="3008" t="s">
        <v>937</v>
      </c>
      <c r="W781" s="608"/>
      <c r="X781" s="608"/>
      <c r="Y781" s="608"/>
      <c r="Z781" s="608"/>
      <c r="AA781" s="608"/>
      <c r="AB781" s="608">
        <v>1</v>
      </c>
      <c r="AC781" s="208"/>
      <c r="AD781" s="208"/>
      <c r="AE781" s="208"/>
      <c r="AF781" s="208"/>
      <c r="AG781" s="208"/>
      <c r="AK781" s="982"/>
    </row>
    <row r="782" spans="1:57" ht="90.6" customHeight="1" outlineLevel="1" x14ac:dyDescent="0.25">
      <c r="B782" s="1359"/>
      <c r="D782" s="3008" t="s">
        <v>941</v>
      </c>
      <c r="E782" s="3008" t="s">
        <v>3687</v>
      </c>
      <c r="F782" s="3008"/>
      <c r="G782" s="3095">
        <v>2.2000000000000002</v>
      </c>
      <c r="H782" s="3477" t="s">
        <v>986</v>
      </c>
      <c r="I782" s="3479"/>
      <c r="J782" s="3915" t="s">
        <v>1830</v>
      </c>
      <c r="K782" s="3916"/>
      <c r="L782" s="3917"/>
      <c r="V782" s="3008" t="s">
        <v>941</v>
      </c>
      <c r="W782" s="609"/>
      <c r="X782" s="2796"/>
      <c r="Y782" s="2796"/>
      <c r="Z782" s="2796"/>
      <c r="AA782" s="2796"/>
      <c r="AB782" s="151">
        <v>2.2000000000000002</v>
      </c>
      <c r="AC782" s="208"/>
      <c r="AD782" s="208"/>
      <c r="AE782" s="208"/>
      <c r="AF782" s="208"/>
      <c r="AG782" s="208"/>
      <c r="AK782" s="982"/>
    </row>
    <row r="783" spans="1:57" ht="30" customHeight="1" outlineLevel="1" x14ac:dyDescent="0.25">
      <c r="B783" s="1359"/>
      <c r="D783" s="3008" t="s">
        <v>944</v>
      </c>
      <c r="E783" s="3088" t="s">
        <v>1831</v>
      </c>
      <c r="F783" s="3008"/>
      <c r="G783" s="2792">
        <v>3.7</v>
      </c>
      <c r="H783" s="3913" t="s">
        <v>1832</v>
      </c>
      <c r="I783" s="3914"/>
      <c r="J783" s="3915" t="s">
        <v>1830</v>
      </c>
      <c r="K783" s="3916"/>
      <c r="L783" s="3917"/>
      <c r="V783" s="3008" t="s">
        <v>944</v>
      </c>
      <c r="W783" s="1139"/>
      <c r="X783" s="1139"/>
      <c r="Y783" s="1139"/>
      <c r="Z783" s="1139"/>
      <c r="AA783" s="1139"/>
      <c r="AB783" s="2795">
        <v>3.7</v>
      </c>
      <c r="AC783" s="208"/>
      <c r="AD783" s="208"/>
      <c r="AE783" s="208"/>
      <c r="AF783" s="208"/>
      <c r="AG783" s="208"/>
      <c r="AK783" s="982"/>
    </row>
    <row r="784" spans="1:57" ht="30" customHeight="1" outlineLevel="1" x14ac:dyDescent="0.25">
      <c r="B784" s="1359"/>
      <c r="D784" s="3008" t="s">
        <v>948</v>
      </c>
      <c r="E784" s="3008" t="s">
        <v>3688</v>
      </c>
      <c r="F784" s="3008"/>
      <c r="G784" s="3095">
        <v>1.5</v>
      </c>
      <c r="H784" s="3477" t="s">
        <v>1833</v>
      </c>
      <c r="I784" s="3479"/>
      <c r="J784" s="3915" t="s">
        <v>1830</v>
      </c>
      <c r="K784" s="3916"/>
      <c r="L784" s="3917"/>
      <c r="V784" s="3008" t="s">
        <v>948</v>
      </c>
      <c r="W784" s="609"/>
      <c r="X784" s="1152"/>
      <c r="Y784" s="1152"/>
      <c r="Z784" s="1152"/>
      <c r="AA784" s="1152"/>
      <c r="AB784" s="151">
        <v>1.5</v>
      </c>
      <c r="AC784" s="1001"/>
      <c r="AD784" s="1001"/>
      <c r="AE784" s="1001"/>
      <c r="AF784" s="1001"/>
      <c r="AG784" s="1001"/>
      <c r="AK784" s="982"/>
    </row>
    <row r="785" spans="2:37" ht="30" customHeight="1" outlineLevel="1" x14ac:dyDescent="0.25">
      <c r="B785" s="1359"/>
      <c r="D785" s="3008" t="s">
        <v>950</v>
      </c>
      <c r="E785" s="3088" t="s">
        <v>1831</v>
      </c>
      <c r="F785" s="3008"/>
      <c r="G785" s="1285">
        <v>3.7</v>
      </c>
      <c r="H785" s="3913" t="s">
        <v>1832</v>
      </c>
      <c r="I785" s="3914"/>
      <c r="J785" s="3915" t="s">
        <v>1830</v>
      </c>
      <c r="K785" s="3916"/>
      <c r="L785" s="3917"/>
      <c r="V785" s="3008" t="s">
        <v>950</v>
      </c>
      <c r="W785" s="1139"/>
      <c r="X785" s="1139"/>
      <c r="Y785" s="2787"/>
      <c r="Z785" s="2787"/>
      <c r="AA785" s="2787"/>
      <c r="AB785" s="292">
        <v>3.7</v>
      </c>
      <c r="AC785" s="1001"/>
      <c r="AD785" s="1001"/>
      <c r="AE785" s="1001"/>
      <c r="AF785" s="1001"/>
      <c r="AG785" s="1001"/>
      <c r="AK785" s="982"/>
    </row>
    <row r="786" spans="2:37" ht="45" customHeight="1" outlineLevel="1" x14ac:dyDescent="0.25">
      <c r="B786" s="1359"/>
      <c r="D786" s="3008" t="s">
        <v>637</v>
      </c>
      <c r="E786" s="3088" t="s">
        <v>1834</v>
      </c>
      <c r="F786" s="3008"/>
      <c r="G786" s="1138">
        <v>1.5644946808510638</v>
      </c>
      <c r="H786" s="3913" t="s">
        <v>1835</v>
      </c>
      <c r="I786" s="3914"/>
      <c r="J786" s="3915" t="s">
        <v>1830</v>
      </c>
      <c r="K786" s="3916"/>
      <c r="L786" s="3917"/>
      <c r="V786" s="3008" t="s">
        <v>637</v>
      </c>
      <c r="W786" s="1139"/>
      <c r="X786" s="1139"/>
      <c r="Y786" s="1140"/>
      <c r="Z786" s="1140"/>
      <c r="AA786" s="1140"/>
      <c r="AB786" s="1140">
        <v>1.5644946808510638</v>
      </c>
      <c r="AC786" s="1001"/>
      <c r="AD786" s="1001"/>
      <c r="AE786" s="1001"/>
      <c r="AF786" s="1001"/>
      <c r="AG786" s="1001"/>
      <c r="AK786" s="982"/>
    </row>
    <row r="787" spans="2:37" ht="15" customHeight="1" outlineLevel="1" x14ac:dyDescent="0.25">
      <c r="B787" s="1359"/>
      <c r="D787" s="513" t="s">
        <v>954</v>
      </c>
      <c r="E787" s="3022" t="s">
        <v>955</v>
      </c>
      <c r="F787" s="3008"/>
      <c r="G787" s="1141">
        <v>1</v>
      </c>
      <c r="H787" s="3485" t="s">
        <v>1193</v>
      </c>
      <c r="I787" s="3486"/>
      <c r="J787" s="3918" t="s">
        <v>1836</v>
      </c>
      <c r="K787" s="3919"/>
      <c r="L787" s="3920"/>
      <c r="V787" s="513" t="s">
        <v>954</v>
      </c>
      <c r="W787" s="1139"/>
      <c r="X787" s="1139"/>
      <c r="Y787" s="1142"/>
      <c r="Z787" s="1142"/>
      <c r="AA787" s="1142"/>
      <c r="AB787" s="1139">
        <v>1</v>
      </c>
      <c r="AC787" s="1001"/>
      <c r="AD787" s="1001"/>
      <c r="AE787" s="1001"/>
      <c r="AF787" s="1001"/>
      <c r="AG787" s="1001"/>
      <c r="AK787" s="982"/>
    </row>
    <row r="788" spans="2:37" ht="15" customHeight="1" outlineLevel="1" x14ac:dyDescent="0.25">
      <c r="B788" s="1359"/>
      <c r="D788" s="513">
        <v>365.25</v>
      </c>
      <c r="E788" s="3088" t="s">
        <v>1837</v>
      </c>
      <c r="F788" s="3008"/>
      <c r="G788" s="282">
        <v>365.25</v>
      </c>
      <c r="H788" s="3477" t="s">
        <v>921</v>
      </c>
      <c r="I788" s="3479"/>
      <c r="J788" s="3915" t="s">
        <v>1830</v>
      </c>
      <c r="K788" s="3916"/>
      <c r="L788" s="3917"/>
      <c r="V788" s="513">
        <v>365.25</v>
      </c>
      <c r="W788" s="1139"/>
      <c r="X788" s="1139"/>
      <c r="Y788" s="2797"/>
      <c r="Z788" s="2797"/>
      <c r="AA788" s="2797"/>
      <c r="AB788" s="2787">
        <v>365.25</v>
      </c>
      <c r="AC788" s="1001"/>
      <c r="AD788" s="1001"/>
      <c r="AE788" s="1001"/>
      <c r="AF788" s="1001"/>
      <c r="AG788" s="1001"/>
      <c r="AK788" s="982"/>
    </row>
    <row r="789" spans="2:37" ht="15" customHeight="1" outlineLevel="1" x14ac:dyDescent="0.25">
      <c r="B789" s="1359"/>
      <c r="D789" s="513" t="s">
        <v>957</v>
      </c>
      <c r="E789" s="3088" t="s">
        <v>1838</v>
      </c>
      <c r="F789" s="3008"/>
      <c r="G789" s="3277">
        <v>1</v>
      </c>
      <c r="H789" s="3459" t="s">
        <v>2234</v>
      </c>
      <c r="I789" s="3459"/>
      <c r="J789" s="3915" t="s">
        <v>1839</v>
      </c>
      <c r="K789" s="3916"/>
      <c r="L789" s="3917"/>
      <c r="V789" s="513" t="s">
        <v>957</v>
      </c>
      <c r="W789" s="1139"/>
      <c r="X789" s="1139"/>
      <c r="Y789" s="1140"/>
      <c r="Z789" s="1140"/>
      <c r="AA789" s="1140"/>
      <c r="AB789" s="2793">
        <v>1</v>
      </c>
      <c r="AC789" s="1001"/>
      <c r="AD789" s="1001"/>
      <c r="AE789" s="1001"/>
      <c r="AF789" s="1001"/>
      <c r="AG789" s="1001"/>
      <c r="AK789" s="982"/>
    </row>
    <row r="790" spans="2:37" ht="15" customHeight="1" outlineLevel="1" x14ac:dyDescent="0.25">
      <c r="B790" s="1359"/>
      <c r="D790" s="513">
        <v>8.33</v>
      </c>
      <c r="E790" s="3088" t="s">
        <v>959</v>
      </c>
      <c r="F790" s="3008"/>
      <c r="G790" s="1141">
        <v>8.33</v>
      </c>
      <c r="H790" s="3493" t="s">
        <v>960</v>
      </c>
      <c r="I790" s="3494"/>
      <c r="J790" s="3915" t="s">
        <v>1830</v>
      </c>
      <c r="K790" s="3916"/>
      <c r="L790" s="3917"/>
      <c r="V790" s="513">
        <v>8.33</v>
      </c>
      <c r="W790" s="1139"/>
      <c r="X790" s="1139"/>
      <c r="Y790" s="1139"/>
      <c r="Z790" s="1139"/>
      <c r="AA790" s="1139"/>
      <c r="AB790" s="1139">
        <v>8.33</v>
      </c>
      <c r="AC790" s="1001"/>
      <c r="AD790" s="1001"/>
      <c r="AE790" s="1001"/>
      <c r="AF790" s="1001"/>
      <c r="AG790" s="1001"/>
      <c r="AK790" s="982"/>
    </row>
    <row r="791" spans="2:37" ht="15" customHeight="1" outlineLevel="1" x14ac:dyDescent="0.25">
      <c r="B791" s="1359"/>
      <c r="D791" s="513">
        <v>1</v>
      </c>
      <c r="E791" s="1901" t="s">
        <v>1840</v>
      </c>
      <c r="F791" s="3008"/>
      <c r="G791" s="1141">
        <v>1</v>
      </c>
      <c r="H791" s="3477" t="s">
        <v>962</v>
      </c>
      <c r="I791" s="3479"/>
      <c r="J791" s="3915" t="s">
        <v>1830</v>
      </c>
      <c r="K791" s="3916"/>
      <c r="L791" s="3917"/>
      <c r="V791" s="513">
        <v>1</v>
      </c>
      <c r="W791" s="1139"/>
      <c r="X791" s="1139"/>
      <c r="Y791" s="1139"/>
      <c r="Z791" s="1139"/>
      <c r="AA791" s="1139"/>
      <c r="AB791" s="1139">
        <v>1</v>
      </c>
      <c r="AC791" s="1001"/>
      <c r="AD791" s="1001"/>
      <c r="AE791" s="1001"/>
      <c r="AF791" s="1001"/>
      <c r="AG791" s="1001"/>
      <c r="AK791" s="982"/>
    </row>
    <row r="792" spans="2:37" ht="15" customHeight="1" outlineLevel="1" x14ac:dyDescent="0.25">
      <c r="B792" s="1359"/>
      <c r="D792" s="3008" t="s">
        <v>963</v>
      </c>
      <c r="E792" s="3088" t="s">
        <v>1841</v>
      </c>
      <c r="F792" s="3008"/>
      <c r="G792" s="1181">
        <v>93</v>
      </c>
      <c r="H792" s="3975" t="s">
        <v>965</v>
      </c>
      <c r="I792" s="3975"/>
      <c r="J792" s="3915" t="s">
        <v>1830</v>
      </c>
      <c r="K792" s="3916"/>
      <c r="L792" s="3917"/>
      <c r="V792" s="3008" t="s">
        <v>963</v>
      </c>
      <c r="W792" s="1139"/>
      <c r="X792" s="1139"/>
      <c r="Y792" s="1139"/>
      <c r="Z792" s="1139"/>
      <c r="AA792" s="1139"/>
      <c r="AB792" s="1147">
        <v>93</v>
      </c>
      <c r="AC792" s="1001"/>
      <c r="AD792" s="1001"/>
      <c r="AE792" s="1001"/>
      <c r="AF792" s="1001"/>
      <c r="AG792" s="1001"/>
      <c r="AK792" s="982"/>
    </row>
    <row r="793" spans="2:37" ht="60" customHeight="1" outlineLevel="1" x14ac:dyDescent="0.25">
      <c r="B793" s="1359"/>
      <c r="D793" s="3008" t="s">
        <v>966</v>
      </c>
      <c r="E793" s="3088" t="s">
        <v>1843</v>
      </c>
      <c r="F793" s="3008"/>
      <c r="G793" s="1181">
        <v>61.3</v>
      </c>
      <c r="H793" s="3459" t="s">
        <v>968</v>
      </c>
      <c r="I793" s="3459"/>
      <c r="J793" s="3915" t="s">
        <v>1830</v>
      </c>
      <c r="K793" s="3916"/>
      <c r="L793" s="3917"/>
      <c r="V793" s="3008" t="s">
        <v>966</v>
      </c>
      <c r="W793" s="1139"/>
      <c r="X793" s="1139"/>
      <c r="Y793" s="1139"/>
      <c r="Z793" s="1139"/>
      <c r="AA793" s="1139"/>
      <c r="AB793" s="1147">
        <v>61.3</v>
      </c>
      <c r="AC793" s="1001"/>
      <c r="AD793" s="1001"/>
      <c r="AE793" s="1001"/>
      <c r="AF793" s="1001"/>
      <c r="AG793" s="1001"/>
      <c r="AK793" s="982"/>
    </row>
    <row r="794" spans="2:37" ht="30" customHeight="1" outlineLevel="1" x14ac:dyDescent="0.25">
      <c r="B794" s="1359"/>
      <c r="D794" s="3008" t="s">
        <v>969</v>
      </c>
      <c r="E794" s="3088" t="s">
        <v>1844</v>
      </c>
      <c r="F794" s="3008"/>
      <c r="G794" s="1141">
        <v>0.98</v>
      </c>
      <c r="H794" s="3913" t="s">
        <v>1845</v>
      </c>
      <c r="I794" s="3914"/>
      <c r="J794" s="3915" t="s">
        <v>1830</v>
      </c>
      <c r="K794" s="3916"/>
      <c r="L794" s="3917"/>
      <c r="V794" s="3008" t="s">
        <v>969</v>
      </c>
      <c r="W794" s="1139"/>
      <c r="X794" s="1139"/>
      <c r="Y794" s="1139"/>
      <c r="Z794" s="1139"/>
      <c r="AA794" s="1139"/>
      <c r="AB794" s="1139">
        <v>0.98</v>
      </c>
      <c r="AC794" s="1001"/>
      <c r="AD794" s="1001"/>
      <c r="AE794" s="1001"/>
      <c r="AF794" s="1001"/>
      <c r="AG794" s="1001"/>
      <c r="AK794" s="982"/>
    </row>
    <row r="795" spans="2:37" ht="15" customHeight="1" outlineLevel="1" x14ac:dyDescent="0.25">
      <c r="B795" s="1359"/>
      <c r="D795" s="3008">
        <v>3412</v>
      </c>
      <c r="E795" s="3088">
        <v>3412</v>
      </c>
      <c r="F795" s="3008"/>
      <c r="G795" s="1141">
        <v>3412</v>
      </c>
      <c r="H795" s="3493" t="s">
        <v>655</v>
      </c>
      <c r="I795" s="3494"/>
      <c r="J795" s="3915" t="s">
        <v>1830</v>
      </c>
      <c r="K795" s="3916"/>
      <c r="L795" s="3917"/>
      <c r="V795" s="3008">
        <v>3412</v>
      </c>
      <c r="W795" s="1139"/>
      <c r="X795" s="1139"/>
      <c r="Y795" s="1139"/>
      <c r="Z795" s="1139"/>
      <c r="AA795" s="1139"/>
      <c r="AB795" s="1139">
        <v>3412</v>
      </c>
      <c r="AC795" s="1001"/>
      <c r="AD795" s="1001"/>
      <c r="AE795" s="1001"/>
      <c r="AF795" s="1001"/>
      <c r="AG795" s="1001"/>
      <c r="AK795" s="982"/>
    </row>
    <row r="796" spans="2:37" ht="15" customHeight="1" outlineLevel="1" x14ac:dyDescent="0.25">
      <c r="B796" s="1359"/>
      <c r="D796" s="3008" t="s">
        <v>892</v>
      </c>
      <c r="E796" s="3008" t="s">
        <v>929</v>
      </c>
      <c r="F796" s="3008"/>
      <c r="G796" s="1902">
        <v>1</v>
      </c>
      <c r="H796" s="3493" t="s">
        <v>930</v>
      </c>
      <c r="I796" s="3494"/>
      <c r="J796" s="3915" t="s">
        <v>1726</v>
      </c>
      <c r="K796" s="3916"/>
      <c r="L796" s="3916"/>
      <c r="V796" s="3008" t="s">
        <v>892</v>
      </c>
      <c r="W796" s="2452"/>
      <c r="X796" s="2452"/>
      <c r="Y796" s="2452"/>
      <c r="Z796" s="2452"/>
      <c r="AA796" s="2452"/>
      <c r="AB796" s="2452">
        <v>1</v>
      </c>
      <c r="AC796" s="1001"/>
      <c r="AD796" s="1001"/>
      <c r="AE796" s="1001"/>
      <c r="AF796" s="1001"/>
      <c r="AG796" s="1001"/>
      <c r="AK796" s="982"/>
    </row>
    <row r="797" spans="2:37" ht="15" customHeight="1" outlineLevel="1" x14ac:dyDescent="0.25">
      <c r="B797" s="1359"/>
      <c r="D797" s="3459" t="s">
        <v>75</v>
      </c>
      <c r="E797" s="3921" t="s">
        <v>1727</v>
      </c>
      <c r="F797" s="3008" t="s">
        <v>1846</v>
      </c>
      <c r="G797" s="1902">
        <v>1</v>
      </c>
      <c r="H797" s="3913" t="s">
        <v>1847</v>
      </c>
      <c r="I797" s="3914"/>
      <c r="J797" s="3915" t="s">
        <v>1830</v>
      </c>
      <c r="K797" s="3916"/>
      <c r="L797" s="3917"/>
      <c r="V797" s="3459" t="s">
        <v>75</v>
      </c>
      <c r="W797" s="2452"/>
      <c r="X797" s="2452"/>
      <c r="Y797" s="2452"/>
      <c r="Z797" s="2452"/>
      <c r="AA797" s="2452"/>
      <c r="AB797" s="2452">
        <v>1</v>
      </c>
      <c r="AC797" s="1001"/>
      <c r="AD797" s="1001"/>
      <c r="AE797" s="1001"/>
      <c r="AF797" s="1001"/>
      <c r="AG797" s="1001"/>
      <c r="AK797" s="982"/>
    </row>
    <row r="798" spans="2:37" ht="15" customHeight="1" outlineLevel="1" x14ac:dyDescent="0.25">
      <c r="B798" s="1359"/>
      <c r="D798" s="3459"/>
      <c r="E798" s="3921"/>
      <c r="F798" s="3008" t="s">
        <v>1848</v>
      </c>
      <c r="G798" s="341">
        <v>0.95</v>
      </c>
      <c r="H798" s="3485" t="s">
        <v>1193</v>
      </c>
      <c r="I798" s="3486"/>
      <c r="J798" s="3453"/>
      <c r="K798" s="3923"/>
      <c r="L798" s="3454"/>
      <c r="V798" s="3459"/>
      <c r="W798" s="608"/>
      <c r="X798" s="608"/>
      <c r="Y798" s="326"/>
      <c r="Z798" s="326"/>
      <c r="AA798" s="326"/>
      <c r="AB798" s="326">
        <v>0.95</v>
      </c>
      <c r="AC798" s="1001"/>
      <c r="AD798" s="1001"/>
      <c r="AE798" s="1001"/>
      <c r="AF798" s="1001"/>
      <c r="AG798" s="1001"/>
      <c r="AK798" s="982"/>
    </row>
    <row r="799" spans="2:37" ht="15" customHeight="1" outlineLevel="1" x14ac:dyDescent="0.25">
      <c r="B799" s="1359"/>
      <c r="D799" s="3087" t="s">
        <v>24</v>
      </c>
      <c r="E799" s="3087" t="s">
        <v>3699</v>
      </c>
      <c r="F799" s="3008" t="s">
        <v>591</v>
      </c>
      <c r="G799" s="1141">
        <v>11</v>
      </c>
      <c r="H799" s="3925"/>
      <c r="I799" s="3926"/>
      <c r="J799" s="3453"/>
      <c r="K799" s="3923"/>
      <c r="L799" s="3454"/>
      <c r="V799" s="3090" t="str">
        <f>D799</f>
        <v>EUL</v>
      </c>
      <c r="W799" s="1139"/>
      <c r="X799" s="1139"/>
      <c r="Y799" s="1139"/>
      <c r="Z799" s="1139"/>
      <c r="AA799" s="1139"/>
      <c r="AB799" s="1139">
        <v>11</v>
      </c>
      <c r="AC799" s="1001"/>
      <c r="AD799" s="1001"/>
      <c r="AE799" s="1001"/>
      <c r="AF799" s="1001"/>
      <c r="AG799" s="1001"/>
      <c r="AK799" s="982"/>
    </row>
    <row r="800" spans="2:37" ht="15" customHeight="1" outlineLevel="1" x14ac:dyDescent="0.25">
      <c r="B800" s="1359"/>
      <c r="D800" s="3896" t="s">
        <v>25</v>
      </c>
      <c r="E800" s="3896" t="s">
        <v>613</v>
      </c>
      <c r="F800" s="3008" t="s">
        <v>1846</v>
      </c>
      <c r="G800" s="2788">
        <v>3</v>
      </c>
      <c r="H800" s="3925"/>
      <c r="I800" s="3926"/>
      <c r="J800" s="3453" t="s">
        <v>1849</v>
      </c>
      <c r="K800" s="3923"/>
      <c r="L800" s="3454"/>
      <c r="V800" s="3934" t="str">
        <f>D800</f>
        <v>Inc. Cost</v>
      </c>
      <c r="W800" s="1139"/>
      <c r="X800" s="1139"/>
      <c r="Y800" s="1139"/>
      <c r="Z800" s="1139"/>
      <c r="AA800" s="1139"/>
      <c r="AB800" s="2789">
        <v>3</v>
      </c>
      <c r="AC800" s="1001"/>
      <c r="AD800" s="1001"/>
      <c r="AE800" s="1001"/>
      <c r="AF800" s="1001"/>
      <c r="AG800" s="1001"/>
      <c r="AK800" s="982"/>
    </row>
    <row r="801" spans="2:57" ht="15" customHeight="1" outlineLevel="1" x14ac:dyDescent="0.25">
      <c r="B801" s="1359"/>
      <c r="D801" s="3981"/>
      <c r="E801" s="3981"/>
      <c r="F801" s="3008" t="s">
        <v>1848</v>
      </c>
      <c r="G801" s="2788">
        <v>11.33</v>
      </c>
      <c r="H801" s="3925"/>
      <c r="I801" s="3926"/>
      <c r="J801" s="3453"/>
      <c r="K801" s="3923"/>
      <c r="L801" s="3454"/>
      <c r="V801" s="3459"/>
      <c r="W801" s="1139"/>
      <c r="X801" s="1139"/>
      <c r="Y801" s="1139"/>
      <c r="Z801" s="1139"/>
      <c r="AA801" s="1139"/>
      <c r="AB801" s="2789">
        <v>11.33</v>
      </c>
      <c r="AC801" s="1001"/>
      <c r="AD801" s="1001"/>
      <c r="AE801" s="1001"/>
      <c r="AF801" s="1001"/>
      <c r="AG801" s="1001"/>
      <c r="AK801" s="982"/>
    </row>
    <row r="802" spans="2:57" ht="15" customHeight="1" x14ac:dyDescent="0.25">
      <c r="B802" s="1359"/>
      <c r="C802" s="3053"/>
      <c r="AK802" s="982"/>
    </row>
    <row r="803" spans="2:57" ht="15" customHeight="1" x14ac:dyDescent="0.25">
      <c r="B803" s="1359"/>
      <c r="C803" s="274"/>
      <c r="AK803" s="982"/>
    </row>
    <row r="804" spans="2:57" x14ac:dyDescent="0.25">
      <c r="B804" s="3350" t="s">
        <v>980</v>
      </c>
      <c r="C804" s="3351"/>
      <c r="D804" s="3351"/>
      <c r="E804" s="3351"/>
      <c r="F804" s="3351"/>
      <c r="G804" s="3351"/>
      <c r="H804" s="3351"/>
      <c r="I804" s="3352"/>
      <c r="J804" s="3352"/>
      <c r="K804" s="3352"/>
      <c r="L804" s="3352"/>
      <c r="M804" s="3352"/>
      <c r="N804" s="3352"/>
      <c r="O804" s="3352"/>
      <c r="P804" s="3352"/>
      <c r="Q804" s="3352"/>
      <c r="R804" s="3353"/>
      <c r="V804" s="3350" t="str">
        <f>B804</f>
        <v xml:space="preserve">Low Flow Showerheads </v>
      </c>
      <c r="W804" s="3351"/>
      <c r="X804" s="3351"/>
      <c r="Y804" s="3351"/>
      <c r="Z804" s="3351"/>
      <c r="AA804" s="3351"/>
      <c r="AB804" s="3351"/>
      <c r="AC804" s="3354"/>
      <c r="AD804" s="3354"/>
      <c r="AE804" s="3354"/>
      <c r="AF804" s="3354"/>
      <c r="AG804" s="3354"/>
      <c r="AH804" s="3354"/>
      <c r="AI804" s="3355"/>
      <c r="AK804" s="982"/>
    </row>
    <row r="805" spans="2:57" x14ac:dyDescent="0.25">
      <c r="B805" s="1903"/>
      <c r="C805" s="1146"/>
      <c r="D805" s="482"/>
      <c r="E805" s="482"/>
      <c r="F805" s="275"/>
      <c r="G805" s="275"/>
      <c r="H805" s="275"/>
      <c r="I805" s="275"/>
      <c r="J805" s="275"/>
      <c r="K805" s="275"/>
      <c r="L805" s="1635"/>
      <c r="AK805" s="982"/>
    </row>
    <row r="806" spans="2:57" ht="49.5" customHeight="1" x14ac:dyDescent="0.25">
      <c r="B806" s="1359"/>
      <c r="C806" s="1409" t="s">
        <v>17</v>
      </c>
      <c r="D806" s="1409" t="s">
        <v>616</v>
      </c>
      <c r="E806" s="1409" t="s">
        <v>19</v>
      </c>
      <c r="F806" s="1409" t="s">
        <v>1682</v>
      </c>
      <c r="G806" s="1409" t="s">
        <v>21</v>
      </c>
      <c r="H806" s="1409" t="s">
        <v>22</v>
      </c>
      <c r="I806" s="1409" t="s">
        <v>933</v>
      </c>
      <c r="J806" s="1409" t="s">
        <v>23</v>
      </c>
      <c r="K806" s="1409" t="s">
        <v>24</v>
      </c>
      <c r="L806" s="1409" t="s">
        <v>25</v>
      </c>
      <c r="M806" s="1409" t="s">
        <v>26</v>
      </c>
      <c r="V806" s="55" t="s">
        <v>27</v>
      </c>
      <c r="W806" s="56">
        <f>W$6</f>
        <v>43252</v>
      </c>
      <c r="X806" s="56">
        <f t="shared" ref="X806:AG806" si="104">X$6</f>
        <v>43465</v>
      </c>
      <c r="Y806" s="420">
        <f t="shared" si="104"/>
        <v>43800</v>
      </c>
      <c r="Z806" s="56">
        <f t="shared" si="104"/>
        <v>43862</v>
      </c>
      <c r="AA806" s="56">
        <f t="shared" si="104"/>
        <v>44013</v>
      </c>
      <c r="AB806" s="56">
        <f t="shared" si="104"/>
        <v>44166</v>
      </c>
      <c r="AC806" s="56" t="str">
        <f t="shared" si="104"/>
        <v>-</v>
      </c>
      <c r="AD806" s="56" t="str">
        <f t="shared" si="104"/>
        <v>-</v>
      </c>
      <c r="AE806" s="56" t="str">
        <f t="shared" si="104"/>
        <v>-</v>
      </c>
      <c r="AF806" s="56" t="str">
        <f t="shared" si="104"/>
        <v>-</v>
      </c>
      <c r="AG806" s="56" t="str">
        <f t="shared" si="104"/>
        <v>-</v>
      </c>
      <c r="AK806" s="982"/>
      <c r="BB806" s="57" t="str">
        <f>$BB$6</f>
        <v>TRC (2020)</v>
      </c>
      <c r="BC806" s="93" t="str">
        <f>$BC$6</f>
        <v>Benefit Lookup</v>
      </c>
      <c r="BD806" s="741" t="str">
        <f>$BD$6</f>
        <v>Benefits (2019 $)</v>
      </c>
      <c r="BE806" s="279" t="str">
        <f>$BE$6</f>
        <v>Incremental Cost (2019 $)</v>
      </c>
    </row>
    <row r="807" spans="2:57" x14ac:dyDescent="0.25">
      <c r="B807" s="1359"/>
      <c r="C807" s="517" t="s">
        <v>1850</v>
      </c>
      <c r="D807" s="517" t="s">
        <v>1518</v>
      </c>
      <c r="E807" s="1090" t="s">
        <v>1851</v>
      </c>
      <c r="F807" s="1277">
        <f>ROUND(G821*(G822*G823-G824*G825)*G827*G828*G829/G831*I807*G839*G838,2)</f>
        <v>220.17</v>
      </c>
      <c r="G807" s="517" t="s">
        <v>1822</v>
      </c>
      <c r="H807" s="515">
        <f>VLOOKUP(G807,'CP FACTORS'!$A$3:$B$38, 2, FALSE)</f>
        <v>8.8731800000000003E-5</v>
      </c>
      <c r="I807" s="596">
        <f>G832*G833*(G834-G835)/(G836*G837)</f>
        <v>0.10883387049516556</v>
      </c>
      <c r="J807" s="1888">
        <f>ROUND(F807*H807,6)</f>
        <v>1.9536000000000001E-2</v>
      </c>
      <c r="K807" s="142">
        <f>$G$842</f>
        <v>10</v>
      </c>
      <c r="L807" s="1415">
        <f>G843</f>
        <v>7</v>
      </c>
      <c r="M807" s="517" t="s">
        <v>37</v>
      </c>
      <c r="R807" s="290"/>
      <c r="S807" s="1904"/>
      <c r="V807" s="208" t="str">
        <f>F806</f>
        <v>kWh
Annual Savings</v>
      </c>
      <c r="W807" s="209">
        <v>205.45946120574482</v>
      </c>
      <c r="X807" s="980">
        <v>386.59384956558648</v>
      </c>
      <c r="Y807" s="621">
        <v>220.17</v>
      </c>
      <c r="Z807" s="89">
        <v>220.17</v>
      </c>
      <c r="AA807" s="89">
        <v>220.17</v>
      </c>
      <c r="AB807" s="89">
        <v>220.17</v>
      </c>
      <c r="AC807" s="208"/>
      <c r="AD807" s="208"/>
      <c r="AE807" s="208"/>
      <c r="AF807" s="208"/>
      <c r="AG807" s="208"/>
      <c r="AH807" s="211"/>
      <c r="AK807" s="982"/>
      <c r="BB807" s="67">
        <f>(BD807)/(BE807)</f>
        <v>11.23966827099502</v>
      </c>
      <c r="BC807" s="68" t="str">
        <f>CONCATENATE(G807," ",K807," Year EUL")</f>
        <v>Water heating RES 10 Year EUL</v>
      </c>
      <c r="BD807" s="145">
        <f>(INDEX('Avoided Cost Benefits'!$C$4:$C$857,MATCH(BC807,'Avoided Cost Benefits'!$A$4:$A$857,0)))*F807</f>
        <v>74.259252380335198</v>
      </c>
      <c r="BE807" s="69">
        <f>L807/(1.0595^(2020-2019))</f>
        <v>6.6068900424728643</v>
      </c>
    </row>
    <row r="808" spans="2:57" x14ac:dyDescent="0.25">
      <c r="B808" s="1359"/>
      <c r="C808" s="517" t="s">
        <v>1852</v>
      </c>
      <c r="D808" s="517" t="s">
        <v>1824</v>
      </c>
      <c r="E808" s="1090" t="s">
        <v>1853</v>
      </c>
      <c r="F808" s="1181">
        <f>ROUND($G$821*($G$822*$G$823-$G$824*$G$825)*$G$827*$G$828*$G$829/$G$831*$I$807*$G$841*$G$838,2)</f>
        <v>232.35</v>
      </c>
      <c r="G808" s="517" t="s">
        <v>1822</v>
      </c>
      <c r="H808" s="515">
        <f>VLOOKUP(G808,'CP FACTORS'!$A$3:$B$38, 2, FALSE)</f>
        <v>8.8731800000000003E-5</v>
      </c>
      <c r="I808" s="1833">
        <f>$G$832*$G$833*($G$834-$G$835)/($G$836*$G$837)</f>
        <v>0.10883387049516556</v>
      </c>
      <c r="J808" s="1888">
        <f>ROUND(F808*H808,6)</f>
        <v>2.0617E-2</v>
      </c>
      <c r="K808" s="142">
        <f>$G$842</f>
        <v>10</v>
      </c>
      <c r="L808" s="1415">
        <f>G844</f>
        <v>12.98</v>
      </c>
      <c r="M808" s="517" t="s">
        <v>37</v>
      </c>
      <c r="R808" s="290"/>
      <c r="S808" s="1905"/>
      <c r="V808" s="208" t="str">
        <f>V807</f>
        <v>kWh
Annual Savings</v>
      </c>
      <c r="W808" s="209">
        <v>219.7507887809823</v>
      </c>
      <c r="X808" s="980">
        <v>396.76737192257565</v>
      </c>
      <c r="Y808" s="621">
        <v>232.42</v>
      </c>
      <c r="Z808" s="89">
        <v>232.42</v>
      </c>
      <c r="AA808" s="89">
        <v>232.42</v>
      </c>
      <c r="AB808" s="89">
        <v>232.42</v>
      </c>
      <c r="AC808" s="208"/>
      <c r="AD808" s="208"/>
      <c r="AE808" s="208"/>
      <c r="AF808" s="208"/>
      <c r="AG808" s="208"/>
      <c r="AH808" s="211"/>
      <c r="AK808" s="982"/>
      <c r="BB808" s="71">
        <f>(BD808)/(BE808)</f>
        <v>6.3967794249477388</v>
      </c>
      <c r="BC808" s="72" t="str">
        <f>CONCATENATE(G808," ",K808," Year EUL")</f>
        <v>Water heating RES 10 Year EUL</v>
      </c>
      <c r="BD808" s="148">
        <f>(INDEX('Avoided Cost Benefits'!$C$4:$C$857,MATCH(BC808,'Avoided Cost Benefits'!$A$4:$A$857,0)))*F808</f>
        <v>78.367340194262994</v>
      </c>
      <c r="BE808" s="73">
        <f>L808/(1.0595^(2020-2019))</f>
        <v>12.251061821613968</v>
      </c>
    </row>
    <row r="809" spans="2:57" x14ac:dyDescent="0.25">
      <c r="B809" s="1359"/>
      <c r="C809" s="517" t="s">
        <v>1854</v>
      </c>
      <c r="D809" s="517" t="s">
        <v>1824</v>
      </c>
      <c r="E809" s="1090" t="s">
        <v>1855</v>
      </c>
      <c r="F809" s="1181">
        <f>ROUND($G$821*($G$822*$G$823-$G$824*$G$825)*$G$827*$G$828*$G$829/$G$831*$I$807*$G$841*$G$838,2)</f>
        <v>232.35</v>
      </c>
      <c r="G809" s="517" t="s">
        <v>1822</v>
      </c>
      <c r="H809" s="515">
        <f>VLOOKUP(G809,'CP FACTORS'!$A$3:$B$38, 2, FALSE)</f>
        <v>8.8731800000000003E-5</v>
      </c>
      <c r="I809" s="1833">
        <f>$G$832*$G$833*($G$834-$G$835)/($G$836*$G$837)</f>
        <v>0.10883387049516556</v>
      </c>
      <c r="J809" s="1888">
        <f>ROUND(F809*H809,6)</f>
        <v>2.0617E-2</v>
      </c>
      <c r="K809" s="142">
        <f>$G$842</f>
        <v>10</v>
      </c>
      <c r="L809" s="1415">
        <f>G846</f>
        <v>12.47</v>
      </c>
      <c r="M809" s="517" t="s">
        <v>37</v>
      </c>
      <c r="R809" s="290"/>
      <c r="S809" s="1905"/>
      <c r="V809" s="208" t="str">
        <f>V808</f>
        <v>kWh
Annual Savings</v>
      </c>
      <c r="W809" s="209"/>
      <c r="X809" s="980"/>
      <c r="Y809" s="621">
        <v>232.42</v>
      </c>
      <c r="Z809" s="89">
        <v>232.42</v>
      </c>
      <c r="AA809" s="89">
        <v>232.42</v>
      </c>
      <c r="AB809" s="89">
        <v>232.42</v>
      </c>
      <c r="AC809" s="208"/>
      <c r="AD809" s="208"/>
      <c r="AE809" s="208"/>
      <c r="AF809" s="208"/>
      <c r="AG809" s="208"/>
      <c r="AH809" s="211"/>
      <c r="AK809" s="982"/>
      <c r="BB809" s="71">
        <f>(BD809)/(BE809)</f>
        <v>6.6583959050378221</v>
      </c>
      <c r="BC809" s="72" t="str">
        <f>CONCATENATE(G809," ",K809," Year EUL")</f>
        <v>Water heating RES 10 Year EUL</v>
      </c>
      <c r="BD809" s="148">
        <f>(INDEX('Avoided Cost Benefits'!$C$4:$C$857,MATCH(BC809,'Avoided Cost Benefits'!$A$4:$A$857,0)))*F809</f>
        <v>78.367340194262994</v>
      </c>
      <c r="BE809" s="73">
        <f>L809/(1.0595^(2020-2019))</f>
        <v>11.769702689948089</v>
      </c>
    </row>
    <row r="810" spans="2:57" x14ac:dyDescent="0.25">
      <c r="B810" s="1359"/>
      <c r="C810" s="517" t="s">
        <v>1856</v>
      </c>
      <c r="D810" s="517" t="s">
        <v>1827</v>
      </c>
      <c r="E810" s="1090" t="s">
        <v>1857</v>
      </c>
      <c r="F810" s="1181">
        <f>ROUND($G$821*($G$822*$G$823-$G$824*$G$825)*$G$826*$G$828*$G$829/$G$830*$I$807*$G$840*$G$838,2)</f>
        <v>194.58</v>
      </c>
      <c r="G810" s="517" t="s">
        <v>1822</v>
      </c>
      <c r="H810" s="515">
        <f>VLOOKUP(G810,'CP FACTORS'!$A$3:$B$38, 2, FALSE)</f>
        <v>8.8731800000000003E-5</v>
      </c>
      <c r="I810" s="1833">
        <f>$G$833*$G$834*($G$835-$G$836)/($G$837*$G$838)</f>
        <v>1.8557280984471141</v>
      </c>
      <c r="J810" s="1888">
        <f>ROUND(F810*H810,6)</f>
        <v>1.7264999999999999E-2</v>
      </c>
      <c r="K810" s="142">
        <f>$G$842</f>
        <v>10</v>
      </c>
      <c r="L810" s="1415">
        <f>G844</f>
        <v>12.98</v>
      </c>
      <c r="M810" s="517" t="s">
        <v>37</v>
      </c>
      <c r="R810" s="290"/>
      <c r="S810" s="1905"/>
      <c r="V810" s="208" t="str">
        <f>V809</f>
        <v>kWh
Annual Savings</v>
      </c>
      <c r="W810" s="209">
        <v>193.57333532775112</v>
      </c>
      <c r="X810" s="980">
        <v>277.23460772356242</v>
      </c>
      <c r="Y810" s="621">
        <v>199.61</v>
      </c>
      <c r="Z810" s="89">
        <v>199.61</v>
      </c>
      <c r="AA810" s="89">
        <v>199.61</v>
      </c>
      <c r="AB810" s="89">
        <v>199.61</v>
      </c>
      <c r="AC810" s="208"/>
      <c r="AD810" s="208"/>
      <c r="AE810" s="208"/>
      <c r="AF810" s="208"/>
      <c r="AG810" s="208"/>
      <c r="AH810" s="211"/>
      <c r="AK810" s="982"/>
      <c r="BB810" s="71">
        <f>(BD810)/(BE810)</f>
        <v>5.3569414267541688</v>
      </c>
      <c r="BC810" s="72" t="str">
        <f>CONCATENATE(G810," ",K810," Year EUL")</f>
        <v>Water heating RES 10 Year EUL</v>
      </c>
      <c r="BD810" s="148">
        <f>(INDEX('Avoided Cost Benefits'!$C$4:$C$857,MATCH(BC810,'Avoided Cost Benefits'!$A$4:$A$857,0)))*F810</f>
        <v>65.628220593930251</v>
      </c>
      <c r="BE810" s="73">
        <f>L810/(1.0595^(2020-2019))</f>
        <v>12.251061821613968</v>
      </c>
    </row>
    <row r="811" spans="2:57" x14ac:dyDescent="0.25">
      <c r="B811" s="1359"/>
      <c r="C811" s="517" t="s">
        <v>1858</v>
      </c>
      <c r="D811" s="517" t="s">
        <v>1827</v>
      </c>
      <c r="E811" s="1090" t="s">
        <v>1859</v>
      </c>
      <c r="F811" s="1181">
        <f>ROUND($G$821*($G$822*$G$823-$G$824*$G$825)*$G$826*$G$828*$G$829/$G$830*$I$807*$G$840*$G$838,2)</f>
        <v>194.58</v>
      </c>
      <c r="G811" s="517" t="s">
        <v>1822</v>
      </c>
      <c r="H811" s="515">
        <f>VLOOKUP(G811,'CP FACTORS'!$A$3:$B$38, 2, FALSE)</f>
        <v>8.8731800000000003E-5</v>
      </c>
      <c r="I811" s="1833">
        <f>$G$833*$G$834*($G$835-$G$836)/($G$837*$G$838)</f>
        <v>1.8557280984471141</v>
      </c>
      <c r="J811" s="1888">
        <f>ROUND(F811*H811,6)</f>
        <v>1.7264999999999999E-2</v>
      </c>
      <c r="K811" s="142">
        <f>$G$842</f>
        <v>10</v>
      </c>
      <c r="L811" s="1415">
        <v>18.45</v>
      </c>
      <c r="M811" s="517" t="s">
        <v>37</v>
      </c>
      <c r="R811" s="290"/>
      <c r="S811" s="1905"/>
      <c r="V811" s="208" t="str">
        <f>V810</f>
        <v>kWh
Annual Savings</v>
      </c>
      <c r="W811" s="209"/>
      <c r="X811" s="980"/>
      <c r="Y811" s="621">
        <v>199.61</v>
      </c>
      <c r="Z811" s="89">
        <v>199.61</v>
      </c>
      <c r="AA811" s="89">
        <v>199.61</v>
      </c>
      <c r="AB811" s="89">
        <v>199.61</v>
      </c>
      <c r="AC811" s="208"/>
      <c r="AD811" s="208"/>
      <c r="AE811" s="208"/>
      <c r="AF811" s="208"/>
      <c r="AG811" s="208"/>
      <c r="AH811" s="211"/>
      <c r="AK811" s="982"/>
      <c r="BB811" s="74">
        <f>(BD811)/(BE811)</f>
        <v>3.7687316921013068</v>
      </c>
      <c r="BC811" s="72" t="str">
        <f>CONCATENATE(G811," ",K811," Year EUL")</f>
        <v>Water heating RES 10 Year EUL</v>
      </c>
      <c r="BD811" s="153">
        <f>(INDEX('Avoided Cost Benefits'!$C$4:$C$857,MATCH(BC811,'Avoided Cost Benefits'!$A$4:$A$857,0)))*F811</f>
        <v>65.628220593930251</v>
      </c>
      <c r="BE811" s="75">
        <f>L811/(1.0595^(2020-2019))</f>
        <v>17.41387446908919</v>
      </c>
    </row>
    <row r="812" spans="2:57" outlineLevel="1" x14ac:dyDescent="0.25">
      <c r="B812" s="1359"/>
      <c r="C812" s="274"/>
      <c r="D812" s="1332"/>
      <c r="E812" s="1332"/>
      <c r="F812" s="1906"/>
      <c r="G812" s="1701"/>
      <c r="H812" s="1892"/>
      <c r="I812" s="1192"/>
      <c r="J812" s="1192"/>
      <c r="K812" s="343"/>
      <c r="M812" s="1136"/>
      <c r="V812"/>
      <c r="W812" s="64"/>
      <c r="X812"/>
      <c r="Y812" s="135"/>
      <c r="Z812"/>
      <c r="AA812"/>
      <c r="AB812"/>
      <c r="AC812"/>
      <c r="AD812"/>
      <c r="AE812"/>
      <c r="AF812"/>
      <c r="AG812"/>
      <c r="AK812" s="982"/>
    </row>
    <row r="813" spans="2:57" outlineLevel="1" x14ac:dyDescent="0.25">
      <c r="B813" s="1359"/>
      <c r="C813" s="274"/>
      <c r="D813" s="1332"/>
      <c r="E813" s="1332"/>
      <c r="F813" s="1906"/>
      <c r="G813" s="1701"/>
      <c r="H813" s="1892"/>
      <c r="I813" s="1192"/>
      <c r="J813" s="1192"/>
      <c r="K813" s="343"/>
      <c r="M813" s="1136"/>
      <c r="V813"/>
      <c r="W813"/>
      <c r="X813"/>
      <c r="Y813" s="135"/>
      <c r="Z813"/>
      <c r="AA813"/>
      <c r="AB813"/>
      <c r="AC813"/>
      <c r="AD813"/>
      <c r="AE813"/>
      <c r="AF813"/>
      <c r="AG813"/>
      <c r="AK813" s="982"/>
    </row>
    <row r="814" spans="2:57" outlineLevel="1" x14ac:dyDescent="0.25">
      <c r="B814" s="1359"/>
      <c r="C814" s="274"/>
      <c r="D814" s="222" t="s">
        <v>571</v>
      </c>
      <c r="E814" s="1332"/>
      <c r="F814" s="1136"/>
      <c r="G814" s="1136"/>
      <c r="H814" s="1136"/>
      <c r="I814" s="1136"/>
      <c r="J814" s="1136"/>
      <c r="M814" s="1136"/>
      <c r="V814"/>
      <c r="W814"/>
      <c r="X814"/>
      <c r="Y814" s="135"/>
      <c r="Z814"/>
      <c r="AA814"/>
      <c r="AB814"/>
      <c r="AC814"/>
      <c r="AD814"/>
      <c r="AE814"/>
      <c r="AF814"/>
      <c r="AG814"/>
      <c r="AK814" s="982"/>
    </row>
    <row r="815" spans="2:57" outlineLevel="1" x14ac:dyDescent="0.25">
      <c r="B815" s="1359"/>
      <c r="C815" s="302"/>
      <c r="D815" s="1893"/>
      <c r="E815" s="1894"/>
      <c r="F815" s="1907"/>
      <c r="G815" s="1891"/>
      <c r="H815" s="1891"/>
      <c r="I815" s="1136"/>
      <c r="J815" s="1136"/>
      <c r="V815"/>
      <c r="W815"/>
      <c r="X815"/>
      <c r="Y815" s="135"/>
      <c r="Z815"/>
      <c r="AA815"/>
      <c r="AB815"/>
      <c r="AC815"/>
      <c r="AD815"/>
      <c r="AE815"/>
      <c r="AF815"/>
      <c r="AG815"/>
      <c r="AK815" s="982"/>
    </row>
    <row r="816" spans="2:57" outlineLevel="1" x14ac:dyDescent="0.25">
      <c r="B816" s="1359"/>
      <c r="C816" s="316"/>
      <c r="D816" s="1896"/>
      <c r="E816" s="1897"/>
      <c r="F816" s="1908"/>
      <c r="G816" s="1891"/>
      <c r="H816" s="1891"/>
      <c r="I816" s="1136"/>
      <c r="J816" s="1136"/>
      <c r="V816"/>
      <c r="W816"/>
      <c r="X816"/>
      <c r="Y816" s="135"/>
      <c r="Z816"/>
      <c r="AA816"/>
      <c r="AB816"/>
      <c r="AC816"/>
      <c r="AD816"/>
      <c r="AE816"/>
      <c r="AF816"/>
      <c r="AG816"/>
      <c r="AK816" s="982"/>
    </row>
    <row r="817" spans="2:37" outlineLevel="1" x14ac:dyDescent="0.25">
      <c r="B817" s="1359"/>
      <c r="C817" s="316"/>
      <c r="D817" s="1896"/>
      <c r="E817" s="1897"/>
      <c r="F817" s="1908"/>
      <c r="G817" s="1891"/>
      <c r="H817" s="1891"/>
      <c r="I817" s="1136"/>
      <c r="J817" s="1136"/>
      <c r="V817"/>
      <c r="W817"/>
      <c r="X817"/>
      <c r="Y817" s="135"/>
      <c r="Z817"/>
      <c r="AA817"/>
      <c r="AB817"/>
      <c r="AC817"/>
      <c r="AD817"/>
      <c r="AE817"/>
      <c r="AF817"/>
      <c r="AG817"/>
      <c r="AK817" s="982"/>
    </row>
    <row r="818" spans="2:37" ht="15" customHeight="1" outlineLevel="1" x14ac:dyDescent="0.25">
      <c r="B818" s="1359"/>
      <c r="C818" s="316"/>
      <c r="D818" s="1828"/>
      <c r="E818" s="1829"/>
      <c r="F818" s="998"/>
      <c r="G818" s="1148"/>
      <c r="H818" s="1148"/>
      <c r="V818"/>
      <c r="W818"/>
      <c r="X818"/>
      <c r="Y818" s="135"/>
      <c r="Z818"/>
      <c r="AA818"/>
      <c r="AB818"/>
      <c r="AC818"/>
      <c r="AD818"/>
      <c r="AE818"/>
      <c r="AF818"/>
      <c r="AG818"/>
      <c r="AK818" s="982"/>
    </row>
    <row r="819" spans="2:37" ht="15" customHeight="1" outlineLevel="1" x14ac:dyDescent="0.25">
      <c r="V819"/>
      <c r="W819"/>
      <c r="X819"/>
      <c r="Y819" s="135"/>
      <c r="Z819"/>
      <c r="AA819"/>
      <c r="AB819"/>
      <c r="AC819"/>
      <c r="AD819"/>
      <c r="AE819"/>
      <c r="AF819"/>
      <c r="AG819"/>
      <c r="AK819" s="982"/>
    </row>
    <row r="820" spans="2:37" ht="15" customHeight="1" outlineLevel="1" x14ac:dyDescent="0.25">
      <c r="D820" s="1456" t="s">
        <v>572</v>
      </c>
      <c r="E820" s="1456" t="s">
        <v>573</v>
      </c>
      <c r="F820" s="1409" t="s">
        <v>1829</v>
      </c>
      <c r="G820" s="1412" t="s">
        <v>574</v>
      </c>
      <c r="H820" s="3419" t="s">
        <v>624</v>
      </c>
      <c r="I820" s="3419"/>
      <c r="J820" s="3419" t="s">
        <v>575</v>
      </c>
      <c r="K820" s="3419"/>
      <c r="L820" s="3419"/>
      <c r="S820" s="1148"/>
      <c r="V820" s="55" t="s">
        <v>27</v>
      </c>
      <c r="W820" s="56">
        <f>W$6</f>
        <v>43252</v>
      </c>
      <c r="X820" s="56">
        <f t="shared" ref="X820:AG820" si="105">X$6</f>
        <v>43465</v>
      </c>
      <c r="Y820" s="420">
        <f t="shared" si="105"/>
        <v>43800</v>
      </c>
      <c r="Z820" s="56">
        <f t="shared" si="105"/>
        <v>43862</v>
      </c>
      <c r="AA820" s="56">
        <f t="shared" si="105"/>
        <v>44013</v>
      </c>
      <c r="AB820" s="56">
        <f t="shared" si="105"/>
        <v>44166</v>
      </c>
      <c r="AC820" s="56" t="str">
        <f t="shared" si="105"/>
        <v>-</v>
      </c>
      <c r="AD820" s="56" t="str">
        <f t="shared" si="105"/>
        <v>-</v>
      </c>
      <c r="AE820" s="56" t="str">
        <f t="shared" si="105"/>
        <v>-</v>
      </c>
      <c r="AF820" s="56" t="str">
        <f t="shared" si="105"/>
        <v>-</v>
      </c>
      <c r="AG820" s="56" t="str">
        <f t="shared" si="105"/>
        <v>-</v>
      </c>
      <c r="AK820" s="982"/>
    </row>
    <row r="821" spans="2:37" ht="30" customHeight="1" outlineLevel="1" x14ac:dyDescent="0.25">
      <c r="D821" s="1410" t="s">
        <v>937</v>
      </c>
      <c r="E821" s="1410" t="s">
        <v>938</v>
      </c>
      <c r="F821" s="1410"/>
      <c r="G821" s="1150">
        <v>1</v>
      </c>
      <c r="H821" s="3509" t="s">
        <v>930</v>
      </c>
      <c r="I821" s="3509"/>
      <c r="J821" s="3929" t="s">
        <v>1726</v>
      </c>
      <c r="K821" s="3930"/>
      <c r="L821" s="3931"/>
      <c r="S821" s="1149"/>
      <c r="V821" s="1073" t="s">
        <v>937</v>
      </c>
      <c r="W821" s="1074">
        <v>1</v>
      </c>
      <c r="X821" s="1074">
        <v>1</v>
      </c>
      <c r="Y821" s="1074">
        <v>1</v>
      </c>
      <c r="Z821" s="1150">
        <v>1</v>
      </c>
      <c r="AA821" s="1150">
        <v>1</v>
      </c>
      <c r="AB821" s="1150">
        <v>1</v>
      </c>
      <c r="AC821" s="1150"/>
      <c r="AD821" s="1150"/>
      <c r="AE821" s="1150"/>
      <c r="AF821" s="1150"/>
      <c r="AG821" s="1150"/>
      <c r="AK821" s="982"/>
    </row>
    <row r="822" spans="2:37" ht="51.75" customHeight="1" outlineLevel="1" x14ac:dyDescent="0.25">
      <c r="D822" s="1410" t="s">
        <v>941</v>
      </c>
      <c r="E822" s="1410" t="s">
        <v>985</v>
      </c>
      <c r="F822" s="1410"/>
      <c r="G822" s="1151">
        <v>2.2000000000000002</v>
      </c>
      <c r="H822" s="3459" t="s">
        <v>1860</v>
      </c>
      <c r="I822" s="3459"/>
      <c r="J822" s="3424" t="s">
        <v>1830</v>
      </c>
      <c r="K822" s="3424"/>
      <c r="L822" s="3424"/>
      <c r="S822" s="375"/>
      <c r="V822" s="1073" t="str">
        <f>D822</f>
        <v>GPM_base</v>
      </c>
      <c r="W822" s="1137">
        <v>2.67</v>
      </c>
      <c r="X822" s="609">
        <f>'Energy Effic. Kits Deemed Table'!G220</f>
        <v>2.35</v>
      </c>
      <c r="Y822" s="1152">
        <v>2.2000000000000002</v>
      </c>
      <c r="Z822" s="1151">
        <v>2.2000000000000002</v>
      </c>
      <c r="AA822" s="1151">
        <v>2.2000000000000002</v>
      </c>
      <c r="AB822" s="1151">
        <v>2.2000000000000002</v>
      </c>
      <c r="AC822" s="562"/>
      <c r="AD822" s="562"/>
      <c r="AE822" s="562"/>
      <c r="AF822" s="562"/>
      <c r="AG822" s="562"/>
      <c r="AK822" s="982"/>
    </row>
    <row r="823" spans="2:37" ht="75" customHeight="1" outlineLevel="1" x14ac:dyDescent="0.25">
      <c r="D823" s="1410" t="s">
        <v>944</v>
      </c>
      <c r="E823" s="1443" t="s">
        <v>1861</v>
      </c>
      <c r="F823" s="1410"/>
      <c r="G823" s="1141">
        <v>8.66</v>
      </c>
      <c r="H823" s="3866" t="s">
        <v>1862</v>
      </c>
      <c r="I823" s="3866"/>
      <c r="J823" s="3424" t="s">
        <v>1830</v>
      </c>
      <c r="K823" s="3424"/>
      <c r="L823" s="3424"/>
      <c r="S823" s="1153"/>
      <c r="V823" s="1073" t="str">
        <f>D823</f>
        <v>L_base</v>
      </c>
      <c r="W823" s="1076">
        <v>8.66</v>
      </c>
      <c r="X823" s="1076">
        <v>8.66</v>
      </c>
      <c r="Y823" s="1076">
        <v>8.66</v>
      </c>
      <c r="Z823" s="1141">
        <v>8.66</v>
      </c>
      <c r="AA823" s="1141">
        <v>8.66</v>
      </c>
      <c r="AB823" s="1141">
        <v>8.66</v>
      </c>
      <c r="AC823" s="1141"/>
      <c r="AD823" s="1141"/>
      <c r="AE823" s="1141"/>
      <c r="AF823" s="1141"/>
      <c r="AG823" s="1141"/>
      <c r="AK823" s="982"/>
    </row>
    <row r="824" spans="2:37" ht="45" customHeight="1" outlineLevel="1" x14ac:dyDescent="0.25">
      <c r="D824" s="1410" t="s">
        <v>948</v>
      </c>
      <c r="E824" s="1410" t="s">
        <v>989</v>
      </c>
      <c r="F824" s="1410"/>
      <c r="G824" s="1454">
        <v>1.5</v>
      </c>
      <c r="H824" s="3459" t="s">
        <v>1860</v>
      </c>
      <c r="I824" s="3459"/>
      <c r="J824" s="3424" t="s">
        <v>1830</v>
      </c>
      <c r="K824" s="3424"/>
      <c r="L824" s="3424"/>
      <c r="S824" s="375"/>
      <c r="V824" s="1073" t="str">
        <f>D824</f>
        <v>GPM_low</v>
      </c>
      <c r="W824" s="1137">
        <v>2</v>
      </c>
      <c r="X824" s="609">
        <f>X822-1</f>
        <v>1.35</v>
      </c>
      <c r="Y824" s="609">
        <v>1.5</v>
      </c>
      <c r="Z824" s="2756">
        <v>1.5</v>
      </c>
      <c r="AA824" s="2756">
        <v>1.5</v>
      </c>
      <c r="AB824" s="2756">
        <v>1.5</v>
      </c>
      <c r="AC824" s="562"/>
      <c r="AD824" s="562"/>
      <c r="AE824" s="562"/>
      <c r="AF824" s="562"/>
      <c r="AG824" s="562"/>
      <c r="AK824" s="982"/>
    </row>
    <row r="825" spans="2:37" ht="15" customHeight="1" outlineLevel="1" x14ac:dyDescent="0.25">
      <c r="D825" s="1410" t="s">
        <v>950</v>
      </c>
      <c r="E825" s="1443" t="s">
        <v>1861</v>
      </c>
      <c r="F825" s="1410"/>
      <c r="G825" s="1141">
        <v>8.66</v>
      </c>
      <c r="H825" s="3866" t="s">
        <v>1863</v>
      </c>
      <c r="I825" s="3866"/>
      <c r="J825" s="3424" t="s">
        <v>1830</v>
      </c>
      <c r="K825" s="3424"/>
      <c r="L825" s="3424"/>
      <c r="S825" s="1153"/>
      <c r="V825" s="1073" t="str">
        <f>D825</f>
        <v>L_low</v>
      </c>
      <c r="W825" s="1076">
        <v>8.66</v>
      </c>
      <c r="X825" s="1076">
        <v>8.66</v>
      </c>
      <c r="Y825" s="1076">
        <v>8.66</v>
      </c>
      <c r="Z825" s="1141">
        <v>8.66</v>
      </c>
      <c r="AA825" s="1141">
        <v>8.66</v>
      </c>
      <c r="AB825" s="1141">
        <v>8.66</v>
      </c>
      <c r="AC825" s="1141"/>
      <c r="AD825" s="1141"/>
      <c r="AE825" s="1141"/>
      <c r="AF825" s="1141"/>
      <c r="AG825" s="1141"/>
      <c r="AK825" s="982"/>
    </row>
    <row r="826" spans="2:37" ht="15" customHeight="1" outlineLevel="1" x14ac:dyDescent="0.25">
      <c r="D826" s="3475" t="s">
        <v>637</v>
      </c>
      <c r="E826" s="3927" t="s">
        <v>991</v>
      </c>
      <c r="F826" s="1410" t="s">
        <v>740</v>
      </c>
      <c r="G826" s="1141">
        <v>2.67</v>
      </c>
      <c r="H826" s="3866" t="s">
        <v>1864</v>
      </c>
      <c r="I826" s="3866"/>
      <c r="J826" s="3424" t="s">
        <v>1865</v>
      </c>
      <c r="K826" s="3424"/>
      <c r="L826" s="3424"/>
      <c r="S826" s="1153"/>
      <c r="V826" s="3932" t="str">
        <f>D826</f>
        <v>Household</v>
      </c>
      <c r="W826" s="1076">
        <v>2.67</v>
      </c>
      <c r="X826" s="1076">
        <v>2.67</v>
      </c>
      <c r="Y826" s="1076">
        <v>2.67</v>
      </c>
      <c r="Z826" s="1141">
        <v>2.67</v>
      </c>
      <c r="AA826" s="1141">
        <v>2.67</v>
      </c>
      <c r="AB826" s="1141">
        <v>2.67</v>
      </c>
      <c r="AC826" s="1141"/>
      <c r="AD826" s="1141"/>
      <c r="AE826" s="1141"/>
      <c r="AF826" s="1141"/>
      <c r="AG826" s="1141"/>
      <c r="AK826" s="982"/>
    </row>
    <row r="827" spans="2:37" ht="15" customHeight="1" outlineLevel="1" x14ac:dyDescent="0.25">
      <c r="D827" s="3476"/>
      <c r="E827" s="3928"/>
      <c r="F827" s="1410" t="s">
        <v>742</v>
      </c>
      <c r="G827" s="1141">
        <v>1.5165094339622642</v>
      </c>
      <c r="H827" s="3867" t="s">
        <v>1193</v>
      </c>
      <c r="I827" s="3880"/>
      <c r="J827" s="3424" t="s">
        <v>1865</v>
      </c>
      <c r="K827" s="3424"/>
      <c r="L827" s="3424"/>
      <c r="S827" s="1153"/>
      <c r="V827" s="3933"/>
      <c r="W827" s="1076">
        <v>2.0699999999999998</v>
      </c>
      <c r="X827" s="1139">
        <v>1.8640000000000001</v>
      </c>
      <c r="Y827" s="1142">
        <v>1.5165094339622642</v>
      </c>
      <c r="Z827" s="1174">
        <v>1.5165094339622642</v>
      </c>
      <c r="AA827" s="1174">
        <v>1.5165094339622642</v>
      </c>
      <c r="AB827" s="1174">
        <v>1.5165094339622642</v>
      </c>
      <c r="AC827" s="1141"/>
      <c r="AD827" s="1141"/>
      <c r="AE827" s="1141"/>
      <c r="AF827" s="1141"/>
      <c r="AG827" s="1141"/>
      <c r="AK827" s="982"/>
    </row>
    <row r="828" spans="2:37" ht="15" customHeight="1" outlineLevel="1" x14ac:dyDescent="0.25">
      <c r="D828" s="1410" t="s">
        <v>992</v>
      </c>
      <c r="E828" s="1443" t="s">
        <v>1866</v>
      </c>
      <c r="F828" s="1410"/>
      <c r="G828" s="1141">
        <v>0.66</v>
      </c>
      <c r="H828" s="3866" t="s">
        <v>1862</v>
      </c>
      <c r="I828" s="3866"/>
      <c r="J828" s="3424" t="s">
        <v>1867</v>
      </c>
      <c r="K828" s="3424"/>
      <c r="L828" s="3424"/>
      <c r="S828" s="1153"/>
      <c r="V828" s="1073" t="str">
        <f>D828</f>
        <v>SPDC</v>
      </c>
      <c r="W828" s="1076">
        <v>0.66</v>
      </c>
      <c r="X828" s="1076">
        <v>0.66</v>
      </c>
      <c r="Y828" s="1076">
        <v>0.66</v>
      </c>
      <c r="Z828" s="1141">
        <v>0.66</v>
      </c>
      <c r="AA828" s="1141">
        <v>0.66</v>
      </c>
      <c r="AB828" s="1141">
        <v>0.66</v>
      </c>
      <c r="AC828" s="1141"/>
      <c r="AD828" s="1141"/>
      <c r="AE828" s="1141"/>
      <c r="AF828" s="1141"/>
      <c r="AG828" s="1141"/>
      <c r="AK828" s="982"/>
    </row>
    <row r="829" spans="2:37" ht="15" customHeight="1" outlineLevel="1" x14ac:dyDescent="0.25">
      <c r="D829" s="1410">
        <v>365.25</v>
      </c>
      <c r="E829" s="1443" t="s">
        <v>1868</v>
      </c>
      <c r="F829" s="1410"/>
      <c r="G829" s="1141">
        <v>365</v>
      </c>
      <c r="H829" s="3459" t="s">
        <v>921</v>
      </c>
      <c r="I829" s="3459"/>
      <c r="J829" s="3424" t="s">
        <v>1867</v>
      </c>
      <c r="K829" s="3424"/>
      <c r="L829" s="3424"/>
      <c r="S829" s="1153"/>
      <c r="V829" s="1073">
        <f>D829</f>
        <v>365.25</v>
      </c>
      <c r="W829" s="1076">
        <v>365</v>
      </c>
      <c r="X829" s="1076">
        <v>365</v>
      </c>
      <c r="Y829" s="1076">
        <v>365</v>
      </c>
      <c r="Z829" s="1141">
        <v>365</v>
      </c>
      <c r="AA829" s="1141">
        <v>365</v>
      </c>
      <c r="AB829" s="1141">
        <v>365</v>
      </c>
      <c r="AC829" s="1141"/>
      <c r="AD829" s="1141"/>
      <c r="AE829" s="1141"/>
      <c r="AF829" s="1141"/>
      <c r="AG829" s="1141"/>
      <c r="AK829" s="982"/>
    </row>
    <row r="830" spans="2:37" ht="15" customHeight="1" outlineLevel="1" x14ac:dyDescent="0.25">
      <c r="D830" s="3475" t="s">
        <v>995</v>
      </c>
      <c r="E830" s="3927" t="s">
        <v>1869</v>
      </c>
      <c r="F830" s="1410" t="s">
        <v>740</v>
      </c>
      <c r="G830" s="1141">
        <v>2.0499999999999998</v>
      </c>
      <c r="H830" s="3866" t="s">
        <v>1864</v>
      </c>
      <c r="I830" s="3866"/>
      <c r="J830" s="3424" t="s">
        <v>1865</v>
      </c>
      <c r="K830" s="3424"/>
      <c r="L830" s="3424"/>
      <c r="S830" s="1153"/>
      <c r="V830" s="3932" t="str">
        <f>D830</f>
        <v>SPH</v>
      </c>
      <c r="W830" s="1076">
        <v>2.0499999999999998</v>
      </c>
      <c r="X830" s="1076">
        <v>2.0499999999999998</v>
      </c>
      <c r="Y830" s="1076">
        <v>2.0499999999999998</v>
      </c>
      <c r="Z830" s="1141">
        <v>2.0499999999999998</v>
      </c>
      <c r="AA830" s="1141">
        <v>2.0499999999999998</v>
      </c>
      <c r="AB830" s="1141">
        <v>2.0499999999999998</v>
      </c>
      <c r="AC830" s="1141"/>
      <c r="AD830" s="1141"/>
      <c r="AE830" s="1141"/>
      <c r="AF830" s="1141"/>
      <c r="AG830" s="1141"/>
      <c r="AK830" s="982"/>
    </row>
    <row r="831" spans="2:37" ht="15" customHeight="1" outlineLevel="1" x14ac:dyDescent="0.25">
      <c r="D831" s="3476"/>
      <c r="E831" s="3928"/>
      <c r="F831" s="1410" t="s">
        <v>742</v>
      </c>
      <c r="G831" s="1141">
        <v>1</v>
      </c>
      <c r="H831" s="3866" t="s">
        <v>1193</v>
      </c>
      <c r="I831" s="3866"/>
      <c r="J831" s="3424" t="s">
        <v>1865</v>
      </c>
      <c r="K831" s="3424"/>
      <c r="L831" s="3424"/>
      <c r="S831" s="1153"/>
      <c r="V831" s="3933"/>
      <c r="W831" s="1076">
        <v>1.4</v>
      </c>
      <c r="X831" s="1139">
        <v>1</v>
      </c>
      <c r="Y831" s="1139">
        <v>1</v>
      </c>
      <c r="Z831" s="1141">
        <v>1</v>
      </c>
      <c r="AA831" s="1141">
        <v>1</v>
      </c>
      <c r="AB831" s="1141">
        <v>1</v>
      </c>
      <c r="AC831" s="1141"/>
      <c r="AD831" s="1141"/>
      <c r="AE831" s="1141"/>
      <c r="AF831" s="1141"/>
      <c r="AG831" s="1141"/>
      <c r="AK831" s="982"/>
    </row>
    <row r="832" spans="2:37" ht="15" customHeight="1" outlineLevel="1" x14ac:dyDescent="0.25">
      <c r="D832" s="1410">
        <v>8.33</v>
      </c>
      <c r="E832" s="1443" t="s">
        <v>959</v>
      </c>
      <c r="F832" s="1410"/>
      <c r="G832" s="1141">
        <v>8.33</v>
      </c>
      <c r="H832" s="3509" t="s">
        <v>960</v>
      </c>
      <c r="I832" s="3509"/>
      <c r="J832" s="3424" t="s">
        <v>1867</v>
      </c>
      <c r="K832" s="3424"/>
      <c r="L832" s="3424"/>
      <c r="S832" s="1153"/>
      <c r="V832" s="1073">
        <f>D832</f>
        <v>8.33</v>
      </c>
      <c r="W832" s="1076">
        <v>8.33</v>
      </c>
      <c r="X832" s="1076">
        <v>8.33</v>
      </c>
      <c r="Y832" s="1076">
        <v>8.33</v>
      </c>
      <c r="Z832" s="1141">
        <v>8.33</v>
      </c>
      <c r="AA832" s="1141">
        <v>8.33</v>
      </c>
      <c r="AB832" s="1141">
        <v>8.33</v>
      </c>
      <c r="AC832" s="1141"/>
      <c r="AD832" s="1141"/>
      <c r="AE832" s="1141"/>
      <c r="AF832" s="1141"/>
      <c r="AG832" s="1141"/>
      <c r="AK832" s="982"/>
    </row>
    <row r="833" spans="2:37" ht="15" customHeight="1" outlineLevel="1" x14ac:dyDescent="0.25">
      <c r="D833" s="1410">
        <v>1</v>
      </c>
      <c r="E833" s="1443" t="s">
        <v>1870</v>
      </c>
      <c r="F833" s="1410"/>
      <c r="G833" s="1141">
        <v>1</v>
      </c>
      <c r="H833" s="3459" t="s">
        <v>962</v>
      </c>
      <c r="I833" s="3459"/>
      <c r="J833" s="3424" t="s">
        <v>1867</v>
      </c>
      <c r="K833" s="3424"/>
      <c r="L833" s="3424"/>
      <c r="S833" s="1153"/>
      <c r="V833" s="1073">
        <f t="shared" ref="V833:V838" si="106">D833</f>
        <v>1</v>
      </c>
      <c r="W833" s="1076">
        <v>1</v>
      </c>
      <c r="X833" s="1076">
        <v>1</v>
      </c>
      <c r="Y833" s="1076">
        <v>1</v>
      </c>
      <c r="Z833" s="1141">
        <v>1</v>
      </c>
      <c r="AA833" s="1141">
        <v>1</v>
      </c>
      <c r="AB833" s="1141">
        <v>1</v>
      </c>
      <c r="AC833" s="1141"/>
      <c r="AD833" s="1141"/>
      <c r="AE833" s="1141"/>
      <c r="AF833" s="1141"/>
      <c r="AG833" s="1141"/>
      <c r="AK833" s="982"/>
    </row>
    <row r="834" spans="2:37" ht="15" customHeight="1" outlineLevel="1" x14ac:dyDescent="0.25">
      <c r="D834" s="1410" t="s">
        <v>997</v>
      </c>
      <c r="E834" s="1443" t="s">
        <v>1871</v>
      </c>
      <c r="F834" s="1410"/>
      <c r="G834" s="1141">
        <v>105</v>
      </c>
      <c r="H834" s="3459" t="s">
        <v>999</v>
      </c>
      <c r="I834" s="3459"/>
      <c r="J834" s="3424" t="s">
        <v>1867</v>
      </c>
      <c r="K834" s="3424"/>
      <c r="L834" s="3424"/>
      <c r="S834" s="1153"/>
      <c r="V834" s="1073" t="str">
        <f t="shared" si="106"/>
        <v>ShowerTemp</v>
      </c>
      <c r="W834" s="1076">
        <v>105</v>
      </c>
      <c r="X834" s="1076">
        <v>105</v>
      </c>
      <c r="Y834" s="1076">
        <v>105</v>
      </c>
      <c r="Z834" s="1141">
        <v>105</v>
      </c>
      <c r="AA834" s="1141">
        <v>105</v>
      </c>
      <c r="AB834" s="1141">
        <v>105</v>
      </c>
      <c r="AC834" s="1141"/>
      <c r="AD834" s="1141"/>
      <c r="AE834" s="1141"/>
      <c r="AF834" s="1141"/>
      <c r="AG834" s="1141"/>
      <c r="AK834" s="982"/>
    </row>
    <row r="835" spans="2:37" ht="15" customHeight="1" outlineLevel="1" x14ac:dyDescent="0.25">
      <c r="B835" s="1359"/>
      <c r="D835" s="1410" t="s">
        <v>966</v>
      </c>
      <c r="E835" s="1443" t="s">
        <v>1843</v>
      </c>
      <c r="F835" s="1410"/>
      <c r="G835" s="1141">
        <v>61.3</v>
      </c>
      <c r="H835" s="3459" t="s">
        <v>968</v>
      </c>
      <c r="I835" s="3459"/>
      <c r="J835" s="3424" t="s">
        <v>1867</v>
      </c>
      <c r="K835" s="3424"/>
      <c r="L835" s="3424"/>
      <c r="S835" s="1153"/>
      <c r="V835" s="1073" t="str">
        <f t="shared" si="106"/>
        <v>SupplyTemp</v>
      </c>
      <c r="W835" s="1076">
        <v>61.3</v>
      </c>
      <c r="X835" s="1076">
        <v>61.3</v>
      </c>
      <c r="Y835" s="1076">
        <v>61.3</v>
      </c>
      <c r="Z835" s="1141">
        <v>61.3</v>
      </c>
      <c r="AA835" s="1141">
        <v>61.3</v>
      </c>
      <c r="AB835" s="1141">
        <v>61.3</v>
      </c>
      <c r="AC835" s="1141"/>
      <c r="AD835" s="1141"/>
      <c r="AE835" s="1141"/>
      <c r="AF835" s="1141"/>
      <c r="AG835" s="1141"/>
      <c r="AK835" s="982"/>
    </row>
    <row r="836" spans="2:37" ht="15" customHeight="1" outlineLevel="1" x14ac:dyDescent="0.25">
      <c r="B836" s="1359"/>
      <c r="D836" s="1410" t="s">
        <v>969</v>
      </c>
      <c r="E836" s="1443" t="s">
        <v>1844</v>
      </c>
      <c r="F836" s="1410"/>
      <c r="G836" s="1141">
        <v>0.98</v>
      </c>
      <c r="H836" s="3866" t="s">
        <v>1845</v>
      </c>
      <c r="I836" s="3866"/>
      <c r="J836" s="3424" t="s">
        <v>1867</v>
      </c>
      <c r="K836" s="3424"/>
      <c r="L836" s="3424"/>
      <c r="S836" s="1153"/>
      <c r="V836" s="1073" t="str">
        <f t="shared" si="106"/>
        <v>RE_electric</v>
      </c>
      <c r="W836" s="1076">
        <v>0.98</v>
      </c>
      <c r="X836" s="1076">
        <v>0.98</v>
      </c>
      <c r="Y836" s="1076">
        <v>0.98</v>
      </c>
      <c r="Z836" s="1141">
        <v>0.98</v>
      </c>
      <c r="AA836" s="1141">
        <v>0.98</v>
      </c>
      <c r="AB836" s="1141">
        <v>0.98</v>
      </c>
      <c r="AC836" s="1141"/>
      <c r="AD836" s="1141"/>
      <c r="AE836" s="1141"/>
      <c r="AF836" s="1141"/>
      <c r="AG836" s="1141"/>
      <c r="AK836" s="982"/>
    </row>
    <row r="837" spans="2:37" ht="15" customHeight="1" outlineLevel="1" x14ac:dyDescent="0.25">
      <c r="B837" s="1359"/>
      <c r="D837" s="1410">
        <v>3412</v>
      </c>
      <c r="E837" s="1443">
        <v>3413</v>
      </c>
      <c r="F837" s="1410"/>
      <c r="G837" s="1156">
        <v>3413</v>
      </c>
      <c r="H837" s="3509" t="s">
        <v>655</v>
      </c>
      <c r="I837" s="3509"/>
      <c r="J837" s="3424" t="s">
        <v>1867</v>
      </c>
      <c r="K837" s="3424"/>
      <c r="L837" s="3424"/>
      <c r="S837" s="1155"/>
      <c r="V837" s="1073">
        <f t="shared" si="106"/>
        <v>3412</v>
      </c>
      <c r="W837" s="1154">
        <v>3413</v>
      </c>
      <c r="X837" s="1154">
        <v>3413</v>
      </c>
      <c r="Y837" s="1154">
        <v>3413</v>
      </c>
      <c r="Z837" s="1156">
        <v>3413</v>
      </c>
      <c r="AA837" s="1156">
        <v>3413</v>
      </c>
      <c r="AB837" s="1156">
        <v>3413</v>
      </c>
      <c r="AC837" s="1156"/>
      <c r="AD837" s="1156"/>
      <c r="AE837" s="1156"/>
      <c r="AF837" s="1156"/>
      <c r="AG837" s="1156"/>
      <c r="AK837" s="982"/>
    </row>
    <row r="838" spans="2:37" ht="15" customHeight="1" outlineLevel="1" x14ac:dyDescent="0.25">
      <c r="B838" s="1359"/>
      <c r="C838" s="375"/>
      <c r="D838" s="1410" t="s">
        <v>892</v>
      </c>
      <c r="E838" s="1410" t="s">
        <v>929</v>
      </c>
      <c r="F838" s="1410"/>
      <c r="G838" s="1150">
        <v>1</v>
      </c>
      <c r="H838" s="3509" t="s">
        <v>930</v>
      </c>
      <c r="I838" s="3509"/>
      <c r="J838" s="3937" t="s">
        <v>1726</v>
      </c>
      <c r="K838" s="3938"/>
      <c r="L838" s="3938"/>
      <c r="S838" s="1149"/>
      <c r="V838" s="1073" t="str">
        <f t="shared" si="106"/>
        <v>Utility Adjustment</v>
      </c>
      <c r="W838" s="1074">
        <v>1</v>
      </c>
      <c r="X838" s="1074">
        <v>1</v>
      </c>
      <c r="Y838" s="1074">
        <v>1</v>
      </c>
      <c r="Z838" s="1150">
        <v>1</v>
      </c>
      <c r="AA838" s="1150">
        <v>1</v>
      </c>
      <c r="AB838" s="1150">
        <v>1</v>
      </c>
      <c r="AC838" s="1150"/>
      <c r="AD838" s="1150"/>
      <c r="AE838" s="1150"/>
      <c r="AF838" s="1150"/>
      <c r="AG838" s="1150"/>
      <c r="AK838" s="982"/>
    </row>
    <row r="839" spans="2:37" ht="15" customHeight="1" outlineLevel="1" x14ac:dyDescent="0.25">
      <c r="B839" s="1359"/>
      <c r="C839" s="375"/>
      <c r="D839" s="3939" t="s">
        <v>75</v>
      </c>
      <c r="E839" s="3927" t="s">
        <v>1727</v>
      </c>
      <c r="F839" s="1410" t="s">
        <v>1846</v>
      </c>
      <c r="G839" s="2920">
        <v>0.91346153846153844</v>
      </c>
      <c r="H839" s="3866" t="s">
        <v>1864</v>
      </c>
      <c r="I839" s="3866"/>
      <c r="J839" s="3424" t="s">
        <v>1867</v>
      </c>
      <c r="K839" s="3424"/>
      <c r="L839" s="3424"/>
      <c r="S839" s="1157"/>
      <c r="V839" s="3932" t="str">
        <f>D839</f>
        <v>ISR</v>
      </c>
      <c r="W839" s="1076">
        <v>0.91346153846153844</v>
      </c>
      <c r="X839" s="1076">
        <v>0.91346153846153844</v>
      </c>
      <c r="Y839" s="1076">
        <v>0.91346153846153844</v>
      </c>
      <c r="Z839" s="1141">
        <v>0.91346153846153844</v>
      </c>
      <c r="AA839" s="1141">
        <v>0.91346153846153844</v>
      </c>
      <c r="AB839" s="1141">
        <v>0.91346153846153844</v>
      </c>
      <c r="AC839" s="1141"/>
      <c r="AD839" s="1141"/>
      <c r="AE839" s="1141"/>
      <c r="AF839" s="1141"/>
      <c r="AG839" s="1141"/>
      <c r="AK839" s="982"/>
    </row>
    <row r="840" spans="2:37" ht="15" customHeight="1" outlineLevel="1" x14ac:dyDescent="0.25">
      <c r="B840" s="1359"/>
      <c r="C840" s="375"/>
      <c r="D840" s="3500"/>
      <c r="E840" s="3941"/>
      <c r="F840" s="1410" t="s">
        <v>3832</v>
      </c>
      <c r="G840" s="2920">
        <v>0.94</v>
      </c>
      <c r="H840" s="3867" t="s">
        <v>3795</v>
      </c>
      <c r="I840" s="3880"/>
      <c r="J840" s="3424"/>
      <c r="K840" s="3424"/>
      <c r="L840" s="3424"/>
      <c r="S840" s="1157"/>
      <c r="V840" s="3933"/>
      <c r="W840" s="1159">
        <v>0.97699999999999998</v>
      </c>
      <c r="X840" s="1160">
        <v>0.9375</v>
      </c>
      <c r="Y840" s="1160">
        <v>0.96430000000000005</v>
      </c>
      <c r="Z840" s="1158">
        <v>0.96430000000000005</v>
      </c>
      <c r="AA840" s="1158">
        <v>0.96430000000000005</v>
      </c>
      <c r="AB840" s="1158">
        <v>0.96430000000000005</v>
      </c>
      <c r="AC840" s="1158"/>
      <c r="AD840" s="1158"/>
      <c r="AE840" s="1158"/>
      <c r="AF840" s="1158"/>
      <c r="AG840" s="1158"/>
      <c r="AK840" s="982"/>
    </row>
    <row r="841" spans="2:37" ht="15" customHeight="1" outlineLevel="1" x14ac:dyDescent="0.25">
      <c r="B841" s="1359"/>
      <c r="C841" s="2995"/>
      <c r="D841" s="3940"/>
      <c r="E841" s="3928"/>
      <c r="F841" s="2994" t="s">
        <v>3833</v>
      </c>
      <c r="G841" s="2920">
        <v>0.96399999999999997</v>
      </c>
      <c r="H841" s="3942" t="s">
        <v>3834</v>
      </c>
      <c r="I841" s="3943"/>
      <c r="J841" s="3424" t="s">
        <v>1867</v>
      </c>
      <c r="K841" s="3424"/>
      <c r="L841" s="3424"/>
      <c r="S841" s="1157"/>
      <c r="V841" s="2996"/>
      <c r="W841" s="1159"/>
      <c r="X841" s="1160"/>
      <c r="Y841" s="1160"/>
      <c r="Z841" s="1158"/>
      <c r="AA841" s="1158"/>
      <c r="AB841" s="1158"/>
      <c r="AC841" s="1158"/>
      <c r="AD841" s="1158"/>
      <c r="AE841" s="1158"/>
      <c r="AF841" s="1158"/>
      <c r="AG841" s="1158"/>
      <c r="AK841" s="982"/>
    </row>
    <row r="842" spans="2:37" outlineLevel="1" x14ac:dyDescent="0.25">
      <c r="B842" s="1359"/>
      <c r="C842" s="375"/>
      <c r="D842" s="1438" t="str">
        <f>D760</f>
        <v>EUL</v>
      </c>
      <c r="E842" s="1438" t="str">
        <f>E760</f>
        <v>Effective Useful Life</v>
      </c>
      <c r="F842" s="1410" t="s">
        <v>591</v>
      </c>
      <c r="G842" s="1909">
        <v>10</v>
      </c>
      <c r="H842" s="3509"/>
      <c r="I842" s="3509"/>
      <c r="J842" s="3875"/>
      <c r="K842" s="3875"/>
      <c r="L842" s="3875"/>
      <c r="S842" s="1149"/>
      <c r="V842" s="1073" t="str">
        <f>D842</f>
        <v>EUL</v>
      </c>
      <c r="W842" s="1162">
        <v>10</v>
      </c>
      <c r="X842" s="1162">
        <v>10</v>
      </c>
      <c r="Y842" s="1162">
        <v>10</v>
      </c>
      <c r="Z842" s="1909">
        <v>10</v>
      </c>
      <c r="AA842" s="1909">
        <v>10</v>
      </c>
      <c r="AB842" s="1909">
        <v>10</v>
      </c>
      <c r="AC842" s="1163"/>
      <c r="AD842" s="1163"/>
      <c r="AE842" s="1163"/>
      <c r="AF842" s="1163"/>
      <c r="AG842" s="1163"/>
      <c r="AK842" s="982"/>
    </row>
    <row r="843" spans="2:37" outlineLevel="1" x14ac:dyDescent="0.25">
      <c r="B843" s="1359"/>
      <c r="C843" s="375"/>
      <c r="D843" s="3934" t="str">
        <f>D761</f>
        <v>Inc. Cost</v>
      </c>
      <c r="E843" s="3934" t="str">
        <f>E761</f>
        <v>Incremental Cost</v>
      </c>
      <c r="F843" s="1441" t="s">
        <v>3249</v>
      </c>
      <c r="G843" s="1165">
        <v>7</v>
      </c>
      <c r="H843" s="3866"/>
      <c r="I843" s="3866"/>
      <c r="J843" s="3424"/>
      <c r="K843" s="3424"/>
      <c r="L843" s="3424"/>
      <c r="S843" s="1157"/>
      <c r="V843" s="3935" t="str">
        <f>D843</f>
        <v>Inc. Cost</v>
      </c>
      <c r="W843" s="1164">
        <v>7</v>
      </c>
      <c r="X843" s="1164">
        <v>7</v>
      </c>
      <c r="Y843" s="1164">
        <v>7</v>
      </c>
      <c r="Z843" s="1165">
        <v>7</v>
      </c>
      <c r="AA843" s="1165">
        <v>7</v>
      </c>
      <c r="AB843" s="1165">
        <v>7</v>
      </c>
      <c r="AC843" s="1165"/>
      <c r="AD843" s="1165"/>
      <c r="AE843" s="1165"/>
      <c r="AF843" s="1165"/>
      <c r="AG843" s="1165"/>
      <c r="AK843" s="982"/>
    </row>
    <row r="844" spans="2:37" outlineLevel="1" x14ac:dyDescent="0.25">
      <c r="B844" s="1359"/>
      <c r="C844" s="375"/>
      <c r="D844" s="3459"/>
      <c r="E844" s="3459"/>
      <c r="F844" s="1441" t="s">
        <v>3250</v>
      </c>
      <c r="G844" s="1165">
        <v>12.98</v>
      </c>
      <c r="H844" s="3866"/>
      <c r="I844" s="3866"/>
      <c r="J844" s="3424"/>
      <c r="K844" s="3424"/>
      <c r="L844" s="3424"/>
      <c r="S844" s="1157"/>
      <c r="V844" s="3935"/>
      <c r="W844" s="1164">
        <v>7</v>
      </c>
      <c r="X844" s="1164">
        <v>7</v>
      </c>
      <c r="Y844" s="1166">
        <v>12.98</v>
      </c>
      <c r="Z844" s="1165">
        <v>12.98</v>
      </c>
      <c r="AA844" s="1165">
        <v>12.98</v>
      </c>
      <c r="AB844" s="1165">
        <v>12.98</v>
      </c>
      <c r="AC844" s="1165"/>
      <c r="AD844" s="1165"/>
      <c r="AE844" s="1165"/>
      <c r="AF844" s="1165"/>
      <c r="AG844" s="1165"/>
      <c r="AK844" s="982"/>
    </row>
    <row r="845" spans="2:37" outlineLevel="1" x14ac:dyDescent="0.25">
      <c r="B845" s="1359"/>
      <c r="C845" s="375"/>
      <c r="D845" s="3459"/>
      <c r="E845" s="3459"/>
      <c r="F845" s="1441" t="s">
        <v>1872</v>
      </c>
      <c r="G845" s="1165">
        <v>18.45</v>
      </c>
      <c r="H845" s="3866" t="s">
        <v>1873</v>
      </c>
      <c r="I845" s="3866"/>
      <c r="J845" s="3424"/>
      <c r="K845" s="3424"/>
      <c r="L845" s="3424"/>
      <c r="S845" s="1157"/>
      <c r="V845" s="3936"/>
      <c r="W845" s="1164"/>
      <c r="X845" s="1164"/>
      <c r="Y845" s="1166">
        <v>18.45</v>
      </c>
      <c r="Z845" s="1165">
        <v>18.45</v>
      </c>
      <c r="AA845" s="1165">
        <v>18.45</v>
      </c>
      <c r="AB845" s="1165">
        <v>18.45</v>
      </c>
      <c r="AC845" s="1165"/>
      <c r="AD845" s="1165"/>
      <c r="AE845" s="1165"/>
      <c r="AF845" s="1165"/>
      <c r="AG845" s="1165"/>
      <c r="AK845" s="982"/>
    </row>
    <row r="846" spans="2:37" outlineLevel="1" x14ac:dyDescent="0.25">
      <c r="B846" s="1359"/>
      <c r="C846" s="375"/>
      <c r="D846" s="3527"/>
      <c r="E846" s="3527"/>
      <c r="F846" s="1441" t="s">
        <v>1874</v>
      </c>
      <c r="G846" s="1165">
        <v>12.47</v>
      </c>
      <c r="H846" s="3866" t="s">
        <v>1873</v>
      </c>
      <c r="I846" s="3866"/>
      <c r="J846" s="3424"/>
      <c r="K846" s="3424"/>
      <c r="L846" s="3424"/>
      <c r="S846" s="1157"/>
      <c r="V846" s="3936"/>
      <c r="W846" s="1164"/>
      <c r="X846" s="1164"/>
      <c r="Y846" s="1166">
        <v>12.47</v>
      </c>
      <c r="Z846" s="1165">
        <v>12.47</v>
      </c>
      <c r="AA846" s="1165">
        <v>12.47</v>
      </c>
      <c r="AB846" s="1165">
        <v>12.47</v>
      </c>
      <c r="AC846" s="1165"/>
      <c r="AD846" s="1165"/>
      <c r="AE846" s="1165"/>
      <c r="AF846" s="1165"/>
      <c r="AG846" s="1165"/>
      <c r="AK846" s="982"/>
    </row>
    <row r="847" spans="2:37" ht="15" customHeight="1" x14ac:dyDescent="0.25">
      <c r="B847" s="1359"/>
      <c r="C847" s="274"/>
      <c r="AK847" s="982"/>
    </row>
    <row r="848" spans="2:37" ht="15" customHeight="1" x14ac:dyDescent="0.25">
      <c r="B848" s="1359"/>
      <c r="C848" s="274"/>
      <c r="AK848" s="982"/>
    </row>
    <row r="849" spans="1:57" ht="15" customHeight="1" x14ac:dyDescent="0.25">
      <c r="B849" s="3350" t="s">
        <v>1000</v>
      </c>
      <c r="C849" s="3351"/>
      <c r="D849" s="3351"/>
      <c r="E849" s="3351"/>
      <c r="F849" s="3351"/>
      <c r="G849" s="3351"/>
      <c r="H849" s="3351"/>
      <c r="I849" s="3352"/>
      <c r="J849" s="3352"/>
      <c r="K849" s="3352"/>
      <c r="L849" s="3352"/>
      <c r="M849" s="3352"/>
      <c r="N849" s="3352"/>
      <c r="O849" s="3352"/>
      <c r="P849" s="3352"/>
      <c r="Q849" s="3352"/>
      <c r="R849" s="3353"/>
      <c r="V849" s="3350" t="str">
        <f>B849</f>
        <v>Pipe Insulation</v>
      </c>
      <c r="W849" s="3351"/>
      <c r="X849" s="3351"/>
      <c r="Y849" s="3351"/>
      <c r="Z849" s="3351"/>
      <c r="AA849" s="3351"/>
      <c r="AB849" s="3351"/>
      <c r="AC849" s="3354"/>
      <c r="AD849" s="3354"/>
      <c r="AE849" s="3354"/>
      <c r="AF849" s="3354"/>
      <c r="AG849" s="3354"/>
      <c r="AH849" s="3354"/>
      <c r="AI849" s="3355"/>
      <c r="AK849" s="982"/>
    </row>
    <row r="850" spans="1:57" ht="15" customHeight="1" x14ac:dyDescent="0.25">
      <c r="A850" s="296"/>
      <c r="B850" s="1359"/>
      <c r="C850" s="274"/>
      <c r="D850" s="482"/>
      <c r="E850" s="482"/>
      <c r="F850" s="275"/>
      <c r="G850" s="275"/>
      <c r="H850" s="275"/>
      <c r="I850" s="275"/>
      <c r="J850" s="275"/>
      <c r="K850" s="275"/>
      <c r="L850" s="1635"/>
      <c r="AK850" s="982"/>
    </row>
    <row r="851" spans="1:57" s="993" customFormat="1" ht="30" x14ac:dyDescent="0.25">
      <c r="A851" s="1012"/>
      <c r="B851" s="1823"/>
      <c r="C851" s="1409" t="s">
        <v>17</v>
      </c>
      <c r="D851" s="1409" t="s">
        <v>616</v>
      </c>
      <c r="E851" s="1409" t="s">
        <v>19</v>
      </c>
      <c r="F851" s="1409" t="s">
        <v>1682</v>
      </c>
      <c r="G851" s="1409" t="s">
        <v>21</v>
      </c>
      <c r="H851" s="1409" t="s">
        <v>22</v>
      </c>
      <c r="I851" s="1409" t="s">
        <v>23</v>
      </c>
      <c r="J851" s="1409" t="s">
        <v>24</v>
      </c>
      <c r="K851" s="1409" t="s">
        <v>25</v>
      </c>
      <c r="L851" s="1409" t="s">
        <v>26</v>
      </c>
      <c r="M851" s="1012"/>
      <c r="N851" s="1012"/>
      <c r="O851" s="1012"/>
      <c r="P851" s="1012"/>
      <c r="Q851" s="1012"/>
      <c r="R851" s="1012"/>
      <c r="S851" s="1012"/>
      <c r="T851" s="1012"/>
      <c r="U851" s="1012"/>
      <c r="V851" s="55" t="s">
        <v>27</v>
      </c>
      <c r="W851" s="56">
        <f>W$6</f>
        <v>43252</v>
      </c>
      <c r="X851" s="56">
        <f t="shared" ref="X851:AG851" si="107">X$6</f>
        <v>43465</v>
      </c>
      <c r="Y851" s="420">
        <f t="shared" si="107"/>
        <v>43800</v>
      </c>
      <c r="Z851" s="56">
        <f t="shared" si="107"/>
        <v>43862</v>
      </c>
      <c r="AA851" s="56">
        <f t="shared" si="107"/>
        <v>44013</v>
      </c>
      <c r="AB851" s="56">
        <f t="shared" si="107"/>
        <v>44166</v>
      </c>
      <c r="AC851" s="56" t="str">
        <f t="shared" si="107"/>
        <v>-</v>
      </c>
      <c r="AD851" s="56" t="str">
        <f t="shared" si="107"/>
        <v>-</v>
      </c>
      <c r="AE851" s="56" t="str">
        <f t="shared" si="107"/>
        <v>-</v>
      </c>
      <c r="AF851" s="56" t="str">
        <f t="shared" si="107"/>
        <v>-</v>
      </c>
      <c r="AG851" s="56" t="str">
        <f t="shared" si="107"/>
        <v>-</v>
      </c>
      <c r="AK851" s="1127"/>
      <c r="BB851" s="57" t="str">
        <f>$BB$6</f>
        <v>TRC (2020)</v>
      </c>
      <c r="BC851" s="93" t="str">
        <f>$BC$6</f>
        <v>Benefit Lookup</v>
      </c>
      <c r="BD851" s="741" t="str">
        <f>$BD$6</f>
        <v>Benefits (2019 $)</v>
      </c>
      <c r="BE851" s="279" t="str">
        <f>$BE$6</f>
        <v>Incremental Cost (2019 $)</v>
      </c>
    </row>
    <row r="852" spans="1:57" s="993" customFormat="1" ht="15" customHeight="1" x14ac:dyDescent="0.25">
      <c r="A852" s="1012"/>
      <c r="B852" s="1823"/>
      <c r="C852" s="1658" t="s">
        <v>1875</v>
      </c>
      <c r="D852" s="2132" t="s">
        <v>1518</v>
      </c>
      <c r="E852" s="1090" t="s">
        <v>1876</v>
      </c>
      <c r="F852" s="601">
        <f>ROUND(((((F860/F861)-(F862/F863))*F864*F865*F866)/(F867*F868))*F869*F870*F871,2)</f>
        <v>4.6399999999999997</v>
      </c>
      <c r="G852" s="517" t="s">
        <v>1822</v>
      </c>
      <c r="H852" s="515">
        <f>VLOOKUP(G852,'CP FACTORS'!$A$3:$B$38, 2, FALSE)</f>
        <v>8.8731800000000003E-5</v>
      </c>
      <c r="I852" s="1733">
        <f>ROUND(F852*H852,6)</f>
        <v>4.1199999999999999E-4</v>
      </c>
      <c r="J852" s="1414">
        <f>$F$874</f>
        <v>12</v>
      </c>
      <c r="K852" s="1415">
        <f>F875</f>
        <v>7.1</v>
      </c>
      <c r="L852" s="1658" t="s">
        <v>1002</v>
      </c>
      <c r="M852" s="1012"/>
      <c r="N852" s="1012"/>
      <c r="O852" s="1012"/>
      <c r="P852" s="1012"/>
      <c r="Q852" s="1012"/>
      <c r="R852" s="1627"/>
      <c r="S852" s="1012"/>
      <c r="T852" s="1012"/>
      <c r="U852" s="1012"/>
      <c r="V852" s="1125" t="str">
        <f>F851</f>
        <v>kWh
Annual Savings</v>
      </c>
      <c r="W852" s="1167">
        <v>16.471996316343358</v>
      </c>
      <c r="X852" s="980">
        <v>4.4836485277384011</v>
      </c>
      <c r="Y852" s="84">
        <v>4.6399999999999997</v>
      </c>
      <c r="Z852" s="85">
        <v>4.6399999999999997</v>
      </c>
      <c r="AA852" s="85">
        <v>4.6399999999999997</v>
      </c>
      <c r="AB852" s="85">
        <v>4.6399999999999997</v>
      </c>
      <c r="AC852" s="1125"/>
      <c r="AD852" s="1125"/>
      <c r="AE852" s="1125"/>
      <c r="AF852" s="1125"/>
      <c r="AG852" s="1125"/>
      <c r="AK852" s="1127"/>
      <c r="BB852" s="1128">
        <f>(BD852)/(BE852)</f>
        <v>0.27928929013723736</v>
      </c>
      <c r="BC852" s="68" t="str">
        <f>CONCATENATE(G852," ",J852," Year EUL")</f>
        <v>Water heating RES 12 Year EUL</v>
      </c>
      <c r="BD852" s="145">
        <f>(INDEX('Avoided Cost Benefits'!$C$4:$C$857,MATCH(BC852,'Avoided Cost Benefits'!$A$4:$A$857,0)))*F852</f>
        <v>1.8715941104052713</v>
      </c>
      <c r="BE852" s="1129">
        <f>K852/(1.0595^(2020-2019))</f>
        <v>6.7012741859367617</v>
      </c>
    </row>
    <row r="853" spans="1:57" s="993" customFormat="1" ht="15" customHeight="1" x14ac:dyDescent="0.25">
      <c r="A853" s="1012"/>
      <c r="B853" s="1823"/>
      <c r="C853" s="1658" t="s">
        <v>1877</v>
      </c>
      <c r="D853" s="2132" t="s">
        <v>1824</v>
      </c>
      <c r="E853" s="1090" t="s">
        <v>1878</v>
      </c>
      <c r="F853" s="601">
        <f>ROUND(((((F860/F861)-(F862/F863))*F864*F865*F866)/(F867*F868))*F869*F870*F871,2)</f>
        <v>4.6399999999999997</v>
      </c>
      <c r="G853" s="517" t="s">
        <v>1822</v>
      </c>
      <c r="H853" s="515">
        <f>VLOOKUP(G853,'CP FACTORS'!$A$3:$B$38, 2, FALSE)</f>
        <v>8.8731800000000003E-5</v>
      </c>
      <c r="I853" s="1733">
        <f>ROUND(F853*H853,6)</f>
        <v>4.1199999999999999E-4</v>
      </c>
      <c r="J853" s="1414">
        <f>$F$874</f>
        <v>12</v>
      </c>
      <c r="K853" s="1415">
        <f>$F$876</f>
        <v>5.66</v>
      </c>
      <c r="L853" s="1658" t="s">
        <v>1002</v>
      </c>
      <c r="M853" s="1012"/>
      <c r="N853" s="1012"/>
      <c r="O853" s="1012"/>
      <c r="P853" s="1012"/>
      <c r="Q853" s="1012"/>
      <c r="R853" s="1627"/>
      <c r="S853" s="1012"/>
      <c r="T853" s="1012"/>
      <c r="U853" s="1012"/>
      <c r="V853" s="1125" t="str">
        <f>V852</f>
        <v>kWh
Annual Savings</v>
      </c>
      <c r="W853" s="1167">
        <v>16.471996316343358</v>
      </c>
      <c r="X853" s="980">
        <v>4.4836485277384011</v>
      </c>
      <c r="Y853" s="84">
        <v>4.6399999999999997</v>
      </c>
      <c r="Z853" s="85">
        <v>4.6399999999999997</v>
      </c>
      <c r="AA853" s="85">
        <v>4.6399999999999997</v>
      </c>
      <c r="AB853" s="85">
        <v>4.6399999999999997</v>
      </c>
      <c r="AC853" s="1125"/>
      <c r="AD853" s="1125"/>
      <c r="AE853" s="1125"/>
      <c r="AF853" s="1125"/>
      <c r="AG853" s="1125"/>
      <c r="AK853" s="1127"/>
      <c r="BB853" s="1131">
        <f>(BD853)/(BE853)</f>
        <v>0.35034522261031542</v>
      </c>
      <c r="BC853" s="72" t="str">
        <f>CONCATENATE(G853," ",J853," Year EUL")</f>
        <v>Water heating RES 12 Year EUL</v>
      </c>
      <c r="BD853" s="148">
        <f>(INDEX('Avoided Cost Benefits'!$C$4:$C$857,MATCH(BC853,'Avoided Cost Benefits'!$A$4:$A$857,0)))*F853</f>
        <v>1.8715941104052713</v>
      </c>
      <c r="BE853" s="1132">
        <f>K853/(1.0595^(2020-2019))</f>
        <v>5.3421425200566297</v>
      </c>
    </row>
    <row r="854" spans="1:57" s="993" customFormat="1" ht="15" customHeight="1" x14ac:dyDescent="0.25">
      <c r="A854" s="1012"/>
      <c r="B854" s="1823"/>
      <c r="C854" s="1658" t="s">
        <v>1879</v>
      </c>
      <c r="D854" s="2132" t="s">
        <v>1827</v>
      </c>
      <c r="E854" s="1090" t="s">
        <v>1880</v>
      </c>
      <c r="F854" s="601">
        <f>ROUND(((((F860/F861)-(F862/F863))*F864*F865*F866)/(F867*F868))*F869*F870*F871,2)</f>
        <v>4.6399999999999997</v>
      </c>
      <c r="G854" s="517" t="s">
        <v>1822</v>
      </c>
      <c r="H854" s="515">
        <f>VLOOKUP(G854,'CP FACTORS'!$A$3:$B$38, 2, FALSE)</f>
        <v>8.8731800000000003E-5</v>
      </c>
      <c r="I854" s="1733">
        <f>ROUND(F854*H854,6)</f>
        <v>4.1199999999999999E-4</v>
      </c>
      <c r="J854" s="1414">
        <f>$F$874</f>
        <v>12</v>
      </c>
      <c r="K854" s="1415">
        <f>$F$876</f>
        <v>5.66</v>
      </c>
      <c r="L854" s="1658" t="s">
        <v>1002</v>
      </c>
      <c r="M854" s="1012"/>
      <c r="N854" s="1012"/>
      <c r="O854" s="1012"/>
      <c r="P854" s="1012"/>
      <c r="Q854" s="1012"/>
      <c r="R854" s="1627"/>
      <c r="S854" s="1012"/>
      <c r="T854" s="1012"/>
      <c r="U854" s="1012"/>
      <c r="V854" s="1125" t="str">
        <f>V853</f>
        <v>kWh
Annual Savings</v>
      </c>
      <c r="W854" s="1167">
        <v>16.471996316343358</v>
      </c>
      <c r="X854" s="980">
        <v>4.4836485277384011</v>
      </c>
      <c r="Y854" s="84">
        <v>4.6399999999999997</v>
      </c>
      <c r="Z854" s="85">
        <v>4.6399999999999997</v>
      </c>
      <c r="AA854" s="85">
        <v>4.6399999999999997</v>
      </c>
      <c r="AB854" s="85">
        <v>4.6399999999999997</v>
      </c>
      <c r="AC854" s="1125"/>
      <c r="AD854" s="1125"/>
      <c r="AE854" s="1125"/>
      <c r="AF854" s="1125"/>
      <c r="AG854" s="1125"/>
      <c r="AK854" s="1127"/>
      <c r="BB854" s="1133">
        <f>(BD854)/(BE854)</f>
        <v>0.35034522261031542</v>
      </c>
      <c r="BC854" s="72" t="str">
        <f>CONCATENATE(G854," ",J854," Year EUL")</f>
        <v>Water heating RES 12 Year EUL</v>
      </c>
      <c r="BD854" s="153">
        <f>(INDEX('Avoided Cost Benefits'!$C$4:$C$857,MATCH(BC854,'Avoided Cost Benefits'!$A$4:$A$857,0)))*F854</f>
        <v>1.8715941104052713</v>
      </c>
      <c r="BE854" s="1134">
        <f>K854/(1.0595^(2020-2019))</f>
        <v>5.3421425200566297</v>
      </c>
    </row>
    <row r="855" spans="1:57" s="993" customFormat="1" ht="15" customHeight="1" outlineLevel="1" x14ac:dyDescent="0.25">
      <c r="A855" s="1012"/>
      <c r="B855" s="1823"/>
      <c r="C855" s="1014"/>
      <c r="D855" s="1862"/>
      <c r="E855" s="1862"/>
      <c r="F855" s="1063"/>
      <c r="G855" s="1063"/>
      <c r="H855" s="1063"/>
      <c r="I855" s="1063"/>
      <c r="J855" s="1063"/>
      <c r="K855" s="1012"/>
      <c r="L855" s="1012"/>
      <c r="M855" s="1012"/>
      <c r="N855" s="1012"/>
      <c r="O855" s="1012"/>
      <c r="P855" s="1012"/>
      <c r="Q855" s="1012"/>
      <c r="R855" s="1012"/>
      <c r="S855" s="1012"/>
      <c r="T855" s="1012"/>
      <c r="U855" s="1012"/>
      <c r="V855" s="226"/>
      <c r="W855" s="226"/>
      <c r="X855" s="226"/>
      <c r="Y855" s="1168"/>
      <c r="Z855" s="226"/>
      <c r="AA855" s="226"/>
      <c r="AB855" s="226"/>
      <c r="AC855" s="226"/>
      <c r="AD855" s="226"/>
      <c r="AE855" s="226"/>
      <c r="AF855" s="226"/>
      <c r="AG855" s="226"/>
      <c r="AK855" s="1127"/>
      <c r="BB855" s="1008"/>
    </row>
    <row r="856" spans="1:57" s="993" customFormat="1" ht="15" customHeight="1" outlineLevel="1" x14ac:dyDescent="0.25">
      <c r="A856" s="1012"/>
      <c r="B856" s="1823"/>
      <c r="C856" s="1014"/>
      <c r="D856" s="222" t="s">
        <v>571</v>
      </c>
      <c r="E856" s="1910"/>
      <c r="F856" s="1911"/>
      <c r="G856" s="1911"/>
      <c r="H856" s="1063"/>
      <c r="I856" s="1063"/>
      <c r="J856" s="1063"/>
      <c r="K856" s="1012"/>
      <c r="L856" s="1012"/>
      <c r="M856" s="1012"/>
      <c r="N856" s="1012"/>
      <c r="O856" s="1012"/>
      <c r="P856" s="1012"/>
      <c r="Q856" s="1012"/>
      <c r="R856" s="1012"/>
      <c r="S856" s="1012"/>
      <c r="T856" s="1012"/>
      <c r="U856" s="1012"/>
      <c r="V856" s="226"/>
      <c r="W856" s="226"/>
      <c r="X856" s="226"/>
      <c r="Y856" s="1168"/>
      <c r="Z856" s="226"/>
      <c r="AA856" s="226"/>
      <c r="AB856" s="226"/>
      <c r="AC856" s="226"/>
      <c r="AD856" s="226"/>
      <c r="AE856" s="226"/>
      <c r="AF856" s="226"/>
      <c r="AG856" s="226"/>
      <c r="AK856" s="1127"/>
      <c r="BB856" s="1008"/>
    </row>
    <row r="857" spans="1:57" s="993" customFormat="1" ht="38.25" customHeight="1" outlineLevel="1" x14ac:dyDescent="0.25">
      <c r="A857" s="1012"/>
      <c r="B857" s="1823"/>
      <c r="C857" s="1015"/>
      <c r="D857" s="1912"/>
      <c r="E857" s="1913"/>
      <c r="F857" s="1914"/>
      <c r="G857" s="1914"/>
      <c r="H857" s="1914"/>
      <c r="I857" s="1914"/>
      <c r="J857" s="1914"/>
      <c r="K857" s="1012"/>
      <c r="L857" s="1012"/>
      <c r="M857" s="1012"/>
      <c r="N857" s="1012"/>
      <c r="O857" s="1012"/>
      <c r="P857" s="1012"/>
      <c r="Q857" s="1012"/>
      <c r="R857" s="1012"/>
      <c r="S857" s="1012"/>
      <c r="T857" s="1012"/>
      <c r="U857" s="1012"/>
      <c r="V857" s="226"/>
      <c r="W857" s="226"/>
      <c r="X857" s="226"/>
      <c r="Y857" s="1168"/>
      <c r="Z857" s="226"/>
      <c r="AA857" s="226"/>
      <c r="AB857" s="226"/>
      <c r="AC857" s="226"/>
      <c r="AD857" s="226"/>
      <c r="AE857" s="226"/>
      <c r="AF857" s="226"/>
      <c r="AG857" s="226"/>
      <c r="AK857" s="1127"/>
      <c r="BB857" s="1008"/>
    </row>
    <row r="858" spans="1:57" s="993" customFormat="1" outlineLevel="1" x14ac:dyDescent="0.25">
      <c r="A858" s="1012"/>
      <c r="B858" s="1823"/>
      <c r="C858" s="1015"/>
      <c r="D858" s="1915"/>
      <c r="E858" s="1916"/>
      <c r="F858" s="1917"/>
      <c r="G858" s="1918"/>
      <c r="H858" s="1918"/>
      <c r="I858" s="1918"/>
      <c r="J858" s="1918"/>
      <c r="K858" s="1012"/>
      <c r="L858" s="1012"/>
      <c r="M858" s="1012"/>
      <c r="N858" s="1012"/>
      <c r="O858" s="1012"/>
      <c r="P858" s="1012"/>
      <c r="Q858" s="1012"/>
      <c r="R858" s="1012"/>
      <c r="S858" s="1012"/>
      <c r="T858" s="1012"/>
      <c r="U858" s="1012"/>
      <c r="V858" s="226"/>
      <c r="W858" s="226"/>
      <c r="X858" s="226"/>
      <c r="Y858" s="1168"/>
      <c r="Z858" s="226"/>
      <c r="AA858" s="226"/>
      <c r="AB858" s="226"/>
      <c r="AC858" s="226"/>
      <c r="AD858" s="226"/>
      <c r="AE858" s="226"/>
      <c r="AF858" s="226"/>
      <c r="AG858" s="226"/>
      <c r="AK858" s="1127"/>
      <c r="BB858" s="1008"/>
    </row>
    <row r="859" spans="1:57" s="993" customFormat="1" outlineLevel="1" x14ac:dyDescent="0.25">
      <c r="A859" s="1012"/>
      <c r="B859" s="1823"/>
      <c r="C859" s="1009"/>
      <c r="D859" s="1456" t="s">
        <v>572</v>
      </c>
      <c r="E859" s="1456" t="s">
        <v>573</v>
      </c>
      <c r="F859" s="1412" t="s">
        <v>574</v>
      </c>
      <c r="G859" s="3483" t="s">
        <v>624</v>
      </c>
      <c r="H859" s="3484"/>
      <c r="I859" s="3483" t="s">
        <v>575</v>
      </c>
      <c r="J859" s="3772"/>
      <c r="K859" s="3484"/>
      <c r="L859" s="1012"/>
      <c r="M859" s="1012"/>
      <c r="N859" s="1012"/>
      <c r="O859" s="1012"/>
      <c r="P859" s="1012"/>
      <c r="Q859" s="1012"/>
      <c r="R859" s="1012"/>
      <c r="S859" s="1012"/>
      <c r="T859" s="1012"/>
      <c r="U859" s="1012"/>
      <c r="V859" s="55" t="s">
        <v>27</v>
      </c>
      <c r="W859" s="56">
        <f>W$6</f>
        <v>43252</v>
      </c>
      <c r="X859" s="56">
        <f t="shared" ref="X859:AG859" si="108">X$6</f>
        <v>43465</v>
      </c>
      <c r="Y859" s="420">
        <f t="shared" si="108"/>
        <v>43800</v>
      </c>
      <c r="Z859" s="56">
        <f t="shared" si="108"/>
        <v>43862</v>
      </c>
      <c r="AA859" s="56">
        <f t="shared" si="108"/>
        <v>44013</v>
      </c>
      <c r="AB859" s="56">
        <f t="shared" si="108"/>
        <v>44166</v>
      </c>
      <c r="AC859" s="56" t="str">
        <f t="shared" si="108"/>
        <v>-</v>
      </c>
      <c r="AD859" s="56" t="str">
        <f t="shared" si="108"/>
        <v>-</v>
      </c>
      <c r="AE859" s="56" t="str">
        <f t="shared" si="108"/>
        <v>-</v>
      </c>
      <c r="AF859" s="56" t="str">
        <f t="shared" si="108"/>
        <v>-</v>
      </c>
      <c r="AG859" s="56" t="str">
        <f t="shared" si="108"/>
        <v>-</v>
      </c>
      <c r="AK859" s="1127"/>
      <c r="BB859" s="1008"/>
    </row>
    <row r="860" spans="1:57" s="993" customFormat="1" ht="18" outlineLevel="1" x14ac:dyDescent="0.25">
      <c r="A860" s="1012"/>
      <c r="B860" s="1823"/>
      <c r="C860" s="1015"/>
      <c r="D860" s="513" t="s">
        <v>1004</v>
      </c>
      <c r="E860" s="1459" t="s">
        <v>1881</v>
      </c>
      <c r="F860" s="625">
        <f>(PI()*F872)/12</f>
        <v>0.14398966328953219</v>
      </c>
      <c r="G860" s="3874" t="s">
        <v>731</v>
      </c>
      <c r="H860" s="3944"/>
      <c r="I860" s="3945"/>
      <c r="J860" s="3946"/>
      <c r="K860" s="3947"/>
      <c r="L860" s="1012"/>
      <c r="M860" s="1012"/>
      <c r="N860" s="1012"/>
      <c r="O860" s="1012"/>
      <c r="P860" s="1171"/>
      <c r="Q860" s="1172"/>
      <c r="R860" s="1172"/>
      <c r="S860" s="1172"/>
      <c r="T860" s="1172"/>
      <c r="U860" s="1172"/>
      <c r="V860" s="1169" t="str">
        <f>D860</f>
        <v>CBase</v>
      </c>
      <c r="W860" s="1173">
        <f>(PI()*W872)/12</f>
        <v>0.19634954084936207</v>
      </c>
      <c r="X860" s="1170">
        <f>(PI()*X872)/12</f>
        <v>0.14398966328953219</v>
      </c>
      <c r="Y860" s="625">
        <v>0.14398966328953219</v>
      </c>
      <c r="Z860" s="625">
        <v>0.14398966328953219</v>
      </c>
      <c r="AA860" s="625">
        <v>0.14398966328953219</v>
      </c>
      <c r="AB860" s="1173">
        <v>0.14398966328953219</v>
      </c>
      <c r="AC860" s="1173"/>
      <c r="AD860" s="1173"/>
      <c r="AE860" s="1173"/>
      <c r="AF860" s="1173"/>
      <c r="AG860" s="1173"/>
      <c r="AK860" s="1127"/>
      <c r="BB860" s="1008"/>
    </row>
    <row r="861" spans="1:57" s="993" customFormat="1" ht="18" outlineLevel="1" x14ac:dyDescent="0.25">
      <c r="A861" s="1012"/>
      <c r="B861" s="1823"/>
      <c r="C861" s="1015"/>
      <c r="D861" s="513" t="s">
        <v>1007</v>
      </c>
      <c r="E861" s="1431" t="s">
        <v>1882</v>
      </c>
      <c r="F861" s="1174">
        <v>1</v>
      </c>
      <c r="G861" s="3874" t="s">
        <v>1193</v>
      </c>
      <c r="H861" s="3944"/>
      <c r="I861" s="3945" t="s">
        <v>1713</v>
      </c>
      <c r="J861" s="3946"/>
      <c r="K861" s="3947"/>
      <c r="L861" s="1012"/>
      <c r="M861" s="1012"/>
      <c r="N861" s="1012"/>
      <c r="O861" s="1012"/>
      <c r="P861" s="1171"/>
      <c r="Q861" s="1172"/>
      <c r="R861" s="1172"/>
      <c r="S861" s="1172"/>
      <c r="T861" s="1172"/>
      <c r="U861" s="1172"/>
      <c r="V861" s="1169" t="str">
        <f>D861</f>
        <v>RBase</v>
      </c>
      <c r="W861" s="1175">
        <v>1</v>
      </c>
      <c r="X861" s="1174">
        <v>1</v>
      </c>
      <c r="Y861" s="1174">
        <v>1</v>
      </c>
      <c r="Z861" s="1174">
        <v>1</v>
      </c>
      <c r="AA861" s="1174">
        <v>1</v>
      </c>
      <c r="AB861" s="1175">
        <v>1</v>
      </c>
      <c r="AC861" s="1175"/>
      <c r="AD861" s="1175"/>
      <c r="AE861" s="1175"/>
      <c r="AF861" s="1175"/>
      <c r="AG861" s="1175"/>
      <c r="AK861" s="1127"/>
      <c r="BB861" s="1008"/>
    </row>
    <row r="862" spans="1:57" s="993" customFormat="1" ht="18" outlineLevel="1" x14ac:dyDescent="0.25">
      <c r="A862" s="1012"/>
      <c r="B862" s="1823"/>
      <c r="C862" s="1015"/>
      <c r="D862" s="513" t="s">
        <v>1010</v>
      </c>
      <c r="E862" s="1431" t="s">
        <v>1011</v>
      </c>
      <c r="F862" s="563">
        <f>(PI()*(F872+(2*F873))/12)</f>
        <v>0.40578905108868163</v>
      </c>
      <c r="G862" s="3510" t="s">
        <v>731</v>
      </c>
      <c r="H862" s="3512"/>
      <c r="I862" s="3945"/>
      <c r="J862" s="3946"/>
      <c r="K862" s="3947"/>
      <c r="L862" s="1012"/>
      <c r="M862" s="1012"/>
      <c r="N862" s="1012"/>
      <c r="O862" s="1012"/>
      <c r="P862" s="1171"/>
      <c r="Q862" s="1172"/>
      <c r="R862" s="1172"/>
      <c r="S862" s="1172"/>
      <c r="T862" s="1172"/>
      <c r="U862" s="1172"/>
      <c r="V862" s="1169" t="str">
        <f>D862</f>
        <v>CEE</v>
      </c>
      <c r="W862" s="1176">
        <f>(PI()*(W872+(2*W873))/12)</f>
        <v>0.45814892864851148</v>
      </c>
      <c r="X862" s="569">
        <f>(PI()*(X872+(2*X873))/12)</f>
        <v>0.40578905108868163</v>
      </c>
      <c r="Y862" s="569">
        <v>0.40578905108868163</v>
      </c>
      <c r="Z862" s="569">
        <v>0.40578905108868163</v>
      </c>
      <c r="AA862" s="569">
        <v>0.40578905108868163</v>
      </c>
      <c r="AB862" s="1176">
        <v>0.40578905108868163</v>
      </c>
      <c r="AC862" s="1176"/>
      <c r="AD862" s="1176"/>
      <c r="AE862" s="1176"/>
      <c r="AF862" s="1176"/>
      <c r="AG862" s="1176"/>
      <c r="AK862" s="1127"/>
      <c r="BB862" s="1008"/>
    </row>
    <row r="863" spans="1:57" s="993" customFormat="1" ht="18" outlineLevel="1" x14ac:dyDescent="0.25">
      <c r="A863" s="1012"/>
      <c r="B863" s="1823"/>
      <c r="C863" s="1015"/>
      <c r="D863" s="513" t="s">
        <v>1014</v>
      </c>
      <c r="E863" s="1431" t="s">
        <v>1015</v>
      </c>
      <c r="F863" s="138">
        <v>3.6</v>
      </c>
      <c r="G863" s="3948" t="s">
        <v>1883</v>
      </c>
      <c r="H863" s="3949"/>
      <c r="I863" s="3945" t="s">
        <v>1713</v>
      </c>
      <c r="J863" s="3946"/>
      <c r="K863" s="3947"/>
      <c r="L863" s="1012"/>
      <c r="M863" s="1012"/>
      <c r="N863" s="1012"/>
      <c r="O863" s="1012"/>
      <c r="P863" s="1171"/>
      <c r="Q863" s="1172"/>
      <c r="R863" s="1172"/>
      <c r="S863" s="1172"/>
      <c r="T863" s="1172"/>
      <c r="U863" s="1172"/>
      <c r="V863" s="1169" t="str">
        <f>D863</f>
        <v>REE</v>
      </c>
      <c r="W863" s="138">
        <f>4+1</f>
        <v>5</v>
      </c>
      <c r="X863" s="138">
        <v>3.6</v>
      </c>
      <c r="Y863" s="1177">
        <v>3.6</v>
      </c>
      <c r="Z863" s="86">
        <v>3.6</v>
      </c>
      <c r="AA863" s="86">
        <v>3.6</v>
      </c>
      <c r="AB863" s="138">
        <v>3.6</v>
      </c>
      <c r="AC863" s="138"/>
      <c r="AD863" s="138"/>
      <c r="AE863" s="138"/>
      <c r="AF863" s="138"/>
      <c r="AG863" s="138"/>
      <c r="AK863" s="1127"/>
      <c r="BB863" s="1008"/>
    </row>
    <row r="864" spans="1:57" s="993" customFormat="1" outlineLevel="1" x14ac:dyDescent="0.25">
      <c r="A864" s="1012"/>
      <c r="B864" s="1823"/>
      <c r="C864" s="1015"/>
      <c r="D864" s="1919" t="s">
        <v>1017</v>
      </c>
      <c r="E864" s="1431" t="s">
        <v>1884</v>
      </c>
      <c r="F864" s="1174">
        <v>1</v>
      </c>
      <c r="G864" s="3510" t="s">
        <v>1019</v>
      </c>
      <c r="H864" s="3512"/>
      <c r="I864" s="3945" t="s">
        <v>1713</v>
      </c>
      <c r="J864" s="3946"/>
      <c r="K864" s="3947"/>
      <c r="L864" s="1012"/>
      <c r="M864" s="1012"/>
      <c r="N864" s="1012"/>
      <c r="O864" s="1012"/>
      <c r="P864" s="1171"/>
      <c r="Q864" s="1172"/>
      <c r="R864" s="1172"/>
      <c r="S864" s="1172"/>
      <c r="T864" s="1172"/>
      <c r="U864" s="1172"/>
      <c r="V864" s="1169" t="str">
        <f>D864</f>
        <v>L</v>
      </c>
      <c r="W864" s="1175">
        <v>1</v>
      </c>
      <c r="X864" s="1174">
        <v>1</v>
      </c>
      <c r="Y864" s="1174">
        <v>1</v>
      </c>
      <c r="Z864" s="1174">
        <v>1</v>
      </c>
      <c r="AA864" s="1174">
        <v>1</v>
      </c>
      <c r="AB864" s="1175">
        <v>1</v>
      </c>
      <c r="AC864" s="1175"/>
      <c r="AD864" s="1175"/>
      <c r="AE864" s="1175"/>
      <c r="AF864" s="1175"/>
      <c r="AG864" s="1175"/>
      <c r="AK864" s="1127"/>
      <c r="BB864" s="1008"/>
    </row>
    <row r="865" spans="1:54" s="993" customFormat="1" outlineLevel="1" x14ac:dyDescent="0.25">
      <c r="A865" s="1012"/>
      <c r="B865" s="1823"/>
      <c r="C865" s="1015"/>
      <c r="D865" s="529" t="s">
        <v>1020</v>
      </c>
      <c r="E865" s="1450" t="s">
        <v>1021</v>
      </c>
      <c r="F865" s="628">
        <v>58.9</v>
      </c>
      <c r="G865" s="3874" t="s">
        <v>1193</v>
      </c>
      <c r="H865" s="3944"/>
      <c r="I865" s="3950" t="s">
        <v>1713</v>
      </c>
      <c r="J865" s="3951"/>
      <c r="K865" s="3952"/>
      <c r="L865" s="1012"/>
      <c r="M865" s="1012"/>
      <c r="N865" s="1012"/>
      <c r="O865" s="1012"/>
      <c r="P865" s="1171"/>
      <c r="Q865" s="1172"/>
      <c r="R865" s="1172"/>
      <c r="S865" s="1172"/>
      <c r="T865" s="1172"/>
      <c r="U865" s="1172"/>
      <c r="V865" s="1169" t="str">
        <f t="shared" ref="V865:V875" si="109">D865</f>
        <v>DT</v>
      </c>
      <c r="W865" s="628">
        <v>60</v>
      </c>
      <c r="X865" s="1178">
        <v>58.9</v>
      </c>
      <c r="Y865" s="628">
        <v>58.9</v>
      </c>
      <c r="Z865" s="628">
        <v>58.9</v>
      </c>
      <c r="AA865" s="628">
        <v>58.9</v>
      </c>
      <c r="AB865" s="628">
        <v>58.9</v>
      </c>
      <c r="AC865" s="628"/>
      <c r="AD865" s="628"/>
      <c r="AE865" s="628"/>
      <c r="AF865" s="628"/>
      <c r="AG865" s="628"/>
      <c r="AK865" s="1127"/>
      <c r="BB865" s="1008"/>
    </row>
    <row r="866" spans="1:54" s="993" customFormat="1" outlineLevel="1" x14ac:dyDescent="0.25">
      <c r="A866" s="1012"/>
      <c r="B866" s="1823"/>
      <c r="C866" s="1015"/>
      <c r="D866" s="529" t="s">
        <v>77</v>
      </c>
      <c r="E866" s="1450" t="s">
        <v>1023</v>
      </c>
      <c r="F866" s="60">
        <v>8766</v>
      </c>
      <c r="G866" s="3477" t="s">
        <v>1009</v>
      </c>
      <c r="H866" s="3479"/>
      <c r="I866" s="3950" t="s">
        <v>1713</v>
      </c>
      <c r="J866" s="3951"/>
      <c r="K866" s="3952"/>
      <c r="L866" s="1012"/>
      <c r="M866" s="1012"/>
      <c r="N866" s="1012"/>
      <c r="O866" s="1012"/>
      <c r="P866" s="1171"/>
      <c r="Q866" s="1172"/>
      <c r="R866" s="1172"/>
      <c r="S866" s="1172"/>
      <c r="T866" s="1172"/>
      <c r="U866" s="1172"/>
      <c r="V866" s="1169" t="str">
        <f t="shared" si="109"/>
        <v>Hours</v>
      </c>
      <c r="W866" s="60">
        <v>8766</v>
      </c>
      <c r="X866" s="60">
        <v>8766</v>
      </c>
      <c r="Y866" s="60">
        <v>8766</v>
      </c>
      <c r="Z866" s="2755">
        <v>8766</v>
      </c>
      <c r="AA866" s="2755">
        <v>8766</v>
      </c>
      <c r="AB866" s="60">
        <v>8766</v>
      </c>
      <c r="AC866" s="60"/>
      <c r="AD866" s="60"/>
      <c r="AE866" s="60"/>
      <c r="AF866" s="60"/>
      <c r="AG866" s="60"/>
      <c r="AK866" s="1127"/>
      <c r="BB866" s="1008"/>
    </row>
    <row r="867" spans="1:54" s="993" customFormat="1" ht="18" outlineLevel="1" x14ac:dyDescent="0.25">
      <c r="A867" s="1012"/>
      <c r="B867" s="1823"/>
      <c r="C867" s="1015"/>
      <c r="D867" s="529" t="s">
        <v>1024</v>
      </c>
      <c r="E867" s="1450" t="s">
        <v>1025</v>
      </c>
      <c r="F867" s="1174">
        <v>0.98</v>
      </c>
      <c r="G867" s="3867" t="s">
        <v>1885</v>
      </c>
      <c r="H867" s="3880"/>
      <c r="I867" s="3950" t="s">
        <v>1713</v>
      </c>
      <c r="J867" s="3951"/>
      <c r="K867" s="3952"/>
      <c r="L867" s="1012"/>
      <c r="M867" s="1012"/>
      <c r="N867" s="1012"/>
      <c r="O867" s="1012"/>
      <c r="P867" s="1171"/>
      <c r="Q867" s="1172"/>
      <c r="R867" s="1172"/>
      <c r="S867" s="1172"/>
      <c r="T867" s="1172"/>
      <c r="U867" s="1172"/>
      <c r="V867" s="1169" t="str">
        <f t="shared" si="109"/>
        <v>ȠDHWElec</v>
      </c>
      <c r="W867" s="1175">
        <v>0.98</v>
      </c>
      <c r="X867" s="1174">
        <v>0.98</v>
      </c>
      <c r="Y867" s="1174">
        <v>0.98</v>
      </c>
      <c r="Z867" s="1174">
        <v>0.98</v>
      </c>
      <c r="AA867" s="1174">
        <v>0.98</v>
      </c>
      <c r="AB867" s="1175">
        <v>0.98</v>
      </c>
      <c r="AC867" s="1175"/>
      <c r="AD867" s="1175"/>
      <c r="AE867" s="1175"/>
      <c r="AF867" s="1175"/>
      <c r="AG867" s="1175"/>
      <c r="AK867" s="1127"/>
      <c r="BB867" s="1008"/>
    </row>
    <row r="868" spans="1:54" s="993" customFormat="1" outlineLevel="1" x14ac:dyDescent="0.25">
      <c r="A868" s="1012"/>
      <c r="B868" s="1823"/>
      <c r="C868" s="1015"/>
      <c r="D868" s="529">
        <v>3412</v>
      </c>
      <c r="E868" s="1443" t="s">
        <v>1026</v>
      </c>
      <c r="F868" s="575">
        <v>3412</v>
      </c>
      <c r="G868" s="3477" t="s">
        <v>1009</v>
      </c>
      <c r="H868" s="3479"/>
      <c r="I868" s="3950" t="s">
        <v>1713</v>
      </c>
      <c r="J868" s="3951"/>
      <c r="K868" s="3952"/>
      <c r="L868" s="1012"/>
      <c r="M868" s="1012"/>
      <c r="N868" s="1012"/>
      <c r="O868" s="1012"/>
      <c r="P868" s="1171"/>
      <c r="Q868" s="1172"/>
      <c r="R868" s="1172"/>
      <c r="S868" s="1172"/>
      <c r="T868" s="1172"/>
      <c r="U868" s="1172"/>
      <c r="V868" s="1169">
        <f t="shared" si="109"/>
        <v>3412</v>
      </c>
      <c r="W868" s="575">
        <v>3412</v>
      </c>
      <c r="X868" s="575">
        <v>3412</v>
      </c>
      <c r="Y868" s="575">
        <v>3412</v>
      </c>
      <c r="Z868" s="575">
        <v>3412</v>
      </c>
      <c r="AA868" s="575">
        <v>3412</v>
      </c>
      <c r="AB868" s="575">
        <v>3412</v>
      </c>
      <c r="AC868" s="575"/>
      <c r="AD868" s="575"/>
      <c r="AE868" s="575"/>
      <c r="AF868" s="575"/>
      <c r="AG868" s="575"/>
      <c r="AK868" s="1127"/>
      <c r="BB868" s="1008"/>
    </row>
    <row r="869" spans="1:54" s="993" customFormat="1" outlineLevel="1" x14ac:dyDescent="0.25">
      <c r="A869" s="1012"/>
      <c r="B869" s="1823"/>
      <c r="C869" s="1015"/>
      <c r="D869" s="1410" t="s">
        <v>1027</v>
      </c>
      <c r="E869" s="1410" t="s">
        <v>938</v>
      </c>
      <c r="F869" s="1150">
        <v>1</v>
      </c>
      <c r="G869" s="3493" t="s">
        <v>930</v>
      </c>
      <c r="H869" s="3494"/>
      <c r="I869" s="3915" t="s">
        <v>1726</v>
      </c>
      <c r="J869" s="3916"/>
      <c r="K869" s="3917"/>
      <c r="L869" s="1012"/>
      <c r="M869" s="1012"/>
      <c r="N869" s="1012"/>
      <c r="O869" s="1012"/>
      <c r="P869" s="1171"/>
      <c r="Q869" s="1172"/>
      <c r="R869" s="1172"/>
      <c r="S869" s="1172"/>
      <c r="T869" s="1172"/>
      <c r="U869" s="1172"/>
      <c r="V869" s="1169" t="str">
        <f t="shared" si="109"/>
        <v>*Electric Saturation</v>
      </c>
      <c r="W869" s="1179">
        <v>1</v>
      </c>
      <c r="X869" s="1150">
        <v>1</v>
      </c>
      <c r="Y869" s="1150">
        <v>1</v>
      </c>
      <c r="Z869" s="1150">
        <v>1</v>
      </c>
      <c r="AA869" s="1150">
        <v>1</v>
      </c>
      <c r="AB869" s="1179">
        <v>1</v>
      </c>
      <c r="AC869" s="1179"/>
      <c r="AD869" s="1179"/>
      <c r="AE869" s="1179"/>
      <c r="AF869" s="1179"/>
      <c r="AG869" s="1179"/>
      <c r="AK869" s="1127"/>
      <c r="BB869" s="1008"/>
    </row>
    <row r="870" spans="1:54" s="993" customFormat="1" outlineLevel="1" x14ac:dyDescent="0.25">
      <c r="A870" s="1012"/>
      <c r="B870" s="1823"/>
      <c r="C870" s="1015"/>
      <c r="D870" s="1410" t="s">
        <v>892</v>
      </c>
      <c r="E870" s="1410" t="s">
        <v>929</v>
      </c>
      <c r="F870" s="1150">
        <v>1</v>
      </c>
      <c r="G870" s="3493" t="s">
        <v>930</v>
      </c>
      <c r="H870" s="3494"/>
      <c r="I870" s="3915" t="s">
        <v>1726</v>
      </c>
      <c r="J870" s="3916"/>
      <c r="K870" s="3917"/>
      <c r="L870" s="1012"/>
      <c r="M870" s="1012"/>
      <c r="N870" s="1012"/>
      <c r="O870" s="1012"/>
      <c r="P870" s="1171"/>
      <c r="Q870" s="1172"/>
      <c r="R870" s="1172"/>
      <c r="S870" s="1172"/>
      <c r="T870" s="1172"/>
      <c r="U870" s="1172"/>
      <c r="V870" s="1169" t="str">
        <f t="shared" si="109"/>
        <v>Utility Adjustment</v>
      </c>
      <c r="W870" s="1179">
        <v>1</v>
      </c>
      <c r="X870" s="1150">
        <v>1</v>
      </c>
      <c r="Y870" s="1150">
        <v>1</v>
      </c>
      <c r="Z870" s="1150">
        <v>1</v>
      </c>
      <c r="AA870" s="1150">
        <v>1</v>
      </c>
      <c r="AB870" s="1179">
        <v>1</v>
      </c>
      <c r="AC870" s="1179"/>
      <c r="AD870" s="1179"/>
      <c r="AE870" s="1179"/>
      <c r="AF870" s="1179"/>
      <c r="AG870" s="1179"/>
      <c r="AK870" s="1127"/>
      <c r="BB870" s="1008"/>
    </row>
    <row r="871" spans="1:54" s="993" customFormat="1" outlineLevel="1" x14ac:dyDescent="0.25">
      <c r="A871" s="1012"/>
      <c r="B871" s="1823"/>
      <c r="C871" s="1015"/>
      <c r="D871" s="1117" t="s">
        <v>75</v>
      </c>
      <c r="E871" s="1443" t="s">
        <v>1727</v>
      </c>
      <c r="F871" s="1181">
        <v>0.96</v>
      </c>
      <c r="G871" s="3867" t="s">
        <v>1886</v>
      </c>
      <c r="H871" s="3880"/>
      <c r="I871" s="3950" t="s">
        <v>1713</v>
      </c>
      <c r="J871" s="3951"/>
      <c r="K871" s="3952"/>
      <c r="L871" s="1012"/>
      <c r="M871" s="1012"/>
      <c r="N871" s="1012"/>
      <c r="O871" s="1012"/>
      <c r="P871" s="1171"/>
      <c r="Q871" s="1172"/>
      <c r="R871" s="1172"/>
      <c r="S871" s="1172"/>
      <c r="T871" s="1172"/>
      <c r="U871" s="1172"/>
      <c r="V871" s="1169" t="str">
        <f t="shared" si="109"/>
        <v>ISR</v>
      </c>
      <c r="W871" s="1180">
        <v>1</v>
      </c>
      <c r="X871" s="1181">
        <v>0.92857142857142905</v>
      </c>
      <c r="Y871" s="1147">
        <v>0.96</v>
      </c>
      <c r="Z871" s="1181">
        <v>0.96</v>
      </c>
      <c r="AA871" s="1181">
        <v>0.96</v>
      </c>
      <c r="AB871" s="1180">
        <v>0.96</v>
      </c>
      <c r="AC871" s="1180"/>
      <c r="AD871" s="1180"/>
      <c r="AE871" s="1180"/>
      <c r="AF871" s="1180"/>
      <c r="AG871" s="1180"/>
      <c r="AK871" s="1127"/>
      <c r="BB871" s="1008"/>
    </row>
    <row r="872" spans="1:54" s="993" customFormat="1" outlineLevel="1" x14ac:dyDescent="0.25">
      <c r="A872" s="1012"/>
      <c r="B872" s="1823"/>
      <c r="C872" s="1009"/>
      <c r="D872" s="1117" t="s">
        <v>1887</v>
      </c>
      <c r="E872" s="1091" t="s">
        <v>1032</v>
      </c>
      <c r="F872" s="1181">
        <v>0.55000000000000004</v>
      </c>
      <c r="G872" s="3867"/>
      <c r="H872" s="3880"/>
      <c r="I872" s="3950"/>
      <c r="J872" s="3951"/>
      <c r="K872" s="3952"/>
      <c r="L872" s="1012"/>
      <c r="M872" s="1012"/>
      <c r="N872" s="1012"/>
      <c r="O872" s="1012"/>
      <c r="P872" s="1171"/>
      <c r="Q872" s="1172"/>
      <c r="R872" s="1172"/>
      <c r="S872" s="1172"/>
      <c r="T872" s="1172"/>
      <c r="U872" s="1172"/>
      <c r="V872" s="1169" t="str">
        <f t="shared" si="109"/>
        <v>Pipe Diameter</v>
      </c>
      <c r="W872" s="1180">
        <v>0.75</v>
      </c>
      <c r="X872" s="1147">
        <v>0.55000000000000004</v>
      </c>
      <c r="Y872" s="1181">
        <v>0.55000000000000004</v>
      </c>
      <c r="Z872" s="1181">
        <v>0.55000000000000004</v>
      </c>
      <c r="AA872" s="1181">
        <v>0.55000000000000004</v>
      </c>
      <c r="AB872" s="1180">
        <v>0.55000000000000004</v>
      </c>
      <c r="AC872" s="1180"/>
      <c r="AD872" s="1180"/>
      <c r="AE872" s="1180"/>
      <c r="AF872" s="1180"/>
      <c r="AG872" s="1180"/>
      <c r="AK872" s="1127"/>
      <c r="BB872" s="1008"/>
    </row>
    <row r="873" spans="1:54" s="993" customFormat="1" outlineLevel="1" x14ac:dyDescent="0.25">
      <c r="A873" s="1012"/>
      <c r="B873" s="1823"/>
      <c r="C873" s="1009"/>
      <c r="D873" s="1410" t="s">
        <v>1034</v>
      </c>
      <c r="E873" s="1410" t="s">
        <v>1034</v>
      </c>
      <c r="F873" s="631">
        <v>0.5</v>
      </c>
      <c r="G873" s="3867"/>
      <c r="H873" s="3880"/>
      <c r="I873" s="3950"/>
      <c r="J873" s="3951"/>
      <c r="K873" s="3952"/>
      <c r="L873" s="1012"/>
      <c r="M873" s="1012"/>
      <c r="N873" s="1012"/>
      <c r="O873" s="1012"/>
      <c r="P873" s="1171"/>
      <c r="Q873" s="1172"/>
      <c r="R873" s="1172"/>
      <c r="S873" s="1172"/>
      <c r="T873" s="1172"/>
      <c r="U873" s="1172"/>
      <c r="V873" s="1169" t="str">
        <f t="shared" si="109"/>
        <v>Pipe wrap width</v>
      </c>
      <c r="W873" s="1180">
        <v>0.5</v>
      </c>
      <c r="X873" s="631">
        <v>0.5</v>
      </c>
      <c r="Y873" s="631">
        <v>0.5</v>
      </c>
      <c r="Z873" s="631">
        <v>0.5</v>
      </c>
      <c r="AA873" s="631">
        <v>0.5</v>
      </c>
      <c r="AB873" s="1180">
        <v>0.5</v>
      </c>
      <c r="AC873" s="1180"/>
      <c r="AD873" s="1180"/>
      <c r="AE873" s="1180"/>
      <c r="AF873" s="1180"/>
      <c r="AG873" s="1180"/>
      <c r="AK873" s="1127"/>
      <c r="BB873" s="1008"/>
    </row>
    <row r="874" spans="1:54" s="993" customFormat="1" outlineLevel="1" x14ac:dyDescent="0.25">
      <c r="A874" s="1012"/>
      <c r="B874" s="1823"/>
      <c r="C874" s="375"/>
      <c r="D874" s="1438" t="str">
        <f>D842</f>
        <v>EUL</v>
      </c>
      <c r="E874" s="1438" t="s">
        <v>1888</v>
      </c>
      <c r="F874" s="919">
        <v>12</v>
      </c>
      <c r="G874" s="3867"/>
      <c r="H874" s="3880"/>
      <c r="I874" s="3950"/>
      <c r="J874" s="3951"/>
      <c r="K874" s="3952"/>
      <c r="L874" s="1012"/>
      <c r="M874" s="1012"/>
      <c r="N874" s="1012"/>
      <c r="O874" s="1012"/>
      <c r="P874" s="1171"/>
      <c r="Q874" s="1172"/>
      <c r="R874" s="1172"/>
      <c r="S874" s="1172"/>
      <c r="T874" s="1172"/>
      <c r="U874" s="1172"/>
      <c r="V874" s="1169" t="str">
        <f t="shared" si="109"/>
        <v>EUL</v>
      </c>
      <c r="W874" s="1162">
        <v>12</v>
      </c>
      <c r="X874" s="1077">
        <v>12</v>
      </c>
      <c r="Y874" s="1077">
        <v>12</v>
      </c>
      <c r="Z874" s="919">
        <v>12</v>
      </c>
      <c r="AA874" s="919">
        <v>12</v>
      </c>
      <c r="AB874" s="1163">
        <v>12</v>
      </c>
      <c r="AC874" s="1163"/>
      <c r="AD874" s="1163"/>
      <c r="AE874" s="1163"/>
      <c r="AF874" s="1163"/>
      <c r="AG874" s="1163"/>
      <c r="AK874" s="1127"/>
      <c r="BB874" s="1008"/>
    </row>
    <row r="875" spans="1:54" s="993" customFormat="1" outlineLevel="1" x14ac:dyDescent="0.25">
      <c r="A875" s="1012"/>
      <c r="B875" s="1823"/>
      <c r="C875" s="375"/>
      <c r="D875" s="3934" t="str">
        <f>D843</f>
        <v>Inc. Cost</v>
      </c>
      <c r="E875" s="1410" t="s">
        <v>1889</v>
      </c>
      <c r="F875" s="1920">
        <v>7.1</v>
      </c>
      <c r="G875" s="3867"/>
      <c r="H875" s="3880"/>
      <c r="I875" s="3950"/>
      <c r="J875" s="3951"/>
      <c r="K875" s="3952"/>
      <c r="L875" s="1012"/>
      <c r="M875" s="1012"/>
      <c r="N875" s="1012"/>
      <c r="O875" s="1012"/>
      <c r="P875" s="1171"/>
      <c r="Q875" s="1172"/>
      <c r="R875" s="1172"/>
      <c r="S875" s="1172"/>
      <c r="T875" s="1172"/>
      <c r="U875" s="1172"/>
      <c r="V875" s="3805" t="str">
        <f t="shared" si="109"/>
        <v>Inc. Cost</v>
      </c>
      <c r="W875" s="1164">
        <v>7.1</v>
      </c>
      <c r="X875" s="1182">
        <v>7.1</v>
      </c>
      <c r="Y875" s="1182">
        <v>7.1</v>
      </c>
      <c r="Z875" s="1920">
        <v>7.1</v>
      </c>
      <c r="AA875" s="1920">
        <v>7.1</v>
      </c>
      <c r="AB875" s="1165">
        <v>7.1</v>
      </c>
      <c r="AC875" s="1165"/>
      <c r="AD875" s="1165"/>
      <c r="AE875" s="1165"/>
      <c r="AF875" s="1165"/>
      <c r="AG875" s="1165"/>
      <c r="AK875" s="1127"/>
      <c r="BB875" s="1008"/>
    </row>
    <row r="876" spans="1:54" s="993" customFormat="1" outlineLevel="1" x14ac:dyDescent="0.25">
      <c r="A876" s="1012"/>
      <c r="B876" s="1823"/>
      <c r="C876" s="375"/>
      <c r="D876" s="3459"/>
      <c r="E876" s="1410" t="s">
        <v>1890</v>
      </c>
      <c r="F876" s="1202">
        <v>5.66</v>
      </c>
      <c r="G876" s="3867" t="s">
        <v>3700</v>
      </c>
      <c r="H876" s="3880"/>
      <c r="I876" s="3950"/>
      <c r="J876" s="3951"/>
      <c r="K876" s="3952"/>
      <c r="L876" s="1012"/>
      <c r="M876" s="1012"/>
      <c r="N876" s="1012"/>
      <c r="O876" s="1012"/>
      <c r="P876" s="1172"/>
      <c r="Q876" s="1172"/>
      <c r="R876" s="1172"/>
      <c r="S876" s="1172"/>
      <c r="T876" s="1172"/>
      <c r="U876" s="1172"/>
      <c r="V876" s="3933"/>
      <c r="W876" s="1164">
        <v>7.1</v>
      </c>
      <c r="X876" s="1182">
        <v>7.1</v>
      </c>
      <c r="Y876" s="1182">
        <v>7.1</v>
      </c>
      <c r="Z876" s="1920">
        <v>7.1</v>
      </c>
      <c r="AA876" s="1920">
        <v>7.1</v>
      </c>
      <c r="AB876" s="1166">
        <v>5.66</v>
      </c>
      <c r="AC876" s="1165"/>
      <c r="AD876" s="1165"/>
      <c r="AE876" s="1165"/>
      <c r="AF876" s="1165"/>
      <c r="AG876" s="1165"/>
      <c r="AK876" s="1127"/>
      <c r="BB876" s="1008"/>
    </row>
    <row r="877" spans="1:54" s="993" customFormat="1" ht="15" customHeight="1" x14ac:dyDescent="0.25">
      <c r="A877" s="1012"/>
      <c r="B877" s="1823"/>
      <c r="C877" s="1009"/>
      <c r="D877" s="1877"/>
      <c r="E877" s="492"/>
      <c r="F877" s="1012"/>
      <c r="G877" s="1012"/>
      <c r="H877" s="1012"/>
      <c r="I877" s="1012"/>
      <c r="J877" s="1012"/>
      <c r="K877" s="1012"/>
      <c r="L877" s="1012"/>
      <c r="M877" s="1012"/>
      <c r="N877" s="1012"/>
      <c r="O877" s="1012"/>
      <c r="P877" s="1012"/>
      <c r="Q877" s="1012"/>
      <c r="R877" s="1012"/>
      <c r="S877" s="1012"/>
      <c r="T877" s="1012"/>
      <c r="U877" s="1012"/>
      <c r="Y877" s="1013"/>
      <c r="AK877" s="1127"/>
      <c r="BB877" s="1008"/>
    </row>
    <row r="878" spans="1:54" ht="15" customHeight="1" x14ac:dyDescent="0.25">
      <c r="B878" s="1359"/>
      <c r="C878" s="274"/>
      <c r="F878" s="1276"/>
      <c r="G878" s="1276"/>
      <c r="AK878" s="982"/>
    </row>
    <row r="879" spans="1:54" x14ac:dyDescent="0.25">
      <c r="B879" s="3350" t="s">
        <v>1891</v>
      </c>
      <c r="C879" s="3351"/>
      <c r="D879" s="3351"/>
      <c r="E879" s="3351"/>
      <c r="F879" s="3351"/>
      <c r="G879" s="3351"/>
      <c r="H879" s="3351"/>
      <c r="I879" s="3352"/>
      <c r="J879" s="3352"/>
      <c r="K879" s="3352"/>
      <c r="L879" s="3352"/>
      <c r="M879" s="3352"/>
      <c r="N879" s="3352"/>
      <c r="O879" s="3352"/>
      <c r="P879" s="3352"/>
      <c r="Q879" s="3352"/>
      <c r="R879" s="3353"/>
      <c r="V879" s="3350" t="str">
        <f>B879</f>
        <v>Programmable Thermostat</v>
      </c>
      <c r="W879" s="3351"/>
      <c r="X879" s="3351"/>
      <c r="Y879" s="3351"/>
      <c r="Z879" s="3351"/>
      <c r="AA879" s="3351"/>
      <c r="AB879" s="3351"/>
      <c r="AC879" s="3354"/>
      <c r="AD879" s="3354"/>
      <c r="AE879" s="3354"/>
      <c r="AF879" s="3354"/>
      <c r="AG879" s="3354"/>
      <c r="AH879" s="3354"/>
      <c r="AI879" s="3355"/>
      <c r="AK879" s="982"/>
    </row>
    <row r="880" spans="1:54" x14ac:dyDescent="0.25">
      <c r="B880" s="1359"/>
      <c r="C880" s="274"/>
      <c r="D880" s="386" t="s">
        <v>1513</v>
      </c>
      <c r="E880" s="482"/>
      <c r="F880" s="275"/>
      <c r="G880" s="275"/>
      <c r="H880" s="275"/>
      <c r="I880" s="275"/>
      <c r="J880" s="275"/>
      <c r="K880" s="275"/>
      <c r="L880" s="1635"/>
      <c r="AK880" s="982"/>
    </row>
    <row r="881" spans="2:57" ht="30" x14ac:dyDescent="0.25">
      <c r="B881" s="1359"/>
      <c r="C881" s="1409" t="s">
        <v>17</v>
      </c>
      <c r="D881" s="1409" t="s">
        <v>616</v>
      </c>
      <c r="E881" s="1409" t="s">
        <v>19</v>
      </c>
      <c r="F881" s="1409" t="s">
        <v>20</v>
      </c>
      <c r="G881" s="1409" t="s">
        <v>21</v>
      </c>
      <c r="H881" s="1409" t="s">
        <v>22</v>
      </c>
      <c r="I881" s="1409" t="s">
        <v>23</v>
      </c>
      <c r="J881" s="1413" t="s">
        <v>24</v>
      </c>
      <c r="K881" s="1409" t="s">
        <v>25</v>
      </c>
      <c r="L881" s="1409" t="s">
        <v>26</v>
      </c>
      <c r="V881" s="55" t="s">
        <v>27</v>
      </c>
      <c r="W881" s="56">
        <f>W$6</f>
        <v>43252</v>
      </c>
      <c r="X881" s="56">
        <f t="shared" ref="X881:AG881" si="110">X$6</f>
        <v>43465</v>
      </c>
      <c r="Y881" s="420">
        <f t="shared" si="110"/>
        <v>43800</v>
      </c>
      <c r="Z881" s="56">
        <f t="shared" si="110"/>
        <v>43862</v>
      </c>
      <c r="AA881" s="56">
        <f t="shared" si="110"/>
        <v>44013</v>
      </c>
      <c r="AB881" s="56">
        <f t="shared" si="110"/>
        <v>44166</v>
      </c>
      <c r="AC881" s="56" t="str">
        <f t="shared" si="110"/>
        <v>-</v>
      </c>
      <c r="AD881" s="56" t="str">
        <f t="shared" si="110"/>
        <v>-</v>
      </c>
      <c r="AE881" s="56" t="str">
        <f t="shared" si="110"/>
        <v>-</v>
      </c>
      <c r="AF881" s="56" t="str">
        <f t="shared" si="110"/>
        <v>-</v>
      </c>
      <c r="AG881" s="56" t="str">
        <f t="shared" si="110"/>
        <v>-</v>
      </c>
      <c r="AK881" s="982"/>
      <c r="BB881" s="57" t="str">
        <f>$BB$6</f>
        <v>TRC (2020)</v>
      </c>
      <c r="BC881" s="93" t="str">
        <f>$BC$6</f>
        <v>Benefit Lookup</v>
      </c>
      <c r="BD881" s="741" t="str">
        <f>$BD$6</f>
        <v>Benefits (2019 $)</v>
      </c>
      <c r="BE881" s="279" t="str">
        <f>$BE$6</f>
        <v>Incremental Cost (2019 $)</v>
      </c>
    </row>
    <row r="882" spans="2:57" x14ac:dyDescent="0.25">
      <c r="B882" s="1359"/>
      <c r="C882" s="1658" t="s">
        <v>1892</v>
      </c>
      <c r="D882" s="1658" t="s">
        <v>1518</v>
      </c>
      <c r="E882" s="1921" t="s">
        <v>1893</v>
      </c>
      <c r="F882" s="1659">
        <f>ROUND($F$916*$F$918*1/$F$926*$F$927*$F$928*$F$929/1000,2)</f>
        <v>201.39</v>
      </c>
      <c r="G882" s="1658" t="s">
        <v>690</v>
      </c>
      <c r="H882" s="202">
        <f>VLOOKUP(G882,'CP FACTORS'!$A$3:$B$38, 2, FALSE)</f>
        <v>9.4741810000000004E-4</v>
      </c>
      <c r="I882" s="1733">
        <f>ROUND(F882*H882,6)</f>
        <v>0.190801</v>
      </c>
      <c r="J882" s="1414">
        <f t="shared" ref="J882:J905" si="111">$F$959</f>
        <v>10</v>
      </c>
      <c r="K882" s="1415">
        <f>$F$960</f>
        <v>70</v>
      </c>
      <c r="L882" s="1658" t="s">
        <v>37</v>
      </c>
      <c r="R882" s="1627"/>
      <c r="V882" s="208" t="str">
        <f>F881</f>
        <v>kWh Annual Savings</v>
      </c>
      <c r="W882" s="486">
        <v>102.44464690909089</v>
      </c>
      <c r="X882" s="487">
        <v>439.92233999999996</v>
      </c>
      <c r="Y882" s="754">
        <v>201.39</v>
      </c>
      <c r="Z882" s="651">
        <v>201.39</v>
      </c>
      <c r="AA882" s="651">
        <v>201.39</v>
      </c>
      <c r="AB882" s="651">
        <v>201.39</v>
      </c>
      <c r="AC882" s="208"/>
      <c r="AD882" s="208"/>
      <c r="AE882" s="208"/>
      <c r="AF882" s="208"/>
      <c r="AG882" s="208"/>
      <c r="AH882" s="211"/>
      <c r="AK882" s="982"/>
      <c r="BB882" s="67">
        <f>(BD882+BD883)/(BE882+BE883)</f>
        <v>3.247889197228881</v>
      </c>
      <c r="BC882" s="1011" t="str">
        <f>CONCATENATE(G882," ",J882," Year EUL")</f>
        <v>Cooling RES 10 Year EUL</v>
      </c>
      <c r="BD882" s="145">
        <f>(INDEX('Avoided Cost Benefits'!$C$4:$C$857,MATCH(BC882,'Avoided Cost Benefits'!$A$4:$A$857,0)))*F882</f>
        <v>206.33184106998681</v>
      </c>
      <c r="BE882" s="69">
        <f>K882/(1.0595^(2020-2019))</f>
        <v>66.068900424728639</v>
      </c>
    </row>
    <row r="883" spans="2:57" x14ac:dyDescent="0.25">
      <c r="B883" s="1359"/>
      <c r="C883" s="1658" t="s">
        <v>1892</v>
      </c>
      <c r="D883" s="1658" t="s">
        <v>1518</v>
      </c>
      <c r="E883" s="1922" t="s">
        <v>1893</v>
      </c>
      <c r="F883" s="1659">
        <f>ROUND($F$930*$F$938*$F$940*(1/$F$948)*$F$956*$F$957*$F$958/1000,2)</f>
        <v>30.37</v>
      </c>
      <c r="G883" s="1658" t="s">
        <v>691</v>
      </c>
      <c r="H883" s="202">
        <f>VLOOKUP(G883,'CP FACTORS'!$A$3:$B$38, 2, FALSE)</f>
        <v>0</v>
      </c>
      <c r="I883" s="1733">
        <f t="shared" ref="I883:I905" si="112">ROUND(F883*H883,6)</f>
        <v>0</v>
      </c>
      <c r="J883" s="1414">
        <f t="shared" si="111"/>
        <v>10</v>
      </c>
      <c r="K883" s="1415">
        <v>0</v>
      </c>
      <c r="L883" s="1658" t="s">
        <v>37</v>
      </c>
      <c r="R883" s="1627"/>
      <c r="V883" s="208" t="str">
        <f>V882</f>
        <v>kWh Annual Savings</v>
      </c>
      <c r="W883" s="486">
        <v>338.97776639999995</v>
      </c>
      <c r="X883" s="487">
        <v>48.891023999999994</v>
      </c>
      <c r="Y883" s="754">
        <v>30.37</v>
      </c>
      <c r="Z883" s="651">
        <v>30.37</v>
      </c>
      <c r="AA883" s="651">
        <v>30.37</v>
      </c>
      <c r="AB883" s="651">
        <v>30.37</v>
      </c>
      <c r="AC883" s="208"/>
      <c r="AD883" s="208"/>
      <c r="AE883" s="208"/>
      <c r="AF883" s="208"/>
      <c r="AG883" s="208"/>
      <c r="AH883" s="211"/>
      <c r="AK883" s="982"/>
      <c r="BB883" s="1087"/>
      <c r="BC883" s="1104" t="str">
        <f t="shared" ref="BC883:BC905" si="113">CONCATENATE(G883," ",J883," Year EUL")</f>
        <v>Heating RES 10 Year EUL</v>
      </c>
      <c r="BD883" s="148">
        <f>(INDEX('Avoided Cost Benefits'!$C$4:$C$857,MATCH(BC883,'Avoided Cost Benefits'!$A$4:$A$857,0)))*F883</f>
        <v>8.2526268922799719</v>
      </c>
      <c r="BE883" s="73">
        <f t="shared" ref="BE883:BE905" si="114">K883/(1.0595^(2020-2019))</f>
        <v>0</v>
      </c>
    </row>
    <row r="884" spans="2:57" x14ac:dyDescent="0.25">
      <c r="B884" s="1359"/>
      <c r="C884" s="1658" t="s">
        <v>1894</v>
      </c>
      <c r="D884" s="1658" t="s">
        <v>1521</v>
      </c>
      <c r="E884" s="742" t="str">
        <f>CONCATENATE(E882,"_CompE")</f>
        <v>Setback thermostat - full setback - ASHP heating/cooling MF_CompE</v>
      </c>
      <c r="F884" s="1659">
        <f>ROUND($F$917*$F$918*1/$F$926*$F$927*$F$928*$F$929/1000,2)</f>
        <v>146.46</v>
      </c>
      <c r="G884" s="1658" t="s">
        <v>690</v>
      </c>
      <c r="H884" s="202">
        <f>VLOOKUP(G884,'CP FACTORS'!$A$3:$B$38, 2, FALSE)</f>
        <v>9.4741810000000004E-4</v>
      </c>
      <c r="I884" s="1733">
        <f>ROUND(F884*H884,6)</f>
        <v>0.13875899999999999</v>
      </c>
      <c r="J884" s="1414">
        <f t="shared" si="111"/>
        <v>10</v>
      </c>
      <c r="K884" s="1415">
        <f>$F$960</f>
        <v>70</v>
      </c>
      <c r="L884" s="1658" t="s">
        <v>37</v>
      </c>
      <c r="R884" s="1627"/>
      <c r="V884" s="208" t="str">
        <f t="shared" ref="V884:V905" si="115">V883</f>
        <v>kWh Annual Savings</v>
      </c>
      <c r="W884" s="486"/>
      <c r="X884" s="487"/>
      <c r="Y884" s="754">
        <v>146.46</v>
      </c>
      <c r="Z884" s="651">
        <v>146.46</v>
      </c>
      <c r="AA884" s="651">
        <v>146.46</v>
      </c>
      <c r="AB884" s="651">
        <v>146.46</v>
      </c>
      <c r="AC884" s="208"/>
      <c r="AD884" s="208"/>
      <c r="AE884" s="208"/>
      <c r="AF884" s="208"/>
      <c r="AG884" s="208"/>
      <c r="AH884" s="211"/>
      <c r="AK884" s="982"/>
      <c r="BB884" s="71">
        <f>(BD884+BD885)/(BE884+BE885)</f>
        <v>2.3137421776505787</v>
      </c>
      <c r="BC884" s="1011" t="str">
        <f>CONCATENATE(G884," ",J884," Year EUL")</f>
        <v>Cooling RES 10 Year EUL</v>
      </c>
      <c r="BD884" s="148">
        <f>(INDEX('Avoided Cost Benefits'!$C$4:$C$857,MATCH(BC884,'Avoided Cost Benefits'!$A$4:$A$857,0)))*F884</f>
        <v>150.05393238547231</v>
      </c>
      <c r="BE884" s="73">
        <f>K884/(1.0595^(2020-2019))</f>
        <v>66.068900424728639</v>
      </c>
    </row>
    <row r="885" spans="2:57" x14ac:dyDescent="0.25">
      <c r="B885" s="1359"/>
      <c r="C885" s="1658" t="s">
        <v>1894</v>
      </c>
      <c r="D885" s="1658" t="s">
        <v>1521</v>
      </c>
      <c r="E885" s="750" t="str">
        <f>CONCATENATE(E883,"_CompE")</f>
        <v>Setback thermostat - full setback - ASHP heating/cooling MF_CompE</v>
      </c>
      <c r="F885" s="1659">
        <f>ROUND($F$930*$F$939*$F$940*(1/$F$948)*$F$956*$F$957*$F$958/1000,2)</f>
        <v>10.35</v>
      </c>
      <c r="G885" s="1658" t="s">
        <v>691</v>
      </c>
      <c r="H885" s="202">
        <f>VLOOKUP(G885,'CP FACTORS'!$A$3:$B$38, 2, FALSE)</f>
        <v>0</v>
      </c>
      <c r="I885" s="1733">
        <f>ROUND(F885*H885,6)</f>
        <v>0</v>
      </c>
      <c r="J885" s="1414">
        <f t="shared" si="111"/>
        <v>10</v>
      </c>
      <c r="K885" s="1415">
        <v>0</v>
      </c>
      <c r="L885" s="1658" t="s">
        <v>37</v>
      </c>
      <c r="R885" s="1627"/>
      <c r="V885" s="208" t="str">
        <f t="shared" si="115"/>
        <v>kWh Annual Savings</v>
      </c>
      <c r="W885" s="486"/>
      <c r="X885" s="487"/>
      <c r="Y885" s="754">
        <v>10.35</v>
      </c>
      <c r="Z885" s="651">
        <v>10.35</v>
      </c>
      <c r="AA885" s="651">
        <v>10.35</v>
      </c>
      <c r="AB885" s="651">
        <v>10.35</v>
      </c>
      <c r="AC885" s="208"/>
      <c r="AD885" s="208"/>
      <c r="AE885" s="208"/>
      <c r="AF885" s="208"/>
      <c r="AG885" s="208"/>
      <c r="AH885" s="211"/>
      <c r="AK885" s="982"/>
      <c r="BB885" s="1087"/>
      <c r="BC885" s="1104" t="str">
        <f>CONCATENATE(G885," ",J885," Year EUL")</f>
        <v>Heating RES 10 Year EUL</v>
      </c>
      <c r="BD885" s="148">
        <f>(INDEX('Avoided Cost Benefits'!$C$4:$C$857,MATCH(BC885,'Avoided Cost Benefits'!$A$4:$A$857,0)))*F885</f>
        <v>2.812469158218561</v>
      </c>
      <c r="BE885" s="73">
        <f>K885/(1.0595^(2020-2019))</f>
        <v>0</v>
      </c>
    </row>
    <row r="886" spans="2:57" x14ac:dyDescent="0.25">
      <c r="B886" s="1359"/>
      <c r="C886" s="1658" t="s">
        <v>1895</v>
      </c>
      <c r="D886" s="1658" t="s">
        <v>1515</v>
      </c>
      <c r="E886" s="1921" t="s">
        <v>1896</v>
      </c>
      <c r="F886" s="1659">
        <f>ROUND(F916*F919*1/F$926*F$927*F$928*F$929/1000,2)</f>
        <v>358.2</v>
      </c>
      <c r="G886" s="1658" t="s">
        <v>690</v>
      </c>
      <c r="H886" s="202">
        <f>VLOOKUP(G886,'CP FACTORS'!$A$3:$B$38, 2, FALSE)</f>
        <v>9.4741810000000004E-4</v>
      </c>
      <c r="I886" s="1733">
        <f t="shared" si="112"/>
        <v>0.33936500000000003</v>
      </c>
      <c r="J886" s="1414">
        <f t="shared" si="111"/>
        <v>10</v>
      </c>
      <c r="K886" s="1415">
        <f>$F$960</f>
        <v>70</v>
      </c>
      <c r="L886" s="1658" t="s">
        <v>37</v>
      </c>
      <c r="R886" s="1627"/>
      <c r="V886" s="208" t="str">
        <f t="shared" si="115"/>
        <v>kWh Annual Savings</v>
      </c>
      <c r="W886" s="486">
        <v>157.60714909090908</v>
      </c>
      <c r="X886" s="487">
        <v>750.57839999999999</v>
      </c>
      <c r="Y886" s="754">
        <v>358.2</v>
      </c>
      <c r="Z886" s="651">
        <v>358.2</v>
      </c>
      <c r="AA886" s="651">
        <v>358.2</v>
      </c>
      <c r="AB886" s="651">
        <v>358.2</v>
      </c>
      <c r="AC886" s="208"/>
      <c r="AD886" s="208"/>
      <c r="AE886" s="208"/>
      <c r="AF886" s="208"/>
      <c r="AG886" s="208"/>
      <c r="AH886" s="211"/>
      <c r="AK886" s="982"/>
      <c r="BB886" s="71">
        <f>(BD886+BD887)/(BE886+BE887)</f>
        <v>5.9140389945491592</v>
      </c>
      <c r="BC886" s="1011" t="str">
        <f t="shared" si="113"/>
        <v>Cooling RES 10 Year EUL</v>
      </c>
      <c r="BD886" s="148">
        <f>(INDEX('Avoided Cost Benefits'!$C$4:$C$857,MATCH(BC886,'Avoided Cost Benefits'!$A$4:$A$857,0)))*F886</f>
        <v>366.98974860355167</v>
      </c>
      <c r="BE886" s="73">
        <f t="shared" si="114"/>
        <v>66.068900424728639</v>
      </c>
    </row>
    <row r="887" spans="2:57" x14ac:dyDescent="0.25">
      <c r="B887" s="1359"/>
      <c r="C887" s="1658" t="s">
        <v>1895</v>
      </c>
      <c r="D887" s="1658" t="s">
        <v>1515</v>
      </c>
      <c r="E887" s="1922" t="s">
        <v>1896</v>
      </c>
      <c r="F887" s="1659">
        <f>ROUND(F931*F938*F941*(1/F949)*F$956*F$957*F$958/1000,2)</f>
        <v>87.38</v>
      </c>
      <c r="G887" s="1658" t="s">
        <v>691</v>
      </c>
      <c r="H887" s="202">
        <f>VLOOKUP(G887,'CP FACTORS'!$A$3:$B$38, 2, FALSE)</f>
        <v>0</v>
      </c>
      <c r="I887" s="1733">
        <f t="shared" si="112"/>
        <v>0</v>
      </c>
      <c r="J887" s="1414">
        <f t="shared" si="111"/>
        <v>10</v>
      </c>
      <c r="K887" s="1415">
        <v>0</v>
      </c>
      <c r="L887" s="1658" t="s">
        <v>37</v>
      </c>
      <c r="R887" s="1627"/>
      <c r="V887" s="208" t="str">
        <f t="shared" si="115"/>
        <v>kWh Annual Savings</v>
      </c>
      <c r="W887" s="486">
        <v>521.50425599999994</v>
      </c>
      <c r="X887" s="487">
        <v>135.59110655999999</v>
      </c>
      <c r="Y887" s="754">
        <v>87.38</v>
      </c>
      <c r="Z887" s="651">
        <v>87.38</v>
      </c>
      <c r="AA887" s="651">
        <v>87.38</v>
      </c>
      <c r="AB887" s="651">
        <v>87.38</v>
      </c>
      <c r="AC887" s="208"/>
      <c r="AD887" s="208"/>
      <c r="AE887" s="208"/>
      <c r="AF887" s="208"/>
      <c r="AG887" s="208"/>
      <c r="AH887" s="211"/>
      <c r="AK887" s="982"/>
      <c r="BB887" s="1087"/>
      <c r="BC887" s="1104" t="str">
        <f t="shared" si="113"/>
        <v>Heating RES 10 Year EUL</v>
      </c>
      <c r="BD887" s="148">
        <f>(INDEX('Avoided Cost Benefits'!$C$4:$C$857,MATCH(BC887,'Avoided Cost Benefits'!$A$4:$A$857,0)))*F887</f>
        <v>23.744304835279021</v>
      </c>
      <c r="BE887" s="73">
        <f t="shared" si="114"/>
        <v>0</v>
      </c>
    </row>
    <row r="888" spans="2:57" x14ac:dyDescent="0.25">
      <c r="B888" s="1359"/>
      <c r="C888" s="1658" t="s">
        <v>1897</v>
      </c>
      <c r="D888" s="1658" t="s">
        <v>1518</v>
      </c>
      <c r="E888" s="1921" t="s">
        <v>1898</v>
      </c>
      <c r="F888" s="1659">
        <f>ROUND($F$916*$F$920*1/$F$926*$F$927*$F$928*$F$929/1000,2)</f>
        <v>201.39</v>
      </c>
      <c r="G888" s="1658" t="s">
        <v>690</v>
      </c>
      <c r="H888" s="202">
        <f>VLOOKUP(G888,'CP FACTORS'!$A$3:$B$38, 2, FALSE)</f>
        <v>9.4741810000000004E-4</v>
      </c>
      <c r="I888" s="1733">
        <f t="shared" si="112"/>
        <v>0.190801</v>
      </c>
      <c r="J888" s="1414">
        <f t="shared" si="111"/>
        <v>10</v>
      </c>
      <c r="K888" s="1415">
        <f>$F$960</f>
        <v>70</v>
      </c>
      <c r="L888" s="1658" t="s">
        <v>37</v>
      </c>
      <c r="R888" s="1627"/>
      <c r="V888" s="208" t="str">
        <f t="shared" si="115"/>
        <v>kWh Annual Savings</v>
      </c>
      <c r="W888" s="486">
        <v>102.44464690909089</v>
      </c>
      <c r="X888" s="487">
        <v>439.92233999999996</v>
      </c>
      <c r="Y888" s="754">
        <v>201.39</v>
      </c>
      <c r="Z888" s="651">
        <v>201.39</v>
      </c>
      <c r="AA888" s="651">
        <v>201.39</v>
      </c>
      <c r="AB888" s="651">
        <v>201.39</v>
      </c>
      <c r="AC888" s="208"/>
      <c r="AD888" s="208"/>
      <c r="AE888" s="208"/>
      <c r="AF888" s="208"/>
      <c r="AG888" s="208"/>
      <c r="AH888" s="211"/>
      <c r="AK888" s="982"/>
      <c r="BB888" s="71">
        <f>(BD888+BD889)/(BE888+BE889)</f>
        <v>3.3793381439470549</v>
      </c>
      <c r="BC888" s="1011" t="str">
        <f t="shared" si="113"/>
        <v>Cooling RES 10 Year EUL</v>
      </c>
      <c r="BD888" s="148">
        <f>(INDEX('Avoided Cost Benefits'!$C$4:$C$857,MATCH(BC888,'Avoided Cost Benefits'!$A$4:$A$857,0)))*F888</f>
        <v>206.33184106998681</v>
      </c>
      <c r="BE888" s="73">
        <f t="shared" si="114"/>
        <v>66.068900424728639</v>
      </c>
    </row>
    <row r="889" spans="2:57" x14ac:dyDescent="0.25">
      <c r="B889" s="1359"/>
      <c r="C889" s="1658" t="s">
        <v>1897</v>
      </c>
      <c r="D889" s="1658" t="s">
        <v>1518</v>
      </c>
      <c r="E889" s="1922" t="s">
        <v>1898</v>
      </c>
      <c r="F889" s="1659">
        <f>ROUND($F$932*$F$938*$F$942*(1/$F$950)*$F$956*$F$957*$F$958/1000,2)</f>
        <v>62.33</v>
      </c>
      <c r="G889" s="1658" t="s">
        <v>691</v>
      </c>
      <c r="H889" s="202">
        <f>VLOOKUP(G889,'CP FACTORS'!$A$3:$B$38, 2, FALSE)</f>
        <v>0</v>
      </c>
      <c r="I889" s="1733">
        <f t="shared" si="112"/>
        <v>0</v>
      </c>
      <c r="J889" s="1414">
        <f t="shared" si="111"/>
        <v>10</v>
      </c>
      <c r="K889" s="1415">
        <v>0</v>
      </c>
      <c r="L889" s="1658" t="s">
        <v>37</v>
      </c>
      <c r="R889" s="1627"/>
      <c r="V889" s="208" t="str">
        <f t="shared" si="115"/>
        <v>kWh Annual Savings</v>
      </c>
      <c r="W889" s="486">
        <v>576.26220288000002</v>
      </c>
      <c r="X889" s="487">
        <v>100.36280586510264</v>
      </c>
      <c r="Y889" s="754">
        <v>62.33</v>
      </c>
      <c r="Z889" s="651">
        <v>62.33</v>
      </c>
      <c r="AA889" s="651">
        <v>62.33</v>
      </c>
      <c r="AB889" s="651">
        <v>62.33</v>
      </c>
      <c r="AC889" s="208"/>
      <c r="AD889" s="208"/>
      <c r="AE889" s="208"/>
      <c r="AF889" s="208"/>
      <c r="AG889" s="208"/>
      <c r="AH889" s="211"/>
      <c r="AK889" s="982"/>
      <c r="BB889" s="1087"/>
      <c r="BC889" s="1104" t="str">
        <f t="shared" si="113"/>
        <v>Heating RES 10 Year EUL</v>
      </c>
      <c r="BD889" s="148">
        <f>(INDEX('Avoided Cost Benefits'!$C$4:$C$857,MATCH(BC889,'Avoided Cost Benefits'!$A$4:$A$857,0)))*F889</f>
        <v>16.937314263938447</v>
      </c>
      <c r="BE889" s="73">
        <f t="shared" si="114"/>
        <v>0</v>
      </c>
    </row>
    <row r="890" spans="2:57" x14ac:dyDescent="0.25">
      <c r="B890" s="1359"/>
      <c r="C890" s="1658" t="s">
        <v>1899</v>
      </c>
      <c r="D890" s="1658" t="s">
        <v>1521</v>
      </c>
      <c r="E890" s="742" t="str">
        <f>CONCATENATE(E888,"_CompE")</f>
        <v>Setback thermostat - full setback - elec furnace heating / central AC MF_CompE</v>
      </c>
      <c r="F890" s="1659">
        <f>ROUND($F$917*$F$920*1/$F$926*$F$927*$F$928*$F$929/1000,2)</f>
        <v>146.46</v>
      </c>
      <c r="G890" s="1658" t="s">
        <v>690</v>
      </c>
      <c r="H890" s="202">
        <f>VLOOKUP(G890,'CP FACTORS'!$A$3:$B$38, 2, FALSE)</f>
        <v>9.4741810000000004E-4</v>
      </c>
      <c r="I890" s="1733">
        <f t="shared" si="112"/>
        <v>0.13875899999999999</v>
      </c>
      <c r="J890" s="1414">
        <f t="shared" si="111"/>
        <v>10</v>
      </c>
      <c r="K890" s="1415">
        <f>$F$960</f>
        <v>70</v>
      </c>
      <c r="L890" s="1658" t="s">
        <v>37</v>
      </c>
      <c r="R890" s="1627"/>
      <c r="V890" s="208" t="str">
        <f t="shared" si="115"/>
        <v>kWh Annual Savings</v>
      </c>
      <c r="W890" s="486"/>
      <c r="X890" s="487"/>
      <c r="Y890" s="754">
        <v>146.46</v>
      </c>
      <c r="Z890" s="651">
        <v>146.46</v>
      </c>
      <c r="AA890" s="651">
        <v>146.46</v>
      </c>
      <c r="AB890" s="651">
        <v>146.46</v>
      </c>
      <c r="AC890" s="208"/>
      <c r="AD890" s="208"/>
      <c r="AE890" s="208"/>
      <c r="AF890" s="208"/>
      <c r="AG890" s="208"/>
      <c r="AH890" s="211"/>
      <c r="AK890" s="982"/>
      <c r="BB890" s="71">
        <f>(BD890+BD891)/(BE890+BE891)</f>
        <v>2.3585730136714829</v>
      </c>
      <c r="BC890" s="1011" t="str">
        <f>CONCATENATE(G890," ",J890," Year EUL")</f>
        <v>Cooling RES 10 Year EUL</v>
      </c>
      <c r="BD890" s="148">
        <f>(INDEX('Avoided Cost Benefits'!$C$4:$C$857,MATCH(BC890,'Avoided Cost Benefits'!$A$4:$A$857,0)))*F890</f>
        <v>150.05393238547231</v>
      </c>
      <c r="BE890" s="73">
        <f>K890/(1.0595^(2020-2019))</f>
        <v>66.068900424728639</v>
      </c>
    </row>
    <row r="891" spans="2:57" x14ac:dyDescent="0.25">
      <c r="B891" s="1359"/>
      <c r="C891" s="1658" t="s">
        <v>1899</v>
      </c>
      <c r="D891" s="1658" t="s">
        <v>1521</v>
      </c>
      <c r="E891" s="750" t="str">
        <f>CONCATENATE(E889,"_CompE")</f>
        <v>Setback thermostat - full setback - elec furnace heating / central AC MF_CompE</v>
      </c>
      <c r="F891" s="1659">
        <f>ROUND($F$932*$F$939*$F$942*(1/$F$950)*$F$956*$F$957*$F$958/1000,2)</f>
        <v>21.25</v>
      </c>
      <c r="G891" s="1658" t="s">
        <v>691</v>
      </c>
      <c r="H891" s="202">
        <f>VLOOKUP(G891,'CP FACTORS'!$A$3:$B$38, 2, FALSE)</f>
        <v>0</v>
      </c>
      <c r="I891" s="1733">
        <f t="shared" si="112"/>
        <v>0</v>
      </c>
      <c r="J891" s="1414">
        <f t="shared" si="111"/>
        <v>10</v>
      </c>
      <c r="K891" s="1415">
        <v>0</v>
      </c>
      <c r="L891" s="1658" t="s">
        <v>37</v>
      </c>
      <c r="R891" s="1627"/>
      <c r="V891" s="208" t="str">
        <f t="shared" si="115"/>
        <v>kWh Annual Savings</v>
      </c>
      <c r="W891" s="486"/>
      <c r="X891" s="487"/>
      <c r="Y891" s="754">
        <v>21.25</v>
      </c>
      <c r="Z891" s="651">
        <v>21.25</v>
      </c>
      <c r="AA891" s="651">
        <v>21.25</v>
      </c>
      <c r="AB891" s="651">
        <v>21.25</v>
      </c>
      <c r="AC891" s="208"/>
      <c r="AD891" s="208"/>
      <c r="AE891" s="208"/>
      <c r="AF891" s="208"/>
      <c r="AG891" s="208"/>
      <c r="AH891" s="211"/>
      <c r="AK891" s="982"/>
      <c r="BB891" s="1087"/>
      <c r="BC891" s="1104" t="str">
        <f>CONCATENATE(G891," ",J891," Year EUL")</f>
        <v>Heating RES 10 Year EUL</v>
      </c>
      <c r="BD891" s="148">
        <f>(INDEX('Avoided Cost Benefits'!$C$4:$C$857,MATCH(BC891,'Avoided Cost Benefits'!$A$4:$A$857,0)))*F891</f>
        <v>5.7743931992410076</v>
      </c>
      <c r="BE891" s="73">
        <f>K891/(1.0595^(2020-2019))</f>
        <v>0</v>
      </c>
    </row>
    <row r="892" spans="2:57" x14ac:dyDescent="0.25">
      <c r="B892" s="1359"/>
      <c r="C892" s="1658" t="s">
        <v>1900</v>
      </c>
      <c r="D892" s="1658" t="s">
        <v>1515</v>
      </c>
      <c r="E892" s="1921" t="s">
        <v>1901</v>
      </c>
      <c r="F892" s="1659">
        <f>ROUND(F916*F921*1/F$926*F$927*F$928*F$929/1000,2)</f>
        <v>358.2</v>
      </c>
      <c r="G892" s="1658" t="s">
        <v>690</v>
      </c>
      <c r="H892" s="202">
        <f>VLOOKUP(G892,'CP FACTORS'!$A$3:$B$38, 2, FALSE)</f>
        <v>9.4741810000000004E-4</v>
      </c>
      <c r="I892" s="1733">
        <f t="shared" si="112"/>
        <v>0.33936500000000003</v>
      </c>
      <c r="J892" s="1414">
        <f t="shared" si="111"/>
        <v>10</v>
      </c>
      <c r="K892" s="1415">
        <f>$F$960</f>
        <v>70</v>
      </c>
      <c r="L892" s="1658" t="s">
        <v>37</v>
      </c>
      <c r="R892" s="1627"/>
      <c r="V892" s="208" t="str">
        <f t="shared" si="115"/>
        <v>kWh Annual Savings</v>
      </c>
      <c r="W892" s="486">
        <v>157.60714909090908</v>
      </c>
      <c r="X892" s="487">
        <v>750.57839999999999</v>
      </c>
      <c r="Y892" s="754">
        <v>358.2</v>
      </c>
      <c r="Z892" s="651">
        <v>358.2</v>
      </c>
      <c r="AA892" s="651">
        <v>358.2</v>
      </c>
      <c r="AB892" s="651">
        <v>358.2</v>
      </c>
      <c r="AC892" s="208"/>
      <c r="AD892" s="208"/>
      <c r="AE892" s="208"/>
      <c r="AF892" s="208"/>
      <c r="AG892" s="208"/>
      <c r="AH892" s="211"/>
      <c r="AK892" s="982"/>
      <c r="BB892" s="71">
        <f>(BD892+BD893)/(BE892+BE893)</f>
        <v>6.1659553896207528</v>
      </c>
      <c r="BC892" s="1011" t="str">
        <f t="shared" si="113"/>
        <v>Cooling RES 10 Year EUL</v>
      </c>
      <c r="BD892" s="148">
        <f>(INDEX('Avoided Cost Benefits'!$C$4:$C$857,MATCH(BC892,'Avoided Cost Benefits'!$A$4:$A$857,0)))*F892</f>
        <v>366.98974860355167</v>
      </c>
      <c r="BE892" s="73">
        <f t="shared" si="114"/>
        <v>66.068900424728639</v>
      </c>
    </row>
    <row r="893" spans="2:57" x14ac:dyDescent="0.25">
      <c r="B893" s="1359"/>
      <c r="C893" s="1658" t="s">
        <v>1900</v>
      </c>
      <c r="D893" s="1658" t="s">
        <v>1515</v>
      </c>
      <c r="E893" s="1922" t="s">
        <v>1901</v>
      </c>
      <c r="F893" s="1659">
        <f>ROUND(F933*F938*F943*(1/F951)*F$956*F$957*F$958/1000,2)</f>
        <v>148.63</v>
      </c>
      <c r="G893" s="1658" t="s">
        <v>691</v>
      </c>
      <c r="H893" s="202">
        <f>VLOOKUP(G893,'CP FACTORS'!$A$3:$B$38, 2, FALSE)</f>
        <v>0</v>
      </c>
      <c r="I893" s="1733">
        <f t="shared" si="112"/>
        <v>0</v>
      </c>
      <c r="J893" s="1414">
        <f t="shared" si="111"/>
        <v>10</v>
      </c>
      <c r="K893" s="1415">
        <v>0</v>
      </c>
      <c r="L893" s="1658" t="s">
        <v>37</v>
      </c>
      <c r="R893" s="1627"/>
      <c r="V893" s="208" t="str">
        <f t="shared" si="115"/>
        <v>kWh Annual Savings</v>
      </c>
      <c r="W893" s="486">
        <v>886.55723520000015</v>
      </c>
      <c r="X893" s="487">
        <v>230.64007463068151</v>
      </c>
      <c r="Y893" s="754">
        <v>148.63</v>
      </c>
      <c r="Z893" s="651">
        <v>148.63</v>
      </c>
      <c r="AA893" s="651">
        <v>148.63</v>
      </c>
      <c r="AB893" s="651">
        <v>148.63</v>
      </c>
      <c r="AC893" s="208"/>
      <c r="AD893" s="208"/>
      <c r="AE893" s="208"/>
      <c r="AF893" s="208"/>
      <c r="AG893" s="208"/>
      <c r="AH893" s="211"/>
      <c r="AK893" s="982"/>
      <c r="BB893" s="1087"/>
      <c r="BC893" s="1104" t="str">
        <f t="shared" si="113"/>
        <v>Heating RES 10 Year EUL</v>
      </c>
      <c r="BD893" s="148">
        <f>(INDEX('Avoided Cost Benefits'!$C$4:$C$857,MATCH(BC893,'Avoided Cost Benefits'!$A$4:$A$857,0)))*F893</f>
        <v>40.388144056620746</v>
      </c>
      <c r="BE893" s="73">
        <f t="shared" si="114"/>
        <v>0</v>
      </c>
    </row>
    <row r="894" spans="2:57" x14ac:dyDescent="0.25">
      <c r="B894" s="1359"/>
      <c r="C894" s="1658" t="s">
        <v>1902</v>
      </c>
      <c r="D894" s="1658" t="s">
        <v>1518</v>
      </c>
      <c r="E894" s="1921" t="s">
        <v>1903</v>
      </c>
      <c r="F894" s="1659">
        <f>$F$916*$F$922*1/$F$926*$F$927*$F$928*$F$929/1000</f>
        <v>201.38901200000001</v>
      </c>
      <c r="G894" s="1658" t="s">
        <v>690</v>
      </c>
      <c r="H894" s="202">
        <f>VLOOKUP(G894,'CP FACTORS'!$A$3:$B$38, 2, FALSE)</f>
        <v>9.4741810000000004E-4</v>
      </c>
      <c r="I894" s="1733">
        <f t="shared" si="112"/>
        <v>0.1908</v>
      </c>
      <c r="J894" s="1414">
        <f t="shared" si="111"/>
        <v>10</v>
      </c>
      <c r="K894" s="1415">
        <f>$F$960</f>
        <v>70</v>
      </c>
      <c r="L894" s="1658" t="s">
        <v>37</v>
      </c>
      <c r="R894" s="1627"/>
      <c r="V894" s="208" t="str">
        <f t="shared" si="115"/>
        <v>kWh Annual Savings</v>
      </c>
      <c r="W894" s="486">
        <v>102.44464690909089</v>
      </c>
      <c r="X894" s="487">
        <v>439.92233999999996</v>
      </c>
      <c r="Y894" s="754">
        <v>201.38901200000001</v>
      </c>
      <c r="Z894" s="651">
        <v>201.38901200000001</v>
      </c>
      <c r="AA894" s="651">
        <v>201.38901200000001</v>
      </c>
      <c r="AB894" s="651">
        <v>201.38901200000001</v>
      </c>
      <c r="AC894" s="208"/>
      <c r="AD894" s="208"/>
      <c r="AE894" s="208"/>
      <c r="AF894" s="208"/>
      <c r="AG894" s="208"/>
      <c r="AH894" s="211"/>
      <c r="AK894" s="982"/>
      <c r="BB894" s="71">
        <f>(BD894+BD895)/(BE894+BE895)</f>
        <v>3.1229644734417659</v>
      </c>
      <c r="BC894" s="1011" t="str">
        <f t="shared" si="113"/>
        <v>Cooling RES 10 Year EUL</v>
      </c>
      <c r="BD894" s="148">
        <f>(INDEX('Avoided Cost Benefits'!$C$4:$C$857,MATCH(BC894,'Avoided Cost Benefits'!$A$4:$A$857,0)))*F894</f>
        <v>206.33082882578913</v>
      </c>
      <c r="BE894" s="73">
        <f t="shared" si="114"/>
        <v>66.068900424728639</v>
      </c>
    </row>
    <row r="895" spans="2:57" x14ac:dyDescent="0.25">
      <c r="B895" s="1359"/>
      <c r="C895" s="1658" t="s">
        <v>1902</v>
      </c>
      <c r="D895" s="1658" t="s">
        <v>1518</v>
      </c>
      <c r="E895" s="1922" t="s">
        <v>1903</v>
      </c>
      <c r="F895" s="1659">
        <v>0</v>
      </c>
      <c r="G895" s="1658" t="s">
        <v>691</v>
      </c>
      <c r="H895" s="202">
        <f>VLOOKUP(G895,'CP FACTORS'!$A$3:$B$38, 2, FALSE)</f>
        <v>0</v>
      </c>
      <c r="I895" s="1733">
        <f t="shared" si="112"/>
        <v>0</v>
      </c>
      <c r="J895" s="1414">
        <f t="shared" si="111"/>
        <v>10</v>
      </c>
      <c r="K895" s="1415">
        <v>0</v>
      </c>
      <c r="L895" s="1658" t="s">
        <v>37</v>
      </c>
      <c r="R895" s="1627"/>
      <c r="V895" s="208" t="str">
        <f t="shared" si="115"/>
        <v>kWh Annual Savings</v>
      </c>
      <c r="W895" s="486">
        <v>0</v>
      </c>
      <c r="X895" s="487">
        <v>0</v>
      </c>
      <c r="Y895" s="754">
        <v>0</v>
      </c>
      <c r="Z895" s="651">
        <v>0</v>
      </c>
      <c r="AA895" s="651">
        <v>0</v>
      </c>
      <c r="AB895" s="651">
        <v>0</v>
      </c>
      <c r="AC895" s="208"/>
      <c r="AD895" s="208"/>
      <c r="AE895" s="208"/>
      <c r="AF895" s="208"/>
      <c r="AG895" s="208"/>
      <c r="AH895" s="211"/>
      <c r="AK895" s="982"/>
      <c r="BB895" s="1087"/>
      <c r="BC895" s="1104" t="str">
        <f t="shared" si="113"/>
        <v>Heating RES 10 Year EUL</v>
      </c>
      <c r="BD895" s="148">
        <f>(INDEX('Avoided Cost Benefits'!$C$4:$C$857,MATCH(BC895,'Avoided Cost Benefits'!$A$4:$A$857,0)))*F895</f>
        <v>0</v>
      </c>
      <c r="BE895" s="73">
        <f t="shared" si="114"/>
        <v>0</v>
      </c>
    </row>
    <row r="896" spans="2:57" x14ac:dyDescent="0.25">
      <c r="B896" s="1359"/>
      <c r="C896" s="1658" t="s">
        <v>1904</v>
      </c>
      <c r="D896" s="1658" t="s">
        <v>1521</v>
      </c>
      <c r="E896" s="742" t="str">
        <f>CONCATENATE(E894,"_CompE")</f>
        <v>Setback thermostat - full setback - gas heating / central AC MF_CompE</v>
      </c>
      <c r="F896" s="1659">
        <f>$F$917*$F$922*1/$F$926*$F$927*$F$928*$F$929/1000</f>
        <v>146.46473600000002</v>
      </c>
      <c r="G896" s="1658" t="s">
        <v>690</v>
      </c>
      <c r="H896" s="202">
        <f>VLOOKUP(G896,'CP FACTORS'!$A$3:$B$38, 2, FALSE)</f>
        <v>9.4741810000000004E-4</v>
      </c>
      <c r="I896" s="1733">
        <f t="shared" si="112"/>
        <v>0.138763</v>
      </c>
      <c r="J896" s="1414">
        <f t="shared" si="111"/>
        <v>10</v>
      </c>
      <c r="K896" s="1415">
        <f>$F$960</f>
        <v>70</v>
      </c>
      <c r="L896" s="1658" t="s">
        <v>37</v>
      </c>
      <c r="R896" s="1627"/>
      <c r="V896" s="208" t="str">
        <f t="shared" si="115"/>
        <v>kWh Annual Savings</v>
      </c>
      <c r="W896" s="486"/>
      <c r="X896" s="487"/>
      <c r="Y896" s="754">
        <v>146.46473600000002</v>
      </c>
      <c r="Z896" s="651">
        <v>146.46473600000002</v>
      </c>
      <c r="AA896" s="651">
        <v>146.46473600000002</v>
      </c>
      <c r="AB896" s="651">
        <v>146.46473600000002</v>
      </c>
      <c r="AC896" s="208"/>
      <c r="AD896" s="208"/>
      <c r="AE896" s="208"/>
      <c r="AF896" s="208"/>
      <c r="AG896" s="208"/>
      <c r="AH896" s="211"/>
      <c r="AK896" s="982"/>
      <c r="BB896" s="71">
        <f>(BD896+BD897)/(BE896+BE897)</f>
        <v>2.2712468897758296</v>
      </c>
      <c r="BC896" s="1011" t="str">
        <f>CONCATENATE(G896," ",J896," Year EUL")</f>
        <v>Cooling RES 10 Year EUL</v>
      </c>
      <c r="BD896" s="148">
        <f>(INDEX('Avoided Cost Benefits'!$C$4:$C$857,MATCH(BC896,'Avoided Cost Benefits'!$A$4:$A$857,0)))*F896</f>
        <v>150.05878460057392</v>
      </c>
      <c r="BE896" s="73">
        <f>K896/(1.0595^(2020-2019))</f>
        <v>66.068900424728639</v>
      </c>
    </row>
    <row r="897" spans="2:57" x14ac:dyDescent="0.25">
      <c r="B897" s="1359"/>
      <c r="C897" s="1658" t="s">
        <v>1904</v>
      </c>
      <c r="D897" s="1658" t="s">
        <v>1521</v>
      </c>
      <c r="E897" s="750" t="str">
        <f>CONCATENATE(E895,"_CompE")</f>
        <v>Setback thermostat - full setback - gas heating / central AC MF_CompE</v>
      </c>
      <c r="F897" s="1659">
        <v>0</v>
      </c>
      <c r="G897" s="1658" t="s">
        <v>691</v>
      </c>
      <c r="H897" s="202">
        <f>VLOOKUP(G897,'CP FACTORS'!$A$3:$B$38, 2, FALSE)</f>
        <v>0</v>
      </c>
      <c r="I897" s="1733">
        <f t="shared" si="112"/>
        <v>0</v>
      </c>
      <c r="J897" s="1414">
        <f t="shared" si="111"/>
        <v>10</v>
      </c>
      <c r="K897" s="1415">
        <v>0</v>
      </c>
      <c r="L897" s="1658" t="s">
        <v>37</v>
      </c>
      <c r="R897" s="1627"/>
      <c r="V897" s="208" t="str">
        <f t="shared" si="115"/>
        <v>kWh Annual Savings</v>
      </c>
      <c r="W897" s="486"/>
      <c r="X897" s="487"/>
      <c r="Y897" s="754">
        <v>0</v>
      </c>
      <c r="Z897" s="651">
        <v>0</v>
      </c>
      <c r="AA897" s="651">
        <v>0</v>
      </c>
      <c r="AB897" s="651">
        <v>0</v>
      </c>
      <c r="AC897" s="208"/>
      <c r="AD897" s="208"/>
      <c r="AE897" s="208"/>
      <c r="AF897" s="208"/>
      <c r="AG897" s="208"/>
      <c r="AH897" s="211"/>
      <c r="AK897" s="982"/>
      <c r="BB897" s="1087"/>
      <c r="BC897" s="1104" t="str">
        <f>CONCATENATE(G897," ",J897," Year EUL")</f>
        <v>Heating RES 10 Year EUL</v>
      </c>
      <c r="BD897" s="148">
        <f>(INDEX('Avoided Cost Benefits'!$C$4:$C$857,MATCH(BC897,'Avoided Cost Benefits'!$A$4:$A$857,0)))*F897</f>
        <v>0</v>
      </c>
      <c r="BE897" s="73">
        <f>K897/(1.0595^(2020-2019))</f>
        <v>0</v>
      </c>
    </row>
    <row r="898" spans="2:57" x14ac:dyDescent="0.25">
      <c r="B898" s="1359"/>
      <c r="C898" s="1658" t="s">
        <v>1905</v>
      </c>
      <c r="D898" s="1658" t="s">
        <v>1515</v>
      </c>
      <c r="E898" s="1921" t="s">
        <v>1906</v>
      </c>
      <c r="F898" s="1659">
        <f>ROUND(F916*F923*1/F$926*F$927*F$928*F$929/1000,2)</f>
        <v>358.2</v>
      </c>
      <c r="G898" s="1658" t="s">
        <v>690</v>
      </c>
      <c r="H898" s="202">
        <f>VLOOKUP(G898,'CP FACTORS'!$A$3:$B$38, 2, FALSE)</f>
        <v>9.4741810000000004E-4</v>
      </c>
      <c r="I898" s="1733">
        <f t="shared" si="112"/>
        <v>0.33936500000000003</v>
      </c>
      <c r="J898" s="1414">
        <f t="shared" si="111"/>
        <v>10</v>
      </c>
      <c r="K898" s="1415">
        <f>$F$960</f>
        <v>70</v>
      </c>
      <c r="L898" s="1658" t="s">
        <v>37</v>
      </c>
      <c r="R898" s="1627"/>
      <c r="V898" s="208" t="str">
        <f t="shared" si="115"/>
        <v>kWh Annual Savings</v>
      </c>
      <c r="W898" s="486">
        <v>157.60714909090908</v>
      </c>
      <c r="X898" s="487">
        <v>750.57839999999999</v>
      </c>
      <c r="Y898" s="754">
        <v>358.2</v>
      </c>
      <c r="Z898" s="651">
        <v>358.2</v>
      </c>
      <c r="AA898" s="651">
        <v>358.2</v>
      </c>
      <c r="AB898" s="651">
        <v>358.2</v>
      </c>
      <c r="AC898" s="208"/>
      <c r="AD898" s="208"/>
      <c r="AE898" s="208"/>
      <c r="AF898" s="208"/>
      <c r="AG898" s="208"/>
      <c r="AH898" s="211"/>
      <c r="AK898" s="982"/>
      <c r="BB898" s="71">
        <f>(BD898+BD899)/(BE898+BE899)</f>
        <v>5.5546519806494716</v>
      </c>
      <c r="BC898" s="1011" t="str">
        <f t="shared" si="113"/>
        <v>Cooling RES 10 Year EUL</v>
      </c>
      <c r="BD898" s="148">
        <f>(INDEX('Avoided Cost Benefits'!$C$4:$C$857,MATCH(BC898,'Avoided Cost Benefits'!$A$4:$A$857,0)))*F898</f>
        <v>366.98974860355167</v>
      </c>
      <c r="BE898" s="73">
        <f t="shared" si="114"/>
        <v>66.068900424728639</v>
      </c>
    </row>
    <row r="899" spans="2:57" x14ac:dyDescent="0.25">
      <c r="B899" s="1359"/>
      <c r="C899" s="1658" t="s">
        <v>1905</v>
      </c>
      <c r="D899" s="1658" t="s">
        <v>1515</v>
      </c>
      <c r="E899" s="1922" t="s">
        <v>1906</v>
      </c>
      <c r="F899" s="1659">
        <v>0</v>
      </c>
      <c r="G899" s="1658" t="s">
        <v>691</v>
      </c>
      <c r="H899" s="202">
        <f>VLOOKUP(G899,'CP FACTORS'!$A$3:$B$38, 2, FALSE)</f>
        <v>0</v>
      </c>
      <c r="I899" s="1733">
        <f t="shared" si="112"/>
        <v>0</v>
      </c>
      <c r="J899" s="1414">
        <f t="shared" si="111"/>
        <v>10</v>
      </c>
      <c r="K899" s="1415">
        <v>0</v>
      </c>
      <c r="L899" s="1658" t="s">
        <v>37</v>
      </c>
      <c r="R899" s="1627"/>
      <c r="V899" s="208" t="str">
        <f t="shared" si="115"/>
        <v>kWh Annual Savings</v>
      </c>
      <c r="W899" s="486">
        <v>0</v>
      </c>
      <c r="X899" s="487">
        <v>0</v>
      </c>
      <c r="Y899" s="754">
        <v>0</v>
      </c>
      <c r="Z899" s="651">
        <v>0</v>
      </c>
      <c r="AA899" s="651">
        <v>0</v>
      </c>
      <c r="AB899" s="651">
        <v>0</v>
      </c>
      <c r="AC899" s="208"/>
      <c r="AD899" s="208"/>
      <c r="AE899" s="208"/>
      <c r="AF899" s="208"/>
      <c r="AG899" s="208"/>
      <c r="AH899" s="211"/>
      <c r="AK899" s="982"/>
      <c r="BB899" s="1087"/>
      <c r="BC899" s="1104" t="str">
        <f t="shared" si="113"/>
        <v>Heating RES 10 Year EUL</v>
      </c>
      <c r="BD899" s="148">
        <f>(INDEX('Avoided Cost Benefits'!$C$4:$C$857,MATCH(BC899,'Avoided Cost Benefits'!$A$4:$A$857,0)))*F899</f>
        <v>0</v>
      </c>
      <c r="BE899" s="73">
        <f t="shared" si="114"/>
        <v>0</v>
      </c>
    </row>
    <row r="900" spans="2:57" x14ac:dyDescent="0.25">
      <c r="B900" s="1359"/>
      <c r="C900" s="1658" t="s">
        <v>1907</v>
      </c>
      <c r="D900" s="1658" t="s">
        <v>1518</v>
      </c>
      <c r="E900" s="1921" t="s">
        <v>1908</v>
      </c>
      <c r="F900" s="1659">
        <f>ROUND($F$916*$F$924*1/$F$926*$F$927*$F$928*$F$929/1000,2)</f>
        <v>201.39</v>
      </c>
      <c r="G900" s="1658" t="s">
        <v>690</v>
      </c>
      <c r="H900" s="202">
        <f>VLOOKUP(G900,'CP FACTORS'!$A$3:$B$38, 2, FALSE)</f>
        <v>9.4741810000000004E-4</v>
      </c>
      <c r="I900" s="1733">
        <f t="shared" si="112"/>
        <v>0.190801</v>
      </c>
      <c r="J900" s="1414">
        <f t="shared" si="111"/>
        <v>10</v>
      </c>
      <c r="K900" s="1415">
        <f>$F$960</f>
        <v>70</v>
      </c>
      <c r="L900" s="1658" t="s">
        <v>37</v>
      </c>
      <c r="R900" s="1627"/>
      <c r="V900" s="208" t="str">
        <f t="shared" si="115"/>
        <v>kWh Annual Savings</v>
      </c>
      <c r="W900" s="486">
        <v>102.44464690909089</v>
      </c>
      <c r="X900" s="487">
        <v>439.92233999999996</v>
      </c>
      <c r="Y900" s="754">
        <v>201.39</v>
      </c>
      <c r="Z900" s="651">
        <v>201.39</v>
      </c>
      <c r="AA900" s="651">
        <v>201.39</v>
      </c>
      <c r="AB900" s="651">
        <v>201.39</v>
      </c>
      <c r="AC900" s="208"/>
      <c r="AD900" s="208"/>
      <c r="AE900" s="208"/>
      <c r="AF900" s="208"/>
      <c r="AG900" s="208"/>
      <c r="AH900" s="211"/>
      <c r="AK900" s="982"/>
      <c r="BB900" s="71">
        <f>(BD900+BD901)/(BE900+BE901)</f>
        <v>3.1866889366792432</v>
      </c>
      <c r="BC900" s="1011" t="str">
        <f t="shared" si="113"/>
        <v>Cooling RES 10 Year EUL</v>
      </c>
      <c r="BD900" s="148">
        <f>(INDEX('Avoided Cost Benefits'!$C$4:$C$857,MATCH(BC900,'Avoided Cost Benefits'!$A$4:$A$857,0)))*F900</f>
        <v>206.33184106998681</v>
      </c>
      <c r="BE900" s="73">
        <f t="shared" si="114"/>
        <v>66.068900424728639</v>
      </c>
    </row>
    <row r="901" spans="2:57" x14ac:dyDescent="0.25">
      <c r="B901" s="1359"/>
      <c r="C901" s="1658" t="s">
        <v>1907</v>
      </c>
      <c r="D901" s="1658" t="s">
        <v>1518</v>
      </c>
      <c r="E901" s="1922" t="s">
        <v>1908</v>
      </c>
      <c r="F901" s="1659">
        <f>ROUND($F$936*$F$938*$F$946*(1/$F$954)*$F$956*$F$957*$F$958/1000,2)</f>
        <v>15.49</v>
      </c>
      <c r="G901" s="1658" t="s">
        <v>691</v>
      </c>
      <c r="H901" s="202">
        <f>VLOOKUP(G901,'CP FACTORS'!$A$3:$B$38, 2, FALSE)</f>
        <v>0</v>
      </c>
      <c r="I901" s="1733">
        <f t="shared" si="112"/>
        <v>0</v>
      </c>
      <c r="J901" s="1414">
        <f t="shared" si="111"/>
        <v>10</v>
      </c>
      <c r="K901" s="1415">
        <v>0</v>
      </c>
      <c r="L901" s="1658" t="s">
        <v>37</v>
      </c>
      <c r="R901" s="1627"/>
      <c r="V901" s="208" t="str">
        <f t="shared" si="115"/>
        <v>kWh Annual Savings</v>
      </c>
      <c r="W901" s="486">
        <v>125.36894234037186</v>
      </c>
      <c r="X901" s="487">
        <v>24.940157257477999</v>
      </c>
      <c r="Y901" s="754">
        <v>15.49</v>
      </c>
      <c r="Z901" s="651">
        <v>15.49</v>
      </c>
      <c r="AA901" s="651">
        <v>15.49</v>
      </c>
      <c r="AB901" s="651">
        <v>15.49</v>
      </c>
      <c r="AC901" s="208"/>
      <c r="AD901" s="208"/>
      <c r="AE901" s="208"/>
      <c r="AF901" s="208"/>
      <c r="AG901" s="208"/>
      <c r="AH901" s="211"/>
      <c r="AK901" s="982"/>
      <c r="BB901" s="1087"/>
      <c r="BC901" s="1104" t="str">
        <f t="shared" si="113"/>
        <v>Heating RES 10 Year EUL</v>
      </c>
      <c r="BD901" s="148">
        <f>(INDEX('Avoided Cost Benefits'!$C$4:$C$857,MATCH(BC901,'Avoided Cost Benefits'!$A$4:$A$857,0)))*F901</f>
        <v>4.2091929720585037</v>
      </c>
      <c r="BE901" s="73">
        <f t="shared" si="114"/>
        <v>0</v>
      </c>
    </row>
    <row r="902" spans="2:57" x14ac:dyDescent="0.25">
      <c r="B902" s="1359"/>
      <c r="C902" s="1658" t="s">
        <v>1909</v>
      </c>
      <c r="D902" s="1658" t="s">
        <v>1518</v>
      </c>
      <c r="E902" s="742" t="str">
        <f>CONCATENATE(E900,"_CompE")</f>
        <v>Setback thermostat - full setback - Unknown MF_CompE</v>
      </c>
      <c r="F902" s="1659">
        <f>ROUND($F$917*$F$924*1/$F$926*$F$927*$F$928*$F$929/1000,2)</f>
        <v>146.46</v>
      </c>
      <c r="G902" s="1658" t="s">
        <v>690</v>
      </c>
      <c r="H902" s="202">
        <f>VLOOKUP(G902,'CP FACTORS'!$A$3:$B$38, 2, FALSE)</f>
        <v>9.4741810000000004E-4</v>
      </c>
      <c r="I902" s="1733">
        <f t="shared" si="112"/>
        <v>0.13875899999999999</v>
      </c>
      <c r="J902" s="1414">
        <f t="shared" si="111"/>
        <v>10</v>
      </c>
      <c r="K902" s="1415">
        <f>$F$960</f>
        <v>70</v>
      </c>
      <c r="L902" s="1658" t="s">
        <v>37</v>
      </c>
      <c r="R902" s="1627"/>
      <c r="V902" s="208" t="str">
        <f t="shared" si="115"/>
        <v>kWh Annual Savings</v>
      </c>
      <c r="W902" s="486"/>
      <c r="X902" s="487"/>
      <c r="Y902" s="754">
        <v>146.46</v>
      </c>
      <c r="Z902" s="651">
        <v>146.46</v>
      </c>
      <c r="AA902" s="651">
        <v>146.46</v>
      </c>
      <c r="AB902" s="651">
        <v>146.46</v>
      </c>
      <c r="AC902" s="208"/>
      <c r="AD902" s="208"/>
      <c r="AE902" s="208"/>
      <c r="AF902" s="208"/>
      <c r="AG902" s="208"/>
      <c r="AH902" s="211"/>
      <c r="AK902" s="982"/>
      <c r="BB902" s="71">
        <f>(BD902+BD903)/(BE902+BE903)</f>
        <v>2.2928896695197545</v>
      </c>
      <c r="BC902" s="1011" t="str">
        <f>CONCATENATE(G902," ",J902," Year EUL")</f>
        <v>Cooling RES 10 Year EUL</v>
      </c>
      <c r="BD902" s="148">
        <f>(INDEX('Avoided Cost Benefits'!$C$4:$C$857,MATCH(BC902,'Avoided Cost Benefits'!$A$4:$A$857,0)))*F902</f>
        <v>150.05393238547231</v>
      </c>
      <c r="BE902" s="73">
        <f>K902/(1.0595^(2020-2019))</f>
        <v>66.068900424728639</v>
      </c>
    </row>
    <row r="903" spans="2:57" x14ac:dyDescent="0.25">
      <c r="B903" s="1359"/>
      <c r="C903" s="1658" t="s">
        <v>1909</v>
      </c>
      <c r="D903" s="1658" t="s">
        <v>1518</v>
      </c>
      <c r="E903" s="750" t="str">
        <f>CONCATENATE(E901,"_CompE")</f>
        <v>Setback thermostat - full setback - Unknown MF_CompE</v>
      </c>
      <c r="F903" s="1659">
        <f>ROUND($F$936*$F$939*$F$946*(1/$F$954)*$F$956*$F$957*$F$958/1000,2)</f>
        <v>5.28</v>
      </c>
      <c r="G903" s="1658" t="s">
        <v>691</v>
      </c>
      <c r="H903" s="202">
        <f>VLOOKUP(G903,'CP FACTORS'!$A$3:$B$38, 2, FALSE)</f>
        <v>0</v>
      </c>
      <c r="I903" s="1733">
        <f t="shared" si="112"/>
        <v>0</v>
      </c>
      <c r="J903" s="1414">
        <f t="shared" si="111"/>
        <v>10</v>
      </c>
      <c r="K903" s="1415">
        <v>0</v>
      </c>
      <c r="L903" s="1658" t="s">
        <v>37</v>
      </c>
      <c r="R903" s="1627"/>
      <c r="V903" s="208" t="str">
        <f t="shared" si="115"/>
        <v>kWh Annual Savings</v>
      </c>
      <c r="W903" s="486"/>
      <c r="X903" s="487"/>
      <c r="Y903" s="754">
        <v>5.28</v>
      </c>
      <c r="Z903" s="651">
        <v>5.28</v>
      </c>
      <c r="AA903" s="651">
        <v>5.28</v>
      </c>
      <c r="AB903" s="651">
        <v>5.28</v>
      </c>
      <c r="AC903" s="208"/>
      <c r="AD903" s="208"/>
      <c r="AE903" s="208"/>
      <c r="AF903" s="208"/>
      <c r="AG903" s="208"/>
      <c r="AH903" s="211"/>
      <c r="AK903" s="982"/>
      <c r="BB903" s="1087"/>
      <c r="BC903" s="1104" t="str">
        <f>CONCATENATE(G903," ",J903," Year EUL")</f>
        <v>Heating RES 10 Year EUL</v>
      </c>
      <c r="BD903" s="148">
        <f>(INDEX('Avoided Cost Benefits'!$C$4:$C$857,MATCH(BC903,'Avoided Cost Benefits'!$A$4:$A$857,0)))*F903</f>
        <v>1.434766874917295</v>
      </c>
      <c r="BE903" s="73">
        <f>K903/(1.0595^(2020-2019))</f>
        <v>0</v>
      </c>
    </row>
    <row r="904" spans="2:57" x14ac:dyDescent="0.25">
      <c r="B904" s="1359"/>
      <c r="C904" s="1658" t="s">
        <v>1910</v>
      </c>
      <c r="D904" s="1658" t="s">
        <v>1515</v>
      </c>
      <c r="E904" s="1921" t="s">
        <v>1911</v>
      </c>
      <c r="F904" s="1659">
        <f>ROUND(F916*F925*1/F$926*F$927*F$928*F$929/1000,2)</f>
        <v>358.2</v>
      </c>
      <c r="G904" s="1658" t="s">
        <v>690</v>
      </c>
      <c r="H904" s="202">
        <f>VLOOKUP(G904,'CP FACTORS'!$A$3:$B$38, 2, FALSE)</f>
        <v>9.4741810000000004E-4</v>
      </c>
      <c r="I904" s="1733">
        <f t="shared" si="112"/>
        <v>0.33936500000000003</v>
      </c>
      <c r="J904" s="1414">
        <f t="shared" si="111"/>
        <v>10</v>
      </c>
      <c r="K904" s="1415">
        <f>$F$960</f>
        <v>70</v>
      </c>
      <c r="L904" s="1658" t="s">
        <v>37</v>
      </c>
      <c r="R904" s="1627"/>
      <c r="V904" s="208" t="str">
        <f t="shared" si="115"/>
        <v>kWh Annual Savings</v>
      </c>
      <c r="W904" s="486">
        <v>157.60714909090908</v>
      </c>
      <c r="X904" s="487">
        <v>750.57839999999999</v>
      </c>
      <c r="Y904" s="754">
        <v>358.2</v>
      </c>
      <c r="Z904" s="651">
        <v>358.2</v>
      </c>
      <c r="AA904" s="651">
        <v>358.2</v>
      </c>
      <c r="AB904" s="651">
        <v>358.2</v>
      </c>
      <c r="AC904" s="208"/>
      <c r="AD904" s="208"/>
      <c r="AE904" s="208"/>
      <c r="AF904" s="208"/>
      <c r="AG904" s="208"/>
      <c r="AH904" s="211"/>
      <c r="AK904" s="982"/>
      <c r="BB904" s="71">
        <f>(BD904+BD905)/(BE904+BE905)</f>
        <v>5.6876227080399149</v>
      </c>
      <c r="BC904" s="1011" t="str">
        <f t="shared" si="113"/>
        <v>Cooling RES 10 Year EUL</v>
      </c>
      <c r="BD904" s="148">
        <f>(INDEX('Avoided Cost Benefits'!$C$4:$C$857,MATCH(BC904,'Avoided Cost Benefits'!$A$4:$A$857,0)))*F904</f>
        <v>366.98974860355167</v>
      </c>
      <c r="BE904" s="73">
        <f t="shared" si="114"/>
        <v>66.068900424728639</v>
      </c>
    </row>
    <row r="905" spans="2:57" x14ac:dyDescent="0.25">
      <c r="B905" s="1359"/>
      <c r="C905" s="1658" t="s">
        <v>1910</v>
      </c>
      <c r="D905" s="1658" t="s">
        <v>1515</v>
      </c>
      <c r="E905" s="1922" t="s">
        <v>1911</v>
      </c>
      <c r="F905" s="1659">
        <f>ROUND(F937*F938*F947*(1/F955)*F$956*F$957*F$958/1000,2)</f>
        <v>32.33</v>
      </c>
      <c r="G905" s="1658" t="s">
        <v>691</v>
      </c>
      <c r="H905" s="202">
        <f>VLOOKUP(G905,'CP FACTORS'!$A$3:$B$38, 2, FALSE)</f>
        <v>0</v>
      </c>
      <c r="I905" s="1733">
        <f t="shared" si="112"/>
        <v>0</v>
      </c>
      <c r="J905" s="1414">
        <f t="shared" si="111"/>
        <v>10</v>
      </c>
      <c r="K905" s="1415">
        <v>0</v>
      </c>
      <c r="L905" s="1658" t="s">
        <v>37</v>
      </c>
      <c r="R905" s="1627"/>
      <c r="V905" s="208" t="str">
        <f t="shared" si="115"/>
        <v>kWh Annual Savings</v>
      </c>
      <c r="W905" s="486">
        <v>192.87529590826432</v>
      </c>
      <c r="X905" s="487">
        <v>50.176989004732967</v>
      </c>
      <c r="Y905" s="754">
        <v>32.33</v>
      </c>
      <c r="Z905" s="651">
        <v>32.33</v>
      </c>
      <c r="AA905" s="651">
        <v>32.33</v>
      </c>
      <c r="AB905" s="651">
        <v>32.33</v>
      </c>
      <c r="AC905" s="208"/>
      <c r="AD905" s="208"/>
      <c r="AE905" s="208"/>
      <c r="AF905" s="208"/>
      <c r="AG905" s="208"/>
      <c r="AH905" s="211"/>
      <c r="AK905" s="982"/>
      <c r="BB905" s="1089"/>
      <c r="BC905" s="1104" t="str">
        <f t="shared" si="113"/>
        <v>Heating RES 10 Year EUL</v>
      </c>
      <c r="BD905" s="153">
        <f>(INDEX('Avoided Cost Benefits'!$C$4:$C$857,MATCH(BC905,'Avoided Cost Benefits'!$A$4:$A$857,0)))*F905</f>
        <v>8.7852297473629068</v>
      </c>
      <c r="BE905" s="75">
        <f t="shared" si="114"/>
        <v>0</v>
      </c>
    </row>
    <row r="906" spans="2:57" outlineLevel="1" x14ac:dyDescent="0.25">
      <c r="B906" s="1359"/>
      <c r="C906" s="274"/>
      <c r="F906" s="297"/>
      <c r="AK906" s="982"/>
    </row>
    <row r="907" spans="2:57" ht="18" customHeight="1" outlineLevel="1" x14ac:dyDescent="0.25">
      <c r="B907" s="1359"/>
      <c r="C907" s="302"/>
      <c r="D907" s="222" t="s">
        <v>571</v>
      </c>
      <c r="E907" s="493"/>
      <c r="F907" s="1030"/>
      <c r="G907" s="1030"/>
      <c r="H907" s="1030"/>
      <c r="I907" s="1184"/>
      <c r="J907" s="1184"/>
      <c r="K907" s="1184"/>
      <c r="L907" s="1184"/>
      <c r="AK907" s="982"/>
    </row>
    <row r="908" spans="2:57" outlineLevel="1" x14ac:dyDescent="0.25">
      <c r="B908" s="1359"/>
      <c r="C908" s="316"/>
      <c r="D908" s="493"/>
      <c r="E908" s="493"/>
      <c r="F908" s="1030"/>
      <c r="G908" s="1030"/>
      <c r="H908" s="1030"/>
      <c r="I908" s="1184"/>
      <c r="J908" s="1184"/>
      <c r="K908" s="1184"/>
      <c r="L908" s="1184"/>
      <c r="V908" s="273" t="str">
        <f t="shared" ref="V908:V914" si="116">IF(C906&gt;0,C906," ")</f>
        <v xml:space="preserve"> </v>
      </c>
      <c r="AK908" s="982"/>
    </row>
    <row r="909" spans="2:57" outlineLevel="1" x14ac:dyDescent="0.25">
      <c r="B909" s="1359"/>
      <c r="C909" s="316"/>
      <c r="D909" s="493"/>
      <c r="E909" s="493"/>
      <c r="F909" s="1030"/>
      <c r="G909" s="1030"/>
      <c r="H909" s="1030"/>
      <c r="I909" s="1184"/>
      <c r="J909" s="1184"/>
      <c r="K909" s="1184"/>
      <c r="L909" s="1184"/>
      <c r="V909" s="273" t="str">
        <f t="shared" si="116"/>
        <v xml:space="preserve"> </v>
      </c>
      <c r="AK909" s="982"/>
    </row>
    <row r="910" spans="2:57" outlineLevel="1" x14ac:dyDescent="0.25">
      <c r="B910" s="1359"/>
      <c r="C910" s="317"/>
      <c r="D910" s="493"/>
      <c r="E910" s="493"/>
      <c r="F910" s="1030"/>
      <c r="G910" s="1030"/>
      <c r="H910" s="1030"/>
      <c r="I910" s="1184"/>
      <c r="J910" s="1184"/>
      <c r="K910" s="1184"/>
      <c r="L910" s="1184"/>
      <c r="V910" s="273" t="str">
        <f t="shared" si="116"/>
        <v xml:space="preserve"> </v>
      </c>
      <c r="AK910" s="982"/>
    </row>
    <row r="911" spans="2:57" outlineLevel="1" x14ac:dyDescent="0.25">
      <c r="B911" s="1359"/>
      <c r="C911" s="317"/>
      <c r="D911" s="493"/>
      <c r="E911" s="493"/>
      <c r="F911" s="1030"/>
      <c r="G911" s="1030"/>
      <c r="H911" s="1030"/>
      <c r="I911" s="1184"/>
      <c r="J911" s="1184"/>
      <c r="K911" s="1184"/>
      <c r="L911" s="1184"/>
      <c r="V911" s="273" t="str">
        <f t="shared" si="116"/>
        <v xml:space="preserve"> </v>
      </c>
      <c r="AK911" s="982"/>
    </row>
    <row r="912" spans="2:57" outlineLevel="1" x14ac:dyDescent="0.25">
      <c r="B912" s="1359"/>
      <c r="C912" s="317"/>
      <c r="D912" s="493"/>
      <c r="E912" s="493"/>
      <c r="F912" s="1030"/>
      <c r="G912" s="1030"/>
      <c r="H912" s="1030"/>
      <c r="I912" s="1184"/>
      <c r="J912" s="1184"/>
      <c r="K912" s="1184"/>
      <c r="L912" s="1184"/>
      <c r="V912" s="273" t="str">
        <f t="shared" si="116"/>
        <v xml:space="preserve"> </v>
      </c>
      <c r="AK912" s="982"/>
    </row>
    <row r="913" spans="2:37" ht="15" customHeight="1" outlineLevel="1" x14ac:dyDescent="0.25">
      <c r="B913" s="1359"/>
      <c r="C913" s="317"/>
      <c r="D913" s="493"/>
      <c r="E913" s="493"/>
      <c r="F913" s="1030"/>
      <c r="G913" s="1030"/>
      <c r="H913" s="1030"/>
      <c r="I913" s="1184"/>
      <c r="J913" s="1184"/>
      <c r="K913" s="1184"/>
      <c r="L913" s="1184"/>
      <c r="V913" s="273" t="str">
        <f t="shared" si="116"/>
        <v xml:space="preserve"> </v>
      </c>
      <c r="AK913" s="982"/>
    </row>
    <row r="914" spans="2:37" outlineLevel="1" x14ac:dyDescent="0.25">
      <c r="B914" s="1359"/>
      <c r="C914" s="274"/>
      <c r="D914" s="492"/>
      <c r="E914" s="492"/>
      <c r="F914" s="1012"/>
      <c r="G914" s="1012"/>
      <c r="H914" s="1012"/>
      <c r="V914" s="273" t="str">
        <f t="shared" si="116"/>
        <v xml:space="preserve"> </v>
      </c>
      <c r="AK914" s="982"/>
    </row>
    <row r="915" spans="2:37" outlineLevel="1" x14ac:dyDescent="0.25">
      <c r="B915" s="1359"/>
      <c r="C915" s="274"/>
      <c r="D915" s="1456" t="s">
        <v>572</v>
      </c>
      <c r="E915" s="1456" t="s">
        <v>573</v>
      </c>
      <c r="F915" s="1409" t="s">
        <v>574</v>
      </c>
      <c r="G915" s="1409" t="s">
        <v>624</v>
      </c>
      <c r="H915" s="1409" t="s">
        <v>713</v>
      </c>
      <c r="V915" s="55" t="s">
        <v>27</v>
      </c>
      <c r="W915" s="56">
        <f>W$6</f>
        <v>43252</v>
      </c>
      <c r="X915" s="56">
        <f t="shared" ref="X915:AG915" si="117">X$6</f>
        <v>43465</v>
      </c>
      <c r="Y915" s="420">
        <f t="shared" si="117"/>
        <v>43800</v>
      </c>
      <c r="Z915" s="56">
        <f t="shared" si="117"/>
        <v>43862</v>
      </c>
      <c r="AA915" s="56">
        <f t="shared" si="117"/>
        <v>44013</v>
      </c>
      <c r="AB915" s="56">
        <f t="shared" si="117"/>
        <v>44166</v>
      </c>
      <c r="AC915" s="56" t="str">
        <f t="shared" si="117"/>
        <v>-</v>
      </c>
      <c r="AD915" s="56" t="str">
        <f t="shared" si="117"/>
        <v>-</v>
      </c>
      <c r="AE915" s="56" t="str">
        <f t="shared" si="117"/>
        <v>-</v>
      </c>
      <c r="AF915" s="56" t="str">
        <f t="shared" si="117"/>
        <v>-</v>
      </c>
      <c r="AG915" s="56" t="str">
        <f t="shared" si="117"/>
        <v>-</v>
      </c>
      <c r="AK915" s="982"/>
    </row>
    <row r="916" spans="2:37" outlineLevel="1" x14ac:dyDescent="0.25">
      <c r="B916" s="1359"/>
      <c r="C916" s="274"/>
      <c r="D916" s="3953" t="s">
        <v>1804</v>
      </c>
      <c r="E916" s="1090" t="s">
        <v>735</v>
      </c>
      <c r="F916" s="1051">
        <v>869</v>
      </c>
      <c r="G916" s="1457" t="s">
        <v>1290</v>
      </c>
      <c r="H916" s="1091"/>
      <c r="V916" s="3841" t="str">
        <f>D916</f>
        <v>EFLHcool</v>
      </c>
      <c r="W916" s="1003">
        <v>1215</v>
      </c>
      <c r="X916" s="1033">
        <v>1215</v>
      </c>
      <c r="Y916" s="1033">
        <v>869</v>
      </c>
      <c r="Z916" s="1051">
        <v>869</v>
      </c>
      <c r="AA916" s="1051">
        <v>869</v>
      </c>
      <c r="AB916" s="1051">
        <v>869</v>
      </c>
      <c r="AC916" s="1003"/>
      <c r="AD916" s="1003"/>
      <c r="AE916" s="1003"/>
      <c r="AF916" s="1003"/>
      <c r="AG916" s="1003"/>
      <c r="AK916" s="982"/>
    </row>
    <row r="917" spans="2:37" ht="23.25" customHeight="1" outlineLevel="1" x14ac:dyDescent="0.25">
      <c r="B917" s="1359"/>
      <c r="C917" s="274"/>
      <c r="D917" s="3548"/>
      <c r="E917" s="1090" t="s">
        <v>888</v>
      </c>
      <c r="F917" s="1051">
        <v>632</v>
      </c>
      <c r="G917" s="1457" t="s">
        <v>1290</v>
      </c>
      <c r="H917" s="1091"/>
      <c r="V917" s="3842"/>
      <c r="W917" s="1003"/>
      <c r="X917" s="1033"/>
      <c r="Y917" s="1045">
        <v>632</v>
      </c>
      <c r="Z917" s="1051">
        <v>632</v>
      </c>
      <c r="AA917" s="1051">
        <v>632</v>
      </c>
      <c r="AB917" s="1051">
        <v>632</v>
      </c>
      <c r="AC917" s="1003"/>
      <c r="AD917" s="1003"/>
      <c r="AE917" s="1003"/>
      <c r="AF917" s="1003"/>
      <c r="AG917" s="1003"/>
      <c r="AK917" s="982"/>
    </row>
    <row r="918" spans="2:37" ht="30" outlineLevel="1" x14ac:dyDescent="0.25">
      <c r="B918" s="1359"/>
      <c r="C918" s="274"/>
      <c r="D918" s="3953" t="s">
        <v>3840</v>
      </c>
      <c r="E918" s="1090" t="s">
        <v>1893</v>
      </c>
      <c r="F918" s="2997">
        <v>20240</v>
      </c>
      <c r="G918" s="1280" t="s">
        <v>1912</v>
      </c>
      <c r="H918" s="1091"/>
      <c r="V918" s="3841" t="str">
        <f>D918</f>
        <v>CapacityCooling</v>
      </c>
      <c r="W918" s="1003">
        <f>0.65*36000</f>
        <v>23400</v>
      </c>
      <c r="X918" s="1045">
        <v>21100</v>
      </c>
      <c r="Y918" s="1032">
        <v>20240</v>
      </c>
      <c r="Z918" s="1321">
        <v>20240</v>
      </c>
      <c r="AA918" s="1321">
        <v>20240</v>
      </c>
      <c r="AB918" s="1321">
        <v>20240</v>
      </c>
      <c r="AC918" s="1021"/>
      <c r="AD918" s="1021"/>
      <c r="AE918" s="1021"/>
      <c r="AF918" s="1021"/>
      <c r="AG918" s="1021"/>
      <c r="AK918" s="982"/>
    </row>
    <row r="919" spans="2:37" outlineLevel="1" x14ac:dyDescent="0.25">
      <c r="B919" s="1359"/>
      <c r="C919" s="274"/>
      <c r="D919" s="3548"/>
      <c r="E919" s="1090" t="s">
        <v>1896</v>
      </c>
      <c r="F919" s="2998">
        <v>36000</v>
      </c>
      <c r="G919" s="1189" t="s">
        <v>714</v>
      </c>
      <c r="H919" s="1091"/>
      <c r="V919" s="3842"/>
      <c r="W919" s="1003">
        <v>36000</v>
      </c>
      <c r="X919" s="1033">
        <v>36000</v>
      </c>
      <c r="Y919" s="1033">
        <v>36000</v>
      </c>
      <c r="Z919" s="1051">
        <v>36000</v>
      </c>
      <c r="AA919" s="1051">
        <v>36000</v>
      </c>
      <c r="AB919" s="1051">
        <v>36000</v>
      </c>
      <c r="AC919" s="1021"/>
      <c r="AD919" s="1021"/>
      <c r="AE919" s="1021"/>
      <c r="AF919" s="1021"/>
      <c r="AG919" s="1021"/>
      <c r="AK919" s="982"/>
    </row>
    <row r="920" spans="2:37" ht="30" outlineLevel="1" x14ac:dyDescent="0.25">
      <c r="B920" s="1359"/>
      <c r="C920" s="274"/>
      <c r="D920" s="3548"/>
      <c r="E920" s="324" t="s">
        <v>1898</v>
      </c>
      <c r="F920" s="2997">
        <v>20240</v>
      </c>
      <c r="G920" s="1280" t="s">
        <v>1912</v>
      </c>
      <c r="H920" s="1091"/>
      <c r="V920" s="3842"/>
      <c r="W920" s="1003">
        <f>0.65*36000</f>
        <v>23400</v>
      </c>
      <c r="X920" s="1045">
        <v>21100</v>
      </c>
      <c r="Y920" s="1032">
        <v>20240</v>
      </c>
      <c r="Z920" s="1321">
        <v>20240</v>
      </c>
      <c r="AA920" s="1321">
        <v>20240</v>
      </c>
      <c r="AB920" s="1321">
        <v>20240</v>
      </c>
      <c r="AC920" s="1021"/>
      <c r="AD920" s="1021"/>
      <c r="AE920" s="1021"/>
      <c r="AF920" s="1021"/>
      <c r="AG920" s="1021"/>
      <c r="AK920" s="982"/>
    </row>
    <row r="921" spans="2:37" outlineLevel="1" x14ac:dyDescent="0.25">
      <c r="B921" s="1359"/>
      <c r="C921" s="274"/>
      <c r="D921" s="3548"/>
      <c r="E921" s="324" t="s">
        <v>1901</v>
      </c>
      <c r="F921" s="2998">
        <v>36000</v>
      </c>
      <c r="G921" s="1189" t="s">
        <v>714</v>
      </c>
      <c r="H921" s="1091"/>
      <c r="V921" s="3842"/>
      <c r="W921" s="1003">
        <v>36000</v>
      </c>
      <c r="X921" s="1033">
        <v>36000</v>
      </c>
      <c r="Y921" s="1033">
        <v>36000</v>
      </c>
      <c r="Z921" s="1051">
        <v>36000</v>
      </c>
      <c r="AA921" s="1051">
        <v>36000</v>
      </c>
      <c r="AB921" s="1051">
        <v>36000</v>
      </c>
      <c r="AC921" s="1021"/>
      <c r="AD921" s="1021"/>
      <c r="AE921" s="1021"/>
      <c r="AF921" s="1021"/>
      <c r="AG921" s="1021"/>
      <c r="AK921" s="982"/>
    </row>
    <row r="922" spans="2:37" ht="30" outlineLevel="1" x14ac:dyDescent="0.25">
      <c r="B922" s="1359"/>
      <c r="C922" s="274"/>
      <c r="D922" s="3548"/>
      <c r="E922" s="324" t="s">
        <v>1903</v>
      </c>
      <c r="F922" s="2997">
        <v>20240</v>
      </c>
      <c r="G922" s="1280" t="s">
        <v>1912</v>
      </c>
      <c r="H922" s="1091"/>
      <c r="V922" s="3842"/>
      <c r="W922" s="1003">
        <f>0.65*36000</f>
        <v>23400</v>
      </c>
      <c r="X922" s="1045">
        <v>21100</v>
      </c>
      <c r="Y922" s="1032">
        <v>20240</v>
      </c>
      <c r="Z922" s="1321">
        <v>20240</v>
      </c>
      <c r="AA922" s="1321">
        <v>20240</v>
      </c>
      <c r="AB922" s="1321">
        <v>20240</v>
      </c>
      <c r="AC922" s="1021"/>
      <c r="AD922" s="1021"/>
      <c r="AE922" s="1021"/>
      <c r="AF922" s="1021"/>
      <c r="AG922" s="1021"/>
      <c r="AK922" s="982"/>
    </row>
    <row r="923" spans="2:37" outlineLevel="1" x14ac:dyDescent="0.25">
      <c r="B923" s="1359"/>
      <c r="C923" s="274"/>
      <c r="D923" s="3548"/>
      <c r="E923" s="324" t="s">
        <v>1906</v>
      </c>
      <c r="F923" s="2998">
        <v>36000</v>
      </c>
      <c r="G923" s="1189" t="s">
        <v>714</v>
      </c>
      <c r="H923" s="1091"/>
      <c r="V923" s="3842"/>
      <c r="W923" s="1003">
        <v>36000</v>
      </c>
      <c r="X923" s="1033">
        <v>36000</v>
      </c>
      <c r="Y923" s="1033">
        <v>36000</v>
      </c>
      <c r="Z923" s="1051">
        <v>36000</v>
      </c>
      <c r="AA923" s="1051">
        <v>36000</v>
      </c>
      <c r="AB923" s="1051">
        <v>36000</v>
      </c>
      <c r="AC923" s="1021"/>
      <c r="AD923" s="1021"/>
      <c r="AE923" s="1021"/>
      <c r="AF923" s="1021"/>
      <c r="AG923" s="1021"/>
      <c r="AK923" s="982"/>
    </row>
    <row r="924" spans="2:37" ht="30" outlineLevel="1" x14ac:dyDescent="0.25">
      <c r="B924" s="1359"/>
      <c r="C924" s="274"/>
      <c r="D924" s="3548"/>
      <c r="E924" s="1090" t="s">
        <v>1908</v>
      </c>
      <c r="F924" s="2997">
        <v>20240</v>
      </c>
      <c r="G924" s="1280" t="s">
        <v>1912</v>
      </c>
      <c r="H924" s="1091"/>
      <c r="V924" s="3842"/>
      <c r="W924" s="1003">
        <f>0.65*36000</f>
        <v>23400</v>
      </c>
      <c r="X924" s="1045">
        <v>21100</v>
      </c>
      <c r="Y924" s="1032">
        <v>20240</v>
      </c>
      <c r="Z924" s="1321">
        <v>20240</v>
      </c>
      <c r="AA924" s="1321">
        <v>20240</v>
      </c>
      <c r="AB924" s="1321">
        <v>20240</v>
      </c>
      <c r="AC924" s="1021"/>
      <c r="AD924" s="1021"/>
      <c r="AE924" s="1021"/>
      <c r="AF924" s="1021"/>
      <c r="AG924" s="1021"/>
      <c r="AK924" s="982"/>
    </row>
    <row r="925" spans="2:37" outlineLevel="1" x14ac:dyDescent="0.25">
      <c r="B925" s="1359"/>
      <c r="C925" s="274"/>
      <c r="D925" s="3895"/>
      <c r="E925" s="1090" t="s">
        <v>1911</v>
      </c>
      <c r="F925" s="2998">
        <v>36000</v>
      </c>
      <c r="G925" s="1189" t="s">
        <v>714</v>
      </c>
      <c r="H925" s="1091"/>
      <c r="V925" s="3847"/>
      <c r="W925" s="1003">
        <v>36000</v>
      </c>
      <c r="X925" s="1033">
        <v>36000</v>
      </c>
      <c r="Y925" s="1033">
        <v>36000</v>
      </c>
      <c r="Z925" s="1051">
        <v>36000</v>
      </c>
      <c r="AA925" s="1051">
        <v>36000</v>
      </c>
      <c r="AB925" s="1051">
        <v>36000</v>
      </c>
      <c r="AC925" s="1021"/>
      <c r="AD925" s="1021"/>
      <c r="AE925" s="1021"/>
      <c r="AF925" s="1021"/>
      <c r="AG925" s="1021"/>
      <c r="AK925" s="982"/>
    </row>
    <row r="926" spans="2:37" ht="60" outlineLevel="1" x14ac:dyDescent="0.25">
      <c r="B926" s="1359"/>
      <c r="C926" s="274"/>
      <c r="D926" s="3086" t="s">
        <v>745</v>
      </c>
      <c r="E926" s="1090" t="s">
        <v>591</v>
      </c>
      <c r="F926" s="1051">
        <v>10</v>
      </c>
      <c r="G926" s="1314" t="s">
        <v>1913</v>
      </c>
      <c r="H926" s="1436" t="s">
        <v>717</v>
      </c>
      <c r="V926" s="1019" t="str">
        <f>D926</f>
        <v>SEER</v>
      </c>
      <c r="W926" s="1003">
        <v>11</v>
      </c>
      <c r="X926" s="1045">
        <v>10</v>
      </c>
      <c r="Y926" s="1051">
        <v>10</v>
      </c>
      <c r="Z926" s="1051">
        <v>10</v>
      </c>
      <c r="AA926" s="1051">
        <v>10</v>
      </c>
      <c r="AB926" s="1051">
        <v>10</v>
      </c>
      <c r="AC926" s="1003"/>
      <c r="AD926" s="1003"/>
      <c r="AE926" s="1003"/>
      <c r="AF926" s="1003"/>
      <c r="AG926" s="1003"/>
      <c r="AK926" s="982"/>
    </row>
    <row r="927" spans="2:37" ht="45" outlineLevel="1" x14ac:dyDescent="0.25">
      <c r="B927" s="1359"/>
      <c r="C927" s="274"/>
      <c r="D927" s="3086" t="s">
        <v>3841</v>
      </c>
      <c r="E927" s="1090" t="s">
        <v>591</v>
      </c>
      <c r="F927" s="1185">
        <v>1.9083333333333337</v>
      </c>
      <c r="G927" s="1189" t="s">
        <v>1914</v>
      </c>
      <c r="H927" s="1091"/>
      <c r="V927" s="1019" t="str">
        <f>D927</f>
        <v>Sbdegreescooling</v>
      </c>
      <c r="W927" s="1021">
        <v>3.67</v>
      </c>
      <c r="X927" s="1185">
        <v>3.67</v>
      </c>
      <c r="Y927" s="1036">
        <v>1.9083333333333337</v>
      </c>
      <c r="Z927" s="1185">
        <v>1.9083333333333337</v>
      </c>
      <c r="AA927" s="1185">
        <v>1.9083333333333337</v>
      </c>
      <c r="AB927" s="1185">
        <v>1.9083333333333337</v>
      </c>
      <c r="AC927" s="1021"/>
      <c r="AD927" s="1021"/>
      <c r="AE927" s="1021"/>
      <c r="AF927" s="1021"/>
      <c r="AG927" s="1021"/>
      <c r="AK927" s="982"/>
    </row>
    <row r="928" spans="2:37" ht="30" outlineLevel="1" x14ac:dyDescent="0.25">
      <c r="B928" s="1359"/>
      <c r="C928" s="274"/>
      <c r="D928" s="3086" t="s">
        <v>3842</v>
      </c>
      <c r="E928" s="1090" t="s">
        <v>591</v>
      </c>
      <c r="F928" s="673">
        <v>0.06</v>
      </c>
      <c r="G928" s="1189" t="s">
        <v>1915</v>
      </c>
      <c r="H928" s="1091"/>
      <c r="V928" s="1019" t="str">
        <f>D928</f>
        <v>SFcooling</v>
      </c>
      <c r="W928" s="1017">
        <v>0.06</v>
      </c>
      <c r="X928" s="1034">
        <v>0.06</v>
      </c>
      <c r="Y928" s="672">
        <v>0.06</v>
      </c>
      <c r="Z928" s="673">
        <v>0.06</v>
      </c>
      <c r="AA928" s="673">
        <v>0.06</v>
      </c>
      <c r="AB928" s="673">
        <v>0.06</v>
      </c>
      <c r="AC928" s="1017"/>
      <c r="AD928" s="1017"/>
      <c r="AE928" s="1017"/>
      <c r="AF928" s="1017"/>
      <c r="AG928" s="1017"/>
      <c r="AK928" s="982"/>
    </row>
    <row r="929" spans="2:37" ht="30" outlineLevel="1" x14ac:dyDescent="0.25">
      <c r="B929" s="1359"/>
      <c r="C929" s="274"/>
      <c r="D929" s="3086" t="s">
        <v>3843</v>
      </c>
      <c r="E929" s="1090" t="s">
        <v>591</v>
      </c>
      <c r="F929" s="673">
        <v>1</v>
      </c>
      <c r="G929" s="1280" t="s">
        <v>1916</v>
      </c>
      <c r="H929" s="1090"/>
      <c r="V929" s="1019" t="str">
        <f>D929</f>
        <v>EFcooling</v>
      </c>
      <c r="W929" s="1017">
        <v>0.18</v>
      </c>
      <c r="X929" s="672">
        <v>1</v>
      </c>
      <c r="Y929" s="673">
        <v>1</v>
      </c>
      <c r="Z929" s="673">
        <v>1</v>
      </c>
      <c r="AA929" s="673">
        <v>1</v>
      </c>
      <c r="AB929" s="673">
        <v>1</v>
      </c>
      <c r="AC929" s="1017"/>
      <c r="AD929" s="1017"/>
      <c r="AE929" s="1017"/>
      <c r="AF929" s="1017"/>
      <c r="AG929" s="1017"/>
      <c r="AK929" s="982"/>
    </row>
    <row r="930" spans="2:37" outlineLevel="1" x14ac:dyDescent="0.25">
      <c r="B930" s="1359"/>
      <c r="C930" s="274"/>
      <c r="D930" s="3953" t="s">
        <v>183</v>
      </c>
      <c r="E930" s="1090" t="s">
        <v>1893</v>
      </c>
      <c r="F930" s="673">
        <v>1</v>
      </c>
      <c r="G930" s="1189" t="s">
        <v>714</v>
      </c>
      <c r="H930" s="1091"/>
      <c r="V930" s="3841" t="str">
        <f>D930</f>
        <v>%ElectricHeat</v>
      </c>
      <c r="W930" s="1017">
        <v>1</v>
      </c>
      <c r="X930" s="1034">
        <v>1</v>
      </c>
      <c r="Y930" s="1034">
        <v>1</v>
      </c>
      <c r="Z930" s="673">
        <v>1</v>
      </c>
      <c r="AA930" s="673">
        <v>1</v>
      </c>
      <c r="AB930" s="673">
        <v>1</v>
      </c>
      <c r="AC930" s="1017"/>
      <c r="AD930" s="1017"/>
      <c r="AE930" s="1017"/>
      <c r="AF930" s="1017"/>
      <c r="AG930" s="1017"/>
      <c r="AK930" s="982"/>
    </row>
    <row r="931" spans="2:37" outlineLevel="1" x14ac:dyDescent="0.25">
      <c r="B931" s="1359"/>
      <c r="C931" s="274"/>
      <c r="D931" s="3548"/>
      <c r="E931" s="1090" t="s">
        <v>1896</v>
      </c>
      <c r="F931" s="673">
        <v>1</v>
      </c>
      <c r="G931" s="1189" t="s">
        <v>714</v>
      </c>
      <c r="H931" s="1091"/>
      <c r="V931" s="3842"/>
      <c r="W931" s="1017">
        <v>1</v>
      </c>
      <c r="X931" s="1034">
        <v>1</v>
      </c>
      <c r="Y931" s="1034">
        <v>1</v>
      </c>
      <c r="Z931" s="673">
        <v>1</v>
      </c>
      <c r="AA931" s="673">
        <v>1</v>
      </c>
      <c r="AB931" s="673">
        <v>1</v>
      </c>
      <c r="AC931" s="1017"/>
      <c r="AD931" s="1017"/>
      <c r="AE931" s="1017"/>
      <c r="AF931" s="1017"/>
      <c r="AG931" s="1017"/>
      <c r="AK931" s="982"/>
    </row>
    <row r="932" spans="2:37" outlineLevel="1" x14ac:dyDescent="0.25">
      <c r="B932" s="1359"/>
      <c r="C932" s="274"/>
      <c r="D932" s="3548"/>
      <c r="E932" s="324" t="s">
        <v>1898</v>
      </c>
      <c r="F932" s="673">
        <v>1</v>
      </c>
      <c r="G932" s="1189" t="s">
        <v>714</v>
      </c>
      <c r="H932" s="1091"/>
      <c r="V932" s="3842"/>
      <c r="W932" s="1017">
        <v>1</v>
      </c>
      <c r="X932" s="1034">
        <v>1</v>
      </c>
      <c r="Y932" s="1034">
        <v>1</v>
      </c>
      <c r="Z932" s="673">
        <v>1</v>
      </c>
      <c r="AA932" s="673">
        <v>1</v>
      </c>
      <c r="AB932" s="673">
        <v>1</v>
      </c>
      <c r="AC932" s="1017"/>
      <c r="AD932" s="1017"/>
      <c r="AE932" s="1017"/>
      <c r="AF932" s="1017"/>
      <c r="AG932" s="1017"/>
      <c r="AK932" s="982"/>
    </row>
    <row r="933" spans="2:37" outlineLevel="1" x14ac:dyDescent="0.25">
      <c r="B933" s="1359"/>
      <c r="C933" s="274"/>
      <c r="D933" s="3548"/>
      <c r="E933" s="324" t="s">
        <v>1901</v>
      </c>
      <c r="F933" s="673">
        <v>1</v>
      </c>
      <c r="G933" s="1189" t="s">
        <v>714</v>
      </c>
      <c r="H933" s="1091"/>
      <c r="V933" s="3842"/>
      <c r="W933" s="1017">
        <v>1</v>
      </c>
      <c r="X933" s="1034">
        <v>1</v>
      </c>
      <c r="Y933" s="1034">
        <v>1</v>
      </c>
      <c r="Z933" s="673">
        <v>1</v>
      </c>
      <c r="AA933" s="673">
        <v>1</v>
      </c>
      <c r="AB933" s="673">
        <v>1</v>
      </c>
      <c r="AC933" s="1017"/>
      <c r="AD933" s="1017"/>
      <c r="AE933" s="1017"/>
      <c r="AF933" s="1017"/>
      <c r="AG933" s="1017"/>
      <c r="AK933" s="982"/>
    </row>
    <row r="934" spans="2:37" outlineLevel="1" x14ac:dyDescent="0.25">
      <c r="B934" s="1359"/>
      <c r="C934" s="274"/>
      <c r="D934" s="3548"/>
      <c r="E934" s="324" t="s">
        <v>1903</v>
      </c>
      <c r="F934" s="673">
        <v>0</v>
      </c>
      <c r="G934" s="1189" t="s">
        <v>714</v>
      </c>
      <c r="H934" s="1091"/>
      <c r="V934" s="3842"/>
      <c r="W934" s="1017">
        <v>0</v>
      </c>
      <c r="X934" s="1034">
        <v>0</v>
      </c>
      <c r="Y934" s="1034">
        <v>0</v>
      </c>
      <c r="Z934" s="673">
        <v>0</v>
      </c>
      <c r="AA934" s="673">
        <v>0</v>
      </c>
      <c r="AB934" s="673">
        <v>0</v>
      </c>
      <c r="AC934" s="1017"/>
      <c r="AD934" s="1017"/>
      <c r="AE934" s="1017"/>
      <c r="AF934" s="1017"/>
      <c r="AG934" s="1017"/>
      <c r="AK934" s="982"/>
    </row>
    <row r="935" spans="2:37" outlineLevel="1" x14ac:dyDescent="0.25">
      <c r="B935" s="1359"/>
      <c r="C935" s="274"/>
      <c r="D935" s="3548"/>
      <c r="E935" s="324" t="s">
        <v>1906</v>
      </c>
      <c r="F935" s="673">
        <v>0</v>
      </c>
      <c r="G935" s="1189" t="s">
        <v>714</v>
      </c>
      <c r="H935" s="1091"/>
      <c r="V935" s="3842"/>
      <c r="W935" s="1017">
        <v>0</v>
      </c>
      <c r="X935" s="1034">
        <v>0</v>
      </c>
      <c r="Y935" s="1034">
        <v>0</v>
      </c>
      <c r="Z935" s="673">
        <v>0</v>
      </c>
      <c r="AA935" s="673">
        <v>0</v>
      </c>
      <c r="AB935" s="673">
        <v>0</v>
      </c>
      <c r="AC935" s="1017"/>
      <c r="AD935" s="1017"/>
      <c r="AE935" s="1017"/>
      <c r="AF935" s="1017"/>
      <c r="AG935" s="1017"/>
      <c r="AK935" s="982"/>
    </row>
    <row r="936" spans="2:37" outlineLevel="1" x14ac:dyDescent="0.25">
      <c r="B936" s="1359"/>
      <c r="C936" s="274"/>
      <c r="D936" s="3548"/>
      <c r="E936" s="1090" t="s">
        <v>1908</v>
      </c>
      <c r="F936" s="673">
        <f>0.35*0.71</f>
        <v>0.24849999999999997</v>
      </c>
      <c r="G936" s="1189" t="s">
        <v>714</v>
      </c>
      <c r="H936" s="1091"/>
      <c r="V936" s="3842"/>
      <c r="W936" s="1017">
        <f>0.35*0.71</f>
        <v>0.24849999999999997</v>
      </c>
      <c r="X936" s="1034">
        <f>0.35*0.71</f>
        <v>0.24849999999999997</v>
      </c>
      <c r="Y936" s="1034">
        <v>0.24849999999999997</v>
      </c>
      <c r="Z936" s="673">
        <v>0.24849999999999997</v>
      </c>
      <c r="AA936" s="673">
        <v>0.24849999999999997</v>
      </c>
      <c r="AB936" s="673">
        <v>0.24849999999999997</v>
      </c>
      <c r="AC936" s="1017"/>
      <c r="AD936" s="1017"/>
      <c r="AE936" s="1017"/>
      <c r="AF936" s="1017"/>
      <c r="AG936" s="1017"/>
      <c r="AK936" s="982"/>
    </row>
    <row r="937" spans="2:37" outlineLevel="1" x14ac:dyDescent="0.25">
      <c r="B937" s="1359"/>
      <c r="C937" s="274"/>
      <c r="D937" s="3895"/>
      <c r="E937" s="1090" t="s">
        <v>1911</v>
      </c>
      <c r="F937" s="673">
        <f>0.35*0.71</f>
        <v>0.24849999999999997</v>
      </c>
      <c r="G937" s="1189" t="s">
        <v>714</v>
      </c>
      <c r="H937" s="1091"/>
      <c r="V937" s="3847"/>
      <c r="W937" s="1017">
        <f>0.35*0.71</f>
        <v>0.24849999999999997</v>
      </c>
      <c r="X937" s="1034">
        <f>0.35*0.71</f>
        <v>0.24849999999999997</v>
      </c>
      <c r="Y937" s="1034">
        <v>0.24849999999999997</v>
      </c>
      <c r="Z937" s="673">
        <v>0.24849999999999997</v>
      </c>
      <c r="AA937" s="673">
        <v>0.24849999999999997</v>
      </c>
      <c r="AB937" s="673">
        <v>0.24849999999999997</v>
      </c>
      <c r="AC937" s="1017"/>
      <c r="AD937" s="1017"/>
      <c r="AE937" s="1017"/>
      <c r="AF937" s="1017"/>
      <c r="AG937" s="1017"/>
      <c r="AK937" s="982"/>
    </row>
    <row r="938" spans="2:37" ht="15" customHeight="1" outlineLevel="1" x14ac:dyDescent="0.25">
      <c r="B938" s="1359"/>
      <c r="C938" s="274"/>
      <c r="D938" s="3953" t="s">
        <v>1808</v>
      </c>
      <c r="E938" s="1090" t="s">
        <v>735</v>
      </c>
      <c r="F938" s="1051">
        <v>1496</v>
      </c>
      <c r="G938" s="1457" t="s">
        <v>1290</v>
      </c>
      <c r="H938" s="1091"/>
      <c r="V938" s="3841" t="str">
        <f>D938</f>
        <v>EFLHheat</v>
      </c>
      <c r="W938" s="1003">
        <v>2009</v>
      </c>
      <c r="X938" s="1033">
        <v>2009</v>
      </c>
      <c r="Y938" s="1033">
        <v>1496</v>
      </c>
      <c r="Z938" s="1051">
        <v>1496</v>
      </c>
      <c r="AA938" s="1051">
        <v>1496</v>
      </c>
      <c r="AB938" s="1051">
        <v>1496</v>
      </c>
      <c r="AC938" s="1003"/>
      <c r="AD938" s="1003"/>
      <c r="AE938" s="1003"/>
      <c r="AF938" s="1003"/>
      <c r="AG938" s="1003"/>
      <c r="AK938" s="982"/>
    </row>
    <row r="939" spans="2:37" outlineLevel="1" x14ac:dyDescent="0.25">
      <c r="B939" s="1359"/>
      <c r="C939" s="274"/>
      <c r="D939" s="3548"/>
      <c r="E939" s="1090" t="s">
        <v>888</v>
      </c>
      <c r="F939" s="1051">
        <v>510</v>
      </c>
      <c r="G939" s="1424" t="s">
        <v>1290</v>
      </c>
      <c r="H939" s="1091"/>
      <c r="V939" s="3842"/>
      <c r="W939" s="1003"/>
      <c r="X939" s="1033"/>
      <c r="Y939" s="1045">
        <v>510</v>
      </c>
      <c r="Z939" s="1051">
        <v>510</v>
      </c>
      <c r="AA939" s="1051">
        <v>510</v>
      </c>
      <c r="AB939" s="1051">
        <v>510</v>
      </c>
      <c r="AC939" s="1003"/>
      <c r="AD939" s="1003"/>
      <c r="AE939" s="1003"/>
      <c r="AF939" s="1003"/>
      <c r="AG939" s="1003"/>
      <c r="AK939" s="982"/>
    </row>
    <row r="940" spans="2:37" ht="30" outlineLevel="1" x14ac:dyDescent="0.25">
      <c r="B940" s="1359"/>
      <c r="C940" s="274"/>
      <c r="D940" s="3953" t="s">
        <v>3844</v>
      </c>
      <c r="E940" s="1090" t="s">
        <v>1893</v>
      </c>
      <c r="F940" s="1051">
        <v>20240</v>
      </c>
      <c r="G940" s="1189" t="s">
        <v>1916</v>
      </c>
      <c r="H940" s="1091"/>
      <c r="V940" s="3841" t="str">
        <f>D940</f>
        <v>CapacityHeating</v>
      </c>
      <c r="W940" s="1033">
        <v>37856</v>
      </c>
      <c r="X940" s="1045">
        <v>21000</v>
      </c>
      <c r="Y940" s="1045">
        <v>20240</v>
      </c>
      <c r="Z940" s="1051">
        <v>20240</v>
      </c>
      <c r="AA940" s="1051">
        <v>20240</v>
      </c>
      <c r="AB940" s="1051">
        <v>20240</v>
      </c>
      <c r="AC940" s="1033"/>
      <c r="AD940" s="1033"/>
      <c r="AE940" s="1033"/>
      <c r="AF940" s="1033"/>
      <c r="AG940" s="1033"/>
      <c r="AK940" s="982"/>
    </row>
    <row r="941" spans="2:37" outlineLevel="1" x14ac:dyDescent="0.25">
      <c r="B941" s="1359"/>
      <c r="C941" s="274"/>
      <c r="D941" s="3548"/>
      <c r="E941" s="1090" t="s">
        <v>1896</v>
      </c>
      <c r="F941" s="1051">
        <v>58240</v>
      </c>
      <c r="G941" s="1189"/>
      <c r="H941" s="1091"/>
      <c r="V941" s="3842"/>
      <c r="W941" s="1033">
        <v>58240</v>
      </c>
      <c r="X941" s="1033">
        <v>58240</v>
      </c>
      <c r="Y941" s="1033">
        <v>58240</v>
      </c>
      <c r="Z941" s="1051">
        <v>58240</v>
      </c>
      <c r="AA941" s="1051">
        <v>58240</v>
      </c>
      <c r="AB941" s="1051">
        <v>58240</v>
      </c>
      <c r="AC941" s="1033"/>
      <c r="AD941" s="1033"/>
      <c r="AE941" s="1033"/>
      <c r="AF941" s="1033"/>
      <c r="AG941" s="1033"/>
      <c r="AK941" s="982"/>
    </row>
    <row r="942" spans="2:37" ht="30" outlineLevel="1" x14ac:dyDescent="0.25">
      <c r="B942" s="1359"/>
      <c r="C942" s="274"/>
      <c r="D942" s="3548"/>
      <c r="E942" s="324" t="s">
        <v>1898</v>
      </c>
      <c r="F942" s="1051">
        <v>20240</v>
      </c>
      <c r="G942" s="1189" t="s">
        <v>1916</v>
      </c>
      <c r="H942" s="1091"/>
      <c r="V942" s="3842"/>
      <c r="W942" s="1033">
        <v>31368.563200000001</v>
      </c>
      <c r="X942" s="1045">
        <v>21000</v>
      </c>
      <c r="Y942" s="1045">
        <v>20240</v>
      </c>
      <c r="Z942" s="1051">
        <v>20240</v>
      </c>
      <c r="AA942" s="1051">
        <v>20240</v>
      </c>
      <c r="AB942" s="1051">
        <v>20240</v>
      </c>
      <c r="AC942" s="1033"/>
      <c r="AD942" s="1033"/>
      <c r="AE942" s="1033"/>
      <c r="AF942" s="1033"/>
      <c r="AG942" s="1033"/>
      <c r="AK942" s="982"/>
    </row>
    <row r="943" spans="2:37" outlineLevel="1" x14ac:dyDescent="0.25">
      <c r="B943" s="1359"/>
      <c r="C943" s="274"/>
      <c r="D943" s="3548"/>
      <c r="E943" s="324" t="s">
        <v>1901</v>
      </c>
      <c r="F943" s="1051">
        <v>48259.328000000001</v>
      </c>
      <c r="G943" s="1189"/>
      <c r="H943" s="1091"/>
      <c r="V943" s="3842"/>
      <c r="W943" s="1033">
        <v>48259.328000000001</v>
      </c>
      <c r="X943" s="1033">
        <v>48259.328000000001</v>
      </c>
      <c r="Y943" s="1033">
        <v>48259.328000000001</v>
      </c>
      <c r="Z943" s="1051">
        <v>48259.328000000001</v>
      </c>
      <c r="AA943" s="1051">
        <v>48259.328000000001</v>
      </c>
      <c r="AB943" s="1051">
        <v>48259.328000000001</v>
      </c>
      <c r="AC943" s="1033"/>
      <c r="AD943" s="1033"/>
      <c r="AE943" s="1033"/>
      <c r="AF943" s="1033"/>
      <c r="AG943" s="1033"/>
      <c r="AK943" s="982"/>
    </row>
    <row r="944" spans="2:37" outlineLevel="1" x14ac:dyDescent="0.25">
      <c r="B944" s="1359"/>
      <c r="C944" s="274"/>
      <c r="D944" s="3548"/>
      <c r="E944" s="324" t="s">
        <v>1903</v>
      </c>
      <c r="F944" s="1051">
        <v>0</v>
      </c>
      <c r="G944" s="1189"/>
      <c r="H944" s="1091"/>
      <c r="V944" s="3842"/>
      <c r="W944" s="1033">
        <v>0</v>
      </c>
      <c r="X944" s="1033">
        <v>0</v>
      </c>
      <c r="Y944" s="1033">
        <v>0</v>
      </c>
      <c r="Z944" s="1051">
        <v>0</v>
      </c>
      <c r="AA944" s="1051">
        <v>0</v>
      </c>
      <c r="AB944" s="1051">
        <v>0</v>
      </c>
      <c r="AC944" s="1033"/>
      <c r="AD944" s="1033"/>
      <c r="AE944" s="1033"/>
      <c r="AF944" s="1033"/>
      <c r="AG944" s="1033"/>
      <c r="AK944" s="982"/>
    </row>
    <row r="945" spans="2:37" outlineLevel="1" x14ac:dyDescent="0.25">
      <c r="B945" s="1359"/>
      <c r="C945" s="274"/>
      <c r="D945" s="3548"/>
      <c r="E945" s="324" t="s">
        <v>1906</v>
      </c>
      <c r="F945" s="1051">
        <v>0</v>
      </c>
      <c r="G945" s="1189"/>
      <c r="H945" s="1091"/>
      <c r="V945" s="3842"/>
      <c r="W945" s="1033">
        <v>0</v>
      </c>
      <c r="X945" s="1033">
        <v>0</v>
      </c>
      <c r="Y945" s="1033">
        <v>0</v>
      </c>
      <c r="Z945" s="1051">
        <v>0</v>
      </c>
      <c r="AA945" s="1051">
        <v>0</v>
      </c>
      <c r="AB945" s="1051">
        <v>0</v>
      </c>
      <c r="AC945" s="1033"/>
      <c r="AD945" s="1033"/>
      <c r="AE945" s="1033"/>
      <c r="AF945" s="1033"/>
      <c r="AG945" s="1033"/>
      <c r="AK945" s="982"/>
    </row>
    <row r="946" spans="2:37" ht="30" outlineLevel="1" x14ac:dyDescent="0.25">
      <c r="B946" s="1359"/>
      <c r="C946" s="274"/>
      <c r="D946" s="3548"/>
      <c r="E946" s="1090" t="s">
        <v>1908</v>
      </c>
      <c r="F946" s="1051">
        <v>20240</v>
      </c>
      <c r="G946" s="1189" t="s">
        <v>1916</v>
      </c>
      <c r="H946" s="1091"/>
      <c r="V946" s="3842"/>
      <c r="W946" s="1033">
        <v>27462.372945112107</v>
      </c>
      <c r="X946" s="1045">
        <v>21000</v>
      </c>
      <c r="Y946" s="1045">
        <v>20240</v>
      </c>
      <c r="Z946" s="1051">
        <v>20240</v>
      </c>
      <c r="AA946" s="1051">
        <v>20240</v>
      </c>
      <c r="AB946" s="1051">
        <v>20240</v>
      </c>
      <c r="AC946" s="1033"/>
      <c r="AD946" s="1033"/>
      <c r="AE946" s="1033"/>
      <c r="AF946" s="1033"/>
      <c r="AG946" s="1033"/>
      <c r="AK946" s="982"/>
    </row>
    <row r="947" spans="2:37" outlineLevel="1" x14ac:dyDescent="0.25">
      <c r="B947" s="1359"/>
      <c r="C947" s="274"/>
      <c r="D947" s="3895"/>
      <c r="E947" s="1090" t="s">
        <v>1911</v>
      </c>
      <c r="F947" s="1051">
        <v>42249.804530941699</v>
      </c>
      <c r="G947" s="1189"/>
      <c r="H947" s="1091"/>
      <c r="V947" s="3847"/>
      <c r="W947" s="1033">
        <v>42249.804530941699</v>
      </c>
      <c r="X947" s="1033">
        <v>42249.804530941699</v>
      </c>
      <c r="Y947" s="1033">
        <v>42249.804530941699</v>
      </c>
      <c r="Z947" s="1051">
        <v>42249.804530941699</v>
      </c>
      <c r="AA947" s="1051">
        <v>42249.804530941699</v>
      </c>
      <c r="AB947" s="1051">
        <v>42249.804530941699</v>
      </c>
      <c r="AC947" s="1033"/>
      <c r="AD947" s="1033"/>
      <c r="AE947" s="1033"/>
      <c r="AF947" s="1033"/>
      <c r="AG947" s="1033"/>
      <c r="AK947" s="982"/>
    </row>
    <row r="948" spans="2:37" outlineLevel="1" x14ac:dyDescent="0.25">
      <c r="B948" s="1359"/>
      <c r="C948" s="274"/>
      <c r="D948" s="3953" t="s">
        <v>1917</v>
      </c>
      <c r="E948" s="1090" t="s">
        <v>1893</v>
      </c>
      <c r="F948" s="1186">
        <v>7</v>
      </c>
      <c r="G948" s="3955" t="s">
        <v>1918</v>
      </c>
      <c r="H948" s="1091"/>
      <c r="V948" s="3841" t="str">
        <f>D948</f>
        <v>HSPF</v>
      </c>
      <c r="W948" s="1187">
        <v>7</v>
      </c>
      <c r="X948" s="1187">
        <v>7</v>
      </c>
      <c r="Y948" s="1186">
        <v>7</v>
      </c>
      <c r="Z948" s="1186">
        <v>7</v>
      </c>
      <c r="AA948" s="1186">
        <v>7</v>
      </c>
      <c r="AB948" s="1186">
        <v>7</v>
      </c>
      <c r="AC948" s="1187"/>
      <c r="AD948" s="1187"/>
      <c r="AE948" s="1187"/>
      <c r="AF948" s="1187"/>
      <c r="AG948" s="1187"/>
      <c r="AK948" s="982"/>
    </row>
    <row r="949" spans="2:37" outlineLevel="1" x14ac:dyDescent="0.25">
      <c r="B949" s="1359"/>
      <c r="C949" s="274"/>
      <c r="D949" s="3548"/>
      <c r="E949" s="1090" t="s">
        <v>1896</v>
      </c>
      <c r="F949" s="1186">
        <v>7</v>
      </c>
      <c r="G949" s="3427"/>
      <c r="H949" s="1091"/>
      <c r="V949" s="3842"/>
      <c r="W949" s="1187">
        <v>7</v>
      </c>
      <c r="X949" s="1187">
        <v>7</v>
      </c>
      <c r="Y949" s="1186">
        <v>7</v>
      </c>
      <c r="Z949" s="1186">
        <v>7</v>
      </c>
      <c r="AA949" s="1186">
        <v>7</v>
      </c>
      <c r="AB949" s="1186">
        <v>7</v>
      </c>
      <c r="AC949" s="1187"/>
      <c r="AD949" s="1187"/>
      <c r="AE949" s="1187"/>
      <c r="AF949" s="1187"/>
      <c r="AG949" s="1187"/>
      <c r="AK949" s="982"/>
    </row>
    <row r="950" spans="2:37" outlineLevel="1" x14ac:dyDescent="0.25">
      <c r="B950" s="1359"/>
      <c r="C950" s="274"/>
      <c r="D950" s="3548"/>
      <c r="E950" s="324" t="s">
        <v>1898</v>
      </c>
      <c r="F950" s="354">
        <f>3.41*1+7*0</f>
        <v>3.41</v>
      </c>
      <c r="G950" s="3427"/>
      <c r="H950" s="1091"/>
      <c r="V950" s="3842"/>
      <c r="W950" s="1187">
        <v>3.4119999999999999</v>
      </c>
      <c r="X950" s="1188">
        <f>3.41*1+7*0</f>
        <v>3.41</v>
      </c>
      <c r="Y950" s="354">
        <v>3.41</v>
      </c>
      <c r="Z950" s="354">
        <v>3.41</v>
      </c>
      <c r="AA950" s="354">
        <v>3.41</v>
      </c>
      <c r="AB950" s="354">
        <v>3.41</v>
      </c>
      <c r="AC950" s="1187"/>
      <c r="AD950" s="1187"/>
      <c r="AE950" s="1187"/>
      <c r="AF950" s="1187"/>
      <c r="AG950" s="1187"/>
      <c r="AK950" s="982"/>
    </row>
    <row r="951" spans="2:37" outlineLevel="1" x14ac:dyDescent="0.25">
      <c r="B951" s="1359"/>
      <c r="C951" s="274"/>
      <c r="D951" s="3548"/>
      <c r="E951" s="324" t="s">
        <v>1901</v>
      </c>
      <c r="F951" s="354">
        <f>3.41*1+7*0</f>
        <v>3.41</v>
      </c>
      <c r="G951" s="3427"/>
      <c r="H951" s="1091"/>
      <c r="V951" s="3842"/>
      <c r="W951" s="1187">
        <v>3.4119999999999999</v>
      </c>
      <c r="X951" s="1188">
        <f>3.41*1+7*0</f>
        <v>3.41</v>
      </c>
      <c r="Y951" s="354">
        <v>3.41</v>
      </c>
      <c r="Z951" s="354">
        <v>3.41</v>
      </c>
      <c r="AA951" s="354">
        <v>3.41</v>
      </c>
      <c r="AB951" s="354">
        <v>3.41</v>
      </c>
      <c r="AC951" s="1187"/>
      <c r="AD951" s="1187"/>
      <c r="AE951" s="1187"/>
      <c r="AF951" s="1187"/>
      <c r="AG951" s="1187"/>
      <c r="AK951" s="982"/>
    </row>
    <row r="952" spans="2:37" outlineLevel="1" x14ac:dyDescent="0.25">
      <c r="B952" s="1359"/>
      <c r="C952" s="274"/>
      <c r="D952" s="3548"/>
      <c r="E952" s="324" t="s">
        <v>1903</v>
      </c>
      <c r="F952" s="1186">
        <v>0</v>
      </c>
      <c r="G952" s="3427"/>
      <c r="H952" s="1091"/>
      <c r="V952" s="3842"/>
      <c r="W952" s="1187">
        <v>0</v>
      </c>
      <c r="X952" s="1187">
        <v>0</v>
      </c>
      <c r="Y952" s="1186">
        <v>0</v>
      </c>
      <c r="Z952" s="1186">
        <v>0</v>
      </c>
      <c r="AA952" s="1186">
        <v>0</v>
      </c>
      <c r="AB952" s="1186">
        <v>0</v>
      </c>
      <c r="AC952" s="1187"/>
      <c r="AD952" s="1187"/>
      <c r="AE952" s="1187"/>
      <c r="AF952" s="1187"/>
      <c r="AG952" s="1187"/>
      <c r="AK952" s="982"/>
    </row>
    <row r="953" spans="2:37" outlineLevel="1" x14ac:dyDescent="0.25">
      <c r="B953" s="1359"/>
      <c r="C953" s="274"/>
      <c r="D953" s="3548"/>
      <c r="E953" s="324" t="s">
        <v>1906</v>
      </c>
      <c r="F953" s="1186">
        <v>0</v>
      </c>
      <c r="G953" s="3427"/>
      <c r="H953" s="1091"/>
      <c r="V953" s="3842"/>
      <c r="W953" s="1187">
        <v>0</v>
      </c>
      <c r="X953" s="1187">
        <v>0</v>
      </c>
      <c r="Y953" s="1186">
        <v>0</v>
      </c>
      <c r="Z953" s="1186">
        <v>0</v>
      </c>
      <c r="AA953" s="1186">
        <v>0</v>
      </c>
      <c r="AB953" s="1186">
        <v>0</v>
      </c>
      <c r="AC953" s="1187"/>
      <c r="AD953" s="1187"/>
      <c r="AE953" s="1187"/>
      <c r="AF953" s="1187"/>
      <c r="AG953" s="1187"/>
      <c r="AK953" s="982"/>
    </row>
    <row r="954" spans="2:37" outlineLevel="1" x14ac:dyDescent="0.25">
      <c r="B954" s="1359"/>
      <c r="C954" s="274"/>
      <c r="D954" s="3548"/>
      <c r="E954" s="1090" t="s">
        <v>1908</v>
      </c>
      <c r="F954" s="354">
        <f>3.41*1+7*0</f>
        <v>3.41</v>
      </c>
      <c r="G954" s="3427"/>
      <c r="H954" s="1091"/>
      <c r="V954" s="3842"/>
      <c r="W954" s="1187">
        <v>3.4119999999999999</v>
      </c>
      <c r="X954" s="1188">
        <f>3.41*1+7*0</f>
        <v>3.41</v>
      </c>
      <c r="Y954" s="354">
        <v>3.41</v>
      </c>
      <c r="Z954" s="354">
        <v>3.41</v>
      </c>
      <c r="AA954" s="354">
        <v>3.41</v>
      </c>
      <c r="AB954" s="354">
        <v>3.41</v>
      </c>
      <c r="AC954" s="1187"/>
      <c r="AD954" s="1187"/>
      <c r="AE954" s="1187"/>
      <c r="AF954" s="1187"/>
      <c r="AG954" s="1187"/>
      <c r="AK954" s="982"/>
    </row>
    <row r="955" spans="2:37" outlineLevel="1" x14ac:dyDescent="0.25">
      <c r="B955" s="1359"/>
      <c r="C955" s="274"/>
      <c r="D955" s="3895"/>
      <c r="E955" s="1090" t="s">
        <v>1911</v>
      </c>
      <c r="F955" s="354">
        <f>3.41*1+7*0</f>
        <v>3.41</v>
      </c>
      <c r="G955" s="3428"/>
      <c r="H955" s="1091"/>
      <c r="V955" s="3847"/>
      <c r="W955" s="1187">
        <v>3.4119999999999999</v>
      </c>
      <c r="X955" s="1188">
        <f>3.41*1+7*0</f>
        <v>3.41</v>
      </c>
      <c r="Y955" s="354">
        <v>3.41</v>
      </c>
      <c r="Z955" s="354">
        <v>3.41</v>
      </c>
      <c r="AA955" s="354">
        <v>3.41</v>
      </c>
      <c r="AB955" s="354">
        <v>3.41</v>
      </c>
      <c r="AC955" s="1187"/>
      <c r="AD955" s="1187"/>
      <c r="AE955" s="1187"/>
      <c r="AF955" s="1187"/>
      <c r="AG955" s="1187"/>
      <c r="AK955" s="982"/>
    </row>
    <row r="956" spans="2:37" ht="30" outlineLevel="1" x14ac:dyDescent="0.25">
      <c r="B956" s="1359"/>
      <c r="C956" s="274"/>
      <c r="D956" s="3086" t="s">
        <v>3845</v>
      </c>
      <c r="E956" s="1090" t="s">
        <v>591</v>
      </c>
      <c r="F956" s="1185">
        <v>1.8</v>
      </c>
      <c r="G956" s="1280" t="s">
        <v>1912</v>
      </c>
      <c r="H956" s="1091"/>
      <c r="V956" s="1019" t="str">
        <f>D956</f>
        <v>Sbdegreesheating</v>
      </c>
      <c r="W956" s="1035">
        <v>8</v>
      </c>
      <c r="X956" s="1035">
        <v>8</v>
      </c>
      <c r="Y956" s="1036">
        <v>1.8</v>
      </c>
      <c r="Z956" s="1185">
        <v>1.8</v>
      </c>
      <c r="AA956" s="1185">
        <v>1.8</v>
      </c>
      <c r="AB956" s="1185">
        <v>1.8</v>
      </c>
      <c r="AC956" s="1035"/>
      <c r="AD956" s="1035"/>
      <c r="AE956" s="1035"/>
      <c r="AF956" s="1035"/>
      <c r="AG956" s="1035"/>
      <c r="AK956" s="982"/>
    </row>
    <row r="957" spans="2:37" ht="18" outlineLevel="1" x14ac:dyDescent="0.25">
      <c r="B957" s="1359"/>
      <c r="C957" s="274"/>
      <c r="D957" s="3086" t="s">
        <v>3846</v>
      </c>
      <c r="E957" s="1090" t="s">
        <v>591</v>
      </c>
      <c r="F957" s="673">
        <v>0.03</v>
      </c>
      <c r="G957" s="1189" t="s">
        <v>1919</v>
      </c>
      <c r="H957" s="1091"/>
      <c r="V957" s="1019" t="str">
        <f>D957</f>
        <v>SFheating</v>
      </c>
      <c r="W957" s="1017">
        <v>0.03</v>
      </c>
      <c r="X957" s="1034">
        <v>0.03</v>
      </c>
      <c r="Y957" s="673">
        <v>0.03</v>
      </c>
      <c r="Z957" s="673">
        <v>0.03</v>
      </c>
      <c r="AA957" s="673">
        <v>0.03</v>
      </c>
      <c r="AB957" s="673">
        <v>0.03</v>
      </c>
      <c r="AC957" s="1034"/>
      <c r="AD957" s="1034"/>
      <c r="AE957" s="1034"/>
      <c r="AF957" s="1034"/>
      <c r="AG957" s="1034"/>
      <c r="AK957" s="982"/>
    </row>
    <row r="958" spans="2:37" ht="18" outlineLevel="1" x14ac:dyDescent="0.25">
      <c r="B958" s="1359"/>
      <c r="C958" s="274"/>
      <c r="D958" s="3086" t="s">
        <v>3847</v>
      </c>
      <c r="E958" s="1090" t="s">
        <v>591</v>
      </c>
      <c r="F958" s="673">
        <v>0.13</v>
      </c>
      <c r="G958" s="1189" t="s">
        <v>714</v>
      </c>
      <c r="H958" s="1090"/>
      <c r="V958" s="1019" t="str">
        <f>D958</f>
        <v>EFheating</v>
      </c>
      <c r="W958" s="1034">
        <v>0.13</v>
      </c>
      <c r="X958" s="1034">
        <v>0.13</v>
      </c>
      <c r="Y958" s="1034">
        <v>0.13</v>
      </c>
      <c r="Z958" s="673">
        <v>0.13</v>
      </c>
      <c r="AA958" s="673">
        <v>0.13</v>
      </c>
      <c r="AB958" s="673">
        <v>0.13</v>
      </c>
      <c r="AC958" s="1034"/>
      <c r="AD958" s="1034"/>
      <c r="AE958" s="1034"/>
      <c r="AF958" s="1034"/>
      <c r="AG958" s="1034"/>
      <c r="AK958" s="982"/>
    </row>
    <row r="959" spans="2:37" outlineLevel="1" x14ac:dyDescent="0.25">
      <c r="B959" s="1359"/>
      <c r="C959" s="375"/>
      <c r="D959" s="3090" t="str">
        <f>D874</f>
        <v>EUL</v>
      </c>
      <c r="E959" s="1438" t="str">
        <f>E874</f>
        <v>Effective Useful Life (All)</v>
      </c>
      <c r="F959" s="919">
        <v>10</v>
      </c>
      <c r="G959" s="1436"/>
      <c r="H959" s="1091"/>
      <c r="V959" s="1019" t="str">
        <f>D959</f>
        <v>EUL</v>
      </c>
      <c r="W959" s="1077">
        <v>10</v>
      </c>
      <c r="X959" s="1077">
        <v>10</v>
      </c>
      <c r="Y959" s="1077">
        <v>10</v>
      </c>
      <c r="Z959" s="919">
        <v>10</v>
      </c>
      <c r="AA959" s="919">
        <v>10</v>
      </c>
      <c r="AB959" s="919">
        <v>10</v>
      </c>
      <c r="AC959" s="1163"/>
      <c r="AD959" s="1163"/>
      <c r="AE959" s="1163"/>
      <c r="AF959" s="1163"/>
      <c r="AG959" s="1163"/>
      <c r="AK959" s="982"/>
    </row>
    <row r="960" spans="2:37" outlineLevel="1" x14ac:dyDescent="0.25">
      <c r="B960" s="1359"/>
      <c r="C960" s="375"/>
      <c r="D960" s="3934" t="str">
        <f>D875</f>
        <v>Inc. Cost</v>
      </c>
      <c r="E960" s="1438" t="str">
        <f>E875</f>
        <v>Incremental Cost - Non-DI</v>
      </c>
      <c r="F960" s="1920">
        <v>70</v>
      </c>
      <c r="G960" s="1436"/>
      <c r="H960" s="1091"/>
      <c r="V960" s="3805" t="str">
        <f>D960</f>
        <v>Inc. Cost</v>
      </c>
      <c r="W960" s="1164">
        <v>70</v>
      </c>
      <c r="X960" s="1182">
        <v>70</v>
      </c>
      <c r="Y960" s="1182">
        <v>70</v>
      </c>
      <c r="Z960" s="1920">
        <v>70</v>
      </c>
      <c r="AA960" s="1920">
        <v>70</v>
      </c>
      <c r="AB960" s="1920">
        <v>70</v>
      </c>
      <c r="AC960" s="1165"/>
      <c r="AD960" s="1165"/>
      <c r="AE960" s="1165"/>
      <c r="AF960" s="1165"/>
      <c r="AG960" s="1165"/>
      <c r="AK960" s="982"/>
    </row>
    <row r="961" spans="2:57" outlineLevel="1" x14ac:dyDescent="0.25">
      <c r="B961" s="1359"/>
      <c r="C961" s="375"/>
      <c r="D961" s="3459"/>
      <c r="E961" s="1438" t="str">
        <f>E876</f>
        <v>Incremental Cost - Direct Install (DI)</v>
      </c>
      <c r="F961" s="1920">
        <v>70</v>
      </c>
      <c r="G961" s="1436"/>
      <c r="H961" s="1091"/>
      <c r="V961" s="3933"/>
      <c r="W961" s="1164">
        <v>70</v>
      </c>
      <c r="X961" s="1182">
        <v>70</v>
      </c>
      <c r="Y961" s="1182">
        <v>70</v>
      </c>
      <c r="Z961" s="1920">
        <v>70</v>
      </c>
      <c r="AA961" s="1920">
        <v>70</v>
      </c>
      <c r="AB961" s="1920">
        <v>70</v>
      </c>
      <c r="AC961" s="1165"/>
      <c r="AD961" s="1165"/>
      <c r="AE961" s="1165"/>
      <c r="AF961" s="1165"/>
      <c r="AG961" s="1165"/>
      <c r="AK961" s="982"/>
    </row>
    <row r="962" spans="2:57" x14ac:dyDescent="0.25">
      <c r="B962" s="1359"/>
      <c r="C962" s="274"/>
      <c r="D962" s="1923"/>
      <c r="E962" s="600"/>
      <c r="F962" s="1924"/>
      <c r="G962" s="1925"/>
      <c r="H962" s="1148"/>
      <c r="V962" s="273" t="str">
        <f>IF(C957&gt;0,C957," ")</f>
        <v xml:space="preserve"> </v>
      </c>
      <c r="AK962" s="982"/>
    </row>
    <row r="963" spans="2:57" x14ac:dyDescent="0.25">
      <c r="V963" s="273" t="str">
        <f>IF(C958&gt;0,C958," ")</f>
        <v xml:space="preserve"> </v>
      </c>
      <c r="AK963" s="982"/>
    </row>
    <row r="964" spans="2:57" x14ac:dyDescent="0.25">
      <c r="B964" s="3350" t="s">
        <v>1920</v>
      </c>
      <c r="C964" s="3351"/>
      <c r="D964" s="3351"/>
      <c r="E964" s="3351"/>
      <c r="F964" s="3351"/>
      <c r="G964" s="3351"/>
      <c r="H964" s="3351"/>
      <c r="I964" s="3352"/>
      <c r="J964" s="3352"/>
      <c r="K964" s="3352"/>
      <c r="L964" s="3352"/>
      <c r="M964" s="3352"/>
      <c r="N964" s="3352"/>
      <c r="O964" s="3352"/>
      <c r="P964" s="3352"/>
      <c r="Q964" s="3352"/>
      <c r="R964" s="3353"/>
      <c r="V964" s="3350" t="str">
        <f>B964</f>
        <v>Thermostatic Restrictor Shower Valve</v>
      </c>
      <c r="W964" s="3351"/>
      <c r="X964" s="3351"/>
      <c r="Y964" s="3351"/>
      <c r="Z964" s="3351"/>
      <c r="AA964" s="3351"/>
      <c r="AB964" s="3351"/>
      <c r="AC964" s="3354"/>
      <c r="AD964" s="3354"/>
      <c r="AE964" s="3354"/>
      <c r="AF964" s="3354"/>
      <c r="AG964" s="3354"/>
      <c r="AH964" s="3354"/>
      <c r="AI964" s="3355"/>
      <c r="AK964" s="982"/>
    </row>
    <row r="965" spans="2:57" x14ac:dyDescent="0.25">
      <c r="D965" s="482"/>
      <c r="E965" s="482"/>
      <c r="F965" s="275"/>
      <c r="G965" s="275"/>
      <c r="H965" s="275"/>
      <c r="I965" s="275"/>
      <c r="J965" s="275"/>
      <c r="K965" s="275"/>
      <c r="L965" s="1635"/>
      <c r="AK965" s="982"/>
    </row>
    <row r="966" spans="2:57" ht="49.5" customHeight="1" x14ac:dyDescent="0.25">
      <c r="B966" s="1359"/>
      <c r="C966" s="1409" t="s">
        <v>17</v>
      </c>
      <c r="D966" s="1409" t="s">
        <v>616</v>
      </c>
      <c r="E966" s="1409" t="s">
        <v>19</v>
      </c>
      <c r="F966" s="1409" t="s">
        <v>1682</v>
      </c>
      <c r="G966" s="1409" t="s">
        <v>21</v>
      </c>
      <c r="H966" s="1409" t="s">
        <v>22</v>
      </c>
      <c r="I966" s="1409" t="s">
        <v>933</v>
      </c>
      <c r="J966" s="1409" t="s">
        <v>23</v>
      </c>
      <c r="K966" s="1409" t="s">
        <v>24</v>
      </c>
      <c r="L966" s="1409" t="s">
        <v>25</v>
      </c>
      <c r="M966" s="1409" t="s">
        <v>26</v>
      </c>
      <c r="V966" s="55" t="s">
        <v>27</v>
      </c>
      <c r="W966" s="56">
        <f>W$6</f>
        <v>43252</v>
      </c>
      <c r="X966" s="56">
        <f t="shared" ref="X966:AG966" si="118">X$6</f>
        <v>43465</v>
      </c>
      <c r="Y966" s="420">
        <f t="shared" si="118"/>
        <v>43800</v>
      </c>
      <c r="Z966" s="56">
        <f t="shared" si="118"/>
        <v>43862</v>
      </c>
      <c r="AA966" s="56">
        <f t="shared" si="118"/>
        <v>44013</v>
      </c>
      <c r="AB966" s="56">
        <f t="shared" si="118"/>
        <v>44166</v>
      </c>
      <c r="AC966" s="56" t="str">
        <f t="shared" si="118"/>
        <v>-</v>
      </c>
      <c r="AD966" s="56" t="str">
        <f t="shared" si="118"/>
        <v>-</v>
      </c>
      <c r="AE966" s="56" t="str">
        <f t="shared" si="118"/>
        <v>-</v>
      </c>
      <c r="AF966" s="56" t="str">
        <f t="shared" si="118"/>
        <v>-</v>
      </c>
      <c r="AG966" s="56" t="str">
        <f t="shared" si="118"/>
        <v>-</v>
      </c>
      <c r="AK966" s="982"/>
      <c r="BB966" s="57" t="str">
        <f>$BB$6</f>
        <v>TRC (2020)</v>
      </c>
      <c r="BC966" s="93" t="str">
        <f>$BC$6</f>
        <v>Benefit Lookup</v>
      </c>
      <c r="BD966" s="741" t="str">
        <f>$BD$6</f>
        <v>Benefits (2019 $)</v>
      </c>
      <c r="BE966" s="279" t="str">
        <f>$BE$6</f>
        <v>Incremental Cost (2019 $)</v>
      </c>
    </row>
    <row r="967" spans="2:57" x14ac:dyDescent="0.25">
      <c r="B967" s="1359"/>
      <c r="C967" s="1658" t="s">
        <v>1921</v>
      </c>
      <c r="D967" s="2132" t="s">
        <v>1827</v>
      </c>
      <c r="E967" s="1427" t="s">
        <v>1922</v>
      </c>
      <c r="F967" s="601">
        <f>ROUND(G977*(G978*G979)*G980*G982*G983/G984*I967*G993*G992,2)</f>
        <v>41.68</v>
      </c>
      <c r="G967" s="1658" t="s">
        <v>1822</v>
      </c>
      <c r="H967" s="202">
        <f>VLOOKUP(G967,'CP FACTORS'!$A$3:$B$38, 2, FALSE)</f>
        <v>8.8731800000000003E-5</v>
      </c>
      <c r="I967" s="596">
        <f>G986*G987*(G988-G989)/(G990*G991)</f>
        <v>0.10886576787807739</v>
      </c>
      <c r="J967" s="1888">
        <f>ROUND(F967*H967,6)</f>
        <v>3.6979999999999999E-3</v>
      </c>
      <c r="K967" s="142">
        <f>$G$994</f>
        <v>10</v>
      </c>
      <c r="L967" s="1190">
        <f>$G$996</f>
        <v>50</v>
      </c>
      <c r="M967" s="1658" t="s">
        <v>37</v>
      </c>
      <c r="V967" s="208" t="str">
        <f>$F$966</f>
        <v>kWh
Annual Savings</v>
      </c>
      <c r="W967" s="1191">
        <v>41.682564640276333</v>
      </c>
      <c r="X967" s="487">
        <v>41.682564640276333</v>
      </c>
      <c r="Y967" s="981">
        <v>41.68</v>
      </c>
      <c r="Z967" s="981">
        <v>41.68</v>
      </c>
      <c r="AA967" s="981">
        <v>41.68</v>
      </c>
      <c r="AB967" s="981">
        <v>41.68</v>
      </c>
      <c r="AC967" s="208"/>
      <c r="AD967" s="208"/>
      <c r="AE967" s="208"/>
      <c r="AF967" s="208"/>
      <c r="AG967" s="208"/>
      <c r="AK967" s="982"/>
      <c r="BB967" s="67">
        <f>(BD967)/(BE967)</f>
        <v>0.29788668889907871</v>
      </c>
      <c r="BC967" s="68" t="str">
        <f>CONCATENATE(G967," ",K967," Year EUL")</f>
        <v>Water heating RES 10 Year EUL</v>
      </c>
      <c r="BD967" s="145">
        <f>(INDEX('Avoided Cost Benefits'!$C$4:$C$857,MATCH(BC967,'Avoided Cost Benefits'!$A$4:$A$857,0)))*F967</f>
        <v>14.057889990518106</v>
      </c>
      <c r="BE967" s="69">
        <f>L967/(1.0595^(2020-2019))</f>
        <v>47.192071731949028</v>
      </c>
    </row>
    <row r="968" spans="2:57" x14ac:dyDescent="0.25">
      <c r="B968" s="1359"/>
      <c r="C968" s="1658" t="s">
        <v>1923</v>
      </c>
      <c r="D968" s="2132" t="s">
        <v>1824</v>
      </c>
      <c r="E968" s="1427" t="s">
        <v>1924</v>
      </c>
      <c r="F968" s="601">
        <f>ROUND(G977*(G978*G979)*G981*G982*G983/G985*I967*G993*G992,2)</f>
        <v>47.32</v>
      </c>
      <c r="G968" s="1658" t="s">
        <v>1822</v>
      </c>
      <c r="H968" s="202">
        <f>VLOOKUP(G968,'CP FACTORS'!$A$3:$B$38, 2, FALSE)</f>
        <v>8.8731800000000003E-5</v>
      </c>
      <c r="I968" s="596">
        <f>G987*G988*(G989-G990)/(G991*G992)</f>
        <v>1.8562719812426731</v>
      </c>
      <c r="J968" s="1888">
        <f>ROUND(F968*H968,6)</f>
        <v>4.1989999999999996E-3</v>
      </c>
      <c r="K968" s="142">
        <f>$G$994</f>
        <v>10</v>
      </c>
      <c r="L968" s="1190">
        <f>$G$996</f>
        <v>50</v>
      </c>
      <c r="M968" s="1658" t="s">
        <v>37</v>
      </c>
      <c r="V968" s="208" t="str">
        <f>$F$966</f>
        <v>kWh
Annual Savings</v>
      </c>
      <c r="W968" s="1191">
        <v>47.3194122661885</v>
      </c>
      <c r="X968" s="487">
        <v>47.3194122661885</v>
      </c>
      <c r="Y968" s="981">
        <v>47.32</v>
      </c>
      <c r="Z968" s="981">
        <v>47.32</v>
      </c>
      <c r="AA968" s="981">
        <v>47.32</v>
      </c>
      <c r="AB968" s="981">
        <v>47.32</v>
      </c>
      <c r="AC968" s="208"/>
      <c r="AD968" s="208"/>
      <c r="AE968" s="208"/>
      <c r="AF968" s="208"/>
      <c r="AG968" s="208"/>
      <c r="AK968" s="982"/>
      <c r="BB968" s="74">
        <f>(BD968)/(BE968)</f>
        <v>0.33819573221459703</v>
      </c>
      <c r="BC968" s="72" t="str">
        <f>CONCATENATE(G968," ",K968," Year EUL")</f>
        <v>Water heating RES 10 Year EUL</v>
      </c>
      <c r="BD968" s="153">
        <f>(INDEX('Avoided Cost Benefits'!$C$4:$C$857,MATCH(BC968,'Avoided Cost Benefits'!$A$4:$A$857,0)))*F968</f>
        <v>15.960157254110287</v>
      </c>
      <c r="BE968" s="75">
        <f>L968/(1.0595^(2020-2019))</f>
        <v>47.192071731949028</v>
      </c>
    </row>
    <row r="969" spans="2:57" outlineLevel="1" x14ac:dyDescent="0.25">
      <c r="B969" s="1359"/>
      <c r="C969" s="274"/>
      <c r="D969" s="1332"/>
      <c r="E969" s="1332"/>
      <c r="F969" s="1906"/>
      <c r="G969" s="1701"/>
      <c r="H969" s="1926"/>
      <c r="I969" s="1136"/>
      <c r="J969" s="1192"/>
      <c r="K969" s="1192"/>
      <c r="L969" s="1136"/>
      <c r="M969" s="1136"/>
      <c r="AK969" s="982"/>
    </row>
    <row r="970" spans="2:57" outlineLevel="1" x14ac:dyDescent="0.25">
      <c r="B970" s="1359"/>
      <c r="C970" s="274"/>
      <c r="D970" s="222" t="s">
        <v>571</v>
      </c>
      <c r="E970" s="1332"/>
      <c r="F970" s="1136"/>
      <c r="G970" s="1136"/>
      <c r="H970" s="1892"/>
      <c r="I970" s="1192"/>
      <c r="J970" s="1136"/>
      <c r="K970" s="1136"/>
      <c r="L970" s="1136"/>
      <c r="M970" s="1136"/>
      <c r="AK970" s="982"/>
    </row>
    <row r="971" spans="2:57" outlineLevel="1" x14ac:dyDescent="0.25">
      <c r="B971" s="1359"/>
      <c r="C971" s="302"/>
      <c r="D971" s="1893"/>
      <c r="E971" s="1894"/>
      <c r="F971" s="1907"/>
      <c r="G971" s="1891"/>
      <c r="H971" s="1891"/>
      <c r="I971" s="1136"/>
      <c r="J971" s="1136"/>
      <c r="K971" s="1136"/>
      <c r="L971" s="1136"/>
      <c r="AK971" s="982"/>
    </row>
    <row r="972" spans="2:57" outlineLevel="1" x14ac:dyDescent="0.25">
      <c r="B972" s="1359"/>
      <c r="C972" s="316"/>
      <c r="D972" s="1896"/>
      <c r="E972" s="1897"/>
      <c r="F972" s="1908"/>
      <c r="G972" s="1891"/>
      <c r="H972" s="1891"/>
      <c r="I972" s="1136"/>
      <c r="J972" s="1136"/>
      <c r="K972" s="1136"/>
      <c r="L972" s="1136"/>
      <c r="AK972" s="982"/>
    </row>
    <row r="973" spans="2:57" outlineLevel="1" x14ac:dyDescent="0.25">
      <c r="B973" s="1359"/>
      <c r="C973" s="316"/>
      <c r="D973" s="1896"/>
      <c r="E973" s="1897"/>
      <c r="F973" s="1908"/>
      <c r="G973" s="1891"/>
      <c r="H973" s="1891"/>
      <c r="I973" s="1136"/>
      <c r="J973" s="1136"/>
      <c r="K973" s="1136"/>
      <c r="L973" s="1136"/>
      <c r="AK973" s="982"/>
    </row>
    <row r="974" spans="2:57" ht="15" customHeight="1" outlineLevel="1" x14ac:dyDescent="0.25">
      <c r="B974" s="1359"/>
      <c r="C974" s="316"/>
      <c r="D974" s="1896"/>
      <c r="E974" s="1897"/>
      <c r="F974" s="1908"/>
      <c r="G974" s="1891"/>
      <c r="H974" s="1891"/>
      <c r="I974" s="1136"/>
      <c r="J974" s="1136"/>
      <c r="K974" s="1136"/>
      <c r="L974" s="1136"/>
      <c r="AK974" s="982"/>
    </row>
    <row r="975" spans="2:57" ht="15" customHeight="1" outlineLevel="1" x14ac:dyDescent="0.25">
      <c r="L975" s="1136"/>
      <c r="AK975" s="982"/>
    </row>
    <row r="976" spans="2:57" ht="15" customHeight="1" outlineLevel="1" x14ac:dyDescent="0.25">
      <c r="D976" s="1456" t="s">
        <v>572</v>
      </c>
      <c r="E976" s="1456" t="s">
        <v>573</v>
      </c>
      <c r="F976" s="1412" t="s">
        <v>623</v>
      </c>
      <c r="G976" s="1412" t="s">
        <v>574</v>
      </c>
      <c r="H976" s="3419" t="s">
        <v>624</v>
      </c>
      <c r="I976" s="3419"/>
      <c r="J976" s="3954" t="s">
        <v>575</v>
      </c>
      <c r="K976" s="3954"/>
      <c r="L976" s="3954"/>
      <c r="M976" s="1012"/>
      <c r="N976" s="1012"/>
      <c r="O976" s="1012"/>
      <c r="P976" s="1012"/>
      <c r="Q976" s="1012"/>
      <c r="V976" s="55" t="s">
        <v>27</v>
      </c>
      <c r="W976" s="56">
        <f>W$6</f>
        <v>43252</v>
      </c>
      <c r="X976" s="56">
        <f t="shared" ref="X976:AG976" si="119">X$6</f>
        <v>43465</v>
      </c>
      <c r="Y976" s="420">
        <f t="shared" si="119"/>
        <v>43800</v>
      </c>
      <c r="Z976" s="56">
        <f t="shared" si="119"/>
        <v>43862</v>
      </c>
      <c r="AA976" s="56">
        <f t="shared" si="119"/>
        <v>44013</v>
      </c>
      <c r="AB976" s="56">
        <f t="shared" si="119"/>
        <v>44166</v>
      </c>
      <c r="AC976" s="56" t="str">
        <f t="shared" si="119"/>
        <v>-</v>
      </c>
      <c r="AD976" s="56" t="str">
        <f t="shared" si="119"/>
        <v>-</v>
      </c>
      <c r="AE976" s="56" t="str">
        <f t="shared" si="119"/>
        <v>-</v>
      </c>
      <c r="AF976" s="56" t="str">
        <f t="shared" si="119"/>
        <v>-</v>
      </c>
      <c r="AG976" s="56" t="str">
        <f t="shared" si="119"/>
        <v>-</v>
      </c>
      <c r="AK976" s="982"/>
    </row>
    <row r="977" spans="2:37" ht="30" customHeight="1" outlineLevel="1" x14ac:dyDescent="0.25">
      <c r="D977" s="1410" t="s">
        <v>937</v>
      </c>
      <c r="E977" s="1410" t="s">
        <v>938</v>
      </c>
      <c r="F977" s="1200"/>
      <c r="G977" s="1200">
        <v>1</v>
      </c>
      <c r="H977" s="3509" t="s">
        <v>930</v>
      </c>
      <c r="I977" s="3509"/>
      <c r="J977" s="3875" t="s">
        <v>1925</v>
      </c>
      <c r="K977" s="3875"/>
      <c r="L977" s="3875"/>
      <c r="M977" s="1012"/>
      <c r="N977" s="1012"/>
      <c r="O977" s="1012"/>
      <c r="P977" s="1012"/>
      <c r="Q977" s="1012"/>
      <c r="V977" s="1073" t="str">
        <f>D977</f>
        <v>%Electric DHW</v>
      </c>
      <c r="W977" s="1194">
        <v>1</v>
      </c>
      <c r="X977" s="1194">
        <v>1</v>
      </c>
      <c r="Y977" s="1194">
        <v>1</v>
      </c>
      <c r="Z977" s="1194">
        <v>1</v>
      </c>
      <c r="AA977" s="1194">
        <v>1</v>
      </c>
      <c r="AB977" s="1194">
        <v>1</v>
      </c>
      <c r="AC977" s="1074"/>
      <c r="AD977" s="1074"/>
      <c r="AE977" s="1074"/>
      <c r="AF977" s="1074"/>
      <c r="AG977" s="1074"/>
      <c r="AK977" s="982"/>
    </row>
    <row r="978" spans="2:37" ht="101.25" customHeight="1" outlineLevel="1" x14ac:dyDescent="0.25">
      <c r="D978" s="1410" t="s">
        <v>3251</v>
      </c>
      <c r="E978" s="1410" t="s">
        <v>985</v>
      </c>
      <c r="F978" s="1455"/>
      <c r="G978" s="1455">
        <v>1.5</v>
      </c>
      <c r="H978" s="3459" t="s">
        <v>986</v>
      </c>
      <c r="I978" s="3459"/>
      <c r="J978" s="3875" t="s">
        <v>1926</v>
      </c>
      <c r="K978" s="3875"/>
      <c r="L978" s="3875"/>
      <c r="M978" s="1012"/>
      <c r="N978" s="1012"/>
      <c r="O978" s="1012"/>
      <c r="P978" s="1012"/>
      <c r="Q978" s="1012"/>
      <c r="V978" s="1073" t="str">
        <f>D978</f>
        <v>GPMbase</v>
      </c>
      <c r="W978" s="1195">
        <v>1.5</v>
      </c>
      <c r="X978" s="1195">
        <v>1.5</v>
      </c>
      <c r="Y978" s="1195">
        <v>1.5</v>
      </c>
      <c r="Z978" s="1195">
        <v>1.5</v>
      </c>
      <c r="AA978" s="1195">
        <v>1.5</v>
      </c>
      <c r="AB978" s="1195">
        <v>1.5</v>
      </c>
      <c r="AC978" s="1137"/>
      <c r="AD978" s="1137"/>
      <c r="AE978" s="1137"/>
      <c r="AF978" s="1137"/>
      <c r="AG978" s="1137"/>
      <c r="AK978" s="982"/>
    </row>
    <row r="979" spans="2:37" ht="102.75" customHeight="1" outlineLevel="1" x14ac:dyDescent="0.25">
      <c r="D979" s="1410" t="s">
        <v>3252</v>
      </c>
      <c r="E979" s="1869" t="s">
        <v>1861</v>
      </c>
      <c r="F979" s="1927"/>
      <c r="G979" s="1927">
        <v>0.89</v>
      </c>
      <c r="H979" s="3956" t="s">
        <v>1927</v>
      </c>
      <c r="I979" s="3956"/>
      <c r="J979" s="3875" t="s">
        <v>1928</v>
      </c>
      <c r="K979" s="3875"/>
      <c r="L979" s="3875"/>
      <c r="M979" s="1012"/>
      <c r="N979" s="1012"/>
      <c r="O979" s="1012"/>
      <c r="P979" s="1012"/>
      <c r="Q979" s="1012"/>
      <c r="V979" s="1073" t="str">
        <f>D979</f>
        <v>Lbase</v>
      </c>
      <c r="W979" s="1196">
        <v>0.89</v>
      </c>
      <c r="X979" s="1196">
        <v>0.89</v>
      </c>
      <c r="Y979" s="1196">
        <v>0.89</v>
      </c>
      <c r="Z979" s="1196">
        <v>0.89</v>
      </c>
      <c r="AA979" s="1196">
        <v>0.89</v>
      </c>
      <c r="AB979" s="1196">
        <v>0.89</v>
      </c>
      <c r="AC979" s="1076"/>
      <c r="AD979" s="1076"/>
      <c r="AE979" s="1076"/>
      <c r="AF979" s="1076"/>
      <c r="AG979" s="1076"/>
      <c r="AK979" s="982"/>
    </row>
    <row r="980" spans="2:37" outlineLevel="1" x14ac:dyDescent="0.25">
      <c r="D980" s="3475" t="s">
        <v>637</v>
      </c>
      <c r="E980" s="3876" t="s">
        <v>991</v>
      </c>
      <c r="F980" s="1927" t="s">
        <v>740</v>
      </c>
      <c r="G980" s="1927">
        <v>2.67</v>
      </c>
      <c r="H980" s="3957" t="s">
        <v>1198</v>
      </c>
      <c r="I980" s="3958"/>
      <c r="J980" s="3531"/>
      <c r="K980" s="3901"/>
      <c r="L980" s="3532"/>
      <c r="M980" s="1012"/>
      <c r="N980" s="1012"/>
      <c r="O980" s="1012"/>
      <c r="P980" s="1012"/>
      <c r="Q980" s="1012"/>
      <c r="V980" s="3932" t="str">
        <f>D980</f>
        <v>Household</v>
      </c>
      <c r="W980" s="1196">
        <v>2.67</v>
      </c>
      <c r="X980" s="1196">
        <v>2.67</v>
      </c>
      <c r="Y980" s="1196">
        <v>2.67</v>
      </c>
      <c r="Z980" s="1196">
        <v>2.67</v>
      </c>
      <c r="AA980" s="1196">
        <v>2.67</v>
      </c>
      <c r="AB980" s="1196">
        <v>2.67</v>
      </c>
      <c r="AC980" s="1076"/>
      <c r="AD980" s="1076"/>
      <c r="AE980" s="1076"/>
      <c r="AF980" s="1076"/>
      <c r="AG980" s="1076"/>
      <c r="AK980" s="982"/>
    </row>
    <row r="981" spans="2:37" outlineLevel="1" x14ac:dyDescent="0.25">
      <c r="D981" s="3476"/>
      <c r="E981" s="3877"/>
      <c r="F981" s="1927" t="s">
        <v>742</v>
      </c>
      <c r="G981" s="1927">
        <v>2.0699999999999998</v>
      </c>
      <c r="H981" s="3957" t="s">
        <v>1198</v>
      </c>
      <c r="I981" s="3958"/>
      <c r="J981" s="3531"/>
      <c r="K981" s="3901"/>
      <c r="L981" s="3532"/>
      <c r="M981" s="1012"/>
      <c r="N981" s="1012"/>
      <c r="O981" s="1012"/>
      <c r="P981" s="1012"/>
      <c r="Q981" s="1012"/>
      <c r="V981" s="3933"/>
      <c r="W981" s="1196">
        <v>2.0699999999999998</v>
      </c>
      <c r="X981" s="1196">
        <v>2.0699999999999998</v>
      </c>
      <c r="Y981" s="1196">
        <v>2.0699999999999998</v>
      </c>
      <c r="Z981" s="1196">
        <v>2.0699999999999998</v>
      </c>
      <c r="AA981" s="1196">
        <v>2.0699999999999998</v>
      </c>
      <c r="AB981" s="1196">
        <v>2.0699999999999998</v>
      </c>
      <c r="AC981" s="1076"/>
      <c r="AD981" s="1076"/>
      <c r="AE981" s="1076"/>
      <c r="AF981" s="1076"/>
      <c r="AG981" s="1076"/>
      <c r="AK981" s="982"/>
    </row>
    <row r="982" spans="2:37" ht="70.5" customHeight="1" outlineLevel="1" x14ac:dyDescent="0.25">
      <c r="D982" s="1410" t="s">
        <v>992</v>
      </c>
      <c r="E982" s="1869" t="s">
        <v>1866</v>
      </c>
      <c r="F982" s="1927"/>
      <c r="G982" s="1927">
        <v>0.66</v>
      </c>
      <c r="H982" s="3956" t="s">
        <v>1863</v>
      </c>
      <c r="I982" s="3956"/>
      <c r="J982" s="3875" t="s">
        <v>1830</v>
      </c>
      <c r="K982" s="3875"/>
      <c r="L982" s="3875"/>
      <c r="M982" s="1012"/>
      <c r="N982" s="1012"/>
      <c r="O982" s="1012"/>
      <c r="P982" s="1012"/>
      <c r="Q982" s="1012"/>
      <c r="V982" s="1073" t="str">
        <f>D982</f>
        <v>SPDC</v>
      </c>
      <c r="W982" s="1196">
        <v>0.66</v>
      </c>
      <c r="X982" s="1196">
        <v>0.66</v>
      </c>
      <c r="Y982" s="1196">
        <v>0.66</v>
      </c>
      <c r="Z982" s="1196">
        <v>0.66</v>
      </c>
      <c r="AA982" s="1196">
        <v>0.66</v>
      </c>
      <c r="AB982" s="1196">
        <v>0.66</v>
      </c>
      <c r="AC982" s="1076"/>
      <c r="AD982" s="1076"/>
      <c r="AE982" s="1076"/>
      <c r="AF982" s="1076"/>
      <c r="AG982" s="1076"/>
      <c r="AK982" s="982"/>
    </row>
    <row r="983" spans="2:37" outlineLevel="1" x14ac:dyDescent="0.25">
      <c r="D983" s="1410">
        <v>365.25</v>
      </c>
      <c r="E983" s="1869" t="s">
        <v>1868</v>
      </c>
      <c r="F983" s="1927"/>
      <c r="G983" s="1927">
        <v>365.25</v>
      </c>
      <c r="H983" s="3459" t="s">
        <v>921</v>
      </c>
      <c r="I983" s="3459"/>
      <c r="J983" s="3875"/>
      <c r="K983" s="3875"/>
      <c r="L983" s="3875"/>
      <c r="M983" s="1012"/>
      <c r="N983" s="1012"/>
      <c r="O983" s="1012"/>
      <c r="P983" s="1012"/>
      <c r="Q983" s="1012"/>
      <c r="V983" s="1073">
        <f>D983</f>
        <v>365.25</v>
      </c>
      <c r="W983" s="1196">
        <v>365.25</v>
      </c>
      <c r="X983" s="1196">
        <v>365.25</v>
      </c>
      <c r="Y983" s="1196">
        <v>365.25</v>
      </c>
      <c r="Z983" s="1196">
        <v>365.25</v>
      </c>
      <c r="AA983" s="1196">
        <v>365.25</v>
      </c>
      <c r="AB983" s="1196">
        <v>365.25</v>
      </c>
      <c r="AC983" s="1076"/>
      <c r="AD983" s="1076"/>
      <c r="AE983" s="1076"/>
      <c r="AF983" s="1076"/>
      <c r="AG983" s="1076"/>
      <c r="AK983" s="982"/>
    </row>
    <row r="984" spans="2:37" outlineLevel="1" x14ac:dyDescent="0.25">
      <c r="D984" s="3475" t="s">
        <v>995</v>
      </c>
      <c r="E984" s="3876" t="s">
        <v>1869</v>
      </c>
      <c r="F984" s="1927" t="s">
        <v>740</v>
      </c>
      <c r="G984" s="1927">
        <v>2.0499999999999998</v>
      </c>
      <c r="H984" s="3957" t="s">
        <v>1198</v>
      </c>
      <c r="I984" s="3958"/>
      <c r="J984" s="3424"/>
      <c r="K984" s="3424"/>
      <c r="L984" s="3424"/>
      <c r="M984" s="1012"/>
      <c r="N984" s="1012"/>
      <c r="O984" s="1012"/>
      <c r="P984" s="1012"/>
      <c r="Q984" s="1012"/>
      <c r="V984" s="3932" t="str">
        <f>D984</f>
        <v>SPH</v>
      </c>
      <c r="W984" s="1196">
        <v>2.0499999999999998</v>
      </c>
      <c r="X984" s="1196">
        <v>2.0499999999999998</v>
      </c>
      <c r="Y984" s="1196">
        <v>2.0499999999999998</v>
      </c>
      <c r="Z984" s="1196">
        <v>2.0499999999999998</v>
      </c>
      <c r="AA984" s="1196">
        <v>2.0499999999999998</v>
      </c>
      <c r="AB984" s="1196">
        <v>2.0499999999999998</v>
      </c>
      <c r="AC984" s="1076"/>
      <c r="AD984" s="1076"/>
      <c r="AE984" s="1076"/>
      <c r="AF984" s="1076"/>
      <c r="AG984" s="1076"/>
      <c r="AK984" s="982"/>
    </row>
    <row r="985" spans="2:37" outlineLevel="1" x14ac:dyDescent="0.25">
      <c r="D985" s="3476"/>
      <c r="E985" s="3877"/>
      <c r="F985" s="1927" t="s">
        <v>742</v>
      </c>
      <c r="G985" s="1927">
        <v>1.4</v>
      </c>
      <c r="H985" s="3957" t="s">
        <v>1198</v>
      </c>
      <c r="I985" s="3958"/>
      <c r="J985" s="3424"/>
      <c r="K985" s="3424"/>
      <c r="L985" s="3424"/>
      <c r="M985" s="1012"/>
      <c r="N985" s="1012"/>
      <c r="O985" s="1012"/>
      <c r="P985" s="1012"/>
      <c r="Q985" s="1012"/>
      <c r="V985" s="3933"/>
      <c r="W985" s="1196">
        <v>1.4</v>
      </c>
      <c r="X985" s="1196">
        <v>1.4</v>
      </c>
      <c r="Y985" s="1196">
        <v>1.4</v>
      </c>
      <c r="Z985" s="1196">
        <v>1.4</v>
      </c>
      <c r="AA985" s="1196">
        <v>1.4</v>
      </c>
      <c r="AB985" s="1196">
        <v>1.4</v>
      </c>
      <c r="AC985" s="1076"/>
      <c r="AD985" s="1076"/>
      <c r="AE985" s="1076"/>
      <c r="AF985" s="1076"/>
      <c r="AG985" s="1076"/>
      <c r="AK985" s="982"/>
    </row>
    <row r="986" spans="2:37" outlineLevel="1" x14ac:dyDescent="0.25">
      <c r="D986" s="1410">
        <v>8.33</v>
      </c>
      <c r="E986" s="1869" t="s">
        <v>959</v>
      </c>
      <c r="F986" s="1927"/>
      <c r="G986" s="1927">
        <v>8.33</v>
      </c>
      <c r="H986" s="3509" t="s">
        <v>960</v>
      </c>
      <c r="I986" s="3509"/>
      <c r="J986" s="3875" t="s">
        <v>1830</v>
      </c>
      <c r="K986" s="3875"/>
      <c r="L986" s="3875"/>
      <c r="M986" s="1012"/>
      <c r="N986" s="1012"/>
      <c r="O986" s="1012"/>
      <c r="P986" s="1012" t="s">
        <v>1929</v>
      </c>
      <c r="Q986" s="1012"/>
      <c r="V986" s="1073">
        <f>D986</f>
        <v>8.33</v>
      </c>
      <c r="W986" s="1196">
        <v>8.33</v>
      </c>
      <c r="X986" s="1196">
        <v>8.33</v>
      </c>
      <c r="Y986" s="1196">
        <v>8.33</v>
      </c>
      <c r="Z986" s="1196">
        <v>8.33</v>
      </c>
      <c r="AA986" s="1196">
        <v>8.33</v>
      </c>
      <c r="AB986" s="1196">
        <v>8.33</v>
      </c>
      <c r="AC986" s="1076"/>
      <c r="AD986" s="1076"/>
      <c r="AE986" s="1076"/>
      <c r="AF986" s="1076"/>
      <c r="AG986" s="1076"/>
      <c r="AK986" s="982"/>
    </row>
    <row r="987" spans="2:37" outlineLevel="1" x14ac:dyDescent="0.25">
      <c r="D987" s="1410">
        <v>1</v>
      </c>
      <c r="E987" s="1869" t="s">
        <v>1870</v>
      </c>
      <c r="F987" s="1927"/>
      <c r="G987" s="1927">
        <v>1</v>
      </c>
      <c r="H987" s="3459" t="s">
        <v>962</v>
      </c>
      <c r="I987" s="3459"/>
      <c r="J987" s="3875" t="s">
        <v>1830</v>
      </c>
      <c r="K987" s="3875"/>
      <c r="L987" s="3875"/>
      <c r="M987" s="1012"/>
      <c r="N987" s="1012"/>
      <c r="O987" s="1012"/>
      <c r="P987" s="1012"/>
      <c r="Q987" s="1012"/>
      <c r="V987" s="1073">
        <f t="shared" ref="V987:V994" si="120">D987</f>
        <v>1</v>
      </c>
      <c r="W987" s="1196">
        <v>1</v>
      </c>
      <c r="X987" s="1196">
        <v>1</v>
      </c>
      <c r="Y987" s="1196">
        <v>1</v>
      </c>
      <c r="Z987" s="1196">
        <v>1</v>
      </c>
      <c r="AA987" s="1196">
        <v>1</v>
      </c>
      <c r="AB987" s="1196">
        <v>1</v>
      </c>
      <c r="AC987" s="1076"/>
      <c r="AD987" s="1076"/>
      <c r="AE987" s="1076"/>
      <c r="AF987" s="1076"/>
      <c r="AG987" s="1076"/>
      <c r="AK987" s="982"/>
    </row>
    <row r="988" spans="2:37" outlineLevel="1" x14ac:dyDescent="0.25">
      <c r="D988" s="1410" t="s">
        <v>997</v>
      </c>
      <c r="E988" s="1869" t="s">
        <v>1871</v>
      </c>
      <c r="F988" s="1927"/>
      <c r="G988" s="1927">
        <v>105</v>
      </c>
      <c r="H988" s="3459" t="s">
        <v>999</v>
      </c>
      <c r="I988" s="3459"/>
      <c r="J988" s="3875" t="s">
        <v>1830</v>
      </c>
      <c r="K988" s="3875"/>
      <c r="L988" s="3875"/>
      <c r="M988" s="1012"/>
      <c r="N988" s="1012"/>
      <c r="O988" s="1012"/>
      <c r="P988" s="1012"/>
      <c r="Q988" s="1012"/>
      <c r="V988" s="1073" t="str">
        <f t="shared" si="120"/>
        <v>ShowerTemp</v>
      </c>
      <c r="W988" s="1196">
        <v>105</v>
      </c>
      <c r="X988" s="1196">
        <v>105</v>
      </c>
      <c r="Y988" s="1196">
        <v>105</v>
      </c>
      <c r="Z988" s="1196">
        <v>105</v>
      </c>
      <c r="AA988" s="1196">
        <v>105</v>
      </c>
      <c r="AB988" s="1196">
        <v>105</v>
      </c>
      <c r="AC988" s="1076"/>
      <c r="AD988" s="1076"/>
      <c r="AE988" s="1076"/>
      <c r="AF988" s="1076"/>
      <c r="AG988" s="1076"/>
      <c r="AK988" s="982"/>
    </row>
    <row r="989" spans="2:37" outlineLevel="1" x14ac:dyDescent="0.25">
      <c r="B989" s="1359"/>
      <c r="D989" s="1410" t="s">
        <v>966</v>
      </c>
      <c r="E989" s="1869" t="s">
        <v>1843</v>
      </c>
      <c r="F989" s="1927"/>
      <c r="G989" s="1927">
        <v>61.3</v>
      </c>
      <c r="H989" s="3459" t="s">
        <v>968</v>
      </c>
      <c r="I989" s="3459"/>
      <c r="J989" s="3875" t="s">
        <v>1830</v>
      </c>
      <c r="K989" s="3875"/>
      <c r="L989" s="3875"/>
      <c r="M989" s="1012"/>
      <c r="N989" s="1012"/>
      <c r="O989" s="1012"/>
      <c r="P989" s="1012"/>
      <c r="Q989" s="1012"/>
      <c r="V989" s="1073" t="str">
        <f t="shared" si="120"/>
        <v>SupplyTemp</v>
      </c>
      <c r="W989" s="1196">
        <v>61.3</v>
      </c>
      <c r="X989" s="1196">
        <v>61.3</v>
      </c>
      <c r="Y989" s="1196">
        <v>61.3</v>
      </c>
      <c r="Z989" s="1196">
        <v>61.3</v>
      </c>
      <c r="AA989" s="1196">
        <v>61.3</v>
      </c>
      <c r="AB989" s="1196">
        <v>61.3</v>
      </c>
      <c r="AC989" s="1076"/>
      <c r="AD989" s="1076"/>
      <c r="AE989" s="1076"/>
      <c r="AF989" s="1076"/>
      <c r="AG989" s="1076"/>
      <c r="AK989" s="982"/>
    </row>
    <row r="990" spans="2:37" ht="18" outlineLevel="1" x14ac:dyDescent="0.25">
      <c r="B990" s="1359"/>
      <c r="D990" s="1410" t="s">
        <v>1930</v>
      </c>
      <c r="E990" s="1443" t="s">
        <v>1844</v>
      </c>
      <c r="F990" s="1197"/>
      <c r="G990" s="1197">
        <v>0.98</v>
      </c>
      <c r="H990" s="3866" t="s">
        <v>1845</v>
      </c>
      <c r="I990" s="3866"/>
      <c r="J990" s="3875" t="s">
        <v>1830</v>
      </c>
      <c r="K990" s="3875"/>
      <c r="L990" s="3875"/>
      <c r="M990" s="1012"/>
      <c r="N990" s="1012"/>
      <c r="O990" s="1012"/>
      <c r="P990" s="1012"/>
      <c r="Q990" s="1012"/>
      <c r="V990" s="1073" t="str">
        <f t="shared" si="120"/>
        <v>REelectric</v>
      </c>
      <c r="W990" s="1196">
        <v>0.98</v>
      </c>
      <c r="X990" s="1196">
        <v>0.98</v>
      </c>
      <c r="Y990" s="1196">
        <v>0.98</v>
      </c>
      <c r="Z990" s="1196">
        <v>0.98</v>
      </c>
      <c r="AA990" s="1196">
        <v>0.98</v>
      </c>
      <c r="AB990" s="1196">
        <v>0.98</v>
      </c>
      <c r="AC990" s="1076"/>
      <c r="AD990" s="1076"/>
      <c r="AE990" s="1076"/>
      <c r="AF990" s="1076"/>
      <c r="AG990" s="1076"/>
      <c r="AK990" s="982"/>
    </row>
    <row r="991" spans="2:37" outlineLevel="1" x14ac:dyDescent="0.25">
      <c r="B991" s="1359"/>
      <c r="D991" s="1410">
        <v>3412</v>
      </c>
      <c r="E991" s="1443">
        <v>3412</v>
      </c>
      <c r="F991" s="1198"/>
      <c r="G991" s="1198">
        <v>3412</v>
      </c>
      <c r="H991" s="3509" t="s">
        <v>655</v>
      </c>
      <c r="I991" s="3509"/>
      <c r="J991" s="3875" t="s">
        <v>1931</v>
      </c>
      <c r="K991" s="3875"/>
      <c r="L991" s="3875"/>
      <c r="M991" s="1012"/>
      <c r="N991" s="1012"/>
      <c r="O991" s="1012"/>
      <c r="P991" s="1012"/>
      <c r="Q991" s="1012"/>
      <c r="V991" s="1073">
        <f t="shared" si="120"/>
        <v>3412</v>
      </c>
      <c r="W991" s="1199">
        <v>3412</v>
      </c>
      <c r="X991" s="1199">
        <v>3412</v>
      </c>
      <c r="Y991" s="1199">
        <v>3412</v>
      </c>
      <c r="Z991" s="1199">
        <v>3412</v>
      </c>
      <c r="AA991" s="1199">
        <v>3412</v>
      </c>
      <c r="AB991" s="1199">
        <v>3412</v>
      </c>
      <c r="AC991" s="1154"/>
      <c r="AD991" s="1154"/>
      <c r="AE991" s="1154"/>
      <c r="AF991" s="1154"/>
      <c r="AG991" s="1154"/>
      <c r="AK991" s="982"/>
    </row>
    <row r="992" spans="2:37" outlineLevel="1" x14ac:dyDescent="0.25">
      <c r="B992" s="1359"/>
      <c r="D992" s="1410" t="s">
        <v>892</v>
      </c>
      <c r="E992" s="1410" t="s">
        <v>929</v>
      </c>
      <c r="F992" s="1200"/>
      <c r="G992" s="1200">
        <v>1</v>
      </c>
      <c r="H992" s="3509" t="s">
        <v>930</v>
      </c>
      <c r="I992" s="3509"/>
      <c r="J992" s="3875" t="s">
        <v>1726</v>
      </c>
      <c r="K992" s="3875"/>
      <c r="L992" s="3875"/>
      <c r="M992" s="1012"/>
      <c r="N992" s="1012"/>
      <c r="O992" s="1012"/>
      <c r="P992" s="1012"/>
      <c r="Q992" s="1012"/>
      <c r="V992" s="1073" t="str">
        <f t="shared" si="120"/>
        <v>Utility Adjustment</v>
      </c>
      <c r="W992" s="1194">
        <v>1</v>
      </c>
      <c r="X992" s="1194">
        <v>1</v>
      </c>
      <c r="Y992" s="1194">
        <v>1</v>
      </c>
      <c r="Z992" s="1194">
        <v>1</v>
      </c>
      <c r="AA992" s="1194">
        <v>1</v>
      </c>
      <c r="AB992" s="1194">
        <v>1</v>
      </c>
      <c r="AC992" s="1074"/>
      <c r="AD992" s="1074"/>
      <c r="AE992" s="1074"/>
      <c r="AF992" s="1074"/>
      <c r="AG992" s="1074"/>
      <c r="AK992" s="982"/>
    </row>
    <row r="993" spans="1:57" outlineLevel="1" x14ac:dyDescent="0.25">
      <c r="B993" s="1359"/>
      <c r="C993" s="274"/>
      <c r="D993" s="1410" t="s">
        <v>75</v>
      </c>
      <c r="E993" s="1443" t="s">
        <v>1727</v>
      </c>
      <c r="F993" s="1197"/>
      <c r="G993" s="1197">
        <v>0.91346153846153844</v>
      </c>
      <c r="H993" s="3959" t="s">
        <v>1932</v>
      </c>
      <c r="I993" s="3959"/>
      <c r="J993" s="3875" t="s">
        <v>1830</v>
      </c>
      <c r="K993" s="3875"/>
      <c r="L993" s="3875"/>
      <c r="M993" s="1012"/>
      <c r="N993" s="1012"/>
      <c r="O993" s="1012"/>
      <c r="P993" s="1012"/>
      <c r="Q993" s="1012"/>
      <c r="V993" s="1073" t="str">
        <f t="shared" si="120"/>
        <v>ISR</v>
      </c>
      <c r="W993" s="1196">
        <v>0.91346153846153844</v>
      </c>
      <c r="X993" s="1196">
        <v>0.91346153846153844</v>
      </c>
      <c r="Y993" s="1196">
        <v>0.91346153846153844</v>
      </c>
      <c r="Z993" s="1196">
        <v>0.91346153846153844</v>
      </c>
      <c r="AA993" s="1196">
        <v>0.91346153846153844</v>
      </c>
      <c r="AB993" s="1196">
        <v>0.91346153846153844</v>
      </c>
      <c r="AC993" s="1076"/>
      <c r="AD993" s="1076"/>
      <c r="AE993" s="1076"/>
      <c r="AF993" s="1076"/>
      <c r="AG993" s="1076"/>
      <c r="AK993" s="982"/>
    </row>
    <row r="994" spans="1:57" outlineLevel="1" x14ac:dyDescent="0.25">
      <c r="B994" s="1359"/>
      <c r="C994" s="375"/>
      <c r="D994" s="1438" t="str">
        <f>D874</f>
        <v>EUL</v>
      </c>
      <c r="E994" s="1438" t="str">
        <f>E874</f>
        <v>Effective Useful Life (All)</v>
      </c>
      <c r="F994" s="1454" t="s">
        <v>591</v>
      </c>
      <c r="G994" s="1201">
        <v>10</v>
      </c>
      <c r="H994" s="3959"/>
      <c r="I994" s="3959"/>
      <c r="J994" s="3875"/>
      <c r="K994" s="3875"/>
      <c r="L994" s="3875"/>
      <c r="V994" s="1073" t="str">
        <f t="shared" si="120"/>
        <v>EUL</v>
      </c>
      <c r="W994" s="1077">
        <v>10</v>
      </c>
      <c r="X994" s="1077">
        <v>10</v>
      </c>
      <c r="Y994" s="1077">
        <v>10</v>
      </c>
      <c r="Z994" s="1077">
        <v>10</v>
      </c>
      <c r="AA994" s="1077">
        <v>10</v>
      </c>
      <c r="AB994" s="1077">
        <v>10</v>
      </c>
      <c r="AC994" s="1163"/>
      <c r="AD994" s="1163"/>
      <c r="AE994" s="1163"/>
      <c r="AF994" s="1163"/>
      <c r="AG994" s="1163"/>
      <c r="AK994" s="982"/>
    </row>
    <row r="995" spans="1:57" outlineLevel="1" x14ac:dyDescent="0.25">
      <c r="B995" s="1359"/>
      <c r="C995" s="375"/>
      <c r="D995" s="3934" t="str">
        <f>D960</f>
        <v>Inc. Cost</v>
      </c>
      <c r="E995" s="3934" t="str">
        <f>E843</f>
        <v>Incremental Cost</v>
      </c>
      <c r="F995" s="1454" t="s">
        <v>1846</v>
      </c>
      <c r="G995" s="1202">
        <v>50</v>
      </c>
      <c r="H995" s="3959"/>
      <c r="I995" s="3959"/>
      <c r="J995" s="3875"/>
      <c r="K995" s="3875"/>
      <c r="L995" s="3875"/>
      <c r="V995" s="3805" t="str">
        <f>D995</f>
        <v>Inc. Cost</v>
      </c>
      <c r="W995" s="1164">
        <v>50</v>
      </c>
      <c r="X995" s="1164">
        <v>50</v>
      </c>
      <c r="Y995" s="1164">
        <v>50</v>
      </c>
      <c r="Z995" s="1164">
        <v>50</v>
      </c>
      <c r="AA995" s="1164">
        <v>50</v>
      </c>
      <c r="AB995" s="1164">
        <v>50</v>
      </c>
      <c r="AC995" s="1165"/>
      <c r="AD995" s="1165"/>
      <c r="AE995" s="1165"/>
      <c r="AF995" s="1165"/>
      <c r="AG995" s="1165"/>
      <c r="AK995" s="982"/>
    </row>
    <row r="996" spans="1:57" outlineLevel="1" x14ac:dyDescent="0.25">
      <c r="B996" s="1359"/>
      <c r="C996" s="375"/>
      <c r="D996" s="3459"/>
      <c r="E996" s="3459"/>
      <c r="F996" s="1454" t="s">
        <v>1848</v>
      </c>
      <c r="G996" s="1202">
        <v>50</v>
      </c>
      <c r="H996" s="3959"/>
      <c r="I996" s="3959"/>
      <c r="J996" s="3875"/>
      <c r="K996" s="3875"/>
      <c r="L996" s="3875"/>
      <c r="V996" s="3933"/>
      <c r="W996" s="1164">
        <v>50</v>
      </c>
      <c r="X996" s="1164">
        <v>50</v>
      </c>
      <c r="Y996" s="1164">
        <v>50</v>
      </c>
      <c r="Z996" s="1164">
        <v>50</v>
      </c>
      <c r="AA996" s="1164">
        <v>50</v>
      </c>
      <c r="AB996" s="1164">
        <v>50</v>
      </c>
      <c r="AC996" s="1165"/>
      <c r="AD996" s="1165"/>
      <c r="AE996" s="1165"/>
      <c r="AF996" s="1165"/>
      <c r="AG996" s="1165"/>
      <c r="AK996" s="982"/>
    </row>
    <row r="997" spans="1:57" ht="15" customHeight="1" x14ac:dyDescent="0.25">
      <c r="B997" s="1359"/>
      <c r="C997" s="274"/>
      <c r="Y997" s="1701" t="s">
        <v>1581</v>
      </c>
      <c r="Z997" s="497"/>
      <c r="AA997" s="497"/>
      <c r="AK997" s="982"/>
    </row>
    <row r="998" spans="1:57" ht="15" customHeight="1" x14ac:dyDescent="0.25">
      <c r="B998" s="1359"/>
      <c r="C998" s="274"/>
      <c r="AK998" s="982"/>
    </row>
    <row r="999" spans="1:57" ht="15" customHeight="1" x14ac:dyDescent="0.25">
      <c r="B999" s="3350" t="s">
        <v>1933</v>
      </c>
      <c r="C999" s="3351"/>
      <c r="D999" s="3351"/>
      <c r="E999" s="3351"/>
      <c r="F999" s="3351"/>
      <c r="G999" s="3351"/>
      <c r="H999" s="3351"/>
      <c r="I999" s="3352"/>
      <c r="J999" s="3352"/>
      <c r="K999" s="3352"/>
      <c r="L999" s="3352"/>
      <c r="M999" s="3352"/>
      <c r="N999" s="3352"/>
      <c r="O999" s="3352"/>
      <c r="P999" s="3352"/>
      <c r="Q999" s="3352"/>
      <c r="R999" s="3353"/>
      <c r="V999" s="3350" t="str">
        <f>B999</f>
        <v>Water Heater Wrap</v>
      </c>
      <c r="W999" s="3351"/>
      <c r="X999" s="3351"/>
      <c r="Y999" s="3351"/>
      <c r="Z999" s="3351"/>
      <c r="AA999" s="3351"/>
      <c r="AB999" s="3351"/>
      <c r="AC999" s="3354"/>
      <c r="AD999" s="3354"/>
      <c r="AE999" s="3354"/>
      <c r="AF999" s="3354"/>
      <c r="AG999" s="3354"/>
      <c r="AH999" s="3354"/>
      <c r="AI999" s="3355"/>
      <c r="AK999" s="982"/>
    </row>
    <row r="1000" spans="1:57" ht="15" customHeight="1" x14ac:dyDescent="0.25">
      <c r="A1000" s="296"/>
      <c r="B1000" s="296"/>
      <c r="D1000" s="482"/>
      <c r="E1000" s="482"/>
      <c r="F1000" s="275"/>
      <c r="G1000" s="275"/>
      <c r="H1000" s="275"/>
      <c r="I1000" s="275"/>
      <c r="J1000" s="275"/>
      <c r="K1000" s="275"/>
      <c r="L1000" s="1635"/>
      <c r="AK1000" s="982"/>
    </row>
    <row r="1001" spans="1:57" ht="30" x14ac:dyDescent="0.25">
      <c r="B1001" s="1359"/>
      <c r="C1001" s="1409" t="s">
        <v>17</v>
      </c>
      <c r="D1001" s="1409" t="s">
        <v>616</v>
      </c>
      <c r="E1001" s="1409" t="s">
        <v>19</v>
      </c>
      <c r="F1001" s="1409" t="s">
        <v>1682</v>
      </c>
      <c r="G1001" s="1409" t="s">
        <v>21</v>
      </c>
      <c r="H1001" s="1409" t="s">
        <v>22</v>
      </c>
      <c r="I1001" s="1409" t="s">
        <v>23</v>
      </c>
      <c r="J1001" s="1409" t="s">
        <v>24</v>
      </c>
      <c r="K1001" s="1409" t="s">
        <v>25</v>
      </c>
      <c r="L1001" s="1409" t="s">
        <v>26</v>
      </c>
      <c r="V1001" s="55" t="s">
        <v>27</v>
      </c>
      <c r="W1001" s="56">
        <f>W$6</f>
        <v>43252</v>
      </c>
      <c r="X1001" s="56">
        <f t="shared" ref="X1001:AG1001" si="121">X$6</f>
        <v>43465</v>
      </c>
      <c r="Y1001" s="420">
        <f t="shared" si="121"/>
        <v>43800</v>
      </c>
      <c r="Z1001" s="56">
        <f t="shared" si="121"/>
        <v>43862</v>
      </c>
      <c r="AA1001" s="56">
        <f t="shared" si="121"/>
        <v>44013</v>
      </c>
      <c r="AB1001" s="56">
        <f t="shared" si="121"/>
        <v>44166</v>
      </c>
      <c r="AC1001" s="56" t="str">
        <f t="shared" si="121"/>
        <v>-</v>
      </c>
      <c r="AD1001" s="56" t="str">
        <f t="shared" si="121"/>
        <v>-</v>
      </c>
      <c r="AE1001" s="56" t="str">
        <f t="shared" si="121"/>
        <v>-</v>
      </c>
      <c r="AF1001" s="56" t="str">
        <f t="shared" si="121"/>
        <v>-</v>
      </c>
      <c r="AG1001" s="56" t="str">
        <f t="shared" si="121"/>
        <v>-</v>
      </c>
      <c r="AK1001" s="982"/>
      <c r="BB1001" s="57" t="str">
        <f>$BB$6</f>
        <v>TRC (2020)</v>
      </c>
      <c r="BC1001" s="93" t="str">
        <f>$BC$6</f>
        <v>Benefit Lookup</v>
      </c>
      <c r="BD1001" s="741" t="str">
        <f>$BD$6</f>
        <v>Benefits (2019 $)</v>
      </c>
      <c r="BE1001" s="279" t="str">
        <f>$BE$6</f>
        <v>Incremental Cost (2019 $)</v>
      </c>
    </row>
    <row r="1002" spans="1:57" s="993" customFormat="1" ht="15" customHeight="1" x14ac:dyDescent="0.25">
      <c r="A1002" s="1012"/>
      <c r="B1002" s="1823"/>
      <c r="C1002" s="1658" t="s">
        <v>1934</v>
      </c>
      <c r="D1002" s="2132" t="s">
        <v>1515</v>
      </c>
      <c r="E1002" s="1427" t="s">
        <v>1935</v>
      </c>
      <c r="F1002" s="138">
        <f>ROUND(((((F1009/F1010)-(F1011/F1012))*F1013*F1014)/(F1015*F1016))*F1017*F1018*F1019,2)</f>
        <v>100.55</v>
      </c>
      <c r="G1002" s="1658" t="s">
        <v>1822</v>
      </c>
      <c r="H1002" s="202">
        <f>VLOOKUP(G1002,'CP FACTORS'!$A$3:$B$38, 2, FALSE)</f>
        <v>8.8731800000000003E-5</v>
      </c>
      <c r="I1002" s="1733">
        <f>ROUND(F1002*H1002,6)</f>
        <v>8.9219999999999994E-3</v>
      </c>
      <c r="J1002" s="1414">
        <f>F1020</f>
        <v>12</v>
      </c>
      <c r="K1002" s="1203">
        <f>F1021</f>
        <v>58</v>
      </c>
      <c r="L1002" s="1658" t="s">
        <v>37</v>
      </c>
      <c r="M1002" s="1012"/>
      <c r="N1002" s="1012"/>
      <c r="O1002" s="1012"/>
      <c r="P1002" s="1012"/>
      <c r="Q1002" s="1012"/>
      <c r="R1002" s="1012"/>
      <c r="S1002" s="1012"/>
      <c r="T1002" s="1012"/>
      <c r="U1002" s="1012"/>
      <c r="V1002" s="1125" t="str">
        <f>$F$966</f>
        <v>kWh
Annual Savings</v>
      </c>
      <c r="W1002" s="981">
        <v>100.55</v>
      </c>
      <c r="X1002" s="981">
        <v>100.55</v>
      </c>
      <c r="Y1002" s="981">
        <v>100.55</v>
      </c>
      <c r="Z1002" s="981">
        <v>100.55</v>
      </c>
      <c r="AA1002" s="981">
        <v>100.55</v>
      </c>
      <c r="AB1002" s="981">
        <v>100.55</v>
      </c>
      <c r="AC1002" s="1125"/>
      <c r="AD1002" s="1125"/>
      <c r="AE1002" s="1125"/>
      <c r="AF1002" s="1125"/>
      <c r="AG1002" s="1125"/>
      <c r="AK1002" s="1127"/>
      <c r="BB1002" s="1204">
        <f>(BD1002)/(BE1002)</f>
        <v>0.74088146802699328</v>
      </c>
      <c r="BC1002" s="68" t="str">
        <f>CONCATENATE(G1002," ",J1002," Year EUL")</f>
        <v>Water heating RES 12 Year EUL</v>
      </c>
      <c r="BD1002" s="214">
        <f>(INDEX('Avoided Cost Benefits'!$C$4:$C$857,MATCH(BC1002,'Avoided Cost Benefits'!$A$4:$A$857,0)))*F1002</f>
        <v>40.557928405441821</v>
      </c>
      <c r="BE1002" s="1205">
        <f>K1002/(1.0595^(2020-2019))</f>
        <v>54.742803209060874</v>
      </c>
    </row>
    <row r="1003" spans="1:57" ht="15" customHeight="1" outlineLevel="1" x14ac:dyDescent="0.25">
      <c r="B1003" s="1359"/>
      <c r="C1003" s="302"/>
      <c r="D1003" s="1332"/>
      <c r="E1003" s="1332"/>
      <c r="AK1003" s="982"/>
    </row>
    <row r="1004" spans="1:57" ht="15" customHeight="1" outlineLevel="1" x14ac:dyDescent="0.25">
      <c r="B1004" s="1359"/>
      <c r="C1004" s="302"/>
      <c r="D1004" s="222" t="s">
        <v>571</v>
      </c>
      <c r="E1004" s="920"/>
      <c r="F1004" s="1827"/>
      <c r="G1004" s="1827"/>
      <c r="AK1004" s="982"/>
    </row>
    <row r="1005" spans="1:57" ht="15" customHeight="1" outlineLevel="1" x14ac:dyDescent="0.25">
      <c r="B1005" s="1359"/>
      <c r="C1005" s="316"/>
      <c r="D1005" s="1896"/>
      <c r="E1005" s="1897"/>
      <c r="F1005" s="1830"/>
      <c r="G1005" s="1830"/>
      <c r="H1005" s="1830"/>
      <c r="I1005" s="1830"/>
      <c r="J1005" s="1830"/>
      <c r="AK1005" s="982"/>
    </row>
    <row r="1006" spans="1:57" ht="15" customHeight="1" outlineLevel="1" x14ac:dyDescent="0.25">
      <c r="B1006" s="1359"/>
      <c r="C1006" s="316"/>
      <c r="D1006" s="1896"/>
      <c r="E1006" s="1897"/>
      <c r="F1006" s="1830"/>
      <c r="G1006" s="1899"/>
      <c r="H1006" s="1899"/>
      <c r="I1006" s="1899"/>
      <c r="J1006" s="1830"/>
      <c r="AK1006" s="982"/>
    </row>
    <row r="1007" spans="1:57" outlineLevel="1" x14ac:dyDescent="0.25">
      <c r="B1007" s="1359"/>
      <c r="C1007" s="316"/>
      <c r="D1007" s="1828"/>
      <c r="E1007" s="1829"/>
      <c r="F1007" s="1830"/>
      <c r="G1007" s="1899"/>
      <c r="H1007" s="1899"/>
      <c r="I1007" s="1899"/>
      <c r="J1007" s="1830"/>
      <c r="AK1007" s="982"/>
    </row>
    <row r="1008" spans="1:57" outlineLevel="1" x14ac:dyDescent="0.25">
      <c r="B1008" s="1359"/>
      <c r="C1008" s="274"/>
      <c r="D1008" s="1456" t="s">
        <v>572</v>
      </c>
      <c r="E1008" s="1456" t="s">
        <v>573</v>
      </c>
      <c r="F1008" s="1412" t="s">
        <v>574</v>
      </c>
      <c r="G1008" s="3419" t="s">
        <v>624</v>
      </c>
      <c r="H1008" s="3419"/>
      <c r="I1008" s="1440" t="s">
        <v>575</v>
      </c>
      <c r="V1008" s="55" t="s">
        <v>27</v>
      </c>
      <c r="W1008" s="56">
        <f>W$6</f>
        <v>43252</v>
      </c>
      <c r="X1008" s="56">
        <f t="shared" ref="X1008:AG1008" si="122">X$6</f>
        <v>43465</v>
      </c>
      <c r="Y1008" s="420">
        <f t="shared" si="122"/>
        <v>43800</v>
      </c>
      <c r="Z1008" s="56">
        <f t="shared" si="122"/>
        <v>43862</v>
      </c>
      <c r="AA1008" s="56">
        <f t="shared" si="122"/>
        <v>44013</v>
      </c>
      <c r="AB1008" s="56">
        <f t="shared" si="122"/>
        <v>44166</v>
      </c>
      <c r="AC1008" s="56" t="str">
        <f t="shared" si="122"/>
        <v>-</v>
      </c>
      <c r="AD1008" s="56" t="str">
        <f t="shared" si="122"/>
        <v>-</v>
      </c>
      <c r="AE1008" s="56" t="str">
        <f t="shared" si="122"/>
        <v>-</v>
      </c>
      <c r="AF1008" s="56" t="str">
        <f t="shared" si="122"/>
        <v>-</v>
      </c>
      <c r="AG1008" s="56" t="str">
        <f t="shared" si="122"/>
        <v>-</v>
      </c>
      <c r="AK1008" s="982"/>
    </row>
    <row r="1009" spans="1:54" s="993" customFormat="1" ht="118.5" customHeight="1" outlineLevel="1" x14ac:dyDescent="0.25">
      <c r="A1009" s="1012"/>
      <c r="B1009" s="1823"/>
      <c r="C1009" s="1015"/>
      <c r="D1009" s="513" t="s">
        <v>3253</v>
      </c>
      <c r="E1009" s="1869" t="s">
        <v>1936</v>
      </c>
      <c r="F1009" s="1928">
        <f>AVERAGE(19.16,23.18,24.99,31.84)</f>
        <v>24.7925</v>
      </c>
      <c r="G1009" s="3956" t="s">
        <v>1937</v>
      </c>
      <c r="H1009" s="3956"/>
      <c r="I1009" s="1452" t="s">
        <v>1938</v>
      </c>
      <c r="J1009" s="1012"/>
      <c r="K1009" s="1012"/>
      <c r="L1009" s="1012"/>
      <c r="M1009" s="1012"/>
      <c r="N1009" s="1012"/>
      <c r="O1009" s="1012"/>
      <c r="P1009" s="1012"/>
      <c r="Q1009" s="1012"/>
      <c r="R1009" s="1012"/>
      <c r="S1009" s="1012"/>
      <c r="T1009" s="1012"/>
      <c r="U1009" s="1012"/>
      <c r="V1009" s="1073" t="str">
        <f>D1009</f>
        <v>ABase</v>
      </c>
      <c r="W1009" s="1206">
        <f>AVERAGE(19.16,23.18,24.99,31.84)</f>
        <v>24.7925</v>
      </c>
      <c r="X1009" s="1206">
        <f>AVERAGE(19.16,23.18,24.99,31.84)</f>
        <v>24.7925</v>
      </c>
      <c r="Y1009" s="1206">
        <f>AVERAGE(19.16,23.18,24.99,31.84)</f>
        <v>24.7925</v>
      </c>
      <c r="Z1009" s="1206">
        <f t="shared" ref="Z1009:AB1009" si="123">AVERAGE(19.16,23.18,24.99,31.84)</f>
        <v>24.7925</v>
      </c>
      <c r="AA1009" s="1206">
        <f t="shared" si="123"/>
        <v>24.7925</v>
      </c>
      <c r="AB1009" s="1206">
        <f t="shared" si="123"/>
        <v>24.7925</v>
      </c>
      <c r="AC1009" s="1207"/>
      <c r="AD1009" s="1207"/>
      <c r="AE1009" s="1207"/>
      <c r="AF1009" s="1207"/>
      <c r="AG1009" s="1207"/>
      <c r="AK1009" s="1127"/>
      <c r="BB1009" s="1008"/>
    </row>
    <row r="1010" spans="1:54" s="993" customFormat="1" ht="18" outlineLevel="1" x14ac:dyDescent="0.25">
      <c r="A1010" s="1012"/>
      <c r="B1010" s="1823"/>
      <c r="C1010" s="1015"/>
      <c r="D1010" s="513" t="s">
        <v>1007</v>
      </c>
      <c r="E1010" s="1929" t="s">
        <v>1939</v>
      </c>
      <c r="F1010" s="1197">
        <v>14</v>
      </c>
      <c r="G1010" s="3956" t="s">
        <v>1883</v>
      </c>
      <c r="H1010" s="3956"/>
      <c r="I1010" s="1452" t="s">
        <v>1940</v>
      </c>
      <c r="J1010" s="1012"/>
      <c r="K1010" s="1012"/>
      <c r="L1010" s="1012"/>
      <c r="M1010" s="1012"/>
      <c r="N1010" s="1012"/>
      <c r="O1010" s="1012"/>
      <c r="P1010" s="1012"/>
      <c r="Q1010" s="1012"/>
      <c r="R1010" s="1012"/>
      <c r="S1010" s="1012"/>
      <c r="T1010" s="1012"/>
      <c r="U1010" s="1012"/>
      <c r="V1010" s="1073" t="str">
        <f t="shared" ref="V1010:V1020" si="124">D1010</f>
        <v>RBase</v>
      </c>
      <c r="W1010" s="1208">
        <v>14</v>
      </c>
      <c r="X1010" s="1208">
        <v>14</v>
      </c>
      <c r="Y1010" s="1208">
        <v>14</v>
      </c>
      <c r="Z1010" s="1208">
        <v>14</v>
      </c>
      <c r="AA1010" s="1208">
        <v>14</v>
      </c>
      <c r="AB1010" s="1208">
        <v>14</v>
      </c>
      <c r="AC1010" s="1075"/>
      <c r="AD1010" s="1075"/>
      <c r="AE1010" s="1075"/>
      <c r="AF1010" s="1075"/>
      <c r="AG1010" s="1075"/>
      <c r="AK1010" s="1127"/>
      <c r="BB1010" s="1008"/>
    </row>
    <row r="1011" spans="1:54" s="993" customFormat="1" ht="88.5" customHeight="1" outlineLevel="1" x14ac:dyDescent="0.25">
      <c r="A1011" s="1012"/>
      <c r="B1011" s="1823"/>
      <c r="C1011" s="1015"/>
      <c r="D1011" s="513" t="s">
        <v>3254</v>
      </c>
      <c r="E1011" s="1929" t="s">
        <v>1941</v>
      </c>
      <c r="F1011" s="1928">
        <f>AVERAGE(20.94,25.31,27.06,34.14)</f>
        <v>26.862500000000001</v>
      </c>
      <c r="G1011" s="3527" t="s">
        <v>3255</v>
      </c>
      <c r="H1011" s="3527"/>
      <c r="I1011" s="1452" t="s">
        <v>1942</v>
      </c>
      <c r="J1011" s="1012"/>
      <c r="K1011" s="1012"/>
      <c r="L1011" s="1012"/>
      <c r="M1011" s="1012"/>
      <c r="N1011" s="1012"/>
      <c r="O1011" s="1012"/>
      <c r="P1011" s="1012"/>
      <c r="Q1011" s="1012"/>
      <c r="R1011" s="1012"/>
      <c r="S1011" s="1012"/>
      <c r="T1011" s="1012"/>
      <c r="U1011" s="1012"/>
      <c r="V1011" s="1073" t="str">
        <f t="shared" si="124"/>
        <v>AEE</v>
      </c>
      <c r="W1011" s="1206">
        <f>AVERAGE(20.94,25.31,27.06,34.14)</f>
        <v>26.862500000000001</v>
      </c>
      <c r="X1011" s="1206">
        <f>AVERAGE(20.94,25.31,27.06,34.14)</f>
        <v>26.862500000000001</v>
      </c>
      <c r="Y1011" s="1206">
        <f>AVERAGE(20.94,25.31,27.06,34.14)</f>
        <v>26.862500000000001</v>
      </c>
      <c r="Z1011" s="1206">
        <f t="shared" ref="Z1011:AB1011" si="125">AVERAGE(20.94,25.31,27.06,34.14)</f>
        <v>26.862500000000001</v>
      </c>
      <c r="AA1011" s="1206">
        <f t="shared" si="125"/>
        <v>26.862500000000001</v>
      </c>
      <c r="AB1011" s="1206">
        <f t="shared" si="125"/>
        <v>26.862500000000001</v>
      </c>
      <c r="AC1011" s="1207"/>
      <c r="AD1011" s="1207"/>
      <c r="AE1011" s="1207"/>
      <c r="AF1011" s="1207"/>
      <c r="AG1011" s="1207"/>
      <c r="AK1011" s="1127"/>
      <c r="BB1011" s="1008"/>
    </row>
    <row r="1012" spans="1:54" s="993" customFormat="1" ht="18" outlineLevel="1" x14ac:dyDescent="0.25">
      <c r="A1012" s="1012"/>
      <c r="B1012" s="1823"/>
      <c r="C1012" s="1015"/>
      <c r="D1012" s="513" t="s">
        <v>1014</v>
      </c>
      <c r="E1012" s="1929" t="s">
        <v>1943</v>
      </c>
      <c r="F1012" s="1197">
        <v>24</v>
      </c>
      <c r="G1012" s="3960" t="s">
        <v>1883</v>
      </c>
      <c r="H1012" s="3960"/>
      <c r="I1012" s="1452" t="s">
        <v>1944</v>
      </c>
      <c r="J1012" s="1012"/>
      <c r="K1012" s="1012"/>
      <c r="L1012" s="1012"/>
      <c r="M1012" s="1012"/>
      <c r="N1012" s="1012"/>
      <c r="O1012" s="1012"/>
      <c r="P1012" s="1012"/>
      <c r="Q1012" s="1012"/>
      <c r="R1012" s="1012"/>
      <c r="S1012" s="1012"/>
      <c r="T1012" s="1012"/>
      <c r="U1012" s="1012"/>
      <c r="V1012" s="1073" t="str">
        <f t="shared" si="124"/>
        <v>REE</v>
      </c>
      <c r="W1012" s="1208">
        <v>24</v>
      </c>
      <c r="X1012" s="1208">
        <v>24</v>
      </c>
      <c r="Y1012" s="1208">
        <v>24</v>
      </c>
      <c r="Z1012" s="1208">
        <v>24</v>
      </c>
      <c r="AA1012" s="1208">
        <v>24</v>
      </c>
      <c r="AB1012" s="1208">
        <v>24</v>
      </c>
      <c r="AC1012" s="1075"/>
      <c r="AD1012" s="1075"/>
      <c r="AE1012" s="1075"/>
      <c r="AF1012" s="1075"/>
      <c r="AG1012" s="1075"/>
      <c r="AK1012" s="1127"/>
      <c r="BB1012" s="1008"/>
    </row>
    <row r="1013" spans="1:54" s="993" customFormat="1" ht="75" customHeight="1" outlineLevel="1" x14ac:dyDescent="0.25">
      <c r="A1013" s="1012"/>
      <c r="B1013" s="1823"/>
      <c r="C1013" s="1015"/>
      <c r="D1013" s="529" t="s">
        <v>1020</v>
      </c>
      <c r="E1013" s="1929" t="s">
        <v>1021</v>
      </c>
      <c r="F1013" s="1197">
        <v>58.9</v>
      </c>
      <c r="G1013" s="3956" t="s">
        <v>1885</v>
      </c>
      <c r="H1013" s="3956"/>
      <c r="I1013" s="1452" t="s">
        <v>1713</v>
      </c>
      <c r="J1013" s="1012"/>
      <c r="K1013" s="1012"/>
      <c r="L1013" s="1012"/>
      <c r="M1013" s="1012"/>
      <c r="N1013" s="1012"/>
      <c r="O1013" s="1012"/>
      <c r="P1013" s="1012"/>
      <c r="Q1013" s="1012"/>
      <c r="R1013" s="1012"/>
      <c r="S1013" s="1012"/>
      <c r="T1013" s="1012"/>
      <c r="U1013" s="1012"/>
      <c r="V1013" s="1073" t="str">
        <f t="shared" si="124"/>
        <v>DT</v>
      </c>
      <c r="W1013" s="1208">
        <v>58.9</v>
      </c>
      <c r="X1013" s="1208">
        <v>58.9</v>
      </c>
      <c r="Y1013" s="1208">
        <v>58.9</v>
      </c>
      <c r="Z1013" s="1208">
        <v>58.9</v>
      </c>
      <c r="AA1013" s="1208">
        <v>58.9</v>
      </c>
      <c r="AB1013" s="1208">
        <v>58.9</v>
      </c>
      <c r="AC1013" s="1075"/>
      <c r="AD1013" s="1075"/>
      <c r="AE1013" s="1075"/>
      <c r="AF1013" s="1075"/>
      <c r="AG1013" s="1075"/>
      <c r="AK1013" s="1127"/>
      <c r="BB1013" s="1008"/>
    </row>
    <row r="1014" spans="1:54" s="993" customFormat="1" ht="58.5" customHeight="1" outlineLevel="1" x14ac:dyDescent="0.25">
      <c r="A1014" s="1012"/>
      <c r="B1014" s="1823"/>
      <c r="C1014" s="1015"/>
      <c r="D1014" s="513" t="s">
        <v>77</v>
      </c>
      <c r="E1014" s="1929" t="s">
        <v>1023</v>
      </c>
      <c r="F1014" s="1198">
        <v>8760</v>
      </c>
      <c r="G1014" s="3527" t="s">
        <v>1009</v>
      </c>
      <c r="H1014" s="3527"/>
      <c r="I1014" s="1452" t="s">
        <v>1713</v>
      </c>
      <c r="J1014" s="1012"/>
      <c r="K1014" s="1012"/>
      <c r="L1014" s="1012"/>
      <c r="M1014" s="1012"/>
      <c r="N1014" s="1012"/>
      <c r="O1014" s="1012"/>
      <c r="P1014" s="1012"/>
      <c r="Q1014" s="1012"/>
      <c r="R1014" s="1012"/>
      <c r="S1014" s="1012"/>
      <c r="T1014" s="1012"/>
      <c r="U1014" s="1012"/>
      <c r="V1014" s="1073" t="str">
        <f t="shared" si="124"/>
        <v>Hours</v>
      </c>
      <c r="W1014" s="1209">
        <v>8760</v>
      </c>
      <c r="X1014" s="1209">
        <v>8760</v>
      </c>
      <c r="Y1014" s="1209">
        <v>8760</v>
      </c>
      <c r="Z1014" s="1209">
        <v>8760</v>
      </c>
      <c r="AA1014" s="1209">
        <v>8760</v>
      </c>
      <c r="AB1014" s="1209">
        <v>8760</v>
      </c>
      <c r="AC1014" s="1210"/>
      <c r="AD1014" s="1210"/>
      <c r="AE1014" s="1210"/>
      <c r="AF1014" s="1210"/>
      <c r="AG1014" s="1210"/>
      <c r="AK1014" s="1127"/>
      <c r="BB1014" s="1008"/>
    </row>
    <row r="1015" spans="1:54" s="993" customFormat="1" ht="54" customHeight="1" outlineLevel="1" x14ac:dyDescent="0.25">
      <c r="A1015" s="1012"/>
      <c r="B1015" s="1823"/>
      <c r="C1015" s="1015"/>
      <c r="D1015" s="513" t="s">
        <v>1024</v>
      </c>
      <c r="E1015" s="1929" t="s">
        <v>1025</v>
      </c>
      <c r="F1015" s="1197">
        <v>0.98</v>
      </c>
      <c r="G1015" s="3956" t="s">
        <v>1885</v>
      </c>
      <c r="H1015" s="3956"/>
      <c r="I1015" s="1452" t="s">
        <v>1713</v>
      </c>
      <c r="J1015" s="1012"/>
      <c r="K1015" s="1012"/>
      <c r="L1015" s="1012"/>
      <c r="M1015" s="1012"/>
      <c r="N1015" s="1012"/>
      <c r="O1015" s="1012"/>
      <c r="P1015" s="1012"/>
      <c r="Q1015" s="1012"/>
      <c r="R1015" s="1012"/>
      <c r="S1015" s="1012"/>
      <c r="T1015" s="1012"/>
      <c r="U1015" s="1012"/>
      <c r="V1015" s="1073" t="str">
        <f t="shared" si="124"/>
        <v>ȠDHWElec</v>
      </c>
      <c r="W1015" s="1208">
        <v>0.98</v>
      </c>
      <c r="X1015" s="1208">
        <v>0.98</v>
      </c>
      <c r="Y1015" s="1208">
        <v>0.98</v>
      </c>
      <c r="Z1015" s="1208">
        <v>0.98</v>
      </c>
      <c r="AA1015" s="1208">
        <v>0.98</v>
      </c>
      <c r="AB1015" s="1208">
        <v>0.98</v>
      </c>
      <c r="AC1015" s="1075"/>
      <c r="AD1015" s="1075"/>
      <c r="AE1015" s="1075"/>
      <c r="AF1015" s="1075"/>
      <c r="AG1015" s="1075"/>
      <c r="AK1015" s="1127"/>
      <c r="BB1015" s="1008"/>
    </row>
    <row r="1016" spans="1:54" s="993" customFormat="1" ht="48.75" customHeight="1" outlineLevel="1" x14ac:dyDescent="0.25">
      <c r="A1016" s="1012"/>
      <c r="B1016" s="1823"/>
      <c r="C1016" s="1015"/>
      <c r="D1016" s="513">
        <v>3412</v>
      </c>
      <c r="E1016" s="1869" t="s">
        <v>1026</v>
      </c>
      <c r="F1016" s="1417">
        <v>3412</v>
      </c>
      <c r="G1016" s="3527" t="s">
        <v>1009</v>
      </c>
      <c r="H1016" s="3527"/>
      <c r="I1016" s="1452" t="s">
        <v>1713</v>
      </c>
      <c r="J1016" s="1012"/>
      <c r="K1016" s="1012"/>
      <c r="L1016" s="1012"/>
      <c r="M1016" s="1012"/>
      <c r="N1016" s="1012"/>
      <c r="O1016" s="1012"/>
      <c r="P1016" s="1012"/>
      <c r="Q1016" s="1012"/>
      <c r="R1016" s="1012"/>
      <c r="S1016" s="1012"/>
      <c r="T1016" s="1012"/>
      <c r="U1016" s="1012"/>
      <c r="V1016" s="1073">
        <f t="shared" si="124"/>
        <v>3412</v>
      </c>
      <c r="W1016" s="1211">
        <v>3412</v>
      </c>
      <c r="X1016" s="1211">
        <v>3412</v>
      </c>
      <c r="Y1016" s="1211">
        <v>3412</v>
      </c>
      <c r="Z1016" s="1211">
        <v>3412</v>
      </c>
      <c r="AA1016" s="1211">
        <v>3412</v>
      </c>
      <c r="AB1016" s="1211">
        <v>3412</v>
      </c>
      <c r="AC1016" s="1212"/>
      <c r="AD1016" s="1212"/>
      <c r="AE1016" s="1212"/>
      <c r="AF1016" s="1212"/>
      <c r="AG1016" s="1212"/>
      <c r="AK1016" s="1127"/>
      <c r="BB1016" s="1008"/>
    </row>
    <row r="1017" spans="1:54" s="993" customFormat="1" ht="30" customHeight="1" outlineLevel="1" x14ac:dyDescent="0.25">
      <c r="A1017" s="1012"/>
      <c r="B1017" s="1823"/>
      <c r="C1017" s="1015"/>
      <c r="D1017" s="1410" t="s">
        <v>1027</v>
      </c>
      <c r="E1017" s="1410" t="s">
        <v>938</v>
      </c>
      <c r="F1017" s="1200">
        <v>1</v>
      </c>
      <c r="G1017" s="3509" t="s">
        <v>930</v>
      </c>
      <c r="H1017" s="3509"/>
      <c r="I1017" s="1213"/>
      <c r="J1017" s="1012"/>
      <c r="K1017" s="1012"/>
      <c r="L1017" s="1012"/>
      <c r="M1017" s="1012"/>
      <c r="N1017" s="1012"/>
      <c r="O1017" s="1012"/>
      <c r="P1017" s="1012"/>
      <c r="Q1017" s="1012"/>
      <c r="R1017" s="1012"/>
      <c r="S1017" s="1012"/>
      <c r="T1017" s="1012"/>
      <c r="U1017" s="1012"/>
      <c r="V1017" s="1073" t="str">
        <f t="shared" si="124"/>
        <v>*Electric Saturation</v>
      </c>
      <c r="W1017" s="1194">
        <v>1</v>
      </c>
      <c r="X1017" s="1194">
        <v>1</v>
      </c>
      <c r="Y1017" s="1194">
        <v>1</v>
      </c>
      <c r="Z1017" s="1194">
        <v>1</v>
      </c>
      <c r="AA1017" s="1194">
        <v>1</v>
      </c>
      <c r="AB1017" s="1194">
        <v>1</v>
      </c>
      <c r="AC1017" s="1074"/>
      <c r="AD1017" s="1074"/>
      <c r="AE1017" s="1074"/>
      <c r="AF1017" s="1074"/>
      <c r="AG1017" s="1074"/>
      <c r="AK1017" s="1127"/>
      <c r="BB1017" s="1008"/>
    </row>
    <row r="1018" spans="1:54" s="993" customFormat="1" ht="30" customHeight="1" outlineLevel="1" x14ac:dyDescent="0.25">
      <c r="A1018" s="1012"/>
      <c r="B1018" s="1823"/>
      <c r="C1018" s="1015"/>
      <c r="D1018" s="1410" t="s">
        <v>892</v>
      </c>
      <c r="E1018" s="1410" t="s">
        <v>929</v>
      </c>
      <c r="F1018" s="1200">
        <v>1</v>
      </c>
      <c r="G1018" s="3509" t="s">
        <v>930</v>
      </c>
      <c r="H1018" s="3509"/>
      <c r="I1018" s="1213"/>
      <c r="J1018" s="1012"/>
      <c r="K1018" s="1012"/>
      <c r="L1018" s="1012"/>
      <c r="M1018" s="1012"/>
      <c r="N1018" s="1012"/>
      <c r="O1018" s="1012"/>
      <c r="P1018" s="1012"/>
      <c r="Q1018" s="1012"/>
      <c r="R1018" s="1012"/>
      <c r="S1018" s="1012"/>
      <c r="T1018" s="1012"/>
      <c r="U1018" s="1012"/>
      <c r="V1018" s="1073" t="str">
        <f t="shared" si="124"/>
        <v>Utility Adjustment</v>
      </c>
      <c r="W1018" s="1194">
        <v>1</v>
      </c>
      <c r="X1018" s="1194">
        <v>1</v>
      </c>
      <c r="Y1018" s="1194">
        <v>1</v>
      </c>
      <c r="Z1018" s="1194">
        <v>1</v>
      </c>
      <c r="AA1018" s="1194">
        <v>1</v>
      </c>
      <c r="AB1018" s="1194">
        <v>1</v>
      </c>
      <c r="AC1018" s="1074"/>
      <c r="AD1018" s="1074"/>
      <c r="AE1018" s="1074"/>
      <c r="AF1018" s="1074"/>
      <c r="AG1018" s="1074"/>
      <c r="AK1018" s="1127"/>
      <c r="BB1018" s="1008"/>
    </row>
    <row r="1019" spans="1:54" s="993" customFormat="1" ht="15" customHeight="1" outlineLevel="1" x14ac:dyDescent="0.25">
      <c r="A1019" s="1012"/>
      <c r="B1019" s="1823"/>
      <c r="C1019" s="1015"/>
      <c r="D1019" s="1117" t="s">
        <v>75</v>
      </c>
      <c r="E1019" s="1443" t="s">
        <v>1727</v>
      </c>
      <c r="F1019" s="1197">
        <v>1</v>
      </c>
      <c r="G1019" s="3866" t="s">
        <v>1728</v>
      </c>
      <c r="H1019" s="3866"/>
      <c r="I1019" s="1452" t="s">
        <v>1713</v>
      </c>
      <c r="J1019" s="1012"/>
      <c r="K1019" s="1012"/>
      <c r="L1019" s="1012"/>
      <c r="M1019" s="1012"/>
      <c r="N1019" s="1012"/>
      <c r="O1019" s="1012"/>
      <c r="P1019" s="1012"/>
      <c r="Q1019" s="1012"/>
      <c r="R1019" s="1012"/>
      <c r="S1019" s="1012"/>
      <c r="T1019" s="1012"/>
      <c r="U1019" s="1012"/>
      <c r="V1019" s="1073" t="str">
        <f t="shared" si="124"/>
        <v>ISR</v>
      </c>
      <c r="W1019" s="1196">
        <v>1</v>
      </c>
      <c r="X1019" s="1196">
        <v>1</v>
      </c>
      <c r="Y1019" s="1196">
        <v>1</v>
      </c>
      <c r="Z1019" s="1196">
        <v>1</v>
      </c>
      <c r="AA1019" s="1196">
        <v>1</v>
      </c>
      <c r="AB1019" s="1196">
        <v>1</v>
      </c>
      <c r="AC1019" s="1076"/>
      <c r="AD1019" s="1076"/>
      <c r="AE1019" s="1076"/>
      <c r="AF1019" s="1076"/>
      <c r="AG1019" s="1076"/>
      <c r="AK1019" s="1127"/>
      <c r="BB1019" s="1008"/>
    </row>
    <row r="1020" spans="1:54" s="993" customFormat="1" outlineLevel="1" x14ac:dyDescent="0.25">
      <c r="A1020" s="1012"/>
      <c r="B1020" s="1823"/>
      <c r="C1020" s="375"/>
      <c r="D1020" s="1438" t="str">
        <f>D994</f>
        <v>EUL</v>
      </c>
      <c r="E1020" s="1438" t="str">
        <f>E959</f>
        <v>Effective Useful Life (All)</v>
      </c>
      <c r="F1020" s="1201">
        <v>12</v>
      </c>
      <c r="G1020" s="3866"/>
      <c r="H1020" s="3866"/>
      <c r="I1020" s="1452"/>
      <c r="J1020" s="1012"/>
      <c r="K1020" s="1012"/>
      <c r="L1020" s="1012"/>
      <c r="M1020" s="1012"/>
      <c r="N1020" s="1012"/>
      <c r="O1020" s="1012"/>
      <c r="P1020" s="1012"/>
      <c r="Q1020" s="1012"/>
      <c r="R1020" s="1012"/>
      <c r="S1020" s="1012"/>
      <c r="T1020" s="1012"/>
      <c r="U1020" s="1012"/>
      <c r="V1020" s="1073" t="str">
        <f t="shared" si="124"/>
        <v>EUL</v>
      </c>
      <c r="W1020" s="1077">
        <v>12</v>
      </c>
      <c r="X1020" s="1077">
        <v>12</v>
      </c>
      <c r="Y1020" s="1077">
        <v>12</v>
      </c>
      <c r="Z1020" s="1077">
        <v>12</v>
      </c>
      <c r="AA1020" s="1077">
        <v>12</v>
      </c>
      <c r="AB1020" s="1077">
        <v>12</v>
      </c>
      <c r="AC1020" s="1163"/>
      <c r="AD1020" s="1163"/>
      <c r="AE1020" s="1163"/>
      <c r="AF1020" s="1163"/>
      <c r="AG1020" s="1163"/>
      <c r="AK1020" s="1127"/>
      <c r="BB1020" s="1008"/>
    </row>
    <row r="1021" spans="1:54" s="993" customFormat="1" outlineLevel="1" x14ac:dyDescent="0.25">
      <c r="A1021" s="1012"/>
      <c r="B1021" s="1823"/>
      <c r="C1021" s="375"/>
      <c r="D1021" s="3934" t="str">
        <f>D995</f>
        <v>Inc. Cost</v>
      </c>
      <c r="E1021" s="1438" t="str">
        <f>E960</f>
        <v>Incremental Cost - Non-DI</v>
      </c>
      <c r="F1021" s="1202">
        <v>58</v>
      </c>
      <c r="G1021" s="3866"/>
      <c r="H1021" s="3866"/>
      <c r="I1021" s="1452"/>
      <c r="J1021" s="1012"/>
      <c r="K1021" s="1012"/>
      <c r="L1021" s="1012"/>
      <c r="M1021" s="1012"/>
      <c r="N1021" s="1012"/>
      <c r="O1021" s="1012"/>
      <c r="P1021" s="1012"/>
      <c r="Q1021" s="1012"/>
      <c r="R1021" s="1012"/>
      <c r="S1021" s="1012"/>
      <c r="T1021" s="1012"/>
      <c r="U1021" s="1012"/>
      <c r="V1021" s="3805" t="str">
        <f>D1021</f>
        <v>Inc. Cost</v>
      </c>
      <c r="W1021" s="1164">
        <v>58</v>
      </c>
      <c r="X1021" s="1164">
        <v>58</v>
      </c>
      <c r="Y1021" s="1164">
        <v>58</v>
      </c>
      <c r="Z1021" s="1164">
        <v>58</v>
      </c>
      <c r="AA1021" s="1164">
        <v>58</v>
      </c>
      <c r="AB1021" s="1164">
        <v>58</v>
      </c>
      <c r="AC1021" s="1165"/>
      <c r="AD1021" s="1165"/>
      <c r="AE1021" s="1165"/>
      <c r="AF1021" s="1165"/>
      <c r="AG1021" s="1165"/>
      <c r="AK1021" s="1127"/>
      <c r="BB1021" s="1008"/>
    </row>
    <row r="1022" spans="1:54" s="993" customFormat="1" outlineLevel="1" x14ac:dyDescent="0.25">
      <c r="A1022" s="1012"/>
      <c r="B1022" s="1823"/>
      <c r="C1022" s="375"/>
      <c r="D1022" s="3459"/>
      <c r="E1022" s="1438" t="str">
        <f>E961</f>
        <v>Incremental Cost - Direct Install (DI)</v>
      </c>
      <c r="F1022" s="1202">
        <v>58</v>
      </c>
      <c r="G1022" s="3866"/>
      <c r="H1022" s="3866"/>
      <c r="I1022" s="1452"/>
      <c r="J1022" s="1012"/>
      <c r="K1022" s="1012"/>
      <c r="L1022" s="1012"/>
      <c r="M1022" s="1012"/>
      <c r="N1022" s="1012"/>
      <c r="O1022" s="1012"/>
      <c r="P1022" s="1012"/>
      <c r="Q1022" s="1012"/>
      <c r="R1022" s="1012"/>
      <c r="S1022" s="1012"/>
      <c r="T1022" s="1012"/>
      <c r="U1022" s="1012"/>
      <c r="V1022" s="3933"/>
      <c r="W1022" s="1164">
        <v>58</v>
      </c>
      <c r="X1022" s="1164">
        <v>58</v>
      </c>
      <c r="Y1022" s="1164">
        <v>58</v>
      </c>
      <c r="Z1022" s="1164">
        <v>58</v>
      </c>
      <c r="AA1022" s="1164">
        <v>58</v>
      </c>
      <c r="AB1022" s="1164">
        <v>58</v>
      </c>
      <c r="AC1022" s="1165"/>
      <c r="AD1022" s="1165"/>
      <c r="AE1022" s="1165"/>
      <c r="AF1022" s="1165"/>
      <c r="AG1022" s="1165"/>
      <c r="AK1022" s="1127"/>
      <c r="BB1022" s="1008"/>
    </row>
    <row r="1023" spans="1:54" s="993" customFormat="1" ht="15" customHeight="1" x14ac:dyDescent="0.25">
      <c r="A1023" s="1012"/>
      <c r="B1023" s="1823"/>
      <c r="C1023" s="1009"/>
      <c r="D1023" s="1877"/>
      <c r="E1023" s="492"/>
      <c r="F1023" s="1012"/>
      <c r="G1023" s="1012"/>
      <c r="H1023" s="1012"/>
      <c r="I1023" s="1012"/>
      <c r="J1023" s="1012"/>
      <c r="K1023" s="1012"/>
      <c r="L1023" s="1012"/>
      <c r="M1023" s="1012"/>
      <c r="N1023" s="1012"/>
      <c r="O1023" s="1012"/>
      <c r="P1023" s="1012"/>
      <c r="Q1023" s="1012"/>
      <c r="R1023" s="1012"/>
      <c r="S1023" s="1012"/>
      <c r="T1023" s="1012"/>
      <c r="U1023" s="1012"/>
      <c r="Y1023" s="1974" t="s">
        <v>1581</v>
      </c>
      <c r="Z1023" s="1214"/>
      <c r="AA1023" s="1214"/>
      <c r="AK1023" s="1127"/>
      <c r="BB1023" s="1008"/>
    </row>
    <row r="1024" spans="1:54" s="993" customFormat="1" ht="15" customHeight="1" x14ac:dyDescent="0.25">
      <c r="A1024" s="1012"/>
      <c r="B1024" s="1823"/>
      <c r="C1024" s="1009"/>
      <c r="D1024" s="492"/>
      <c r="E1024" s="492"/>
      <c r="F1024" s="1878"/>
      <c r="G1024" s="1878"/>
      <c r="H1024" s="1012"/>
      <c r="I1024" s="1012"/>
      <c r="J1024" s="1012"/>
      <c r="K1024" s="1012"/>
      <c r="L1024" s="1012"/>
      <c r="M1024" s="1012"/>
      <c r="N1024" s="1012"/>
      <c r="O1024" s="1012"/>
      <c r="P1024" s="1012"/>
      <c r="Q1024" s="1012"/>
      <c r="R1024" s="1012"/>
      <c r="S1024" s="1012"/>
      <c r="T1024" s="1012"/>
      <c r="U1024" s="1012"/>
      <c r="Y1024" s="1013"/>
      <c r="AK1024" s="1127"/>
      <c r="BB1024" s="1008"/>
    </row>
    <row r="1025" spans="1:57" s="993" customFormat="1" ht="15" customHeight="1" x14ac:dyDescent="0.25">
      <c r="A1025" s="1012"/>
      <c r="B1025" s="3350" t="s">
        <v>1945</v>
      </c>
      <c r="C1025" s="3351"/>
      <c r="D1025" s="3351"/>
      <c r="E1025" s="3351"/>
      <c r="F1025" s="3351"/>
      <c r="G1025" s="3351"/>
      <c r="H1025" s="3351"/>
      <c r="I1025" s="3352"/>
      <c r="J1025" s="3352"/>
      <c r="K1025" s="3352"/>
      <c r="L1025" s="3352"/>
      <c r="M1025" s="3352"/>
      <c r="N1025" s="3352"/>
      <c r="O1025" s="3352"/>
      <c r="P1025" s="3352"/>
      <c r="Q1025" s="3352"/>
      <c r="R1025" s="3353"/>
      <c r="S1025" s="1012"/>
      <c r="T1025" s="1012"/>
      <c r="U1025" s="1012"/>
      <c r="V1025" s="3350" t="str">
        <f>B1025</f>
        <v>Common Area Faucet Aerators</v>
      </c>
      <c r="W1025" s="3351"/>
      <c r="X1025" s="3351"/>
      <c r="Y1025" s="3351"/>
      <c r="Z1025" s="3351"/>
      <c r="AA1025" s="3351"/>
      <c r="AB1025" s="3351"/>
      <c r="AC1025" s="3961"/>
      <c r="AD1025" s="3961"/>
      <c r="AE1025" s="3961"/>
      <c r="AF1025" s="3961"/>
      <c r="AG1025" s="3961"/>
      <c r="AH1025" s="3961"/>
      <c r="AI1025" s="3962"/>
      <c r="AK1025" s="1127"/>
      <c r="BB1025" s="1008"/>
    </row>
    <row r="1026" spans="1:57" s="993" customFormat="1" ht="15" customHeight="1" x14ac:dyDescent="0.25">
      <c r="A1026" s="1012"/>
      <c r="B1026" s="1012"/>
      <c r="C1026" s="1041"/>
      <c r="D1026" s="1835"/>
      <c r="E1026" s="1835"/>
      <c r="F1026" s="1010"/>
      <c r="G1026" s="1010"/>
      <c r="H1026" s="1010"/>
      <c r="I1026" s="1010"/>
      <c r="J1026" s="1010"/>
      <c r="K1026" s="1010"/>
      <c r="L1026" s="1836"/>
      <c r="M1026" s="1012"/>
      <c r="N1026" s="1012"/>
      <c r="O1026" s="1012"/>
      <c r="P1026" s="1012"/>
      <c r="Q1026" s="1012"/>
      <c r="R1026" s="1012"/>
      <c r="S1026" s="1012"/>
      <c r="T1026" s="1012"/>
      <c r="U1026" s="1012"/>
      <c r="V1026" s="993" t="str">
        <f>IF(C1024&gt;0,C1024," ")</f>
        <v xml:space="preserve"> </v>
      </c>
      <c r="Y1026" s="1013"/>
      <c r="AK1026" s="1127"/>
      <c r="BB1026" s="1008"/>
    </row>
    <row r="1027" spans="1:57" s="993" customFormat="1" ht="30" x14ac:dyDescent="0.25">
      <c r="A1027" s="1012"/>
      <c r="B1027" s="1823"/>
      <c r="C1027" s="1409" t="s">
        <v>17</v>
      </c>
      <c r="D1027" s="1409" t="s">
        <v>616</v>
      </c>
      <c r="E1027" s="1456" t="s">
        <v>19</v>
      </c>
      <c r="F1027" s="1409" t="s">
        <v>1682</v>
      </c>
      <c r="G1027" s="1409" t="s">
        <v>21</v>
      </c>
      <c r="H1027" s="1409" t="s">
        <v>22</v>
      </c>
      <c r="I1027" s="1409" t="s">
        <v>933</v>
      </c>
      <c r="J1027" s="1409" t="s">
        <v>23</v>
      </c>
      <c r="K1027" s="1409" t="s">
        <v>24</v>
      </c>
      <c r="L1027" s="1409" t="s">
        <v>25</v>
      </c>
      <c r="M1027" s="1409" t="s">
        <v>26</v>
      </c>
      <c r="N1027" s="1012"/>
      <c r="O1027" s="1012"/>
      <c r="P1027" s="1012"/>
      <c r="Q1027" s="1012"/>
      <c r="R1027" s="1012"/>
      <c r="S1027" s="1012"/>
      <c r="T1027" s="1012"/>
      <c r="U1027" s="1012"/>
      <c r="V1027" s="55" t="s">
        <v>27</v>
      </c>
      <c r="W1027" s="56">
        <f>W$6</f>
        <v>43252</v>
      </c>
      <c r="X1027" s="56">
        <f t="shared" ref="X1027:AG1027" si="126">X$6</f>
        <v>43465</v>
      </c>
      <c r="Y1027" s="420">
        <f t="shared" si="126"/>
        <v>43800</v>
      </c>
      <c r="Z1027" s="56">
        <f t="shared" si="126"/>
        <v>43862</v>
      </c>
      <c r="AA1027" s="56">
        <f t="shared" si="126"/>
        <v>44013</v>
      </c>
      <c r="AB1027" s="56">
        <f t="shared" si="126"/>
        <v>44166</v>
      </c>
      <c r="AC1027" s="56" t="str">
        <f t="shared" si="126"/>
        <v>-</v>
      </c>
      <c r="AD1027" s="56" t="str">
        <f t="shared" si="126"/>
        <v>-</v>
      </c>
      <c r="AE1027" s="56" t="str">
        <f t="shared" si="126"/>
        <v>-</v>
      </c>
      <c r="AF1027" s="56" t="str">
        <f t="shared" si="126"/>
        <v>-</v>
      </c>
      <c r="AG1027" s="56" t="str">
        <f t="shared" si="126"/>
        <v>-</v>
      </c>
      <c r="AK1027" s="1127"/>
      <c r="BB1027" s="57" t="str">
        <f>$BB$6</f>
        <v>TRC (2020)</v>
      </c>
      <c r="BC1027" s="93" t="str">
        <f>$BC$6</f>
        <v>Benefit Lookup</v>
      </c>
      <c r="BD1027" s="741" t="str">
        <f>$BD$6</f>
        <v>Benefits (2019 $)</v>
      </c>
      <c r="BE1027" s="279" t="str">
        <f>$BE$6</f>
        <v>Incremental Cost (2019 $)</v>
      </c>
    </row>
    <row r="1028" spans="1:57" s="993" customFormat="1" x14ac:dyDescent="0.25">
      <c r="A1028" s="1012"/>
      <c r="B1028" s="1823"/>
      <c r="C1028" s="1658" t="s">
        <v>1946</v>
      </c>
      <c r="D1028" s="1658" t="s">
        <v>1518</v>
      </c>
      <c r="E1028" s="483" t="s">
        <v>1947</v>
      </c>
      <c r="F1028" s="1141">
        <f>ROUND(F1039*(F1040-F1041)/F1040*F1042*I1028*F1050,2)</f>
        <v>28.4</v>
      </c>
      <c r="G1028" s="1658" t="s">
        <v>1822</v>
      </c>
      <c r="H1028" s="202">
        <f>VLOOKUP(G1028,'CP FACTORS'!$A$3:$B$38, 2, FALSE)</f>
        <v>8.8731800000000003E-5</v>
      </c>
      <c r="I1028" s="1832">
        <f>F1043*F1044*(F1045-F1046)/(F1047*F1048)</f>
        <v>7.1497655334114896E-2</v>
      </c>
      <c r="J1028" s="1888">
        <f>ROUND(F1028*H1028,6)</f>
        <v>2.5200000000000001E-3</v>
      </c>
      <c r="K1028" s="1414">
        <f>F1051</f>
        <v>10</v>
      </c>
      <c r="L1028" s="1203">
        <f>F1052</f>
        <v>11.33</v>
      </c>
      <c r="M1028" s="1658" t="s">
        <v>37</v>
      </c>
      <c r="N1028" s="1012"/>
      <c r="O1028" s="1012"/>
      <c r="P1028" s="1012"/>
      <c r="Q1028" s="1012"/>
      <c r="R1028" s="1012"/>
      <c r="S1028" s="1012"/>
      <c r="T1028" s="1012"/>
      <c r="U1028" s="1012"/>
      <c r="V1028" s="1125" t="str">
        <f>$F$966</f>
        <v>kWh
Annual Savings</v>
      </c>
      <c r="W1028" s="1215">
        <v>28.404855002397959</v>
      </c>
      <c r="X1028" s="1215">
        <v>28.404855002397959</v>
      </c>
      <c r="Y1028" s="1076">
        <v>28.4</v>
      </c>
      <c r="Z1028" s="1076">
        <v>28.4</v>
      </c>
      <c r="AA1028" s="1076">
        <v>28.4</v>
      </c>
      <c r="AB1028" s="1076">
        <v>28.4</v>
      </c>
      <c r="AC1028" s="1125"/>
      <c r="AD1028" s="1125"/>
      <c r="AE1028" s="1125"/>
      <c r="AF1028" s="1125"/>
      <c r="AG1028" s="1125"/>
      <c r="AK1028" s="1127"/>
      <c r="BB1028" s="1204">
        <f>(BD1028)/(BE1028)</f>
        <v>0.89573969671987408</v>
      </c>
      <c r="BC1028" s="68" t="str">
        <f>CONCATENATE(G1028," ",K1028," Year EUL")</f>
        <v>Water heating RES 10 Year EUL</v>
      </c>
      <c r="BD1028" s="214">
        <f>(INDEX('Avoided Cost Benefits'!$C$4:$C$857,MATCH(BC1028,'Avoided Cost Benefits'!$A$4:$A$857,0)))*F1028</f>
        <v>9.5787926039038904</v>
      </c>
      <c r="BE1028" s="1205">
        <f>L1028/(1.0595^(2020-2019))</f>
        <v>10.693723454459649</v>
      </c>
    </row>
    <row r="1029" spans="1:57" s="993" customFormat="1" outlineLevel="1" x14ac:dyDescent="0.25">
      <c r="A1029" s="1012"/>
      <c r="B1029" s="1823"/>
      <c r="C1029" s="1009"/>
      <c r="D1029" s="490"/>
      <c r="E1029" s="490"/>
      <c r="F1029" s="1153"/>
      <c r="G1029" s="1009"/>
      <c r="H1029" s="1930"/>
      <c r="I1029" s="1216"/>
      <c r="J1029" s="1216"/>
      <c r="K1029" s="1216"/>
      <c r="L1029" s="1020"/>
      <c r="M1029" s="1012"/>
      <c r="N1029" s="1012"/>
      <c r="O1029" s="1012"/>
      <c r="P1029" s="1012"/>
      <c r="Q1029" s="1012"/>
      <c r="R1029" s="1012"/>
      <c r="S1029" s="1012"/>
      <c r="T1029" s="1012"/>
      <c r="U1029" s="1012"/>
      <c r="Y1029" s="1013"/>
      <c r="AK1029" s="1127"/>
      <c r="BB1029" s="1008"/>
    </row>
    <row r="1030" spans="1:57" s="993" customFormat="1" outlineLevel="1" x14ac:dyDescent="0.25">
      <c r="A1030" s="1012"/>
      <c r="B1030" s="1823"/>
      <c r="C1030" s="1009"/>
      <c r="D1030" s="492"/>
      <c r="E1030" s="492"/>
      <c r="F1030" s="1931"/>
      <c r="G1030" s="1041"/>
      <c r="H1030" s="1932"/>
      <c r="I1030" s="1012"/>
      <c r="J1030" s="1012"/>
      <c r="K1030" s="1012"/>
      <c r="L1030" s="1012"/>
      <c r="M1030" s="1012"/>
      <c r="N1030" s="1012"/>
      <c r="O1030" s="1012"/>
      <c r="P1030" s="1012"/>
      <c r="Q1030" s="1012"/>
      <c r="R1030" s="1012"/>
      <c r="S1030" s="1012"/>
      <c r="T1030" s="1012"/>
      <c r="U1030" s="1012"/>
      <c r="Y1030" s="1013"/>
      <c r="AK1030" s="1127"/>
      <c r="BB1030" s="1008"/>
    </row>
    <row r="1031" spans="1:57" s="993" customFormat="1" outlineLevel="1" x14ac:dyDescent="0.25">
      <c r="A1031" s="1012"/>
      <c r="B1031" s="1823"/>
      <c r="C1031" s="1009"/>
      <c r="D1031" s="222" t="s">
        <v>571</v>
      </c>
      <c r="E1031" s="492"/>
      <c r="F1031" s="1931"/>
      <c r="G1031" s="1012"/>
      <c r="H1031" s="1041"/>
      <c r="I1031" s="1012"/>
      <c r="J1031" s="1012"/>
      <c r="K1031" s="1012"/>
      <c r="L1031" s="1012"/>
      <c r="M1031" s="1012"/>
      <c r="N1031" s="1012"/>
      <c r="O1031" s="1012"/>
      <c r="P1031" s="1012"/>
      <c r="Q1031" s="1012"/>
      <c r="R1031" s="1012"/>
      <c r="S1031" s="1012"/>
      <c r="T1031" s="1012"/>
      <c r="U1031" s="1012"/>
      <c r="Y1031" s="1013"/>
      <c r="AK1031" s="1127"/>
      <c r="BB1031" s="1008"/>
    </row>
    <row r="1032" spans="1:57" s="993" customFormat="1" outlineLevel="1" x14ac:dyDescent="0.25">
      <c r="A1032" s="1012"/>
      <c r="B1032" s="1823"/>
      <c r="C1032" s="1014"/>
      <c r="D1032" s="1933"/>
      <c r="E1032" s="1934"/>
      <c r="F1032" s="1935"/>
      <c r="G1032" s="1935"/>
      <c r="H1032" s="1012"/>
      <c r="I1032" s="1012"/>
      <c r="J1032" s="1012"/>
      <c r="K1032" s="1012"/>
      <c r="L1032" s="1012"/>
      <c r="M1032" s="1012"/>
      <c r="N1032" s="1012"/>
      <c r="O1032" s="1012"/>
      <c r="P1032" s="1012"/>
      <c r="Q1032" s="1012"/>
      <c r="R1032" s="1012"/>
      <c r="S1032" s="1012"/>
      <c r="T1032" s="1012"/>
      <c r="U1032" s="1012"/>
      <c r="Y1032" s="1013"/>
      <c r="AK1032" s="1127"/>
      <c r="BB1032" s="1008"/>
    </row>
    <row r="1033" spans="1:57" s="993" customFormat="1" outlineLevel="1" x14ac:dyDescent="0.25">
      <c r="A1033" s="1012"/>
      <c r="B1033" s="1823"/>
      <c r="C1033" s="1014"/>
      <c r="D1033" s="1933"/>
      <c r="E1033" s="1934"/>
      <c r="F1033" s="1935"/>
      <c r="G1033" s="1935"/>
      <c r="H1033" s="1012"/>
      <c r="I1033" s="1012"/>
      <c r="J1033" s="1012"/>
      <c r="K1033" s="1012"/>
      <c r="L1033" s="1012"/>
      <c r="M1033" s="1012"/>
      <c r="N1033" s="1012"/>
      <c r="O1033" s="1012"/>
      <c r="P1033" s="1012"/>
      <c r="Q1033" s="1012"/>
      <c r="R1033" s="1012"/>
      <c r="S1033" s="1012"/>
      <c r="T1033" s="1012"/>
      <c r="U1033" s="1012"/>
      <c r="Y1033" s="1013"/>
      <c r="AK1033" s="1127"/>
      <c r="BB1033" s="1008"/>
    </row>
    <row r="1034" spans="1:57" s="993" customFormat="1" outlineLevel="1" x14ac:dyDescent="0.25">
      <c r="A1034" s="1012"/>
      <c r="B1034" s="1823"/>
      <c r="C1034" s="1014"/>
      <c r="D1034" s="1933"/>
      <c r="E1034" s="1934"/>
      <c r="F1034" s="1935"/>
      <c r="G1034" s="1935"/>
      <c r="H1034" s="1012"/>
      <c r="I1034" s="1012"/>
      <c r="J1034" s="1012"/>
      <c r="K1034" s="1012"/>
      <c r="L1034" s="1012"/>
      <c r="M1034" s="1012"/>
      <c r="N1034" s="1012"/>
      <c r="O1034" s="1012"/>
      <c r="P1034" s="1012"/>
      <c r="Q1034" s="1012"/>
      <c r="R1034" s="1012"/>
      <c r="S1034" s="1012"/>
      <c r="T1034" s="1012"/>
      <c r="U1034" s="1012"/>
      <c r="Y1034" s="1013"/>
      <c r="AK1034" s="1127"/>
      <c r="BB1034" s="1008"/>
    </row>
    <row r="1035" spans="1:57" s="993" customFormat="1" outlineLevel="1" x14ac:dyDescent="0.25">
      <c r="A1035" s="1012"/>
      <c r="B1035" s="1823"/>
      <c r="C1035" s="1014"/>
      <c r="D1035" s="1933"/>
      <c r="E1035" s="1934"/>
      <c r="F1035" s="1935"/>
      <c r="G1035" s="1935"/>
      <c r="H1035" s="1012"/>
      <c r="I1035" s="1012"/>
      <c r="J1035" s="1012"/>
      <c r="K1035" s="1012"/>
      <c r="L1035" s="1012"/>
      <c r="M1035" s="1012"/>
      <c r="N1035" s="1012"/>
      <c r="O1035" s="1012"/>
      <c r="P1035" s="1012"/>
      <c r="Q1035" s="1012"/>
      <c r="R1035" s="1012"/>
      <c r="S1035" s="1012"/>
      <c r="T1035" s="1012"/>
      <c r="U1035" s="1012"/>
      <c r="Y1035" s="1013"/>
      <c r="AK1035" s="1127"/>
      <c r="BB1035" s="1008"/>
    </row>
    <row r="1036" spans="1:57" s="993" customFormat="1" outlineLevel="1" x14ac:dyDescent="0.25">
      <c r="A1036" s="1012"/>
      <c r="B1036" s="1823"/>
      <c r="C1036" s="1015"/>
      <c r="D1036" s="1915"/>
      <c r="E1036" s="1916"/>
      <c r="F1036" s="1917"/>
      <c r="G1036" s="1917"/>
      <c r="H1036" s="1012"/>
      <c r="I1036" s="1012"/>
      <c r="J1036" s="1012"/>
      <c r="K1036" s="1012"/>
      <c r="L1036" s="1012"/>
      <c r="M1036" s="1012"/>
      <c r="N1036" s="1012"/>
      <c r="O1036" s="1012"/>
      <c r="P1036" s="1012"/>
      <c r="Q1036" s="1012"/>
      <c r="R1036" s="1012"/>
      <c r="S1036" s="1012"/>
      <c r="T1036" s="1012"/>
      <c r="U1036" s="1012"/>
      <c r="Y1036" s="1013"/>
      <c r="AK1036" s="1127"/>
      <c r="BB1036" s="1008"/>
    </row>
    <row r="1037" spans="1:57" s="993" customFormat="1" outlineLevel="1" x14ac:dyDescent="0.25">
      <c r="A1037" s="1012"/>
      <c r="B1037" s="1823"/>
      <c r="C1037" s="1009"/>
      <c r="D1037" s="490"/>
      <c r="E1037" s="492"/>
      <c r="F1037" s="1012"/>
      <c r="G1037" s="1012"/>
      <c r="H1037" s="1012"/>
      <c r="I1037" s="1012"/>
      <c r="J1037" s="1012"/>
      <c r="K1037" s="1012"/>
      <c r="L1037" s="1012"/>
      <c r="M1037" s="1012"/>
      <c r="N1037" s="1012"/>
      <c r="O1037" s="1012"/>
      <c r="P1037" s="1012"/>
      <c r="Q1037" s="1012"/>
      <c r="R1037" s="1012"/>
      <c r="S1037" s="1012"/>
      <c r="T1037" s="1012"/>
      <c r="U1037" s="1012"/>
      <c r="Y1037" s="1013"/>
      <c r="AK1037" s="1127"/>
      <c r="BB1037" s="1008"/>
    </row>
    <row r="1038" spans="1:57" s="993" customFormat="1" ht="45.75" customHeight="1" outlineLevel="1" x14ac:dyDescent="0.25">
      <c r="A1038" s="1012"/>
      <c r="B1038" s="1823"/>
      <c r="C1038" s="1009"/>
      <c r="D1038" s="1456" t="s">
        <v>572</v>
      </c>
      <c r="E1038" s="1456" t="s">
        <v>573</v>
      </c>
      <c r="F1038" s="1409" t="s">
        <v>1948</v>
      </c>
      <c r="G1038" s="3483" t="s">
        <v>1949</v>
      </c>
      <c r="H1038" s="3484"/>
      <c r="I1038" s="1409" t="s">
        <v>575</v>
      </c>
      <c r="J1038" s="1012"/>
      <c r="K1038" s="1012"/>
      <c r="L1038" s="1012"/>
      <c r="M1038" s="1012"/>
      <c r="N1038" s="1012"/>
      <c r="O1038" s="1012"/>
      <c r="P1038" s="1012"/>
      <c r="Q1038" s="1012"/>
      <c r="R1038" s="1012"/>
      <c r="S1038" s="1012"/>
      <c r="T1038" s="1012"/>
      <c r="U1038" s="1012"/>
      <c r="V1038" s="55" t="s">
        <v>27</v>
      </c>
      <c r="W1038" s="56">
        <f>W$6</f>
        <v>43252</v>
      </c>
      <c r="X1038" s="56">
        <f t="shared" ref="X1038:AG1038" si="127">X$6</f>
        <v>43465</v>
      </c>
      <c r="Y1038" s="420">
        <f t="shared" si="127"/>
        <v>43800</v>
      </c>
      <c r="Z1038" s="56">
        <f t="shared" si="127"/>
        <v>43862</v>
      </c>
      <c r="AA1038" s="56">
        <f t="shared" si="127"/>
        <v>44013</v>
      </c>
      <c r="AB1038" s="56">
        <f t="shared" si="127"/>
        <v>44166</v>
      </c>
      <c r="AC1038" s="56" t="str">
        <f t="shared" si="127"/>
        <v>-</v>
      </c>
      <c r="AD1038" s="56" t="str">
        <f t="shared" si="127"/>
        <v>-</v>
      </c>
      <c r="AE1038" s="56" t="str">
        <f t="shared" si="127"/>
        <v>-</v>
      </c>
      <c r="AF1038" s="56" t="str">
        <f t="shared" si="127"/>
        <v>-</v>
      </c>
      <c r="AG1038" s="56" t="str">
        <f t="shared" si="127"/>
        <v>-</v>
      </c>
      <c r="AK1038" s="1127"/>
      <c r="BB1038" s="1008"/>
    </row>
    <row r="1039" spans="1:57" s="993" customFormat="1" ht="15" customHeight="1" outlineLevel="1" x14ac:dyDescent="0.25">
      <c r="A1039" s="1012"/>
      <c r="B1039" s="1823"/>
      <c r="C1039" s="1041"/>
      <c r="D1039" s="1410" t="s">
        <v>937</v>
      </c>
      <c r="E1039" s="1410" t="s">
        <v>938</v>
      </c>
      <c r="F1039" s="1150">
        <v>1</v>
      </c>
      <c r="G1039" s="3509" t="s">
        <v>930</v>
      </c>
      <c r="H1039" s="3509"/>
      <c r="I1039" s="1439" t="s">
        <v>1950</v>
      </c>
      <c r="J1039" s="1012"/>
      <c r="K1039" s="1012"/>
      <c r="L1039" s="1012"/>
      <c r="M1039" s="1012"/>
      <c r="N1039" s="1012"/>
      <c r="O1039" s="1012"/>
      <c r="P1039" s="1012"/>
      <c r="Q1039" s="1012"/>
      <c r="R1039" s="1012"/>
      <c r="S1039" s="1012"/>
      <c r="T1039" s="1012"/>
      <c r="U1039" s="1012"/>
      <c r="V1039" s="1073" t="str">
        <f>D1039</f>
        <v>%Electric DHW</v>
      </c>
      <c r="W1039" s="1150">
        <v>1</v>
      </c>
      <c r="X1039" s="1150">
        <v>1</v>
      </c>
      <c r="Y1039" s="1150">
        <v>1</v>
      </c>
      <c r="Z1039" s="1150">
        <v>1</v>
      </c>
      <c r="AA1039" s="1150">
        <v>1</v>
      </c>
      <c r="AB1039" s="1150">
        <v>1</v>
      </c>
      <c r="AC1039" s="1150"/>
      <c r="AD1039" s="1150"/>
      <c r="AE1039" s="1150"/>
      <c r="AF1039" s="1150"/>
      <c r="AG1039" s="1150"/>
      <c r="AK1039" s="1127"/>
      <c r="BB1039" s="1008"/>
    </row>
    <row r="1040" spans="1:57" s="993" customFormat="1" ht="146.25" customHeight="1" outlineLevel="1" x14ac:dyDescent="0.25">
      <c r="A1040" s="1012"/>
      <c r="B1040" s="1823"/>
      <c r="C1040" s="1041"/>
      <c r="D1040" s="1410" t="s">
        <v>3251</v>
      </c>
      <c r="E1040" s="1410" t="s">
        <v>985</v>
      </c>
      <c r="F1040" s="1181">
        <v>2.2000000000000002</v>
      </c>
      <c r="G1040" s="3459" t="s">
        <v>986</v>
      </c>
      <c r="H1040" s="3459"/>
      <c r="I1040" s="1439" t="s">
        <v>1830</v>
      </c>
      <c r="J1040" s="1012"/>
      <c r="K1040" s="1012"/>
      <c r="L1040" s="1012"/>
      <c r="M1040" s="1012"/>
      <c r="N1040" s="1012"/>
      <c r="O1040" s="1012"/>
      <c r="P1040" s="1012"/>
      <c r="Q1040" s="1012"/>
      <c r="R1040" s="1012"/>
      <c r="S1040" s="1012"/>
      <c r="T1040" s="1012"/>
      <c r="U1040" s="1012"/>
      <c r="V1040" s="1073" t="str">
        <f t="shared" ref="V1040:V1051" si="128">D1040</f>
        <v>GPMbase</v>
      </c>
      <c r="W1040" s="1181">
        <v>2.2000000000000002</v>
      </c>
      <c r="X1040" s="1181">
        <v>2.2000000000000002</v>
      </c>
      <c r="Y1040" s="1181">
        <v>2.2000000000000002</v>
      </c>
      <c r="Z1040" s="1181">
        <v>2.2000000000000002</v>
      </c>
      <c r="AA1040" s="1181">
        <v>2.2000000000000002</v>
      </c>
      <c r="AB1040" s="1181">
        <v>2.2000000000000002</v>
      </c>
      <c r="AC1040" s="1181"/>
      <c r="AD1040" s="1181"/>
      <c r="AE1040" s="1181"/>
      <c r="AF1040" s="1181"/>
      <c r="AG1040" s="1181"/>
      <c r="AK1040" s="1127"/>
      <c r="BB1040" s="1008"/>
    </row>
    <row r="1041" spans="1:54" s="993" customFormat="1" ht="30" customHeight="1" outlineLevel="1" x14ac:dyDescent="0.25">
      <c r="A1041" s="1012"/>
      <c r="B1041" s="1823"/>
      <c r="C1041" s="1041"/>
      <c r="D1041" s="1410" t="s">
        <v>3252</v>
      </c>
      <c r="E1041" s="1410" t="s">
        <v>989</v>
      </c>
      <c r="F1041" s="1181">
        <v>1.5</v>
      </c>
      <c r="G1041" s="3459" t="s">
        <v>1833</v>
      </c>
      <c r="H1041" s="3459"/>
      <c r="I1041" s="1439" t="s">
        <v>1830</v>
      </c>
      <c r="J1041" s="1012"/>
      <c r="K1041" s="1012"/>
      <c r="L1041" s="1012"/>
      <c r="M1041" s="1012"/>
      <c r="N1041" s="1012"/>
      <c r="O1041" s="1012"/>
      <c r="P1041" s="1012"/>
      <c r="Q1041" s="1012"/>
      <c r="R1041" s="1012"/>
      <c r="S1041" s="1012"/>
      <c r="T1041" s="1012"/>
      <c r="U1041" s="1012"/>
      <c r="V1041" s="1073" t="str">
        <f t="shared" si="128"/>
        <v>Lbase</v>
      </c>
      <c r="W1041" s="1181">
        <v>1.5</v>
      </c>
      <c r="X1041" s="1181">
        <v>1.5</v>
      </c>
      <c r="Y1041" s="1181">
        <v>1.5</v>
      </c>
      <c r="Z1041" s="1181">
        <v>1.5</v>
      </c>
      <c r="AA1041" s="1181">
        <v>1.5</v>
      </c>
      <c r="AB1041" s="1181">
        <v>1.5</v>
      </c>
      <c r="AC1041" s="1181"/>
      <c r="AD1041" s="1181"/>
      <c r="AE1041" s="1181"/>
      <c r="AF1041" s="1181"/>
      <c r="AG1041" s="1181"/>
      <c r="AK1041" s="1127"/>
      <c r="BB1041" s="1008"/>
    </row>
    <row r="1042" spans="1:54" s="993" customFormat="1" ht="85.5" customHeight="1" outlineLevel="1" x14ac:dyDescent="0.25">
      <c r="A1042" s="1012"/>
      <c r="B1042" s="1823"/>
      <c r="C1042" s="1041"/>
      <c r="D1042" s="1410" t="s">
        <v>1951</v>
      </c>
      <c r="E1042" s="1869" t="s">
        <v>1952</v>
      </c>
      <c r="F1042" s="1181">
        <v>1278</v>
      </c>
      <c r="G1042" s="3866" t="s">
        <v>1864</v>
      </c>
      <c r="H1042" s="3866"/>
      <c r="I1042" s="1439" t="s">
        <v>1953</v>
      </c>
      <c r="J1042" s="1012"/>
      <c r="K1042" s="1012"/>
      <c r="L1042" s="1012"/>
      <c r="M1042" s="1012"/>
      <c r="N1042" s="1012"/>
      <c r="O1042" s="1012"/>
      <c r="P1042" s="1012"/>
      <c r="Q1042" s="1012"/>
      <c r="R1042" s="1012"/>
      <c r="S1042" s="1012"/>
      <c r="T1042" s="1012"/>
      <c r="U1042" s="1012"/>
      <c r="V1042" s="1073" t="str">
        <f t="shared" si="128"/>
        <v>Usage</v>
      </c>
      <c r="W1042" s="1181">
        <v>1278</v>
      </c>
      <c r="X1042" s="1181">
        <v>1278</v>
      </c>
      <c r="Y1042" s="1181">
        <v>1278</v>
      </c>
      <c r="Z1042" s="1181">
        <v>1278</v>
      </c>
      <c r="AA1042" s="1181">
        <v>1278</v>
      </c>
      <c r="AB1042" s="1181">
        <v>1278</v>
      </c>
      <c r="AC1042" s="1181"/>
      <c r="AD1042" s="1181"/>
      <c r="AE1042" s="1181"/>
      <c r="AF1042" s="1181"/>
      <c r="AG1042" s="1181"/>
      <c r="AK1042" s="1127"/>
      <c r="BB1042" s="1008"/>
    </row>
    <row r="1043" spans="1:54" s="993" customFormat="1" ht="15" customHeight="1" outlineLevel="1" x14ac:dyDescent="0.25">
      <c r="A1043" s="1012"/>
      <c r="B1043" s="1823"/>
      <c r="C1043" s="1041"/>
      <c r="D1043" s="513">
        <v>8.33</v>
      </c>
      <c r="E1043" s="1869" t="s">
        <v>959</v>
      </c>
      <c r="F1043" s="1181">
        <v>8.33</v>
      </c>
      <c r="G1043" s="3509" t="s">
        <v>960</v>
      </c>
      <c r="H1043" s="3509"/>
      <c r="I1043" s="1439" t="s">
        <v>1830</v>
      </c>
      <c r="J1043" s="1012"/>
      <c r="K1043" s="1012"/>
      <c r="L1043" s="1012"/>
      <c r="M1043" s="1012"/>
      <c r="N1043" s="1012"/>
      <c r="O1043" s="1012"/>
      <c r="P1043" s="1012"/>
      <c r="Q1043" s="1012"/>
      <c r="R1043" s="1012"/>
      <c r="S1043" s="1012"/>
      <c r="T1043" s="1012"/>
      <c r="U1043" s="1012"/>
      <c r="V1043" s="1073">
        <f t="shared" si="128"/>
        <v>8.33</v>
      </c>
      <c r="W1043" s="1181">
        <v>8.33</v>
      </c>
      <c r="X1043" s="1181">
        <v>8.33</v>
      </c>
      <c r="Y1043" s="1181">
        <v>8.33</v>
      </c>
      <c r="Z1043" s="1181">
        <v>8.33</v>
      </c>
      <c r="AA1043" s="1181">
        <v>8.33</v>
      </c>
      <c r="AB1043" s="1181">
        <v>8.33</v>
      </c>
      <c r="AC1043" s="1181"/>
      <c r="AD1043" s="1181"/>
      <c r="AE1043" s="1181"/>
      <c r="AF1043" s="1181"/>
      <c r="AG1043" s="1181"/>
      <c r="AK1043" s="1127"/>
      <c r="BB1043" s="1008"/>
    </row>
    <row r="1044" spans="1:54" s="993" customFormat="1" ht="15" customHeight="1" outlineLevel="1" x14ac:dyDescent="0.25">
      <c r="A1044" s="1012"/>
      <c r="B1044" s="1823"/>
      <c r="C1044" s="1041"/>
      <c r="D1044" s="513">
        <v>1</v>
      </c>
      <c r="E1044" s="1929" t="s">
        <v>1840</v>
      </c>
      <c r="F1044" s="1181">
        <v>1</v>
      </c>
      <c r="G1044" s="3459" t="s">
        <v>962</v>
      </c>
      <c r="H1044" s="3459"/>
      <c r="I1044" s="1439" t="s">
        <v>1830</v>
      </c>
      <c r="J1044" s="1012"/>
      <c r="K1044" s="1012"/>
      <c r="L1044" s="1012"/>
      <c r="M1044" s="1012"/>
      <c r="N1044" s="1012"/>
      <c r="O1044" s="1012"/>
      <c r="P1044" s="1012"/>
      <c r="Q1044" s="1012"/>
      <c r="R1044" s="1012"/>
      <c r="S1044" s="1012"/>
      <c r="T1044" s="1012"/>
      <c r="U1044" s="1012"/>
      <c r="V1044" s="1073">
        <f t="shared" si="128"/>
        <v>1</v>
      </c>
      <c r="W1044" s="1181">
        <v>1</v>
      </c>
      <c r="X1044" s="1181">
        <v>1</v>
      </c>
      <c r="Y1044" s="1181">
        <v>1</v>
      </c>
      <c r="Z1044" s="1181">
        <v>1</v>
      </c>
      <c r="AA1044" s="1181">
        <v>1</v>
      </c>
      <c r="AB1044" s="1181">
        <v>1</v>
      </c>
      <c r="AC1044" s="1181"/>
      <c r="AD1044" s="1181"/>
      <c r="AE1044" s="1181"/>
      <c r="AF1044" s="1181"/>
      <c r="AG1044" s="1181"/>
      <c r="AK1044" s="1127"/>
      <c r="BB1044" s="1008"/>
    </row>
    <row r="1045" spans="1:54" s="993" customFormat="1" ht="15" customHeight="1" outlineLevel="1" x14ac:dyDescent="0.25">
      <c r="A1045" s="1012"/>
      <c r="B1045" s="1823"/>
      <c r="C1045" s="1041"/>
      <c r="D1045" s="1410" t="s">
        <v>963</v>
      </c>
      <c r="E1045" s="1869" t="s">
        <v>1841</v>
      </c>
      <c r="F1045" s="1181">
        <v>90</v>
      </c>
      <c r="G1045" s="3866" t="s">
        <v>1954</v>
      </c>
      <c r="H1045" s="3866"/>
      <c r="I1045" s="1439" t="s">
        <v>1955</v>
      </c>
      <c r="J1045" s="1012"/>
      <c r="K1045" s="1012"/>
      <c r="L1045" s="1012"/>
      <c r="M1045" s="1012"/>
      <c r="N1045" s="1012"/>
      <c r="O1045" s="1012"/>
      <c r="P1045" s="1012"/>
      <c r="Q1045" s="1012"/>
      <c r="R1045" s="1012"/>
      <c r="S1045" s="1012"/>
      <c r="T1045" s="1012"/>
      <c r="U1045" s="1012"/>
      <c r="V1045" s="1073" t="str">
        <f t="shared" si="128"/>
        <v>WaterTemp</v>
      </c>
      <c r="W1045" s="1181">
        <v>90</v>
      </c>
      <c r="X1045" s="1181">
        <v>90</v>
      </c>
      <c r="Y1045" s="1181">
        <v>90</v>
      </c>
      <c r="Z1045" s="1181">
        <v>90</v>
      </c>
      <c r="AA1045" s="1181">
        <v>90</v>
      </c>
      <c r="AB1045" s="1181">
        <v>90</v>
      </c>
      <c r="AC1045" s="1181"/>
      <c r="AD1045" s="1181"/>
      <c r="AE1045" s="1181"/>
      <c r="AF1045" s="1181"/>
      <c r="AG1045" s="1181"/>
      <c r="AK1045" s="1127"/>
      <c r="BB1045" s="1008"/>
    </row>
    <row r="1046" spans="1:54" s="993" customFormat="1" ht="60" customHeight="1" outlineLevel="1" x14ac:dyDescent="0.25">
      <c r="A1046" s="1012"/>
      <c r="B1046" s="1823"/>
      <c r="C1046" s="1041"/>
      <c r="D1046" s="1410" t="s">
        <v>966</v>
      </c>
      <c r="E1046" s="1869" t="s">
        <v>1843</v>
      </c>
      <c r="F1046" s="1181">
        <v>61.3</v>
      </c>
      <c r="G1046" s="3459" t="s">
        <v>968</v>
      </c>
      <c r="H1046" s="3459"/>
      <c r="I1046" s="1439" t="s">
        <v>1830</v>
      </c>
      <c r="J1046" s="1012"/>
      <c r="K1046" s="1012"/>
      <c r="L1046" s="1012"/>
      <c r="M1046" s="1012"/>
      <c r="N1046" s="1012"/>
      <c r="O1046" s="1012"/>
      <c r="P1046" s="1012"/>
      <c r="Q1046" s="1012"/>
      <c r="R1046" s="1012"/>
      <c r="S1046" s="1012"/>
      <c r="T1046" s="1012"/>
      <c r="U1046" s="1012"/>
      <c r="V1046" s="1073" t="str">
        <f t="shared" si="128"/>
        <v>SupplyTemp</v>
      </c>
      <c r="W1046" s="1181">
        <v>61.3</v>
      </c>
      <c r="X1046" s="1181">
        <v>61.3</v>
      </c>
      <c r="Y1046" s="1181">
        <v>61.3</v>
      </c>
      <c r="Z1046" s="1181">
        <v>61.3</v>
      </c>
      <c r="AA1046" s="1181">
        <v>61.3</v>
      </c>
      <c r="AB1046" s="1181">
        <v>61.3</v>
      </c>
      <c r="AC1046" s="1181"/>
      <c r="AD1046" s="1181"/>
      <c r="AE1046" s="1181"/>
      <c r="AF1046" s="1181"/>
      <c r="AG1046" s="1181"/>
      <c r="AK1046" s="1127"/>
      <c r="BB1046" s="1008"/>
    </row>
    <row r="1047" spans="1:54" s="993" customFormat="1" ht="30" customHeight="1" outlineLevel="1" x14ac:dyDescent="0.25">
      <c r="A1047" s="1012"/>
      <c r="B1047" s="1823"/>
      <c r="C1047" s="1041"/>
      <c r="D1047" s="1410" t="s">
        <v>1930</v>
      </c>
      <c r="E1047" s="1443" t="s">
        <v>1844</v>
      </c>
      <c r="F1047" s="1181">
        <v>0.98</v>
      </c>
      <c r="G1047" s="3866" t="s">
        <v>1845</v>
      </c>
      <c r="H1047" s="3866"/>
      <c r="I1047" s="1439" t="s">
        <v>1830</v>
      </c>
      <c r="J1047" s="1012"/>
      <c r="K1047" s="1012"/>
      <c r="L1047" s="1012"/>
      <c r="M1047" s="1012"/>
      <c r="N1047" s="1012"/>
      <c r="O1047" s="1012"/>
      <c r="P1047" s="1012"/>
      <c r="Q1047" s="1012"/>
      <c r="R1047" s="1012"/>
      <c r="S1047" s="1012"/>
      <c r="T1047" s="1012"/>
      <c r="U1047" s="1012"/>
      <c r="V1047" s="1073" t="str">
        <f t="shared" si="128"/>
        <v>REelectric</v>
      </c>
      <c r="W1047" s="1181">
        <v>0.98</v>
      </c>
      <c r="X1047" s="1181">
        <v>0.98</v>
      </c>
      <c r="Y1047" s="1181">
        <v>0.98</v>
      </c>
      <c r="Z1047" s="1181">
        <v>0.98</v>
      </c>
      <c r="AA1047" s="1181">
        <v>0.98</v>
      </c>
      <c r="AB1047" s="1181">
        <v>0.98</v>
      </c>
      <c r="AC1047" s="1181"/>
      <c r="AD1047" s="1181"/>
      <c r="AE1047" s="1181"/>
      <c r="AF1047" s="1181"/>
      <c r="AG1047" s="1181"/>
      <c r="AK1047" s="1127"/>
      <c r="BB1047" s="1008"/>
    </row>
    <row r="1048" spans="1:54" s="993" customFormat="1" ht="15" customHeight="1" outlineLevel="1" x14ac:dyDescent="0.25">
      <c r="A1048" s="1012"/>
      <c r="B1048" s="1823"/>
      <c r="C1048" s="1041"/>
      <c r="D1048" s="1410">
        <v>3412</v>
      </c>
      <c r="E1048" s="1443">
        <v>3412</v>
      </c>
      <c r="F1048" s="1181">
        <v>3412</v>
      </c>
      <c r="G1048" s="3509" t="s">
        <v>655</v>
      </c>
      <c r="H1048" s="3509"/>
      <c r="I1048" s="1439" t="s">
        <v>1931</v>
      </c>
      <c r="J1048" s="1012"/>
      <c r="K1048" s="1012"/>
      <c r="L1048" s="1012"/>
      <c r="M1048" s="1012"/>
      <c r="N1048" s="1012"/>
      <c r="O1048" s="1012"/>
      <c r="P1048" s="1012"/>
      <c r="Q1048" s="1012"/>
      <c r="R1048" s="1012"/>
      <c r="S1048" s="1012"/>
      <c r="T1048" s="1012"/>
      <c r="U1048" s="1012"/>
      <c r="V1048" s="1073">
        <f t="shared" si="128"/>
        <v>3412</v>
      </c>
      <c r="W1048" s="1181">
        <v>3412</v>
      </c>
      <c r="X1048" s="1181">
        <v>3412</v>
      </c>
      <c r="Y1048" s="1181">
        <v>3412</v>
      </c>
      <c r="Z1048" s="1181">
        <v>3412</v>
      </c>
      <c r="AA1048" s="1181">
        <v>3412</v>
      </c>
      <c r="AB1048" s="1181">
        <v>3412</v>
      </c>
      <c r="AC1048" s="1181"/>
      <c r="AD1048" s="1181"/>
      <c r="AE1048" s="1181"/>
      <c r="AF1048" s="1181"/>
      <c r="AG1048" s="1181"/>
      <c r="AK1048" s="1127"/>
      <c r="BB1048" s="1008"/>
    </row>
    <row r="1049" spans="1:54" s="993" customFormat="1" ht="15" customHeight="1" outlineLevel="1" x14ac:dyDescent="0.25">
      <c r="A1049" s="1012"/>
      <c r="B1049" s="1823"/>
      <c r="C1049" s="1041"/>
      <c r="D1049" s="1410" t="s">
        <v>892</v>
      </c>
      <c r="E1049" s="1410" t="s">
        <v>929</v>
      </c>
      <c r="F1049" s="1150">
        <v>1</v>
      </c>
      <c r="G1049" s="3509" t="s">
        <v>930</v>
      </c>
      <c r="H1049" s="3509"/>
      <c r="I1049" s="1439"/>
      <c r="J1049" s="1012"/>
      <c r="K1049" s="1012"/>
      <c r="L1049" s="1012"/>
      <c r="M1049" s="1012"/>
      <c r="N1049" s="1012"/>
      <c r="O1049" s="1012"/>
      <c r="P1049" s="1012"/>
      <c r="Q1049" s="1012"/>
      <c r="R1049" s="1012"/>
      <c r="S1049" s="1012"/>
      <c r="T1049" s="1012"/>
      <c r="U1049" s="1012"/>
      <c r="V1049" s="1073" t="str">
        <f t="shared" si="128"/>
        <v>Utility Adjustment</v>
      </c>
      <c r="W1049" s="1150">
        <v>1</v>
      </c>
      <c r="X1049" s="1150">
        <v>1</v>
      </c>
      <c r="Y1049" s="1150">
        <v>1</v>
      </c>
      <c r="Z1049" s="1150">
        <v>1</v>
      </c>
      <c r="AA1049" s="1150">
        <v>1</v>
      </c>
      <c r="AB1049" s="1150">
        <v>1</v>
      </c>
      <c r="AC1049" s="1150"/>
      <c r="AD1049" s="1150"/>
      <c r="AE1049" s="1150"/>
      <c r="AF1049" s="1150"/>
      <c r="AG1049" s="1150"/>
      <c r="AK1049" s="1127"/>
      <c r="BB1049" s="1008"/>
    </row>
    <row r="1050" spans="1:54" s="993" customFormat="1" ht="30" customHeight="1" outlineLevel="1" x14ac:dyDescent="0.25">
      <c r="A1050" s="1012"/>
      <c r="B1050" s="1823"/>
      <c r="C1050" s="1041"/>
      <c r="D1050" s="1410" t="s">
        <v>75</v>
      </c>
      <c r="E1050" s="1443" t="s">
        <v>1727</v>
      </c>
      <c r="F1050" s="1217">
        <v>0.97699999999999998</v>
      </c>
      <c r="G1050" s="3866" t="s">
        <v>1864</v>
      </c>
      <c r="H1050" s="3866"/>
      <c r="I1050" s="1442"/>
      <c r="J1050" s="1012"/>
      <c r="K1050" s="1012"/>
      <c r="L1050" s="1012"/>
      <c r="M1050" s="1012"/>
      <c r="N1050" s="1012"/>
      <c r="O1050" s="1012"/>
      <c r="P1050" s="1012"/>
      <c r="Q1050" s="1012"/>
      <c r="R1050" s="1012"/>
      <c r="S1050" s="1012"/>
      <c r="T1050" s="1012"/>
      <c r="U1050" s="1012"/>
      <c r="V1050" s="1073" t="str">
        <f t="shared" si="128"/>
        <v>ISR</v>
      </c>
      <c r="W1050" s="1217">
        <v>0.97699999999999998</v>
      </c>
      <c r="X1050" s="1217">
        <v>0.97699999999999998</v>
      </c>
      <c r="Y1050" s="1217">
        <v>0.97699999999999998</v>
      </c>
      <c r="Z1050" s="1217">
        <v>0.97699999999999998</v>
      </c>
      <c r="AA1050" s="1217">
        <v>0.97699999999999998</v>
      </c>
      <c r="AB1050" s="1217">
        <v>0.97699999999999998</v>
      </c>
      <c r="AC1050" s="1217"/>
      <c r="AD1050" s="1217"/>
      <c r="AE1050" s="1217"/>
      <c r="AF1050" s="1217"/>
      <c r="AG1050" s="1217"/>
      <c r="AK1050" s="1127"/>
      <c r="BB1050" s="1008"/>
    </row>
    <row r="1051" spans="1:54" s="993" customFormat="1" outlineLevel="1" x14ac:dyDescent="0.25">
      <c r="A1051" s="1012"/>
      <c r="B1051" s="1823"/>
      <c r="C1051" s="375"/>
      <c r="D1051" s="1438" t="str">
        <f>D1020</f>
        <v>EUL</v>
      </c>
      <c r="E1051" s="1438" t="str">
        <f>E1020</f>
        <v>Effective Useful Life (All)</v>
      </c>
      <c r="F1051" s="1201">
        <v>10</v>
      </c>
      <c r="G1051" s="3866"/>
      <c r="H1051" s="3866"/>
      <c r="I1051" s="1452"/>
      <c r="J1051" s="1012"/>
      <c r="K1051" s="1012"/>
      <c r="L1051" s="1012"/>
      <c r="M1051" s="1012"/>
      <c r="N1051" s="1012"/>
      <c r="O1051" s="1012"/>
      <c r="P1051" s="1012"/>
      <c r="Q1051" s="1012"/>
      <c r="R1051" s="1012"/>
      <c r="S1051" s="1012"/>
      <c r="T1051" s="1012"/>
      <c r="U1051" s="1012"/>
      <c r="V1051" s="1073" t="str">
        <f t="shared" si="128"/>
        <v>EUL</v>
      </c>
      <c r="W1051" s="1077">
        <v>10</v>
      </c>
      <c r="X1051" s="1077">
        <v>10</v>
      </c>
      <c r="Y1051" s="1077">
        <v>10</v>
      </c>
      <c r="Z1051" s="1077">
        <v>10</v>
      </c>
      <c r="AA1051" s="1077">
        <v>10</v>
      </c>
      <c r="AB1051" s="1077">
        <v>10</v>
      </c>
      <c r="AC1051" s="1163"/>
      <c r="AD1051" s="1163"/>
      <c r="AE1051" s="1163"/>
      <c r="AF1051" s="1163"/>
      <c r="AG1051" s="1163"/>
      <c r="AK1051" s="1127"/>
      <c r="BB1051" s="1008"/>
    </row>
    <row r="1052" spans="1:54" s="993" customFormat="1" outlineLevel="1" x14ac:dyDescent="0.25">
      <c r="A1052" s="1012"/>
      <c r="B1052" s="1823"/>
      <c r="C1052" s="375"/>
      <c r="D1052" s="3963" t="str">
        <f>D1021</f>
        <v>Inc. Cost</v>
      </c>
      <c r="E1052" s="1438" t="str">
        <f>E1021</f>
        <v>Incremental Cost - Non-DI</v>
      </c>
      <c r="F1052" s="1202">
        <v>11.33</v>
      </c>
      <c r="G1052" s="3866"/>
      <c r="H1052" s="3866"/>
      <c r="I1052" s="1452"/>
      <c r="J1052" s="1012"/>
      <c r="K1052" s="1012"/>
      <c r="L1052" s="1012"/>
      <c r="M1052" s="1012"/>
      <c r="N1052" s="1012"/>
      <c r="O1052" s="1012"/>
      <c r="P1052" s="1012"/>
      <c r="Q1052" s="1012"/>
      <c r="R1052" s="1012"/>
      <c r="S1052" s="1012"/>
      <c r="T1052" s="1012"/>
      <c r="U1052" s="1012"/>
      <c r="V1052" s="3805" t="str">
        <f>D1052</f>
        <v>Inc. Cost</v>
      </c>
      <c r="W1052" s="1164">
        <v>11.33</v>
      </c>
      <c r="X1052" s="1164">
        <v>11.33</v>
      </c>
      <c r="Y1052" s="1164">
        <v>11.33</v>
      </c>
      <c r="Z1052" s="1164">
        <v>11.33</v>
      </c>
      <c r="AA1052" s="1164">
        <v>11.33</v>
      </c>
      <c r="AB1052" s="1164">
        <v>11.33</v>
      </c>
      <c r="AC1052" s="1165"/>
      <c r="AD1052" s="1165"/>
      <c r="AE1052" s="1165"/>
      <c r="AF1052" s="1165"/>
      <c r="AG1052" s="1165"/>
      <c r="AK1052" s="1127"/>
      <c r="BB1052" s="1008"/>
    </row>
    <row r="1053" spans="1:54" s="993" customFormat="1" outlineLevel="1" x14ac:dyDescent="0.25">
      <c r="A1053" s="1012"/>
      <c r="B1053" s="1823"/>
      <c r="C1053" s="375"/>
      <c r="D1053" s="3964"/>
      <c r="E1053" s="1438" t="str">
        <f>E1022</f>
        <v>Incremental Cost - Direct Install (DI)</v>
      </c>
      <c r="F1053" s="1202">
        <v>11.33</v>
      </c>
      <c r="G1053" s="3866"/>
      <c r="H1053" s="3866"/>
      <c r="I1053" s="1452"/>
      <c r="J1053" s="1012"/>
      <c r="K1053" s="1012"/>
      <c r="L1053" s="1012"/>
      <c r="M1053" s="1012"/>
      <c r="N1053" s="1012"/>
      <c r="O1053" s="1012"/>
      <c r="P1053" s="1012"/>
      <c r="Q1053" s="1012"/>
      <c r="R1053" s="1012"/>
      <c r="S1053" s="1012"/>
      <c r="T1053" s="1012"/>
      <c r="U1053" s="1012"/>
      <c r="V1053" s="3933"/>
      <c r="W1053" s="1164">
        <v>11.33</v>
      </c>
      <c r="X1053" s="1164">
        <v>11.33</v>
      </c>
      <c r="Y1053" s="1164">
        <v>11.33</v>
      </c>
      <c r="Z1053" s="1164">
        <v>11.33</v>
      </c>
      <c r="AA1053" s="1164">
        <v>11.33</v>
      </c>
      <c r="AB1053" s="1164">
        <v>11.33</v>
      </c>
      <c r="AC1053" s="1165"/>
      <c r="AD1053" s="1165"/>
      <c r="AE1053" s="1165"/>
      <c r="AF1053" s="1165"/>
      <c r="AG1053" s="1165"/>
      <c r="AK1053" s="1127"/>
      <c r="BB1053" s="1008"/>
    </row>
    <row r="1054" spans="1:54" s="993" customFormat="1" ht="15" customHeight="1" x14ac:dyDescent="0.25">
      <c r="A1054" s="1012"/>
      <c r="B1054" s="1823"/>
      <c r="C1054" s="375"/>
      <c r="D1054" s="492"/>
      <c r="E1054" s="492"/>
      <c r="F1054" s="1012"/>
      <c r="G1054" s="1012"/>
      <c r="H1054" s="1012"/>
      <c r="I1054" s="1012"/>
      <c r="J1054" s="1012"/>
      <c r="K1054" s="1012"/>
      <c r="L1054" s="1012"/>
      <c r="M1054" s="1012"/>
      <c r="N1054" s="1012"/>
      <c r="O1054" s="1012"/>
      <c r="P1054" s="1012"/>
      <c r="Q1054" s="1012"/>
      <c r="R1054" s="1012"/>
      <c r="S1054" s="1012"/>
      <c r="T1054" s="1012"/>
      <c r="U1054" s="1012"/>
      <c r="X1054" s="1012"/>
      <c r="Y1054" s="1974" t="s">
        <v>1956</v>
      </c>
      <c r="Z1054" s="1062"/>
      <c r="AA1054" s="1062"/>
      <c r="AK1054" s="1127"/>
      <c r="BB1054" s="1008"/>
    </row>
    <row r="1055" spans="1:54" s="993" customFormat="1" ht="15" customHeight="1" x14ac:dyDescent="0.25">
      <c r="A1055" s="1012"/>
      <c r="B1055" s="1823"/>
      <c r="C1055" s="1009"/>
      <c r="D1055" s="492"/>
      <c r="E1055" s="492"/>
      <c r="F1055" s="1012"/>
      <c r="G1055" s="1012"/>
      <c r="H1055" s="1012"/>
      <c r="I1055" s="1012"/>
      <c r="J1055" s="1012"/>
      <c r="K1055" s="1012"/>
      <c r="L1055" s="1012"/>
      <c r="M1055" s="1012"/>
      <c r="N1055" s="1012"/>
      <c r="O1055" s="1012"/>
      <c r="P1055" s="1012"/>
      <c r="Q1055" s="1012"/>
      <c r="R1055" s="1012"/>
      <c r="S1055" s="1012"/>
      <c r="T1055" s="1012"/>
      <c r="U1055" s="1012"/>
      <c r="Y1055" s="1013"/>
      <c r="AK1055" s="1127"/>
      <c r="BB1055" s="1008"/>
    </row>
    <row r="1056" spans="1:54" s="993" customFormat="1" x14ac:dyDescent="0.25">
      <c r="A1056" s="1012"/>
      <c r="B1056" s="3350" t="s">
        <v>1957</v>
      </c>
      <c r="C1056" s="3351"/>
      <c r="D1056" s="3351"/>
      <c r="E1056" s="3351"/>
      <c r="F1056" s="3351"/>
      <c r="G1056" s="3351"/>
      <c r="H1056" s="3351"/>
      <c r="I1056" s="3352"/>
      <c r="J1056" s="3352"/>
      <c r="K1056" s="3352"/>
      <c r="L1056" s="3352"/>
      <c r="M1056" s="3352"/>
      <c r="N1056" s="3352"/>
      <c r="O1056" s="3352"/>
      <c r="P1056" s="3352"/>
      <c r="Q1056" s="3352"/>
      <c r="R1056" s="3353"/>
      <c r="S1056" s="1012"/>
      <c r="T1056" s="1012"/>
      <c r="U1056" s="1012"/>
      <c r="V1056" s="3350" t="str">
        <f>B1056</f>
        <v xml:space="preserve">Common Area Low Flow Showerheads </v>
      </c>
      <c r="W1056" s="3351"/>
      <c r="X1056" s="3351"/>
      <c r="Y1056" s="3351"/>
      <c r="Z1056" s="3351"/>
      <c r="AA1056" s="3351"/>
      <c r="AB1056" s="3351"/>
      <c r="AC1056" s="3961"/>
      <c r="AD1056" s="3961"/>
      <c r="AE1056" s="3961"/>
      <c r="AF1056" s="3961"/>
      <c r="AG1056" s="3961"/>
      <c r="AH1056" s="3961"/>
      <c r="AI1056" s="3962"/>
      <c r="AK1056" s="1127"/>
      <c r="BB1056" s="1008"/>
    </row>
    <row r="1057" spans="1:57" s="993" customFormat="1" x14ac:dyDescent="0.25">
      <c r="A1057" s="1012"/>
      <c r="B1057" s="1012"/>
      <c r="C1057" s="1041"/>
      <c r="D1057" s="1835"/>
      <c r="E1057" s="1835"/>
      <c r="F1057" s="1010"/>
      <c r="G1057" s="1010"/>
      <c r="H1057" s="1010"/>
      <c r="I1057" s="1010"/>
      <c r="J1057" s="1010"/>
      <c r="K1057" s="1010"/>
      <c r="L1057" s="1836"/>
      <c r="M1057" s="1012"/>
      <c r="N1057" s="1012"/>
      <c r="O1057" s="1012"/>
      <c r="P1057" s="1012"/>
      <c r="Q1057" s="1012"/>
      <c r="R1057" s="1012"/>
      <c r="S1057" s="1012"/>
      <c r="T1057" s="1012"/>
      <c r="U1057" s="1012"/>
      <c r="V1057" s="993" t="str">
        <f>IF(C1055&gt;0,C1055," ")</f>
        <v xml:space="preserve"> </v>
      </c>
      <c r="Y1057" s="1013"/>
      <c r="AK1057" s="1127"/>
      <c r="BB1057" s="1008"/>
    </row>
    <row r="1058" spans="1:57" s="993" customFormat="1" ht="49.5" customHeight="1" x14ac:dyDescent="0.25">
      <c r="A1058" s="1012"/>
      <c r="B1058" s="1823"/>
      <c r="C1058" s="1409" t="s">
        <v>17</v>
      </c>
      <c r="D1058" s="1409" t="s">
        <v>616</v>
      </c>
      <c r="E1058" s="1409" t="s">
        <v>19</v>
      </c>
      <c r="F1058" s="1409" t="s">
        <v>1682</v>
      </c>
      <c r="G1058" s="1409" t="s">
        <v>21</v>
      </c>
      <c r="H1058" s="1409" t="s">
        <v>22</v>
      </c>
      <c r="I1058" s="1409" t="s">
        <v>933</v>
      </c>
      <c r="J1058" s="1409" t="s">
        <v>23</v>
      </c>
      <c r="K1058" s="1409" t="s">
        <v>24</v>
      </c>
      <c r="L1058" s="1409" t="s">
        <v>25</v>
      </c>
      <c r="M1058" s="1409" t="s">
        <v>26</v>
      </c>
      <c r="N1058" s="1012"/>
      <c r="O1058" s="1012"/>
      <c r="P1058" s="1012"/>
      <c r="Q1058" s="1012"/>
      <c r="R1058" s="1012"/>
      <c r="S1058" s="1012"/>
      <c r="T1058" s="1012"/>
      <c r="U1058" s="1012"/>
      <c r="V1058" s="55" t="s">
        <v>27</v>
      </c>
      <c r="W1058" s="56">
        <f>W$6</f>
        <v>43252</v>
      </c>
      <c r="X1058" s="56">
        <f t="shared" ref="X1058:AG1058" si="129">X$6</f>
        <v>43465</v>
      </c>
      <c r="Y1058" s="420">
        <f t="shared" si="129"/>
        <v>43800</v>
      </c>
      <c r="Z1058" s="56">
        <f t="shared" si="129"/>
        <v>43862</v>
      </c>
      <c r="AA1058" s="56">
        <f t="shared" si="129"/>
        <v>44013</v>
      </c>
      <c r="AB1058" s="56">
        <f t="shared" si="129"/>
        <v>44166</v>
      </c>
      <c r="AC1058" s="56" t="str">
        <f t="shared" si="129"/>
        <v>-</v>
      </c>
      <c r="AD1058" s="56" t="str">
        <f t="shared" si="129"/>
        <v>-</v>
      </c>
      <c r="AE1058" s="56" t="str">
        <f t="shared" si="129"/>
        <v>-</v>
      </c>
      <c r="AF1058" s="56" t="str">
        <f t="shared" si="129"/>
        <v>-</v>
      </c>
      <c r="AG1058" s="56" t="str">
        <f t="shared" si="129"/>
        <v>-</v>
      </c>
      <c r="AK1058" s="1127"/>
      <c r="BB1058" s="57" t="str">
        <f>$BB$6</f>
        <v>TRC (2020)</v>
      </c>
      <c r="BC1058" s="93" t="str">
        <f>$BC$6</f>
        <v>Benefit Lookup</v>
      </c>
      <c r="BD1058" s="741" t="str">
        <f>$BD$6</f>
        <v>Benefits (2019 $)</v>
      </c>
      <c r="BE1058" s="279" t="str">
        <f>$BE$6</f>
        <v>Incremental Cost (2019 $)</v>
      </c>
    </row>
    <row r="1059" spans="1:57" s="993" customFormat="1" x14ac:dyDescent="0.25">
      <c r="A1059" s="1012"/>
      <c r="B1059" s="1823"/>
      <c r="C1059" s="1658" t="s">
        <v>1958</v>
      </c>
      <c r="D1059" s="1658" t="s">
        <v>1824</v>
      </c>
      <c r="E1059" s="483" t="s">
        <v>1959</v>
      </c>
      <c r="F1059" s="1141">
        <f>ROUND(F1069*((F1070*F1071-F1072*F1073)*F1074*F1075)*I1059*F1083*F1082,2)</f>
        <v>213.29</v>
      </c>
      <c r="G1059" s="1658" t="s">
        <v>1822</v>
      </c>
      <c r="H1059" s="202">
        <f>VLOOKUP(G1059,'CP FACTORS'!$A$3:$B$38, 2, FALSE)</f>
        <v>8.8731800000000003E-5</v>
      </c>
      <c r="I1059" s="1832">
        <f>F1076*F1077*(F1078-F1079)/(F1080*F1081)</f>
        <v>0.10886576787807739</v>
      </c>
      <c r="J1059" s="1888">
        <f>ROUND(F1059*H1059,6)</f>
        <v>1.8925999999999998E-2</v>
      </c>
      <c r="K1059" s="142">
        <f>F1084</f>
        <v>10</v>
      </c>
      <c r="L1059" s="1936">
        <f>F1085</f>
        <v>7</v>
      </c>
      <c r="M1059" s="1658" t="s">
        <v>37</v>
      </c>
      <c r="N1059" s="1012"/>
      <c r="O1059" s="1012"/>
      <c r="P1059" s="1012"/>
      <c r="Q1059" s="1012"/>
      <c r="R1059" s="1012"/>
      <c r="S1059" s="1012"/>
      <c r="T1059" s="1012"/>
      <c r="U1059" s="1012"/>
      <c r="V1059" s="1125" t="str">
        <f>$F$966</f>
        <v>kWh
Annual Savings</v>
      </c>
      <c r="W1059" s="1215">
        <v>213.28849188496486</v>
      </c>
      <c r="X1059" s="1215">
        <v>213.28849188496486</v>
      </c>
      <c r="Y1059" s="1076">
        <v>213.29</v>
      </c>
      <c r="Z1059" s="1076">
        <v>213.29</v>
      </c>
      <c r="AA1059" s="1076">
        <v>213.29</v>
      </c>
      <c r="AB1059" s="1076">
        <v>213.29</v>
      </c>
      <c r="AC1059" s="1125"/>
      <c r="AD1059" s="1125"/>
      <c r="AE1059" s="1125"/>
      <c r="AF1059" s="1125"/>
      <c r="AG1059" s="1125"/>
      <c r="AK1059" s="1127"/>
      <c r="BB1059" s="1204">
        <f>(BD1059)/(BE1059)</f>
        <v>10.888444590636908</v>
      </c>
      <c r="BC1059" s="68" t="str">
        <f>CONCATENATE(G1059," ",K1059," Year EUL")</f>
        <v>Water heating RES 10 Year EUL</v>
      </c>
      <c r="BD1059" s="214">
        <f>(INDEX('Avoided Cost Benefits'!$C$4:$C$857,MATCH(BC1059,'Avoided Cost Benefits'!$A$4:$A$857,0)))*F1059</f>
        <v>71.938756143896512</v>
      </c>
      <c r="BE1059" s="1205">
        <f>L1059/(1.0595^(2020-2019))</f>
        <v>6.6068900424728643</v>
      </c>
    </row>
    <row r="1060" spans="1:57" s="993" customFormat="1" outlineLevel="1" x14ac:dyDescent="0.25">
      <c r="A1060" s="1012"/>
      <c r="B1060" s="1823"/>
      <c r="C1060" s="1009"/>
      <c r="D1060" s="492"/>
      <c r="E1060" s="492"/>
      <c r="F1060" s="1937"/>
      <c r="G1060" s="1041"/>
      <c r="H1060" s="1932"/>
      <c r="I1060" s="1218"/>
      <c r="J1060" s="1218"/>
      <c r="K1060" s="1218"/>
      <c r="L1060" s="1012"/>
      <c r="M1060" s="1063"/>
      <c r="N1060" s="1012"/>
      <c r="O1060" s="1012"/>
      <c r="P1060" s="1012"/>
      <c r="Q1060" s="1012"/>
      <c r="R1060" s="1012"/>
      <c r="S1060" s="1012"/>
      <c r="T1060" s="1012"/>
      <c r="U1060" s="1012"/>
      <c r="V1060" s="1193"/>
      <c r="Y1060" s="1013"/>
      <c r="AK1060" s="1127"/>
      <c r="BB1060" s="1008"/>
    </row>
    <row r="1061" spans="1:57" s="993" customFormat="1" outlineLevel="1" x14ac:dyDescent="0.25">
      <c r="A1061" s="1012"/>
      <c r="B1061" s="1823"/>
      <c r="C1061" s="1009"/>
      <c r="D1061" s="222" t="s">
        <v>571</v>
      </c>
      <c r="E1061" s="492"/>
      <c r="F1061" s="1937"/>
      <c r="G1061" s="1041"/>
      <c r="H1061" s="1932"/>
      <c r="I1061" s="1218"/>
      <c r="J1061" s="1218"/>
      <c r="K1061" s="1218"/>
      <c r="L1061" s="1012"/>
      <c r="M1061" s="1063"/>
      <c r="N1061" s="1012"/>
      <c r="O1061" s="1012"/>
      <c r="P1061" s="1012"/>
      <c r="Q1061" s="1012"/>
      <c r="R1061" s="1012"/>
      <c r="S1061" s="1012"/>
      <c r="T1061" s="1012"/>
      <c r="U1061" s="1012"/>
      <c r="V1061" s="1193"/>
      <c r="Y1061" s="1013"/>
      <c r="AK1061" s="1127"/>
      <c r="BB1061" s="1008"/>
    </row>
    <row r="1062" spans="1:57" s="993" customFormat="1" outlineLevel="1" x14ac:dyDescent="0.25">
      <c r="A1062" s="1012"/>
      <c r="B1062" s="1823"/>
      <c r="C1062" s="1009"/>
      <c r="D1062" s="492"/>
      <c r="E1062" s="492"/>
      <c r="F1062" s="1012"/>
      <c r="G1062" s="1012"/>
      <c r="H1062" s="1012"/>
      <c r="I1062" s="1012"/>
      <c r="J1062" s="1012"/>
      <c r="K1062" s="1012"/>
      <c r="L1062" s="1012"/>
      <c r="M1062" s="1063"/>
      <c r="N1062" s="1012"/>
      <c r="O1062" s="1012"/>
      <c r="P1062" s="1012"/>
      <c r="Q1062" s="1012"/>
      <c r="R1062" s="1012"/>
      <c r="S1062" s="1012"/>
      <c r="T1062" s="1012"/>
      <c r="U1062" s="1012"/>
      <c r="Y1062" s="1013"/>
      <c r="AK1062" s="1127"/>
      <c r="BB1062" s="1008"/>
    </row>
    <row r="1063" spans="1:57" s="993" customFormat="1" outlineLevel="1" x14ac:dyDescent="0.25">
      <c r="A1063" s="1012"/>
      <c r="B1063" s="1823"/>
      <c r="C1063" s="1014"/>
      <c r="D1063" s="1933"/>
      <c r="E1063" s="1934"/>
      <c r="F1063" s="1938"/>
      <c r="G1063" s="1020"/>
      <c r="H1063" s="1020"/>
      <c r="I1063" s="1012"/>
      <c r="J1063" s="1012"/>
      <c r="K1063" s="1012"/>
      <c r="L1063" s="1012"/>
      <c r="M1063" s="1012"/>
      <c r="N1063" s="1012"/>
      <c r="O1063" s="1012"/>
      <c r="P1063" s="1012"/>
      <c r="Q1063" s="1012"/>
      <c r="R1063" s="1012"/>
      <c r="S1063" s="1012"/>
      <c r="T1063" s="1012"/>
      <c r="U1063" s="1012"/>
      <c r="Y1063" s="1013"/>
      <c r="AK1063" s="1127"/>
      <c r="BB1063" s="1008"/>
    </row>
    <row r="1064" spans="1:57" s="993" customFormat="1" outlineLevel="1" x14ac:dyDescent="0.25">
      <c r="A1064" s="1012"/>
      <c r="B1064" s="1823"/>
      <c r="C1064" s="1015"/>
      <c r="D1064" s="1915"/>
      <c r="E1064" s="1916"/>
      <c r="F1064" s="1939"/>
      <c r="G1064" s="1020"/>
      <c r="H1064" s="1020"/>
      <c r="I1064" s="1012"/>
      <c r="J1064" s="1012"/>
      <c r="K1064" s="1012"/>
      <c r="L1064" s="1012"/>
      <c r="M1064" s="1012"/>
      <c r="N1064" s="1012"/>
      <c r="O1064" s="1012"/>
      <c r="P1064" s="1012"/>
      <c r="Q1064" s="1012"/>
      <c r="R1064" s="1012"/>
      <c r="S1064" s="1012"/>
      <c r="T1064" s="1012"/>
      <c r="U1064" s="1012"/>
      <c r="Y1064" s="1013"/>
      <c r="AK1064" s="1127"/>
      <c r="BB1064" s="1008"/>
    </row>
    <row r="1065" spans="1:57" s="993" customFormat="1" outlineLevel="1" x14ac:dyDescent="0.25">
      <c r="A1065" s="1012"/>
      <c r="B1065" s="1823"/>
      <c r="C1065" s="1015"/>
      <c r="D1065" s="1915"/>
      <c r="E1065" s="1916"/>
      <c r="F1065" s="1939"/>
      <c r="G1065" s="1020"/>
      <c r="H1065" s="1020"/>
      <c r="I1065" s="1012"/>
      <c r="J1065" s="1012"/>
      <c r="K1065" s="1012"/>
      <c r="L1065" s="1012"/>
      <c r="M1065" s="1012"/>
      <c r="N1065" s="1012"/>
      <c r="O1065" s="1012"/>
      <c r="P1065" s="1012"/>
      <c r="Q1065" s="1012"/>
      <c r="R1065" s="1012"/>
      <c r="S1065" s="1012"/>
      <c r="T1065" s="1012"/>
      <c r="U1065" s="1012"/>
      <c r="Y1065" s="1013"/>
      <c r="AK1065" s="1127"/>
      <c r="BB1065" s="1008"/>
    </row>
    <row r="1066" spans="1:57" s="993" customFormat="1" ht="15" customHeight="1" outlineLevel="1" x14ac:dyDescent="0.25">
      <c r="A1066" s="1012"/>
      <c r="B1066" s="1823"/>
      <c r="C1066" s="1015"/>
      <c r="D1066" s="1915"/>
      <c r="E1066" s="1916"/>
      <c r="F1066" s="1939"/>
      <c r="G1066" s="1020"/>
      <c r="H1066" s="1020"/>
      <c r="I1066" s="1012"/>
      <c r="J1066" s="1012"/>
      <c r="K1066" s="1012"/>
      <c r="L1066" s="1012"/>
      <c r="M1066" s="1012"/>
      <c r="N1066" s="1012"/>
      <c r="O1066" s="1012"/>
      <c r="P1066" s="1012"/>
      <c r="Q1066" s="1012"/>
      <c r="R1066" s="1012"/>
      <c r="S1066" s="1012"/>
      <c r="T1066" s="1012"/>
      <c r="U1066" s="1012"/>
      <c r="Y1066" s="1013"/>
      <c r="AK1066" s="1127"/>
      <c r="BB1066" s="1008"/>
    </row>
    <row r="1067" spans="1:57" s="993" customFormat="1" ht="15" customHeight="1" outlineLevel="1" x14ac:dyDescent="0.25">
      <c r="A1067" s="1012"/>
      <c r="B1067" s="1012"/>
      <c r="C1067" s="1041"/>
      <c r="D1067" s="492"/>
      <c r="E1067" s="492"/>
      <c r="F1067" s="1012"/>
      <c r="G1067" s="1012"/>
      <c r="H1067" s="1012"/>
      <c r="I1067" s="1012"/>
      <c r="J1067" s="1012"/>
      <c r="K1067" s="1012"/>
      <c r="L1067" s="1012"/>
      <c r="M1067" s="1012"/>
      <c r="N1067" s="1012"/>
      <c r="O1067" s="1012"/>
      <c r="P1067" s="1012"/>
      <c r="Q1067" s="1012"/>
      <c r="R1067" s="1012"/>
      <c r="S1067" s="1012"/>
      <c r="T1067" s="1012"/>
      <c r="U1067" s="1012"/>
      <c r="Y1067" s="1013"/>
      <c r="AK1067" s="1127"/>
      <c r="BB1067" s="1008"/>
    </row>
    <row r="1068" spans="1:57" s="993" customFormat="1" ht="15" customHeight="1" outlineLevel="1" x14ac:dyDescent="0.25">
      <c r="A1068" s="1012"/>
      <c r="B1068" s="1012"/>
      <c r="C1068" s="1041"/>
      <c r="D1068" s="1456" t="s">
        <v>572</v>
      </c>
      <c r="E1068" s="1456" t="s">
        <v>573</v>
      </c>
      <c r="F1068" s="1412" t="s">
        <v>574</v>
      </c>
      <c r="G1068" s="3419" t="s">
        <v>624</v>
      </c>
      <c r="H1068" s="3419"/>
      <c r="I1068" s="1440" t="s">
        <v>575</v>
      </c>
      <c r="J1068" s="1012"/>
      <c r="K1068" s="1012"/>
      <c r="L1068" s="1012"/>
      <c r="M1068" s="1012"/>
      <c r="N1068" s="1012"/>
      <c r="O1068" s="1012"/>
      <c r="P1068" s="1012"/>
      <c r="Q1068" s="1012"/>
      <c r="R1068" s="1012"/>
      <c r="S1068" s="1012"/>
      <c r="T1068" s="1012"/>
      <c r="U1068" s="1012"/>
      <c r="V1068" s="55" t="s">
        <v>27</v>
      </c>
      <c r="W1068" s="56">
        <f>W$6</f>
        <v>43252</v>
      </c>
      <c r="X1068" s="56">
        <f t="shared" ref="X1068:AG1068" si="130">X$6</f>
        <v>43465</v>
      </c>
      <c r="Y1068" s="420">
        <f t="shared" si="130"/>
        <v>43800</v>
      </c>
      <c r="Z1068" s="56">
        <f t="shared" si="130"/>
        <v>43862</v>
      </c>
      <c r="AA1068" s="56">
        <f t="shared" si="130"/>
        <v>44013</v>
      </c>
      <c r="AB1068" s="56">
        <f t="shared" si="130"/>
        <v>44166</v>
      </c>
      <c r="AC1068" s="56" t="str">
        <f t="shared" si="130"/>
        <v>-</v>
      </c>
      <c r="AD1068" s="56" t="str">
        <f t="shared" si="130"/>
        <v>-</v>
      </c>
      <c r="AE1068" s="56" t="str">
        <f t="shared" si="130"/>
        <v>-</v>
      </c>
      <c r="AF1068" s="56" t="str">
        <f t="shared" si="130"/>
        <v>-</v>
      </c>
      <c r="AG1068" s="56" t="str">
        <f t="shared" si="130"/>
        <v>-</v>
      </c>
      <c r="AK1068" s="1127"/>
      <c r="BB1068" s="1008"/>
    </row>
    <row r="1069" spans="1:57" s="993" customFormat="1" ht="30" outlineLevel="1" x14ac:dyDescent="0.25">
      <c r="A1069" s="1012"/>
      <c r="B1069" s="1012"/>
      <c r="C1069" s="1041"/>
      <c r="D1069" s="1410" t="s">
        <v>937</v>
      </c>
      <c r="E1069" s="1410" t="s">
        <v>938</v>
      </c>
      <c r="F1069" s="1200">
        <v>1</v>
      </c>
      <c r="G1069" s="3509" t="s">
        <v>930</v>
      </c>
      <c r="H1069" s="3509"/>
      <c r="I1069" s="1439" t="s">
        <v>1726</v>
      </c>
      <c r="J1069" s="1012"/>
      <c r="K1069" s="1012"/>
      <c r="L1069" s="1012"/>
      <c r="M1069" s="1012"/>
      <c r="N1069" s="1012"/>
      <c r="O1069" s="1012"/>
      <c r="P1069" s="1012"/>
      <c r="Q1069" s="1012"/>
      <c r="R1069" s="1012"/>
      <c r="S1069" s="1012"/>
      <c r="T1069" s="1012"/>
      <c r="U1069" s="1012"/>
      <c r="V1069" s="1073" t="str">
        <f>D1069</f>
        <v>%Electric DHW</v>
      </c>
      <c r="W1069" s="1194">
        <v>1</v>
      </c>
      <c r="X1069" s="1194">
        <v>1</v>
      </c>
      <c r="Y1069" s="1194">
        <v>1</v>
      </c>
      <c r="Z1069" s="1194">
        <v>1</v>
      </c>
      <c r="AA1069" s="1194">
        <v>1</v>
      </c>
      <c r="AB1069" s="1194">
        <v>1</v>
      </c>
      <c r="AC1069" s="1074"/>
      <c r="AD1069" s="1074"/>
      <c r="AE1069" s="1074"/>
      <c r="AF1069" s="1074"/>
      <c r="AG1069" s="1074"/>
      <c r="AK1069" s="1127"/>
      <c r="BB1069" s="1008"/>
    </row>
    <row r="1070" spans="1:57" s="993" customFormat="1" ht="90" outlineLevel="1" x14ac:dyDescent="0.25">
      <c r="A1070" s="1012"/>
      <c r="B1070" s="1012"/>
      <c r="C1070" s="1041"/>
      <c r="D1070" s="1410" t="s">
        <v>3251</v>
      </c>
      <c r="E1070" s="1410" t="s">
        <v>985</v>
      </c>
      <c r="F1070" s="1455">
        <v>2.67</v>
      </c>
      <c r="G1070" s="3459" t="s">
        <v>986</v>
      </c>
      <c r="H1070" s="3459"/>
      <c r="I1070" s="1439" t="s">
        <v>1960</v>
      </c>
      <c r="J1070" s="1012"/>
      <c r="K1070" s="1012"/>
      <c r="L1070" s="1012"/>
      <c r="M1070" s="1012"/>
      <c r="N1070" s="1012"/>
      <c r="O1070" s="1012"/>
      <c r="P1070" s="1012"/>
      <c r="Q1070" s="1012"/>
      <c r="R1070" s="1012"/>
      <c r="S1070" s="1012"/>
      <c r="T1070" s="1012"/>
      <c r="U1070" s="1012"/>
      <c r="V1070" s="1073" t="str">
        <f t="shared" ref="V1070:V1084" si="131">D1070</f>
        <v>GPMbase</v>
      </c>
      <c r="W1070" s="1195">
        <v>2.67</v>
      </c>
      <c r="X1070" s="1195">
        <v>2.67</v>
      </c>
      <c r="Y1070" s="1195">
        <v>2.67</v>
      </c>
      <c r="Z1070" s="1195">
        <v>2.67</v>
      </c>
      <c r="AA1070" s="1195">
        <v>2.67</v>
      </c>
      <c r="AB1070" s="1195">
        <v>2.67</v>
      </c>
      <c r="AC1070" s="1137"/>
      <c r="AD1070" s="1137"/>
      <c r="AE1070" s="1137"/>
      <c r="AF1070" s="1137"/>
      <c r="AG1070" s="1137"/>
      <c r="AK1070" s="1127"/>
      <c r="BB1070" s="1008"/>
    </row>
    <row r="1071" spans="1:57" s="993" customFormat="1" ht="45" customHeight="1" outlineLevel="1" x14ac:dyDescent="0.25">
      <c r="A1071" s="1012"/>
      <c r="B1071" s="1012"/>
      <c r="C1071" s="1041"/>
      <c r="D1071" s="1410" t="s">
        <v>3252</v>
      </c>
      <c r="E1071" s="1869" t="s">
        <v>1861</v>
      </c>
      <c r="F1071" s="1927">
        <v>8.1999999999999993</v>
      </c>
      <c r="G1071" s="3866" t="s">
        <v>1863</v>
      </c>
      <c r="H1071" s="3866"/>
      <c r="I1071" s="1439" t="s">
        <v>1961</v>
      </c>
      <c r="J1071" s="1012"/>
      <c r="K1071" s="1012"/>
      <c r="L1071" s="1012"/>
      <c r="M1071" s="1012"/>
      <c r="N1071" s="1012"/>
      <c r="O1071" s="1012"/>
      <c r="P1071" s="1012"/>
      <c r="Q1071" s="1012"/>
      <c r="R1071" s="1012"/>
      <c r="S1071" s="1012"/>
      <c r="T1071" s="1012"/>
      <c r="U1071" s="1012"/>
      <c r="V1071" s="1073" t="str">
        <f t="shared" si="131"/>
        <v>Lbase</v>
      </c>
      <c r="W1071" s="1196">
        <v>8.1999999999999993</v>
      </c>
      <c r="X1071" s="1196">
        <v>8.1999999999999993</v>
      </c>
      <c r="Y1071" s="1196">
        <v>8.1999999999999993</v>
      </c>
      <c r="Z1071" s="1196">
        <v>8.1999999999999993</v>
      </c>
      <c r="AA1071" s="1196">
        <v>8.1999999999999993</v>
      </c>
      <c r="AB1071" s="1196">
        <v>8.1999999999999993</v>
      </c>
      <c r="AC1071" s="1076"/>
      <c r="AD1071" s="1076"/>
      <c r="AE1071" s="1076"/>
      <c r="AF1071" s="1076"/>
      <c r="AG1071" s="1076"/>
      <c r="AK1071" s="1127"/>
      <c r="BB1071" s="1008"/>
    </row>
    <row r="1072" spans="1:57" s="993" customFormat="1" ht="30" customHeight="1" outlineLevel="1" x14ac:dyDescent="0.25">
      <c r="A1072" s="1012"/>
      <c r="B1072" s="1012"/>
      <c r="C1072" s="1041"/>
      <c r="D1072" s="1410" t="s">
        <v>3256</v>
      </c>
      <c r="E1072" s="1410" t="s">
        <v>989</v>
      </c>
      <c r="F1072" s="1455">
        <v>2</v>
      </c>
      <c r="G1072" s="3459" t="s">
        <v>1833</v>
      </c>
      <c r="H1072" s="3459"/>
      <c r="I1072" s="1439"/>
      <c r="J1072" s="1012"/>
      <c r="K1072" s="1012"/>
      <c r="L1072" s="1012"/>
      <c r="M1072" s="1012"/>
      <c r="N1072" s="1012"/>
      <c r="O1072" s="1012"/>
      <c r="P1072" s="1012"/>
      <c r="Q1072" s="1012"/>
      <c r="R1072" s="1012"/>
      <c r="S1072" s="1012"/>
      <c r="T1072" s="1012"/>
      <c r="U1072" s="1012"/>
      <c r="V1072" s="1073" t="str">
        <f t="shared" si="131"/>
        <v>GPMlow</v>
      </c>
      <c r="W1072" s="1195">
        <v>2</v>
      </c>
      <c r="X1072" s="1195">
        <v>2</v>
      </c>
      <c r="Y1072" s="1195">
        <v>2</v>
      </c>
      <c r="Z1072" s="1195">
        <v>2</v>
      </c>
      <c r="AA1072" s="1195">
        <v>2</v>
      </c>
      <c r="AB1072" s="1195">
        <v>2</v>
      </c>
      <c r="AC1072" s="1137"/>
      <c r="AD1072" s="1137"/>
      <c r="AE1072" s="1137"/>
      <c r="AF1072" s="1137"/>
      <c r="AG1072" s="1137"/>
      <c r="AK1072" s="1127"/>
      <c r="BB1072" s="1008"/>
    </row>
    <row r="1073" spans="1:54" s="993" customFormat="1" ht="45" customHeight="1" outlineLevel="1" x14ac:dyDescent="0.25">
      <c r="A1073" s="1012"/>
      <c r="B1073" s="1012"/>
      <c r="C1073" s="1041"/>
      <c r="D1073" s="1410" t="s">
        <v>3257</v>
      </c>
      <c r="E1073" s="1869" t="s">
        <v>1861</v>
      </c>
      <c r="F1073" s="1927">
        <v>8.1999999999999993</v>
      </c>
      <c r="G1073" s="3866" t="s">
        <v>1863</v>
      </c>
      <c r="H1073" s="3866"/>
      <c r="I1073" s="1439" t="s">
        <v>1961</v>
      </c>
      <c r="J1073" s="1012"/>
      <c r="K1073" s="1012"/>
      <c r="L1073" s="1012"/>
      <c r="M1073" s="1012"/>
      <c r="N1073" s="1012"/>
      <c r="O1073" s="1012"/>
      <c r="P1073" s="1012"/>
      <c r="Q1073" s="1012"/>
      <c r="R1073" s="1012"/>
      <c r="S1073" s="1012"/>
      <c r="T1073" s="1012"/>
      <c r="U1073" s="1012"/>
      <c r="V1073" s="1073" t="str">
        <f t="shared" si="131"/>
        <v>Llow</v>
      </c>
      <c r="W1073" s="1196">
        <v>8.1999999999999993</v>
      </c>
      <c r="X1073" s="1196">
        <v>8.1999999999999993</v>
      </c>
      <c r="Y1073" s="1196">
        <v>8.1999999999999993</v>
      </c>
      <c r="Z1073" s="1196">
        <v>8.1999999999999993</v>
      </c>
      <c r="AA1073" s="1196">
        <v>8.1999999999999993</v>
      </c>
      <c r="AB1073" s="1196">
        <v>8.1999999999999993</v>
      </c>
      <c r="AC1073" s="1076"/>
      <c r="AD1073" s="1076"/>
      <c r="AE1073" s="1076"/>
      <c r="AF1073" s="1076"/>
      <c r="AG1073" s="1076"/>
      <c r="AK1073" s="1127"/>
      <c r="BB1073" s="1008"/>
    </row>
    <row r="1074" spans="1:54" s="993" customFormat="1" ht="30" customHeight="1" outlineLevel="1" x14ac:dyDescent="0.25">
      <c r="A1074" s="1012"/>
      <c r="B1074" s="1012"/>
      <c r="C1074" s="1041"/>
      <c r="D1074" s="1410" t="s">
        <v>1962</v>
      </c>
      <c r="E1074" s="1869" t="s">
        <v>1963</v>
      </c>
      <c r="F1074" s="1197">
        <v>1</v>
      </c>
      <c r="G1074" s="3873" t="s">
        <v>1964</v>
      </c>
      <c r="H1074" s="3873"/>
      <c r="I1074" s="1439" t="s">
        <v>1965</v>
      </c>
      <c r="J1074" s="1012"/>
      <c r="K1074" s="1012"/>
      <c r="L1074" s="1012"/>
      <c r="M1074" s="1012"/>
      <c r="N1074" s="1012"/>
      <c r="O1074" s="1012"/>
      <c r="P1074" s="1012"/>
      <c r="Q1074" s="1012"/>
      <c r="R1074" s="1012"/>
      <c r="S1074" s="1012"/>
      <c r="T1074" s="1012"/>
      <c r="U1074" s="1012"/>
      <c r="V1074" s="1073" t="str">
        <f t="shared" si="131"/>
        <v>NSPD</v>
      </c>
      <c r="W1074" s="1208">
        <v>1</v>
      </c>
      <c r="X1074" s="1208">
        <v>1</v>
      </c>
      <c r="Y1074" s="1208">
        <v>1</v>
      </c>
      <c r="Z1074" s="1208">
        <v>1</v>
      </c>
      <c r="AA1074" s="1208">
        <v>1</v>
      </c>
      <c r="AB1074" s="1208">
        <v>1</v>
      </c>
      <c r="AC1074" s="1075"/>
      <c r="AD1074" s="1075"/>
      <c r="AE1074" s="1075"/>
      <c r="AF1074" s="1075"/>
      <c r="AG1074" s="1075"/>
      <c r="AK1074" s="1127"/>
      <c r="BB1074" s="1008"/>
    </row>
    <row r="1075" spans="1:54" s="993" customFormat="1" ht="60" customHeight="1" outlineLevel="1" x14ac:dyDescent="0.25">
      <c r="A1075" s="1012"/>
      <c r="B1075" s="1012"/>
      <c r="C1075" s="1041"/>
      <c r="D1075" s="1410">
        <v>365.25</v>
      </c>
      <c r="E1075" s="1869" t="s">
        <v>1868</v>
      </c>
      <c r="F1075" s="1927">
        <v>365</v>
      </c>
      <c r="G1075" s="3459" t="s">
        <v>921</v>
      </c>
      <c r="H1075" s="3459"/>
      <c r="I1075" s="1439" t="s">
        <v>1966</v>
      </c>
      <c r="J1075" s="1012"/>
      <c r="K1075" s="1012"/>
      <c r="L1075" s="1012"/>
      <c r="M1075" s="1012"/>
      <c r="N1075" s="1012"/>
      <c r="O1075" s="1012"/>
      <c r="P1075" s="1012"/>
      <c r="Q1075" s="1012"/>
      <c r="R1075" s="1012"/>
      <c r="S1075" s="1012"/>
      <c r="T1075" s="1012"/>
      <c r="U1075" s="1012"/>
      <c r="V1075" s="1073">
        <f t="shared" si="131"/>
        <v>365.25</v>
      </c>
      <c r="W1075" s="1196">
        <v>365</v>
      </c>
      <c r="X1075" s="1196">
        <v>365</v>
      </c>
      <c r="Y1075" s="1196">
        <v>365</v>
      </c>
      <c r="Z1075" s="1196">
        <v>365</v>
      </c>
      <c r="AA1075" s="1196">
        <v>365</v>
      </c>
      <c r="AB1075" s="1196">
        <v>365</v>
      </c>
      <c r="AC1075" s="1076"/>
      <c r="AD1075" s="1076"/>
      <c r="AE1075" s="1076"/>
      <c r="AF1075" s="1076"/>
      <c r="AG1075" s="1076"/>
      <c r="AK1075" s="1127"/>
      <c r="BB1075" s="1008"/>
    </row>
    <row r="1076" spans="1:54" s="993" customFormat="1" ht="60" customHeight="1" outlineLevel="1" x14ac:dyDescent="0.25">
      <c r="A1076" s="1012"/>
      <c r="B1076" s="1012"/>
      <c r="C1076" s="1041"/>
      <c r="D1076" s="1410">
        <v>8.33</v>
      </c>
      <c r="E1076" s="1869" t="s">
        <v>959</v>
      </c>
      <c r="F1076" s="1927">
        <v>8.33</v>
      </c>
      <c r="G1076" s="3509" t="s">
        <v>960</v>
      </c>
      <c r="H1076" s="3509"/>
      <c r="I1076" s="1439" t="s">
        <v>1966</v>
      </c>
      <c r="J1076" s="1012"/>
      <c r="K1076" s="1012"/>
      <c r="L1076" s="1012"/>
      <c r="M1076" s="1012"/>
      <c r="N1076" s="1012"/>
      <c r="O1076" s="1012"/>
      <c r="P1076" s="1012" t="s">
        <v>1929</v>
      </c>
      <c r="Q1076" s="1012"/>
      <c r="R1076" s="1012"/>
      <c r="S1076" s="1012"/>
      <c r="T1076" s="1012"/>
      <c r="U1076" s="1012"/>
      <c r="V1076" s="1073">
        <f t="shared" si="131"/>
        <v>8.33</v>
      </c>
      <c r="W1076" s="1196">
        <v>8.33</v>
      </c>
      <c r="X1076" s="1196">
        <v>8.33</v>
      </c>
      <c r="Y1076" s="1196">
        <v>8.33</v>
      </c>
      <c r="Z1076" s="1196">
        <v>8.33</v>
      </c>
      <c r="AA1076" s="1196">
        <v>8.33</v>
      </c>
      <c r="AB1076" s="1196">
        <v>8.33</v>
      </c>
      <c r="AC1076" s="1076"/>
      <c r="AD1076" s="1076"/>
      <c r="AE1076" s="1076"/>
      <c r="AF1076" s="1076"/>
      <c r="AG1076" s="1076"/>
      <c r="AK1076" s="1127"/>
      <c r="BB1076" s="1008"/>
    </row>
    <row r="1077" spans="1:54" s="993" customFormat="1" ht="60" customHeight="1" outlineLevel="1" x14ac:dyDescent="0.25">
      <c r="A1077" s="1012"/>
      <c r="B1077" s="1012"/>
      <c r="C1077" s="1041"/>
      <c r="D1077" s="1410">
        <v>1</v>
      </c>
      <c r="E1077" s="1869" t="s">
        <v>1870</v>
      </c>
      <c r="F1077" s="1927">
        <v>1</v>
      </c>
      <c r="G1077" s="3459" t="s">
        <v>962</v>
      </c>
      <c r="H1077" s="3459"/>
      <c r="I1077" s="1439" t="s">
        <v>1966</v>
      </c>
      <c r="J1077" s="1012"/>
      <c r="K1077" s="1012"/>
      <c r="L1077" s="1012"/>
      <c r="M1077" s="1012"/>
      <c r="N1077" s="1012"/>
      <c r="O1077" s="1012"/>
      <c r="P1077" s="1012"/>
      <c r="Q1077" s="1012"/>
      <c r="R1077" s="1012"/>
      <c r="S1077" s="1012"/>
      <c r="T1077" s="1012"/>
      <c r="U1077" s="1012"/>
      <c r="V1077" s="1073">
        <f t="shared" si="131"/>
        <v>1</v>
      </c>
      <c r="W1077" s="1196">
        <v>1</v>
      </c>
      <c r="X1077" s="1196">
        <v>1</v>
      </c>
      <c r="Y1077" s="1196">
        <v>1</v>
      </c>
      <c r="Z1077" s="1196">
        <v>1</v>
      </c>
      <c r="AA1077" s="1196">
        <v>1</v>
      </c>
      <c r="AB1077" s="1196">
        <v>1</v>
      </c>
      <c r="AC1077" s="1076"/>
      <c r="AD1077" s="1076"/>
      <c r="AE1077" s="1076"/>
      <c r="AF1077" s="1076"/>
      <c r="AG1077" s="1076"/>
      <c r="AK1077" s="1127"/>
      <c r="BB1077" s="1008"/>
    </row>
    <row r="1078" spans="1:54" s="993" customFormat="1" ht="90" outlineLevel="1" x14ac:dyDescent="0.25">
      <c r="A1078" s="1012"/>
      <c r="B1078" s="1012"/>
      <c r="C1078" s="1041"/>
      <c r="D1078" s="1410" t="s">
        <v>997</v>
      </c>
      <c r="E1078" s="1869" t="s">
        <v>1871</v>
      </c>
      <c r="F1078" s="1927">
        <v>105</v>
      </c>
      <c r="G1078" s="3459" t="s">
        <v>999</v>
      </c>
      <c r="H1078" s="3459"/>
      <c r="I1078" s="1439" t="s">
        <v>1960</v>
      </c>
      <c r="J1078" s="1012"/>
      <c r="K1078" s="1012"/>
      <c r="L1078" s="1012"/>
      <c r="M1078" s="1012"/>
      <c r="N1078" s="1012"/>
      <c r="O1078" s="1012"/>
      <c r="P1078" s="1012"/>
      <c r="Q1078" s="1012"/>
      <c r="R1078" s="1012"/>
      <c r="S1078" s="1012"/>
      <c r="T1078" s="1012"/>
      <c r="U1078" s="1012"/>
      <c r="V1078" s="1073" t="str">
        <f t="shared" si="131"/>
        <v>ShowerTemp</v>
      </c>
      <c r="W1078" s="1196">
        <v>105</v>
      </c>
      <c r="X1078" s="1196">
        <v>105</v>
      </c>
      <c r="Y1078" s="1196">
        <v>105</v>
      </c>
      <c r="Z1078" s="1196">
        <v>105</v>
      </c>
      <c r="AA1078" s="1196">
        <v>105</v>
      </c>
      <c r="AB1078" s="1196">
        <v>105</v>
      </c>
      <c r="AC1078" s="1076"/>
      <c r="AD1078" s="1076"/>
      <c r="AE1078" s="1076"/>
      <c r="AF1078" s="1076"/>
      <c r="AG1078" s="1076"/>
      <c r="AK1078" s="1127"/>
      <c r="BB1078" s="1008"/>
    </row>
    <row r="1079" spans="1:54" s="993" customFormat="1" ht="60" customHeight="1" outlineLevel="1" x14ac:dyDescent="0.25">
      <c r="A1079" s="1012"/>
      <c r="B1079" s="1012"/>
      <c r="C1079" s="1041"/>
      <c r="D1079" s="1410" t="s">
        <v>966</v>
      </c>
      <c r="E1079" s="1869" t="s">
        <v>1843</v>
      </c>
      <c r="F1079" s="1927">
        <v>61.3</v>
      </c>
      <c r="G1079" s="3459" t="s">
        <v>968</v>
      </c>
      <c r="H1079" s="3459"/>
      <c r="I1079" s="1439" t="s">
        <v>1966</v>
      </c>
      <c r="J1079" s="1012"/>
      <c r="K1079" s="1012"/>
      <c r="L1079" s="1012"/>
      <c r="M1079" s="1012"/>
      <c r="N1079" s="1012"/>
      <c r="O1079" s="1012"/>
      <c r="P1079" s="1012"/>
      <c r="Q1079" s="1012"/>
      <c r="R1079" s="1012"/>
      <c r="S1079" s="1012"/>
      <c r="T1079" s="1012"/>
      <c r="U1079" s="1012"/>
      <c r="V1079" s="1073" t="str">
        <f t="shared" si="131"/>
        <v>SupplyTemp</v>
      </c>
      <c r="W1079" s="1196">
        <v>61.3</v>
      </c>
      <c r="X1079" s="1196">
        <v>61.3</v>
      </c>
      <c r="Y1079" s="1196">
        <v>61.3</v>
      </c>
      <c r="Z1079" s="1196">
        <v>61.3</v>
      </c>
      <c r="AA1079" s="1196">
        <v>61.3</v>
      </c>
      <c r="AB1079" s="1196">
        <v>61.3</v>
      </c>
      <c r="AC1079" s="1076"/>
      <c r="AD1079" s="1076"/>
      <c r="AE1079" s="1076"/>
      <c r="AF1079" s="1076"/>
      <c r="AG1079" s="1076"/>
      <c r="AK1079" s="1127"/>
      <c r="BB1079" s="1008"/>
    </row>
    <row r="1080" spans="1:54" s="993" customFormat="1" ht="30" customHeight="1" outlineLevel="1" x14ac:dyDescent="0.25">
      <c r="A1080" s="1012"/>
      <c r="B1080" s="1012"/>
      <c r="C1080" s="1041"/>
      <c r="D1080" s="1410" t="s">
        <v>1930</v>
      </c>
      <c r="E1080" s="1869" t="s">
        <v>1844</v>
      </c>
      <c r="F1080" s="1927">
        <v>0.98</v>
      </c>
      <c r="G1080" s="3866" t="s">
        <v>1845</v>
      </c>
      <c r="H1080" s="3866"/>
      <c r="I1080" s="1439" t="s">
        <v>1960</v>
      </c>
      <c r="J1080" s="1012"/>
      <c r="K1080" s="1012"/>
      <c r="L1080" s="1012"/>
      <c r="M1080" s="1012"/>
      <c r="N1080" s="1012"/>
      <c r="O1080" s="1012"/>
      <c r="P1080" s="1012"/>
      <c r="Q1080" s="1012"/>
      <c r="R1080" s="1012"/>
      <c r="S1080" s="1012"/>
      <c r="T1080" s="1012"/>
      <c r="U1080" s="1012"/>
      <c r="V1080" s="1073" t="str">
        <f t="shared" si="131"/>
        <v>REelectric</v>
      </c>
      <c r="W1080" s="1196">
        <v>0.98</v>
      </c>
      <c r="X1080" s="1196">
        <v>0.98</v>
      </c>
      <c r="Y1080" s="1196">
        <v>0.98</v>
      </c>
      <c r="Z1080" s="1196">
        <v>0.98</v>
      </c>
      <c r="AA1080" s="1196">
        <v>0.98</v>
      </c>
      <c r="AB1080" s="1196">
        <v>0.98</v>
      </c>
      <c r="AC1080" s="1076"/>
      <c r="AD1080" s="1076"/>
      <c r="AE1080" s="1076"/>
      <c r="AF1080" s="1076"/>
      <c r="AG1080" s="1076"/>
      <c r="AK1080" s="1127"/>
      <c r="BB1080" s="1008"/>
    </row>
    <row r="1081" spans="1:54" s="993" customFormat="1" ht="60" customHeight="1" outlineLevel="1" x14ac:dyDescent="0.25">
      <c r="A1081" s="1012"/>
      <c r="B1081" s="1823"/>
      <c r="C1081" s="1041"/>
      <c r="D1081" s="1410">
        <v>3412</v>
      </c>
      <c r="E1081" s="1869">
        <v>3412</v>
      </c>
      <c r="F1081" s="1940">
        <v>3412</v>
      </c>
      <c r="G1081" s="3509" t="s">
        <v>655</v>
      </c>
      <c r="H1081" s="3509"/>
      <c r="I1081" s="1439" t="s">
        <v>1931</v>
      </c>
      <c r="J1081" s="1012"/>
      <c r="K1081" s="1012"/>
      <c r="L1081" s="1012"/>
      <c r="M1081" s="1012"/>
      <c r="N1081" s="1012"/>
      <c r="O1081" s="1012"/>
      <c r="P1081" s="1012"/>
      <c r="Q1081" s="1012"/>
      <c r="R1081" s="1012"/>
      <c r="S1081" s="1012"/>
      <c r="T1081" s="1012"/>
      <c r="U1081" s="1012"/>
      <c r="V1081" s="1073">
        <f t="shared" si="131"/>
        <v>3412</v>
      </c>
      <c r="W1081" s="1199">
        <v>3412</v>
      </c>
      <c r="X1081" s="1199">
        <v>3412</v>
      </c>
      <c r="Y1081" s="1199">
        <v>3412</v>
      </c>
      <c r="Z1081" s="1199">
        <v>3412</v>
      </c>
      <c r="AA1081" s="1199">
        <v>3412</v>
      </c>
      <c r="AB1081" s="1199">
        <v>3412</v>
      </c>
      <c r="AC1081" s="1154"/>
      <c r="AD1081" s="1154"/>
      <c r="AE1081" s="1154"/>
      <c r="AF1081" s="1154"/>
      <c r="AG1081" s="1154"/>
      <c r="AK1081" s="1127"/>
      <c r="BB1081" s="1008"/>
    </row>
    <row r="1082" spans="1:54" s="993" customFormat="1" ht="60" customHeight="1" outlineLevel="1" x14ac:dyDescent="0.25">
      <c r="A1082" s="1012"/>
      <c r="B1082" s="1823"/>
      <c r="C1082" s="1041"/>
      <c r="D1082" s="1410" t="s">
        <v>892</v>
      </c>
      <c r="E1082" s="1410" t="s">
        <v>929</v>
      </c>
      <c r="F1082" s="1200">
        <v>1</v>
      </c>
      <c r="G1082" s="3509" t="s">
        <v>930</v>
      </c>
      <c r="H1082" s="3509"/>
      <c r="I1082" s="1439" t="s">
        <v>1726</v>
      </c>
      <c r="J1082" s="1012"/>
      <c r="K1082" s="1012"/>
      <c r="L1082" s="1012"/>
      <c r="M1082" s="1012"/>
      <c r="N1082" s="1012"/>
      <c r="O1082" s="1012"/>
      <c r="P1082" s="1012"/>
      <c r="Q1082" s="1012"/>
      <c r="R1082" s="1012"/>
      <c r="S1082" s="1012"/>
      <c r="T1082" s="1012"/>
      <c r="U1082" s="1012"/>
      <c r="V1082" s="1073" t="str">
        <f t="shared" si="131"/>
        <v>Utility Adjustment</v>
      </c>
      <c r="W1082" s="1194">
        <v>1</v>
      </c>
      <c r="X1082" s="1194">
        <v>1</v>
      </c>
      <c r="Y1082" s="1194">
        <v>1</v>
      </c>
      <c r="Z1082" s="1194">
        <v>1</v>
      </c>
      <c r="AA1082" s="1194">
        <v>1</v>
      </c>
      <c r="AB1082" s="1194">
        <v>1</v>
      </c>
      <c r="AC1082" s="1074"/>
      <c r="AD1082" s="1074"/>
      <c r="AE1082" s="1074"/>
      <c r="AF1082" s="1074"/>
      <c r="AG1082" s="1074"/>
      <c r="AK1082" s="1127"/>
      <c r="BB1082" s="1008"/>
    </row>
    <row r="1083" spans="1:54" s="993" customFormat="1" ht="60" customHeight="1" outlineLevel="1" x14ac:dyDescent="0.25">
      <c r="A1083" s="1012"/>
      <c r="B1083" s="1823"/>
      <c r="C1083" s="375"/>
      <c r="D1083" s="1410" t="s">
        <v>75</v>
      </c>
      <c r="E1083" s="1869" t="s">
        <v>1727</v>
      </c>
      <c r="F1083" s="1941">
        <v>0.97699999999999998</v>
      </c>
      <c r="G1083" s="3866" t="s">
        <v>1864</v>
      </c>
      <c r="H1083" s="3866"/>
      <c r="I1083" s="1442" t="s">
        <v>1830</v>
      </c>
      <c r="J1083" s="1012"/>
      <c r="K1083" s="1012"/>
      <c r="L1083" s="1012"/>
      <c r="M1083" s="1012"/>
      <c r="N1083" s="1012"/>
      <c r="O1083" s="1012"/>
      <c r="P1083" s="1012"/>
      <c r="Q1083" s="1012"/>
      <c r="R1083" s="1012"/>
      <c r="S1083" s="1012"/>
      <c r="T1083" s="1012"/>
      <c r="U1083" s="1012"/>
      <c r="V1083" s="1073" t="str">
        <f t="shared" si="131"/>
        <v>ISR</v>
      </c>
      <c r="W1083" s="1219">
        <v>0.97699999999999998</v>
      </c>
      <c r="X1083" s="1219">
        <v>0.97699999999999998</v>
      </c>
      <c r="Y1083" s="1219">
        <v>0.97699999999999998</v>
      </c>
      <c r="Z1083" s="1219">
        <v>0.97699999999999998</v>
      </c>
      <c r="AA1083" s="1219">
        <v>0.97699999999999998</v>
      </c>
      <c r="AB1083" s="1219">
        <v>0.97699999999999998</v>
      </c>
      <c r="AC1083" s="1159"/>
      <c r="AD1083" s="1159"/>
      <c r="AE1083" s="1159"/>
      <c r="AF1083" s="1159"/>
      <c r="AG1083" s="1159"/>
      <c r="AK1083" s="1127"/>
      <c r="BB1083" s="1008"/>
    </row>
    <row r="1084" spans="1:54" s="993" customFormat="1" outlineLevel="1" x14ac:dyDescent="0.25">
      <c r="A1084" s="1012"/>
      <c r="B1084" s="1823"/>
      <c r="C1084" s="375"/>
      <c r="D1084" s="1438" t="str">
        <f>D1051</f>
        <v>EUL</v>
      </c>
      <c r="E1084" s="1438" t="str">
        <f>E1051</f>
        <v>Effective Useful Life (All)</v>
      </c>
      <c r="F1084" s="1201">
        <v>10</v>
      </c>
      <c r="G1084" s="3866"/>
      <c r="H1084" s="3866"/>
      <c r="I1084" s="1452"/>
      <c r="J1084" s="1012"/>
      <c r="K1084" s="1012"/>
      <c r="L1084" s="1012"/>
      <c r="M1084" s="1012"/>
      <c r="N1084" s="1012"/>
      <c r="O1084" s="1012"/>
      <c r="P1084" s="1012"/>
      <c r="Q1084" s="1012"/>
      <c r="R1084" s="1012"/>
      <c r="S1084" s="1012"/>
      <c r="T1084" s="1012"/>
      <c r="U1084" s="1012"/>
      <c r="V1084" s="1073" t="str">
        <f t="shared" si="131"/>
        <v>EUL</v>
      </c>
      <c r="W1084" s="1077">
        <v>10</v>
      </c>
      <c r="X1084" s="1077">
        <v>10</v>
      </c>
      <c r="Y1084" s="1077">
        <v>10</v>
      </c>
      <c r="Z1084" s="1077">
        <v>10</v>
      </c>
      <c r="AA1084" s="1077">
        <v>10</v>
      </c>
      <c r="AB1084" s="1077">
        <v>10</v>
      </c>
      <c r="AC1084" s="1163"/>
      <c r="AD1084" s="1163"/>
      <c r="AE1084" s="1163"/>
      <c r="AF1084" s="1163"/>
      <c r="AG1084" s="1163"/>
      <c r="AK1084" s="1127"/>
      <c r="BB1084" s="1008"/>
    </row>
    <row r="1085" spans="1:54" s="993" customFormat="1" outlineLevel="1" x14ac:dyDescent="0.25">
      <c r="A1085" s="1012"/>
      <c r="B1085" s="1823"/>
      <c r="C1085" s="375"/>
      <c r="D1085" s="3963" t="str">
        <f>D1052</f>
        <v>Inc. Cost</v>
      </c>
      <c r="E1085" s="1438" t="str">
        <f>E1052</f>
        <v>Incremental Cost - Non-DI</v>
      </c>
      <c r="F1085" s="1202">
        <v>7</v>
      </c>
      <c r="G1085" s="3866"/>
      <c r="H1085" s="3866"/>
      <c r="I1085" s="1452"/>
      <c r="J1085" s="1012"/>
      <c r="K1085" s="1012"/>
      <c r="L1085" s="1012"/>
      <c r="M1085" s="1012"/>
      <c r="N1085" s="1012"/>
      <c r="O1085" s="1012"/>
      <c r="P1085" s="1012"/>
      <c r="Q1085" s="1012"/>
      <c r="R1085" s="1012"/>
      <c r="S1085" s="1012"/>
      <c r="T1085" s="1012"/>
      <c r="U1085" s="1012"/>
      <c r="V1085" s="3805" t="str">
        <f>D1085</f>
        <v>Inc. Cost</v>
      </c>
      <c r="W1085" s="1164">
        <v>7</v>
      </c>
      <c r="X1085" s="1164">
        <v>7</v>
      </c>
      <c r="Y1085" s="1164">
        <v>7</v>
      </c>
      <c r="Z1085" s="1164">
        <v>7</v>
      </c>
      <c r="AA1085" s="1164">
        <v>7</v>
      </c>
      <c r="AB1085" s="1164">
        <v>7</v>
      </c>
      <c r="AC1085" s="1165"/>
      <c r="AD1085" s="1165"/>
      <c r="AE1085" s="1165"/>
      <c r="AF1085" s="1165"/>
      <c r="AG1085" s="1165"/>
      <c r="AK1085" s="1127"/>
      <c r="BB1085" s="1008"/>
    </row>
    <row r="1086" spans="1:54" s="993" customFormat="1" outlineLevel="1" x14ac:dyDescent="0.25">
      <c r="A1086" s="1012"/>
      <c r="B1086" s="1823"/>
      <c r="C1086" s="375"/>
      <c r="D1086" s="3964"/>
      <c r="E1086" s="1438" t="str">
        <f>E1053</f>
        <v>Incremental Cost - Direct Install (DI)</v>
      </c>
      <c r="F1086" s="1202">
        <v>7</v>
      </c>
      <c r="G1086" s="3866"/>
      <c r="H1086" s="3866"/>
      <c r="I1086" s="1452"/>
      <c r="J1086" s="1012"/>
      <c r="K1086" s="1012"/>
      <c r="L1086" s="1012"/>
      <c r="M1086" s="1012"/>
      <c r="N1086" s="1012"/>
      <c r="O1086" s="1012"/>
      <c r="P1086" s="1012"/>
      <c r="Q1086" s="1012"/>
      <c r="R1086" s="1012"/>
      <c r="S1086" s="1012"/>
      <c r="T1086" s="1012"/>
      <c r="U1086" s="1012"/>
      <c r="V1086" s="3933"/>
      <c r="W1086" s="1164">
        <v>7</v>
      </c>
      <c r="X1086" s="1164">
        <v>7</v>
      </c>
      <c r="Y1086" s="1164">
        <v>7</v>
      </c>
      <c r="Z1086" s="1164">
        <v>7</v>
      </c>
      <c r="AA1086" s="1164">
        <v>7</v>
      </c>
      <c r="AB1086" s="1164">
        <v>7</v>
      </c>
      <c r="AC1086" s="1165"/>
      <c r="AD1086" s="1165"/>
      <c r="AE1086" s="1165"/>
      <c r="AF1086" s="1165"/>
      <c r="AG1086" s="1165"/>
      <c r="AK1086" s="1127"/>
      <c r="BB1086" s="1008"/>
    </row>
    <row r="1087" spans="1:54" s="993" customFormat="1" x14ac:dyDescent="0.25">
      <c r="A1087" s="1012"/>
      <c r="B1087" s="1823"/>
      <c r="C1087" s="375"/>
      <c r="D1087" s="1363"/>
      <c r="E1087" s="493"/>
      <c r="F1087" s="1942"/>
      <c r="G1087" s="1943"/>
      <c r="H1087" s="1012"/>
      <c r="I1087" s="1012"/>
      <c r="J1087" s="1012"/>
      <c r="K1087" s="1012"/>
      <c r="L1087" s="1012"/>
      <c r="M1087" s="1012"/>
      <c r="N1087" s="1012"/>
      <c r="O1087" s="1012"/>
      <c r="P1087" s="1012"/>
      <c r="Q1087" s="1012"/>
      <c r="R1087" s="1012"/>
      <c r="S1087" s="1012"/>
      <c r="T1087" s="1012"/>
      <c r="U1087" s="1012"/>
      <c r="X1087" s="1012"/>
      <c r="Y1087" s="1974" t="s">
        <v>1956</v>
      </c>
      <c r="Z1087" s="1062"/>
      <c r="AA1087" s="1214"/>
      <c r="AK1087" s="1127"/>
      <c r="BB1087" s="1008"/>
    </row>
    <row r="1088" spans="1:54" s="993" customFormat="1" ht="15" customHeight="1" x14ac:dyDescent="0.25">
      <c r="A1088" s="1012"/>
      <c r="B1088" s="1823"/>
      <c r="C1088" s="1009"/>
      <c r="D1088" s="492"/>
      <c r="E1088" s="492"/>
      <c r="F1088" s="1012"/>
      <c r="G1088" s="1012"/>
      <c r="H1088" s="1012"/>
      <c r="I1088" s="1012"/>
      <c r="J1088" s="1012"/>
      <c r="K1088" s="1012"/>
      <c r="L1088" s="1012"/>
      <c r="M1088" s="1012"/>
      <c r="N1088" s="1012"/>
      <c r="O1088" s="1012"/>
      <c r="P1088" s="1012"/>
      <c r="Q1088" s="1012"/>
      <c r="R1088" s="1012"/>
      <c r="S1088" s="1012"/>
      <c r="T1088" s="1012"/>
      <c r="U1088" s="1012"/>
      <c r="Y1088" s="1013"/>
      <c r="AK1088" s="1127"/>
      <c r="BB1088" s="1008"/>
    </row>
    <row r="1089" spans="1:57" s="993" customFormat="1" ht="15" customHeight="1" x14ac:dyDescent="0.25">
      <c r="A1089" s="157"/>
      <c r="B1089" s="3350" t="s">
        <v>16</v>
      </c>
      <c r="C1089" s="3351"/>
      <c r="D1089" s="3351"/>
      <c r="E1089" s="3351"/>
      <c r="F1089" s="3351"/>
      <c r="G1089" s="3351"/>
      <c r="H1089" s="3351"/>
      <c r="I1089" s="3352"/>
      <c r="J1089" s="3352"/>
      <c r="K1089" s="3352"/>
      <c r="L1089" s="3352"/>
      <c r="M1089" s="3352"/>
      <c r="N1089" s="3352"/>
      <c r="O1089" s="3352"/>
      <c r="P1089" s="3352"/>
      <c r="Q1089" s="3352"/>
      <c r="R1089" s="3353"/>
      <c r="S1089" s="1012"/>
      <c r="T1089" s="1012"/>
      <c r="U1089" s="1012"/>
      <c r="V1089" s="3350" t="str">
        <f>B1089</f>
        <v>Lighting</v>
      </c>
      <c r="W1089" s="3351"/>
      <c r="X1089" s="3351"/>
      <c r="Y1089" s="3351"/>
      <c r="Z1089" s="3351"/>
      <c r="AA1089" s="3351"/>
      <c r="AB1089" s="3351"/>
      <c r="AC1089" s="3961"/>
      <c r="AD1089" s="3961"/>
      <c r="AE1089" s="3961"/>
      <c r="AF1089" s="3961"/>
      <c r="AG1089" s="3961"/>
      <c r="AH1089" s="3961"/>
      <c r="AI1089" s="3962"/>
      <c r="AK1089" s="1127"/>
      <c r="BB1089" s="1008"/>
    </row>
    <row r="1090" spans="1:57" s="993" customFormat="1" x14ac:dyDescent="0.25">
      <c r="A1090" s="1012"/>
      <c r="B1090" s="157"/>
      <c r="C1090" s="385"/>
      <c r="D1090" s="386"/>
      <c r="E1090" s="386"/>
      <c r="F1090" s="648" t="s">
        <v>3837</v>
      </c>
      <c r="G1090" s="157"/>
      <c r="H1090" s="157"/>
      <c r="I1090" s="157"/>
      <c r="J1090" s="157"/>
      <c r="K1090" s="157"/>
      <c r="L1090" s="157"/>
      <c r="M1090" s="157"/>
      <c r="N1090" s="157"/>
      <c r="O1090" s="157"/>
      <c r="P1090" s="1012"/>
      <c r="Q1090" s="1012"/>
      <c r="R1090" s="1012"/>
      <c r="S1090" s="1012"/>
      <c r="T1090" s="1012"/>
      <c r="U1090" s="1012"/>
      <c r="Y1090" s="1013"/>
      <c r="AK1090" s="1127"/>
      <c r="BB1090" s="1008"/>
    </row>
    <row r="1091" spans="1:57" s="993" customFormat="1" x14ac:dyDescent="0.25">
      <c r="A1091" s="157"/>
      <c r="B1091" s="157"/>
      <c r="C1091" s="3594" t="s">
        <v>17</v>
      </c>
      <c r="D1091" s="3594" t="s">
        <v>616</v>
      </c>
      <c r="E1091" s="3594" t="s">
        <v>19</v>
      </c>
      <c r="F1091" s="3594" t="s">
        <v>20</v>
      </c>
      <c r="G1091" s="3594" t="s">
        <v>519</v>
      </c>
      <c r="H1091" s="3594" t="s">
        <v>520</v>
      </c>
      <c r="I1091" s="3594" t="s">
        <v>521</v>
      </c>
      <c r="J1091" s="3594" t="s">
        <v>522</v>
      </c>
      <c r="K1091" s="3594" t="s">
        <v>523</v>
      </c>
      <c r="L1091" s="3594" t="s">
        <v>524</v>
      </c>
      <c r="M1091" s="3594" t="s">
        <v>23</v>
      </c>
      <c r="N1091" s="3594" t="s">
        <v>527</v>
      </c>
      <c r="O1091" s="3594" t="s">
        <v>528</v>
      </c>
      <c r="P1091" s="3483" t="s">
        <v>529</v>
      </c>
      <c r="Q1091" s="3533"/>
      <c r="R1091" s="3594" t="s">
        <v>26</v>
      </c>
      <c r="S1091" s="1012"/>
      <c r="T1091" s="1012"/>
      <c r="U1091" s="1012"/>
      <c r="Y1091" s="1013"/>
      <c r="AK1091" s="1127"/>
      <c r="BB1091" s="1008"/>
    </row>
    <row r="1092" spans="1:57" s="993" customFormat="1" ht="30" x14ac:dyDescent="0.25">
      <c r="A1092" s="157"/>
      <c r="B1092" s="157"/>
      <c r="C1092" s="3965"/>
      <c r="D1092" s="3965"/>
      <c r="E1092" s="3965"/>
      <c r="F1092" s="3965"/>
      <c r="G1092" s="3965"/>
      <c r="H1092" s="3965"/>
      <c r="I1092" s="3965"/>
      <c r="J1092" s="3965"/>
      <c r="K1092" s="3965"/>
      <c r="L1092" s="3965"/>
      <c r="M1092" s="3965"/>
      <c r="N1092" s="3965"/>
      <c r="O1092" s="3965"/>
      <c r="P1092" s="1420" t="s">
        <v>740</v>
      </c>
      <c r="Q1092" s="1420" t="s">
        <v>742</v>
      </c>
      <c r="R1092" s="3965"/>
      <c r="S1092" s="1012"/>
      <c r="T1092" s="1012"/>
      <c r="U1092" s="1012"/>
      <c r="V1092" s="55" t="s">
        <v>27</v>
      </c>
      <c r="W1092" s="56">
        <f t="shared" ref="W1092:AG1092" si="132">W6</f>
        <v>43252</v>
      </c>
      <c r="X1092" s="2284">
        <f t="shared" si="132"/>
        <v>43465</v>
      </c>
      <c r="Y1092" s="2284">
        <f t="shared" si="132"/>
        <v>43800</v>
      </c>
      <c r="Z1092" s="2284">
        <f t="shared" si="132"/>
        <v>43862</v>
      </c>
      <c r="AA1092" s="2284">
        <f t="shared" si="132"/>
        <v>44013</v>
      </c>
      <c r="AB1092" s="2284">
        <f t="shared" si="132"/>
        <v>44166</v>
      </c>
      <c r="AC1092" s="2284" t="str">
        <f t="shared" si="132"/>
        <v>-</v>
      </c>
      <c r="AD1092" s="2284" t="str">
        <f t="shared" si="132"/>
        <v>-</v>
      </c>
      <c r="AE1092" s="2284" t="str">
        <f t="shared" si="132"/>
        <v>-</v>
      </c>
      <c r="AF1092" s="2284" t="str">
        <f t="shared" si="132"/>
        <v>-</v>
      </c>
      <c r="AG1092" s="2284" t="str">
        <f t="shared" si="132"/>
        <v>-</v>
      </c>
      <c r="AK1092" s="1127"/>
      <c r="BB1092" s="57" t="str">
        <f>$BB$6</f>
        <v>TRC (2020)</v>
      </c>
      <c r="BC1092" s="93" t="str">
        <f>$BC$6</f>
        <v>Benefit Lookup</v>
      </c>
      <c r="BD1092" s="741" t="str">
        <f>$BD$6</f>
        <v>Benefits (2019 $)</v>
      </c>
      <c r="BE1092" s="279" t="str">
        <f>$BE$6</f>
        <v>Incremental Cost (2019 $)</v>
      </c>
    </row>
    <row r="1093" spans="1:57" s="993" customFormat="1" x14ac:dyDescent="0.25">
      <c r="A1093" s="157"/>
      <c r="B1093" s="157"/>
      <c r="C1093" s="86" t="s">
        <v>1967</v>
      </c>
      <c r="D1093" s="137" t="s">
        <v>1968</v>
      </c>
      <c r="E1093" s="3014" t="s">
        <v>1969</v>
      </c>
      <c r="F1093" s="138">
        <f>ROUND(K1093+L1093,2)</f>
        <v>23.59</v>
      </c>
      <c r="G1093" s="1220" t="s">
        <v>532</v>
      </c>
      <c r="H1093" s="202">
        <f>VLOOKUP(G1093,'CP FACTORS'!$A$3:$B$38, 2, FALSE)</f>
        <v>1.4925290000000001E-4</v>
      </c>
      <c r="I1093" s="1220" t="s">
        <v>36</v>
      </c>
      <c r="J1093" s="202">
        <f>VLOOKUP(I1093,'CP FACTORS'!$A$3:$B$38, 2, FALSE)</f>
        <v>1.899635E-4</v>
      </c>
      <c r="K1093" s="141">
        <f>((F1127-F1150)*$F$1180*$F$1173*(1-$F$1175)*($F$1176*$F$1177)/1000)</f>
        <v>23.592389036958835</v>
      </c>
      <c r="L1093" s="1622">
        <f>((F1127-F1150)*(1-$F$1180)*$F$1173*(1-$F$1175)*($F$1178*$F$1179)/1000)</f>
        <v>0</v>
      </c>
      <c r="M1093" s="139">
        <f>ROUND(((K1093/F1093)*H1093+(L1093/F1093)*J1093)*F1093,6)</f>
        <v>3.5209999999999998E-3</v>
      </c>
      <c r="N1093" s="141">
        <v>19</v>
      </c>
      <c r="O1093" s="3095">
        <f t="shared" ref="O1093:O1115" si="133">20000/3351</f>
        <v>5.9683676514473287</v>
      </c>
      <c r="P1093" s="1221">
        <f t="shared" ref="P1093:Q1098" si="134">F1189</f>
        <v>6</v>
      </c>
      <c r="Q1093" s="1222">
        <f t="shared" si="134"/>
        <v>3.3</v>
      </c>
      <c r="R1093" s="1658" t="s">
        <v>37</v>
      </c>
      <c r="S1093" s="1012"/>
      <c r="T1093" s="1012"/>
      <c r="U1093" s="1012"/>
      <c r="V1093" s="1125" t="str">
        <f>F1091</f>
        <v>kWh Annual Savings</v>
      </c>
      <c r="W1093" s="1167">
        <v>23.12165583413233</v>
      </c>
      <c r="X1093" s="1223">
        <v>23.769345599999998</v>
      </c>
      <c r="Y1093" s="84">
        <v>23.59</v>
      </c>
      <c r="Z1093" s="85">
        <v>23.59</v>
      </c>
      <c r="AA1093" s="85">
        <v>23.59</v>
      </c>
      <c r="AB1093" s="1237">
        <v>23.59</v>
      </c>
      <c r="AC1093" s="1125"/>
      <c r="AD1093" s="1125"/>
      <c r="AE1093" s="1125"/>
      <c r="AF1093" s="1125"/>
      <c r="AG1093" s="1125"/>
      <c r="AH1093" s="456"/>
      <c r="AK1093" s="1127"/>
      <c r="BB1093" s="1128">
        <f t="shared" ref="BB1093:BB1110" si="135">(BD1093)/(BE1093)</f>
        <v>2.440174293837051</v>
      </c>
      <c r="BC1093" s="68" t="str">
        <f>CONCATENATE(G1093," ",N1093," Year EUL")</f>
        <v>Lighting RES 19 Year EUL</v>
      </c>
      <c r="BD1093" s="145">
        <f>(INDEX('Avoided Cost Benefits'!$C$4:$C$857,MATCH(BC1093,'Avoided Cost Benefits'!$A$4:$A$857,0)))*F1093</f>
        <v>13.818825637585942</v>
      </c>
      <c r="BE1093" s="1129">
        <f>P1093/(1.0595^(2020-2019))</f>
        <v>5.6630486078338835</v>
      </c>
    </row>
    <row r="1094" spans="1:57" s="993" customFormat="1" x14ac:dyDescent="0.25">
      <c r="A1094" s="157"/>
      <c r="B1094" s="157"/>
      <c r="C1094" s="86" t="s">
        <v>1970</v>
      </c>
      <c r="D1094" s="137" t="s">
        <v>1968</v>
      </c>
      <c r="E1094" s="3014" t="s">
        <v>3630</v>
      </c>
      <c r="F1094" s="138">
        <f t="shared" ref="F1094:F1114" si="136">ROUND(K1094+L1094,2)</f>
        <v>22.22</v>
      </c>
      <c r="G1094" s="1220" t="s">
        <v>532</v>
      </c>
      <c r="H1094" s="202">
        <f>VLOOKUP(G1094,'CP FACTORS'!$A$3:$B$38, 2, FALSE)</f>
        <v>1.4925290000000001E-4</v>
      </c>
      <c r="I1094" s="1220" t="s">
        <v>36</v>
      </c>
      <c r="J1094" s="202">
        <f>VLOOKUP(I1094,'CP FACTORS'!$A$3:$B$38, 2, FALSE)</f>
        <v>1.899635E-4</v>
      </c>
      <c r="K1094" s="141">
        <f>((F1128-F1151)*$F$1180*$F$1173*(1-$F$1175)*($F$1176*$F$1177)/1000)</f>
        <v>22.216166343136237</v>
      </c>
      <c r="L1094" s="1622">
        <f>((F1128-F1151)*(1-$F$1180)*$F$1173*(1-$F$1175)*($F$1178*$F$1179)/1000)</f>
        <v>0</v>
      </c>
      <c r="M1094" s="139">
        <f t="shared" ref="M1094:M1114" si="137">ROUND(((K1094/F1094)*H1094+(L1094/F1094)*J1094)*F1094,6)</f>
        <v>3.3159999999999999E-3</v>
      </c>
      <c r="N1094" s="141">
        <v>19</v>
      </c>
      <c r="O1094" s="3095">
        <f t="shared" si="133"/>
        <v>5.9683676514473287</v>
      </c>
      <c r="P1094" s="1221">
        <f t="shared" si="134"/>
        <v>6</v>
      </c>
      <c r="Q1094" s="1222">
        <f t="shared" si="134"/>
        <v>3.68</v>
      </c>
      <c r="R1094" s="1658" t="s">
        <v>37</v>
      </c>
      <c r="S1094" s="1012"/>
      <c r="T1094" s="1012"/>
      <c r="U1094" s="1012"/>
      <c r="V1094" s="1125" t="str">
        <f>V1093</f>
        <v>kWh Annual Savings</v>
      </c>
      <c r="W1094" s="1167">
        <v>20.693881971548436</v>
      </c>
      <c r="X1094" s="1223">
        <v>22.524950447999998</v>
      </c>
      <c r="Y1094" s="84">
        <v>21.12</v>
      </c>
      <c r="Z1094" s="85">
        <v>21.12</v>
      </c>
      <c r="AA1094" s="85">
        <v>21.12</v>
      </c>
      <c r="AB1094" s="2298">
        <v>22.22</v>
      </c>
      <c r="AC1094" s="1125"/>
      <c r="AD1094" s="1125"/>
      <c r="AE1094" s="1125"/>
      <c r="AF1094" s="1125"/>
      <c r="AG1094" s="1125"/>
      <c r="AH1094" s="456"/>
      <c r="AK1094" s="1127"/>
      <c r="BB1094" s="1131">
        <f t="shared" si="135"/>
        <v>2.298460059731211</v>
      </c>
      <c r="BC1094" s="72" t="str">
        <f t="shared" ref="BC1094:BC1110" si="138">CONCATENATE(G1094," ",N1094," Year EUL")</f>
        <v>Lighting RES 19 Year EUL</v>
      </c>
      <c r="BD1094" s="148">
        <f>(INDEX('Avoided Cost Benefits'!$C$4:$C$857,MATCH(BC1094,'Avoided Cost Benefits'!$A$4:$A$857,0)))*F1094</f>
        <v>13.016291041422619</v>
      </c>
      <c r="BE1094" s="1132">
        <f t="shared" ref="BE1094:BE1110" si="139">P1094/(1.0595^(2020-2019))</f>
        <v>5.6630486078338835</v>
      </c>
    </row>
    <row r="1095" spans="1:57" s="993" customFormat="1" x14ac:dyDescent="0.25">
      <c r="A1095" s="157"/>
      <c r="B1095" s="157"/>
      <c r="C1095" s="86" t="s">
        <v>1971</v>
      </c>
      <c r="D1095" s="137" t="s">
        <v>1968</v>
      </c>
      <c r="E1095" s="3014" t="s">
        <v>1972</v>
      </c>
      <c r="F1095" s="138">
        <f t="shared" si="136"/>
        <v>22.95</v>
      </c>
      <c r="G1095" s="1220" t="s">
        <v>532</v>
      </c>
      <c r="H1095" s="202">
        <f>VLOOKUP(G1095,'CP FACTORS'!$A$3:$B$38, 2, FALSE)</f>
        <v>1.4925290000000001E-4</v>
      </c>
      <c r="I1095" s="1220" t="s">
        <v>36</v>
      </c>
      <c r="J1095" s="202">
        <f>VLOOKUP(I1095,'CP FACTORS'!$A$3:$B$38, 2, FALSE)</f>
        <v>1.899635E-4</v>
      </c>
      <c r="K1095" s="141">
        <f>((F1129-F1152)*$F$1180*$F$1173*(1-$F$1175)*($F$1176*$F$1177)/1000)</f>
        <v>22.950151779841622</v>
      </c>
      <c r="L1095" s="1622">
        <f>((F1129-F1152)*(1-$F$1180)*$F$1173*(1-$F$1175)*($F$1178*$F$1179)/1000)</f>
        <v>0</v>
      </c>
      <c r="M1095" s="139">
        <f t="shared" si="137"/>
        <v>3.4250000000000001E-3</v>
      </c>
      <c r="N1095" s="141">
        <v>19</v>
      </c>
      <c r="O1095" s="3095">
        <f t="shared" si="133"/>
        <v>5.9683676514473287</v>
      </c>
      <c r="P1095" s="1221">
        <f t="shared" si="134"/>
        <v>6</v>
      </c>
      <c r="Q1095" s="1222">
        <f t="shared" si="134"/>
        <v>4.72</v>
      </c>
      <c r="R1095" s="1658" t="s">
        <v>37</v>
      </c>
      <c r="S1095" s="1012"/>
      <c r="T1095" s="1012"/>
      <c r="U1095" s="1012"/>
      <c r="V1095" s="1125" t="str">
        <f t="shared" ref="V1095:V1115" si="140">V1094</f>
        <v>kWh Annual Savings</v>
      </c>
      <c r="W1095" s="1167">
        <v>27.938667466243238</v>
      </c>
      <c r="X1095" s="1223">
        <v>24.482425967999998</v>
      </c>
      <c r="Y1095" s="84">
        <v>22.95</v>
      </c>
      <c r="Z1095" s="85">
        <v>22.95</v>
      </c>
      <c r="AA1095" s="85">
        <v>22.95</v>
      </c>
      <c r="AB1095" s="1237">
        <v>22.95</v>
      </c>
      <c r="AC1095" s="1125"/>
      <c r="AD1095" s="1125"/>
      <c r="AE1095" s="1125"/>
      <c r="AF1095" s="1125"/>
      <c r="AG1095" s="1125"/>
      <c r="AH1095" s="456"/>
      <c r="AK1095" s="1127"/>
      <c r="BB1095" s="1131">
        <f t="shared" si="135"/>
        <v>2.3739720238897974</v>
      </c>
      <c r="BC1095" s="72" t="str">
        <f t="shared" si="138"/>
        <v>Lighting RES 19 Year EUL</v>
      </c>
      <c r="BD1095" s="148">
        <f>(INDEX('Avoided Cost Benefits'!$C$4:$C$857,MATCH(BC1095,'Avoided Cost Benefits'!$A$4:$A$857,0)))*F1095</f>
        <v>13.443918964925704</v>
      </c>
      <c r="BE1095" s="1132">
        <f t="shared" si="139"/>
        <v>5.6630486078338835</v>
      </c>
    </row>
    <row r="1096" spans="1:57" s="993" customFormat="1" x14ac:dyDescent="0.25">
      <c r="A1096" s="157"/>
      <c r="B1096" s="157"/>
      <c r="C1096" s="86" t="s">
        <v>1973</v>
      </c>
      <c r="D1096" s="137" t="s">
        <v>1968</v>
      </c>
      <c r="E1096" s="3014" t="s">
        <v>543</v>
      </c>
      <c r="F1096" s="138">
        <f t="shared" si="136"/>
        <v>27.52</v>
      </c>
      <c r="G1096" s="1220" t="s">
        <v>532</v>
      </c>
      <c r="H1096" s="202">
        <f>VLOOKUP(G1096,'CP FACTORS'!$A$3:$B$38, 2, FALSE)</f>
        <v>1.4925290000000001E-4</v>
      </c>
      <c r="I1096" s="1220" t="s">
        <v>36</v>
      </c>
      <c r="J1096" s="202">
        <f>VLOOKUP(I1096,'CP FACTORS'!$A$3:$B$38, 2, FALSE)</f>
        <v>1.899635E-4</v>
      </c>
      <c r="K1096" s="141">
        <f>((F1130-F1153)*$F$1180*$F$1173*(1-$F$1175)*($F$1176*$F$1177)/1000)</f>
        <v>27.524453876451972</v>
      </c>
      <c r="L1096" s="1622">
        <f>((F1130-F1153)*(1-$F$1180)*$F$1173*(1-$F$1175)*($F$1178*$F$1179)/1000)</f>
        <v>0</v>
      </c>
      <c r="M1096" s="139">
        <f t="shared" si="137"/>
        <v>4.1079999999999997E-3</v>
      </c>
      <c r="N1096" s="141">
        <v>19</v>
      </c>
      <c r="O1096" s="3095">
        <f t="shared" si="133"/>
        <v>5.9683676514473287</v>
      </c>
      <c r="P1096" s="1221">
        <f t="shared" si="134"/>
        <v>6</v>
      </c>
      <c r="Q1096" s="1222">
        <f t="shared" si="134"/>
        <v>3.53</v>
      </c>
      <c r="R1096" s="1658" t="s">
        <v>37</v>
      </c>
      <c r="S1096" s="1012"/>
      <c r="T1096" s="1012"/>
      <c r="U1096" s="1012"/>
      <c r="V1096" s="1125" t="str">
        <f t="shared" si="140"/>
        <v>kWh Annual Savings</v>
      </c>
      <c r="W1096" s="1167">
        <v>42.871403525787038</v>
      </c>
      <c r="X1096" s="980">
        <v>46.853574768000001</v>
      </c>
      <c r="Y1096" s="621">
        <v>27.52</v>
      </c>
      <c r="Z1096" s="89">
        <v>27.52</v>
      </c>
      <c r="AA1096" s="89">
        <v>27.52</v>
      </c>
      <c r="AB1096" s="1237">
        <v>27.52</v>
      </c>
      <c r="AC1096" s="1125"/>
      <c r="AD1096" s="1125"/>
      <c r="AE1096" s="1125"/>
      <c r="AF1096" s="1125"/>
      <c r="AG1096" s="1125"/>
      <c r="AH1096" s="456"/>
      <c r="AK1096" s="1127"/>
      <c r="BB1096" s="1131">
        <f t="shared" si="135"/>
        <v>2.8466976077319051</v>
      </c>
      <c r="BC1096" s="72" t="str">
        <f t="shared" si="138"/>
        <v>Lighting RES 19 Year EUL</v>
      </c>
      <c r="BD1096" s="148">
        <f>(INDEX('Avoided Cost Benefits'!$C$4:$C$857,MATCH(BC1096,'Avoided Cost Benefits'!$A$4:$A$857,0)))*F1096</f>
        <v>16.120986924390213</v>
      </c>
      <c r="BE1096" s="1132">
        <f t="shared" si="139"/>
        <v>5.6630486078338835</v>
      </c>
    </row>
    <row r="1097" spans="1:57" s="993" customFormat="1" x14ac:dyDescent="0.25">
      <c r="A1097" s="157"/>
      <c r="B1097" s="157"/>
      <c r="C1097" s="86" t="s">
        <v>1974</v>
      </c>
      <c r="D1097" s="137" t="s">
        <v>1968</v>
      </c>
      <c r="E1097" s="3014" t="s">
        <v>3631</v>
      </c>
      <c r="F1097" s="138">
        <f>ROUND(K1097+L1097,2)</f>
        <v>27.79</v>
      </c>
      <c r="G1097" s="1220" t="s">
        <v>532</v>
      </c>
      <c r="H1097" s="202">
        <f>VLOOKUP(G1097,'CP FACTORS'!$A$3:$B$38, 2, FALSE)</f>
        <v>1.4925290000000001E-4</v>
      </c>
      <c r="I1097" s="1220" t="s">
        <v>36</v>
      </c>
      <c r="J1097" s="202">
        <f>VLOOKUP(I1097,'CP FACTORS'!$A$3:$B$38, 2, FALSE)</f>
        <v>1.899635E-4</v>
      </c>
      <c r="K1097" s="141">
        <f>((F1131-F1154)*$F$1180*$F$1173*(1-$F$1175)*($F$1176*$F$1177)/1000)</f>
        <v>27.786591532418186</v>
      </c>
      <c r="L1097" s="1622">
        <f>((F1131-F1154)*(1-$F$1180)*$F$1173*(1-$F$1175)*($F$1178*$F$1179)/1000)</f>
        <v>0</v>
      </c>
      <c r="M1097" s="139">
        <f t="shared" si="137"/>
        <v>4.1469999999999996E-3</v>
      </c>
      <c r="N1097" s="141">
        <v>19</v>
      </c>
      <c r="O1097" s="3095">
        <f t="shared" si="133"/>
        <v>5.9683676514473287</v>
      </c>
      <c r="P1097" s="1221">
        <f t="shared" si="134"/>
        <v>8</v>
      </c>
      <c r="Q1097" s="1222">
        <f t="shared" si="134"/>
        <v>6.27</v>
      </c>
      <c r="R1097" s="1658" t="s">
        <v>37</v>
      </c>
      <c r="S1097" s="1012"/>
      <c r="T1097" s="1012"/>
      <c r="U1097" s="1012"/>
      <c r="V1097" s="1125" t="str">
        <f t="shared" si="140"/>
        <v>kWh Annual Savings</v>
      </c>
      <c r="W1097" s="1167">
        <v>27.232172426866967</v>
      </c>
      <c r="X1097" s="1223">
        <v>29.641772160000002</v>
      </c>
      <c r="Y1097" s="84">
        <v>27.79</v>
      </c>
      <c r="Z1097" s="85">
        <v>27.79</v>
      </c>
      <c r="AA1097" s="85">
        <v>27.79</v>
      </c>
      <c r="AB1097" s="1237">
        <v>27.79</v>
      </c>
      <c r="AC1097" s="1125"/>
      <c r="AD1097" s="1125"/>
      <c r="AE1097" s="1125"/>
      <c r="AF1097" s="1125"/>
      <c r="AG1097" s="1125"/>
      <c r="AH1097" s="456"/>
      <c r="AK1097" s="1127"/>
      <c r="BB1097" s="1131">
        <f t="shared" si="135"/>
        <v>2.1559700177744272</v>
      </c>
      <c r="BC1097" s="72" t="str">
        <f t="shared" si="138"/>
        <v>Lighting RES 19 Year EUL</v>
      </c>
      <c r="BD1097" s="148">
        <f>(INDEX('Avoided Cost Benefits'!$C$4:$C$857,MATCH(BC1097,'Avoided Cost Benefits'!$A$4:$A$857,0)))*F1097</f>
        <v>16.27915067691875</v>
      </c>
      <c r="BE1097" s="1132">
        <f t="shared" si="139"/>
        <v>7.5507314771118441</v>
      </c>
    </row>
    <row r="1098" spans="1:57" s="993" customFormat="1" x14ac:dyDescent="0.25">
      <c r="A1098" s="157"/>
      <c r="B1098" s="157"/>
      <c r="C1098" s="86" t="s">
        <v>3857</v>
      </c>
      <c r="D1098" s="137" t="s">
        <v>1968</v>
      </c>
      <c r="E1098" s="3014" t="s">
        <v>3621</v>
      </c>
      <c r="F1098" s="138">
        <v>35.39</v>
      </c>
      <c r="G1098" s="1220" t="s">
        <v>532</v>
      </c>
      <c r="H1098" s="202">
        <f>VLOOKUP(G1098,'CP FACTORS'!$A$3:$B$38, 2, FALSE)</f>
        <v>1.4925290000000001E-4</v>
      </c>
      <c r="I1098" s="1220" t="s">
        <v>36</v>
      </c>
      <c r="J1098" s="202">
        <v>1.899635E-4</v>
      </c>
      <c r="K1098" s="141">
        <v>35.388583555438252</v>
      </c>
      <c r="L1098" s="1622">
        <v>0</v>
      </c>
      <c r="M1098" s="139">
        <v>5.2820000000000002E-3</v>
      </c>
      <c r="N1098" s="141">
        <v>19</v>
      </c>
      <c r="O1098" s="3095">
        <f t="shared" si="133"/>
        <v>5.9683676514473287</v>
      </c>
      <c r="P1098" s="1221">
        <f t="shared" si="134"/>
        <v>10</v>
      </c>
      <c r="Q1098" s="1222">
        <f t="shared" si="134"/>
        <v>4.92</v>
      </c>
      <c r="R1098" s="1658" t="s">
        <v>37</v>
      </c>
      <c r="S1098" s="1012"/>
      <c r="T1098" s="1012"/>
      <c r="U1098" s="1012"/>
      <c r="V1098" s="2305" t="str">
        <f t="shared" si="140"/>
        <v>kWh Annual Savings</v>
      </c>
      <c r="W1098" s="1167"/>
      <c r="X1098" s="1223"/>
      <c r="Y1098" s="2298"/>
      <c r="Z1098" s="85"/>
      <c r="AA1098" s="85"/>
      <c r="AB1098" s="2298">
        <v>35.39</v>
      </c>
      <c r="AC1098" s="1125"/>
      <c r="AD1098" s="1125"/>
      <c r="AE1098" s="1125"/>
      <c r="AF1098" s="1125"/>
      <c r="AG1098" s="1125"/>
      <c r="AH1098" s="456"/>
      <c r="AK1098" s="1127"/>
      <c r="BB1098" s="1131">
        <f t="shared" ref="BB1098" si="141">(BD1098)/(BE1098)</f>
        <v>2.1964671875937238</v>
      </c>
      <c r="BC1098" s="2295" t="str">
        <f t="shared" ref="BC1098" si="142">CONCATENATE(G1098," ",N1098," Year EUL")</f>
        <v>Lighting RES 19 Year EUL</v>
      </c>
      <c r="BD1098" s="148">
        <f>(INDEX('Avoided Cost Benefits'!$C$4:$C$857,MATCH(BC1098,'Avoided Cost Benefits'!$A$4:$A$857,0)))*F1098</f>
        <v>20.731167414759071</v>
      </c>
      <c r="BE1098" s="1132">
        <f t="shared" ref="BE1098" si="143">P1098/(1.0595^(2020-2019))</f>
        <v>9.4384143463898056</v>
      </c>
    </row>
    <row r="1099" spans="1:57" s="993" customFormat="1" x14ac:dyDescent="0.25">
      <c r="A1099" s="157"/>
      <c r="B1099" s="157"/>
      <c r="C1099" s="86" t="s">
        <v>1975</v>
      </c>
      <c r="D1099" s="137" t="s">
        <v>1968</v>
      </c>
      <c r="E1099" s="3014" t="s">
        <v>1976</v>
      </c>
      <c r="F1099" s="138">
        <f t="shared" si="136"/>
        <v>26.87</v>
      </c>
      <c r="G1099" s="1220" t="s">
        <v>532</v>
      </c>
      <c r="H1099" s="202">
        <f>VLOOKUP(G1099,'CP FACTORS'!$A$3:$B$38, 2, FALSE)</f>
        <v>1.4925290000000001E-4</v>
      </c>
      <c r="I1099" s="1220" t="s">
        <v>36</v>
      </c>
      <c r="J1099" s="202">
        <f>VLOOKUP(I1099,'CP FACTORS'!$A$3:$B$38, 2, FALSE)</f>
        <v>1.899635E-4</v>
      </c>
      <c r="K1099" s="141">
        <f>((F1132-F1156)*$F$1180*$F$1173*(1-$F$1175)*($F$1176*$F$1177)/1000)</f>
        <v>26.869109736536448</v>
      </c>
      <c r="L1099" s="1622">
        <f>((F1132-F1156)*(1-$F$1180)*$F$1173*(1-$F$1175)*($F$1178*$F$1179)/1000)</f>
        <v>0</v>
      </c>
      <c r="M1099" s="139">
        <f t="shared" si="137"/>
        <v>4.0099999999999997E-3</v>
      </c>
      <c r="N1099" s="141">
        <v>19</v>
      </c>
      <c r="O1099" s="3095">
        <f t="shared" si="133"/>
        <v>5.9683676514473287</v>
      </c>
      <c r="P1099" s="1221">
        <f t="shared" ref="P1099:P1111" si="144">F1195</f>
        <v>10</v>
      </c>
      <c r="Q1099" s="1222">
        <f t="shared" ref="Q1099:Q1111" si="145">G1195</f>
        <v>4.92</v>
      </c>
      <c r="R1099" s="1658" t="s">
        <v>37</v>
      </c>
      <c r="S1099" s="1012"/>
      <c r="T1099" s="1012"/>
      <c r="U1099" s="1012"/>
      <c r="V1099" s="1125" t="str">
        <f t="shared" si="140"/>
        <v>kWh Annual Savings</v>
      </c>
      <c r="W1099" s="1167">
        <v>32.691452276592656</v>
      </c>
      <c r="X1099" s="1223">
        <v>28.663034399999997</v>
      </c>
      <c r="Y1099" s="84">
        <v>26.87</v>
      </c>
      <c r="Z1099" s="85">
        <v>26.87</v>
      </c>
      <c r="AA1099" s="85">
        <v>26.87</v>
      </c>
      <c r="AB1099" s="1237">
        <v>26.87</v>
      </c>
      <c r="AC1099" s="1125"/>
      <c r="AD1099" s="1125"/>
      <c r="AE1099" s="1125"/>
      <c r="AF1099" s="1125"/>
      <c r="AG1099" s="1125"/>
      <c r="AH1099" s="456"/>
      <c r="AK1099" s="1127"/>
      <c r="BB1099" s="1131">
        <f t="shared" si="135"/>
        <v>1.6676765563900355</v>
      </c>
      <c r="BC1099" s="72" t="str">
        <f t="shared" si="138"/>
        <v>Lighting RES 19 Year EUL</v>
      </c>
      <c r="BD1099" s="148">
        <f>(INDEX('Avoided Cost Benefits'!$C$4:$C$857,MATCH(BC1099,'Avoided Cost Benefits'!$A$4:$A$857,0)))*F1099</f>
        <v>15.740222334969658</v>
      </c>
      <c r="BE1099" s="1132">
        <f t="shared" si="139"/>
        <v>9.4384143463898056</v>
      </c>
    </row>
    <row r="1100" spans="1:57" s="993" customFormat="1" x14ac:dyDescent="0.25">
      <c r="A1100" s="157"/>
      <c r="B1100" s="157"/>
      <c r="C1100" s="86" t="s">
        <v>1977</v>
      </c>
      <c r="D1100" s="137" t="s">
        <v>1968</v>
      </c>
      <c r="E1100" s="3014" t="s">
        <v>1978</v>
      </c>
      <c r="F1100" s="138">
        <f t="shared" si="136"/>
        <v>34.729999999999997</v>
      </c>
      <c r="G1100" s="1220" t="s">
        <v>532</v>
      </c>
      <c r="H1100" s="202">
        <f>VLOOKUP(G1100,'CP FACTORS'!$A$3:$B$38, 2, FALSE)</f>
        <v>1.4925290000000001E-4</v>
      </c>
      <c r="I1100" s="1220" t="s">
        <v>36</v>
      </c>
      <c r="J1100" s="202">
        <f>VLOOKUP(I1100,'CP FACTORS'!$A$3:$B$38, 2, FALSE)</f>
        <v>1.899635E-4</v>
      </c>
      <c r="K1100" s="141">
        <f t="shared" ref="K1100:K1110" si="146">((F1134-F1157)*$F$1180*$F$1173*(1-$F$1175)*($F$1176*$F$1177)/1000)</f>
        <v>34.733239415522732</v>
      </c>
      <c r="L1100" s="1622">
        <f t="shared" ref="L1100:L1110" si="147">((F1134-F1157)*(1-$F$1180)*$F$1173*(1-$F$1175)*($F$1178*$F$1179)/1000)</f>
        <v>0</v>
      </c>
      <c r="M1100" s="139">
        <f t="shared" si="137"/>
        <v>5.1840000000000002E-3</v>
      </c>
      <c r="N1100" s="141">
        <v>19</v>
      </c>
      <c r="O1100" s="3095">
        <f t="shared" si="133"/>
        <v>5.9683676514473287</v>
      </c>
      <c r="P1100" s="1221">
        <f t="shared" si="144"/>
        <v>15</v>
      </c>
      <c r="Q1100" s="1222">
        <f t="shared" si="145"/>
        <v>4.92</v>
      </c>
      <c r="R1100" s="1658" t="s">
        <v>37</v>
      </c>
      <c r="S1100" s="1012"/>
      <c r="T1100" s="1012"/>
      <c r="U1100" s="1012"/>
      <c r="V1100" s="1125" t="str">
        <f t="shared" si="140"/>
        <v>kWh Annual Savings</v>
      </c>
      <c r="W1100" s="1167">
        <v>52.66599384441254</v>
      </c>
      <c r="X1100" s="1223">
        <v>37.052215199999999</v>
      </c>
      <c r="Y1100" s="84">
        <v>34.729999999999997</v>
      </c>
      <c r="Z1100" s="85">
        <v>34.729999999999997</v>
      </c>
      <c r="AA1100" s="85">
        <v>34.729999999999997</v>
      </c>
      <c r="AB1100" s="1237">
        <v>34.729999999999997</v>
      </c>
      <c r="AC1100" s="1125"/>
      <c r="AD1100" s="1125"/>
      <c r="AE1100" s="1125"/>
      <c r="AF1100" s="1125"/>
      <c r="AG1100" s="1125"/>
      <c r="AH1100" s="456"/>
      <c r="AK1100" s="1127"/>
      <c r="BB1100" s="1131">
        <f t="shared" si="135"/>
        <v>1.4370030220425734</v>
      </c>
      <c r="BC1100" s="72" t="str">
        <f t="shared" si="138"/>
        <v>Lighting RES 19 Year EUL</v>
      </c>
      <c r="BD1100" s="148">
        <f>(INDEX('Avoided Cost Benefits'!$C$4:$C$857,MATCH(BC1100,'Avoided Cost Benefits'!$A$4:$A$857,0)))*F1100</f>
        <v>20.344544908578197</v>
      </c>
      <c r="BE1100" s="1132">
        <f t="shared" si="139"/>
        <v>14.157621519584708</v>
      </c>
    </row>
    <row r="1101" spans="1:57" s="993" customFormat="1" x14ac:dyDescent="0.25">
      <c r="A1101" s="157"/>
      <c r="B1101" s="157"/>
      <c r="C1101" s="86" t="s">
        <v>1979</v>
      </c>
      <c r="D1101" s="137" t="s">
        <v>1968</v>
      </c>
      <c r="E1101" s="3014" t="s">
        <v>3632</v>
      </c>
      <c r="F1101" s="138">
        <f>ROUND(K1101+L1101,2)</f>
        <v>37.35</v>
      </c>
      <c r="G1101" s="1224" t="s">
        <v>532</v>
      </c>
      <c r="H1101" s="202">
        <f>VLOOKUP(G1101,'CP FACTORS'!$A$3:$B$38, 2, FALSE)</f>
        <v>1.4925290000000001E-4</v>
      </c>
      <c r="I1101" s="1224" t="s">
        <v>36</v>
      </c>
      <c r="J1101" s="202">
        <f>VLOOKUP(I1101,'CP FACTORS'!$A$3:$B$38, 2, FALSE)</f>
        <v>1.899635E-4</v>
      </c>
      <c r="K1101" s="187">
        <f t="shared" si="146"/>
        <v>37.354615975184814</v>
      </c>
      <c r="L1101" s="1944">
        <f t="shared" si="147"/>
        <v>0</v>
      </c>
      <c r="M1101" s="139">
        <f t="shared" si="137"/>
        <v>5.5750000000000001E-3</v>
      </c>
      <c r="N1101" s="187">
        <v>19</v>
      </c>
      <c r="O1101" s="187">
        <f t="shared" si="133"/>
        <v>5.9683676514473287</v>
      </c>
      <c r="P1101" s="1221">
        <f t="shared" si="144"/>
        <v>8</v>
      </c>
      <c r="Q1101" s="1222">
        <f t="shared" si="145"/>
        <v>7.83</v>
      </c>
      <c r="R1101" s="1658" t="s">
        <v>37</v>
      </c>
      <c r="S1101" s="1012"/>
      <c r="T1101" s="1012"/>
      <c r="U1101" s="1012"/>
      <c r="V1101" s="1125" t="str">
        <f t="shared" si="140"/>
        <v>kWh Annual Savings</v>
      </c>
      <c r="W1101" s="1167">
        <v>36.609288404042864</v>
      </c>
      <c r="X1101" s="1223">
        <v>39.848608800000001</v>
      </c>
      <c r="Y1101" s="84">
        <v>37.35</v>
      </c>
      <c r="Z1101" s="85">
        <v>37.35</v>
      </c>
      <c r="AA1101" s="85">
        <v>37.35</v>
      </c>
      <c r="AB1101" s="1237">
        <v>37.35</v>
      </c>
      <c r="AC1101" s="1125"/>
      <c r="AD1101" s="1125"/>
      <c r="AE1101" s="1125"/>
      <c r="AF1101" s="1125"/>
      <c r="AG1101" s="1125"/>
      <c r="AH1101" s="456"/>
      <c r="AK1101" s="1127"/>
      <c r="BB1101" s="1131">
        <f t="shared" si="135"/>
        <v>2.8976423232772532</v>
      </c>
      <c r="BC1101" s="72" t="str">
        <f t="shared" si="138"/>
        <v>Lighting RES 19 Year EUL</v>
      </c>
      <c r="BD1101" s="148">
        <f>(INDEX('Avoided Cost Benefits'!$C$4:$C$857,MATCH(BC1101,'Avoided Cost Benefits'!$A$4:$A$857,0)))*F1101</f>
        <v>21.87931909978105</v>
      </c>
      <c r="BE1101" s="1132">
        <f t="shared" si="139"/>
        <v>7.5507314771118441</v>
      </c>
    </row>
    <row r="1102" spans="1:57" s="993" customFormat="1" x14ac:dyDescent="0.25">
      <c r="A1102" s="157"/>
      <c r="B1102" s="157"/>
      <c r="C1102" s="86" t="s">
        <v>1980</v>
      </c>
      <c r="D1102" s="137" t="s">
        <v>1968</v>
      </c>
      <c r="E1102" s="3014" t="s">
        <v>1981</v>
      </c>
      <c r="F1102" s="138">
        <f t="shared" si="136"/>
        <v>23.53</v>
      </c>
      <c r="G1102" s="1224" t="s">
        <v>532</v>
      </c>
      <c r="H1102" s="202">
        <f>VLOOKUP(G1102,'CP FACTORS'!$A$3:$B$38, 2, FALSE)</f>
        <v>1.4925290000000001E-4</v>
      </c>
      <c r="I1102" s="1224" t="s">
        <v>36</v>
      </c>
      <c r="J1102" s="202">
        <f>VLOOKUP(I1102,'CP FACTORS'!$A$3:$B$38, 2, FALSE)</f>
        <v>1.899635E-4</v>
      </c>
      <c r="K1102" s="187">
        <f t="shared" si="146"/>
        <v>23.533408064366434</v>
      </c>
      <c r="L1102" s="1944">
        <f t="shared" si="147"/>
        <v>0</v>
      </c>
      <c r="M1102" s="139">
        <f t="shared" si="137"/>
        <v>3.5119999999999999E-3</v>
      </c>
      <c r="N1102" s="187">
        <v>19</v>
      </c>
      <c r="O1102" s="187">
        <f t="shared" si="133"/>
        <v>5.9683676514473287</v>
      </c>
      <c r="P1102" s="1221">
        <f t="shared" si="144"/>
        <v>7</v>
      </c>
      <c r="Q1102" s="1222">
        <f t="shared" si="145"/>
        <v>3.27</v>
      </c>
      <c r="R1102" s="1658" t="s">
        <v>37</v>
      </c>
      <c r="S1102" s="1012"/>
      <c r="T1102" s="1012"/>
      <c r="U1102" s="1012"/>
      <c r="V1102" s="1125" t="str">
        <f t="shared" si="140"/>
        <v>kWh Annual Savings</v>
      </c>
      <c r="W1102" s="1167">
        <v>23.063851694547001</v>
      </c>
      <c r="X1102" s="1223">
        <v>25.104623543999999</v>
      </c>
      <c r="Y1102" s="84">
        <v>23.53</v>
      </c>
      <c r="Z1102" s="85">
        <v>23.53</v>
      </c>
      <c r="AA1102" s="85">
        <v>23.53</v>
      </c>
      <c r="AB1102" s="1237">
        <v>23.53</v>
      </c>
      <c r="AC1102" s="1125"/>
      <c r="AD1102" s="1125"/>
      <c r="AE1102" s="1125"/>
      <c r="AF1102" s="1125"/>
      <c r="AG1102" s="1125"/>
      <c r="AH1102" s="456"/>
      <c r="AK1102" s="1127"/>
      <c r="BB1102" s="1131">
        <f t="shared" si="135"/>
        <v>2.0862581408824248</v>
      </c>
      <c r="BC1102" s="72" t="str">
        <f t="shared" si="138"/>
        <v>Lighting RES 19 Year EUL</v>
      </c>
      <c r="BD1102" s="148">
        <f>(INDEX('Avoided Cost Benefits'!$C$4:$C$857,MATCH(BC1102,'Avoided Cost Benefits'!$A$4:$A$857,0)))*F1102</f>
        <v>13.783678137024044</v>
      </c>
      <c r="BE1102" s="1132">
        <f t="shared" si="139"/>
        <v>6.6068900424728643</v>
      </c>
    </row>
    <row r="1103" spans="1:57" s="993" customFormat="1" x14ac:dyDescent="0.25">
      <c r="A1103" s="157"/>
      <c r="B1103" s="157"/>
      <c r="C1103" s="86" t="s">
        <v>1982</v>
      </c>
      <c r="D1103" s="137" t="s">
        <v>1968</v>
      </c>
      <c r="E1103" s="3014" t="s">
        <v>1983</v>
      </c>
      <c r="F1103" s="138">
        <f t="shared" si="136"/>
        <v>2.95</v>
      </c>
      <c r="G1103" s="1224" t="s">
        <v>532</v>
      </c>
      <c r="H1103" s="202">
        <f>VLOOKUP(G1103,'CP FACTORS'!$A$3:$B$38, 2, FALSE)</f>
        <v>1.4925290000000001E-4</v>
      </c>
      <c r="I1103" s="1224" t="s">
        <v>36</v>
      </c>
      <c r="J1103" s="202">
        <f>VLOOKUP(I1103,'CP FACTORS'!$A$3:$B$38, 2, FALSE)</f>
        <v>1.899635E-4</v>
      </c>
      <c r="K1103" s="187">
        <f t="shared" si="146"/>
        <v>2.9490486296198544</v>
      </c>
      <c r="L1103" s="1944">
        <f t="shared" si="147"/>
        <v>0</v>
      </c>
      <c r="M1103" s="139">
        <f t="shared" si="137"/>
        <v>4.4000000000000002E-4</v>
      </c>
      <c r="N1103" s="187">
        <v>19</v>
      </c>
      <c r="O1103" s="187">
        <f t="shared" si="133"/>
        <v>5.9683676514473287</v>
      </c>
      <c r="P1103" s="1221">
        <f t="shared" si="144"/>
        <v>7</v>
      </c>
      <c r="Q1103" s="1222">
        <f t="shared" si="145"/>
        <v>3.27</v>
      </c>
      <c r="R1103" s="1658" t="s">
        <v>37</v>
      </c>
      <c r="S1103" s="1012"/>
      <c r="T1103" s="1012"/>
      <c r="U1103" s="1012"/>
      <c r="V1103" s="1125" t="str">
        <f t="shared" si="140"/>
        <v>kWh Annual Savings</v>
      </c>
      <c r="W1103" s="1167">
        <v>2.8902069792665412</v>
      </c>
      <c r="X1103" s="1223">
        <v>3.1459428000000003</v>
      </c>
      <c r="Y1103" s="84">
        <v>2.95</v>
      </c>
      <c r="Z1103" s="85">
        <v>2.95</v>
      </c>
      <c r="AA1103" s="85">
        <v>2.95</v>
      </c>
      <c r="AB1103" s="1237">
        <v>2.95</v>
      </c>
      <c r="AC1103" s="1125"/>
      <c r="AD1103" s="1125"/>
      <c r="AE1103" s="1125"/>
      <c r="AF1103" s="1125"/>
      <c r="AG1103" s="1125"/>
      <c r="AH1103" s="456"/>
      <c r="AK1103" s="1127"/>
      <c r="BB1103" s="1131">
        <f t="shared" si="135"/>
        <v>0.26155807546124754</v>
      </c>
      <c r="BC1103" s="72" t="str">
        <f t="shared" si="138"/>
        <v>Lighting RES 19 Year EUL</v>
      </c>
      <c r="BD1103" s="148">
        <f>(INDEX('Avoided Cost Benefits'!$C$4:$C$857,MATCH(BC1103,'Avoided Cost Benefits'!$A$4:$A$857,0)))*F1103</f>
        <v>1.7280854442932823</v>
      </c>
      <c r="BE1103" s="1132">
        <f t="shared" si="139"/>
        <v>6.6068900424728643</v>
      </c>
    </row>
    <row r="1104" spans="1:57" s="993" customFormat="1" x14ac:dyDescent="0.25">
      <c r="A1104" s="157"/>
      <c r="B1104" s="157"/>
      <c r="C1104" s="86" t="s">
        <v>1984</v>
      </c>
      <c r="D1104" s="137" t="s">
        <v>1968</v>
      </c>
      <c r="E1104" s="3014" t="s">
        <v>1985</v>
      </c>
      <c r="F1104" s="138">
        <f>ROUND(K1104+L1104,2)</f>
        <v>14.42</v>
      </c>
      <c r="G1104" s="1224" t="s">
        <v>532</v>
      </c>
      <c r="H1104" s="202">
        <f>VLOOKUP(G1104,'CP FACTORS'!$A$3:$B$38, 2, FALSE)</f>
        <v>1.4925290000000001E-4</v>
      </c>
      <c r="I1104" s="1224" t="s">
        <v>36</v>
      </c>
      <c r="J1104" s="202">
        <f>VLOOKUP(I1104,'CP FACTORS'!$A$3:$B$38, 2, FALSE)</f>
        <v>1.899635E-4</v>
      </c>
      <c r="K1104" s="187">
        <f t="shared" si="146"/>
        <v>14.41757107814151</v>
      </c>
      <c r="L1104" s="1944">
        <f t="shared" si="147"/>
        <v>0</v>
      </c>
      <c r="M1104" s="139">
        <f>ROUND(((K1104/F1104)*H1104+(L1104/F1104)*J1104)*F1104,6)</f>
        <v>2.1519999999999998E-3</v>
      </c>
      <c r="N1104" s="187">
        <v>19</v>
      </c>
      <c r="O1104" s="187">
        <f t="shared" si="133"/>
        <v>5.9683676514473287</v>
      </c>
      <c r="P1104" s="1221">
        <f t="shared" si="144"/>
        <v>7</v>
      </c>
      <c r="Q1104" s="1222">
        <f t="shared" si="145"/>
        <v>3.27</v>
      </c>
      <c r="R1104" s="1658" t="s">
        <v>37</v>
      </c>
      <c r="S1104" s="1012"/>
      <c r="T1104" s="1012"/>
      <c r="U1104" s="1012"/>
      <c r="V1104" s="1125" t="str">
        <f t="shared" si="140"/>
        <v>kWh Annual Savings</v>
      </c>
      <c r="W1104" s="1167">
        <v>23.211573384598399</v>
      </c>
      <c r="X1104" s="1223">
        <v>14.681066400000002</v>
      </c>
      <c r="Y1104" s="84">
        <v>14.42</v>
      </c>
      <c r="Z1104" s="85">
        <v>14.42</v>
      </c>
      <c r="AA1104" s="85">
        <v>14.42</v>
      </c>
      <c r="AB1104" s="1237">
        <v>14.42</v>
      </c>
      <c r="AC1104" s="1125"/>
      <c r="AD1104" s="1125"/>
      <c r="AE1104" s="1125"/>
      <c r="AF1104" s="1125"/>
      <c r="AG1104" s="1125"/>
      <c r="AH1104" s="456"/>
      <c r="AK1104" s="1127"/>
      <c r="BB1104" s="1131">
        <f t="shared" si="135"/>
        <v>1.2785313383563353</v>
      </c>
      <c r="BC1104" s="72" t="str">
        <f t="shared" si="138"/>
        <v>Lighting RES 19 Year EUL</v>
      </c>
      <c r="BD1104" s="148">
        <f>(INDEX('Avoided Cost Benefits'!$C$4:$C$857,MATCH(BC1104,'Avoided Cost Benefits'!$A$4:$A$857,0)))*F1104</f>
        <v>8.4471159683759751</v>
      </c>
      <c r="BE1104" s="1132">
        <f t="shared" si="139"/>
        <v>6.6068900424728643</v>
      </c>
    </row>
    <row r="1105" spans="1:57" s="993" customFormat="1" x14ac:dyDescent="0.25">
      <c r="A1105" s="157"/>
      <c r="B1105" s="157"/>
      <c r="C1105" s="86" t="s">
        <v>1986</v>
      </c>
      <c r="D1105" s="137" t="s">
        <v>1968</v>
      </c>
      <c r="E1105" s="3014" t="s">
        <v>1987</v>
      </c>
      <c r="F1105" s="138">
        <f t="shared" si="136"/>
        <v>2.62</v>
      </c>
      <c r="G1105" s="1224" t="s">
        <v>532</v>
      </c>
      <c r="H1105" s="202">
        <f>VLOOKUP(G1105,'CP FACTORS'!$A$3:$B$38, 2, FALSE)</f>
        <v>1.4925290000000001E-4</v>
      </c>
      <c r="I1105" s="1224" t="s">
        <v>36</v>
      </c>
      <c r="J1105" s="202">
        <f>VLOOKUP(I1105,'CP FACTORS'!$A$3:$B$38, 2, FALSE)</f>
        <v>1.899635E-4</v>
      </c>
      <c r="K1105" s="187">
        <f t="shared" si="146"/>
        <v>2.6213765596620924</v>
      </c>
      <c r="L1105" s="1944">
        <f t="shared" si="147"/>
        <v>0</v>
      </c>
      <c r="M1105" s="139">
        <f t="shared" si="137"/>
        <v>3.9100000000000002E-4</v>
      </c>
      <c r="N1105" s="187">
        <v>19</v>
      </c>
      <c r="O1105" s="187">
        <f t="shared" si="133"/>
        <v>5.9683676514473287</v>
      </c>
      <c r="P1105" s="1221">
        <f t="shared" si="144"/>
        <v>7</v>
      </c>
      <c r="Q1105" s="1222">
        <f t="shared" si="145"/>
        <v>3.27</v>
      </c>
      <c r="R1105" s="1658" t="s">
        <v>37</v>
      </c>
      <c r="S1105" s="1012"/>
      <c r="T1105" s="1012"/>
      <c r="U1105" s="1012"/>
      <c r="V1105" s="1125" t="str">
        <f t="shared" si="140"/>
        <v>kWh Annual Savings</v>
      </c>
      <c r="W1105" s="1167">
        <v>3.3397947315968928</v>
      </c>
      <c r="X1105" s="1223">
        <v>2.0972952</v>
      </c>
      <c r="Y1105" s="84">
        <v>2.62</v>
      </c>
      <c r="Z1105" s="85">
        <v>2.62</v>
      </c>
      <c r="AA1105" s="85">
        <v>2.62</v>
      </c>
      <c r="AB1105" s="1237">
        <v>2.62</v>
      </c>
      <c r="AC1105" s="1125"/>
      <c r="AD1105" s="1125"/>
      <c r="AE1105" s="1125"/>
      <c r="AF1105" s="1125"/>
      <c r="AG1105" s="1125"/>
      <c r="AH1105" s="456"/>
      <c r="AK1105" s="1127"/>
      <c r="BB1105" s="1131">
        <f t="shared" si="135"/>
        <v>0.23229903651134523</v>
      </c>
      <c r="BC1105" s="72" t="str">
        <f t="shared" si="138"/>
        <v>Lighting RES 19 Year EUL</v>
      </c>
      <c r="BD1105" s="148">
        <f>(INDEX('Avoided Cost Benefits'!$C$4:$C$857,MATCH(BC1105,'Avoided Cost Benefits'!$A$4:$A$857,0)))*F1105</f>
        <v>1.5347741912028472</v>
      </c>
      <c r="BE1105" s="1132">
        <f t="shared" si="139"/>
        <v>6.6068900424728643</v>
      </c>
    </row>
    <row r="1106" spans="1:57" s="993" customFormat="1" x14ac:dyDescent="0.25">
      <c r="A1106" s="157"/>
      <c r="B1106" s="157"/>
      <c r="C1106" s="86" t="s">
        <v>1988</v>
      </c>
      <c r="D1106" s="137" t="s">
        <v>1968</v>
      </c>
      <c r="E1106" s="3014" t="s">
        <v>3633</v>
      </c>
      <c r="F1106" s="138">
        <f t="shared" si="136"/>
        <v>2.82</v>
      </c>
      <c r="G1106" s="1224" t="s">
        <v>532</v>
      </c>
      <c r="H1106" s="202">
        <f>VLOOKUP(G1106,'CP FACTORS'!$A$3:$B$38, 2, FALSE)</f>
        <v>1.4925290000000001E-4</v>
      </c>
      <c r="I1106" s="1224" t="s">
        <v>36</v>
      </c>
      <c r="J1106" s="202">
        <f>VLOOKUP(I1106,'CP FACTORS'!$A$3:$B$38, 2, FALSE)</f>
        <v>1.899635E-4</v>
      </c>
      <c r="K1106" s="187">
        <f t="shared" si="146"/>
        <v>2.8179798016367501</v>
      </c>
      <c r="L1106" s="1944">
        <f t="shared" si="147"/>
        <v>0</v>
      </c>
      <c r="M1106" s="139">
        <f t="shared" si="137"/>
        <v>4.2099999999999999E-4</v>
      </c>
      <c r="N1106" s="187">
        <v>19</v>
      </c>
      <c r="O1106" s="187">
        <f t="shared" si="133"/>
        <v>5.9683676514473287</v>
      </c>
      <c r="P1106" s="1221">
        <f t="shared" si="144"/>
        <v>6</v>
      </c>
      <c r="Q1106" s="1222">
        <f t="shared" si="145"/>
        <v>3.68</v>
      </c>
      <c r="R1106" s="1658" t="s">
        <v>37</v>
      </c>
      <c r="S1106" s="1012"/>
      <c r="T1106" s="1012"/>
      <c r="U1106" s="1012"/>
      <c r="V1106" s="1125" t="str">
        <f t="shared" si="140"/>
        <v>kWh Annual Savings</v>
      </c>
      <c r="W1106" s="1167">
        <v>2.7617533357435846</v>
      </c>
      <c r="X1106" s="1223">
        <v>3.0061231200000003</v>
      </c>
      <c r="Y1106" s="84">
        <v>2.82</v>
      </c>
      <c r="Z1106" s="85">
        <v>2.82</v>
      </c>
      <c r="AA1106" s="85">
        <v>2.82</v>
      </c>
      <c r="AB1106" s="1237">
        <v>2.82</v>
      </c>
      <c r="AC1106" s="1125"/>
      <c r="AD1106" s="1125"/>
      <c r="AE1106" s="1125"/>
      <c r="AF1106" s="1125"/>
      <c r="AG1106" s="1125"/>
      <c r="AH1106" s="456"/>
      <c r="AK1106" s="1127"/>
      <c r="BB1106" s="1131">
        <f t="shared" si="135"/>
        <v>0.29170375195508619</v>
      </c>
      <c r="BC1106" s="72" t="str">
        <f t="shared" si="138"/>
        <v>Lighting RES 19 Year EUL</v>
      </c>
      <c r="BD1106" s="148">
        <f>(INDEX('Avoided Cost Benefits'!$C$4:$C$857,MATCH(BC1106,'Avoided Cost Benefits'!$A$4:$A$857,0)))*F1106</f>
        <v>1.6519325264091713</v>
      </c>
      <c r="BE1106" s="1132">
        <f t="shared" si="139"/>
        <v>5.6630486078338835</v>
      </c>
    </row>
    <row r="1107" spans="1:57" s="993" customFormat="1" x14ac:dyDescent="0.25">
      <c r="A1107" s="157"/>
      <c r="B1107" s="157"/>
      <c r="C1107" s="86" t="s">
        <v>1989</v>
      </c>
      <c r="D1107" s="137" t="s">
        <v>1968</v>
      </c>
      <c r="E1107" s="3014" t="s">
        <v>1990</v>
      </c>
      <c r="F1107" s="138">
        <f t="shared" si="136"/>
        <v>8.52</v>
      </c>
      <c r="G1107" s="1224" t="s">
        <v>532</v>
      </c>
      <c r="H1107" s="202">
        <f>VLOOKUP(G1107,'CP FACTORS'!$A$3:$B$38, 2, FALSE)</f>
        <v>1.4925290000000001E-4</v>
      </c>
      <c r="I1107" s="1224" t="s">
        <v>36</v>
      </c>
      <c r="J1107" s="202">
        <f>VLOOKUP(I1107,'CP FACTORS'!$A$3:$B$38, 2, FALSE)</f>
        <v>1.899635E-4</v>
      </c>
      <c r="K1107" s="187">
        <f t="shared" si="146"/>
        <v>8.5194738189018011</v>
      </c>
      <c r="L1107" s="1944">
        <f t="shared" si="147"/>
        <v>0</v>
      </c>
      <c r="M1107" s="139">
        <f t="shared" si="137"/>
        <v>1.2719999999999999E-3</v>
      </c>
      <c r="N1107" s="187">
        <v>19</v>
      </c>
      <c r="O1107" s="187">
        <f t="shared" si="133"/>
        <v>5.9683676514473287</v>
      </c>
      <c r="P1107" s="1221">
        <f t="shared" si="144"/>
        <v>6</v>
      </c>
      <c r="Q1107" s="1222">
        <f t="shared" si="145"/>
        <v>3.3</v>
      </c>
      <c r="R1107" s="1658" t="s">
        <v>37</v>
      </c>
      <c r="S1107" s="1012"/>
      <c r="T1107" s="1012"/>
      <c r="U1107" s="1012"/>
      <c r="V1107" s="1125" t="str">
        <f t="shared" si="140"/>
        <v>kWh Annual Savings</v>
      </c>
      <c r="W1107" s="1167">
        <v>8.3494868289922302</v>
      </c>
      <c r="X1107" s="1223">
        <v>9.0882791999999988</v>
      </c>
      <c r="Y1107" s="84">
        <v>8.52</v>
      </c>
      <c r="Z1107" s="85">
        <v>8.52</v>
      </c>
      <c r="AA1107" s="85">
        <v>8.52</v>
      </c>
      <c r="AB1107" s="1237">
        <v>8.52</v>
      </c>
      <c r="AC1107" s="1125"/>
      <c r="AD1107" s="1125"/>
      <c r="AE1107" s="1125"/>
      <c r="AF1107" s="1125"/>
      <c r="AG1107" s="1125"/>
      <c r="AH1107" s="456"/>
      <c r="AK1107" s="1127"/>
      <c r="BB1107" s="1131">
        <f t="shared" si="135"/>
        <v>0.88131771867281361</v>
      </c>
      <c r="BC1107" s="72" t="str">
        <f t="shared" si="138"/>
        <v>Lighting RES 19 Year EUL</v>
      </c>
      <c r="BD1107" s="148">
        <f>(INDEX('Avoided Cost Benefits'!$C$4:$C$857,MATCH(BC1107,'Avoided Cost Benefits'!$A$4:$A$857,0)))*F1107</f>
        <v>4.9909450797894115</v>
      </c>
      <c r="BE1107" s="1132">
        <f t="shared" si="139"/>
        <v>5.6630486078338835</v>
      </c>
    </row>
    <row r="1108" spans="1:57" s="993" customFormat="1" x14ac:dyDescent="0.25">
      <c r="A1108" s="157"/>
      <c r="B1108" s="157"/>
      <c r="C1108" s="86" t="s">
        <v>1991</v>
      </c>
      <c r="D1108" s="137" t="s">
        <v>1968</v>
      </c>
      <c r="E1108" s="3014" t="s">
        <v>1992</v>
      </c>
      <c r="F1108" s="138">
        <f>ROUND(K1108+L1108,2)</f>
        <v>5.57</v>
      </c>
      <c r="G1108" s="1224" t="s">
        <v>532</v>
      </c>
      <c r="H1108" s="202">
        <f>VLOOKUP(G1108,'CP FACTORS'!$A$3:$B$38, 2, FALSE)</f>
        <v>1.4925290000000001E-4</v>
      </c>
      <c r="I1108" s="1224" t="s">
        <v>36</v>
      </c>
      <c r="J1108" s="202">
        <f>VLOOKUP(I1108,'CP FACTORS'!$A$3:$B$38, 2, FALSE)</f>
        <v>1.899635E-4</v>
      </c>
      <c r="K1108" s="187">
        <f t="shared" si="146"/>
        <v>5.5704251892819467</v>
      </c>
      <c r="L1108" s="1944">
        <f t="shared" si="147"/>
        <v>0</v>
      </c>
      <c r="M1108" s="139">
        <f t="shared" si="137"/>
        <v>8.3100000000000003E-4</v>
      </c>
      <c r="N1108" s="187">
        <v>19</v>
      </c>
      <c r="O1108" s="187">
        <f t="shared" si="133"/>
        <v>5.9683676514473287</v>
      </c>
      <c r="P1108" s="1221">
        <f t="shared" si="144"/>
        <v>6</v>
      </c>
      <c r="Q1108" s="1222">
        <f t="shared" si="145"/>
        <v>3.53</v>
      </c>
      <c r="R1108" s="1658" t="s">
        <v>37</v>
      </c>
      <c r="S1108" s="1012"/>
      <c r="T1108" s="1012"/>
      <c r="U1108" s="1012"/>
      <c r="V1108" s="1125" t="str">
        <f t="shared" si="140"/>
        <v>kWh Annual Savings</v>
      </c>
      <c r="W1108" s="1167">
        <v>5.4592798497256902</v>
      </c>
      <c r="X1108" s="1223">
        <v>5.9423363999999994</v>
      </c>
      <c r="Y1108" s="84">
        <v>5.57</v>
      </c>
      <c r="Z1108" s="85">
        <v>5.57</v>
      </c>
      <c r="AA1108" s="85">
        <v>5.57</v>
      </c>
      <c r="AB1108" s="1237">
        <v>5.57</v>
      </c>
      <c r="AC1108" s="1125"/>
      <c r="AD1108" s="1125"/>
      <c r="AE1108" s="1125"/>
      <c r="AF1108" s="1125"/>
      <c r="AG1108" s="1125"/>
      <c r="AH1108" s="456"/>
      <c r="AK1108" s="1127"/>
      <c r="BB1108" s="1131">
        <f t="shared" si="135"/>
        <v>0.57616663063469165</v>
      </c>
      <c r="BC1108" s="72" t="str">
        <f t="shared" si="138"/>
        <v>Lighting RES 19 Year EUL</v>
      </c>
      <c r="BD1108" s="148">
        <f>(INDEX('Avoided Cost Benefits'!$C$4:$C$857,MATCH(BC1108,'Avoided Cost Benefits'!$A$4:$A$857,0)))*F1108</f>
        <v>3.2628596354961297</v>
      </c>
      <c r="BE1108" s="1132">
        <f t="shared" si="139"/>
        <v>5.6630486078338835</v>
      </c>
    </row>
    <row r="1109" spans="1:57" s="993" customFormat="1" x14ac:dyDescent="0.25">
      <c r="A1109" s="157"/>
      <c r="B1109" s="157"/>
      <c r="C1109" s="86" t="s">
        <v>1993</v>
      </c>
      <c r="D1109" s="137" t="s">
        <v>1968</v>
      </c>
      <c r="E1109" s="3014" t="s">
        <v>1994</v>
      </c>
      <c r="F1109" s="138">
        <f t="shared" si="136"/>
        <v>5.57</v>
      </c>
      <c r="G1109" s="1224" t="s">
        <v>532</v>
      </c>
      <c r="H1109" s="202">
        <f>VLOOKUP(G1109,'CP FACTORS'!$A$3:$B$38, 2, FALSE)</f>
        <v>1.4925290000000001E-4</v>
      </c>
      <c r="I1109" s="1224" t="s">
        <v>36</v>
      </c>
      <c r="J1109" s="202">
        <f>VLOOKUP(I1109,'CP FACTORS'!$A$3:$B$38, 2, FALSE)</f>
        <v>1.899635E-4</v>
      </c>
      <c r="K1109" s="187">
        <f t="shared" si="146"/>
        <v>5.5704251892819467</v>
      </c>
      <c r="L1109" s="1944">
        <f t="shared" si="147"/>
        <v>0</v>
      </c>
      <c r="M1109" s="139">
        <f t="shared" si="137"/>
        <v>8.3100000000000003E-4</v>
      </c>
      <c r="N1109" s="187">
        <v>19</v>
      </c>
      <c r="O1109" s="187">
        <f t="shared" si="133"/>
        <v>5.9683676514473287</v>
      </c>
      <c r="P1109" s="1221">
        <f t="shared" si="144"/>
        <v>6</v>
      </c>
      <c r="Q1109" s="1222">
        <f t="shared" si="145"/>
        <v>4.72</v>
      </c>
      <c r="R1109" s="1658" t="s">
        <v>37</v>
      </c>
      <c r="S1109" s="1012"/>
      <c r="T1109" s="1012"/>
      <c r="U1109" s="1012"/>
      <c r="V1109" s="1125" t="str">
        <f t="shared" si="140"/>
        <v>kWh Annual Savings</v>
      </c>
      <c r="W1109" s="1167">
        <v>5.4592798497256902</v>
      </c>
      <c r="X1109" s="1223">
        <v>5.9423363999999994</v>
      </c>
      <c r="Y1109" s="84">
        <v>5.57</v>
      </c>
      <c r="Z1109" s="85">
        <v>5.57</v>
      </c>
      <c r="AA1109" s="85">
        <v>5.57</v>
      </c>
      <c r="AB1109" s="1237">
        <v>5.57</v>
      </c>
      <c r="AC1109" s="1125"/>
      <c r="AD1109" s="1125"/>
      <c r="AE1109" s="1125"/>
      <c r="AF1109" s="1125"/>
      <c r="AG1109" s="1125"/>
      <c r="AH1109" s="456"/>
      <c r="AK1109" s="1127"/>
      <c r="BB1109" s="1131">
        <f t="shared" si="135"/>
        <v>0.57616663063469165</v>
      </c>
      <c r="BC1109" s="72" t="str">
        <f t="shared" si="138"/>
        <v>Lighting RES 19 Year EUL</v>
      </c>
      <c r="BD1109" s="148">
        <f>(INDEX('Avoided Cost Benefits'!$C$4:$C$857,MATCH(BC1109,'Avoided Cost Benefits'!$A$4:$A$857,0)))*F1109</f>
        <v>3.2628596354961297</v>
      </c>
      <c r="BE1109" s="1132">
        <f t="shared" si="139"/>
        <v>5.6630486078338835</v>
      </c>
    </row>
    <row r="1110" spans="1:57" s="993" customFormat="1" x14ac:dyDescent="0.25">
      <c r="A1110" s="157"/>
      <c r="B1110" s="157"/>
      <c r="C1110" s="86" t="s">
        <v>1995</v>
      </c>
      <c r="D1110" s="137" t="s">
        <v>1968</v>
      </c>
      <c r="E1110" s="3014" t="s">
        <v>3634</v>
      </c>
      <c r="F1110" s="138">
        <f t="shared" si="136"/>
        <v>5.44</v>
      </c>
      <c r="G1110" s="1224" t="s">
        <v>532</v>
      </c>
      <c r="H1110" s="202">
        <f>VLOOKUP(G1110,'CP FACTORS'!$A$3:$B$38, 2, FALSE)</f>
        <v>1.4925290000000001E-4</v>
      </c>
      <c r="I1110" s="1224" t="s">
        <v>36</v>
      </c>
      <c r="J1110" s="202">
        <f>VLOOKUP(I1110,'CP FACTORS'!$A$3:$B$38, 2, FALSE)</f>
        <v>1.899635E-4</v>
      </c>
      <c r="K1110" s="187">
        <f t="shared" si="146"/>
        <v>5.4393563612988416</v>
      </c>
      <c r="L1110" s="1944">
        <f t="shared" si="147"/>
        <v>0</v>
      </c>
      <c r="M1110" s="139">
        <f t="shared" si="137"/>
        <v>8.12E-4</v>
      </c>
      <c r="N1110" s="187">
        <v>19</v>
      </c>
      <c r="O1110" s="187">
        <f t="shared" si="133"/>
        <v>5.9683676514473287</v>
      </c>
      <c r="P1110" s="1221">
        <f t="shared" si="144"/>
        <v>8</v>
      </c>
      <c r="Q1110" s="1222">
        <f t="shared" si="145"/>
        <v>6.27</v>
      </c>
      <c r="R1110" s="1658" t="s">
        <v>37</v>
      </c>
      <c r="S1110" s="1012"/>
      <c r="T1110" s="1012"/>
      <c r="U1110" s="1012"/>
      <c r="V1110" s="1125" t="str">
        <f t="shared" si="140"/>
        <v>kWh Annual Savings</v>
      </c>
      <c r="W1110" s="1167">
        <v>5.3308262062027314</v>
      </c>
      <c r="X1110" s="1223">
        <v>5.802516719999999</v>
      </c>
      <c r="Y1110" s="84">
        <v>5.44</v>
      </c>
      <c r="Z1110" s="85">
        <v>5.44</v>
      </c>
      <c r="AA1110" s="85">
        <v>5.44</v>
      </c>
      <c r="AB1110" s="1237">
        <v>5.44</v>
      </c>
      <c r="AC1110" s="1125"/>
      <c r="AD1110" s="1125"/>
      <c r="AE1110" s="1125"/>
      <c r="AF1110" s="1125"/>
      <c r="AG1110" s="1125"/>
      <c r="AH1110" s="456"/>
      <c r="AK1110" s="1127"/>
      <c r="BB1110" s="1131">
        <f t="shared" si="135"/>
        <v>0.42203947091374178</v>
      </c>
      <c r="BC1110" s="72" t="str">
        <f t="shared" si="138"/>
        <v>Lighting RES 19 Year EUL</v>
      </c>
      <c r="BD1110" s="148">
        <f>(INDEX('Avoided Cost Benefits'!$C$4:$C$857,MATCH(BC1110,'Avoided Cost Benefits'!$A$4:$A$857,0)))*F1110</f>
        <v>3.1867067176120187</v>
      </c>
      <c r="BE1110" s="1132">
        <f t="shared" si="139"/>
        <v>7.5507314771118441</v>
      </c>
    </row>
    <row r="1111" spans="1:57" s="993" customFormat="1" x14ac:dyDescent="0.25">
      <c r="A1111" s="157"/>
      <c r="B1111" s="157"/>
      <c r="C1111" s="86" t="s">
        <v>3858</v>
      </c>
      <c r="D1111" s="137" t="s">
        <v>1968</v>
      </c>
      <c r="E1111" s="3014" t="s">
        <v>3620</v>
      </c>
      <c r="F1111" s="138">
        <v>5.17</v>
      </c>
      <c r="G1111" s="1224" t="s">
        <v>532</v>
      </c>
      <c r="H1111" s="202">
        <f>VLOOKUP(G1111,'CP FACTORS'!$A$3:$B$38, 2, FALSE)</f>
        <v>1.4925290000000001E-4</v>
      </c>
      <c r="I1111" s="1224" t="s">
        <v>36</v>
      </c>
      <c r="J1111" s="202">
        <v>1.899635E-4</v>
      </c>
      <c r="K1111" s="187">
        <v>5.1699371037780164</v>
      </c>
      <c r="L1111" s="1944">
        <v>0</v>
      </c>
      <c r="M1111" s="139">
        <v>7.7200000000000001E-4</v>
      </c>
      <c r="N1111" s="187">
        <v>19</v>
      </c>
      <c r="O1111" s="187">
        <f t="shared" si="133"/>
        <v>5.9683676514473287</v>
      </c>
      <c r="P1111" s="1221">
        <f t="shared" si="144"/>
        <v>10</v>
      </c>
      <c r="Q1111" s="1222">
        <f t="shared" si="145"/>
        <v>4.92</v>
      </c>
      <c r="R1111" s="1658" t="s">
        <v>37</v>
      </c>
      <c r="S1111" s="1012"/>
      <c r="T1111" s="1012"/>
      <c r="U1111" s="1012"/>
      <c r="V1111" s="2305" t="str">
        <f t="shared" si="140"/>
        <v>kWh Annual Savings</v>
      </c>
      <c r="W1111" s="1167"/>
      <c r="X1111" s="1223"/>
      <c r="Y1111" s="2298"/>
      <c r="Z1111" s="85"/>
      <c r="AA1111" s="85"/>
      <c r="AB1111" s="2298">
        <v>5.17</v>
      </c>
      <c r="AC1111" s="1125"/>
      <c r="AD1111" s="1125"/>
      <c r="AE1111" s="1125"/>
      <c r="AF1111" s="1125"/>
      <c r="AG1111" s="1125"/>
      <c r="AH1111" s="456"/>
      <c r="AK1111" s="1127"/>
      <c r="BB1111" s="1131">
        <f t="shared" ref="BB1111:BB1115" si="148">(BD1111)/(BE1111)</f>
        <v>0.32087412715059482</v>
      </c>
      <c r="BC1111" s="2295" t="str">
        <f t="shared" ref="BC1111:BC1115" si="149">CONCATENATE(G1111," ",N1111," Year EUL")</f>
        <v>Lighting RES 19 Year EUL</v>
      </c>
      <c r="BD1111" s="148">
        <f>(INDEX('Avoided Cost Benefits'!$C$4:$C$857,MATCH(BC1111,'Avoided Cost Benefits'!$A$4:$A$857,0)))*F1111</f>
        <v>3.028542965083481</v>
      </c>
      <c r="BE1111" s="1132">
        <f t="shared" ref="BE1111:BE1115" si="150">P1111/(1.0595^(2020-2019))</f>
        <v>9.4384143463898056</v>
      </c>
    </row>
    <row r="1112" spans="1:57" s="993" customFormat="1" x14ac:dyDescent="0.25">
      <c r="A1112" s="157"/>
      <c r="B1112" s="157"/>
      <c r="C1112" s="86" t="s">
        <v>1996</v>
      </c>
      <c r="D1112" s="137" t="s">
        <v>1968</v>
      </c>
      <c r="E1112" s="3014" t="s">
        <v>1997</v>
      </c>
      <c r="F1112" s="138">
        <f>ROUND(K1112+L1112,2)</f>
        <v>3.15</v>
      </c>
      <c r="G1112" s="1224" t="s">
        <v>532</v>
      </c>
      <c r="H1112" s="202">
        <f>VLOOKUP(G1112,'CP FACTORS'!$A$3:$B$38, 2, FALSE)</f>
        <v>1.4925290000000001E-4</v>
      </c>
      <c r="I1112" s="1224" t="s">
        <v>36</v>
      </c>
      <c r="J1112" s="202">
        <f>VLOOKUP(I1112,'CP FACTORS'!$A$3:$B$38, 2, FALSE)</f>
        <v>1.899635E-4</v>
      </c>
      <c r="K1112" s="187">
        <f>((F1146-F1169)*$F$1180*$F$1173*(1-$F$1175)*($F$1176*$F$1177)/1000)</f>
        <v>3.1456518715945112</v>
      </c>
      <c r="L1112" s="1944">
        <f>((F1146-F1169)*(1-$F$1180)*$F$1173*(1-$F$1175)*($F$1178*$F$1179)/1000)</f>
        <v>0</v>
      </c>
      <c r="M1112" s="139">
        <f t="shared" si="137"/>
        <v>4.6900000000000002E-4</v>
      </c>
      <c r="N1112" s="187">
        <v>19</v>
      </c>
      <c r="O1112" s="187">
        <f t="shared" si="133"/>
        <v>5.9683676514473287</v>
      </c>
      <c r="P1112" s="1221">
        <f t="shared" ref="P1112:Q1115" si="151">F1208</f>
        <v>10</v>
      </c>
      <c r="Q1112" s="1222">
        <f t="shared" si="151"/>
        <v>4.92</v>
      </c>
      <c r="R1112" s="1658" t="s">
        <v>37</v>
      </c>
      <c r="S1112" s="1012"/>
      <c r="T1112" s="1012"/>
      <c r="U1112" s="1012"/>
      <c r="V1112" s="1125" t="str">
        <f t="shared" si="140"/>
        <v>kWh Annual Savings</v>
      </c>
      <c r="W1112" s="1167">
        <v>3.0828874445509782</v>
      </c>
      <c r="X1112" s="1223">
        <v>3.3556723200000005</v>
      </c>
      <c r="Y1112" s="84">
        <v>3.15</v>
      </c>
      <c r="Z1112" s="85">
        <v>3.15</v>
      </c>
      <c r="AA1112" s="85">
        <v>3.15</v>
      </c>
      <c r="AB1112" s="1237">
        <v>3.15</v>
      </c>
      <c r="AC1112" s="1125"/>
      <c r="AD1112" s="1125"/>
      <c r="AE1112" s="1125"/>
      <c r="AF1112" s="1125"/>
      <c r="AG1112" s="1125"/>
      <c r="AH1112" s="456"/>
      <c r="AK1112" s="1127"/>
      <c r="BB1112" s="1131">
        <f t="shared" si="148"/>
        <v>0.19550357843798333</v>
      </c>
      <c r="BC1112" s="2295" t="str">
        <f t="shared" si="149"/>
        <v>Lighting RES 19 Year EUL</v>
      </c>
      <c r="BD1112" s="148">
        <f>(INDEX('Avoided Cost Benefits'!$C$4:$C$857,MATCH(BC1112,'Avoided Cost Benefits'!$A$4:$A$857,0)))*F1112</f>
        <v>1.8452437794996064</v>
      </c>
      <c r="BE1112" s="1132">
        <f t="shared" si="150"/>
        <v>9.4384143463898056</v>
      </c>
    </row>
    <row r="1113" spans="1:57" s="993" customFormat="1" x14ac:dyDescent="0.25">
      <c r="A1113" s="157"/>
      <c r="B1113" s="157"/>
      <c r="C1113" s="86" t="s">
        <v>1998</v>
      </c>
      <c r="D1113" s="137" t="s">
        <v>1968</v>
      </c>
      <c r="E1113" s="3014" t="s">
        <v>3635</v>
      </c>
      <c r="F1113" s="138">
        <f t="shared" si="136"/>
        <v>3.28</v>
      </c>
      <c r="G1113" s="1224" t="s">
        <v>532</v>
      </c>
      <c r="H1113" s="202">
        <f>VLOOKUP(G1113,'CP FACTORS'!$A$3:$B$38, 2, FALSE)</f>
        <v>1.4925290000000001E-4</v>
      </c>
      <c r="I1113" s="1224" t="s">
        <v>36</v>
      </c>
      <c r="J1113" s="202">
        <f>VLOOKUP(I1113,'CP FACTORS'!$A$3:$B$38, 2, FALSE)</f>
        <v>1.899635E-4</v>
      </c>
      <c r="K1113" s="187">
        <f>((F1147-F1170)*$F$1180*$F$1173*(1-$F$1175)*($F$1176*$F$1177)/1000)</f>
        <v>3.2767206995776155</v>
      </c>
      <c r="L1113" s="1944">
        <f>((F1147-F1170)*(1-$F$1180)*$F$1173*(1-$F$1175)*($F$1178*$F$1179)/1000)</f>
        <v>0</v>
      </c>
      <c r="M1113" s="139">
        <f t="shared" si="137"/>
        <v>4.8899999999999996E-4</v>
      </c>
      <c r="N1113" s="187">
        <v>19</v>
      </c>
      <c r="O1113" s="187">
        <f t="shared" si="133"/>
        <v>5.9683676514473287</v>
      </c>
      <c r="P1113" s="1221">
        <f t="shared" si="151"/>
        <v>15</v>
      </c>
      <c r="Q1113" s="1222">
        <f t="shared" si="151"/>
        <v>4.92</v>
      </c>
      <c r="R1113" s="1658" t="s">
        <v>37</v>
      </c>
      <c r="S1113" s="1012"/>
      <c r="T1113" s="1012"/>
      <c r="U1113" s="1012"/>
      <c r="V1113" s="1125" t="str">
        <f t="shared" si="140"/>
        <v>kWh Annual Savings</v>
      </c>
      <c r="W1113" s="1167">
        <v>3.2113410880739353</v>
      </c>
      <c r="X1113" s="1223">
        <v>3.4954919999999996</v>
      </c>
      <c r="Y1113" s="84">
        <v>3.28</v>
      </c>
      <c r="Z1113" s="85">
        <v>3.28</v>
      </c>
      <c r="AA1113" s="85">
        <v>3.28</v>
      </c>
      <c r="AB1113" s="1237">
        <v>3.28</v>
      </c>
      <c r="AC1113" s="1125"/>
      <c r="AD1113" s="1125"/>
      <c r="AE1113" s="1125"/>
      <c r="AF1113" s="1125"/>
      <c r="AG1113" s="1125"/>
      <c r="AH1113" s="456"/>
      <c r="AK1113" s="1127"/>
      <c r="BB1113" s="1131">
        <f t="shared" si="148"/>
        <v>0.13571465339186989</v>
      </c>
      <c r="BC1113" s="2295" t="str">
        <f t="shared" si="149"/>
        <v>Lighting RES 19 Year EUL</v>
      </c>
      <c r="BD1113" s="148">
        <f>(INDEX('Avoided Cost Benefits'!$C$4:$C$857,MATCH(BC1113,'Avoided Cost Benefits'!$A$4:$A$857,0)))*F1113</f>
        <v>1.9213966973837171</v>
      </c>
      <c r="BE1113" s="1132">
        <f t="shared" si="150"/>
        <v>14.157621519584708</v>
      </c>
    </row>
    <row r="1114" spans="1:57" s="993" customFormat="1" x14ac:dyDescent="0.25">
      <c r="A1114" s="157"/>
      <c r="B1114" s="157"/>
      <c r="C1114" s="86" t="s">
        <v>1999</v>
      </c>
      <c r="D1114" s="137" t="s">
        <v>1968</v>
      </c>
      <c r="E1114" s="3014" t="s">
        <v>3636</v>
      </c>
      <c r="F1114" s="138">
        <f t="shared" si="136"/>
        <v>6.42</v>
      </c>
      <c r="G1114" s="1224" t="s">
        <v>532</v>
      </c>
      <c r="H1114" s="202">
        <f>VLOOKUP(G1114,'CP FACTORS'!$A$3:$B$38, 2, FALSE)</f>
        <v>1.4925290000000001E-4</v>
      </c>
      <c r="I1114" s="1224" t="s">
        <v>36</v>
      </c>
      <c r="J1114" s="202">
        <f>VLOOKUP(I1114,'CP FACTORS'!$A$3:$B$38, 2, FALSE)</f>
        <v>1.899635E-4</v>
      </c>
      <c r="K1114" s="187">
        <f>((F1148-F1171)*$F$1180*$F$1173*(1-$F$1175)*($F$1176*$F$1177)/1000)</f>
        <v>6.4223725711721276</v>
      </c>
      <c r="L1114" s="1944">
        <f>((F1148-F1171)*(1-$F$1180)*$F$1173*(1-$F$1175)*($F$1178*$F$1179)/1000)</f>
        <v>0</v>
      </c>
      <c r="M1114" s="139">
        <f t="shared" si="137"/>
        <v>9.59E-4</v>
      </c>
      <c r="N1114" s="187">
        <v>19</v>
      </c>
      <c r="O1114" s="187">
        <f t="shared" si="133"/>
        <v>5.9683676514473287</v>
      </c>
      <c r="P1114" s="1225">
        <f t="shared" si="151"/>
        <v>8</v>
      </c>
      <c r="Q1114" s="1226">
        <f t="shared" si="151"/>
        <v>7.83</v>
      </c>
      <c r="R1114" s="1658" t="s">
        <v>37</v>
      </c>
      <c r="S1114" s="1012"/>
      <c r="T1114" s="1012"/>
      <c r="U1114" s="1012"/>
      <c r="V1114" s="1125" t="str">
        <f t="shared" si="140"/>
        <v>kWh Annual Savings</v>
      </c>
      <c r="W1114" s="1167">
        <v>6.2942285326249126</v>
      </c>
      <c r="X1114" s="1223">
        <v>6.8511643200000005</v>
      </c>
      <c r="Y1114" s="84">
        <v>6.42</v>
      </c>
      <c r="Z1114" s="85">
        <v>6.42</v>
      </c>
      <c r="AA1114" s="85">
        <v>6.42</v>
      </c>
      <c r="AB1114" s="1237">
        <v>6.42</v>
      </c>
      <c r="AC1114" s="1125"/>
      <c r="AD1114" s="1125"/>
      <c r="AE1114" s="1125"/>
      <c r="AF1114" s="1125"/>
      <c r="AG1114" s="1125"/>
      <c r="AH1114" s="456"/>
      <c r="AK1114" s="1127"/>
      <c r="BB1114" s="1131">
        <f t="shared" si="148"/>
        <v>0.49806864030629089</v>
      </c>
      <c r="BC1114" s="2295" t="str">
        <f t="shared" si="149"/>
        <v>Lighting RES 19 Year EUL</v>
      </c>
      <c r="BD1114" s="148">
        <f>(INDEX('Avoided Cost Benefits'!$C$4:$C$857,MATCH(BC1114,'Avoided Cost Benefits'!$A$4:$A$857,0)))*F1114</f>
        <v>3.7607825601230074</v>
      </c>
      <c r="BE1114" s="1132">
        <f t="shared" si="150"/>
        <v>7.5507314771118441</v>
      </c>
    </row>
    <row r="1115" spans="1:57" s="993" customFormat="1" x14ac:dyDescent="0.25">
      <c r="A1115" s="157"/>
      <c r="B1115" s="157"/>
      <c r="C1115" s="86" t="s">
        <v>3820</v>
      </c>
      <c r="D1115" s="137" t="s">
        <v>1968</v>
      </c>
      <c r="E1115" s="3014" t="s">
        <v>3619</v>
      </c>
      <c r="F1115" s="138">
        <f>ROUND(K1115+L1115,2)</f>
        <v>15.07</v>
      </c>
      <c r="G1115" s="1224" t="s">
        <v>532</v>
      </c>
      <c r="H1115" s="202">
        <f>VLOOKUP(G1115,'CP FACTORS'!$A$3:$B$38, 2, FALSE)</f>
        <v>1.4925290000000001E-4</v>
      </c>
      <c r="I1115" s="1224" t="s">
        <v>36</v>
      </c>
      <c r="J1115" s="202">
        <f>VLOOKUP(I1115,'CP FACTORS'!$A$3:$B$38, 2, FALSE)</f>
        <v>1.899635E-4</v>
      </c>
      <c r="K1115" s="187">
        <f>((F1149-F1172)*$F$1180*$F$1173*(1-$F$1175)*($F$1176*$F$1177)/1000)</f>
        <v>15.07291521805703</v>
      </c>
      <c r="L1115" s="1944">
        <f>((F1149-F1172)*(1-$F$1180)*$F$1173*(1-$F$1175)*($F$1178*$F$1179)/1000)</f>
        <v>0</v>
      </c>
      <c r="M1115" s="139">
        <f t="shared" ref="M1115" si="152">ROUND(((K1115/F1115)*H1115+(L1115/F1115)*J1115)*F1115,6)</f>
        <v>2.2499999999999998E-3</v>
      </c>
      <c r="N1115" s="187">
        <v>19</v>
      </c>
      <c r="O1115" s="187">
        <f t="shared" si="133"/>
        <v>5.9683676514473287</v>
      </c>
      <c r="P1115" s="1225">
        <f t="shared" si="151"/>
        <v>7</v>
      </c>
      <c r="Q1115" s="1226">
        <f t="shared" si="151"/>
        <v>3.27</v>
      </c>
      <c r="R1115" s="1658" t="s">
        <v>37</v>
      </c>
      <c r="S1115" s="1012"/>
      <c r="T1115" s="1012"/>
      <c r="U1115" s="1012"/>
      <c r="V1115" s="1125" t="str">
        <f t="shared" si="140"/>
        <v>kWh Annual Savings</v>
      </c>
      <c r="W1115" s="1167"/>
      <c r="X1115" s="1223"/>
      <c r="Y1115" s="2298"/>
      <c r="Z1115" s="85"/>
      <c r="AA1115" s="85"/>
      <c r="AB1115" s="2298">
        <v>15.07</v>
      </c>
      <c r="AC1115" s="1125"/>
      <c r="AD1115" s="1125"/>
      <c r="AE1115" s="1125"/>
      <c r="AF1115" s="1125"/>
      <c r="AG1115" s="1125"/>
      <c r="AH1115" s="456"/>
      <c r="AK1115" s="1127"/>
      <c r="BB1115" s="1133">
        <f t="shared" si="148"/>
        <v>1.3361627787122032</v>
      </c>
      <c r="BC1115" s="2295" t="str">
        <f t="shared" si="149"/>
        <v>Lighting RES 19 Year EUL</v>
      </c>
      <c r="BD1115" s="153">
        <f>(INDEX('Avoided Cost Benefits'!$C$4:$C$857,MATCH(BC1115,'Avoided Cost Benefits'!$A$4:$A$857,0)))*F1115</f>
        <v>8.8278805577965294</v>
      </c>
      <c r="BE1115" s="1134">
        <f t="shared" si="150"/>
        <v>6.6068900424728643</v>
      </c>
    </row>
    <row r="1116" spans="1:57" s="993" customFormat="1" x14ac:dyDescent="0.25">
      <c r="A1116" s="157"/>
      <c r="B1116" s="157"/>
      <c r="C1116" s="154"/>
      <c r="D1116" s="1227"/>
      <c r="E1116" s="1230"/>
      <c r="F1116" s="1229"/>
      <c r="G1116" s="1228"/>
      <c r="H1116" s="1663"/>
      <c r="I1116" s="1228"/>
      <c r="J1116" s="1663"/>
      <c r="K1116" s="1229"/>
      <c r="L1116" s="1945"/>
      <c r="M1116" s="1232"/>
      <c r="N1116" s="1947"/>
      <c r="O1116" s="1948"/>
      <c r="P1116" s="1949"/>
      <c r="Q1116" s="1949"/>
      <c r="R1116" s="768"/>
      <c r="S1116" s="1012"/>
      <c r="T1116" s="1012"/>
      <c r="U1116" s="1012"/>
      <c r="V1116" s="273"/>
      <c r="W1116" s="273"/>
      <c r="X1116" s="273"/>
      <c r="Y1116" s="692"/>
      <c r="Z1116" s="273"/>
      <c r="AA1116" s="273"/>
      <c r="AB1116" s="273"/>
      <c r="AC1116" s="273"/>
      <c r="AD1116" s="273"/>
      <c r="AE1116" s="273"/>
      <c r="AF1116" s="273"/>
      <c r="AG1116" s="273"/>
      <c r="AK1116" s="982"/>
      <c r="BB1116" s="975"/>
      <c r="BC1116" s="273"/>
      <c r="BD1116" s="273"/>
      <c r="BE1116" s="273"/>
    </row>
    <row r="1117" spans="1:57" outlineLevel="1" x14ac:dyDescent="0.25">
      <c r="B1117" s="157"/>
      <c r="C1117" s="154"/>
      <c r="D1117" s="1230"/>
      <c r="E1117" s="1230"/>
      <c r="F1117" s="612"/>
      <c r="G1117" s="1231"/>
      <c r="H1117" s="1950"/>
      <c r="I1117" s="648"/>
      <c r="J1117" s="1947"/>
      <c r="K1117" s="1232"/>
      <c r="L1117" s="768"/>
      <c r="M1117" s="157"/>
      <c r="N1117" s="157"/>
      <c r="V1117" s="273" t="str">
        <f>IF(C1115&gt;0,C1115," ")</f>
        <v>405410_2019_12_</v>
      </c>
      <c r="AH1117" s="993"/>
      <c r="AI1117" s="993"/>
      <c r="AJ1117" s="993"/>
      <c r="AK1117" s="982"/>
      <c r="AL1117" s="993"/>
    </row>
    <row r="1118" spans="1:57" outlineLevel="1" x14ac:dyDescent="0.25">
      <c r="B1118" s="157"/>
      <c r="C1118" s="385"/>
      <c r="D1118" s="222" t="s">
        <v>571</v>
      </c>
      <c r="E1118" s="920"/>
      <c r="F1118" s="648"/>
      <c r="G1118" s="648"/>
      <c r="H1118" s="648"/>
      <c r="I1118" s="648"/>
      <c r="J1118" s="1947"/>
      <c r="K1118" s="1232"/>
      <c r="L1118" s="768"/>
      <c r="M1118" s="157"/>
      <c r="N1118" s="157"/>
      <c r="V1118" s="273" t="str">
        <f>IF(C1116&gt;0,C1116," ")</f>
        <v xml:space="preserve"> </v>
      </c>
      <c r="AH1118" s="993"/>
      <c r="AI1118" s="993"/>
      <c r="AK1118" s="982"/>
    </row>
    <row r="1119" spans="1:57" outlineLevel="1" x14ac:dyDescent="0.25">
      <c r="B1119" s="157"/>
      <c r="C1119" s="385"/>
      <c r="D1119" s="386"/>
      <c r="E1119" s="386"/>
      <c r="F1119" s="157"/>
      <c r="G1119" s="157"/>
      <c r="H1119" s="157"/>
      <c r="I1119" s="157"/>
      <c r="J1119" s="1947"/>
      <c r="K1119" s="1232"/>
      <c r="L1119" s="768"/>
      <c r="M1119" s="157"/>
      <c r="N1119" s="157"/>
      <c r="V1119" s="273" t="str">
        <f>IF(C1117&gt;0,C1117," ")</f>
        <v xml:space="preserve"> </v>
      </c>
      <c r="AK1119" s="982"/>
    </row>
    <row r="1120" spans="1:57" outlineLevel="1" x14ac:dyDescent="0.25">
      <c r="B1120" s="157"/>
      <c r="C1120" s="385"/>
      <c r="D1120" s="386"/>
      <c r="E1120" s="386"/>
      <c r="F1120" s="157"/>
      <c r="G1120" s="157"/>
      <c r="H1120" s="157"/>
      <c r="I1120" s="157"/>
      <c r="J1120" s="1947"/>
      <c r="K1120" s="1232"/>
      <c r="L1120" s="768"/>
      <c r="M1120" s="157"/>
      <c r="N1120" s="157"/>
      <c r="AK1120" s="982"/>
    </row>
    <row r="1121" spans="1:37" outlineLevel="1" x14ac:dyDescent="0.25">
      <c r="B1121" s="157"/>
      <c r="C1121" s="385"/>
      <c r="D1121" s="386"/>
      <c r="E1121" s="386"/>
      <c r="F1121" s="157"/>
      <c r="G1121" s="157"/>
      <c r="H1121" s="157"/>
      <c r="I1121" s="157"/>
      <c r="J1121" s="1947"/>
      <c r="K1121" s="1232"/>
      <c r="L1121" s="768"/>
      <c r="M1121" s="157"/>
      <c r="N1121" s="157"/>
      <c r="AK1121" s="982"/>
    </row>
    <row r="1122" spans="1:37" outlineLevel="1" x14ac:dyDescent="0.25">
      <c r="B1122" s="157"/>
      <c r="C1122" s="385"/>
      <c r="D1122" s="386"/>
      <c r="E1122" s="386"/>
      <c r="F1122" s="157"/>
      <c r="G1122" s="157"/>
      <c r="H1122" s="157"/>
      <c r="I1122" s="157"/>
      <c r="J1122" s="1947"/>
      <c r="K1122" s="1232"/>
      <c r="L1122" s="768"/>
      <c r="M1122" s="157"/>
      <c r="N1122" s="157"/>
      <c r="AK1122" s="982"/>
    </row>
    <row r="1123" spans="1:37" outlineLevel="1" x14ac:dyDescent="0.25">
      <c r="B1123" s="157"/>
      <c r="C1123" s="385"/>
      <c r="D1123" s="386"/>
      <c r="E1123" s="386"/>
      <c r="F1123" s="157"/>
      <c r="G1123" s="157"/>
      <c r="H1123" s="157"/>
      <c r="I1123" s="157"/>
      <c r="J1123" s="1947"/>
      <c r="K1123" s="1232"/>
      <c r="L1123" s="768"/>
      <c r="M1123" s="157"/>
      <c r="N1123" s="157"/>
      <c r="AK1123" s="982"/>
    </row>
    <row r="1124" spans="1:37" outlineLevel="1" x14ac:dyDescent="0.25">
      <c r="B1124" s="157"/>
      <c r="C1124" s="385"/>
      <c r="D1124" s="386"/>
      <c r="E1124" s="386"/>
      <c r="F1124" s="157"/>
      <c r="G1124" s="157"/>
      <c r="H1124" s="157"/>
      <c r="I1124" s="157"/>
      <c r="J1124" s="1947"/>
      <c r="K1124" s="1232"/>
      <c r="L1124" s="768"/>
      <c r="M1124" s="157"/>
      <c r="N1124" s="157"/>
      <c r="AK1124" s="982"/>
    </row>
    <row r="1125" spans="1:37" outlineLevel="1" x14ac:dyDescent="0.25">
      <c r="B1125" s="157"/>
      <c r="C1125" s="385"/>
      <c r="D1125" s="386"/>
      <c r="E1125" s="386"/>
      <c r="F1125" s="157"/>
      <c r="G1125" s="157"/>
      <c r="H1125" s="157"/>
      <c r="I1125" s="157"/>
      <c r="J1125" s="1947"/>
      <c r="K1125" s="1232"/>
      <c r="L1125" s="768"/>
      <c r="M1125" s="157"/>
      <c r="N1125" s="157"/>
      <c r="AK1125" s="982"/>
    </row>
    <row r="1126" spans="1:37" outlineLevel="1" x14ac:dyDescent="0.25">
      <c r="A1126" s="157"/>
      <c r="B1126" s="157"/>
      <c r="C1126" s="1233"/>
      <c r="D1126" s="1234" t="s">
        <v>573</v>
      </c>
      <c r="E1126" s="1234" t="s">
        <v>71</v>
      </c>
      <c r="F1126" s="3966" t="s">
        <v>574</v>
      </c>
      <c r="G1126" s="3469"/>
      <c r="H1126" s="3966" t="s">
        <v>575</v>
      </c>
      <c r="I1126" s="3469"/>
      <c r="J1126" s="157"/>
      <c r="K1126" s="157"/>
      <c r="L1126" s="157"/>
      <c r="M1126" s="157"/>
      <c r="N1126" s="157"/>
      <c r="V1126" s="55" t="s">
        <v>27</v>
      </c>
      <c r="W1126" s="56">
        <f>$W$6</f>
        <v>43252</v>
      </c>
      <c r="X1126" s="56">
        <f>$X$6</f>
        <v>43465</v>
      </c>
      <c r="Y1126" s="420">
        <f>$Y$6</f>
        <v>43800</v>
      </c>
      <c r="Z1126" s="56">
        <f>$Z$6</f>
        <v>43862</v>
      </c>
      <c r="AA1126" s="56">
        <f>$AA$6</f>
        <v>44013</v>
      </c>
      <c r="AB1126" s="56">
        <f>$AB$6</f>
        <v>44166</v>
      </c>
      <c r="AC1126" s="56" t="str">
        <f>$AC$6</f>
        <v>-</v>
      </c>
      <c r="AD1126" s="56" t="str">
        <f>$AD$6</f>
        <v>-</v>
      </c>
      <c r="AE1126" s="56" t="str">
        <f>$AE$6</f>
        <v>-</v>
      </c>
      <c r="AF1126" s="56" t="str">
        <f>$AF$6</f>
        <v>-</v>
      </c>
      <c r="AG1126" s="56" t="str">
        <f>$AG$6</f>
        <v>-</v>
      </c>
      <c r="AK1126" s="982"/>
    </row>
    <row r="1127" spans="1:37" ht="15" customHeight="1" outlineLevel="1" x14ac:dyDescent="0.25">
      <c r="A1127" s="157"/>
      <c r="B1127" s="157"/>
      <c r="C1127" s="1233"/>
      <c r="D1127" s="3811" t="s">
        <v>3638</v>
      </c>
      <c r="E1127" s="3076" t="str">
        <f>E1093</f>
        <v>LED - 10.5W Downlight E26 (EISA baseline) LI DI</v>
      </c>
      <c r="F1127" s="89">
        <v>43</v>
      </c>
      <c r="G1127" s="1248"/>
      <c r="H1127" s="3371" t="s">
        <v>1193</v>
      </c>
      <c r="I1127" s="3819"/>
      <c r="J1127" s="157"/>
      <c r="K1127" s="157"/>
      <c r="L1127" s="157"/>
      <c r="M1127" s="157"/>
      <c r="N1127" s="157"/>
      <c r="U1127" s="3982" t="s">
        <v>3638</v>
      </c>
      <c r="V1127" s="996" t="s">
        <v>1969</v>
      </c>
      <c r="W1127" s="1237">
        <v>43</v>
      </c>
      <c r="X1127" s="426">
        <v>43</v>
      </c>
      <c r="Y1127" s="89">
        <v>43</v>
      </c>
      <c r="Z1127" s="89">
        <v>43</v>
      </c>
      <c r="AA1127" s="89">
        <v>43</v>
      </c>
      <c r="AB1127" s="89">
        <v>43</v>
      </c>
      <c r="AC1127" s="626"/>
      <c r="AD1127" s="626"/>
      <c r="AE1127" s="626"/>
      <c r="AF1127" s="626"/>
      <c r="AG1127" s="626"/>
      <c r="AK1127" s="982"/>
    </row>
    <row r="1128" spans="1:37" ht="15" customHeight="1" outlineLevel="1" x14ac:dyDescent="0.25">
      <c r="A1128" s="157"/>
      <c r="B1128" s="157"/>
      <c r="C1128" s="1233"/>
      <c r="D1128" s="3809"/>
      <c r="E1128" s="3076" t="str">
        <f>E1094</f>
        <v>LED - 10W (Halogen baseline) (750-1049 lumens) LIDI</v>
      </c>
      <c r="F1128" s="89">
        <v>43</v>
      </c>
      <c r="G1128" s="1248"/>
      <c r="H1128" s="3371" t="s">
        <v>3618</v>
      </c>
      <c r="I1128" s="3819"/>
      <c r="J1128" s="157"/>
      <c r="K1128" s="157"/>
      <c r="L1128" s="157"/>
      <c r="M1128" s="157"/>
      <c r="N1128" s="157"/>
      <c r="U1128" s="3983"/>
      <c r="V1128" s="996" t="s">
        <v>3630</v>
      </c>
      <c r="W1128" s="1237">
        <v>41.32</v>
      </c>
      <c r="X1128" s="1237">
        <v>41.32</v>
      </c>
      <c r="Y1128" s="1238">
        <v>41.32</v>
      </c>
      <c r="Z1128" s="1238">
        <v>41.32</v>
      </c>
      <c r="AA1128" s="1238">
        <v>41.32</v>
      </c>
      <c r="AB1128" s="621">
        <v>43</v>
      </c>
      <c r="AC1128" s="1001"/>
      <c r="AD1128" s="1001"/>
      <c r="AE1128" s="1001"/>
      <c r="AF1128" s="1001"/>
      <c r="AG1128" s="1001"/>
      <c r="AK1128" s="982"/>
    </row>
    <row r="1129" spans="1:37" outlineLevel="1" x14ac:dyDescent="0.25">
      <c r="A1129" s="157"/>
      <c r="B1129" s="157"/>
      <c r="C1129" s="1233"/>
      <c r="D1129" s="3809"/>
      <c r="E1129" s="3076" t="str">
        <f>E1095</f>
        <v>LED - 12W (Halogen baseline) LI DI</v>
      </c>
      <c r="F1129" s="89">
        <v>44.25</v>
      </c>
      <c r="G1129" s="1248"/>
      <c r="H1129" s="3371" t="s">
        <v>1193</v>
      </c>
      <c r="I1129" s="3819"/>
      <c r="J1129" s="157"/>
      <c r="K1129" s="157"/>
      <c r="L1129" s="157"/>
      <c r="M1129" s="157"/>
      <c r="N1129" s="157"/>
      <c r="U1129" s="3983"/>
      <c r="V1129" s="996" t="s">
        <v>1972</v>
      </c>
      <c r="W1129" s="1237">
        <v>53</v>
      </c>
      <c r="X1129" s="426">
        <v>44.25</v>
      </c>
      <c r="Y1129" s="1238">
        <v>44.25</v>
      </c>
      <c r="Z1129" s="1238">
        <v>44.25</v>
      </c>
      <c r="AA1129" s="1238">
        <v>44.25</v>
      </c>
      <c r="AB1129" s="89">
        <v>44.25</v>
      </c>
      <c r="AC1129" s="1001"/>
      <c r="AD1129" s="1001"/>
      <c r="AE1129" s="1001"/>
      <c r="AF1129" s="1001"/>
      <c r="AG1129" s="1001"/>
      <c r="AK1129" s="982"/>
    </row>
    <row r="1130" spans="1:37" ht="15" customHeight="1" outlineLevel="1" x14ac:dyDescent="0.25">
      <c r="A1130" s="157"/>
      <c r="B1130" s="157"/>
      <c r="C1130" s="1233"/>
      <c r="D1130" s="3809"/>
      <c r="E1130" s="3076" t="str">
        <f>E1096</f>
        <v>LED - 12W Dimmable Light Bulb (Replacing Specialty Incandescent) LI DI</v>
      </c>
      <c r="F1130" s="89">
        <v>53</v>
      </c>
      <c r="G1130" s="1248"/>
      <c r="H1130" s="3371" t="s">
        <v>1193</v>
      </c>
      <c r="I1130" s="3819"/>
      <c r="J1130" s="157"/>
      <c r="K1130" s="157"/>
      <c r="L1130" s="157"/>
      <c r="M1130" s="157"/>
      <c r="N1130" s="157"/>
      <c r="U1130" s="3983"/>
      <c r="V1130" s="996" t="s">
        <v>543</v>
      </c>
      <c r="W1130" s="1237">
        <v>76.25</v>
      </c>
      <c r="X1130" s="1239">
        <v>76.25</v>
      </c>
      <c r="Y1130" s="621">
        <v>53</v>
      </c>
      <c r="Z1130" s="89">
        <v>53</v>
      </c>
      <c r="AA1130" s="89">
        <v>53</v>
      </c>
      <c r="AB1130" s="89">
        <v>53</v>
      </c>
      <c r="AC1130" s="1001"/>
      <c r="AD1130" s="1001"/>
      <c r="AE1130" s="1001"/>
      <c r="AF1130" s="1001"/>
      <c r="AG1130" s="1001"/>
      <c r="AK1130" s="982"/>
    </row>
    <row r="1131" spans="1:37" ht="15" customHeight="1" outlineLevel="1" x14ac:dyDescent="0.25">
      <c r="A1131" s="157"/>
      <c r="B1131" s="157"/>
      <c r="C1131" s="1233"/>
      <c r="D1131" s="3809"/>
      <c r="E1131" s="3076" t="str">
        <f>E1097</f>
        <v>LED - 15W (Halogen baseline) (1050-1489 lumens) LIDI</v>
      </c>
      <c r="F1131" s="89">
        <v>53</v>
      </c>
      <c r="G1131" s="1248"/>
      <c r="H1131" s="3371" t="s">
        <v>2000</v>
      </c>
      <c r="I1131" s="3819"/>
      <c r="J1131" s="157"/>
      <c r="K1131" s="157"/>
      <c r="L1131" s="157"/>
      <c r="M1131" s="157"/>
      <c r="N1131" s="157"/>
      <c r="U1131" s="3983"/>
      <c r="V1131" s="996" t="s">
        <v>3631</v>
      </c>
      <c r="W1131" s="85">
        <v>53</v>
      </c>
      <c r="X1131" s="85">
        <v>53</v>
      </c>
      <c r="Y1131" s="1240">
        <v>53</v>
      </c>
      <c r="Z1131" s="1238">
        <v>53</v>
      </c>
      <c r="AA1131" s="1238">
        <v>53</v>
      </c>
      <c r="AB1131" s="89">
        <v>53</v>
      </c>
      <c r="AC1131" s="1001"/>
      <c r="AD1131" s="1001"/>
      <c r="AE1131" s="1001"/>
      <c r="AF1131" s="1001"/>
      <c r="AG1131" s="1001"/>
      <c r="AK1131" s="982"/>
    </row>
    <row r="1132" spans="1:37" ht="15" customHeight="1" outlineLevel="1" x14ac:dyDescent="0.25">
      <c r="A1132" s="157"/>
      <c r="B1132" s="157"/>
      <c r="C1132" s="1233"/>
      <c r="D1132" s="3809"/>
      <c r="E1132" s="3076" t="str">
        <f t="shared" ref="E1132" si="153">E1099</f>
        <v>LED - 15W Flood Light PAR30 Bulb (Halogen baseline) LI DI</v>
      </c>
      <c r="F1132" s="89">
        <v>55</v>
      </c>
      <c r="G1132" s="1248"/>
      <c r="H1132" s="3371" t="s">
        <v>1193</v>
      </c>
      <c r="I1132" s="3819"/>
      <c r="J1132" s="157"/>
      <c r="K1132" s="157"/>
      <c r="L1132" s="157"/>
      <c r="M1132" s="157"/>
      <c r="N1132" s="157"/>
      <c r="U1132" s="3983"/>
      <c r="V1132" s="996" t="s">
        <v>1976</v>
      </c>
      <c r="W1132" s="1237">
        <v>62.1</v>
      </c>
      <c r="X1132" s="426">
        <v>55</v>
      </c>
      <c r="Y1132" s="89">
        <v>55</v>
      </c>
      <c r="Z1132" s="89">
        <v>55</v>
      </c>
      <c r="AA1132" s="89">
        <v>55</v>
      </c>
      <c r="AB1132" s="89">
        <v>55</v>
      </c>
      <c r="AC1132" s="1001"/>
      <c r="AD1132" s="1001"/>
      <c r="AE1132" s="1001"/>
      <c r="AF1132" s="1001"/>
      <c r="AG1132" s="1001"/>
      <c r="AK1132" s="982"/>
    </row>
    <row r="1133" spans="1:37" ht="15" customHeight="1" outlineLevel="1" x14ac:dyDescent="0.25">
      <c r="A1133" s="157"/>
      <c r="B1133" s="157"/>
      <c r="C1133" s="1233"/>
      <c r="D1133" s="3809"/>
      <c r="E1133" s="3076" t="s">
        <v>3621</v>
      </c>
      <c r="F1133" s="89">
        <v>65</v>
      </c>
      <c r="G1133" s="1248"/>
      <c r="H1133" s="3371" t="s">
        <v>3625</v>
      </c>
      <c r="I1133" s="3371"/>
      <c r="J1133" s="157"/>
      <c r="K1133" s="157"/>
      <c r="L1133" s="157"/>
      <c r="M1133" s="157"/>
      <c r="N1133" s="157"/>
      <c r="U1133" s="3983"/>
      <c r="V1133" s="2760" t="s">
        <v>3621</v>
      </c>
      <c r="W1133" s="1237"/>
      <c r="X1133" s="426"/>
      <c r="Y1133" s="89"/>
      <c r="Z1133" s="89"/>
      <c r="AA1133" s="89"/>
      <c r="AB1133" s="621">
        <v>65</v>
      </c>
      <c r="AC1133" s="1001"/>
      <c r="AD1133" s="1001"/>
      <c r="AE1133" s="1001"/>
      <c r="AF1133" s="1001"/>
      <c r="AG1133" s="1001"/>
      <c r="AK1133" s="982"/>
    </row>
    <row r="1134" spans="1:37" ht="15" customHeight="1" outlineLevel="1" x14ac:dyDescent="0.25">
      <c r="A1134" s="157"/>
      <c r="B1134" s="157"/>
      <c r="C1134" s="1233"/>
      <c r="D1134" s="3809"/>
      <c r="E1134" s="3076" t="str">
        <f t="shared" ref="E1134:E1144" si="154">E1100</f>
        <v>LED - 18W Flood Light PAR38 Bulb (Halogen baseline) LI DI</v>
      </c>
      <c r="F1134" s="89">
        <v>70</v>
      </c>
      <c r="G1134" s="1248"/>
      <c r="H1134" s="3371" t="s">
        <v>2001</v>
      </c>
      <c r="I1134" s="3819"/>
      <c r="J1134" s="157"/>
      <c r="K1134" s="157"/>
      <c r="L1134" s="157"/>
      <c r="M1134" s="157"/>
      <c r="N1134" s="157"/>
      <c r="U1134" s="3983"/>
      <c r="V1134" s="996" t="s">
        <v>1978</v>
      </c>
      <c r="W1134" s="1237">
        <v>100</v>
      </c>
      <c r="X1134" s="426">
        <v>70</v>
      </c>
      <c r="Y1134" s="1238">
        <v>70</v>
      </c>
      <c r="Z1134" s="1238">
        <v>70</v>
      </c>
      <c r="AA1134" s="1238">
        <v>70</v>
      </c>
      <c r="AB1134" s="89">
        <v>70</v>
      </c>
      <c r="AC1134" s="1001"/>
      <c r="AD1134" s="1001"/>
      <c r="AE1134" s="1001"/>
      <c r="AF1134" s="1001"/>
      <c r="AG1134" s="1001"/>
      <c r="AK1134" s="982"/>
    </row>
    <row r="1135" spans="1:37" ht="15" customHeight="1" outlineLevel="1" x14ac:dyDescent="0.25">
      <c r="A1135" s="157"/>
      <c r="B1135" s="157"/>
      <c r="C1135" s="1233"/>
      <c r="D1135" s="3809"/>
      <c r="E1135" s="3076" t="str">
        <f t="shared" si="154"/>
        <v>LED - 20W (Halogen baseline) (1490-2600 lumens) LIDI</v>
      </c>
      <c r="F1135" s="89">
        <v>72</v>
      </c>
      <c r="G1135" s="1248"/>
      <c r="H1135" s="3371" t="s">
        <v>2000</v>
      </c>
      <c r="I1135" s="3819"/>
      <c r="J1135" s="157"/>
      <c r="K1135" s="157"/>
      <c r="L1135" s="157"/>
      <c r="M1135" s="157"/>
      <c r="N1135" s="157"/>
      <c r="U1135" s="3983"/>
      <c r="V1135" s="996" t="s">
        <v>3632</v>
      </c>
      <c r="W1135" s="1237">
        <v>72</v>
      </c>
      <c r="X1135" s="1237">
        <v>72</v>
      </c>
      <c r="Y1135" s="1238">
        <v>72</v>
      </c>
      <c r="Z1135" s="1238">
        <v>72</v>
      </c>
      <c r="AA1135" s="1238">
        <v>72</v>
      </c>
      <c r="AB1135" s="89">
        <v>72</v>
      </c>
      <c r="AC1135" s="1001"/>
      <c r="AD1135" s="1001"/>
      <c r="AE1135" s="1001"/>
      <c r="AF1135" s="1001"/>
      <c r="AG1135" s="1001"/>
      <c r="AK1135" s="982"/>
    </row>
    <row r="1136" spans="1:37" ht="15" customHeight="1" outlineLevel="1" x14ac:dyDescent="0.25">
      <c r="A1136" s="157"/>
      <c r="B1136" s="157"/>
      <c r="C1136" s="1233"/>
      <c r="D1136" s="3809"/>
      <c r="E1136" s="3076" t="str">
        <f t="shared" si="154"/>
        <v>LED - 4W Candelabra (Replacing Specialty Incandescent) LI DI</v>
      </c>
      <c r="F1136" s="89">
        <v>40.409999999999997</v>
      </c>
      <c r="G1136" s="1248"/>
      <c r="H1136" s="3371" t="s">
        <v>582</v>
      </c>
      <c r="I1136" s="3819"/>
      <c r="J1136" s="157"/>
      <c r="K1136" s="157"/>
      <c r="L1136" s="157"/>
      <c r="M1136" s="157"/>
      <c r="N1136" s="157"/>
      <c r="U1136" s="3983"/>
      <c r="V1136" s="996" t="s">
        <v>1981</v>
      </c>
      <c r="W1136" s="1239">
        <v>40.409999999999997</v>
      </c>
      <c r="X1136" s="1239">
        <v>40.409999999999997</v>
      </c>
      <c r="Y1136" s="1238">
        <v>40.409999999999997</v>
      </c>
      <c r="Z1136" s="1238">
        <v>40.409999999999997</v>
      </c>
      <c r="AA1136" s="1238">
        <v>40.409999999999997</v>
      </c>
      <c r="AB1136" s="89">
        <v>40.409999999999997</v>
      </c>
      <c r="AC1136" s="1001"/>
      <c r="AD1136" s="1001"/>
      <c r="AE1136" s="1001"/>
      <c r="AF1136" s="1001"/>
      <c r="AG1136" s="1001"/>
      <c r="AK1136" s="982"/>
    </row>
    <row r="1137" spans="1:37" outlineLevel="1" x14ac:dyDescent="0.25">
      <c r="A1137" s="157"/>
      <c r="B1137" s="157"/>
      <c r="C1137" s="1233"/>
      <c r="D1137" s="3809"/>
      <c r="E1137" s="3076" t="str">
        <f t="shared" si="154"/>
        <v>LED - 4W Candelabra (CFL baseline) LIDI</v>
      </c>
      <c r="F1137" s="89">
        <v>9</v>
      </c>
      <c r="G1137" s="1248"/>
      <c r="H1137" s="3371" t="s">
        <v>584</v>
      </c>
      <c r="I1137" s="3819"/>
      <c r="J1137" s="157"/>
      <c r="K1137" s="157"/>
      <c r="L1137" s="157"/>
      <c r="M1137" s="157"/>
      <c r="N1137" s="157"/>
      <c r="U1137" s="3983"/>
      <c r="V1137" s="996" t="s">
        <v>1983</v>
      </c>
      <c r="W1137" s="1239">
        <v>9</v>
      </c>
      <c r="X1137" s="1239">
        <v>9</v>
      </c>
      <c r="Y1137" s="1238">
        <v>9</v>
      </c>
      <c r="Z1137" s="1238">
        <v>9</v>
      </c>
      <c r="AA1137" s="1238">
        <v>9</v>
      </c>
      <c r="AB1137" s="89">
        <v>9</v>
      </c>
      <c r="AC1137" s="1001"/>
      <c r="AD1137" s="1001"/>
      <c r="AE1137" s="1001"/>
      <c r="AF1137" s="1001"/>
      <c r="AG1137" s="1001"/>
      <c r="AK1137" s="982"/>
    </row>
    <row r="1138" spans="1:37" outlineLevel="1" x14ac:dyDescent="0.25">
      <c r="A1138" s="157"/>
      <c r="B1138" s="157"/>
      <c r="C1138" s="1233"/>
      <c r="D1138" s="3809"/>
      <c r="E1138" s="3076" t="str">
        <f t="shared" si="154"/>
        <v>LED - 8W Globe Light G25 Bulb (Replacing Specialty Incandescent) LI DI</v>
      </c>
      <c r="F1138" s="89">
        <v>29</v>
      </c>
      <c r="G1138" s="1248"/>
      <c r="H1138" s="3371" t="s">
        <v>1193</v>
      </c>
      <c r="I1138" s="3819"/>
      <c r="J1138" s="157"/>
      <c r="K1138" s="157"/>
      <c r="L1138" s="157"/>
      <c r="M1138" s="157"/>
      <c r="N1138" s="157"/>
      <c r="U1138" s="3983"/>
      <c r="V1138" s="996" t="s">
        <v>1985</v>
      </c>
      <c r="W1138" s="1239">
        <v>42.04</v>
      </c>
      <c r="X1138" s="426">
        <v>29</v>
      </c>
      <c r="Y1138" s="89">
        <v>29</v>
      </c>
      <c r="Z1138" s="89">
        <v>29</v>
      </c>
      <c r="AA1138" s="89">
        <v>29</v>
      </c>
      <c r="AB1138" s="89">
        <v>29</v>
      </c>
      <c r="AC1138" s="1001"/>
      <c r="AD1138" s="1001"/>
      <c r="AE1138" s="1001"/>
      <c r="AF1138" s="1001"/>
      <c r="AG1138" s="1001"/>
      <c r="AK1138" s="982"/>
    </row>
    <row r="1139" spans="1:37" ht="15" customHeight="1" outlineLevel="1" x14ac:dyDescent="0.25">
      <c r="A1139" s="157"/>
      <c r="B1139" s="157"/>
      <c r="C1139" s="1233"/>
      <c r="D1139" s="3809"/>
      <c r="E1139" s="3076" t="str">
        <f t="shared" si="154"/>
        <v>LED - 8W Globe Light G25 Bulb (Replacing CFL) LIDI</v>
      </c>
      <c r="F1139" s="89">
        <v>11</v>
      </c>
      <c r="G1139" s="1248"/>
      <c r="H1139" s="3371" t="s">
        <v>585</v>
      </c>
      <c r="I1139" s="3819"/>
      <c r="J1139" s="157"/>
      <c r="K1139" s="157"/>
      <c r="L1139" s="157"/>
      <c r="M1139" s="157"/>
      <c r="N1139" s="157"/>
      <c r="U1139" s="3983"/>
      <c r="V1139" s="996" t="s">
        <v>1987</v>
      </c>
      <c r="W1139" s="1239">
        <v>11</v>
      </c>
      <c r="X1139" s="1239">
        <v>11</v>
      </c>
      <c r="Y1139" s="1238">
        <v>11</v>
      </c>
      <c r="Z1139" s="1238">
        <v>11</v>
      </c>
      <c r="AA1139" s="1238">
        <v>11</v>
      </c>
      <c r="AB1139" s="89">
        <v>11</v>
      </c>
      <c r="AC1139" s="1001"/>
      <c r="AD1139" s="1001"/>
      <c r="AE1139" s="1001"/>
      <c r="AF1139" s="1001"/>
      <c r="AG1139" s="1001"/>
      <c r="AK1139" s="982"/>
    </row>
    <row r="1140" spans="1:37" ht="15" customHeight="1" outlineLevel="1" x14ac:dyDescent="0.25">
      <c r="A1140" s="157"/>
      <c r="B1140" s="157"/>
      <c r="C1140" s="1233"/>
      <c r="D1140" s="3809"/>
      <c r="E1140" s="3076" t="str">
        <f t="shared" si="154"/>
        <v>LED - 10W (CFL baseline) (750-1049 lumens) LIDI</v>
      </c>
      <c r="F1140" s="89">
        <v>13.4</v>
      </c>
      <c r="G1140" s="1248"/>
      <c r="H1140" s="3371" t="s">
        <v>579</v>
      </c>
      <c r="I1140" s="3819"/>
      <c r="J1140" s="157"/>
      <c r="K1140" s="157"/>
      <c r="L1140" s="157"/>
      <c r="M1140" s="157"/>
      <c r="N1140" s="157"/>
      <c r="U1140" s="3983"/>
      <c r="V1140" s="996" t="s">
        <v>3633</v>
      </c>
      <c r="W1140" s="1239">
        <v>13.4</v>
      </c>
      <c r="X1140" s="1239">
        <v>13.4</v>
      </c>
      <c r="Y1140" s="1238">
        <v>13.4</v>
      </c>
      <c r="Z1140" s="1238">
        <v>13.4</v>
      </c>
      <c r="AA1140" s="1238">
        <v>13.4</v>
      </c>
      <c r="AB1140" s="89">
        <v>13.4</v>
      </c>
      <c r="AC1140" s="1001"/>
      <c r="AD1140" s="1001"/>
      <c r="AE1140" s="1001"/>
      <c r="AF1140" s="1001"/>
      <c r="AG1140" s="1001"/>
      <c r="AK1140" s="982"/>
    </row>
    <row r="1141" spans="1:37" outlineLevel="1" x14ac:dyDescent="0.25">
      <c r="A1141" s="157"/>
      <c r="B1141" s="157"/>
      <c r="C1141" s="1233"/>
      <c r="D1141" s="3809"/>
      <c r="E1141" s="3076" t="str">
        <f t="shared" si="154"/>
        <v>LED - 10.5W Downlight E26 (CFL baseline) LIDI</v>
      </c>
      <c r="F1141" s="89">
        <v>21</v>
      </c>
      <c r="G1141" s="1248"/>
      <c r="H1141" s="3371"/>
      <c r="I1141" s="3819"/>
      <c r="J1141" s="157"/>
      <c r="K1141" s="157"/>
      <c r="L1141" s="157"/>
      <c r="M1141" s="157"/>
      <c r="N1141" s="157"/>
      <c r="U1141" s="3983"/>
      <c r="V1141" s="996" t="s">
        <v>1990</v>
      </c>
      <c r="W1141" s="1239">
        <v>21</v>
      </c>
      <c r="X1141" s="1239">
        <v>21</v>
      </c>
      <c r="Y1141" s="1238">
        <v>21</v>
      </c>
      <c r="Z1141" s="1238">
        <v>21</v>
      </c>
      <c r="AA1141" s="1238">
        <v>21</v>
      </c>
      <c r="AB1141" s="89">
        <v>21</v>
      </c>
      <c r="AC1141" s="1001"/>
      <c r="AD1141" s="1001"/>
      <c r="AE1141" s="1001"/>
      <c r="AF1141" s="1001"/>
      <c r="AG1141" s="1001"/>
      <c r="AK1141" s="982"/>
    </row>
    <row r="1142" spans="1:37" outlineLevel="1" x14ac:dyDescent="0.25">
      <c r="A1142" s="157"/>
      <c r="B1142" s="157"/>
      <c r="C1142" s="1233"/>
      <c r="D1142" s="3809"/>
      <c r="E1142" s="3076" t="str">
        <f t="shared" si="154"/>
        <v>LED - 12W Dimmable Light Bulb (Replacing CFL) LIDI</v>
      </c>
      <c r="F1142" s="89">
        <v>18</v>
      </c>
      <c r="G1142" s="1248"/>
      <c r="H1142" s="3371"/>
      <c r="I1142" s="3819"/>
      <c r="J1142" s="157"/>
      <c r="K1142" s="157"/>
      <c r="L1142" s="157"/>
      <c r="M1142" s="157"/>
      <c r="N1142" s="157"/>
      <c r="U1142" s="3983"/>
      <c r="V1142" s="996" t="s">
        <v>1992</v>
      </c>
      <c r="W1142" s="1239">
        <v>18</v>
      </c>
      <c r="X1142" s="1239">
        <v>18</v>
      </c>
      <c r="Y1142" s="1238">
        <v>18</v>
      </c>
      <c r="Z1142" s="1238">
        <v>18</v>
      </c>
      <c r="AA1142" s="1238">
        <v>18</v>
      </c>
      <c r="AB1142" s="89">
        <v>18</v>
      </c>
      <c r="AC1142" s="1001"/>
      <c r="AD1142" s="1001"/>
      <c r="AE1142" s="1001"/>
      <c r="AF1142" s="1001"/>
      <c r="AG1142" s="1001"/>
      <c r="AK1142" s="982"/>
    </row>
    <row r="1143" spans="1:37" outlineLevel="1" x14ac:dyDescent="0.25">
      <c r="A1143" s="157"/>
      <c r="B1143" s="157"/>
      <c r="C1143" s="1233"/>
      <c r="D1143" s="3809"/>
      <c r="E1143" s="3076" t="str">
        <f t="shared" si="154"/>
        <v>LED - 12W (Replacing CFL) LIDI</v>
      </c>
      <c r="F1143" s="89">
        <v>18</v>
      </c>
      <c r="G1143" s="1248"/>
      <c r="H1143" s="3371"/>
      <c r="I1143" s="3819"/>
      <c r="J1143" s="157"/>
      <c r="K1143" s="157"/>
      <c r="L1143" s="157"/>
      <c r="M1143" s="157"/>
      <c r="N1143" s="157"/>
      <c r="U1143" s="3983"/>
      <c r="V1143" s="996" t="s">
        <v>1994</v>
      </c>
      <c r="W1143" s="1239">
        <v>18</v>
      </c>
      <c r="X1143" s="1239">
        <v>18</v>
      </c>
      <c r="Y1143" s="1238">
        <v>18</v>
      </c>
      <c r="Z1143" s="1238">
        <v>18</v>
      </c>
      <c r="AA1143" s="1238">
        <v>18</v>
      </c>
      <c r="AB1143" s="89">
        <v>18</v>
      </c>
      <c r="AC1143" s="1001"/>
      <c r="AD1143" s="1001"/>
      <c r="AE1143" s="1001"/>
      <c r="AF1143" s="1001"/>
      <c r="AG1143" s="1001"/>
      <c r="AK1143" s="982"/>
    </row>
    <row r="1144" spans="1:37" ht="15" customHeight="1" outlineLevel="1" x14ac:dyDescent="0.25">
      <c r="A1144" s="157"/>
      <c r="B1144" s="157"/>
      <c r="C1144" s="1233"/>
      <c r="D1144" s="3809"/>
      <c r="E1144" s="3076" t="str">
        <f t="shared" si="154"/>
        <v>LED - 15W (CFL baseline) (1050-1489 lumens) LIDI</v>
      </c>
      <c r="F1144" s="89">
        <v>18.899999999999999</v>
      </c>
      <c r="G1144" s="1248"/>
      <c r="H1144" s="3371" t="s">
        <v>580</v>
      </c>
      <c r="I1144" s="3819"/>
      <c r="J1144" s="157"/>
      <c r="K1144" s="157"/>
      <c r="L1144" s="157"/>
      <c r="M1144" s="157"/>
      <c r="N1144" s="157"/>
      <c r="U1144" s="3983"/>
      <c r="V1144" s="996" t="s">
        <v>3634</v>
      </c>
      <c r="W1144" s="1239">
        <v>18.899999999999999</v>
      </c>
      <c r="X1144" s="1239">
        <v>18.899999999999999</v>
      </c>
      <c r="Y1144" s="1238">
        <v>18.899999999999999</v>
      </c>
      <c r="Z1144" s="1238">
        <v>18.899999999999999</v>
      </c>
      <c r="AA1144" s="1238">
        <v>18.899999999999999</v>
      </c>
      <c r="AB1144" s="89">
        <v>18.899999999999999</v>
      </c>
      <c r="AC1144" s="1001"/>
      <c r="AD1144" s="1001"/>
      <c r="AE1144" s="1001"/>
      <c r="AF1144" s="1001"/>
      <c r="AG1144" s="1001"/>
      <c r="AK1144" s="982"/>
    </row>
    <row r="1145" spans="1:37" ht="15" customHeight="1" outlineLevel="1" x14ac:dyDescent="0.25">
      <c r="A1145" s="157"/>
      <c r="B1145" s="157"/>
      <c r="C1145" s="1233"/>
      <c r="D1145" s="3809"/>
      <c r="E1145" s="3076" t="s">
        <v>3620</v>
      </c>
      <c r="F1145" s="89">
        <v>18.888888888888889</v>
      </c>
      <c r="G1145" s="1248"/>
      <c r="H1145" s="3371" t="s">
        <v>3495</v>
      </c>
      <c r="I1145" s="3371"/>
      <c r="J1145" s="157"/>
      <c r="K1145" s="157"/>
      <c r="L1145" s="157"/>
      <c r="M1145" s="157"/>
      <c r="N1145" s="157"/>
      <c r="U1145" s="3983"/>
      <c r="V1145" s="2760" t="s">
        <v>3620</v>
      </c>
      <c r="W1145" s="1239"/>
      <c r="X1145" s="1239"/>
      <c r="Y1145" s="1238"/>
      <c r="Z1145" s="1238"/>
      <c r="AA1145" s="1238"/>
      <c r="AB1145" s="621">
        <v>18.888888888888889</v>
      </c>
      <c r="AC1145" s="1001"/>
      <c r="AD1145" s="1001"/>
      <c r="AE1145" s="1001"/>
      <c r="AF1145" s="1001"/>
      <c r="AG1145" s="1001"/>
      <c r="AK1145" s="982"/>
    </row>
    <row r="1146" spans="1:37" outlineLevel="1" x14ac:dyDescent="0.25">
      <c r="A1146" s="157"/>
      <c r="B1146" s="157"/>
      <c r="C1146" s="1233"/>
      <c r="D1146" s="3809"/>
      <c r="E1146" s="3076" t="str">
        <f>E1112</f>
        <v>LED - 15W Flood Light PAR30 Bulb (CFL baseline) LIDI</v>
      </c>
      <c r="F1146" s="89">
        <v>16</v>
      </c>
      <c r="G1146" s="1248"/>
      <c r="H1146" s="3371"/>
      <c r="I1146" s="3819"/>
      <c r="J1146" s="157"/>
      <c r="K1146" s="157"/>
      <c r="L1146" s="157"/>
      <c r="M1146" s="157"/>
      <c r="N1146" s="157"/>
      <c r="U1146" s="3983"/>
      <c r="V1146" s="996" t="s">
        <v>1997</v>
      </c>
      <c r="W1146" s="1239">
        <v>16</v>
      </c>
      <c r="X1146" s="1239">
        <v>16</v>
      </c>
      <c r="Y1146" s="1238">
        <v>16</v>
      </c>
      <c r="Z1146" s="1238">
        <v>16</v>
      </c>
      <c r="AA1146" s="1238">
        <v>16</v>
      </c>
      <c r="AB1146" s="89">
        <v>16</v>
      </c>
      <c r="AC1146" s="1001"/>
      <c r="AD1146" s="1001"/>
      <c r="AE1146" s="1001"/>
      <c r="AF1146" s="1001"/>
      <c r="AG1146" s="1001"/>
      <c r="AK1146" s="982"/>
    </row>
    <row r="1147" spans="1:37" ht="15" customHeight="1" outlineLevel="1" x14ac:dyDescent="0.25">
      <c r="A1147" s="157"/>
      <c r="B1147" s="157"/>
      <c r="C1147" s="1233"/>
      <c r="D1147" s="3809"/>
      <c r="E1147" s="3076" t="str">
        <f>E1113</f>
        <v>LED - 18W Flood Light PAR38 Bulb (CFL baseline) LIDI</v>
      </c>
      <c r="F1147" s="89">
        <v>23</v>
      </c>
      <c r="G1147" s="1248"/>
      <c r="H1147" s="3371" t="s">
        <v>581</v>
      </c>
      <c r="I1147" s="3819"/>
      <c r="J1147" s="157"/>
      <c r="K1147" s="157"/>
      <c r="L1147" s="157"/>
      <c r="M1147" s="157"/>
      <c r="N1147" s="157"/>
      <c r="U1147" s="3983"/>
      <c r="V1147" s="996" t="s">
        <v>3635</v>
      </c>
      <c r="W1147" s="1239">
        <v>23</v>
      </c>
      <c r="X1147" s="1241">
        <v>23</v>
      </c>
      <c r="Y1147" s="1242">
        <v>23</v>
      </c>
      <c r="Z1147" s="1242">
        <v>23</v>
      </c>
      <c r="AA1147" s="1242">
        <v>23</v>
      </c>
      <c r="AB1147" s="89">
        <v>23</v>
      </c>
      <c r="AC1147" s="1001"/>
      <c r="AD1147" s="1001"/>
      <c r="AE1147" s="1001"/>
      <c r="AF1147" s="1001"/>
      <c r="AG1147" s="1001"/>
      <c r="AK1147" s="982"/>
    </row>
    <row r="1148" spans="1:37" outlineLevel="1" x14ac:dyDescent="0.25">
      <c r="A1148" s="157"/>
      <c r="B1148" s="157"/>
      <c r="C1148" s="1233"/>
      <c r="D1148" s="3809"/>
      <c r="E1148" s="3076" t="str">
        <f>E1114</f>
        <v>LED - 20W (CFL baseline) (1490-2600 lumens) LIDI</v>
      </c>
      <c r="F1148" s="89">
        <v>24.8</v>
      </c>
      <c r="G1148" s="1248"/>
      <c r="H1148" s="3371"/>
      <c r="I1148" s="3819"/>
      <c r="J1148" s="157"/>
      <c r="K1148" s="157"/>
      <c r="L1148" s="157"/>
      <c r="M1148" s="157"/>
      <c r="N1148" s="157"/>
      <c r="U1148" s="3983"/>
      <c r="V1148" s="996" t="s">
        <v>3636</v>
      </c>
      <c r="W1148" s="1244">
        <v>24.8</v>
      </c>
      <c r="X1148" s="1244">
        <v>24.8</v>
      </c>
      <c r="Y1148" s="1238">
        <v>24.8</v>
      </c>
      <c r="Z1148" s="1238">
        <v>24.8</v>
      </c>
      <c r="AA1148" s="1238">
        <v>24.8</v>
      </c>
      <c r="AB1148" s="89">
        <v>24.8</v>
      </c>
      <c r="AC1148" s="1001"/>
      <c r="AD1148" s="1001"/>
      <c r="AE1148" s="1001"/>
      <c r="AF1148" s="1001"/>
      <c r="AG1148" s="1001"/>
      <c r="AK1148" s="982"/>
    </row>
    <row r="1149" spans="1:37" ht="15.75" outlineLevel="1" thickBot="1" x14ac:dyDescent="0.3">
      <c r="A1149" s="157"/>
      <c r="B1149" s="157"/>
      <c r="C1149" s="1233"/>
      <c r="D1149" s="3810"/>
      <c r="E1149" s="3278" t="s">
        <v>3619</v>
      </c>
      <c r="F1149" s="2812">
        <v>29</v>
      </c>
      <c r="G1149" s="3279"/>
      <c r="H1149" s="3816" t="s">
        <v>586</v>
      </c>
      <c r="I1149" s="3816"/>
      <c r="J1149" s="157"/>
      <c r="K1149" s="157"/>
      <c r="L1149" s="157"/>
      <c r="M1149" s="157"/>
      <c r="N1149" s="157"/>
      <c r="U1149" s="3984"/>
      <c r="V1149" s="2473" t="s">
        <v>3619</v>
      </c>
      <c r="W1149" s="2802"/>
      <c r="X1149" s="2802"/>
      <c r="Y1149" s="2803"/>
      <c r="Z1149" s="2803"/>
      <c r="AA1149" s="2803"/>
      <c r="AB1149" s="2474">
        <v>29</v>
      </c>
      <c r="AC1149" s="2804"/>
      <c r="AD1149" s="2804"/>
      <c r="AE1149" s="2804"/>
      <c r="AF1149" s="2804"/>
      <c r="AG1149" s="2804"/>
      <c r="AK1149" s="982"/>
    </row>
    <row r="1150" spans="1:37" outlineLevel="1" x14ac:dyDescent="0.25">
      <c r="A1150" s="157"/>
      <c r="B1150" s="157"/>
      <c r="C1150" s="1233"/>
      <c r="D1150" s="3808" t="s">
        <v>3637</v>
      </c>
      <c r="E1150" s="1418" t="str">
        <f>E1093</f>
        <v>LED - 10.5W Downlight E26 (EISA baseline) LI DI</v>
      </c>
      <c r="F1150" s="1245">
        <v>7</v>
      </c>
      <c r="G1150" s="1246"/>
      <c r="H1150" s="3967" t="s">
        <v>2002</v>
      </c>
      <c r="I1150" s="3968"/>
      <c r="J1150" s="157"/>
      <c r="K1150" s="157"/>
      <c r="L1150" s="157"/>
      <c r="M1150" s="157"/>
      <c r="N1150" s="157"/>
      <c r="U1150" s="3985" t="str">
        <f t="shared" ref="U1150:V1184" si="155">D1150</f>
        <v>Watt EE</v>
      </c>
      <c r="V1150" s="2806" t="s">
        <v>1969</v>
      </c>
      <c r="W1150" s="2807">
        <v>7</v>
      </c>
      <c r="X1150" s="2808">
        <v>9</v>
      </c>
      <c r="Y1150" s="2809">
        <v>7</v>
      </c>
      <c r="Z1150" s="2810">
        <v>7</v>
      </c>
      <c r="AA1150" s="2810">
        <v>7</v>
      </c>
      <c r="AB1150" s="1245">
        <v>7</v>
      </c>
      <c r="AC1150" s="2811"/>
      <c r="AD1150" s="2811"/>
      <c r="AE1150" s="2811"/>
      <c r="AF1150" s="2811"/>
      <c r="AG1150" s="2811"/>
      <c r="AK1150" s="982"/>
    </row>
    <row r="1151" spans="1:37" outlineLevel="1" x14ac:dyDescent="0.25">
      <c r="A1151" s="157"/>
      <c r="B1151" s="157"/>
      <c r="C1151" s="1233"/>
      <c r="D1151" s="3809"/>
      <c r="E1151" s="3076" t="str">
        <f>E1094</f>
        <v>LED - 10W (Halogen baseline) (750-1049 lumens) LIDI</v>
      </c>
      <c r="F1151" s="85">
        <v>9.1</v>
      </c>
      <c r="G1151" s="1236"/>
      <c r="H1151" s="3371" t="s">
        <v>2003</v>
      </c>
      <c r="I1151" s="3804"/>
      <c r="J1151" s="157"/>
      <c r="K1151" s="157"/>
      <c r="L1151" s="157"/>
      <c r="M1151" s="157"/>
      <c r="N1151" s="157"/>
      <c r="U1151" s="3983"/>
      <c r="V1151" s="996" t="s">
        <v>3630</v>
      </c>
      <c r="W1151" s="1237">
        <v>9.1</v>
      </c>
      <c r="X1151" s="1237">
        <v>9.1</v>
      </c>
      <c r="Y1151" s="1238">
        <v>9.1</v>
      </c>
      <c r="Z1151" s="1238">
        <v>9.1</v>
      </c>
      <c r="AA1151" s="1238">
        <v>9.1</v>
      </c>
      <c r="AB1151" s="85">
        <v>9.1</v>
      </c>
      <c r="AC1151" s="1001"/>
      <c r="AD1151" s="1001"/>
      <c r="AE1151" s="1001"/>
      <c r="AF1151" s="1001"/>
      <c r="AG1151" s="1001"/>
      <c r="AK1151" s="982"/>
    </row>
    <row r="1152" spans="1:37" outlineLevel="1" x14ac:dyDescent="0.25">
      <c r="A1152" s="157"/>
      <c r="B1152" s="157"/>
      <c r="C1152" s="1233"/>
      <c r="D1152" s="3809"/>
      <c r="E1152" s="3076" t="str">
        <f>E1095</f>
        <v>LED - 12W (Halogen baseline) LI DI</v>
      </c>
      <c r="F1152" s="1248">
        <v>9.23</v>
      </c>
      <c r="G1152" s="1236"/>
      <c r="H1152" s="3371" t="s">
        <v>2004</v>
      </c>
      <c r="I1152" s="3804"/>
      <c r="J1152" s="157"/>
      <c r="K1152" s="157"/>
      <c r="L1152" s="157"/>
      <c r="M1152" s="157"/>
      <c r="N1152" s="157"/>
      <c r="U1152" s="3983"/>
      <c r="V1152" s="996" t="s">
        <v>1972</v>
      </c>
      <c r="W1152" s="1237">
        <v>9.5</v>
      </c>
      <c r="X1152" s="426">
        <v>9.23</v>
      </c>
      <c r="Y1152" s="1238">
        <v>9.23</v>
      </c>
      <c r="Z1152" s="1238">
        <v>9.23</v>
      </c>
      <c r="AA1152" s="1238">
        <v>9.23</v>
      </c>
      <c r="AB1152" s="1248">
        <v>9.23</v>
      </c>
      <c r="AC1152" s="1001"/>
      <c r="AD1152" s="1001"/>
      <c r="AE1152" s="1001"/>
      <c r="AF1152" s="1001"/>
      <c r="AG1152" s="1001"/>
      <c r="AK1152" s="982"/>
    </row>
    <row r="1153" spans="1:37" outlineLevel="1" x14ac:dyDescent="0.25">
      <c r="A1153" s="157"/>
      <c r="B1153" s="157"/>
      <c r="C1153" s="1233"/>
      <c r="D1153" s="3809"/>
      <c r="E1153" s="3076" t="str">
        <f>E1096</f>
        <v>LED - 12W Dimmable Light Bulb (Replacing Specialty Incandescent) LI DI</v>
      </c>
      <c r="F1153" s="1248">
        <v>11</v>
      </c>
      <c r="G1153" s="1236"/>
      <c r="H1153" s="3371" t="s">
        <v>2002</v>
      </c>
      <c r="I1153" s="3804"/>
      <c r="J1153" s="157"/>
      <c r="K1153" s="157"/>
      <c r="L1153" s="157"/>
      <c r="M1153" s="157"/>
      <c r="N1153" s="157"/>
      <c r="U1153" s="3983"/>
      <c r="V1153" s="996" t="s">
        <v>543</v>
      </c>
      <c r="W1153" s="1237">
        <v>9.5</v>
      </c>
      <c r="X1153" s="426">
        <v>9.23</v>
      </c>
      <c r="Y1153" s="621">
        <v>11</v>
      </c>
      <c r="Z1153" s="89">
        <v>11</v>
      </c>
      <c r="AA1153" s="89">
        <v>11</v>
      </c>
      <c r="AB1153" s="1248">
        <v>11</v>
      </c>
      <c r="AC1153" s="1001"/>
      <c r="AD1153" s="1001"/>
      <c r="AE1153" s="1001"/>
      <c r="AF1153" s="1001"/>
      <c r="AG1153" s="1001"/>
      <c r="AK1153" s="982"/>
    </row>
    <row r="1154" spans="1:37" outlineLevel="1" x14ac:dyDescent="0.25">
      <c r="A1154" s="157"/>
      <c r="B1154" s="157"/>
      <c r="C1154" s="1233"/>
      <c r="D1154" s="3809"/>
      <c r="E1154" s="3076" t="str">
        <f>E1097</f>
        <v>LED - 15W (Halogen baseline) (1050-1489 lumens) LIDI</v>
      </c>
      <c r="F1154" s="85">
        <v>10.6</v>
      </c>
      <c r="G1154" s="1236"/>
      <c r="H1154" s="3371" t="s">
        <v>2003</v>
      </c>
      <c r="I1154" s="3804"/>
      <c r="J1154" s="157"/>
      <c r="K1154" s="157"/>
      <c r="L1154" s="157"/>
      <c r="M1154" s="157"/>
      <c r="N1154" s="157"/>
      <c r="U1154" s="3983"/>
      <c r="V1154" s="996" t="s">
        <v>3631</v>
      </c>
      <c r="W1154" s="1237">
        <v>10.6</v>
      </c>
      <c r="X1154" s="1237">
        <v>10.6</v>
      </c>
      <c r="Y1154" s="1237">
        <v>10.6</v>
      </c>
      <c r="Z1154" s="85">
        <v>10.6</v>
      </c>
      <c r="AA1154" s="85">
        <v>10.6</v>
      </c>
      <c r="AB1154" s="85">
        <v>10.6</v>
      </c>
      <c r="AC1154" s="1001"/>
      <c r="AD1154" s="1001"/>
      <c r="AE1154" s="1001"/>
      <c r="AF1154" s="1001"/>
      <c r="AG1154" s="1001"/>
      <c r="AK1154" s="982"/>
    </row>
    <row r="1155" spans="1:37" outlineLevel="1" x14ac:dyDescent="0.25">
      <c r="A1155" s="157"/>
      <c r="B1155" s="157"/>
      <c r="C1155" s="1233"/>
      <c r="D1155" s="3809"/>
      <c r="E1155" s="3076" t="s">
        <v>3621</v>
      </c>
      <c r="F1155" s="85">
        <v>11</v>
      </c>
      <c r="G1155" s="1236"/>
      <c r="H1155" s="3380" t="s">
        <v>3626</v>
      </c>
      <c r="I1155" s="3382"/>
      <c r="J1155" s="157"/>
      <c r="K1155" s="157"/>
      <c r="L1155" s="157"/>
      <c r="M1155" s="157"/>
      <c r="N1155" s="157"/>
      <c r="U1155" s="3983"/>
      <c r="V1155" s="2760" t="s">
        <v>1976</v>
      </c>
      <c r="W1155" s="1237"/>
      <c r="X1155" s="1237"/>
      <c r="Y1155" s="1237"/>
      <c r="Z1155" s="85"/>
      <c r="AA1155" s="85"/>
      <c r="AB1155" s="2298">
        <v>11</v>
      </c>
      <c r="AC1155" s="1001"/>
      <c r="AD1155" s="1001"/>
      <c r="AE1155" s="1001"/>
      <c r="AF1155" s="1001"/>
      <c r="AG1155" s="1001"/>
      <c r="AK1155" s="982"/>
    </row>
    <row r="1156" spans="1:37" outlineLevel="1" x14ac:dyDescent="0.25">
      <c r="A1156" s="157"/>
      <c r="B1156" s="157"/>
      <c r="C1156" s="1233"/>
      <c r="D1156" s="3809"/>
      <c r="E1156" s="3076" t="str">
        <f t="shared" ref="E1156:E1165" si="156">E1099</f>
        <v>LED - 15W Flood Light PAR30 Bulb (Halogen baseline) LI DI</v>
      </c>
      <c r="F1156" s="1248">
        <v>14</v>
      </c>
      <c r="G1156" s="1236"/>
      <c r="H1156" s="3371" t="s">
        <v>2002</v>
      </c>
      <c r="I1156" s="3804"/>
      <c r="J1156" s="157"/>
      <c r="K1156" s="157"/>
      <c r="L1156" s="157"/>
      <c r="M1156" s="157"/>
      <c r="N1156" s="157"/>
      <c r="U1156" s="3983"/>
      <c r="V1156" s="996" t="s">
        <v>3621</v>
      </c>
      <c r="W1156" s="1237">
        <v>11.2</v>
      </c>
      <c r="X1156" s="426">
        <v>14</v>
      </c>
      <c r="Y1156" s="89">
        <v>14</v>
      </c>
      <c r="Z1156" s="89">
        <v>14</v>
      </c>
      <c r="AA1156" s="89">
        <v>14</v>
      </c>
      <c r="AB1156" s="1248">
        <v>14</v>
      </c>
      <c r="AC1156" s="1001"/>
      <c r="AD1156" s="1001"/>
      <c r="AE1156" s="1001"/>
      <c r="AF1156" s="1001"/>
      <c r="AG1156" s="1001"/>
      <c r="AK1156" s="982"/>
    </row>
    <row r="1157" spans="1:37" outlineLevel="1" x14ac:dyDescent="0.25">
      <c r="A1157" s="157"/>
      <c r="B1157" s="157"/>
      <c r="C1157" s="1233"/>
      <c r="D1157" s="3809"/>
      <c r="E1157" s="3076" t="str">
        <f t="shared" si="156"/>
        <v>LED - 18W Flood Light PAR38 Bulb (Halogen baseline) LI DI</v>
      </c>
      <c r="F1157" s="1248">
        <v>17</v>
      </c>
      <c r="G1157" s="1236"/>
      <c r="H1157" s="3371" t="s">
        <v>2004</v>
      </c>
      <c r="I1157" s="3804"/>
      <c r="J1157" s="157"/>
      <c r="K1157" s="157"/>
      <c r="L1157" s="157"/>
      <c r="M1157" s="157"/>
      <c r="N1157" s="157"/>
      <c r="U1157" s="3983"/>
      <c r="V1157" s="996" t="s">
        <v>1978</v>
      </c>
      <c r="W1157" s="89">
        <v>18</v>
      </c>
      <c r="X1157" s="426">
        <v>17</v>
      </c>
      <c r="Y1157" s="1240">
        <v>17</v>
      </c>
      <c r="Z1157" s="1238">
        <v>17</v>
      </c>
      <c r="AA1157" s="1238">
        <v>17</v>
      </c>
      <c r="AB1157" s="1248">
        <v>17</v>
      </c>
      <c r="AC1157" s="1001"/>
      <c r="AD1157" s="1001"/>
      <c r="AE1157" s="1001"/>
      <c r="AF1157" s="1001"/>
      <c r="AG1157" s="1001"/>
      <c r="AK1157" s="982"/>
    </row>
    <row r="1158" spans="1:37" outlineLevel="1" x14ac:dyDescent="0.25">
      <c r="A1158" s="157"/>
      <c r="B1158" s="157"/>
      <c r="C1158" s="1233"/>
      <c r="D1158" s="3809"/>
      <c r="E1158" s="3076" t="str">
        <f t="shared" si="156"/>
        <v>LED - 20W (Halogen baseline) (1490-2600 lumens) LIDI</v>
      </c>
      <c r="F1158" s="89">
        <v>15</v>
      </c>
      <c r="G1158" s="1236"/>
      <c r="H1158" s="3371" t="s">
        <v>2003</v>
      </c>
      <c r="I1158" s="3804"/>
      <c r="J1158" s="157"/>
      <c r="K1158" s="157"/>
      <c r="L1158" s="157"/>
      <c r="M1158" s="157"/>
      <c r="N1158" s="157"/>
      <c r="U1158" s="3983"/>
      <c r="V1158" s="996" t="s">
        <v>3632</v>
      </c>
      <c r="W1158" s="89">
        <v>15</v>
      </c>
      <c r="X1158" s="89">
        <v>15</v>
      </c>
      <c r="Y1158" s="1240">
        <v>15</v>
      </c>
      <c r="Z1158" s="1238">
        <v>15</v>
      </c>
      <c r="AA1158" s="1238">
        <v>15</v>
      </c>
      <c r="AB1158" s="89">
        <v>15</v>
      </c>
      <c r="AC1158" s="1001"/>
      <c r="AD1158" s="1001"/>
      <c r="AE1158" s="1001"/>
      <c r="AF1158" s="1001"/>
      <c r="AG1158" s="1001"/>
      <c r="AK1158" s="982"/>
    </row>
    <row r="1159" spans="1:37" outlineLevel="1" x14ac:dyDescent="0.25">
      <c r="A1159" s="157"/>
      <c r="B1159" s="157"/>
      <c r="C1159" s="1233"/>
      <c r="D1159" s="3809"/>
      <c r="E1159" s="3076" t="str">
        <f t="shared" si="156"/>
        <v>LED - 4W Candelabra (Replacing Specialty Incandescent) LI DI</v>
      </c>
      <c r="F1159" s="89">
        <v>4.5</v>
      </c>
      <c r="G1159" s="1236"/>
      <c r="H1159" s="3371" t="s">
        <v>2003</v>
      </c>
      <c r="I1159" s="3804"/>
      <c r="J1159" s="157"/>
      <c r="K1159" s="157"/>
      <c r="L1159" s="157"/>
      <c r="M1159" s="157"/>
      <c r="N1159" s="157"/>
      <c r="U1159" s="3983"/>
      <c r="V1159" s="996" t="s">
        <v>1981</v>
      </c>
      <c r="W1159" s="89">
        <v>4.5</v>
      </c>
      <c r="X1159" s="89">
        <v>4.5</v>
      </c>
      <c r="Y1159" s="1240">
        <v>4.5</v>
      </c>
      <c r="Z1159" s="1238">
        <v>4.5</v>
      </c>
      <c r="AA1159" s="1238">
        <v>4.5</v>
      </c>
      <c r="AB1159" s="89">
        <v>4.5</v>
      </c>
      <c r="AC1159" s="1001"/>
      <c r="AD1159" s="1001"/>
      <c r="AE1159" s="1001"/>
      <c r="AF1159" s="1001"/>
      <c r="AG1159" s="1001"/>
      <c r="AK1159" s="982"/>
    </row>
    <row r="1160" spans="1:37" outlineLevel="1" x14ac:dyDescent="0.25">
      <c r="A1160" s="157"/>
      <c r="B1160" s="157"/>
      <c r="C1160" s="1233"/>
      <c r="D1160" s="3809"/>
      <c r="E1160" s="3076" t="str">
        <f t="shared" si="156"/>
        <v>LED - 4W Candelabra (CFL baseline) LIDI</v>
      </c>
      <c r="F1160" s="89">
        <v>4.5</v>
      </c>
      <c r="G1160" s="1236"/>
      <c r="H1160" s="3371" t="s">
        <v>2003</v>
      </c>
      <c r="I1160" s="3804"/>
      <c r="J1160" s="157"/>
      <c r="K1160" s="157"/>
      <c r="L1160" s="157"/>
      <c r="M1160" s="157"/>
      <c r="N1160" s="157"/>
      <c r="U1160" s="3983"/>
      <c r="V1160" s="996" t="s">
        <v>1983</v>
      </c>
      <c r="W1160" s="89">
        <v>4.5</v>
      </c>
      <c r="X1160" s="89">
        <v>4.5</v>
      </c>
      <c r="Y1160" s="1240">
        <v>4.5</v>
      </c>
      <c r="Z1160" s="1238">
        <v>4.5</v>
      </c>
      <c r="AA1160" s="1238">
        <v>4.5</v>
      </c>
      <c r="AB1160" s="89">
        <v>4.5</v>
      </c>
      <c r="AC1160" s="1001"/>
      <c r="AD1160" s="1001"/>
      <c r="AE1160" s="1001"/>
      <c r="AF1160" s="1001"/>
      <c r="AG1160" s="1001"/>
      <c r="AK1160" s="982"/>
    </row>
    <row r="1161" spans="1:37" outlineLevel="1" x14ac:dyDescent="0.25">
      <c r="A1161" s="157"/>
      <c r="B1161" s="157"/>
      <c r="C1161" s="1233"/>
      <c r="D1161" s="3809"/>
      <c r="E1161" s="3076" t="str">
        <f t="shared" si="156"/>
        <v>LED - 8W Globe Light G25 Bulb (Replacing Specialty Incandescent) LI DI</v>
      </c>
      <c r="F1161" s="1248">
        <v>7</v>
      </c>
      <c r="G1161" s="1236"/>
      <c r="H1161" s="3371" t="s">
        <v>2002</v>
      </c>
      <c r="I1161" s="3804"/>
      <c r="J1161" s="157"/>
      <c r="K1161" s="157"/>
      <c r="L1161" s="157"/>
      <c r="M1161" s="157"/>
      <c r="N1161" s="157"/>
      <c r="U1161" s="3983"/>
      <c r="V1161" s="996" t="s">
        <v>1985</v>
      </c>
      <c r="W1161" s="89">
        <v>5.9</v>
      </c>
      <c r="X1161" s="426">
        <v>8</v>
      </c>
      <c r="Y1161" s="621">
        <v>7</v>
      </c>
      <c r="Z1161" s="89">
        <v>7</v>
      </c>
      <c r="AA1161" s="89">
        <v>7</v>
      </c>
      <c r="AB1161" s="1248">
        <v>7</v>
      </c>
      <c r="AC1161" s="1001"/>
      <c r="AD1161" s="1001"/>
      <c r="AE1161" s="1001"/>
      <c r="AF1161" s="1001"/>
      <c r="AG1161" s="1001"/>
      <c r="AK1161" s="982"/>
    </row>
    <row r="1162" spans="1:37" outlineLevel="1" x14ac:dyDescent="0.25">
      <c r="A1162" s="157"/>
      <c r="B1162" s="157"/>
      <c r="C1162" s="1233"/>
      <c r="D1162" s="3809"/>
      <c r="E1162" s="3076" t="str">
        <f t="shared" si="156"/>
        <v>LED - 8W Globe Light G25 Bulb (Replacing CFL) LIDI</v>
      </c>
      <c r="F1162" s="1248">
        <v>7</v>
      </c>
      <c r="G1162" s="1236"/>
      <c r="H1162" s="3371" t="s">
        <v>2002</v>
      </c>
      <c r="I1162" s="3804"/>
      <c r="J1162" s="157"/>
      <c r="K1162" s="157"/>
      <c r="L1162" s="157"/>
      <c r="M1162" s="157"/>
      <c r="N1162" s="157"/>
      <c r="U1162" s="3983"/>
      <c r="V1162" s="996" t="s">
        <v>1987</v>
      </c>
      <c r="W1162" s="89">
        <v>5.8</v>
      </c>
      <c r="X1162" s="426">
        <v>8</v>
      </c>
      <c r="Y1162" s="621">
        <v>7</v>
      </c>
      <c r="Z1162" s="89">
        <v>7</v>
      </c>
      <c r="AA1162" s="89">
        <v>7</v>
      </c>
      <c r="AB1162" s="1248">
        <v>7</v>
      </c>
      <c r="AC1162" s="1001"/>
      <c r="AD1162" s="1001"/>
      <c r="AE1162" s="1001"/>
      <c r="AF1162" s="1001"/>
      <c r="AG1162" s="1001"/>
      <c r="AK1162" s="982"/>
    </row>
    <row r="1163" spans="1:37" outlineLevel="1" x14ac:dyDescent="0.25">
      <c r="A1163" s="157"/>
      <c r="B1163" s="157"/>
      <c r="C1163" s="1233"/>
      <c r="D1163" s="3809"/>
      <c r="E1163" s="3076" t="str">
        <f t="shared" si="156"/>
        <v>LED - 10W (CFL baseline) (750-1049 lumens) LIDI</v>
      </c>
      <c r="F1163" s="89">
        <v>9.1</v>
      </c>
      <c r="G1163" s="1236"/>
      <c r="H1163" s="3371" t="s">
        <v>2003</v>
      </c>
      <c r="I1163" s="3804"/>
      <c r="J1163" s="157"/>
      <c r="K1163" s="157"/>
      <c r="L1163" s="157"/>
      <c r="M1163" s="157"/>
      <c r="N1163" s="157"/>
      <c r="U1163" s="3983"/>
      <c r="V1163" s="996" t="s">
        <v>3633</v>
      </c>
      <c r="W1163" s="89">
        <v>9.1</v>
      </c>
      <c r="X1163" s="89">
        <v>9.1</v>
      </c>
      <c r="Y1163" s="89">
        <v>9.1</v>
      </c>
      <c r="Z1163" s="89">
        <v>9.1</v>
      </c>
      <c r="AA1163" s="89">
        <v>9.1</v>
      </c>
      <c r="AB1163" s="89">
        <v>9.1</v>
      </c>
      <c r="AC1163" s="1001"/>
      <c r="AD1163" s="1001"/>
      <c r="AE1163" s="1001"/>
      <c r="AF1163" s="1001"/>
      <c r="AG1163" s="1001"/>
      <c r="AK1163" s="982"/>
    </row>
    <row r="1164" spans="1:37" outlineLevel="1" x14ac:dyDescent="0.25">
      <c r="A1164" s="157"/>
      <c r="B1164" s="157"/>
      <c r="C1164" s="1233"/>
      <c r="D1164" s="3809"/>
      <c r="E1164" s="3076" t="str">
        <f t="shared" si="156"/>
        <v>LED - 10.5W Downlight E26 (CFL baseline) LIDI</v>
      </c>
      <c r="F1164" s="89">
        <v>8</v>
      </c>
      <c r="G1164" s="1236"/>
      <c r="H1164" s="3371" t="s">
        <v>2003</v>
      </c>
      <c r="I1164" s="3804"/>
      <c r="J1164" s="157"/>
      <c r="K1164" s="157"/>
      <c r="L1164" s="157"/>
      <c r="M1164" s="157"/>
      <c r="N1164" s="157"/>
      <c r="U1164" s="3983"/>
      <c r="V1164" s="996" t="s">
        <v>1990</v>
      </c>
      <c r="W1164" s="89">
        <v>8</v>
      </c>
      <c r="X1164" s="89">
        <v>8</v>
      </c>
      <c r="Y1164" s="89">
        <v>8</v>
      </c>
      <c r="Z1164" s="89">
        <v>8</v>
      </c>
      <c r="AA1164" s="89">
        <v>8</v>
      </c>
      <c r="AB1164" s="89">
        <v>8</v>
      </c>
      <c r="AC1164" s="1001"/>
      <c r="AD1164" s="1001"/>
      <c r="AE1164" s="1001"/>
      <c r="AF1164" s="1001"/>
      <c r="AG1164" s="1001"/>
      <c r="AK1164" s="982"/>
    </row>
    <row r="1165" spans="1:37" outlineLevel="1" x14ac:dyDescent="0.25">
      <c r="A1165" s="157"/>
      <c r="B1165" s="157"/>
      <c r="C1165" s="1233"/>
      <c r="D1165" s="3809"/>
      <c r="E1165" s="3076" t="str">
        <f t="shared" si="156"/>
        <v>LED - 12W Dimmable Light Bulb (Replacing CFL) LIDI</v>
      </c>
      <c r="F1165" s="89">
        <v>9.5</v>
      </c>
      <c r="G1165" s="1236"/>
      <c r="H1165" s="3371" t="s">
        <v>2003</v>
      </c>
      <c r="I1165" s="3804"/>
      <c r="J1165" s="157"/>
      <c r="K1165" s="157"/>
      <c r="L1165" s="157"/>
      <c r="M1165" s="157"/>
      <c r="N1165" s="157"/>
      <c r="U1165" s="3983"/>
      <c r="V1165" s="996" t="s">
        <v>1992</v>
      </c>
      <c r="W1165" s="89">
        <v>9.5</v>
      </c>
      <c r="X1165" s="89">
        <v>9.5</v>
      </c>
      <c r="Y1165" s="89">
        <v>9.5</v>
      </c>
      <c r="Z1165" s="89">
        <v>9.5</v>
      </c>
      <c r="AA1165" s="89">
        <v>9.5</v>
      </c>
      <c r="AB1165" s="89">
        <v>9.5</v>
      </c>
      <c r="AC1165" s="1001"/>
      <c r="AD1165" s="1001"/>
      <c r="AE1165" s="1001"/>
      <c r="AF1165" s="1001"/>
      <c r="AG1165" s="1001"/>
      <c r="AK1165" s="982"/>
    </row>
    <row r="1166" spans="1:37" outlineLevel="1" x14ac:dyDescent="0.25">
      <c r="A1166" s="157"/>
      <c r="B1166" s="157"/>
      <c r="C1166" s="1233"/>
      <c r="D1166" s="3809"/>
      <c r="E1166" s="3076" t="str">
        <f>E1143</f>
        <v>LED - 12W (Replacing CFL) LIDI</v>
      </c>
      <c r="F1166" s="89">
        <v>9.5</v>
      </c>
      <c r="G1166" s="1248"/>
      <c r="H1166" s="3371" t="s">
        <v>2003</v>
      </c>
      <c r="I1166" s="3804"/>
      <c r="J1166" s="157"/>
      <c r="K1166" s="157"/>
      <c r="L1166" s="157"/>
      <c r="M1166" s="157"/>
      <c r="N1166" s="157"/>
      <c r="U1166" s="3983"/>
      <c r="V1166" s="996" t="s">
        <v>1994</v>
      </c>
      <c r="W1166" s="89">
        <v>9.5</v>
      </c>
      <c r="X1166" s="89">
        <v>9.5</v>
      </c>
      <c r="Y1166" s="89">
        <v>9.5</v>
      </c>
      <c r="Z1166" s="89">
        <v>9.5</v>
      </c>
      <c r="AA1166" s="89">
        <v>9.5</v>
      </c>
      <c r="AB1166" s="89">
        <v>9.5</v>
      </c>
      <c r="AC1166" s="1001"/>
      <c r="AD1166" s="1001"/>
      <c r="AE1166" s="1001"/>
      <c r="AF1166" s="1001"/>
      <c r="AG1166" s="1001"/>
      <c r="AK1166" s="982"/>
    </row>
    <row r="1167" spans="1:37" outlineLevel="1" x14ac:dyDescent="0.25">
      <c r="A1167" s="157"/>
      <c r="B1167" s="157"/>
      <c r="C1167" s="1233"/>
      <c r="D1167" s="3809"/>
      <c r="E1167" s="3076" t="str">
        <f>E1144</f>
        <v>LED - 15W (CFL baseline) (1050-1489 lumens) LIDI</v>
      </c>
      <c r="F1167" s="89">
        <v>10.6</v>
      </c>
      <c r="G1167" s="1248"/>
      <c r="H1167" s="3371" t="s">
        <v>2003</v>
      </c>
      <c r="I1167" s="3804"/>
      <c r="J1167" s="157"/>
      <c r="K1167" s="157"/>
      <c r="L1167" s="157"/>
      <c r="M1167" s="157"/>
      <c r="N1167" s="157"/>
      <c r="U1167" s="3983"/>
      <c r="V1167" s="996" t="s">
        <v>3634</v>
      </c>
      <c r="W1167" s="89">
        <v>10.6</v>
      </c>
      <c r="X1167" s="89">
        <v>10.6</v>
      </c>
      <c r="Y1167" s="89">
        <v>10.6</v>
      </c>
      <c r="Z1167" s="89">
        <v>10.6</v>
      </c>
      <c r="AA1167" s="89">
        <v>10.6</v>
      </c>
      <c r="AB1167" s="89">
        <v>10.6</v>
      </c>
      <c r="AC1167" s="1001"/>
      <c r="AD1167" s="1001"/>
      <c r="AE1167" s="1001"/>
      <c r="AF1167" s="1001"/>
      <c r="AG1167" s="1001"/>
      <c r="AK1167" s="982"/>
    </row>
    <row r="1168" spans="1:37" outlineLevel="1" x14ac:dyDescent="0.25">
      <c r="A1168" s="157"/>
      <c r="B1168" s="157"/>
      <c r="C1168" s="1233"/>
      <c r="D1168" s="3809"/>
      <c r="E1168" s="3076" t="s">
        <v>3620</v>
      </c>
      <c r="F1168" s="89">
        <v>11</v>
      </c>
      <c r="G1168" s="1248"/>
      <c r="H1168" s="3371" t="s">
        <v>3626</v>
      </c>
      <c r="I1168" s="3371"/>
      <c r="J1168" s="157"/>
      <c r="K1168" s="157"/>
      <c r="L1168" s="157"/>
      <c r="M1168" s="157"/>
      <c r="N1168" s="157"/>
      <c r="U1168" s="3983"/>
      <c r="V1168" s="2760" t="s">
        <v>3620</v>
      </c>
      <c r="W1168" s="89"/>
      <c r="X1168" s="89"/>
      <c r="Y1168" s="89"/>
      <c r="Z1168" s="89"/>
      <c r="AA1168" s="89"/>
      <c r="AB1168" s="621">
        <v>11</v>
      </c>
      <c r="AC1168" s="1001"/>
      <c r="AD1168" s="1001"/>
      <c r="AE1168" s="1001"/>
      <c r="AF1168" s="1001"/>
      <c r="AG1168" s="1001"/>
      <c r="AK1168" s="982"/>
    </row>
    <row r="1169" spans="1:37" outlineLevel="1" x14ac:dyDescent="0.25">
      <c r="A1169" s="157"/>
      <c r="B1169" s="157"/>
      <c r="C1169" s="1233"/>
      <c r="D1169" s="3809"/>
      <c r="E1169" s="3076" t="str">
        <f>E1112</f>
        <v>LED - 15W Flood Light PAR30 Bulb (CFL baseline) LIDI</v>
      </c>
      <c r="F1169" s="89">
        <v>11.2</v>
      </c>
      <c r="G1169" s="1248"/>
      <c r="H1169" s="3371" t="s">
        <v>2003</v>
      </c>
      <c r="I1169" s="3804"/>
      <c r="J1169" s="157"/>
      <c r="K1169" s="157"/>
      <c r="L1169" s="157"/>
      <c r="M1169" s="157"/>
      <c r="N1169" s="157"/>
      <c r="U1169" s="3983"/>
      <c r="V1169" s="996" t="s">
        <v>1997</v>
      </c>
      <c r="W1169" s="89">
        <v>11.2</v>
      </c>
      <c r="X1169" s="89">
        <v>11.2</v>
      </c>
      <c r="Y1169" s="89">
        <v>11.2</v>
      </c>
      <c r="Z1169" s="89">
        <v>11.2</v>
      </c>
      <c r="AA1169" s="89">
        <v>11.2</v>
      </c>
      <c r="AB1169" s="89">
        <v>11.2</v>
      </c>
      <c r="AC1169" s="1001"/>
      <c r="AD1169" s="1001"/>
      <c r="AE1169" s="1001"/>
      <c r="AF1169" s="1001"/>
      <c r="AG1169" s="1001"/>
      <c r="AK1169" s="982"/>
    </row>
    <row r="1170" spans="1:37" outlineLevel="1" x14ac:dyDescent="0.25">
      <c r="A1170" s="157"/>
      <c r="B1170" s="157"/>
      <c r="C1170" s="1233"/>
      <c r="D1170" s="3809"/>
      <c r="E1170" s="3076" t="str">
        <f>E1113</f>
        <v>LED - 18W Flood Light PAR38 Bulb (CFL baseline) LIDI</v>
      </c>
      <c r="F1170" s="89">
        <v>18</v>
      </c>
      <c r="G1170" s="1248"/>
      <c r="H1170" s="3371" t="s">
        <v>582</v>
      </c>
      <c r="I1170" s="3804"/>
      <c r="J1170" s="157"/>
      <c r="K1170" s="157"/>
      <c r="L1170" s="157"/>
      <c r="M1170" s="157"/>
      <c r="N1170" s="157"/>
      <c r="U1170" s="3983"/>
      <c r="V1170" s="996" t="s">
        <v>3635</v>
      </c>
      <c r="W1170" s="89">
        <v>18</v>
      </c>
      <c r="X1170" s="89">
        <v>18</v>
      </c>
      <c r="Y1170" s="89">
        <v>18</v>
      </c>
      <c r="Z1170" s="89">
        <v>18</v>
      </c>
      <c r="AA1170" s="89">
        <v>18</v>
      </c>
      <c r="AB1170" s="89">
        <v>18</v>
      </c>
      <c r="AC1170" s="1001"/>
      <c r="AD1170" s="1001"/>
      <c r="AE1170" s="1001"/>
      <c r="AF1170" s="1001"/>
      <c r="AG1170" s="1001"/>
      <c r="AK1170" s="982"/>
    </row>
    <row r="1171" spans="1:37" outlineLevel="1" x14ac:dyDescent="0.25">
      <c r="A1171" s="157"/>
      <c r="B1171" s="157"/>
      <c r="C1171" s="1233"/>
      <c r="D1171" s="3809"/>
      <c r="E1171" s="3076" t="str">
        <f>E1148</f>
        <v>LED - 20W (CFL baseline) (1490-2600 lumens) LIDI</v>
      </c>
      <c r="F1171" s="89">
        <v>15</v>
      </c>
      <c r="G1171" s="1248"/>
      <c r="H1171" s="3371" t="s">
        <v>2003</v>
      </c>
      <c r="I1171" s="3804"/>
      <c r="J1171" s="157"/>
      <c r="K1171" s="157"/>
      <c r="L1171" s="157"/>
      <c r="M1171" s="157"/>
      <c r="N1171" s="157"/>
      <c r="U1171" s="3983"/>
      <c r="V1171" s="996" t="s">
        <v>3636</v>
      </c>
      <c r="W1171" s="89">
        <v>15</v>
      </c>
      <c r="X1171" s="89">
        <v>15</v>
      </c>
      <c r="Y1171" s="89">
        <v>15</v>
      </c>
      <c r="Z1171" s="89">
        <v>15</v>
      </c>
      <c r="AA1171" s="89">
        <v>15</v>
      </c>
      <c r="AB1171" s="89">
        <v>15</v>
      </c>
      <c r="AC1171" s="1001"/>
      <c r="AD1171" s="1001"/>
      <c r="AE1171" s="1001"/>
      <c r="AF1171" s="1001"/>
      <c r="AG1171" s="1001"/>
      <c r="AK1171" s="982"/>
    </row>
    <row r="1172" spans="1:37" ht="15.75" outlineLevel="1" thickBot="1" x14ac:dyDescent="0.3">
      <c r="A1172" s="157"/>
      <c r="B1172" s="157"/>
      <c r="C1172" s="1233"/>
      <c r="D1172" s="3810"/>
      <c r="E1172" s="2479" t="str">
        <f>E1149</f>
        <v>LED - 6W (Halogen baseline) (310-749 lumens) LIDI</v>
      </c>
      <c r="F1172" s="2812">
        <v>6</v>
      </c>
      <c r="G1172" s="2480"/>
      <c r="H1172" s="3817" t="s">
        <v>2003</v>
      </c>
      <c r="I1172" s="3818"/>
      <c r="J1172" s="157"/>
      <c r="K1172" s="157"/>
      <c r="L1172" s="157"/>
      <c r="M1172" s="157"/>
      <c r="N1172" s="157"/>
      <c r="U1172" s="3984"/>
      <c r="V1172" s="2473" t="s">
        <v>3619</v>
      </c>
      <c r="W1172" s="2812"/>
      <c r="X1172" s="2812"/>
      <c r="Y1172" s="2812"/>
      <c r="Z1172" s="2812"/>
      <c r="AA1172" s="2812"/>
      <c r="AB1172" s="2474">
        <v>6</v>
      </c>
      <c r="AC1172" s="2804"/>
      <c r="AD1172" s="2804"/>
      <c r="AE1172" s="2804"/>
      <c r="AF1172" s="2804"/>
      <c r="AG1172" s="2804"/>
      <c r="AK1172" s="982"/>
    </row>
    <row r="1173" spans="1:37" ht="15" customHeight="1" outlineLevel="1" x14ac:dyDescent="0.25">
      <c r="A1173" s="157"/>
      <c r="B1173" s="157"/>
      <c r="C1173" s="1233"/>
      <c r="D1173" s="3812" t="s">
        <v>75</v>
      </c>
      <c r="E1173" s="1418" t="s">
        <v>3622</v>
      </c>
      <c r="F1173" s="2814">
        <v>0.98180000000000001</v>
      </c>
      <c r="G1173" s="2815"/>
      <c r="H1173" s="3969" t="s">
        <v>2005</v>
      </c>
      <c r="I1173" s="3970"/>
      <c r="J1173" s="157"/>
      <c r="K1173" s="1249"/>
      <c r="L1173" s="157"/>
      <c r="M1173" s="157"/>
      <c r="N1173" s="157"/>
      <c r="U1173" s="3985" t="str">
        <f t="shared" si="155"/>
        <v>ISR</v>
      </c>
      <c r="V1173" s="2806" t="str">
        <f t="shared" si="155"/>
        <v>MF LI (this value should be used in the custom savings calculations for MF LI measures)</v>
      </c>
      <c r="W1173" s="2818">
        <v>0.95120000000000005</v>
      </c>
      <c r="X1173" s="2819">
        <v>0.97</v>
      </c>
      <c r="Y1173" s="2820">
        <v>0.98180000000000001</v>
      </c>
      <c r="Z1173" s="2821">
        <v>0.98180000000000001</v>
      </c>
      <c r="AA1173" s="2821">
        <v>0.98180000000000001</v>
      </c>
      <c r="AB1173" s="2814">
        <v>0.98180000000000001</v>
      </c>
      <c r="AC1173" s="2811"/>
      <c r="AD1173" s="2811"/>
      <c r="AE1173" s="2811"/>
      <c r="AF1173" s="2811"/>
      <c r="AG1173" s="2811"/>
      <c r="AK1173" s="982"/>
    </row>
    <row r="1174" spans="1:37" ht="15" customHeight="1" outlineLevel="1" thickBot="1" x14ac:dyDescent="0.3">
      <c r="A1174" s="157"/>
      <c r="B1174" s="157"/>
      <c r="C1174" s="1233"/>
      <c r="D1174" s="3813"/>
      <c r="E1174" s="2479" t="s">
        <v>3623</v>
      </c>
      <c r="F1174" s="3280">
        <v>1</v>
      </c>
      <c r="G1174" s="3281"/>
      <c r="H1174" s="3814" t="s">
        <v>3624</v>
      </c>
      <c r="I1174" s="3815"/>
      <c r="J1174" s="157"/>
      <c r="K1174" s="1249"/>
      <c r="L1174" s="157"/>
      <c r="M1174" s="157"/>
      <c r="N1174" s="157"/>
      <c r="U1174" s="3984"/>
      <c r="V1174" s="2473" t="s">
        <v>3623</v>
      </c>
      <c r="W1174" s="2822"/>
      <c r="X1174" s="2816"/>
      <c r="Y1174" s="2823"/>
      <c r="Z1174" s="2824"/>
      <c r="AA1174" s="2824"/>
      <c r="AB1174" s="2816">
        <v>1</v>
      </c>
      <c r="AC1174" s="2804"/>
      <c r="AD1174" s="2804"/>
      <c r="AE1174" s="2804"/>
      <c r="AF1174" s="2804"/>
      <c r="AG1174" s="2804"/>
      <c r="AK1174" s="982"/>
    </row>
    <row r="1175" spans="1:37" outlineLevel="1" x14ac:dyDescent="0.25">
      <c r="A1175" s="157"/>
      <c r="B1175" s="157"/>
      <c r="C1175" s="1233"/>
      <c r="D1175" s="2757" t="s">
        <v>593</v>
      </c>
      <c r="E1175" s="2757" t="s">
        <v>591</v>
      </c>
      <c r="F1175" s="2813">
        <v>0</v>
      </c>
      <c r="G1175" s="1246"/>
      <c r="H1175" s="3967" t="s">
        <v>2005</v>
      </c>
      <c r="I1175" s="3968"/>
      <c r="J1175" s="157"/>
      <c r="K1175" s="1249"/>
      <c r="L1175" s="157"/>
      <c r="M1175" s="157"/>
      <c r="N1175" s="157"/>
      <c r="U1175" s="2478" t="str">
        <f t="shared" si="155"/>
        <v>Leakage</v>
      </c>
      <c r="V1175" s="2800" t="str">
        <f t="shared" si="155"/>
        <v>All</v>
      </c>
      <c r="W1175" s="2805">
        <v>1.6525893496695268E-2</v>
      </c>
      <c r="X1175" s="2817">
        <v>0</v>
      </c>
      <c r="Y1175" s="2817">
        <v>0</v>
      </c>
      <c r="Z1175" s="2813">
        <v>0</v>
      </c>
      <c r="AA1175" s="2813">
        <v>0</v>
      </c>
      <c r="AB1175" s="2813">
        <v>0</v>
      </c>
      <c r="AC1175" s="2469"/>
      <c r="AD1175" s="2469"/>
      <c r="AE1175" s="2469"/>
      <c r="AF1175" s="2469"/>
      <c r="AG1175" s="2469"/>
      <c r="AK1175" s="982"/>
    </row>
    <row r="1176" spans="1:37" ht="15" customHeight="1" outlineLevel="1" x14ac:dyDescent="0.25">
      <c r="A1176" s="157"/>
      <c r="B1176" s="157"/>
      <c r="C1176" s="1233"/>
      <c r="D1176" s="1235" t="s">
        <v>595</v>
      </c>
      <c r="E1176" s="1235" t="s">
        <v>597</v>
      </c>
      <c r="F1176" s="2306">
        <v>674.17573847971641</v>
      </c>
      <c r="G1176" s="1236"/>
      <c r="H1176" s="3380" t="s">
        <v>2006</v>
      </c>
      <c r="I1176" s="3382"/>
      <c r="J1176" s="157"/>
      <c r="K1176" s="157"/>
      <c r="L1176" s="157"/>
      <c r="M1176" s="157"/>
      <c r="N1176" s="157"/>
      <c r="U1176" s="1350" t="str">
        <f t="shared" si="155"/>
        <v>HOU_Res</v>
      </c>
      <c r="V1176" s="996" t="str">
        <f t="shared" si="155"/>
        <v>Res</v>
      </c>
      <c r="W1176" s="1250">
        <v>693.5</v>
      </c>
      <c r="X1176" s="182">
        <v>728</v>
      </c>
      <c r="Y1176" s="1251">
        <v>674.17573847971641</v>
      </c>
      <c r="Z1176" s="1238">
        <v>674.17573847971641</v>
      </c>
      <c r="AA1176" s="1238">
        <v>674.17573847971641</v>
      </c>
      <c r="AB1176" s="2306">
        <v>674.17573847971641</v>
      </c>
      <c r="AC1176" s="1001"/>
      <c r="AD1176" s="1001"/>
      <c r="AE1176" s="1001"/>
      <c r="AF1176" s="1001"/>
      <c r="AG1176" s="1001"/>
      <c r="AK1176" s="982"/>
    </row>
    <row r="1177" spans="1:37" outlineLevel="1" x14ac:dyDescent="0.25">
      <c r="A1177" s="157"/>
      <c r="B1177" s="157"/>
      <c r="C1177" s="1233"/>
      <c r="D1177" s="1235" t="s">
        <v>598</v>
      </c>
      <c r="E1177" s="1235" t="s">
        <v>600</v>
      </c>
      <c r="F1177" s="1252">
        <v>0.99008680582907171</v>
      </c>
      <c r="G1177" s="1236"/>
      <c r="H1177" s="3371" t="s">
        <v>601</v>
      </c>
      <c r="I1177" s="3804"/>
      <c r="J1177" s="157"/>
      <c r="K1177" s="157"/>
      <c r="L1177" s="157"/>
      <c r="M1177" s="157"/>
      <c r="N1177" s="157"/>
      <c r="U1177" s="1350" t="str">
        <f t="shared" si="155"/>
        <v>WHF_Res</v>
      </c>
      <c r="V1177" s="996" t="str">
        <f t="shared" si="155"/>
        <v>Res  energy</v>
      </c>
      <c r="W1177" s="1250">
        <v>0.99</v>
      </c>
      <c r="X1177" s="1250">
        <v>0.99</v>
      </c>
      <c r="Y1177" s="1251">
        <v>0.99008680582907171</v>
      </c>
      <c r="Z1177" s="1238">
        <v>0.99008680582907171</v>
      </c>
      <c r="AA1177" s="1238">
        <v>0.99008680582907171</v>
      </c>
      <c r="AB1177" s="1252">
        <v>0.99008680582907171</v>
      </c>
      <c r="AC1177" s="1001"/>
      <c r="AD1177" s="1001"/>
      <c r="AE1177" s="1001"/>
      <c r="AF1177" s="1001"/>
      <c r="AG1177" s="1001"/>
      <c r="AK1177" s="982"/>
    </row>
    <row r="1178" spans="1:37" ht="15" customHeight="1" outlineLevel="1" x14ac:dyDescent="0.25">
      <c r="A1178" s="157"/>
      <c r="B1178" s="157"/>
      <c r="C1178" s="1233"/>
      <c r="D1178" s="1235" t="s">
        <v>602</v>
      </c>
      <c r="E1178" s="1235" t="s">
        <v>604</v>
      </c>
      <c r="F1178" s="2306">
        <v>7321.0388096521265</v>
      </c>
      <c r="G1178" s="1236"/>
      <c r="H1178" s="3380" t="s">
        <v>2006</v>
      </c>
      <c r="I1178" s="3382"/>
      <c r="J1178" s="157"/>
      <c r="K1178" s="157"/>
      <c r="L1178" s="157"/>
      <c r="M1178" s="157"/>
      <c r="N1178" s="157"/>
      <c r="U1178" s="1350" t="str">
        <f t="shared" si="155"/>
        <v>HOU_NRES</v>
      </c>
      <c r="V1178" s="996" t="str">
        <f t="shared" si="155"/>
        <v>NRES</v>
      </c>
      <c r="W1178" s="1250">
        <v>3613</v>
      </c>
      <c r="X1178" s="182">
        <v>5949</v>
      </c>
      <c r="Y1178" s="1251">
        <v>7321.0388096521265</v>
      </c>
      <c r="Z1178" s="1238">
        <v>7321.0388096521265</v>
      </c>
      <c r="AA1178" s="1238">
        <v>7321.0388096521265</v>
      </c>
      <c r="AB1178" s="2306">
        <v>7321.0388096521265</v>
      </c>
      <c r="AC1178" s="1001"/>
      <c r="AD1178" s="1001"/>
      <c r="AE1178" s="1001"/>
      <c r="AF1178" s="1001"/>
      <c r="AG1178" s="1001"/>
      <c r="AK1178" s="982"/>
    </row>
    <row r="1179" spans="1:37" ht="15" customHeight="1" outlineLevel="1" x14ac:dyDescent="0.25">
      <c r="A1179" s="157"/>
      <c r="B1179" s="157"/>
      <c r="C1179" s="1233"/>
      <c r="D1179" s="1235" t="s">
        <v>606</v>
      </c>
      <c r="E1179" s="1235" t="s">
        <v>597</v>
      </c>
      <c r="F1179" s="1252">
        <v>0.96568754422551695</v>
      </c>
      <c r="G1179" s="1236"/>
      <c r="H1179" s="3380" t="s">
        <v>2007</v>
      </c>
      <c r="I1179" s="3382"/>
      <c r="J1179" s="157"/>
      <c r="K1179" s="157"/>
      <c r="L1179" s="157"/>
      <c r="M1179" s="157"/>
      <c r="N1179" s="157"/>
      <c r="U1179" s="1350" t="str">
        <f t="shared" si="155"/>
        <v>WHF_Nres</v>
      </c>
      <c r="V1179" s="996" t="str">
        <f t="shared" si="155"/>
        <v>Res</v>
      </c>
      <c r="W1179" s="1250">
        <v>1.1000000000000001</v>
      </c>
      <c r="X1179" s="1250">
        <v>2.1</v>
      </c>
      <c r="Y1179" s="1251">
        <v>0.96568754422551695</v>
      </c>
      <c r="Z1179" s="1238">
        <v>0.96568754422551695</v>
      </c>
      <c r="AA1179" s="1238">
        <v>0.96568754422551695</v>
      </c>
      <c r="AB1179" s="1252">
        <v>0.96568754422551695</v>
      </c>
      <c r="AC1179" s="1001"/>
      <c r="AD1179" s="1001"/>
      <c r="AE1179" s="1001"/>
      <c r="AF1179" s="1001"/>
      <c r="AG1179" s="1001"/>
      <c r="AK1179" s="982"/>
    </row>
    <row r="1180" spans="1:37" outlineLevel="1" x14ac:dyDescent="0.25">
      <c r="A1180" s="157"/>
      <c r="B1180" s="157"/>
      <c r="C1180" s="1233"/>
      <c r="D1180" s="1235" t="s">
        <v>608</v>
      </c>
      <c r="E1180" s="1235" t="s">
        <v>591</v>
      </c>
      <c r="F1180" s="1253">
        <v>1</v>
      </c>
      <c r="G1180" s="1236"/>
      <c r="H1180" s="3371" t="s">
        <v>2008</v>
      </c>
      <c r="I1180" s="3804"/>
      <c r="J1180" s="157"/>
      <c r="K1180" s="157"/>
      <c r="L1180" s="157"/>
      <c r="M1180" s="157"/>
      <c r="N1180" s="157"/>
      <c r="U1180" s="1350" t="str">
        <f t="shared" si="155"/>
        <v>%Res</v>
      </c>
      <c r="V1180" s="996" t="str">
        <f t="shared" si="155"/>
        <v>All</v>
      </c>
      <c r="W1180" s="1253">
        <v>1</v>
      </c>
      <c r="X1180" s="1253">
        <v>1</v>
      </c>
      <c r="Y1180" s="1253">
        <v>1</v>
      </c>
      <c r="Z1180" s="1253">
        <v>1</v>
      </c>
      <c r="AA1180" s="1253">
        <v>1</v>
      </c>
      <c r="AB1180" s="1253">
        <v>1</v>
      </c>
      <c r="AC1180" s="1001"/>
      <c r="AD1180" s="1001"/>
      <c r="AE1180" s="1001"/>
      <c r="AF1180" s="1001"/>
      <c r="AG1180" s="1001"/>
      <c r="AK1180" s="982"/>
    </row>
    <row r="1181" spans="1:37" ht="15" customHeight="1" outlineLevel="1" x14ac:dyDescent="0.25">
      <c r="A1181" s="157"/>
      <c r="B1181" s="157"/>
      <c r="C1181" s="1233"/>
      <c r="D1181" s="1235" t="s">
        <v>2009</v>
      </c>
      <c r="E1181" s="1235" t="s">
        <v>532</v>
      </c>
      <c r="F1181" s="1254">
        <v>1.4925290000000001E-4</v>
      </c>
      <c r="G1181" s="1236"/>
      <c r="H1181" s="3371" t="s">
        <v>2010</v>
      </c>
      <c r="I1181" s="3804"/>
      <c r="J1181" s="157"/>
      <c r="K1181" s="157"/>
      <c r="L1181" s="157"/>
      <c r="M1181" s="157"/>
      <c r="N1181" s="157"/>
      <c r="U1181" s="1350" t="str">
        <f t="shared" si="155"/>
        <v>KW Factor_RES</v>
      </c>
      <c r="V1181" s="996" t="str">
        <f t="shared" si="155"/>
        <v>Lighting RES</v>
      </c>
      <c r="W1181" s="1255">
        <v>1.4925290000000001E-4</v>
      </c>
      <c r="X1181" s="1255">
        <v>1.4925290000000001E-4</v>
      </c>
      <c r="Y1181" s="1255">
        <v>1.4925290000000001E-4</v>
      </c>
      <c r="Z1181" s="1254">
        <v>1.4925290000000001E-4</v>
      </c>
      <c r="AA1181" s="1254">
        <v>1.4925290000000001E-4</v>
      </c>
      <c r="AB1181" s="1254">
        <v>1.4925290000000001E-4</v>
      </c>
      <c r="AC1181" s="1001"/>
      <c r="AD1181" s="1001"/>
      <c r="AE1181" s="1001"/>
      <c r="AF1181" s="1001"/>
      <c r="AG1181" s="1001"/>
      <c r="AK1181" s="982"/>
    </row>
    <row r="1182" spans="1:37" ht="15" customHeight="1" outlineLevel="1" x14ac:dyDescent="0.25">
      <c r="A1182" s="157"/>
      <c r="B1182" s="157"/>
      <c r="C1182" s="1233"/>
      <c r="D1182" s="1235" t="s">
        <v>2011</v>
      </c>
      <c r="E1182" s="1235" t="s">
        <v>36</v>
      </c>
      <c r="F1182" s="1254">
        <v>1.899635E-4</v>
      </c>
      <c r="G1182" s="1236"/>
      <c r="H1182" s="3371" t="s">
        <v>2010</v>
      </c>
      <c r="I1182" s="3804"/>
      <c r="J1182" s="157"/>
      <c r="K1182" s="157"/>
      <c r="L1182" s="157"/>
      <c r="M1182" s="157"/>
      <c r="N1182" s="157"/>
      <c r="U1182" s="1350" t="str">
        <f t="shared" si="155"/>
        <v>KW Factor _ BUS</v>
      </c>
      <c r="V1182" s="996" t="str">
        <f t="shared" si="155"/>
        <v>Lighting BUS</v>
      </c>
      <c r="W1182" s="1255">
        <v>1.899635E-4</v>
      </c>
      <c r="X1182" s="1255">
        <v>1.899635E-4</v>
      </c>
      <c r="Y1182" s="1255">
        <v>1.899635E-4</v>
      </c>
      <c r="Z1182" s="1254">
        <v>1.899635E-4</v>
      </c>
      <c r="AA1182" s="1254">
        <v>1.899635E-4</v>
      </c>
      <c r="AB1182" s="1254">
        <v>1.899635E-4</v>
      </c>
      <c r="AC1182" s="1001"/>
      <c r="AD1182" s="1001"/>
      <c r="AE1182" s="1001"/>
      <c r="AF1182" s="1001"/>
      <c r="AG1182" s="1001"/>
      <c r="AK1182" s="982"/>
    </row>
    <row r="1183" spans="1:37" outlineLevel="1" x14ac:dyDescent="0.25">
      <c r="A1183" s="157"/>
      <c r="B1183" s="157"/>
      <c r="C1183" s="1233"/>
      <c r="D1183" s="1235" t="s">
        <v>2012</v>
      </c>
      <c r="E1183" s="1235" t="s">
        <v>2013</v>
      </c>
      <c r="F1183" s="1256">
        <v>8760</v>
      </c>
      <c r="G1183" s="1236"/>
      <c r="H1183" s="3371" t="s">
        <v>2014</v>
      </c>
      <c r="I1183" s="3804"/>
      <c r="J1183" s="157"/>
      <c r="K1183" s="157"/>
      <c r="L1183" s="157"/>
      <c r="M1183" s="157"/>
      <c r="N1183" s="157"/>
      <c r="U1183" s="1350" t="str">
        <f t="shared" si="155"/>
        <v>Hours24/7</v>
      </c>
      <c r="V1183" s="996" t="str">
        <f t="shared" si="155"/>
        <v>24/7 hours</v>
      </c>
      <c r="W1183" s="1257">
        <v>8760</v>
      </c>
      <c r="X1183" s="1257">
        <v>8760</v>
      </c>
      <c r="Y1183" s="1257">
        <v>8760</v>
      </c>
      <c r="Z1183" s="1256">
        <v>8760</v>
      </c>
      <c r="AA1183" s="1256">
        <v>8760</v>
      </c>
      <c r="AB1183" s="1256">
        <v>8760</v>
      </c>
      <c r="AC1183" s="1001"/>
      <c r="AD1183" s="1001"/>
      <c r="AE1183" s="1001"/>
      <c r="AF1183" s="1001"/>
      <c r="AG1183" s="1001"/>
      <c r="AK1183" s="982"/>
    </row>
    <row r="1184" spans="1:37" outlineLevel="1" x14ac:dyDescent="0.25">
      <c r="A1184" s="157"/>
      <c r="B1184" s="157"/>
      <c r="C1184" s="1233"/>
      <c r="D1184" s="1235" t="s">
        <v>2015</v>
      </c>
      <c r="E1184" s="1235" t="s">
        <v>2016</v>
      </c>
      <c r="F1184" s="1256">
        <v>4380</v>
      </c>
      <c r="G1184" s="1236"/>
      <c r="H1184" s="3371" t="s">
        <v>2017</v>
      </c>
      <c r="I1184" s="3804"/>
      <c r="J1184" s="157"/>
      <c r="K1184" s="157"/>
      <c r="L1184" s="157"/>
      <c r="M1184" s="157"/>
      <c r="N1184" s="157"/>
      <c r="U1184" s="1350" t="str">
        <f t="shared" si="155"/>
        <v>Hours12/7</v>
      </c>
      <c r="V1184" s="996" t="str">
        <f t="shared" si="155"/>
        <v>12/7 hours</v>
      </c>
      <c r="W1184" s="1257">
        <v>4380</v>
      </c>
      <c r="X1184" s="1257">
        <v>4380</v>
      </c>
      <c r="Y1184" s="1257">
        <v>4380</v>
      </c>
      <c r="Z1184" s="1256">
        <v>4380</v>
      </c>
      <c r="AA1184" s="1256">
        <v>4380</v>
      </c>
      <c r="AB1184" s="1256">
        <v>4380</v>
      </c>
      <c r="AC1184" s="1001"/>
      <c r="AD1184" s="1001"/>
      <c r="AE1184" s="1001"/>
      <c r="AF1184" s="1001"/>
      <c r="AG1184" s="1001"/>
      <c r="AK1184" s="982"/>
    </row>
    <row r="1185" spans="2:45" outlineLevel="1" x14ac:dyDescent="0.25">
      <c r="B1185" s="1359"/>
      <c r="C1185" s="375"/>
      <c r="D1185" s="3963" t="str">
        <f>D1084</f>
        <v>EUL</v>
      </c>
      <c r="E1185" s="3090" t="s">
        <v>2018</v>
      </c>
      <c r="F1185" s="2476">
        <v>7</v>
      </c>
      <c r="G1185" s="1236"/>
      <c r="H1185" s="3371"/>
      <c r="I1185" s="3804"/>
      <c r="V1185" s="3805" t="str">
        <f>D1185</f>
        <v>EUL</v>
      </c>
      <c r="W1185" s="1164">
        <v>7</v>
      </c>
      <c r="X1185" s="1164">
        <v>7</v>
      </c>
      <c r="Y1185" s="1164">
        <v>7</v>
      </c>
      <c r="Z1185" s="1165">
        <v>7</v>
      </c>
      <c r="AA1185" s="1165">
        <v>7</v>
      </c>
      <c r="AB1185" s="2476">
        <v>7</v>
      </c>
      <c r="AC1185" s="1165"/>
      <c r="AD1185" s="1165"/>
      <c r="AE1185" s="1165"/>
      <c r="AF1185" s="1165"/>
      <c r="AG1185" s="1165"/>
      <c r="AK1185" s="982"/>
    </row>
    <row r="1186" spans="2:45" outlineLevel="1" x14ac:dyDescent="0.25">
      <c r="B1186" s="1359"/>
      <c r="C1186" s="375"/>
      <c r="D1186" s="3964"/>
      <c r="E1186" s="3090" t="s">
        <v>2019</v>
      </c>
      <c r="F1186" s="2476">
        <v>7</v>
      </c>
      <c r="G1186" s="1236"/>
      <c r="H1186" s="3371"/>
      <c r="I1186" s="3804"/>
      <c r="V1186" s="3933"/>
      <c r="W1186" s="1164">
        <v>7</v>
      </c>
      <c r="X1186" s="1164">
        <v>7</v>
      </c>
      <c r="Y1186" s="1164">
        <v>7</v>
      </c>
      <c r="Z1186" s="1165">
        <v>7</v>
      </c>
      <c r="AA1186" s="1165">
        <v>7</v>
      </c>
      <c r="AB1186" s="2476">
        <v>7</v>
      </c>
      <c r="AC1186" s="1165"/>
      <c r="AD1186" s="1165"/>
      <c r="AE1186" s="1165"/>
      <c r="AF1186" s="1165"/>
      <c r="AG1186" s="1165"/>
      <c r="AK1186" s="982"/>
    </row>
    <row r="1187" spans="2:45" outlineLevel="1" x14ac:dyDescent="0.25">
      <c r="B1187" s="1359"/>
      <c r="C1187" s="375"/>
      <c r="D1187" s="3976" t="s">
        <v>573</v>
      </c>
      <c r="E1187" s="3977" t="s">
        <v>71</v>
      </c>
      <c r="F1187" s="3978" t="s">
        <v>740</v>
      </c>
      <c r="G1187" s="3978" t="s">
        <v>742</v>
      </c>
      <c r="H1187" s="3979" t="s">
        <v>575</v>
      </c>
      <c r="I1187" s="3980"/>
      <c r="V1187" s="55" t="s">
        <v>27</v>
      </c>
      <c r="W1187" s="56">
        <f>$W$6</f>
        <v>43252</v>
      </c>
      <c r="X1187" s="56">
        <f>$X$6</f>
        <v>43465</v>
      </c>
      <c r="Y1187" s="420">
        <f>$Y$6</f>
        <v>43800</v>
      </c>
      <c r="Z1187" s="56">
        <f>$Z$6</f>
        <v>43862</v>
      </c>
      <c r="AA1187" s="56">
        <f>$AA$6</f>
        <v>44013</v>
      </c>
      <c r="AB1187" s="56">
        <f>$AB$6</f>
        <v>44166</v>
      </c>
      <c r="AC1187" s="56" t="str">
        <f>$AC$6</f>
        <v>-</v>
      </c>
      <c r="AD1187" s="56" t="str">
        <f>$AD$6</f>
        <v>-</v>
      </c>
      <c r="AE1187" s="56" t="str">
        <f>$AE$6</f>
        <v>-</v>
      </c>
      <c r="AF1187" s="56" t="str">
        <f>$AF$6</f>
        <v>-</v>
      </c>
      <c r="AG1187" s="56" t="str">
        <f>$AG$6</f>
        <v>-</v>
      </c>
      <c r="AI1187" s="56">
        <f>$W$6</f>
        <v>43252</v>
      </c>
      <c r="AJ1187" s="56">
        <f>$X$6</f>
        <v>43465</v>
      </c>
      <c r="AK1187" s="56">
        <f>$Y$6</f>
        <v>43800</v>
      </c>
      <c r="AL1187" s="56">
        <f>$Z$6</f>
        <v>43862</v>
      </c>
      <c r="AM1187" s="56">
        <f>$AA$6</f>
        <v>44013</v>
      </c>
      <c r="AN1187" s="56">
        <f>$AB$6</f>
        <v>44166</v>
      </c>
      <c r="AO1187" s="56" t="str">
        <f>$AC$6</f>
        <v>-</v>
      </c>
      <c r="AP1187" s="56" t="str">
        <f>$AD$6</f>
        <v>-</v>
      </c>
      <c r="AQ1187" s="56" t="str">
        <f>$AE$6</f>
        <v>-</v>
      </c>
      <c r="AR1187" s="56" t="str">
        <f>$AF$6</f>
        <v>-</v>
      </c>
      <c r="AS1187" s="56" t="str">
        <f>$AG$6</f>
        <v>-</v>
      </c>
    </row>
    <row r="1188" spans="2:45" outlineLevel="1" x14ac:dyDescent="0.25">
      <c r="B1188" s="1359"/>
      <c r="C1188" s="375"/>
      <c r="D1188" s="3573"/>
      <c r="E1188" s="3900"/>
      <c r="F1188" s="3831"/>
      <c r="G1188" s="3831"/>
      <c r="H1188" s="3899"/>
      <c r="I1188" s="3900"/>
      <c r="V1188" s="55"/>
      <c r="W1188" s="420" t="str">
        <f>$P$1092</f>
        <v>SF</v>
      </c>
      <c r="X1188" s="420" t="str">
        <f t="shared" ref="X1188:AG1188" si="157">$P$1092</f>
        <v>SF</v>
      </c>
      <c r="Y1188" s="420" t="str">
        <f t="shared" si="157"/>
        <v>SF</v>
      </c>
      <c r="Z1188" s="420" t="str">
        <f t="shared" si="157"/>
        <v>SF</v>
      </c>
      <c r="AA1188" s="420" t="str">
        <f t="shared" si="157"/>
        <v>SF</v>
      </c>
      <c r="AB1188" s="420" t="str">
        <f t="shared" si="157"/>
        <v>SF</v>
      </c>
      <c r="AC1188" s="420" t="str">
        <f t="shared" si="157"/>
        <v>SF</v>
      </c>
      <c r="AD1188" s="420" t="str">
        <f t="shared" si="157"/>
        <v>SF</v>
      </c>
      <c r="AE1188" s="420" t="str">
        <f t="shared" si="157"/>
        <v>SF</v>
      </c>
      <c r="AF1188" s="420" t="str">
        <f t="shared" si="157"/>
        <v>SF</v>
      </c>
      <c r="AG1188" s="420" t="str">
        <f t="shared" si="157"/>
        <v>SF</v>
      </c>
      <c r="AI1188" s="420" t="str">
        <f>$Q$1092</f>
        <v>MF</v>
      </c>
      <c r="AJ1188" s="420" t="str">
        <f t="shared" ref="AJ1188:AS1188" si="158">$Q$1092</f>
        <v>MF</v>
      </c>
      <c r="AK1188" s="420" t="str">
        <f t="shared" si="158"/>
        <v>MF</v>
      </c>
      <c r="AL1188" s="420" t="str">
        <f t="shared" si="158"/>
        <v>MF</v>
      </c>
      <c r="AM1188" s="420" t="str">
        <f t="shared" si="158"/>
        <v>MF</v>
      </c>
      <c r="AN1188" s="420" t="str">
        <f t="shared" si="158"/>
        <v>MF</v>
      </c>
      <c r="AO1188" s="420" t="str">
        <f t="shared" si="158"/>
        <v>MF</v>
      </c>
      <c r="AP1188" s="420" t="str">
        <f t="shared" si="158"/>
        <v>MF</v>
      </c>
      <c r="AQ1188" s="420" t="str">
        <f t="shared" si="158"/>
        <v>MF</v>
      </c>
      <c r="AR1188" s="420" t="str">
        <f t="shared" si="158"/>
        <v>MF</v>
      </c>
      <c r="AS1188" s="420" t="str">
        <f t="shared" si="158"/>
        <v>MF</v>
      </c>
    </row>
    <row r="1189" spans="2:45" outlineLevel="1" x14ac:dyDescent="0.25">
      <c r="B1189" s="1359"/>
      <c r="C1189" s="375"/>
      <c r="D1189" s="3986" t="str">
        <f>D1085</f>
        <v>Inc. Cost</v>
      </c>
      <c r="E1189" s="3090" t="str">
        <f>E1127</f>
        <v>LED - 10.5W Downlight E26 (EISA baseline) LI DI</v>
      </c>
      <c r="F1189" s="1225">
        <v>6</v>
      </c>
      <c r="G1189" s="1225">
        <v>3.3</v>
      </c>
      <c r="H1189" s="3371"/>
      <c r="I1189" s="3804"/>
      <c r="V1189" s="3805" t="str">
        <f>D1189</f>
        <v>Inc. Cost</v>
      </c>
      <c r="W1189" s="1258">
        <v>6</v>
      </c>
      <c r="X1189" s="1258">
        <v>6</v>
      </c>
      <c r="Y1189" s="1165">
        <v>6</v>
      </c>
      <c r="Z1189" s="1165">
        <v>6</v>
      </c>
      <c r="AA1189" s="1165">
        <v>6</v>
      </c>
      <c r="AB1189" s="1225">
        <v>6</v>
      </c>
      <c r="AC1189" s="1165"/>
      <c r="AD1189" s="1165"/>
      <c r="AE1189" s="1165"/>
      <c r="AF1189" s="1165"/>
      <c r="AG1189" s="1165"/>
      <c r="AI1189" s="1258">
        <v>3.3</v>
      </c>
      <c r="AJ1189" s="1258">
        <v>3.3</v>
      </c>
      <c r="AK1189" s="1258">
        <v>3.3</v>
      </c>
      <c r="AL1189" s="1258">
        <v>3.3</v>
      </c>
      <c r="AM1189" s="1258">
        <v>3.3</v>
      </c>
      <c r="AN1189" s="1225">
        <v>3.3</v>
      </c>
      <c r="AO1189" s="1165"/>
      <c r="AP1189" s="1165"/>
      <c r="AQ1189" s="1165"/>
      <c r="AR1189" s="1165"/>
      <c r="AS1189" s="1165"/>
    </row>
    <row r="1190" spans="2:45" outlineLevel="1" x14ac:dyDescent="0.25">
      <c r="B1190" s="1359"/>
      <c r="C1190" s="375"/>
      <c r="D1190" s="3986"/>
      <c r="E1190" s="3090" t="str">
        <f>E1128</f>
        <v>LED - 10W (Halogen baseline) (750-1049 lumens) LIDI</v>
      </c>
      <c r="F1190" s="1225">
        <v>6</v>
      </c>
      <c r="G1190" s="1225">
        <v>3.68</v>
      </c>
      <c r="H1190" s="3371"/>
      <c r="I1190" s="3804"/>
      <c r="V1190" s="3806"/>
      <c r="W1190" s="1258">
        <v>6</v>
      </c>
      <c r="X1190" s="1258">
        <v>6</v>
      </c>
      <c r="Y1190" s="1165">
        <v>6</v>
      </c>
      <c r="Z1190" s="1165">
        <v>6</v>
      </c>
      <c r="AA1190" s="1165">
        <v>6</v>
      </c>
      <c r="AB1190" s="1225">
        <v>6</v>
      </c>
      <c r="AC1190" s="1165"/>
      <c r="AD1190" s="1165"/>
      <c r="AE1190" s="1165"/>
      <c r="AF1190" s="1165"/>
      <c r="AG1190" s="1165"/>
      <c r="AI1190" s="1258">
        <v>3.68</v>
      </c>
      <c r="AJ1190" s="1258">
        <v>3.68</v>
      </c>
      <c r="AK1190" s="1258">
        <v>3.68</v>
      </c>
      <c r="AL1190" s="1258">
        <v>3.68</v>
      </c>
      <c r="AM1190" s="1258">
        <v>3.68</v>
      </c>
      <c r="AN1190" s="1225">
        <v>3.68</v>
      </c>
      <c r="AO1190" s="1165"/>
      <c r="AP1190" s="1165"/>
      <c r="AQ1190" s="1165"/>
      <c r="AR1190" s="1165"/>
      <c r="AS1190" s="1165"/>
    </row>
    <row r="1191" spans="2:45" outlineLevel="1" x14ac:dyDescent="0.25">
      <c r="B1191" s="1359"/>
      <c r="C1191" s="375"/>
      <c r="D1191" s="3986"/>
      <c r="E1191" s="3090" t="str">
        <f>E1129</f>
        <v>LED - 12W (Halogen baseline) LI DI</v>
      </c>
      <c r="F1191" s="1225">
        <v>6</v>
      </c>
      <c r="G1191" s="1225">
        <v>4.72</v>
      </c>
      <c r="H1191" s="3371"/>
      <c r="I1191" s="3804"/>
      <c r="V1191" s="3806"/>
      <c r="W1191" s="1258">
        <v>6</v>
      </c>
      <c r="X1191" s="1258">
        <v>6</v>
      </c>
      <c r="Y1191" s="1165">
        <v>6</v>
      </c>
      <c r="Z1191" s="1165">
        <v>6</v>
      </c>
      <c r="AA1191" s="1165">
        <v>6</v>
      </c>
      <c r="AB1191" s="1225">
        <v>6</v>
      </c>
      <c r="AC1191" s="1165"/>
      <c r="AD1191" s="1165"/>
      <c r="AE1191" s="1165"/>
      <c r="AF1191" s="1165"/>
      <c r="AG1191" s="1165"/>
      <c r="AI1191" s="1258">
        <v>4.72</v>
      </c>
      <c r="AJ1191" s="1258">
        <v>4.72</v>
      </c>
      <c r="AK1191" s="1258">
        <v>4.72</v>
      </c>
      <c r="AL1191" s="1258">
        <v>4.72</v>
      </c>
      <c r="AM1191" s="1258">
        <v>4.72</v>
      </c>
      <c r="AN1191" s="1225">
        <v>4.72</v>
      </c>
      <c r="AO1191" s="1165"/>
      <c r="AP1191" s="1165"/>
      <c r="AQ1191" s="1165"/>
      <c r="AR1191" s="1165"/>
      <c r="AS1191" s="1165"/>
    </row>
    <row r="1192" spans="2:45" outlineLevel="1" x14ac:dyDescent="0.25">
      <c r="B1192" s="1359"/>
      <c r="C1192" s="375"/>
      <c r="D1192" s="3986"/>
      <c r="E1192" s="3090" t="str">
        <f>E1130</f>
        <v>LED - 12W Dimmable Light Bulb (Replacing Specialty Incandescent) LI DI</v>
      </c>
      <c r="F1192" s="1225">
        <v>6</v>
      </c>
      <c r="G1192" s="1225">
        <v>3.53</v>
      </c>
      <c r="H1192" s="3371"/>
      <c r="I1192" s="3804"/>
      <c r="V1192" s="3806"/>
      <c r="W1192" s="1258">
        <v>6</v>
      </c>
      <c r="X1192" s="1258">
        <v>6</v>
      </c>
      <c r="Y1192" s="1165">
        <v>6</v>
      </c>
      <c r="Z1192" s="1165">
        <v>6</v>
      </c>
      <c r="AA1192" s="1165">
        <v>6</v>
      </c>
      <c r="AB1192" s="1225">
        <v>6</v>
      </c>
      <c r="AC1192" s="1165"/>
      <c r="AD1192" s="1165"/>
      <c r="AE1192" s="1165"/>
      <c r="AF1192" s="1165"/>
      <c r="AG1192" s="1165"/>
      <c r="AI1192" s="1258">
        <v>3.53</v>
      </c>
      <c r="AJ1192" s="1258">
        <v>3.53</v>
      </c>
      <c r="AK1192" s="1258">
        <v>3.53</v>
      </c>
      <c r="AL1192" s="1258">
        <v>3.53</v>
      </c>
      <c r="AM1192" s="1258">
        <v>3.53</v>
      </c>
      <c r="AN1192" s="1225">
        <v>3.53</v>
      </c>
      <c r="AO1192" s="1165"/>
      <c r="AP1192" s="1165"/>
      <c r="AQ1192" s="1165"/>
      <c r="AR1192" s="1165"/>
      <c r="AS1192" s="1165"/>
    </row>
    <row r="1193" spans="2:45" outlineLevel="1" x14ac:dyDescent="0.25">
      <c r="B1193" s="1359"/>
      <c r="C1193" s="375"/>
      <c r="D1193" s="3986"/>
      <c r="E1193" s="3090" t="str">
        <f>E1131</f>
        <v>LED - 15W (Halogen baseline) (1050-1489 lumens) LIDI</v>
      </c>
      <c r="F1193" s="1225">
        <v>8</v>
      </c>
      <c r="G1193" s="1225">
        <v>6.27</v>
      </c>
      <c r="H1193" s="3371"/>
      <c r="I1193" s="3804"/>
      <c r="V1193" s="3806"/>
      <c r="W1193" s="1258">
        <v>8</v>
      </c>
      <c r="X1193" s="1258">
        <v>8</v>
      </c>
      <c r="Y1193" s="1165">
        <v>8</v>
      </c>
      <c r="Z1193" s="1165">
        <v>8</v>
      </c>
      <c r="AA1193" s="1165">
        <v>8</v>
      </c>
      <c r="AB1193" s="1225">
        <v>8</v>
      </c>
      <c r="AC1193" s="1165"/>
      <c r="AD1193" s="1165"/>
      <c r="AE1193" s="1165"/>
      <c r="AF1193" s="1165"/>
      <c r="AG1193" s="1165"/>
      <c r="AI1193" s="1258">
        <v>6.27</v>
      </c>
      <c r="AJ1193" s="1258">
        <v>6.27</v>
      </c>
      <c r="AK1193" s="1258">
        <v>6.27</v>
      </c>
      <c r="AL1193" s="1258">
        <v>6.27</v>
      </c>
      <c r="AM1193" s="1258">
        <v>6.27</v>
      </c>
      <c r="AN1193" s="1225">
        <v>6.27</v>
      </c>
      <c r="AO1193" s="1165"/>
      <c r="AP1193" s="1165"/>
      <c r="AQ1193" s="1165"/>
      <c r="AR1193" s="1165"/>
      <c r="AS1193" s="1165"/>
    </row>
    <row r="1194" spans="2:45" outlineLevel="1" x14ac:dyDescent="0.25">
      <c r="B1194" s="1359"/>
      <c r="C1194" s="2368"/>
      <c r="D1194" s="3986"/>
      <c r="E1194" s="3090" t="s">
        <v>3621</v>
      </c>
      <c r="F1194" s="1225">
        <v>10</v>
      </c>
      <c r="G1194" s="1225">
        <v>4.92</v>
      </c>
      <c r="H1194" s="3371"/>
      <c r="I1194" s="3804"/>
      <c r="V1194" s="3806"/>
      <c r="W1194" s="1258"/>
      <c r="X1194" s="1258"/>
      <c r="Y1194" s="1165"/>
      <c r="Z1194" s="1165"/>
      <c r="AA1194" s="1165"/>
      <c r="AB1194" s="2471">
        <v>10</v>
      </c>
      <c r="AC1194" s="1165"/>
      <c r="AD1194" s="1165"/>
      <c r="AE1194" s="1165"/>
      <c r="AF1194" s="1165"/>
      <c r="AG1194" s="1165"/>
      <c r="AI1194" s="1258"/>
      <c r="AJ1194" s="1258"/>
      <c r="AK1194" s="1258"/>
      <c r="AL1194" s="1258"/>
      <c r="AM1194" s="1258"/>
      <c r="AN1194" s="2471">
        <v>4.92</v>
      </c>
      <c r="AO1194" s="1165"/>
      <c r="AP1194" s="1165"/>
      <c r="AQ1194" s="1165"/>
      <c r="AR1194" s="1165"/>
      <c r="AS1194" s="1165"/>
    </row>
    <row r="1195" spans="2:45" outlineLevel="1" x14ac:dyDescent="0.25">
      <c r="B1195" s="1359"/>
      <c r="C1195" s="375"/>
      <c r="D1195" s="3986"/>
      <c r="E1195" s="3090" t="str">
        <f>E1132</f>
        <v>LED - 15W Flood Light PAR30 Bulb (Halogen baseline) LI DI</v>
      </c>
      <c r="F1195" s="1225">
        <v>10</v>
      </c>
      <c r="G1195" s="1225">
        <v>4.92</v>
      </c>
      <c r="H1195" s="3371"/>
      <c r="I1195" s="3804"/>
      <c r="V1195" s="3806"/>
      <c r="W1195" s="1258">
        <v>10</v>
      </c>
      <c r="X1195" s="1258">
        <v>10</v>
      </c>
      <c r="Y1195" s="1165">
        <v>10</v>
      </c>
      <c r="Z1195" s="1165">
        <v>10</v>
      </c>
      <c r="AA1195" s="1165">
        <v>10</v>
      </c>
      <c r="AB1195" s="1225">
        <v>10</v>
      </c>
      <c r="AC1195" s="1165"/>
      <c r="AD1195" s="1165"/>
      <c r="AE1195" s="1165"/>
      <c r="AF1195" s="1165"/>
      <c r="AG1195" s="1165"/>
      <c r="AI1195" s="1258">
        <v>4.92</v>
      </c>
      <c r="AJ1195" s="1258">
        <v>4.92</v>
      </c>
      <c r="AK1195" s="1258">
        <v>4.92</v>
      </c>
      <c r="AL1195" s="1258">
        <v>4.92</v>
      </c>
      <c r="AM1195" s="1258">
        <v>4.92</v>
      </c>
      <c r="AN1195" s="1225">
        <v>4.92</v>
      </c>
      <c r="AO1195" s="1165"/>
      <c r="AP1195" s="1165"/>
      <c r="AQ1195" s="1165"/>
      <c r="AR1195" s="1165"/>
      <c r="AS1195" s="1165"/>
    </row>
    <row r="1196" spans="2:45" outlineLevel="1" x14ac:dyDescent="0.25">
      <c r="B1196" s="1359"/>
      <c r="C1196" s="375"/>
      <c r="D1196" s="3986"/>
      <c r="E1196" s="3090" t="str">
        <f t="shared" ref="E1196:E1206" si="159">E1134</f>
        <v>LED - 18W Flood Light PAR38 Bulb (Halogen baseline) LI DI</v>
      </c>
      <c r="F1196" s="1225">
        <v>15</v>
      </c>
      <c r="G1196" s="1225">
        <v>4.92</v>
      </c>
      <c r="H1196" s="3371"/>
      <c r="I1196" s="3804"/>
      <c r="V1196" s="3806"/>
      <c r="W1196" s="1258">
        <v>15</v>
      </c>
      <c r="X1196" s="1258">
        <v>15</v>
      </c>
      <c r="Y1196" s="1165">
        <v>15</v>
      </c>
      <c r="Z1196" s="1165">
        <v>15</v>
      </c>
      <c r="AA1196" s="1165">
        <v>15</v>
      </c>
      <c r="AB1196" s="1225">
        <v>15</v>
      </c>
      <c r="AC1196" s="1165"/>
      <c r="AD1196" s="1165"/>
      <c r="AE1196" s="1165"/>
      <c r="AF1196" s="1165"/>
      <c r="AG1196" s="1165"/>
      <c r="AI1196" s="1258">
        <v>4.92</v>
      </c>
      <c r="AJ1196" s="1258">
        <v>4.92</v>
      </c>
      <c r="AK1196" s="1258">
        <v>4.92</v>
      </c>
      <c r="AL1196" s="1258">
        <v>4.92</v>
      </c>
      <c r="AM1196" s="1258">
        <v>4.92</v>
      </c>
      <c r="AN1196" s="1225">
        <v>4.92</v>
      </c>
      <c r="AO1196" s="1165"/>
      <c r="AP1196" s="1165"/>
      <c r="AQ1196" s="1165"/>
      <c r="AR1196" s="1165"/>
      <c r="AS1196" s="1165"/>
    </row>
    <row r="1197" spans="2:45" outlineLevel="1" x14ac:dyDescent="0.25">
      <c r="B1197" s="1359"/>
      <c r="C1197" s="375"/>
      <c r="D1197" s="3986"/>
      <c r="E1197" s="3090" t="str">
        <f t="shared" si="159"/>
        <v>LED - 20W (Halogen baseline) (1490-2600 lumens) LIDI</v>
      </c>
      <c r="F1197" s="1225">
        <v>8</v>
      </c>
      <c r="G1197" s="1225">
        <v>7.83</v>
      </c>
      <c r="H1197" s="3371"/>
      <c r="I1197" s="3804"/>
      <c r="V1197" s="3806"/>
      <c r="W1197" s="1258">
        <v>8</v>
      </c>
      <c r="X1197" s="1258">
        <v>8</v>
      </c>
      <c r="Y1197" s="1165">
        <v>8</v>
      </c>
      <c r="Z1197" s="1165">
        <v>8</v>
      </c>
      <c r="AA1197" s="1165">
        <v>8</v>
      </c>
      <c r="AB1197" s="1225">
        <v>8</v>
      </c>
      <c r="AC1197" s="1165"/>
      <c r="AD1197" s="1165"/>
      <c r="AE1197" s="1165"/>
      <c r="AF1197" s="1165"/>
      <c r="AG1197" s="1165"/>
      <c r="AI1197" s="1258">
        <v>7.83</v>
      </c>
      <c r="AJ1197" s="1258">
        <v>7.83</v>
      </c>
      <c r="AK1197" s="1258">
        <v>7.83</v>
      </c>
      <c r="AL1197" s="1258">
        <v>7.83</v>
      </c>
      <c r="AM1197" s="1258">
        <v>7.83</v>
      </c>
      <c r="AN1197" s="1225">
        <v>7.83</v>
      </c>
      <c r="AO1197" s="1165"/>
      <c r="AP1197" s="1165"/>
      <c r="AQ1197" s="1165"/>
      <c r="AR1197" s="1165"/>
      <c r="AS1197" s="1165"/>
    </row>
    <row r="1198" spans="2:45" outlineLevel="1" x14ac:dyDescent="0.25">
      <c r="B1198" s="1359"/>
      <c r="C1198" s="375"/>
      <c r="D1198" s="3986"/>
      <c r="E1198" s="3090" t="str">
        <f t="shared" si="159"/>
        <v>LED - 4W Candelabra (Replacing Specialty Incandescent) LI DI</v>
      </c>
      <c r="F1198" s="1225">
        <v>7</v>
      </c>
      <c r="G1198" s="1225">
        <v>3.27</v>
      </c>
      <c r="H1198" s="3371"/>
      <c r="I1198" s="3804"/>
      <c r="V1198" s="3806"/>
      <c r="W1198" s="1258">
        <v>7</v>
      </c>
      <c r="X1198" s="1258">
        <v>7</v>
      </c>
      <c r="Y1198" s="1165">
        <v>7</v>
      </c>
      <c r="Z1198" s="1165">
        <v>7</v>
      </c>
      <c r="AA1198" s="1165">
        <v>7</v>
      </c>
      <c r="AB1198" s="1225">
        <v>7</v>
      </c>
      <c r="AC1198" s="1165"/>
      <c r="AD1198" s="1165"/>
      <c r="AE1198" s="1165"/>
      <c r="AF1198" s="1165"/>
      <c r="AG1198" s="1165"/>
      <c r="AI1198" s="1258">
        <v>3.27</v>
      </c>
      <c r="AJ1198" s="1258">
        <v>3.27</v>
      </c>
      <c r="AK1198" s="1258">
        <v>3.27</v>
      </c>
      <c r="AL1198" s="1258">
        <v>3.27</v>
      </c>
      <c r="AM1198" s="1258">
        <v>3.27</v>
      </c>
      <c r="AN1198" s="1225">
        <v>3.27</v>
      </c>
      <c r="AO1198" s="1165"/>
      <c r="AP1198" s="1165"/>
      <c r="AQ1198" s="1165"/>
      <c r="AR1198" s="1165"/>
      <c r="AS1198" s="1165"/>
    </row>
    <row r="1199" spans="2:45" outlineLevel="1" x14ac:dyDescent="0.25">
      <c r="B1199" s="1359"/>
      <c r="C1199" s="375"/>
      <c r="D1199" s="3986"/>
      <c r="E1199" s="3090" t="str">
        <f t="shared" si="159"/>
        <v>LED - 4W Candelabra (CFL baseline) LIDI</v>
      </c>
      <c r="F1199" s="1225">
        <v>7</v>
      </c>
      <c r="G1199" s="1225">
        <f>G1198</f>
        <v>3.27</v>
      </c>
      <c r="H1199" s="3371"/>
      <c r="I1199" s="3804"/>
      <c r="V1199" s="3806"/>
      <c r="W1199" s="1258">
        <v>7</v>
      </c>
      <c r="X1199" s="1258">
        <v>7</v>
      </c>
      <c r="Y1199" s="1165">
        <v>7</v>
      </c>
      <c r="Z1199" s="1165">
        <v>7</v>
      </c>
      <c r="AA1199" s="1165">
        <v>7</v>
      </c>
      <c r="AB1199" s="1225">
        <v>7</v>
      </c>
      <c r="AC1199" s="1165"/>
      <c r="AD1199" s="1165"/>
      <c r="AE1199" s="1165"/>
      <c r="AF1199" s="1165"/>
      <c r="AG1199" s="1165"/>
      <c r="AI1199" s="1258">
        <f>AI1198</f>
        <v>3.27</v>
      </c>
      <c r="AJ1199" s="1258">
        <v>3.27</v>
      </c>
      <c r="AK1199" s="1258">
        <v>3.27</v>
      </c>
      <c r="AL1199" s="1258">
        <v>3.27</v>
      </c>
      <c r="AM1199" s="1258">
        <v>3.27</v>
      </c>
      <c r="AN1199" s="1225">
        <f>AN1198</f>
        <v>3.27</v>
      </c>
      <c r="AO1199" s="1165"/>
      <c r="AP1199" s="1165"/>
      <c r="AQ1199" s="1165"/>
      <c r="AR1199" s="1165"/>
      <c r="AS1199" s="1165"/>
    </row>
    <row r="1200" spans="2:45" outlineLevel="1" x14ac:dyDescent="0.25">
      <c r="B1200" s="1359"/>
      <c r="C1200" s="375"/>
      <c r="D1200" s="3986"/>
      <c r="E1200" s="3090" t="str">
        <f t="shared" si="159"/>
        <v>LED - 8W Globe Light G25 Bulb (Replacing Specialty Incandescent) LI DI</v>
      </c>
      <c r="F1200" s="1225">
        <v>7</v>
      </c>
      <c r="G1200" s="1225">
        <v>3.27</v>
      </c>
      <c r="H1200" s="3371"/>
      <c r="I1200" s="3804"/>
      <c r="V1200" s="3806"/>
      <c r="W1200" s="1258">
        <v>7</v>
      </c>
      <c r="X1200" s="1258">
        <v>7</v>
      </c>
      <c r="Y1200" s="1165">
        <v>7</v>
      </c>
      <c r="Z1200" s="1165">
        <v>7</v>
      </c>
      <c r="AA1200" s="1165">
        <v>7</v>
      </c>
      <c r="AB1200" s="1225">
        <v>7</v>
      </c>
      <c r="AC1200" s="1165"/>
      <c r="AD1200" s="1165"/>
      <c r="AE1200" s="1165"/>
      <c r="AF1200" s="1165"/>
      <c r="AG1200" s="1165"/>
      <c r="AI1200" s="1258">
        <v>3.27</v>
      </c>
      <c r="AJ1200" s="1258">
        <v>3.27</v>
      </c>
      <c r="AK1200" s="1258">
        <v>3.27</v>
      </c>
      <c r="AL1200" s="1258">
        <v>3.27</v>
      </c>
      <c r="AM1200" s="1258">
        <v>3.27</v>
      </c>
      <c r="AN1200" s="1225">
        <v>3.27</v>
      </c>
      <c r="AO1200" s="1165"/>
      <c r="AP1200" s="1165"/>
      <c r="AQ1200" s="1165"/>
      <c r="AR1200" s="1165"/>
      <c r="AS1200" s="1165"/>
    </row>
    <row r="1201" spans="1:45" outlineLevel="1" x14ac:dyDescent="0.25">
      <c r="B1201" s="1359"/>
      <c r="C1201" s="375"/>
      <c r="D1201" s="3986"/>
      <c r="E1201" s="3090" t="str">
        <f t="shared" si="159"/>
        <v>LED - 8W Globe Light G25 Bulb (Replacing CFL) LIDI</v>
      </c>
      <c r="F1201" s="1225">
        <v>7</v>
      </c>
      <c r="G1201" s="1225">
        <f>G1200</f>
        <v>3.27</v>
      </c>
      <c r="H1201" s="3371"/>
      <c r="I1201" s="3804"/>
      <c r="V1201" s="3806"/>
      <c r="W1201" s="1258">
        <v>7</v>
      </c>
      <c r="X1201" s="1258">
        <v>7</v>
      </c>
      <c r="Y1201" s="1165">
        <v>7</v>
      </c>
      <c r="Z1201" s="1165">
        <v>7</v>
      </c>
      <c r="AA1201" s="1165">
        <v>7</v>
      </c>
      <c r="AB1201" s="1225">
        <v>7</v>
      </c>
      <c r="AC1201" s="1165"/>
      <c r="AD1201" s="1165"/>
      <c r="AE1201" s="1165"/>
      <c r="AF1201" s="1165"/>
      <c r="AG1201" s="1165"/>
      <c r="AI1201" s="1258">
        <f>AI1200</f>
        <v>3.27</v>
      </c>
      <c r="AJ1201" s="1258">
        <v>3.27</v>
      </c>
      <c r="AK1201" s="1258">
        <v>3.27</v>
      </c>
      <c r="AL1201" s="1258">
        <v>3.27</v>
      </c>
      <c r="AM1201" s="1258">
        <v>3.27</v>
      </c>
      <c r="AN1201" s="1225">
        <f>AN1200</f>
        <v>3.27</v>
      </c>
      <c r="AO1201" s="1165"/>
      <c r="AP1201" s="1165"/>
      <c r="AQ1201" s="1165"/>
      <c r="AR1201" s="1165"/>
      <c r="AS1201" s="1165"/>
    </row>
    <row r="1202" spans="1:45" outlineLevel="1" x14ac:dyDescent="0.25">
      <c r="B1202" s="1359"/>
      <c r="C1202" s="375"/>
      <c r="D1202" s="3986"/>
      <c r="E1202" s="3090" t="str">
        <f t="shared" si="159"/>
        <v>LED - 10W (CFL baseline) (750-1049 lumens) LIDI</v>
      </c>
      <c r="F1202" s="1951">
        <f>F1189</f>
        <v>6</v>
      </c>
      <c r="G1202" s="1951">
        <v>3.68</v>
      </c>
      <c r="H1202" s="3371"/>
      <c r="I1202" s="3804"/>
      <c r="V1202" s="3806"/>
      <c r="W1202" s="1259">
        <f>W1189</f>
        <v>6</v>
      </c>
      <c r="X1202" s="1259">
        <v>6</v>
      </c>
      <c r="Y1202" s="1165">
        <v>6</v>
      </c>
      <c r="Z1202" s="1165">
        <v>6</v>
      </c>
      <c r="AA1202" s="1165">
        <v>6</v>
      </c>
      <c r="AB1202" s="1951">
        <f>AB1189</f>
        <v>6</v>
      </c>
      <c r="AC1202" s="1165"/>
      <c r="AD1202" s="1165"/>
      <c r="AE1202" s="1165"/>
      <c r="AF1202" s="1165"/>
      <c r="AG1202" s="1165"/>
      <c r="AI1202" s="1259">
        <v>3.68</v>
      </c>
      <c r="AJ1202" s="1259">
        <v>3.68</v>
      </c>
      <c r="AK1202" s="1259">
        <v>3.68</v>
      </c>
      <c r="AL1202" s="1259">
        <v>3.68</v>
      </c>
      <c r="AM1202" s="1259">
        <v>3.68</v>
      </c>
      <c r="AN1202" s="1951">
        <v>3.68</v>
      </c>
      <c r="AO1202" s="1165"/>
      <c r="AP1202" s="1165"/>
      <c r="AQ1202" s="1165"/>
      <c r="AR1202" s="1165"/>
      <c r="AS1202" s="1165"/>
    </row>
    <row r="1203" spans="1:45" outlineLevel="1" x14ac:dyDescent="0.25">
      <c r="B1203" s="1359"/>
      <c r="C1203" s="375"/>
      <c r="D1203" s="3986"/>
      <c r="E1203" s="3090" t="str">
        <f t="shared" si="159"/>
        <v>LED - 10.5W Downlight E26 (CFL baseline) LIDI</v>
      </c>
      <c r="F1203" s="1951">
        <f>F1189</f>
        <v>6</v>
      </c>
      <c r="G1203" s="1951">
        <v>3.3</v>
      </c>
      <c r="H1203" s="3371"/>
      <c r="I1203" s="3804"/>
      <c r="V1203" s="3806"/>
      <c r="W1203" s="1259">
        <f>W1189</f>
        <v>6</v>
      </c>
      <c r="X1203" s="1259">
        <v>6</v>
      </c>
      <c r="Y1203" s="1165">
        <v>6</v>
      </c>
      <c r="Z1203" s="1165">
        <v>6</v>
      </c>
      <c r="AA1203" s="1165">
        <v>6</v>
      </c>
      <c r="AB1203" s="1951">
        <f>AB1189</f>
        <v>6</v>
      </c>
      <c r="AC1203" s="1165"/>
      <c r="AD1203" s="1165"/>
      <c r="AE1203" s="1165"/>
      <c r="AF1203" s="1165"/>
      <c r="AG1203" s="1165"/>
      <c r="AI1203" s="1259">
        <v>3.3</v>
      </c>
      <c r="AJ1203" s="1259">
        <v>3.3</v>
      </c>
      <c r="AK1203" s="1259">
        <v>3.3</v>
      </c>
      <c r="AL1203" s="1259">
        <v>3.3</v>
      </c>
      <c r="AM1203" s="1259">
        <v>3.3</v>
      </c>
      <c r="AN1203" s="1951">
        <v>3.3</v>
      </c>
      <c r="AO1203" s="1165"/>
      <c r="AP1203" s="1165"/>
      <c r="AQ1203" s="1165"/>
      <c r="AR1203" s="1165"/>
      <c r="AS1203" s="1165"/>
    </row>
    <row r="1204" spans="1:45" outlineLevel="1" x14ac:dyDescent="0.25">
      <c r="B1204" s="1359"/>
      <c r="C1204" s="375"/>
      <c r="D1204" s="3986"/>
      <c r="E1204" s="3090" t="str">
        <f t="shared" si="159"/>
        <v>LED - 12W Dimmable Light Bulb (Replacing CFL) LIDI</v>
      </c>
      <c r="F1204" s="1951">
        <f>F1191</f>
        <v>6</v>
      </c>
      <c r="G1204" s="1951">
        <v>3.53</v>
      </c>
      <c r="H1204" s="3371"/>
      <c r="I1204" s="3804"/>
      <c r="V1204" s="3806"/>
      <c r="W1204" s="1259">
        <f>W1191</f>
        <v>6</v>
      </c>
      <c r="X1204" s="1259">
        <v>6</v>
      </c>
      <c r="Y1204" s="1165">
        <v>6</v>
      </c>
      <c r="Z1204" s="1165">
        <v>6</v>
      </c>
      <c r="AA1204" s="1165">
        <v>6</v>
      </c>
      <c r="AB1204" s="1951">
        <f>AB1191</f>
        <v>6</v>
      </c>
      <c r="AC1204" s="1165"/>
      <c r="AD1204" s="1165"/>
      <c r="AE1204" s="1165"/>
      <c r="AF1204" s="1165"/>
      <c r="AG1204" s="1165"/>
      <c r="AI1204" s="1259">
        <v>3.53</v>
      </c>
      <c r="AJ1204" s="1259">
        <v>3.53</v>
      </c>
      <c r="AK1204" s="1259">
        <v>3.53</v>
      </c>
      <c r="AL1204" s="1259">
        <v>3.53</v>
      </c>
      <c r="AM1204" s="1259">
        <v>3.53</v>
      </c>
      <c r="AN1204" s="1951">
        <v>3.53</v>
      </c>
      <c r="AO1204" s="1165"/>
      <c r="AP1204" s="1165"/>
      <c r="AQ1204" s="1165"/>
      <c r="AR1204" s="1165"/>
      <c r="AS1204" s="1165"/>
    </row>
    <row r="1205" spans="1:45" outlineLevel="1" x14ac:dyDescent="0.25">
      <c r="B1205" s="1359"/>
      <c r="C1205" s="375"/>
      <c r="D1205" s="3986"/>
      <c r="E1205" s="3090" t="str">
        <f t="shared" si="159"/>
        <v>LED - 12W (Replacing CFL) LIDI</v>
      </c>
      <c r="F1205" s="1951">
        <f>F1191</f>
        <v>6</v>
      </c>
      <c r="G1205" s="1951">
        <f>G1191</f>
        <v>4.72</v>
      </c>
      <c r="H1205" s="3371"/>
      <c r="I1205" s="3804"/>
      <c r="V1205" s="3806"/>
      <c r="W1205" s="1259">
        <f>W1191</f>
        <v>6</v>
      </c>
      <c r="X1205" s="1259">
        <v>6</v>
      </c>
      <c r="Y1205" s="1165">
        <v>6</v>
      </c>
      <c r="Z1205" s="1165">
        <v>6</v>
      </c>
      <c r="AA1205" s="1165">
        <v>6</v>
      </c>
      <c r="AB1205" s="1951">
        <f>AB1191</f>
        <v>6</v>
      </c>
      <c r="AC1205" s="1165"/>
      <c r="AD1205" s="1165"/>
      <c r="AE1205" s="1165"/>
      <c r="AF1205" s="1165"/>
      <c r="AG1205" s="1165"/>
      <c r="AI1205" s="1259">
        <f>AI1191</f>
        <v>4.72</v>
      </c>
      <c r="AJ1205" s="1259">
        <v>4.72</v>
      </c>
      <c r="AK1205" s="1259">
        <v>4.72</v>
      </c>
      <c r="AL1205" s="1259">
        <v>4.72</v>
      </c>
      <c r="AM1205" s="1259">
        <v>4.72</v>
      </c>
      <c r="AN1205" s="1951">
        <f>AN1191</f>
        <v>4.72</v>
      </c>
      <c r="AO1205" s="1165"/>
      <c r="AP1205" s="1165"/>
      <c r="AQ1205" s="1165"/>
      <c r="AR1205" s="1165"/>
      <c r="AS1205" s="1165"/>
    </row>
    <row r="1206" spans="1:45" outlineLevel="1" x14ac:dyDescent="0.25">
      <c r="B1206" s="1359"/>
      <c r="C1206" s="375"/>
      <c r="D1206" s="3986"/>
      <c r="E1206" s="3090" t="str">
        <f t="shared" si="159"/>
        <v>LED - 15W (CFL baseline) (1050-1489 lumens) LIDI</v>
      </c>
      <c r="F1206" s="1951">
        <f>F1193</f>
        <v>8</v>
      </c>
      <c r="G1206" s="1951">
        <f>G1193</f>
        <v>6.27</v>
      </c>
      <c r="H1206" s="3371"/>
      <c r="I1206" s="3804"/>
      <c r="V1206" s="3806"/>
      <c r="W1206" s="1259">
        <f>W1193</f>
        <v>8</v>
      </c>
      <c r="X1206" s="1259">
        <v>8</v>
      </c>
      <c r="Y1206" s="1165">
        <v>8</v>
      </c>
      <c r="Z1206" s="1165">
        <v>8</v>
      </c>
      <c r="AA1206" s="1165">
        <v>8</v>
      </c>
      <c r="AB1206" s="1951">
        <f>AB1193</f>
        <v>8</v>
      </c>
      <c r="AC1206" s="1165"/>
      <c r="AD1206" s="1165"/>
      <c r="AE1206" s="1165"/>
      <c r="AF1206" s="1165"/>
      <c r="AG1206" s="1165"/>
      <c r="AI1206" s="1259">
        <f>AI1193</f>
        <v>6.27</v>
      </c>
      <c r="AJ1206" s="1259">
        <v>6.27</v>
      </c>
      <c r="AK1206" s="1259">
        <v>6.27</v>
      </c>
      <c r="AL1206" s="1259">
        <v>6.27</v>
      </c>
      <c r="AM1206" s="1259">
        <v>6.27</v>
      </c>
      <c r="AN1206" s="1951">
        <f>AN1193</f>
        <v>6.27</v>
      </c>
      <c r="AO1206" s="1165"/>
      <c r="AP1206" s="1165"/>
      <c r="AQ1206" s="1165"/>
      <c r="AR1206" s="1165"/>
      <c r="AS1206" s="1165"/>
    </row>
    <row r="1207" spans="1:45" outlineLevel="1" x14ac:dyDescent="0.25">
      <c r="B1207" s="1359"/>
      <c r="C1207" s="2368"/>
      <c r="D1207" s="3986"/>
      <c r="E1207" s="3090" t="s">
        <v>3620</v>
      </c>
      <c r="F1207" s="1951">
        <v>10</v>
      </c>
      <c r="G1207" s="1951">
        <v>4.92</v>
      </c>
      <c r="H1207" s="3371"/>
      <c r="I1207" s="3804"/>
      <c r="V1207" s="3806"/>
      <c r="W1207" s="1259"/>
      <c r="X1207" s="1259"/>
      <c r="Y1207" s="1165"/>
      <c r="Z1207" s="1165"/>
      <c r="AA1207" s="1165"/>
      <c r="AB1207" s="2470">
        <v>10</v>
      </c>
      <c r="AC1207" s="1165"/>
      <c r="AD1207" s="1165"/>
      <c r="AE1207" s="1165"/>
      <c r="AF1207" s="1165"/>
      <c r="AG1207" s="1165"/>
      <c r="AI1207" s="1259"/>
      <c r="AJ1207" s="1259"/>
      <c r="AK1207" s="1259"/>
      <c r="AL1207" s="1259"/>
      <c r="AM1207" s="1259"/>
      <c r="AN1207" s="2470">
        <v>4.92</v>
      </c>
      <c r="AO1207" s="1165"/>
      <c r="AP1207" s="1165"/>
      <c r="AQ1207" s="1165"/>
      <c r="AR1207" s="1165"/>
      <c r="AS1207" s="1165"/>
    </row>
    <row r="1208" spans="1:45" outlineLevel="1" x14ac:dyDescent="0.25">
      <c r="B1208" s="1359"/>
      <c r="C1208" s="375"/>
      <c r="D1208" s="3986"/>
      <c r="E1208" s="3090" t="str">
        <f>E1146</f>
        <v>LED - 15W Flood Light PAR30 Bulb (CFL baseline) LIDI</v>
      </c>
      <c r="F1208" s="1951">
        <f>F1195</f>
        <v>10</v>
      </c>
      <c r="G1208" s="1951">
        <v>4.92</v>
      </c>
      <c r="H1208" s="3371"/>
      <c r="I1208" s="3804"/>
      <c r="V1208" s="3806"/>
      <c r="W1208" s="1259">
        <f>W1195</f>
        <v>10</v>
      </c>
      <c r="X1208" s="1259">
        <v>10</v>
      </c>
      <c r="Y1208" s="1165">
        <v>10</v>
      </c>
      <c r="Z1208" s="1165">
        <v>10</v>
      </c>
      <c r="AA1208" s="1165">
        <v>10</v>
      </c>
      <c r="AB1208" s="1951">
        <f>AB1195</f>
        <v>10</v>
      </c>
      <c r="AC1208" s="1165"/>
      <c r="AD1208" s="1165"/>
      <c r="AE1208" s="1165"/>
      <c r="AF1208" s="1165"/>
      <c r="AG1208" s="1165"/>
      <c r="AI1208" s="1259">
        <v>4.92</v>
      </c>
      <c r="AJ1208" s="1259">
        <v>4.92</v>
      </c>
      <c r="AK1208" s="1259">
        <v>4.92</v>
      </c>
      <c r="AL1208" s="1259">
        <v>4.92</v>
      </c>
      <c r="AM1208" s="1259">
        <v>4.92</v>
      </c>
      <c r="AN1208" s="1951">
        <v>4.92</v>
      </c>
      <c r="AO1208" s="1165"/>
      <c r="AP1208" s="1165"/>
      <c r="AQ1208" s="1165"/>
      <c r="AR1208" s="1165"/>
      <c r="AS1208" s="1165"/>
    </row>
    <row r="1209" spans="1:45" outlineLevel="1" x14ac:dyDescent="0.25">
      <c r="B1209" s="1359"/>
      <c r="C1209" s="375"/>
      <c r="D1209" s="3986"/>
      <c r="E1209" s="3090" t="str">
        <f>E1147</f>
        <v>LED - 18W Flood Light PAR38 Bulb (CFL baseline) LIDI</v>
      </c>
      <c r="F1209" s="1951">
        <f>F1196</f>
        <v>15</v>
      </c>
      <c r="G1209" s="1951">
        <v>4.92</v>
      </c>
      <c r="H1209" s="3371"/>
      <c r="I1209" s="3804"/>
      <c r="V1209" s="3806"/>
      <c r="W1209" s="1259">
        <f>W1196</f>
        <v>15</v>
      </c>
      <c r="X1209" s="1259">
        <v>15</v>
      </c>
      <c r="Y1209" s="1165">
        <v>15</v>
      </c>
      <c r="Z1209" s="1165">
        <v>15</v>
      </c>
      <c r="AA1209" s="1165">
        <v>15</v>
      </c>
      <c r="AB1209" s="1951">
        <f>AB1196</f>
        <v>15</v>
      </c>
      <c r="AC1209" s="1165"/>
      <c r="AD1209" s="1165"/>
      <c r="AE1209" s="1165"/>
      <c r="AF1209" s="1165"/>
      <c r="AG1209" s="1165"/>
      <c r="AI1209" s="1259">
        <v>4.92</v>
      </c>
      <c r="AJ1209" s="1259">
        <v>4.92</v>
      </c>
      <c r="AK1209" s="1259">
        <v>4.92</v>
      </c>
      <c r="AL1209" s="1259">
        <v>4.92</v>
      </c>
      <c r="AM1209" s="1259">
        <v>4.92</v>
      </c>
      <c r="AN1209" s="1951">
        <v>4.92</v>
      </c>
      <c r="AO1209" s="1165"/>
      <c r="AP1209" s="1165"/>
      <c r="AQ1209" s="1165"/>
      <c r="AR1209" s="1165"/>
      <c r="AS1209" s="1165"/>
    </row>
    <row r="1210" spans="1:45" outlineLevel="1" x14ac:dyDescent="0.25">
      <c r="B1210" s="1148"/>
      <c r="C1210" s="375"/>
      <c r="D1210" s="3986"/>
      <c r="E1210" s="3090" t="str">
        <f>E1148</f>
        <v>LED - 20W (CFL baseline) (1490-2600 lumens) LIDI</v>
      </c>
      <c r="F1210" s="1951">
        <f>F1197</f>
        <v>8</v>
      </c>
      <c r="G1210" s="1951">
        <f>G1197</f>
        <v>7.83</v>
      </c>
      <c r="H1210" s="3371"/>
      <c r="I1210" s="3804"/>
      <c r="V1210" s="3806"/>
      <c r="W1210" s="1259">
        <f>W1197</f>
        <v>8</v>
      </c>
      <c r="X1210" s="1259">
        <v>8</v>
      </c>
      <c r="Y1210" s="1165">
        <v>8</v>
      </c>
      <c r="Z1210" s="1165">
        <v>8</v>
      </c>
      <c r="AA1210" s="1165">
        <v>8</v>
      </c>
      <c r="AB1210" s="1951">
        <f>AB1197</f>
        <v>8</v>
      </c>
      <c r="AC1210" s="1165"/>
      <c r="AD1210" s="1165"/>
      <c r="AE1210" s="1165"/>
      <c r="AF1210" s="1165"/>
      <c r="AG1210" s="1165"/>
      <c r="AI1210" s="1259">
        <f>AI1197</f>
        <v>7.83</v>
      </c>
      <c r="AJ1210" s="1259">
        <v>7.83</v>
      </c>
      <c r="AK1210" s="1259">
        <v>7.83</v>
      </c>
      <c r="AL1210" s="1259">
        <v>7.83</v>
      </c>
      <c r="AM1210" s="1259">
        <v>7.83</v>
      </c>
      <c r="AN1210" s="1951">
        <f>AN1197</f>
        <v>7.83</v>
      </c>
      <c r="AO1210" s="1165"/>
      <c r="AP1210" s="1165"/>
      <c r="AQ1210" s="1165"/>
      <c r="AR1210" s="1165"/>
      <c r="AS1210" s="1165"/>
    </row>
    <row r="1211" spans="1:45" outlineLevel="1" x14ac:dyDescent="0.25">
      <c r="B1211" s="1148"/>
      <c r="C1211" s="2368"/>
      <c r="D1211" s="3986"/>
      <c r="E1211" s="3090" t="str">
        <f>E1150</f>
        <v>LED - 10.5W Downlight E26 (EISA baseline) LI DI</v>
      </c>
      <c r="F1211" s="1951">
        <f>F1198</f>
        <v>7</v>
      </c>
      <c r="G1211" s="1951">
        <f>G1198</f>
        <v>3.27</v>
      </c>
      <c r="H1211" s="3371"/>
      <c r="I1211" s="3804"/>
      <c r="V1211" s="3806"/>
      <c r="W1211" s="1259"/>
      <c r="X1211" s="1259"/>
      <c r="Y1211" s="1165"/>
      <c r="Z1211" s="1165"/>
      <c r="AA1211" s="2470">
        <f>AA1198</f>
        <v>7</v>
      </c>
      <c r="AB1211" s="1951">
        <f>AB1198</f>
        <v>7</v>
      </c>
      <c r="AC1211" s="1165"/>
      <c r="AD1211" s="1165"/>
      <c r="AE1211" s="1165"/>
      <c r="AF1211" s="1165"/>
      <c r="AG1211" s="1165"/>
      <c r="AI1211" s="1259"/>
      <c r="AJ1211" s="1259"/>
      <c r="AK1211" s="1259"/>
      <c r="AL1211" s="1259"/>
      <c r="AM1211" s="2470">
        <f>AM1198</f>
        <v>3.27</v>
      </c>
      <c r="AN1211" s="1951">
        <f>AN1198</f>
        <v>3.27</v>
      </c>
      <c r="AO1211" s="1165"/>
      <c r="AP1211" s="1165"/>
      <c r="AQ1211" s="1165"/>
      <c r="AR1211" s="1165"/>
      <c r="AS1211" s="1165"/>
    </row>
    <row r="1212" spans="1:45" outlineLevel="1" x14ac:dyDescent="0.25">
      <c r="A1212" s="157"/>
      <c r="B1212" s="157"/>
      <c r="C1212" s="385"/>
      <c r="D1212" s="3986"/>
      <c r="E1212" s="3090" t="s">
        <v>3619</v>
      </c>
      <c r="F1212" s="3282">
        <f>F1190</f>
        <v>6</v>
      </c>
      <c r="G1212" s="3282">
        <f>G1190</f>
        <v>3.68</v>
      </c>
      <c r="H1212" s="3371" t="s">
        <v>3627</v>
      </c>
      <c r="I1212" s="3804"/>
      <c r="J1212" s="157"/>
      <c r="K1212" s="157"/>
      <c r="L1212" s="157"/>
      <c r="M1212" s="157"/>
      <c r="N1212" s="157"/>
      <c r="V1212" s="3807"/>
      <c r="W1212" s="1259"/>
      <c r="X1212" s="1259"/>
      <c r="Y1212" s="1165"/>
      <c r="Z1212" s="1165"/>
      <c r="AA1212" s="1165"/>
      <c r="AB1212" s="2475">
        <f>AB1190</f>
        <v>6</v>
      </c>
      <c r="AC1212" s="1165"/>
      <c r="AD1212" s="1165"/>
      <c r="AE1212" s="1165"/>
      <c r="AF1212" s="1165"/>
      <c r="AG1212" s="1165"/>
      <c r="AI1212" s="1259"/>
      <c r="AJ1212" s="1259"/>
      <c r="AK1212" s="1259"/>
      <c r="AL1212" s="1259"/>
      <c r="AM1212" s="1259"/>
      <c r="AN1212" s="2475">
        <f>AN1190</f>
        <v>3.68</v>
      </c>
      <c r="AO1212" s="1165"/>
      <c r="AP1212" s="1165"/>
      <c r="AQ1212" s="1165"/>
      <c r="AR1212" s="1165"/>
      <c r="AS1212" s="1165"/>
    </row>
    <row r="1213" spans="1:45" outlineLevel="1" x14ac:dyDescent="0.25">
      <c r="A1213" s="157"/>
      <c r="B1213" s="157"/>
      <c r="C1213" s="385"/>
      <c r="D1213" s="386"/>
      <c r="E1213" s="386"/>
      <c r="F1213" s="157"/>
      <c r="G1213" s="157"/>
      <c r="H1213" s="157"/>
      <c r="I1213" s="157"/>
      <c r="J1213" s="157"/>
      <c r="K1213" s="157"/>
      <c r="L1213" s="157"/>
      <c r="M1213" s="157"/>
      <c r="N1213" s="157"/>
      <c r="V1213" s="976"/>
      <c r="W1213" s="976"/>
      <c r="X1213" s="976"/>
      <c r="AK1213" s="982"/>
    </row>
    <row r="1214" spans="1:45" x14ac:dyDescent="0.25">
      <c r="A1214" s="157"/>
      <c r="B1214" s="157"/>
      <c r="C1214" s="385"/>
      <c r="D1214" s="386"/>
      <c r="E1214" s="386"/>
      <c r="F1214" s="157"/>
      <c r="G1214" s="157"/>
      <c r="H1214" s="157"/>
      <c r="I1214" s="157"/>
      <c r="J1214" s="157"/>
      <c r="K1214" s="157"/>
      <c r="L1214" s="157"/>
      <c r="M1214" s="157"/>
      <c r="N1214" s="157"/>
      <c r="V1214" s="976"/>
      <c r="W1214" s="976"/>
      <c r="X1214" s="976"/>
      <c r="AK1214" s="982"/>
    </row>
    <row r="1215" spans="1:45" x14ac:dyDescent="0.25">
      <c r="A1215" s="157"/>
      <c r="B1215" s="3350" t="s">
        <v>1036</v>
      </c>
      <c r="C1215" s="3351"/>
      <c r="D1215" s="3351"/>
      <c r="E1215" s="3351"/>
      <c r="F1215" s="3351"/>
      <c r="G1215" s="3351"/>
      <c r="H1215" s="3351"/>
      <c r="I1215" s="3351"/>
      <c r="J1215" s="3351"/>
      <c r="K1215" s="3351"/>
      <c r="L1215" s="3351"/>
      <c r="M1215" s="3351"/>
      <c r="N1215" s="3351"/>
      <c r="O1215" s="3351"/>
      <c r="P1215" s="3351"/>
      <c r="Q1215" s="3351"/>
      <c r="R1215" s="3593"/>
      <c r="V1215" s="3350" t="str">
        <f>B1215</f>
        <v>Advanced Power Strips Tier 1  / Load Sensing</v>
      </c>
      <c r="W1215" s="3351"/>
      <c r="X1215" s="3351"/>
      <c r="Y1215" s="3351"/>
      <c r="Z1215" s="3351"/>
      <c r="AA1215" s="3351"/>
      <c r="AB1215" s="3351"/>
      <c r="AC1215" s="3354"/>
      <c r="AD1215" s="3354"/>
      <c r="AE1215" s="3354"/>
      <c r="AF1215" s="3354"/>
      <c r="AG1215" s="3354"/>
      <c r="AH1215" s="3354"/>
      <c r="AI1215" s="3355"/>
      <c r="AK1215" s="982"/>
    </row>
    <row r="1216" spans="1:45" x14ac:dyDescent="0.25">
      <c r="A1216" s="157"/>
      <c r="B1216" s="157"/>
      <c r="C1216" s="385"/>
      <c r="D1216" s="386"/>
      <c r="E1216" s="386"/>
      <c r="F1216" s="157"/>
      <c r="G1216" s="157"/>
      <c r="H1216" s="157"/>
      <c r="I1216" s="157"/>
      <c r="J1216" s="157"/>
      <c r="K1216" s="157"/>
      <c r="L1216" s="157"/>
      <c r="M1216" s="157"/>
      <c r="N1216" s="157"/>
      <c r="AK1216" s="982"/>
    </row>
    <row r="1217" spans="1:57" ht="30" x14ac:dyDescent="0.25">
      <c r="A1217" s="157"/>
      <c r="B1217" s="157"/>
      <c r="C1217" s="1409" t="s">
        <v>17</v>
      </c>
      <c r="D1217" s="1409" t="s">
        <v>616</v>
      </c>
      <c r="E1217" s="1409" t="s">
        <v>19</v>
      </c>
      <c r="F1217" s="1409" t="s">
        <v>20</v>
      </c>
      <c r="G1217" s="1409" t="s">
        <v>21</v>
      </c>
      <c r="H1217" s="1409" t="s">
        <v>22</v>
      </c>
      <c r="I1217" s="1409" t="s">
        <v>23</v>
      </c>
      <c r="J1217" s="1409" t="s">
        <v>24</v>
      </c>
      <c r="K1217" s="1409" t="s">
        <v>25</v>
      </c>
      <c r="L1217" s="1409" t="s">
        <v>26</v>
      </c>
      <c r="M1217" s="157"/>
      <c r="N1217" s="157"/>
      <c r="V1217" s="55" t="s">
        <v>27</v>
      </c>
      <c r="W1217" s="56">
        <v>43252</v>
      </c>
      <c r="X1217" s="56">
        <f>$X$6</f>
        <v>43465</v>
      </c>
      <c r="Y1217" s="420">
        <f>$Y$6</f>
        <v>43800</v>
      </c>
      <c r="Z1217" s="56">
        <f>$Z$6</f>
        <v>43862</v>
      </c>
      <c r="AA1217" s="56">
        <f>$AA$6</f>
        <v>44013</v>
      </c>
      <c r="AB1217" s="56">
        <f>$AB$6</f>
        <v>44166</v>
      </c>
      <c r="AC1217" s="56" t="str">
        <f>$AC$6</f>
        <v>-</v>
      </c>
      <c r="AD1217" s="56" t="str">
        <f>$AD$6</f>
        <v>-</v>
      </c>
      <c r="AE1217" s="56" t="str">
        <f>$AE$6</f>
        <v>-</v>
      </c>
      <c r="AF1217" s="56" t="str">
        <f>$AF$6</f>
        <v>-</v>
      </c>
      <c r="AG1217" s="56" t="str">
        <f>$AG$6</f>
        <v>-</v>
      </c>
      <c r="AK1217" s="982"/>
      <c r="BB1217" s="57" t="str">
        <f>$BB$6</f>
        <v>TRC (2020)</v>
      </c>
      <c r="BC1217" s="93" t="str">
        <f>$BC$6</f>
        <v>Benefit Lookup</v>
      </c>
      <c r="BD1217" s="741" t="str">
        <f>$BD$6</f>
        <v>Benefits (2019 $)</v>
      </c>
      <c r="BE1217" s="279" t="str">
        <f>$BE$6</f>
        <v>Incremental Cost (2019 $)</v>
      </c>
    </row>
    <row r="1218" spans="1:57" x14ac:dyDescent="0.25">
      <c r="A1218" s="157"/>
      <c r="B1218" s="157"/>
      <c r="C1218" s="1323" t="s">
        <v>2020</v>
      </c>
      <c r="D1218" s="3022" t="s">
        <v>1968</v>
      </c>
      <c r="E1218" s="3014" t="s">
        <v>3701</v>
      </c>
      <c r="F1218" s="1266">
        <f>ROUND((G$1236*G1242+G$1237*G1238)*G$1246,2)</f>
        <v>31</v>
      </c>
      <c r="G1218" s="1260" t="s">
        <v>784</v>
      </c>
      <c r="H1218" s="202">
        <f>VLOOKUP(G1218,'CP FACTORS'!$A$3:$B$38, 2, FALSE)</f>
        <v>1.148238E-4</v>
      </c>
      <c r="I1218" s="1733">
        <f t="shared" ref="I1218:I1228" si="160">ROUND(F1218*H1218,6)</f>
        <v>3.5599999999999998E-3</v>
      </c>
      <c r="J1218" s="187">
        <v>10</v>
      </c>
      <c r="K1218" s="619">
        <f>$G$1249</f>
        <v>20</v>
      </c>
      <c r="L1218" s="86" t="s">
        <v>37</v>
      </c>
      <c r="M1218" s="157"/>
      <c r="N1218" s="157"/>
      <c r="V1218" s="1261" t="str">
        <f>$F$1217</f>
        <v>kWh Annual Savings</v>
      </c>
      <c r="W1218" s="1262">
        <v>31</v>
      </c>
      <c r="X1218" s="1262">
        <v>31</v>
      </c>
      <c r="Y1218" s="1262">
        <v>31</v>
      </c>
      <c r="Z1218" s="1262">
        <v>31</v>
      </c>
      <c r="AA1218" s="1262">
        <v>31</v>
      </c>
      <c r="AB1218" s="2832">
        <v>31</v>
      </c>
      <c r="AC1218" s="209"/>
      <c r="AD1218" s="209"/>
      <c r="AE1218" s="209"/>
      <c r="AF1218" s="209"/>
      <c r="AG1218" s="209"/>
      <c r="AK1218" s="982"/>
      <c r="BB1218" s="67">
        <f t="shared" ref="BB1218" si="161">(BD1218)/(BE1218)</f>
        <v>0.56629728930217338</v>
      </c>
      <c r="BC1218" s="68" t="str">
        <f>CONCATENATE(G1218," ",J1218," Year EUL")</f>
        <v>Miscellaneous RES 10 Year EUL</v>
      </c>
      <c r="BD1218" s="145">
        <f>(INDEX('Avoided Cost Benefits'!$C$4:$C$857,MATCH(BC1218,'Avoided Cost Benefits'!$A$4:$A$857,0)))*F1218</f>
        <v>10.689896919342583</v>
      </c>
      <c r="BE1218" s="69">
        <f>K1218/(1.0595^(2020-2019))</f>
        <v>18.876828692779611</v>
      </c>
    </row>
    <row r="1219" spans="1:57" x14ac:dyDescent="0.25">
      <c r="A1219" s="157"/>
      <c r="B1219" s="157"/>
      <c r="C1219" s="1102" t="s">
        <v>3782</v>
      </c>
      <c r="D1219" s="3008" t="s">
        <v>1968</v>
      </c>
      <c r="E1219" s="3008" t="s">
        <v>3702</v>
      </c>
      <c r="F1219" s="596">
        <f>ROUND((G$1236*G1242+G$1237*G1238)*G$1246,2)</f>
        <v>31</v>
      </c>
      <c r="G1219" s="1260" t="s">
        <v>784</v>
      </c>
      <c r="H1219" s="202">
        <f>VLOOKUP(G1219,'CP FACTORS'!$A$3:$B$38, 2, FALSE)</f>
        <v>1.148238E-4</v>
      </c>
      <c r="I1219" s="1733">
        <f t="shared" si="160"/>
        <v>3.5599999999999998E-3</v>
      </c>
      <c r="J1219" s="187">
        <v>10</v>
      </c>
      <c r="K1219" s="619">
        <f>$G$1250</f>
        <v>30</v>
      </c>
      <c r="L1219" s="86" t="s">
        <v>37</v>
      </c>
      <c r="M1219" s="157"/>
      <c r="N1219" s="157"/>
      <c r="V1219" s="2833" t="str">
        <f t="shared" ref="V1219:V1228" si="162">$F$1217</f>
        <v>kWh Annual Savings</v>
      </c>
      <c r="W1219" s="1262"/>
      <c r="X1219" s="1262"/>
      <c r="Y1219" s="1262"/>
      <c r="Z1219" s="1262"/>
      <c r="AA1219" s="1262"/>
      <c r="AB1219" s="2832">
        <v>31</v>
      </c>
      <c r="AC1219" s="209"/>
      <c r="AD1219" s="209"/>
      <c r="AE1219" s="209"/>
      <c r="AF1219" s="209"/>
      <c r="AG1219" s="209"/>
      <c r="AK1219" s="982"/>
      <c r="BB1219" s="2292">
        <f t="shared" ref="BB1219:BB1224" si="163">(BD1219)/(BE1219)</f>
        <v>0.37753152620144892</v>
      </c>
      <c r="BC1219" s="2922" t="str">
        <f t="shared" ref="BC1219:BC1224" si="164">CONCATENATE(G1219," ",J1219," Year EUL")</f>
        <v>Miscellaneous RES 10 Year EUL</v>
      </c>
      <c r="BD1219" s="145">
        <f>(INDEX('Avoided Cost Benefits'!$C$4:$C$857,MATCH(BC1219,'Avoided Cost Benefits'!$A$4:$A$857,0)))*F1219</f>
        <v>10.689896919342583</v>
      </c>
      <c r="BE1219" s="2293">
        <f t="shared" ref="BE1219:BE1224" si="165">K1219/(1.0595^(2020-2019))</f>
        <v>28.315243039169417</v>
      </c>
    </row>
    <row r="1220" spans="1:57" x14ac:dyDescent="0.25">
      <c r="A1220" s="157"/>
      <c r="B1220" s="157"/>
      <c r="C1220" s="1323" t="s">
        <v>2022</v>
      </c>
      <c r="D1220" s="3022" t="s">
        <v>1968</v>
      </c>
      <c r="E1220" s="3014" t="s">
        <v>2023</v>
      </c>
      <c r="F1220" s="1266">
        <f>ROUND((G1236*G1242+G1237*G1243)*G1247,2)</f>
        <v>24.18</v>
      </c>
      <c r="G1220" s="1260" t="s">
        <v>784</v>
      </c>
      <c r="H1220" s="202">
        <f>VLOOKUP(G1220,'CP FACTORS'!$A$3:$B$38, 2, FALSE)</f>
        <v>1.148238E-4</v>
      </c>
      <c r="I1220" s="1733">
        <f t="shared" si="160"/>
        <v>2.7759999999999998E-3</v>
      </c>
      <c r="J1220" s="187">
        <v>10</v>
      </c>
      <c r="K1220" s="619">
        <f>$G$1249</f>
        <v>20</v>
      </c>
      <c r="L1220" s="86" t="s">
        <v>37</v>
      </c>
      <c r="M1220" s="157"/>
      <c r="N1220" s="157"/>
      <c r="V1220" s="1261" t="str">
        <f t="shared" si="162"/>
        <v>kWh Annual Savings</v>
      </c>
      <c r="W1220" s="1262">
        <v>24.18</v>
      </c>
      <c r="X1220" s="1262">
        <v>24.18</v>
      </c>
      <c r="Y1220" s="1262">
        <v>24.18</v>
      </c>
      <c r="Z1220" s="1262">
        <v>24.18</v>
      </c>
      <c r="AA1220" s="1262">
        <v>24.18</v>
      </c>
      <c r="AB1220" s="2832">
        <v>24.18</v>
      </c>
      <c r="AC1220" s="209"/>
      <c r="AD1220" s="209"/>
      <c r="AE1220" s="209"/>
      <c r="AF1220" s="209"/>
      <c r="AG1220" s="209"/>
      <c r="AH1220" s="993"/>
      <c r="AI1220" s="993"/>
      <c r="AK1220" s="982"/>
      <c r="BB1220" s="2292">
        <f t="shared" si="163"/>
        <v>0.4417118856556953</v>
      </c>
      <c r="BC1220" s="2922" t="str">
        <f t="shared" si="164"/>
        <v>Miscellaneous RES 10 Year EUL</v>
      </c>
      <c r="BD1220" s="145">
        <f>(INDEX('Avoided Cost Benefits'!$C$4:$C$857,MATCH(BC1220,'Avoided Cost Benefits'!$A$4:$A$857,0)))*F1220</f>
        <v>8.338119597087216</v>
      </c>
      <c r="BE1220" s="2293">
        <f t="shared" si="165"/>
        <v>18.876828692779611</v>
      </c>
    </row>
    <row r="1221" spans="1:57" x14ac:dyDescent="0.25">
      <c r="A1221" s="157"/>
      <c r="B1221" s="157"/>
      <c r="C1221" s="1323" t="s">
        <v>2024</v>
      </c>
      <c r="D1221" s="3022" t="s">
        <v>1968</v>
      </c>
      <c r="E1221" s="3014" t="s">
        <v>3703</v>
      </c>
      <c r="F1221" s="1266">
        <f>ROUND((G1236*G1238+G1237*G1239)*G1246,2)</f>
        <v>75.099999999999994</v>
      </c>
      <c r="G1221" s="1260" t="s">
        <v>784</v>
      </c>
      <c r="H1221" s="202">
        <f>VLOOKUP(G1221,'CP FACTORS'!$A$3:$B$38, 2, FALSE)</f>
        <v>1.148238E-4</v>
      </c>
      <c r="I1221" s="1733">
        <f t="shared" si="160"/>
        <v>8.6230000000000005E-3</v>
      </c>
      <c r="J1221" s="187">
        <v>10</v>
      </c>
      <c r="K1221" s="619">
        <f>$G$1249</f>
        <v>20</v>
      </c>
      <c r="L1221" s="86" t="s">
        <v>37</v>
      </c>
      <c r="M1221" s="157"/>
      <c r="N1221" s="157"/>
      <c r="V1221" s="1261" t="str">
        <f t="shared" si="162"/>
        <v>kWh Annual Savings</v>
      </c>
      <c r="W1221" s="1262">
        <v>75.099999999999994</v>
      </c>
      <c r="X1221" s="1262">
        <v>75.099999999999994</v>
      </c>
      <c r="Y1221" s="1262">
        <v>75.099999999999994</v>
      </c>
      <c r="Z1221" s="1262">
        <v>75.099999999999994</v>
      </c>
      <c r="AA1221" s="1262">
        <v>75.099999999999994</v>
      </c>
      <c r="AB1221" s="2832">
        <v>75.099999999999994</v>
      </c>
      <c r="AC1221" s="209"/>
      <c r="AD1221" s="209"/>
      <c r="AE1221" s="209"/>
      <c r="AF1221" s="209"/>
      <c r="AG1221" s="209"/>
      <c r="AH1221" s="993"/>
      <c r="AI1221" s="993"/>
      <c r="AK1221" s="982"/>
      <c r="BB1221" s="2292">
        <f t="shared" si="163"/>
        <v>1.3719008524707492</v>
      </c>
      <c r="BC1221" s="2922" t="str">
        <f t="shared" si="164"/>
        <v>Miscellaneous RES 10 Year EUL</v>
      </c>
      <c r="BD1221" s="145">
        <f>(INDEX('Avoided Cost Benefits'!$C$4:$C$857,MATCH(BC1221,'Avoided Cost Benefits'!$A$4:$A$857,0)))*F1221</f>
        <v>25.897137375568647</v>
      </c>
      <c r="BE1221" s="2293">
        <f t="shared" si="165"/>
        <v>18.876828692779611</v>
      </c>
    </row>
    <row r="1222" spans="1:57" x14ac:dyDescent="0.25">
      <c r="A1222" s="157"/>
      <c r="B1222" s="157"/>
      <c r="C1222" s="1102" t="s">
        <v>3783</v>
      </c>
      <c r="D1222" s="3008" t="s">
        <v>1968</v>
      </c>
      <c r="E1222" s="3008" t="s">
        <v>3704</v>
      </c>
      <c r="F1222" s="596">
        <f>ROUND((G1236*G1238+G1237*G1239)*G1246,2)</f>
        <v>75.099999999999994</v>
      </c>
      <c r="G1222" s="1260" t="s">
        <v>784</v>
      </c>
      <c r="H1222" s="202">
        <f>VLOOKUP(G1222,'CP FACTORS'!$A$3:$B$38, 2, FALSE)</f>
        <v>1.148238E-4</v>
      </c>
      <c r="I1222" s="1733">
        <f t="shared" si="160"/>
        <v>8.6230000000000005E-3</v>
      </c>
      <c r="J1222" s="187">
        <v>10</v>
      </c>
      <c r="K1222" s="619">
        <f>$G$1250</f>
        <v>30</v>
      </c>
      <c r="L1222" s="86" t="s">
        <v>37</v>
      </c>
      <c r="M1222" s="157"/>
      <c r="N1222" s="157"/>
      <c r="V1222" s="1261" t="str">
        <f t="shared" si="162"/>
        <v>kWh Annual Savings</v>
      </c>
      <c r="W1222" s="1262"/>
      <c r="X1222" s="1262"/>
      <c r="Y1222" s="1262"/>
      <c r="Z1222" s="1262"/>
      <c r="AA1222" s="1262"/>
      <c r="AB1222" s="2832">
        <v>75.099999999999994</v>
      </c>
      <c r="AC1222" s="209"/>
      <c r="AD1222" s="209"/>
      <c r="AE1222" s="209"/>
      <c r="AF1222" s="209"/>
      <c r="AG1222" s="209"/>
      <c r="AH1222" s="993"/>
      <c r="AI1222" s="993"/>
      <c r="AK1222" s="982"/>
      <c r="BB1222" s="2292">
        <f t="shared" si="163"/>
        <v>0.91460056831383285</v>
      </c>
      <c r="BC1222" s="2922" t="str">
        <f t="shared" si="164"/>
        <v>Miscellaneous RES 10 Year EUL</v>
      </c>
      <c r="BD1222" s="145">
        <f>(INDEX('Avoided Cost Benefits'!$C$4:$C$857,MATCH(BC1222,'Avoided Cost Benefits'!$A$4:$A$857,0)))*F1222</f>
        <v>25.897137375568647</v>
      </c>
      <c r="BE1222" s="2293">
        <f t="shared" si="165"/>
        <v>28.315243039169417</v>
      </c>
    </row>
    <row r="1223" spans="1:57" x14ac:dyDescent="0.25">
      <c r="A1223" s="157"/>
      <c r="B1223" s="157"/>
      <c r="C1223" s="1323" t="s">
        <v>2026</v>
      </c>
      <c r="D1223" s="3022" t="s">
        <v>1968</v>
      </c>
      <c r="E1223" s="3014" t="s">
        <v>2027</v>
      </c>
      <c r="F1223" s="1266">
        <f>ROUND((G1236*G1238+G1237*G1239)*G1247,2)</f>
        <v>58.58</v>
      </c>
      <c r="G1223" s="1260" t="s">
        <v>784</v>
      </c>
      <c r="H1223" s="202">
        <f>VLOOKUP(G1223,'CP FACTORS'!$A$3:$B$38, 2, FALSE)</f>
        <v>1.148238E-4</v>
      </c>
      <c r="I1223" s="1733">
        <f t="shared" si="160"/>
        <v>6.7260000000000002E-3</v>
      </c>
      <c r="J1223" s="187">
        <v>10</v>
      </c>
      <c r="K1223" s="619">
        <f t="shared" ref="K1223:K1226" si="166">$G$1249</f>
        <v>20</v>
      </c>
      <c r="L1223" s="86" t="s">
        <v>37</v>
      </c>
      <c r="M1223" s="157"/>
      <c r="N1223" s="157"/>
      <c r="V1223" s="1261" t="str">
        <f t="shared" si="162"/>
        <v>kWh Annual Savings</v>
      </c>
      <c r="W1223" s="1263">
        <v>58.577999999999996</v>
      </c>
      <c r="X1223" s="1263">
        <v>58.577999999999996</v>
      </c>
      <c r="Y1223" s="1263">
        <v>58.58</v>
      </c>
      <c r="Z1223" s="1263">
        <v>58.58</v>
      </c>
      <c r="AA1223" s="1263">
        <v>58.58</v>
      </c>
      <c r="AB1223" s="2787">
        <v>58.58</v>
      </c>
      <c r="AC1223" s="1001"/>
      <c r="AD1223" s="1001"/>
      <c r="AE1223" s="1001"/>
      <c r="AF1223" s="1001"/>
      <c r="AG1223" s="1001"/>
      <c r="AH1223" s="993"/>
      <c r="AI1223" s="993"/>
      <c r="AK1223" s="982"/>
      <c r="BB1223" s="2292">
        <f t="shared" si="163"/>
        <v>1.0701192002361717</v>
      </c>
      <c r="BC1223" s="2922" t="str">
        <f t="shared" si="164"/>
        <v>Miscellaneous RES 10 Year EUL</v>
      </c>
      <c r="BD1223" s="145">
        <f>(INDEX('Avoided Cost Benefits'!$C$4:$C$857,MATCH(BC1223,'Avoided Cost Benefits'!$A$4:$A$857,0)))*F1223</f>
        <v>20.200456823712535</v>
      </c>
      <c r="BE1223" s="2293">
        <f t="shared" si="165"/>
        <v>18.876828692779611</v>
      </c>
    </row>
    <row r="1224" spans="1:57" x14ac:dyDescent="0.25">
      <c r="A1224" s="157"/>
      <c r="B1224" s="157"/>
      <c r="C1224" s="1323" t="s">
        <v>2028</v>
      </c>
      <c r="D1224" s="3022" t="s">
        <v>1968</v>
      </c>
      <c r="E1224" s="3014" t="s">
        <v>3705</v>
      </c>
      <c r="F1224" s="1266">
        <f>ROUND((G1236*G1244+G1237*G1240)*G1246,2)</f>
        <v>59.22</v>
      </c>
      <c r="G1224" s="1260" t="s">
        <v>784</v>
      </c>
      <c r="H1224" s="202">
        <f>VLOOKUP(G1224,'CP FACTORS'!$A$3:$B$38, 2, FALSE)</f>
        <v>1.148238E-4</v>
      </c>
      <c r="I1224" s="1733">
        <f t="shared" si="160"/>
        <v>6.7999999999999996E-3</v>
      </c>
      <c r="J1224" s="187">
        <v>10</v>
      </c>
      <c r="K1224" s="619">
        <f t="shared" si="166"/>
        <v>20</v>
      </c>
      <c r="L1224" s="86" t="s">
        <v>37</v>
      </c>
      <c r="M1224" s="157"/>
      <c r="N1224" s="157"/>
      <c r="V1224" s="1261" t="str">
        <f t="shared" si="162"/>
        <v>kWh Annual Savings</v>
      </c>
      <c r="W1224" s="1264">
        <v>59.224000000000004</v>
      </c>
      <c r="X1224" s="1264">
        <v>59.224000000000004</v>
      </c>
      <c r="Y1224" s="1264">
        <v>59.22</v>
      </c>
      <c r="Z1224" s="1264">
        <v>59.22</v>
      </c>
      <c r="AA1224" s="1264">
        <v>59.22</v>
      </c>
      <c r="AB1224" s="2787">
        <v>59.22</v>
      </c>
      <c r="AC1224" s="1265"/>
      <c r="AD1224" s="1265"/>
      <c r="AE1224" s="1265"/>
      <c r="AF1224" s="1265"/>
      <c r="AG1224" s="1265"/>
      <c r="AK1224" s="982"/>
      <c r="BB1224" s="2292">
        <f t="shared" si="163"/>
        <v>1.0818104991120874</v>
      </c>
      <c r="BC1224" s="2922" t="str">
        <f t="shared" si="164"/>
        <v>Miscellaneous RES 10 Year EUL</v>
      </c>
      <c r="BD1224" s="145">
        <f>(INDEX('Avoided Cost Benefits'!$C$4:$C$857,MATCH(BC1224,'Avoided Cost Benefits'!$A$4:$A$857,0)))*F1224</f>
        <v>20.421151469789283</v>
      </c>
      <c r="BE1224" s="2293">
        <f t="shared" si="165"/>
        <v>18.876828692779611</v>
      </c>
    </row>
    <row r="1225" spans="1:57" x14ac:dyDescent="0.25">
      <c r="A1225" s="157"/>
      <c r="B1225" s="157"/>
      <c r="C1225" s="1102" t="s">
        <v>3784</v>
      </c>
      <c r="D1225" s="3008" t="s">
        <v>1968</v>
      </c>
      <c r="E1225" s="3008" t="s">
        <v>3706</v>
      </c>
      <c r="F1225" s="596">
        <f>ROUND((G1236*G1244+G1237*G1240)*G1246,2)</f>
        <v>59.22</v>
      </c>
      <c r="G1225" s="1260" t="s">
        <v>784</v>
      </c>
      <c r="H1225" s="202">
        <f>VLOOKUP(G1225,'CP FACTORS'!$A$3:$B$38, 2, FALSE)</f>
        <v>1.148238E-4</v>
      </c>
      <c r="I1225" s="1733">
        <f t="shared" si="160"/>
        <v>6.7999999999999996E-3</v>
      </c>
      <c r="J1225" s="187">
        <v>10</v>
      </c>
      <c r="K1225" s="619">
        <f>$G$1250</f>
        <v>30</v>
      </c>
      <c r="L1225" s="86" t="s">
        <v>37</v>
      </c>
      <c r="M1225" s="157"/>
      <c r="N1225" s="157"/>
      <c r="V1225" s="2833" t="str">
        <f t="shared" si="162"/>
        <v>kWh Annual Savings</v>
      </c>
      <c r="W1225" s="1264"/>
      <c r="X1225" s="1264"/>
      <c r="Y1225" s="1264"/>
      <c r="Z1225" s="1264"/>
      <c r="AA1225" s="1264"/>
      <c r="AB1225" s="2787">
        <v>59.22</v>
      </c>
      <c r="AC1225" s="1265"/>
      <c r="AD1225" s="1265"/>
      <c r="AE1225" s="1265"/>
      <c r="AF1225" s="1265"/>
      <c r="AG1225" s="1265"/>
      <c r="AK1225" s="982"/>
      <c r="BB1225" s="2292">
        <f t="shared" ref="BB1225:BB1228" si="167">(BD1225)/(BE1225)</f>
        <v>0.72120699940805821</v>
      </c>
      <c r="BC1225" s="2922" t="str">
        <f t="shared" ref="BC1225:BC1228" si="168">CONCATENATE(G1225," ",J1225," Year EUL")</f>
        <v>Miscellaneous RES 10 Year EUL</v>
      </c>
      <c r="BD1225" s="145">
        <f>(INDEX('Avoided Cost Benefits'!$C$4:$C$857,MATCH(BC1225,'Avoided Cost Benefits'!$A$4:$A$857,0)))*F1225</f>
        <v>20.421151469789283</v>
      </c>
      <c r="BE1225" s="2293">
        <f t="shared" ref="BE1225:BE1228" si="169">K1225/(1.0595^(2020-2019))</f>
        <v>28.315243039169417</v>
      </c>
    </row>
    <row r="1226" spans="1:57" x14ac:dyDescent="0.25">
      <c r="A1226" s="157"/>
      <c r="B1226" s="157"/>
      <c r="C1226" s="1323" t="s">
        <v>2030</v>
      </c>
      <c r="D1226" s="3022" t="s">
        <v>1968</v>
      </c>
      <c r="E1226" s="3014" t="s">
        <v>2031</v>
      </c>
      <c r="F1226" s="1266">
        <f>ROUND((G1236*G1245+G1237*G1241)*G1247,2)</f>
        <v>42.07</v>
      </c>
      <c r="G1226" s="1260" t="s">
        <v>784</v>
      </c>
      <c r="H1226" s="202">
        <f>VLOOKUP(G1226,'CP FACTORS'!$A$3:$B$38, 2, FALSE)</f>
        <v>1.148238E-4</v>
      </c>
      <c r="I1226" s="1733">
        <f t="shared" si="160"/>
        <v>4.8310000000000002E-3</v>
      </c>
      <c r="J1226" s="187">
        <v>10</v>
      </c>
      <c r="K1226" s="619">
        <f t="shared" si="166"/>
        <v>20</v>
      </c>
      <c r="L1226" s="86" t="s">
        <v>37</v>
      </c>
      <c r="M1226" s="157"/>
      <c r="N1226" s="157"/>
      <c r="V1226" s="1261" t="str">
        <f t="shared" si="162"/>
        <v>kWh Annual Savings</v>
      </c>
      <c r="W1226" s="1264">
        <v>42.066960000000002</v>
      </c>
      <c r="X1226" s="1264">
        <v>42.066960000000002</v>
      </c>
      <c r="Y1226" s="1264">
        <v>42.07</v>
      </c>
      <c r="Z1226" s="1264">
        <v>42.07</v>
      </c>
      <c r="AA1226" s="1264">
        <v>42.07</v>
      </c>
      <c r="AB1226" s="2787">
        <v>42.07</v>
      </c>
      <c r="AC1226" s="1265"/>
      <c r="AD1226" s="1265"/>
      <c r="AE1226" s="1265"/>
      <c r="AF1226" s="1265"/>
      <c r="AG1226" s="1265"/>
      <c r="AK1226" s="982"/>
      <c r="BB1226" s="2292">
        <f t="shared" si="167"/>
        <v>0.76852022454653024</v>
      </c>
      <c r="BC1226" s="2922" t="str">
        <f t="shared" si="168"/>
        <v>Miscellaneous RES 10 Year EUL</v>
      </c>
      <c r="BD1226" s="145">
        <f>(INDEX('Avoided Cost Benefits'!$C$4:$C$857,MATCH(BC1226,'Avoided Cost Benefits'!$A$4:$A$857,0)))*F1226</f>
        <v>14.507224625701372</v>
      </c>
      <c r="BE1226" s="2293">
        <f t="shared" si="169"/>
        <v>18.876828692779611</v>
      </c>
    </row>
    <row r="1227" spans="1:57" s="1267" customFormat="1" x14ac:dyDescent="0.25">
      <c r="A1227" s="1645"/>
      <c r="B1227" s="1645"/>
      <c r="C1227" s="1323" t="s">
        <v>2032</v>
      </c>
      <c r="D1227" s="3014" t="s">
        <v>1968</v>
      </c>
      <c r="E1227" s="3008" t="s">
        <v>3646</v>
      </c>
      <c r="F1227" s="1266">
        <f>'Efficient Products Deemed Table'!F216</f>
        <v>151.96</v>
      </c>
      <c r="G1227" s="1260" t="s">
        <v>784</v>
      </c>
      <c r="H1227" s="202">
        <f>VLOOKUP(G1227,'CP FACTORS'!$A$3:$B$38, 2, FALSE)</f>
        <v>1.148238E-4</v>
      </c>
      <c r="I1227" s="1733">
        <f t="shared" si="160"/>
        <v>1.7448999999999999E-2</v>
      </c>
      <c r="J1227" s="187">
        <v>10</v>
      </c>
      <c r="K1227" s="619">
        <f>$G$1251</f>
        <v>30</v>
      </c>
      <c r="L1227" s="137" t="s">
        <v>37</v>
      </c>
      <c r="M1227" s="1952"/>
      <c r="N1227" s="1952"/>
      <c r="O1227" s="1952"/>
      <c r="P1227" s="1952"/>
      <c r="Q1227" s="1952"/>
      <c r="R1227" s="1952"/>
      <c r="S1227" s="1952"/>
      <c r="T1227" s="1952"/>
      <c r="U1227" s="1952"/>
      <c r="V1227" s="1261" t="str">
        <f t="shared" si="162"/>
        <v>kWh Annual Savings</v>
      </c>
      <c r="W1227" s="1264">
        <v>162</v>
      </c>
      <c r="X1227" s="1264">
        <v>162</v>
      </c>
      <c r="Y1227" s="1264">
        <v>162</v>
      </c>
      <c r="Z1227" s="1264">
        <v>162</v>
      </c>
      <c r="AA1227" s="1264">
        <v>162</v>
      </c>
      <c r="AB1227" s="2787">
        <v>151.96</v>
      </c>
      <c r="AC1227" s="1265"/>
      <c r="AD1227" s="1265"/>
      <c r="AE1227" s="1265"/>
      <c r="AF1227" s="1265"/>
      <c r="AG1227" s="1265"/>
      <c r="AH1227" s="273"/>
      <c r="AI1227" s="273"/>
      <c r="AJ1227" s="273"/>
      <c r="AK1227" s="982"/>
      <c r="AL1227" s="273"/>
      <c r="BB1227" s="2292">
        <f t="shared" si="167"/>
        <v>1.8506351845668449</v>
      </c>
      <c r="BC1227" s="2922" t="str">
        <f t="shared" si="168"/>
        <v>Miscellaneous RES 10 Year EUL</v>
      </c>
      <c r="BD1227" s="145">
        <f>(INDEX('Avoided Cost Benefits'!$C$4:$C$857,MATCH(BC1227,'Avoided Cost Benefits'!$A$4:$A$857,0)))*F1227</f>
        <v>52.401185027848364</v>
      </c>
      <c r="BE1227" s="2293">
        <f t="shared" si="169"/>
        <v>28.315243039169417</v>
      </c>
    </row>
    <row r="1228" spans="1:57" s="1267" customFormat="1" x14ac:dyDescent="0.25">
      <c r="A1228" s="2747"/>
      <c r="B1228" s="2747"/>
      <c r="C1228" s="1102" t="s">
        <v>3785</v>
      </c>
      <c r="D1228" s="3008" t="s">
        <v>1968</v>
      </c>
      <c r="E1228" s="3008" t="s">
        <v>3645</v>
      </c>
      <c r="F1228" s="596">
        <f>'Efficient Products Deemed Table'!F217</f>
        <v>153.9</v>
      </c>
      <c r="G1228" s="1260" t="s">
        <v>784</v>
      </c>
      <c r="H1228" s="202">
        <f>VLOOKUP(G1228,'CP FACTORS'!$A$3:$B$38, 2, FALSE)</f>
        <v>1.148238E-4</v>
      </c>
      <c r="I1228" s="1733">
        <f t="shared" si="160"/>
        <v>1.7670999999999999E-2</v>
      </c>
      <c r="J1228" s="187">
        <v>10</v>
      </c>
      <c r="K1228" s="619">
        <f>$G$1252</f>
        <v>60</v>
      </c>
      <c r="L1228" s="137" t="s">
        <v>37</v>
      </c>
      <c r="M1228" s="1952"/>
      <c r="N1228" s="1952"/>
      <c r="O1228" s="1952"/>
      <c r="P1228" s="1952"/>
      <c r="Q1228" s="1952"/>
      <c r="R1228" s="1952"/>
      <c r="S1228" s="1952"/>
      <c r="T1228" s="1952"/>
      <c r="U1228" s="1952"/>
      <c r="V1228" s="2305" t="str">
        <f t="shared" si="162"/>
        <v>kWh Annual Savings</v>
      </c>
      <c r="W1228" s="1264"/>
      <c r="X1228" s="1264"/>
      <c r="Y1228" s="1264"/>
      <c r="Z1228" s="1264"/>
      <c r="AA1228" s="1264"/>
      <c r="AB1228" s="2787">
        <v>153.9</v>
      </c>
      <c r="AC1228" s="1265"/>
      <c r="AD1228" s="1265"/>
      <c r="AE1228" s="1265"/>
      <c r="AF1228" s="1265"/>
      <c r="AG1228" s="1265"/>
      <c r="AH1228" s="273"/>
      <c r="AI1228" s="273"/>
      <c r="AJ1228" s="273"/>
      <c r="AK1228" s="982"/>
      <c r="AL1228" s="273"/>
      <c r="BB1228" s="2301">
        <f t="shared" si="167"/>
        <v>0.93713067552262896</v>
      </c>
      <c r="BC1228" s="2922" t="str">
        <f t="shared" si="168"/>
        <v>Miscellaneous RES 10 Year EUL</v>
      </c>
      <c r="BD1228" s="214">
        <f>(INDEX('Avoided Cost Benefits'!$C$4:$C$857,MATCH(BC1228,'Avoided Cost Benefits'!$A$4:$A$857,0)))*F1228</f>
        <v>53.070165673768507</v>
      </c>
      <c r="BE1228" s="2303">
        <f t="shared" si="169"/>
        <v>56.630486078338834</v>
      </c>
    </row>
    <row r="1229" spans="1:57" outlineLevel="1" x14ac:dyDescent="0.25">
      <c r="A1229" s="157"/>
      <c r="B1229" s="157"/>
      <c r="C1229" s="154"/>
      <c r="D1229" s="1230"/>
      <c r="E1229" s="1230"/>
      <c r="F1229" s="612"/>
      <c r="G1229" s="1231"/>
      <c r="H1229" s="1663"/>
      <c r="I1229" s="1269"/>
      <c r="J1229" s="1953"/>
      <c r="K1229" s="1269"/>
      <c r="L1229" s="768"/>
      <c r="M1229" s="157"/>
      <c r="N1229" s="157"/>
      <c r="V1229" s="976"/>
      <c r="W1229" s="976"/>
      <c r="X1229" s="976"/>
      <c r="AJ1229" s="1267"/>
      <c r="AK1229" s="982"/>
      <c r="AL1229" s="1267"/>
    </row>
    <row r="1230" spans="1:57" outlineLevel="1" x14ac:dyDescent="0.25">
      <c r="A1230" s="157"/>
      <c r="B1230" s="157"/>
      <c r="C1230" s="385"/>
      <c r="D1230" s="222" t="s">
        <v>571</v>
      </c>
      <c r="E1230" s="920"/>
      <c r="F1230" s="648"/>
      <c r="G1230" s="648"/>
      <c r="H1230" s="648"/>
      <c r="I1230" s="648"/>
      <c r="J1230" s="648"/>
      <c r="K1230" s="648"/>
      <c r="L1230" s="157"/>
      <c r="M1230" s="157"/>
      <c r="N1230" s="157"/>
      <c r="V1230" s="1268"/>
      <c r="W1230" s="1268"/>
      <c r="X1230" s="1268"/>
      <c r="Y1230" s="1270"/>
      <c r="Z1230" s="1267"/>
      <c r="AA1230" s="1267"/>
      <c r="AB1230" s="1267"/>
      <c r="AC1230" s="1267"/>
      <c r="AD1230" s="1267"/>
      <c r="AE1230" s="1267"/>
      <c r="AF1230" s="1267"/>
      <c r="AG1230" s="1267"/>
      <c r="AH1230" s="1267"/>
      <c r="AI1230" s="1267"/>
      <c r="AK1230" s="982"/>
    </row>
    <row r="1231" spans="1:57" outlineLevel="1" x14ac:dyDescent="0.25">
      <c r="A1231" s="157"/>
      <c r="B1231" s="157"/>
      <c r="C1231" s="385"/>
      <c r="D1231" s="920"/>
      <c r="E1231" s="920"/>
      <c r="F1231" s="648"/>
      <c r="G1231" s="648"/>
      <c r="H1231" s="648"/>
      <c r="I1231" s="648"/>
      <c r="J1231" s="648"/>
      <c r="K1231" s="648"/>
      <c r="L1231" s="157"/>
      <c r="M1231" s="157"/>
      <c r="N1231" s="157"/>
      <c r="V1231" s="976"/>
      <c r="W1231" s="976"/>
      <c r="X1231" s="976"/>
      <c r="AK1231" s="982"/>
    </row>
    <row r="1232" spans="1:57" outlineLevel="1" x14ac:dyDescent="0.25">
      <c r="A1232" s="157"/>
      <c r="B1232" s="157"/>
      <c r="C1232" s="385"/>
      <c r="D1232" s="920"/>
      <c r="E1232" s="920"/>
      <c r="F1232" s="648"/>
      <c r="G1232" s="648"/>
      <c r="H1232" s="648"/>
      <c r="I1232" s="648"/>
      <c r="J1232" s="648"/>
      <c r="K1232" s="648"/>
      <c r="L1232" s="157"/>
      <c r="M1232" s="157"/>
      <c r="N1232" s="157"/>
      <c r="V1232" s="976"/>
      <c r="W1232" s="976"/>
      <c r="X1232" s="976"/>
      <c r="AK1232" s="982"/>
    </row>
    <row r="1233" spans="1:37" outlineLevel="1" x14ac:dyDescent="0.25">
      <c r="A1233" s="157"/>
      <c r="B1233" s="157"/>
      <c r="C1233" s="385"/>
      <c r="D1233" s="920"/>
      <c r="E1233" s="920"/>
      <c r="F1233" s="648"/>
      <c r="G1233" s="648"/>
      <c r="H1233" s="648"/>
      <c r="I1233" s="648"/>
      <c r="J1233" s="648"/>
      <c r="K1233" s="648"/>
      <c r="L1233" s="157"/>
      <c r="M1233" s="157"/>
      <c r="N1233" s="157"/>
      <c r="V1233" s="976"/>
      <c r="W1233" s="976"/>
      <c r="X1233" s="976"/>
      <c r="AK1233" s="982"/>
    </row>
    <row r="1234" spans="1:37" outlineLevel="1" x14ac:dyDescent="0.25">
      <c r="A1234" s="157"/>
      <c r="B1234" s="157"/>
      <c r="C1234" s="385"/>
      <c r="D1234" s="440" t="s">
        <v>572</v>
      </c>
      <c r="E1234" s="440" t="s">
        <v>573</v>
      </c>
      <c r="F1234" s="2762" t="s">
        <v>623</v>
      </c>
      <c r="G1234" s="2762" t="s">
        <v>574</v>
      </c>
      <c r="H1234" s="3908" t="s">
        <v>804</v>
      </c>
      <c r="I1234" s="3827"/>
      <c r="J1234" s="3828"/>
      <c r="K1234" s="648"/>
      <c r="L1234" s="157"/>
      <c r="M1234" s="157"/>
      <c r="N1234" s="157"/>
      <c r="V1234" s="55" t="s">
        <v>27</v>
      </c>
      <c r="W1234" s="56">
        <f>$W$6</f>
        <v>43252</v>
      </c>
      <c r="X1234" s="56">
        <f>$X$6</f>
        <v>43465</v>
      </c>
      <c r="Y1234" s="420">
        <f>$Y$6</f>
        <v>43800</v>
      </c>
      <c r="Z1234" s="56">
        <f>$Z$6</f>
        <v>43862</v>
      </c>
      <c r="AA1234" s="56">
        <f>$AA$6</f>
        <v>44013</v>
      </c>
      <c r="AB1234" s="56">
        <f>$AB$6</f>
        <v>44166</v>
      </c>
      <c r="AC1234" s="56" t="str">
        <f>$AC$6</f>
        <v>-</v>
      </c>
      <c r="AD1234" s="56" t="str">
        <f>$AD$6</f>
        <v>-</v>
      </c>
      <c r="AE1234" s="56" t="str">
        <f>$AE$6</f>
        <v>-</v>
      </c>
      <c r="AF1234" s="56" t="str">
        <f>$AF$6</f>
        <v>-</v>
      </c>
      <c r="AG1234" s="56" t="str">
        <f>$AG$6</f>
        <v>-</v>
      </c>
      <c r="AK1234" s="982"/>
    </row>
    <row r="1235" spans="1:37" outlineLevel="1" x14ac:dyDescent="0.25">
      <c r="A1235" s="157"/>
      <c r="B1235" s="157"/>
      <c r="C1235" s="385"/>
      <c r="D1235" s="2830"/>
      <c r="E1235" s="2830"/>
      <c r="F1235" s="2831"/>
      <c r="G1235" s="2831"/>
      <c r="H1235" s="1271"/>
      <c r="I1235" s="1272"/>
      <c r="J1235" s="1273"/>
      <c r="K1235" s="648"/>
      <c r="L1235" s="157"/>
      <c r="M1235" s="157"/>
      <c r="N1235" s="157"/>
      <c r="V1235" s="55"/>
      <c r="W1235" s="2827"/>
      <c r="X1235" s="2827"/>
      <c r="Y1235" s="2827"/>
      <c r="Z1235" s="2827"/>
      <c r="AA1235" s="2827"/>
      <c r="AB1235" s="2827"/>
      <c r="AC1235" s="2827"/>
      <c r="AD1235" s="2827"/>
      <c r="AE1235" s="2827"/>
      <c r="AF1235" s="2827"/>
      <c r="AG1235" s="2827"/>
      <c r="AK1235" s="982"/>
    </row>
    <row r="1236" spans="1:37" outlineLevel="1" x14ac:dyDescent="0.25">
      <c r="A1236" s="157"/>
      <c r="B1236" s="157"/>
      <c r="C1236" s="385"/>
      <c r="D1236" s="3571" t="s">
        <v>1049</v>
      </c>
      <c r="E1236" s="3571" t="s">
        <v>1050</v>
      </c>
      <c r="F1236" s="3022" t="s">
        <v>3582</v>
      </c>
      <c r="G1236" s="137">
        <v>31</v>
      </c>
      <c r="H1236" s="3971"/>
      <c r="I1236" s="3827"/>
      <c r="J1236" s="3828"/>
      <c r="K1236" s="648"/>
      <c r="L1236" s="157"/>
      <c r="M1236" s="157"/>
      <c r="N1236" s="157"/>
      <c r="V1236" s="3571" t="s">
        <v>1049</v>
      </c>
      <c r="W1236" s="137">
        <v>31</v>
      </c>
      <c r="X1236" s="137">
        <v>31</v>
      </c>
      <c r="Y1236" s="137">
        <v>31</v>
      </c>
      <c r="Z1236" s="137">
        <v>31</v>
      </c>
      <c r="AA1236" s="137">
        <v>31</v>
      </c>
      <c r="AB1236" s="137">
        <v>31</v>
      </c>
      <c r="AC1236" s="1001"/>
      <c r="AD1236" s="1001"/>
      <c r="AE1236" s="1001"/>
      <c r="AF1236" s="1001"/>
      <c r="AG1236" s="1001"/>
      <c r="AK1236" s="982"/>
    </row>
    <row r="1237" spans="1:37" outlineLevel="1" x14ac:dyDescent="0.25">
      <c r="A1237" s="157"/>
      <c r="B1237" s="157"/>
      <c r="C1237" s="385"/>
      <c r="D1237" s="3572"/>
      <c r="E1237" s="3572"/>
      <c r="F1237" s="3022" t="s">
        <v>3583</v>
      </c>
      <c r="G1237" s="137">
        <v>75.099999999999994</v>
      </c>
      <c r="H1237" s="3971"/>
      <c r="I1237" s="3827"/>
      <c r="J1237" s="3828"/>
      <c r="K1237" s="648"/>
      <c r="L1237" s="157"/>
      <c r="M1237" s="157"/>
      <c r="N1237" s="157"/>
      <c r="V1237" s="3572"/>
      <c r="W1237" s="137">
        <v>75.099999999999994</v>
      </c>
      <c r="X1237" s="137">
        <v>75.099999999999994</v>
      </c>
      <c r="Y1237" s="137">
        <v>75.099999999999994</v>
      </c>
      <c r="Z1237" s="137">
        <v>75.099999999999994</v>
      </c>
      <c r="AA1237" s="137">
        <v>75.099999999999994</v>
      </c>
      <c r="AB1237" s="137">
        <v>75.099999999999994</v>
      </c>
      <c r="AC1237" s="1001"/>
      <c r="AD1237" s="1001"/>
      <c r="AE1237" s="1001"/>
      <c r="AF1237" s="1001"/>
      <c r="AG1237" s="1001"/>
      <c r="AK1237" s="982"/>
    </row>
    <row r="1238" spans="1:37" outlineLevel="1" x14ac:dyDescent="0.25">
      <c r="A1238" s="157"/>
      <c r="B1238" s="157"/>
      <c r="C1238" s="385"/>
      <c r="D1238" s="3571" t="s">
        <v>1051</v>
      </c>
      <c r="E1238" s="3571" t="s">
        <v>1052</v>
      </c>
      <c r="F1238" s="3022" t="s">
        <v>3582</v>
      </c>
      <c r="G1238" s="3283">
        <v>0</v>
      </c>
      <c r="H1238" s="3971"/>
      <c r="I1238" s="3827"/>
      <c r="J1238" s="3828"/>
      <c r="K1238" s="648"/>
      <c r="L1238" s="157"/>
      <c r="M1238" s="157"/>
      <c r="N1238" s="157"/>
      <c r="V1238" s="3571" t="s">
        <v>1051</v>
      </c>
      <c r="W1238" s="3301">
        <v>1</v>
      </c>
      <c r="X1238" s="3301">
        <v>1</v>
      </c>
      <c r="Y1238" s="3301">
        <v>1</v>
      </c>
      <c r="Z1238" s="3301">
        <v>1</v>
      </c>
      <c r="AA1238" s="3301">
        <v>1</v>
      </c>
      <c r="AB1238" s="3283">
        <v>0</v>
      </c>
      <c r="AC1238" s="1001"/>
      <c r="AD1238" s="1001"/>
      <c r="AE1238" s="1001"/>
      <c r="AF1238" s="1001"/>
      <c r="AG1238" s="1001"/>
      <c r="AK1238" s="982"/>
    </row>
    <row r="1239" spans="1:37" outlineLevel="1" x14ac:dyDescent="0.25">
      <c r="A1239" s="157"/>
      <c r="B1239" s="157"/>
      <c r="C1239" s="385"/>
      <c r="D1239" s="3572"/>
      <c r="E1239" s="3572"/>
      <c r="F1239" s="3022" t="s">
        <v>3583</v>
      </c>
      <c r="G1239" s="380">
        <v>1</v>
      </c>
      <c r="H1239" s="3971"/>
      <c r="I1239" s="3827"/>
      <c r="J1239" s="3828"/>
      <c r="K1239" s="648"/>
      <c r="L1239" s="157"/>
      <c r="M1239" s="157"/>
      <c r="N1239" s="157"/>
      <c r="V1239" s="3572"/>
      <c r="W1239" s="3301"/>
      <c r="X1239" s="3301"/>
      <c r="Y1239" s="3301"/>
      <c r="Z1239" s="3301"/>
      <c r="AA1239" s="3301"/>
      <c r="AB1239" s="831">
        <v>1</v>
      </c>
      <c r="AC1239" s="1001"/>
      <c r="AD1239" s="1001"/>
      <c r="AE1239" s="1001"/>
      <c r="AF1239" s="1001"/>
      <c r="AG1239" s="1001"/>
      <c r="AK1239" s="982"/>
    </row>
    <row r="1240" spans="1:37" outlineLevel="1" x14ac:dyDescent="0.25">
      <c r="A1240" s="157"/>
      <c r="B1240" s="157"/>
      <c r="C1240" s="385"/>
      <c r="D1240" s="3572"/>
      <c r="E1240" s="3572"/>
      <c r="F1240" s="3022" t="s">
        <v>3584</v>
      </c>
      <c r="G1240" s="380">
        <f>1-G1244</f>
        <v>0.64</v>
      </c>
      <c r="H1240" s="3971"/>
      <c r="I1240" s="3827"/>
      <c r="J1240" s="3828"/>
      <c r="K1240" s="648"/>
      <c r="L1240" s="157"/>
      <c r="M1240" s="157"/>
      <c r="N1240" s="157"/>
      <c r="V1240" s="3572"/>
      <c r="W1240" s="3301">
        <v>0.64</v>
      </c>
      <c r="X1240" s="3301">
        <v>0.64</v>
      </c>
      <c r="Y1240" s="3301">
        <v>0.64</v>
      </c>
      <c r="Z1240" s="3301">
        <v>0.64</v>
      </c>
      <c r="AA1240" s="3301">
        <v>0.64</v>
      </c>
      <c r="AB1240" s="380">
        <v>0.64</v>
      </c>
      <c r="AC1240" s="1001"/>
      <c r="AD1240" s="1001"/>
      <c r="AE1240" s="1001"/>
      <c r="AF1240" s="1001"/>
      <c r="AG1240" s="1001"/>
      <c r="AK1240" s="982"/>
    </row>
    <row r="1241" spans="1:37" outlineLevel="1" x14ac:dyDescent="0.25">
      <c r="A1241" s="157"/>
      <c r="B1241" s="157"/>
      <c r="C1241" s="385"/>
      <c r="D1241" s="3573"/>
      <c r="E1241" s="3573"/>
      <c r="F1241" s="3022" t="s">
        <v>3585</v>
      </c>
      <c r="G1241" s="380">
        <f>1-G1245</f>
        <v>0.52</v>
      </c>
      <c r="H1241" s="3971"/>
      <c r="I1241" s="3827"/>
      <c r="J1241" s="3828"/>
      <c r="K1241" s="648"/>
      <c r="L1241" s="157"/>
      <c r="M1241" s="157"/>
      <c r="N1241" s="157"/>
      <c r="V1241" s="3573"/>
      <c r="W1241" s="3301"/>
      <c r="X1241" s="3301"/>
      <c r="Y1241" s="3301"/>
      <c r="Z1241" s="3301"/>
      <c r="AA1241" s="3301"/>
      <c r="AB1241" s="831">
        <v>0.52</v>
      </c>
      <c r="AC1241" s="1001"/>
      <c r="AD1241" s="1001"/>
      <c r="AE1241" s="1001"/>
      <c r="AF1241" s="1001"/>
      <c r="AG1241" s="1001"/>
      <c r="AK1241" s="982"/>
    </row>
    <row r="1242" spans="1:37" outlineLevel="1" x14ac:dyDescent="0.25">
      <c r="A1242" s="157"/>
      <c r="B1242" s="157"/>
      <c r="C1242" s="385"/>
      <c r="D1242" s="3571" t="s">
        <v>1053</v>
      </c>
      <c r="E1242" s="3571" t="s">
        <v>1054</v>
      </c>
      <c r="F1242" s="3022" t="s">
        <v>3582</v>
      </c>
      <c r="G1242" s="380">
        <v>1</v>
      </c>
      <c r="H1242" s="3971"/>
      <c r="I1242" s="3827"/>
      <c r="J1242" s="3828"/>
      <c r="K1242" s="648"/>
      <c r="L1242" s="157"/>
      <c r="M1242" s="157"/>
      <c r="N1242" s="157"/>
      <c r="V1242" s="3571" t="s">
        <v>1053</v>
      </c>
      <c r="W1242" s="3301"/>
      <c r="X1242" s="3301"/>
      <c r="Y1242" s="3301"/>
      <c r="Z1242" s="3301"/>
      <c r="AA1242" s="3301"/>
      <c r="AB1242" s="831">
        <v>1</v>
      </c>
      <c r="AC1242" s="1001"/>
      <c r="AD1242" s="1001"/>
      <c r="AE1242" s="1001"/>
      <c r="AF1242" s="1001"/>
      <c r="AG1242" s="1001"/>
      <c r="AK1242" s="982"/>
    </row>
    <row r="1243" spans="1:37" outlineLevel="1" x14ac:dyDescent="0.25">
      <c r="A1243" s="157"/>
      <c r="B1243" s="157"/>
      <c r="C1243" s="385"/>
      <c r="D1243" s="3572"/>
      <c r="E1243" s="3572"/>
      <c r="F1243" s="3022" t="s">
        <v>3583</v>
      </c>
      <c r="G1243" s="380">
        <v>0</v>
      </c>
      <c r="H1243" s="3971"/>
      <c r="I1243" s="3827"/>
      <c r="J1243" s="3828"/>
      <c r="K1243" s="648"/>
      <c r="L1243" s="157"/>
      <c r="M1243" s="157"/>
      <c r="N1243" s="157"/>
      <c r="V1243" s="3572"/>
      <c r="W1243" s="3301"/>
      <c r="X1243" s="3301"/>
      <c r="Y1243" s="3301"/>
      <c r="Z1243" s="3301"/>
      <c r="AA1243" s="3301"/>
      <c r="AB1243" s="831">
        <v>0</v>
      </c>
      <c r="AC1243" s="1001"/>
      <c r="AD1243" s="1001"/>
      <c r="AE1243" s="1001"/>
      <c r="AF1243" s="1001"/>
      <c r="AG1243" s="1001"/>
      <c r="AK1243" s="982"/>
    </row>
    <row r="1244" spans="1:37" outlineLevel="1" x14ac:dyDescent="0.25">
      <c r="A1244" s="157"/>
      <c r="B1244" s="157"/>
      <c r="C1244" s="385"/>
      <c r="D1244" s="3572"/>
      <c r="E1244" s="3572"/>
      <c r="F1244" s="3022" t="s">
        <v>3584</v>
      </c>
      <c r="G1244" s="380">
        <v>0.36</v>
      </c>
      <c r="H1244" s="3971"/>
      <c r="I1244" s="3827"/>
      <c r="J1244" s="3828"/>
      <c r="K1244" s="648"/>
      <c r="L1244" s="157"/>
      <c r="M1244" s="157"/>
      <c r="N1244" s="157"/>
      <c r="V1244" s="3572"/>
      <c r="W1244" s="380">
        <v>0.36</v>
      </c>
      <c r="X1244" s="380">
        <v>0.36</v>
      </c>
      <c r="Y1244" s="380">
        <v>0.36</v>
      </c>
      <c r="Z1244" s="380">
        <v>0.36</v>
      </c>
      <c r="AA1244" s="380">
        <v>0.36</v>
      </c>
      <c r="AB1244" s="380">
        <v>0.36</v>
      </c>
      <c r="AC1244" s="1001"/>
      <c r="AD1244" s="1001"/>
      <c r="AE1244" s="1001"/>
      <c r="AF1244" s="1001"/>
      <c r="AG1244" s="1001"/>
      <c r="AK1244" s="982"/>
    </row>
    <row r="1245" spans="1:37" outlineLevel="1" x14ac:dyDescent="0.25">
      <c r="A1245" s="157"/>
      <c r="B1245" s="157"/>
      <c r="C1245" s="385"/>
      <c r="D1245" s="3573"/>
      <c r="E1245" s="3573"/>
      <c r="F1245" s="3022" t="s">
        <v>3585</v>
      </c>
      <c r="G1245" s="380">
        <v>0.48</v>
      </c>
      <c r="H1245" s="3971"/>
      <c r="I1245" s="3827"/>
      <c r="J1245" s="3828"/>
      <c r="K1245" s="648"/>
      <c r="L1245" s="157"/>
      <c r="M1245" s="157"/>
      <c r="N1245" s="157"/>
      <c r="V1245" s="3573"/>
      <c r="W1245" s="3301"/>
      <c r="X1245" s="3301"/>
      <c r="Y1245" s="3301"/>
      <c r="Z1245" s="3301"/>
      <c r="AA1245" s="3301"/>
      <c r="AB1245" s="831">
        <v>0.48</v>
      </c>
      <c r="AC1245" s="1001"/>
      <c r="AD1245" s="1001"/>
      <c r="AE1245" s="1001"/>
      <c r="AF1245" s="1001"/>
      <c r="AG1245" s="1001"/>
      <c r="AK1245" s="982"/>
    </row>
    <row r="1246" spans="1:37" outlineLevel="1" x14ac:dyDescent="0.25">
      <c r="A1246" s="157"/>
      <c r="B1246" s="157"/>
      <c r="C1246" s="385"/>
      <c r="D1246" s="3571" t="s">
        <v>75</v>
      </c>
      <c r="E1246" s="3571" t="s">
        <v>2033</v>
      </c>
      <c r="F1246" s="3022" t="s">
        <v>3574</v>
      </c>
      <c r="G1246" s="3284">
        <v>1</v>
      </c>
      <c r="H1246" s="3971"/>
      <c r="I1246" s="3827"/>
      <c r="J1246" s="3828"/>
      <c r="K1246" s="648"/>
      <c r="L1246" s="157"/>
      <c r="M1246" s="157"/>
      <c r="N1246" s="157"/>
      <c r="V1246" s="3571" t="s">
        <v>75</v>
      </c>
      <c r="W1246" s="3301"/>
      <c r="X1246" s="3301"/>
      <c r="Y1246" s="3301"/>
      <c r="Z1246" s="3301"/>
      <c r="AA1246" s="3301"/>
      <c r="AB1246" s="2828">
        <v>1</v>
      </c>
      <c r="AC1246" s="1001"/>
      <c r="AD1246" s="1001"/>
      <c r="AE1246" s="1001"/>
      <c r="AF1246" s="1001"/>
      <c r="AG1246" s="1001"/>
      <c r="AK1246" s="982"/>
    </row>
    <row r="1247" spans="1:37" outlineLevel="1" x14ac:dyDescent="0.25">
      <c r="A1247" s="157"/>
      <c r="B1247" s="157"/>
      <c r="C1247" s="385"/>
      <c r="D1247" s="3572"/>
      <c r="E1247" s="3572"/>
      <c r="F1247" s="3022" t="s">
        <v>3575</v>
      </c>
      <c r="G1247" s="3285">
        <v>0.78</v>
      </c>
      <c r="H1247" s="3971"/>
      <c r="I1247" s="3827"/>
      <c r="J1247" s="3828"/>
      <c r="K1247" s="648"/>
      <c r="L1247" s="157"/>
      <c r="M1247" s="157"/>
      <c r="N1247" s="157"/>
      <c r="V1247" s="3572"/>
      <c r="W1247" s="3301"/>
      <c r="X1247" s="3301"/>
      <c r="Y1247" s="3301"/>
      <c r="Z1247" s="3301"/>
      <c r="AA1247" s="3301"/>
      <c r="AB1247" s="2829">
        <v>0.78</v>
      </c>
      <c r="AC1247" s="1001"/>
      <c r="AD1247" s="1001"/>
      <c r="AE1247" s="1001"/>
      <c r="AF1247" s="1001"/>
      <c r="AG1247" s="1001"/>
      <c r="AK1247" s="982"/>
    </row>
    <row r="1248" spans="1:37" outlineLevel="1" x14ac:dyDescent="0.25">
      <c r="B1248" s="1359"/>
      <c r="C1248" s="375"/>
      <c r="D1248" s="3286" t="str">
        <f>D1085</f>
        <v>Inc. Cost</v>
      </c>
      <c r="E1248" s="3286" t="str">
        <f>E1085</f>
        <v>Incremental Cost - Non-DI</v>
      </c>
      <c r="F1248" s="3287" t="s">
        <v>591</v>
      </c>
      <c r="G1248" s="3288">
        <v>10</v>
      </c>
      <c r="H1248" s="3971"/>
      <c r="I1248" s="3827"/>
      <c r="J1248" s="3828"/>
      <c r="K1248" s="648"/>
      <c r="L1248" s="157"/>
      <c r="V1248" s="3286" t="str">
        <f>V1085</f>
        <v>Inc. Cost</v>
      </c>
      <c r="W1248" s="919">
        <v>10</v>
      </c>
      <c r="X1248" s="919">
        <v>10</v>
      </c>
      <c r="Y1248" s="919">
        <v>10</v>
      </c>
      <c r="Z1248" s="919">
        <v>10</v>
      </c>
      <c r="AA1248" s="919">
        <v>10</v>
      </c>
      <c r="AB1248" s="3288">
        <v>10</v>
      </c>
      <c r="AC1248" s="1163"/>
      <c r="AD1248" s="1163"/>
      <c r="AE1248" s="1163"/>
      <c r="AF1248" s="1163"/>
      <c r="AG1248" s="1163"/>
      <c r="AK1248" s="982"/>
    </row>
    <row r="1249" spans="1:57" outlineLevel="1" x14ac:dyDescent="0.25">
      <c r="B1249" s="1359"/>
      <c r="C1249" s="375"/>
      <c r="D1249" s="3972" t="s">
        <v>25</v>
      </c>
      <c r="E1249" s="3972" t="s">
        <v>613</v>
      </c>
      <c r="F1249" s="3289" t="s">
        <v>3707</v>
      </c>
      <c r="G1249" s="2825">
        <v>20</v>
      </c>
      <c r="H1249" s="3971"/>
      <c r="I1249" s="3827"/>
      <c r="J1249" s="3828"/>
      <c r="K1249" s="648"/>
      <c r="L1249" s="157"/>
      <c r="V1249" s="3972" t="s">
        <v>25</v>
      </c>
      <c r="W1249" s="1165">
        <v>7</v>
      </c>
      <c r="X1249" s="1165">
        <v>7</v>
      </c>
      <c r="Y1249" s="1165">
        <v>7</v>
      </c>
      <c r="Z1249" s="1165">
        <v>7</v>
      </c>
      <c r="AA1249" s="1165">
        <v>7</v>
      </c>
      <c r="AB1249" s="2825">
        <v>20</v>
      </c>
      <c r="AC1249" s="1165"/>
      <c r="AD1249" s="1165"/>
      <c r="AE1249" s="1165"/>
      <c r="AF1249" s="1165"/>
      <c r="AG1249" s="1165"/>
      <c r="AK1249" s="982"/>
    </row>
    <row r="1250" spans="1:57" outlineLevel="1" x14ac:dyDescent="0.25">
      <c r="B1250" s="1359"/>
      <c r="C1250" s="375"/>
      <c r="D1250" s="3973"/>
      <c r="E1250" s="3973"/>
      <c r="F1250" s="3289" t="s">
        <v>3708</v>
      </c>
      <c r="G1250" s="2825">
        <v>30</v>
      </c>
      <c r="H1250" s="3971"/>
      <c r="I1250" s="3827"/>
      <c r="J1250" s="3828"/>
      <c r="K1250" s="648"/>
      <c r="L1250" s="157"/>
      <c r="V1250" s="3973"/>
      <c r="W1250" s="1165">
        <v>7</v>
      </c>
      <c r="X1250" s="1165">
        <v>7</v>
      </c>
      <c r="Y1250" s="1165">
        <v>7</v>
      </c>
      <c r="Z1250" s="1165">
        <v>7</v>
      </c>
      <c r="AA1250" s="1165">
        <v>7</v>
      </c>
      <c r="AB1250" s="2825">
        <v>30</v>
      </c>
      <c r="AC1250" s="1165"/>
      <c r="AD1250" s="1165"/>
      <c r="AE1250" s="1165"/>
      <c r="AF1250" s="1165"/>
      <c r="AG1250" s="1165"/>
      <c r="AK1250" s="982"/>
    </row>
    <row r="1251" spans="1:57" outlineLevel="1" x14ac:dyDescent="0.25">
      <c r="B1251" s="1359"/>
      <c r="C1251" s="375"/>
      <c r="D1251" s="3973"/>
      <c r="E1251" s="3973"/>
      <c r="F1251" s="3289" t="s">
        <v>3709</v>
      </c>
      <c r="G1251" s="2825">
        <f>'Efficient Products Deemed Table'!G237</f>
        <v>30</v>
      </c>
      <c r="H1251" s="3971"/>
      <c r="I1251" s="3827"/>
      <c r="J1251" s="3828"/>
      <c r="K1251" s="648"/>
      <c r="L1251" s="157"/>
      <c r="V1251" s="3973"/>
      <c r="W1251" s="1165">
        <v>7</v>
      </c>
      <c r="X1251" s="1165">
        <v>7</v>
      </c>
      <c r="Y1251" s="1165">
        <v>7</v>
      </c>
      <c r="Z1251" s="1165">
        <v>7</v>
      </c>
      <c r="AA1251" s="1165">
        <v>7</v>
      </c>
      <c r="AB1251" s="2825">
        <v>30</v>
      </c>
      <c r="AC1251" s="1165"/>
      <c r="AD1251" s="1165"/>
      <c r="AE1251" s="1165"/>
      <c r="AF1251" s="1165"/>
      <c r="AG1251" s="1165"/>
      <c r="AK1251" s="982"/>
    </row>
    <row r="1252" spans="1:57" outlineLevel="1" x14ac:dyDescent="0.25">
      <c r="B1252" s="1359"/>
      <c r="C1252" s="375"/>
      <c r="D1252" s="3973"/>
      <c r="E1252" s="3973"/>
      <c r="F1252" s="3290" t="s">
        <v>3710</v>
      </c>
      <c r="G1252" s="3291">
        <v>60</v>
      </c>
      <c r="H1252" s="3971"/>
      <c r="I1252" s="3827"/>
      <c r="J1252" s="3828"/>
      <c r="K1252" s="648"/>
      <c r="L1252" s="157"/>
      <c r="V1252" s="3974"/>
      <c r="W1252" s="1165">
        <v>7</v>
      </c>
      <c r="X1252" s="1165">
        <v>7</v>
      </c>
      <c r="Y1252" s="1165">
        <v>7</v>
      </c>
      <c r="Z1252" s="1165">
        <v>7</v>
      </c>
      <c r="AA1252" s="1165">
        <v>7</v>
      </c>
      <c r="AB1252" s="2825">
        <v>60</v>
      </c>
      <c r="AC1252" s="1165"/>
      <c r="AD1252" s="1165"/>
      <c r="AE1252" s="1165"/>
      <c r="AF1252" s="1165"/>
      <c r="AG1252" s="1165"/>
      <c r="AK1252" s="982"/>
    </row>
    <row r="1253" spans="1:57" outlineLevel="1" x14ac:dyDescent="0.25">
      <c r="B1253" s="1148"/>
      <c r="C1253" s="2741"/>
      <c r="D1253" s="1954" t="s">
        <v>2034</v>
      </c>
      <c r="E1253" s="2839"/>
      <c r="F1253" s="2835"/>
      <c r="G1253" s="2835"/>
      <c r="H1253" s="2748"/>
      <c r="I1253" s="2748"/>
      <c r="J1253" s="2748"/>
      <c r="K1253" s="648"/>
      <c r="L1253" s="157"/>
      <c r="V1253" s="2834"/>
      <c r="W1253" s="2837"/>
      <c r="X1253" s="2837"/>
      <c r="Y1253" s="2837"/>
      <c r="Z1253" s="2837"/>
      <c r="AA1253" s="2837"/>
      <c r="AB1253" s="2836"/>
      <c r="AC1253" s="2838"/>
      <c r="AD1253" s="2838"/>
      <c r="AE1253" s="2838"/>
      <c r="AF1253" s="2838"/>
      <c r="AG1253" s="2838"/>
      <c r="AK1253" s="982"/>
    </row>
    <row r="1254" spans="1:57" ht="15" customHeight="1" x14ac:dyDescent="0.25">
      <c r="A1254" s="157"/>
      <c r="B1254" s="157"/>
      <c r="C1254" s="385"/>
      <c r="D1254" s="1674"/>
      <c r="E1254" s="1976"/>
      <c r="F1254" s="1976"/>
      <c r="G1254" s="2826"/>
      <c r="H1254" s="1976"/>
      <c r="I1254" s="1976"/>
      <c r="M1254" s="157"/>
      <c r="N1254" s="157"/>
      <c r="V1254" s="1274"/>
      <c r="W1254" s="976"/>
      <c r="X1254" s="976"/>
      <c r="Y1254" s="1701" t="s">
        <v>1581</v>
      </c>
      <c r="Z1254" s="494"/>
      <c r="AK1254" s="982"/>
    </row>
    <row r="1255" spans="1:57" x14ac:dyDescent="0.25">
      <c r="A1255" s="157"/>
      <c r="B1255" s="157"/>
      <c r="C1255" s="385"/>
      <c r="D1255" s="386"/>
      <c r="E1255" s="386"/>
      <c r="F1255" s="157"/>
      <c r="G1255" s="157"/>
      <c r="H1255" s="157"/>
      <c r="I1255" s="157"/>
      <c r="J1255" s="157"/>
      <c r="K1255" s="157"/>
      <c r="L1255" s="157"/>
      <c r="M1255" s="157"/>
      <c r="N1255" s="157"/>
      <c r="V1255" s="976"/>
      <c r="W1255" s="976"/>
      <c r="X1255" s="976"/>
      <c r="AK1255" s="982"/>
    </row>
    <row r="1256" spans="1:57" x14ac:dyDescent="0.25">
      <c r="A1256" s="157"/>
      <c r="B1256" s="3350" t="s">
        <v>122</v>
      </c>
      <c r="C1256" s="3351"/>
      <c r="D1256" s="3351"/>
      <c r="E1256" s="3351"/>
      <c r="F1256" s="3351"/>
      <c r="G1256" s="3351"/>
      <c r="H1256" s="3351"/>
      <c r="I1256" s="3351"/>
      <c r="J1256" s="3351"/>
      <c r="K1256" s="3351"/>
      <c r="L1256" s="3351"/>
      <c r="M1256" s="3351"/>
      <c r="N1256" s="3351"/>
      <c r="O1256" s="3351"/>
      <c r="P1256" s="3351"/>
      <c r="Q1256" s="3351"/>
      <c r="R1256" s="3593"/>
      <c r="V1256" s="3350" t="str">
        <f>B1256</f>
        <v>Refrigerator</v>
      </c>
      <c r="W1256" s="3351"/>
      <c r="X1256" s="3351"/>
      <c r="Y1256" s="3351"/>
      <c r="Z1256" s="3351"/>
      <c r="AA1256" s="3351"/>
      <c r="AB1256" s="3351"/>
      <c r="AC1256" s="3354"/>
      <c r="AD1256" s="3354"/>
      <c r="AE1256" s="3354"/>
      <c r="AF1256" s="3354"/>
      <c r="AG1256" s="3354"/>
      <c r="AH1256" s="3354"/>
      <c r="AI1256" s="3355"/>
      <c r="AK1256" s="982"/>
    </row>
    <row r="1257" spans="1:57" x14ac:dyDescent="0.25">
      <c r="A1257" s="157"/>
      <c r="B1257" s="157"/>
      <c r="C1257" s="385"/>
      <c r="D1257" s="386"/>
      <c r="E1257" s="386"/>
      <c r="F1257" s="157"/>
      <c r="G1257" s="157"/>
      <c r="H1257" s="157"/>
      <c r="I1257" s="157"/>
      <c r="J1257" s="157"/>
      <c r="K1257" s="157"/>
      <c r="L1257" s="157"/>
      <c r="M1257" s="157"/>
      <c r="N1257" s="157"/>
      <c r="AK1257" s="982"/>
    </row>
    <row r="1258" spans="1:57" ht="30" x14ac:dyDescent="0.25">
      <c r="C1258" s="1409" t="s">
        <v>17</v>
      </c>
      <c r="D1258" s="1409" t="s">
        <v>616</v>
      </c>
      <c r="E1258" s="1409" t="s">
        <v>19</v>
      </c>
      <c r="F1258" s="1409" t="s">
        <v>20</v>
      </c>
      <c r="G1258" s="1409" t="s">
        <v>21</v>
      </c>
      <c r="H1258" s="1409" t="s">
        <v>22</v>
      </c>
      <c r="I1258" s="1409" t="s">
        <v>23</v>
      </c>
      <c r="J1258" s="1409" t="s">
        <v>24</v>
      </c>
      <c r="K1258" s="1409" t="s">
        <v>25</v>
      </c>
      <c r="L1258" s="1409" t="s">
        <v>26</v>
      </c>
      <c r="V1258" s="55" t="s">
        <v>27</v>
      </c>
      <c r="W1258" s="56">
        <v>43252</v>
      </c>
      <c r="X1258" s="56">
        <f>$X$6</f>
        <v>43465</v>
      </c>
      <c r="Y1258" s="420">
        <f>$Y$6</f>
        <v>43800</v>
      </c>
      <c r="Z1258" s="56">
        <f>$Z$6</f>
        <v>43862</v>
      </c>
      <c r="AA1258" s="56">
        <f>$AA$6</f>
        <v>44013</v>
      </c>
      <c r="AB1258" s="56">
        <f>$AB$6</f>
        <v>44166</v>
      </c>
      <c r="AC1258" s="56" t="str">
        <f>$AC$6</f>
        <v>-</v>
      </c>
      <c r="AD1258" s="56" t="str">
        <f>$AD$6</f>
        <v>-</v>
      </c>
      <c r="AE1258" s="56" t="str">
        <f>$AE$6</f>
        <v>-</v>
      </c>
      <c r="AF1258" s="56" t="str">
        <f>$AF$6</f>
        <v>-</v>
      </c>
      <c r="AG1258" s="56" t="str">
        <f>$AG$6</f>
        <v>-</v>
      </c>
      <c r="AK1258" s="982"/>
      <c r="BB1258" s="57" t="str">
        <f>$BB$6</f>
        <v>TRC (2020)</v>
      </c>
      <c r="BC1258" s="93" t="str">
        <f>$BC$6</f>
        <v>Benefit Lookup</v>
      </c>
      <c r="BD1258" s="741" t="str">
        <f>$BD$6</f>
        <v>Benefits (2019 $)</v>
      </c>
      <c r="BE1258" s="279" t="str">
        <f>$BE$6</f>
        <v>Incremental Cost (2019 $)</v>
      </c>
    </row>
    <row r="1259" spans="1:57" x14ac:dyDescent="0.25">
      <c r="C1259" s="86" t="s">
        <v>2035</v>
      </c>
      <c r="D1259" s="137" t="s">
        <v>1968</v>
      </c>
      <c r="E1259" s="742" t="s">
        <v>2036</v>
      </c>
      <c r="F1259" s="1955">
        <f>ROUND(F1270-(F1272*(1-F1273)),2)</f>
        <v>564.66</v>
      </c>
      <c r="G1259" s="187" t="s">
        <v>2037</v>
      </c>
      <c r="H1259" s="202">
        <f>VLOOKUP(G1259,'CP FACTORS'!$A$3:$B$38, 2, FALSE)</f>
        <v>1.286107E-4</v>
      </c>
      <c r="I1259" s="1733">
        <f>ROUND(F1259*H1259,6)</f>
        <v>7.2621000000000005E-2</v>
      </c>
      <c r="J1259" s="142">
        <f>$F$1286</f>
        <v>6</v>
      </c>
      <c r="K1259" s="589">
        <f>$F$1288</f>
        <v>753</v>
      </c>
      <c r="L1259" s="86" t="s">
        <v>37</v>
      </c>
      <c r="M1259" s="1136"/>
      <c r="V1259" s="208" t="str">
        <f>F1258</f>
        <v>kWh Annual Savings</v>
      </c>
      <c r="W1259" s="209">
        <v>564.66038920276219</v>
      </c>
      <c r="X1259" s="980">
        <v>564.66038920276219</v>
      </c>
      <c r="Y1259" s="981">
        <v>564.66</v>
      </c>
      <c r="Z1259" s="981">
        <v>564.66</v>
      </c>
      <c r="AA1259" s="981">
        <v>564.66</v>
      </c>
      <c r="AB1259" s="981">
        <v>564.66</v>
      </c>
      <c r="AC1259" s="208"/>
      <c r="AD1259" s="208"/>
      <c r="AE1259" s="208"/>
      <c r="AF1259" s="208"/>
      <c r="AG1259" s="208"/>
      <c r="AK1259" s="982"/>
      <c r="BB1259" s="67">
        <f>(BD1259+BD1260)/(BE1259+BE1260)</f>
        <v>0.18847747808723556</v>
      </c>
      <c r="BC1259" s="68" t="str">
        <f>CONCATENATE(G1259," ",J1259," Year EUL")</f>
        <v>Refrigeration RES 6 Year EUL</v>
      </c>
      <c r="BD1259" s="145">
        <f>(INDEX('Avoided Cost Benefits'!$C$4:$C$857,MATCH(BC1259,'Avoided Cost Benefits'!$A$4:$A$857,0)))*F1259</f>
        <v>117.12499089042501</v>
      </c>
      <c r="BE1259" s="69">
        <f>K1259/(1.0595^(2020-2019))</f>
        <v>710.71260028315237</v>
      </c>
    </row>
    <row r="1260" spans="1:57" x14ac:dyDescent="0.25">
      <c r="C1260" s="86" t="s">
        <v>2035</v>
      </c>
      <c r="D1260" s="137" t="s">
        <v>1968</v>
      </c>
      <c r="E1260" s="750" t="s">
        <v>2038</v>
      </c>
      <c r="F1260" s="1956">
        <f>ROUND(F1274-(F1272*(1-F1273)),2)</f>
        <v>46.72</v>
      </c>
      <c r="G1260" s="187" t="s">
        <v>2039</v>
      </c>
      <c r="H1260" s="202">
        <f>VLOOKUP(G1260,'CP FACTORS'!$A$3:$B$38, 2, FALSE)</f>
        <v>1.286107E-4</v>
      </c>
      <c r="I1260" s="1733">
        <f>ROUND(F1260*H1260,6)</f>
        <v>6.0089999999999996E-3</v>
      </c>
      <c r="J1260" s="142">
        <f>$F$1287</f>
        <v>11</v>
      </c>
      <c r="K1260" s="589">
        <v>0</v>
      </c>
      <c r="L1260" s="86" t="s">
        <v>37</v>
      </c>
      <c r="M1260" s="1136"/>
      <c r="V1260" s="208" t="str">
        <f>V1259</f>
        <v>kWh Annual Savings</v>
      </c>
      <c r="W1260" s="209">
        <v>46.722222222222229</v>
      </c>
      <c r="X1260" s="980">
        <v>46.722222222222229</v>
      </c>
      <c r="Y1260" s="981">
        <v>46.72</v>
      </c>
      <c r="Z1260" s="981">
        <v>46.72</v>
      </c>
      <c r="AA1260" s="981">
        <v>46.72</v>
      </c>
      <c r="AB1260" s="981">
        <v>46.72</v>
      </c>
      <c r="AC1260" s="208"/>
      <c r="AD1260" s="208"/>
      <c r="AE1260" s="208"/>
      <c r="AF1260" s="208"/>
      <c r="AG1260" s="208"/>
      <c r="AH1260" s="993"/>
      <c r="AI1260" s="993"/>
      <c r="AK1260" s="982"/>
      <c r="BB1260" s="1087"/>
      <c r="BC1260" s="72" t="str">
        <f>CONCATENATE(G1260," ",J1260," Year EUL")</f>
        <v>Refrigeration RES ER2 11 Year EUL</v>
      </c>
      <c r="BD1260" s="148">
        <f>(INDEX('Avoided Cost Benefits'!$C$4:$C$857,MATCH(BC1260,'Avoided Cost Benefits'!$A$4:$A$857,0)))*F1260</f>
        <v>16.828327655765037</v>
      </c>
      <c r="BE1260" s="73">
        <f>K1260/(1.0595^(2020-2019))</f>
        <v>0</v>
      </c>
    </row>
    <row r="1261" spans="1:57" x14ac:dyDescent="0.25">
      <c r="C1261" s="86" t="s">
        <v>2040</v>
      </c>
      <c r="D1261" s="137" t="s">
        <v>1968</v>
      </c>
      <c r="E1261" s="742" t="s">
        <v>2041</v>
      </c>
      <c r="F1261" s="1955">
        <f>ROUND(F1271-(F1272*(1-F1273)),2)</f>
        <v>1269.9100000000001</v>
      </c>
      <c r="G1261" s="187" t="s">
        <v>2037</v>
      </c>
      <c r="H1261" s="202">
        <f>VLOOKUP(G1261,'CP FACTORS'!$A$3:$B$38, 2, FALSE)</f>
        <v>1.286107E-4</v>
      </c>
      <c r="I1261" s="1733">
        <f>ROUND(F1261*H1261,6)</f>
        <v>0.163324</v>
      </c>
      <c r="J1261" s="142">
        <f>$F$1286</f>
        <v>6</v>
      </c>
      <c r="K1261" s="589">
        <f>$F$1288</f>
        <v>753</v>
      </c>
      <c r="L1261" s="86" t="s">
        <v>37</v>
      </c>
      <c r="M1261" s="1136"/>
      <c r="V1261" s="208" t="str">
        <f>V1260</f>
        <v>kWh Annual Savings</v>
      </c>
      <c r="W1261" s="209"/>
      <c r="X1261" s="980"/>
      <c r="Y1261" s="984">
        <v>1269.9100000000001</v>
      </c>
      <c r="Z1261" s="981">
        <v>1269.9100000000001</v>
      </c>
      <c r="AA1261" s="981">
        <v>1269.9100000000001</v>
      </c>
      <c r="AB1261" s="981">
        <v>1269.9100000000001</v>
      </c>
      <c r="AC1261" s="208"/>
      <c r="AD1261" s="208"/>
      <c r="AE1261" s="208"/>
      <c r="AF1261" s="208"/>
      <c r="AG1261" s="208"/>
      <c r="AK1261" s="982"/>
      <c r="BB1261" s="71">
        <f>(BD1261+BD1262)/(BE1261+BE1262)</f>
        <v>0.39430887713969415</v>
      </c>
      <c r="BC1261" s="72" t="str">
        <f>CONCATENATE(G1261," ",J1261," Year EUL")</f>
        <v>Refrigeration RES 6 Year EUL</v>
      </c>
      <c r="BD1261" s="148">
        <f>(INDEX('Avoided Cost Benefits'!$C$4:$C$857,MATCH(BC1261,'Avoided Cost Benefits'!$A$4:$A$857,0)))*F1261</f>
        <v>263.41195973091709</v>
      </c>
      <c r="BE1261" s="73">
        <f>K1261/(1.0595^(2020-2019))</f>
        <v>710.71260028315237</v>
      </c>
    </row>
    <row r="1262" spans="1:57" x14ac:dyDescent="0.25">
      <c r="C1262" s="86" t="s">
        <v>2040</v>
      </c>
      <c r="D1262" s="137" t="s">
        <v>1968</v>
      </c>
      <c r="E1262" s="750" t="s">
        <v>2042</v>
      </c>
      <c r="F1262" s="1956">
        <f>ROUND(F1272-(F1272*(1-F1273)),2)</f>
        <v>46.72</v>
      </c>
      <c r="G1262" s="187" t="s">
        <v>2039</v>
      </c>
      <c r="H1262" s="202">
        <f>VLOOKUP(G1262,'CP FACTORS'!$A$3:$B$38, 2, FALSE)</f>
        <v>1.286107E-4</v>
      </c>
      <c r="I1262" s="1733">
        <f>ROUND(F1262*H1262,6)</f>
        <v>6.0089999999999996E-3</v>
      </c>
      <c r="J1262" s="142">
        <f>$F$1287</f>
        <v>11</v>
      </c>
      <c r="K1262" s="589">
        <v>0</v>
      </c>
      <c r="L1262" s="86" t="s">
        <v>37</v>
      </c>
      <c r="M1262" s="1136"/>
      <c r="V1262" s="208" t="str">
        <f>V1261</f>
        <v>kWh Annual Savings</v>
      </c>
      <c r="W1262" s="209"/>
      <c r="X1262" s="980"/>
      <c r="Y1262" s="984">
        <v>46.72</v>
      </c>
      <c r="Z1262" s="981">
        <v>46.72</v>
      </c>
      <c r="AA1262" s="981">
        <v>46.72</v>
      </c>
      <c r="AB1262" s="981">
        <v>46.72</v>
      </c>
      <c r="AC1262" s="208"/>
      <c r="AD1262" s="208"/>
      <c r="AE1262" s="208"/>
      <c r="AF1262" s="208"/>
      <c r="AG1262" s="208"/>
      <c r="AH1262" s="993"/>
      <c r="AI1262" s="993"/>
      <c r="AK1262" s="982"/>
      <c r="BB1262" s="1089"/>
      <c r="BC1262" s="72" t="str">
        <f>CONCATENATE(G1262," ",J1262," Year EUL")</f>
        <v>Refrigeration RES ER2 11 Year EUL</v>
      </c>
      <c r="BD1262" s="153">
        <f>(INDEX('Avoided Cost Benefits'!$C$4:$C$857,MATCH(BC1262,'Avoided Cost Benefits'!$A$4:$A$857,0)))*F1262</f>
        <v>16.828327655765037</v>
      </c>
      <c r="BE1262" s="75">
        <f>K1262/(1.0595^(2020-2019))</f>
        <v>0</v>
      </c>
    </row>
    <row r="1263" spans="1:57" outlineLevel="1" x14ac:dyDescent="0.25">
      <c r="C1263" s="154"/>
      <c r="D1263" s="1230"/>
      <c r="E1263" s="1230"/>
      <c r="F1263" s="1891"/>
      <c r="G1263" s="612"/>
      <c r="H1263" s="1136"/>
      <c r="I1263" s="1269"/>
      <c r="J1263" s="1953"/>
      <c r="K1263" s="1269"/>
      <c r="L1263" s="587"/>
      <c r="M1263" s="1136"/>
      <c r="AH1263" s="993"/>
      <c r="AI1263" s="993"/>
      <c r="AK1263" s="982"/>
    </row>
    <row r="1264" spans="1:57" outlineLevel="1" x14ac:dyDescent="0.25">
      <c r="C1264" s="154"/>
      <c r="D1264" s="222" t="s">
        <v>571</v>
      </c>
      <c r="E1264" s="1230"/>
      <c r="F1264" s="1891"/>
      <c r="G1264" s="612"/>
      <c r="H1264" s="1136"/>
      <c r="I1264" s="1269"/>
      <c r="J1264" s="1953"/>
      <c r="K1264" s="1269"/>
      <c r="L1264" s="587"/>
      <c r="M1264" s="1136"/>
      <c r="AH1264" s="993"/>
      <c r="AI1264" s="993"/>
      <c r="AK1264" s="982"/>
    </row>
    <row r="1265" spans="3:37" outlineLevel="1" x14ac:dyDescent="0.25">
      <c r="C1265" s="154"/>
      <c r="D1265" s="1230"/>
      <c r="E1265" s="1230"/>
      <c r="F1265" s="1891"/>
      <c r="G1265" s="612"/>
      <c r="H1265" s="1136"/>
      <c r="I1265" s="1269"/>
      <c r="J1265" s="1953"/>
      <c r="K1265" s="1269"/>
      <c r="L1265" s="587"/>
      <c r="M1265" s="1136"/>
      <c r="AK1265" s="982"/>
    </row>
    <row r="1266" spans="3:37" outlineLevel="1" x14ac:dyDescent="0.25">
      <c r="C1266" s="154"/>
      <c r="D1266" s="1230"/>
      <c r="E1266" s="1230"/>
      <c r="F1266" s="1891"/>
      <c r="G1266" s="612"/>
      <c r="H1266" s="1136"/>
      <c r="I1266" s="1269"/>
      <c r="J1266" s="1953"/>
      <c r="K1266" s="1269"/>
      <c r="L1266" s="587"/>
      <c r="M1266" s="1136"/>
      <c r="AK1266" s="982"/>
    </row>
    <row r="1267" spans="3:37" outlineLevel="1" x14ac:dyDescent="0.25">
      <c r="C1267" s="154"/>
      <c r="D1267" s="1230"/>
      <c r="E1267" s="1230"/>
      <c r="F1267" s="1891"/>
      <c r="G1267" s="612"/>
      <c r="H1267" s="1136"/>
      <c r="I1267" s="1269"/>
      <c r="J1267" s="1953"/>
      <c r="K1267" s="1269"/>
      <c r="L1267" s="587"/>
      <c r="M1267" s="1136"/>
      <c r="AK1267" s="982"/>
    </row>
    <row r="1268" spans="3:37" outlineLevel="1" x14ac:dyDescent="0.25">
      <c r="D1268" s="1332"/>
      <c r="E1268" s="1332"/>
      <c r="F1268" s="1136"/>
      <c r="G1268" s="1136"/>
      <c r="H1268" s="1136"/>
      <c r="I1268" s="1136"/>
      <c r="J1268" s="1136"/>
      <c r="K1268" s="1136"/>
      <c r="L1268" s="1136"/>
      <c r="M1268" s="1136"/>
      <c r="AK1268" s="982"/>
    </row>
    <row r="1269" spans="3:37" outlineLevel="1" x14ac:dyDescent="0.25">
      <c r="D1269" s="1409" t="s">
        <v>572</v>
      </c>
      <c r="E1269" s="1409" t="s">
        <v>573</v>
      </c>
      <c r="F1269" s="1409" t="s">
        <v>574</v>
      </c>
      <c r="G1269" s="1409" t="s">
        <v>624</v>
      </c>
      <c r="H1269" s="1276"/>
      <c r="I1269" s="157"/>
      <c r="J1269" s="157"/>
      <c r="K1269" s="1276"/>
      <c r="L1269" s="1276"/>
      <c r="M1269" s="1276"/>
      <c r="N1269" s="1276"/>
      <c r="O1269" s="1276"/>
      <c r="P1269" s="1276"/>
      <c r="Q1269" s="1276"/>
      <c r="R1269" s="1276"/>
      <c r="V1269" s="55" t="s">
        <v>27</v>
      </c>
      <c r="W1269" s="56">
        <f>W$6</f>
        <v>43252</v>
      </c>
      <c r="X1269" s="56">
        <f t="shared" ref="X1269:AG1269" si="170">X$6</f>
        <v>43465</v>
      </c>
      <c r="Y1269" s="420">
        <f t="shared" si="170"/>
        <v>43800</v>
      </c>
      <c r="Z1269" s="56">
        <f t="shared" si="170"/>
        <v>43862</v>
      </c>
      <c r="AA1269" s="56">
        <f t="shared" si="170"/>
        <v>44013</v>
      </c>
      <c r="AB1269" s="56">
        <f t="shared" si="170"/>
        <v>44166</v>
      </c>
      <c r="AC1269" s="56" t="str">
        <f t="shared" si="170"/>
        <v>-</v>
      </c>
      <c r="AD1269" s="56" t="str">
        <f t="shared" si="170"/>
        <v>-</v>
      </c>
      <c r="AE1269" s="56" t="str">
        <f t="shared" si="170"/>
        <v>-</v>
      </c>
      <c r="AF1269" s="56" t="str">
        <f t="shared" si="170"/>
        <v>-</v>
      </c>
      <c r="AG1269" s="56" t="str">
        <f t="shared" si="170"/>
        <v>-</v>
      </c>
      <c r="AK1269" s="982"/>
    </row>
    <row r="1270" spans="3:37" outlineLevel="1" x14ac:dyDescent="0.25">
      <c r="D1270" s="3989" t="s">
        <v>2285</v>
      </c>
      <c r="E1270" s="1090" t="s">
        <v>2043</v>
      </c>
      <c r="F1270" s="1277">
        <f>SUMPRODUCT($F$1274:$F$1279, $F$1280:$F$1285)/SUM($F$1280:$F$1285)</f>
        <v>985.16038920276219</v>
      </c>
      <c r="G1270" s="1091"/>
      <c r="H1270" s="1276"/>
      <c r="I1270" s="3991" t="s">
        <v>2044</v>
      </c>
      <c r="J1270" s="3992"/>
      <c r="K1270" s="3992"/>
      <c r="L1270" s="3992"/>
      <c r="M1270" s="3992"/>
      <c r="N1270" s="3992"/>
      <c r="O1270" s="3992"/>
      <c r="P1270" s="3992"/>
      <c r="Q1270" s="3992"/>
      <c r="R1270" s="3993"/>
      <c r="V1270" s="3989" t="str">
        <f>D1270</f>
        <v>kWhBase</v>
      </c>
      <c r="W1270" s="1277">
        <v>985.16038920276219</v>
      </c>
      <c r="X1270" s="1277">
        <f>SUMPRODUCT($F$1274:$F$1279, $F$1280:$F$1285)/SUM($F$1280:$F$1285)</f>
        <v>985.16038920276219</v>
      </c>
      <c r="Y1270" s="1277">
        <v>985.16038920276219</v>
      </c>
      <c r="Z1270" s="1277">
        <v>985.16038920276219</v>
      </c>
      <c r="AA1270" s="1277">
        <v>985.16038920276219</v>
      </c>
      <c r="AB1270" s="1277">
        <v>985.16038920276219</v>
      </c>
      <c r="AC1270" s="1278"/>
      <c r="AD1270" s="1278"/>
      <c r="AE1270" s="1278"/>
      <c r="AF1270" s="1278"/>
      <c r="AG1270" s="1278"/>
      <c r="AK1270" s="982"/>
    </row>
    <row r="1271" spans="3:37" outlineLevel="1" x14ac:dyDescent="0.25">
      <c r="D1271" s="3990"/>
      <c r="E1271" s="1090" t="s">
        <v>2045</v>
      </c>
      <c r="F1271" s="1277">
        <f>SUMPRODUCT($F$1277:$F$1279, $F$1283:$F$1285)/SUM($F$1283:$F$1285)</f>
        <v>1690.4148148148149</v>
      </c>
      <c r="G1271" s="1091"/>
      <c r="H1271" s="1276"/>
      <c r="I1271" s="3829"/>
      <c r="J1271" s="3830"/>
      <c r="K1271" s="3830"/>
      <c r="L1271" s="3830"/>
      <c r="M1271" s="3830"/>
      <c r="N1271" s="3830"/>
      <c r="O1271" s="3830"/>
      <c r="P1271" s="3830"/>
      <c r="Q1271" s="3830"/>
      <c r="R1271" s="3831"/>
      <c r="V1271" s="3994"/>
      <c r="W1271" s="1277"/>
      <c r="X1271" s="1277"/>
      <c r="Y1271" s="632">
        <v>1690.4148148148149</v>
      </c>
      <c r="Z1271" s="1277">
        <v>1690.4148148148149</v>
      </c>
      <c r="AA1271" s="1277">
        <v>1690.4148148148149</v>
      </c>
      <c r="AB1271" s="1277">
        <v>1690.4148148148149</v>
      </c>
      <c r="AC1271" s="1278"/>
      <c r="AD1271" s="1278"/>
      <c r="AE1271" s="1278"/>
      <c r="AF1271" s="1278"/>
      <c r="AG1271" s="1278"/>
      <c r="AK1271" s="982"/>
    </row>
    <row r="1272" spans="3:37" ht="18" outlineLevel="1" x14ac:dyDescent="0.35">
      <c r="D1272" s="1117" t="s">
        <v>2286</v>
      </c>
      <c r="E1272" s="1090" t="s">
        <v>2046</v>
      </c>
      <c r="F1272" s="1277">
        <f>$F$1274</f>
        <v>467.22222222222223</v>
      </c>
      <c r="G1272" s="1091"/>
      <c r="H1272" s="1276"/>
      <c r="I1272" s="3995" t="s">
        <v>2047</v>
      </c>
      <c r="J1272" s="1433" t="s">
        <v>2048</v>
      </c>
      <c r="K1272" s="3996" t="s">
        <v>2049</v>
      </c>
      <c r="L1272" s="3996"/>
      <c r="M1272" s="3996"/>
      <c r="N1272" s="3997" t="s">
        <v>2050</v>
      </c>
      <c r="O1272" s="3998"/>
      <c r="P1272" s="3998"/>
      <c r="Q1272" s="3999"/>
      <c r="R1272" s="4000"/>
      <c r="V1272" s="1117" t="str">
        <f t="shared" ref="V1272:V1285" si="171">D1272</f>
        <v>kWhnew</v>
      </c>
      <c r="W1272" s="1277">
        <v>467.22222222222223</v>
      </c>
      <c r="X1272" s="1277">
        <f>$F$1274</f>
        <v>467.22222222222223</v>
      </c>
      <c r="Y1272" s="1277">
        <v>467.22222222222223</v>
      </c>
      <c r="Z1272" s="1277">
        <v>467.22222222222223</v>
      </c>
      <c r="AA1272" s="1277">
        <v>467.22222222222223</v>
      </c>
      <c r="AB1272" s="1277">
        <v>467.22222222222223</v>
      </c>
      <c r="AC1272" s="1278"/>
      <c r="AD1272" s="1278"/>
      <c r="AE1272" s="1278"/>
      <c r="AF1272" s="1278"/>
      <c r="AG1272" s="1278"/>
      <c r="AJ1272" s="982"/>
    </row>
    <row r="1273" spans="3:37" ht="30" outlineLevel="1" x14ac:dyDescent="0.25">
      <c r="D1273" s="1117" t="s">
        <v>2051</v>
      </c>
      <c r="E1273" s="1090" t="s">
        <v>2052</v>
      </c>
      <c r="F1273" s="380">
        <v>0.1</v>
      </c>
      <c r="G1273" s="1436" t="s">
        <v>1198</v>
      </c>
      <c r="H1273" s="1276"/>
      <c r="I1273" s="3995"/>
      <c r="J1273" s="1433" t="s">
        <v>2053</v>
      </c>
      <c r="K1273" s="1433" t="s">
        <v>2054</v>
      </c>
      <c r="L1273" s="1433" t="s">
        <v>2055</v>
      </c>
      <c r="M1273" s="1433" t="s">
        <v>2053</v>
      </c>
      <c r="N1273" s="1433" t="s">
        <v>2054</v>
      </c>
      <c r="O1273" s="1433" t="s">
        <v>2055</v>
      </c>
      <c r="P1273" s="1433" t="s">
        <v>2053</v>
      </c>
      <c r="Q1273" s="1433" t="s">
        <v>2056</v>
      </c>
      <c r="R1273" s="1433" t="s">
        <v>2057</v>
      </c>
      <c r="V1273" s="1117" t="str">
        <f t="shared" si="171"/>
        <v>% Savings</v>
      </c>
      <c r="W1273" s="380">
        <v>0.1</v>
      </c>
      <c r="X1273" s="380">
        <v>0.1</v>
      </c>
      <c r="Y1273" s="380">
        <v>0.1</v>
      </c>
      <c r="Z1273" s="380">
        <v>0.1</v>
      </c>
      <c r="AA1273" s="380">
        <v>0.1</v>
      </c>
      <c r="AB1273" s="380">
        <v>0.1</v>
      </c>
      <c r="AC1273" s="1279"/>
      <c r="AD1273" s="1279"/>
      <c r="AE1273" s="1279"/>
      <c r="AF1273" s="1279"/>
      <c r="AG1273" s="1279"/>
      <c r="AJ1273" s="982"/>
    </row>
    <row r="1274" spans="3:37" ht="18" outlineLevel="1" x14ac:dyDescent="0.35">
      <c r="D1274" s="1117" t="s">
        <v>2288</v>
      </c>
      <c r="E1274" s="1117" t="s">
        <v>2058</v>
      </c>
      <c r="F1274" s="1277">
        <f>AVERAGE($J$1274:$R$1274)</f>
        <v>467.22222222222223</v>
      </c>
      <c r="G1274" s="1436" t="s">
        <v>1198</v>
      </c>
      <c r="H1274" s="1276"/>
      <c r="I1274" s="1957" t="s">
        <v>2059</v>
      </c>
      <c r="J1274" s="1280">
        <v>483</v>
      </c>
      <c r="K1274" s="1280">
        <v>592</v>
      </c>
      <c r="L1274" s="1280">
        <v>592</v>
      </c>
      <c r="M1274" s="1280">
        <v>592</v>
      </c>
      <c r="N1274" s="1280">
        <v>374</v>
      </c>
      <c r="O1274" s="1280">
        <v>374</v>
      </c>
      <c r="P1274" s="1280">
        <v>374</v>
      </c>
      <c r="Q1274" s="1280">
        <v>412</v>
      </c>
      <c r="R1274" s="1280">
        <v>412</v>
      </c>
      <c r="V1274" s="1117" t="str">
        <f t="shared" si="171"/>
        <v>kWh2011-2015</v>
      </c>
      <c r="W1274" s="1277">
        <v>467.22222222222223</v>
      </c>
      <c r="X1274" s="1277">
        <f>AVERAGE($J$1274:$R$1274)</f>
        <v>467.22222222222223</v>
      </c>
      <c r="Y1274" s="1277">
        <v>467.22222222222223</v>
      </c>
      <c r="Z1274" s="1277">
        <v>467.22222222222223</v>
      </c>
      <c r="AA1274" s="1277">
        <v>467.22222222222223</v>
      </c>
      <c r="AB1274" s="1277">
        <v>467.22222222222223</v>
      </c>
      <c r="AC1274" s="1278"/>
      <c r="AD1274" s="1278"/>
      <c r="AE1274" s="1278"/>
      <c r="AF1274" s="1278"/>
      <c r="AG1274" s="1278"/>
      <c r="AJ1274" s="982"/>
    </row>
    <row r="1275" spans="3:37" ht="18" outlineLevel="1" x14ac:dyDescent="0.35">
      <c r="D1275" s="1117" t="s">
        <v>2290</v>
      </c>
      <c r="E1275" s="1117" t="s">
        <v>2060</v>
      </c>
      <c r="F1275" s="1277">
        <f>AVERAGE($J$1275:$R$1275)</f>
        <v>651</v>
      </c>
      <c r="G1275" s="1436" t="s">
        <v>1198</v>
      </c>
      <c r="H1275" s="1276"/>
      <c r="I1275" s="1957" t="s">
        <v>2061</v>
      </c>
      <c r="J1275" s="1280">
        <v>724</v>
      </c>
      <c r="K1275" s="1280">
        <v>747</v>
      </c>
      <c r="L1275" s="1280">
        <v>747</v>
      </c>
      <c r="M1275" s="1280">
        <v>747</v>
      </c>
      <c r="N1275" s="1280">
        <v>556</v>
      </c>
      <c r="O1275" s="1280">
        <v>556</v>
      </c>
      <c r="P1275" s="1280">
        <v>556</v>
      </c>
      <c r="Q1275" s="1280">
        <v>613</v>
      </c>
      <c r="R1275" s="1280">
        <v>613</v>
      </c>
      <c r="V1275" s="1117" t="str">
        <f t="shared" si="171"/>
        <v>kWh2001(after July)-2010</v>
      </c>
      <c r="W1275" s="1277">
        <v>651</v>
      </c>
      <c r="X1275" s="1277">
        <f>AVERAGE($J$1275:$R$1275)</f>
        <v>651</v>
      </c>
      <c r="Y1275" s="1277">
        <v>651</v>
      </c>
      <c r="Z1275" s="1277">
        <v>651</v>
      </c>
      <c r="AA1275" s="1277">
        <v>651</v>
      </c>
      <c r="AB1275" s="1277">
        <v>651</v>
      </c>
      <c r="AC1275" s="1278"/>
      <c r="AD1275" s="1278"/>
      <c r="AE1275" s="1278"/>
      <c r="AF1275" s="1278"/>
      <c r="AG1275" s="1278"/>
      <c r="AJ1275" s="982"/>
    </row>
    <row r="1276" spans="3:37" ht="18" outlineLevel="1" x14ac:dyDescent="0.35">
      <c r="D1276" s="1117" t="s">
        <v>2291</v>
      </c>
      <c r="E1276" s="1117" t="s">
        <v>2062</v>
      </c>
      <c r="F1276" s="1277">
        <f>AVERAGE($J$1276:$R$1276)</f>
        <v>987.33333333333337</v>
      </c>
      <c r="G1276" s="1436" t="s">
        <v>1198</v>
      </c>
      <c r="H1276" s="1276"/>
      <c r="I1276" s="1957" t="s">
        <v>2063</v>
      </c>
      <c r="J1276" s="1280">
        <v>962</v>
      </c>
      <c r="K1276" s="1280">
        <v>1139</v>
      </c>
      <c r="L1276" s="1280">
        <v>1139</v>
      </c>
      <c r="M1276" s="1280">
        <v>1139</v>
      </c>
      <c r="N1276" s="1280">
        <v>861</v>
      </c>
      <c r="O1276" s="1280">
        <v>861</v>
      </c>
      <c r="P1276" s="1280">
        <v>861</v>
      </c>
      <c r="Q1276" s="1280">
        <v>962</v>
      </c>
      <c r="R1276" s="1280">
        <v>962</v>
      </c>
      <c r="V1276" s="1117" t="str">
        <f t="shared" si="171"/>
        <v>kWh1993-2001(before June)</v>
      </c>
      <c r="W1276" s="1277">
        <v>987.33333333333337</v>
      </c>
      <c r="X1276" s="1277">
        <f>AVERAGE($J$1276:$R$1276)</f>
        <v>987.33333333333337</v>
      </c>
      <c r="Y1276" s="1277">
        <v>987.33333333333337</v>
      </c>
      <c r="Z1276" s="1277">
        <v>987.33333333333337</v>
      </c>
      <c r="AA1276" s="1277">
        <v>987.33333333333337</v>
      </c>
      <c r="AB1276" s="1277">
        <v>987.33333333333337</v>
      </c>
      <c r="AC1276" s="1278"/>
      <c r="AD1276" s="1278"/>
      <c r="AE1276" s="1278"/>
      <c r="AF1276" s="1278"/>
      <c r="AG1276" s="1278"/>
      <c r="AJ1276" s="982"/>
    </row>
    <row r="1277" spans="3:37" ht="18" outlineLevel="1" x14ac:dyDescent="0.35">
      <c r="D1277" s="1117" t="s">
        <v>2292</v>
      </c>
      <c r="E1277" s="1117" t="s">
        <v>2064</v>
      </c>
      <c r="F1277" s="1277">
        <f>AVERAGE($J$1277:$R$1277)</f>
        <v>1450</v>
      </c>
      <c r="G1277" s="1436" t="s">
        <v>1198</v>
      </c>
      <c r="H1277" s="157"/>
      <c r="I1277" s="1957" t="s">
        <v>2065</v>
      </c>
      <c r="J1277" s="1281">
        <v>1519</v>
      </c>
      <c r="K1277" s="1281">
        <v>1617</v>
      </c>
      <c r="L1277" s="1281">
        <v>1617</v>
      </c>
      <c r="M1277" s="1281">
        <v>1617</v>
      </c>
      <c r="N1277" s="1281">
        <v>1272</v>
      </c>
      <c r="O1277" s="1281">
        <v>1272</v>
      </c>
      <c r="P1277" s="1281">
        <v>1272</v>
      </c>
      <c r="Q1277" s="1281">
        <v>1432</v>
      </c>
      <c r="R1277" s="1281">
        <v>1432</v>
      </c>
      <c r="V1277" s="1117" t="str">
        <f t="shared" si="171"/>
        <v>kWh1990-1992</v>
      </c>
      <c r="W1277" s="1277">
        <v>1450</v>
      </c>
      <c r="X1277" s="1277">
        <f>AVERAGE($J$1277:$R$1277)</f>
        <v>1450</v>
      </c>
      <c r="Y1277" s="1277">
        <v>1450</v>
      </c>
      <c r="Z1277" s="1277">
        <v>1450</v>
      </c>
      <c r="AA1277" s="1277">
        <v>1450</v>
      </c>
      <c r="AB1277" s="1277">
        <v>1450</v>
      </c>
      <c r="AC1277" s="1278"/>
      <c r="AD1277" s="1278"/>
      <c r="AE1277" s="1278"/>
      <c r="AF1277" s="1278"/>
      <c r="AG1277" s="1278"/>
      <c r="AJ1277" s="982"/>
    </row>
    <row r="1278" spans="3:37" ht="18" outlineLevel="1" x14ac:dyDescent="0.35">
      <c r="D1278" s="1117" t="s">
        <v>2293</v>
      </c>
      <c r="E1278" s="1117" t="s">
        <v>2066</v>
      </c>
      <c r="F1278" s="1277">
        <f>AVERAGE($J$1278:$R$1278)</f>
        <v>1900.7777777777778</v>
      </c>
      <c r="G1278" s="1436" t="s">
        <v>1198</v>
      </c>
      <c r="H1278" s="1276"/>
      <c r="I1278" s="1957" t="s">
        <v>2067</v>
      </c>
      <c r="J1278" s="1280">
        <v>1992</v>
      </c>
      <c r="K1278" s="1280">
        <v>2119</v>
      </c>
      <c r="L1278" s="1280">
        <v>2119</v>
      </c>
      <c r="M1278" s="1280">
        <v>2119</v>
      </c>
      <c r="N1278" s="1280">
        <v>1668</v>
      </c>
      <c r="O1278" s="1280">
        <v>1668</v>
      </c>
      <c r="P1278" s="1280">
        <v>1668</v>
      </c>
      <c r="Q1278" s="1280">
        <v>1877</v>
      </c>
      <c r="R1278" s="1280">
        <v>1877</v>
      </c>
      <c r="V1278" s="1117" t="str">
        <f t="shared" si="171"/>
        <v>kWh1980-1989</v>
      </c>
      <c r="W1278" s="1277">
        <v>1900.7777777777778</v>
      </c>
      <c r="X1278" s="1277">
        <f>AVERAGE($J$1278:$R$1278)</f>
        <v>1900.7777777777778</v>
      </c>
      <c r="Y1278" s="1277">
        <v>1900.7777777777778</v>
      </c>
      <c r="Z1278" s="1277">
        <v>1900.7777777777778</v>
      </c>
      <c r="AA1278" s="1277">
        <v>1900.7777777777778</v>
      </c>
      <c r="AB1278" s="1277">
        <v>1900.7777777777778</v>
      </c>
      <c r="AC1278" s="1278"/>
      <c r="AD1278" s="1278"/>
      <c r="AE1278" s="1278"/>
      <c r="AF1278" s="1278"/>
      <c r="AG1278" s="1278"/>
      <c r="AJ1278" s="982"/>
    </row>
    <row r="1279" spans="3:37" ht="18" outlineLevel="1" x14ac:dyDescent="0.35">
      <c r="D1279" s="1117" t="s">
        <v>2294</v>
      </c>
      <c r="E1279" s="1117" t="s">
        <v>2068</v>
      </c>
      <c r="F1279" s="1277">
        <f>AVERAGE($J$1279:$R$1279)</f>
        <v>2444.125</v>
      </c>
      <c r="G1279" s="1436" t="s">
        <v>1198</v>
      </c>
      <c r="H1279" s="157"/>
      <c r="I1279" s="1957" t="s">
        <v>2069</v>
      </c>
      <c r="J1279" s="1281">
        <v>2523</v>
      </c>
      <c r="K1279" s="1281">
        <v>2684</v>
      </c>
      <c r="L1279" s="1281">
        <v>2684</v>
      </c>
      <c r="M1279" s="1281">
        <v>2684</v>
      </c>
      <c r="N1279" s="1281"/>
      <c r="O1279" s="1281">
        <v>2112</v>
      </c>
      <c r="P1279" s="1281">
        <v>2112</v>
      </c>
      <c r="Q1279" s="1281">
        <v>2377</v>
      </c>
      <c r="R1279" s="1281">
        <v>2377</v>
      </c>
      <c r="V1279" s="1117" t="str">
        <f t="shared" si="171"/>
        <v>kWhbefore 1980</v>
      </c>
      <c r="W1279" s="1277">
        <v>2444.125</v>
      </c>
      <c r="X1279" s="1277">
        <f>AVERAGE($J$1279:$R$1279)</f>
        <v>2444.125</v>
      </c>
      <c r="Y1279" s="1277">
        <v>2444.125</v>
      </c>
      <c r="Z1279" s="1277">
        <v>2444.125</v>
      </c>
      <c r="AA1279" s="1277">
        <v>2444.125</v>
      </c>
      <c r="AB1279" s="1277">
        <v>2444.125</v>
      </c>
      <c r="AC1279" s="1278"/>
      <c r="AD1279" s="1278"/>
      <c r="AE1279" s="1278"/>
      <c r="AF1279" s="1278"/>
      <c r="AG1279" s="1278"/>
      <c r="AK1279" s="982"/>
    </row>
    <row r="1280" spans="3:37" ht="18" outlineLevel="1" x14ac:dyDescent="0.35">
      <c r="D1280" s="1117" t="s">
        <v>2295</v>
      </c>
      <c r="E1280" s="1117" t="s">
        <v>2070</v>
      </c>
      <c r="F1280" s="1282">
        <v>0</v>
      </c>
      <c r="G1280" s="1436" t="s">
        <v>1198</v>
      </c>
      <c r="H1280" s="1276"/>
      <c r="I1280" s="1276"/>
      <c r="J1280" s="1276"/>
      <c r="K1280" s="1276"/>
      <c r="L1280" s="1276"/>
      <c r="M1280" s="1276"/>
      <c r="N1280" s="1276"/>
      <c r="O1280" s="1276"/>
      <c r="P1280" s="1276"/>
      <c r="Q1280" s="1276"/>
      <c r="R1280" s="1276"/>
      <c r="S1280" s="1276"/>
      <c r="V1280" s="1117" t="str">
        <f t="shared" si="171"/>
        <v>Number of Units2011-2015</v>
      </c>
      <c r="W1280" s="1282">
        <v>0</v>
      </c>
      <c r="X1280" s="1282">
        <v>0</v>
      </c>
      <c r="Y1280" s="1282">
        <v>0</v>
      </c>
      <c r="Z1280" s="1282">
        <v>0</v>
      </c>
      <c r="AA1280" s="1282">
        <v>0</v>
      </c>
      <c r="AB1280" s="1282">
        <v>0</v>
      </c>
      <c r="AC1280" s="1283"/>
      <c r="AD1280" s="1283"/>
      <c r="AE1280" s="1283"/>
      <c r="AF1280" s="1283"/>
      <c r="AG1280" s="1283"/>
      <c r="AK1280" s="982"/>
    </row>
    <row r="1281" spans="1:57" ht="36" outlineLevel="1" x14ac:dyDescent="0.35">
      <c r="D1281" s="1117" t="s">
        <v>2296</v>
      </c>
      <c r="E1281" s="1117" t="s">
        <v>2071</v>
      </c>
      <c r="F1281" s="1282">
        <v>65</v>
      </c>
      <c r="G1281" s="1436" t="s">
        <v>1198</v>
      </c>
      <c r="H1281" s="1276"/>
      <c r="I1281" s="1276"/>
      <c r="J1281" s="1276"/>
      <c r="K1281" s="1276"/>
      <c r="L1281" s="1276"/>
      <c r="M1281" s="1276"/>
      <c r="N1281" s="1276"/>
      <c r="O1281" s="1276"/>
      <c r="P1281" s="1276"/>
      <c r="Q1281" s="1276"/>
      <c r="R1281" s="1276"/>
      <c r="S1281" s="1276"/>
      <c r="V1281" s="1117" t="str">
        <f t="shared" si="171"/>
        <v>Number of Units2001(after July)-2010</v>
      </c>
      <c r="W1281" s="1282">
        <v>65</v>
      </c>
      <c r="X1281" s="1282">
        <v>65</v>
      </c>
      <c r="Y1281" s="1282">
        <v>65</v>
      </c>
      <c r="Z1281" s="1282">
        <v>65</v>
      </c>
      <c r="AA1281" s="1282">
        <v>65</v>
      </c>
      <c r="AB1281" s="1282">
        <v>65</v>
      </c>
      <c r="AC1281" s="1283"/>
      <c r="AD1281" s="1283"/>
      <c r="AE1281" s="1283"/>
      <c r="AF1281" s="1283"/>
      <c r="AG1281" s="1283"/>
      <c r="AK1281" s="982"/>
    </row>
    <row r="1282" spans="1:57" ht="36" outlineLevel="1" x14ac:dyDescent="0.35">
      <c r="D1282" s="1117" t="s">
        <v>2297</v>
      </c>
      <c r="E1282" s="1117" t="s">
        <v>2072</v>
      </c>
      <c r="F1282" s="1282">
        <v>259</v>
      </c>
      <c r="G1282" s="1436" t="s">
        <v>1198</v>
      </c>
      <c r="H1282" s="1276"/>
      <c r="I1282" s="1276"/>
      <c r="J1282" s="1276"/>
      <c r="K1282" s="1276"/>
      <c r="L1282" s="1276"/>
      <c r="M1282" s="1276"/>
      <c r="N1282" s="1276"/>
      <c r="O1282" s="1276"/>
      <c r="P1282" s="1276"/>
      <c r="Q1282" s="1276"/>
      <c r="R1282" s="1276"/>
      <c r="S1282" s="1276"/>
      <c r="V1282" s="1117" t="str">
        <f t="shared" si="171"/>
        <v>Number of Units1993-2001(before June)</v>
      </c>
      <c r="W1282" s="1282">
        <v>259</v>
      </c>
      <c r="X1282" s="1282">
        <v>259</v>
      </c>
      <c r="Y1282" s="1282">
        <v>259</v>
      </c>
      <c r="Z1282" s="1282">
        <v>259</v>
      </c>
      <c r="AA1282" s="1282">
        <v>259</v>
      </c>
      <c r="AB1282" s="1282">
        <v>259</v>
      </c>
      <c r="AC1282" s="1283"/>
      <c r="AD1282" s="1283"/>
      <c r="AE1282" s="1283"/>
      <c r="AF1282" s="1283"/>
      <c r="AG1282" s="1283"/>
      <c r="AK1282" s="982"/>
    </row>
    <row r="1283" spans="1:57" ht="18" outlineLevel="1" x14ac:dyDescent="0.35">
      <c r="D1283" s="1117" t="s">
        <v>2298</v>
      </c>
      <c r="E1283" s="1117" t="s">
        <v>2073</v>
      </c>
      <c r="F1283" s="1282">
        <v>14</v>
      </c>
      <c r="G1283" s="1436" t="s">
        <v>1198</v>
      </c>
      <c r="H1283" s="1276"/>
      <c r="I1283" s="1276"/>
      <c r="J1283" s="1276"/>
      <c r="K1283" s="1276"/>
      <c r="L1283" s="1276"/>
      <c r="M1283" s="1276"/>
      <c r="N1283" s="1276"/>
      <c r="O1283" s="1276"/>
      <c r="P1283" s="1276"/>
      <c r="Q1283" s="1276"/>
      <c r="R1283" s="1276"/>
      <c r="S1283" s="1276"/>
      <c r="V1283" s="1117" t="str">
        <f t="shared" si="171"/>
        <v>Number of Units1990-1992</v>
      </c>
      <c r="W1283" s="1282">
        <v>14</v>
      </c>
      <c r="X1283" s="1282">
        <v>14</v>
      </c>
      <c r="Y1283" s="1282">
        <v>14</v>
      </c>
      <c r="Z1283" s="1282">
        <v>14</v>
      </c>
      <c r="AA1283" s="1282">
        <v>14</v>
      </c>
      <c r="AB1283" s="1282">
        <v>14</v>
      </c>
      <c r="AC1283" s="1283"/>
      <c r="AD1283" s="1283"/>
      <c r="AE1283" s="1283"/>
      <c r="AF1283" s="1283"/>
      <c r="AG1283" s="1283"/>
      <c r="AK1283" s="982"/>
    </row>
    <row r="1284" spans="1:57" ht="18" outlineLevel="1" x14ac:dyDescent="0.35">
      <c r="D1284" s="1117" t="s">
        <v>2299</v>
      </c>
      <c r="E1284" s="1117" t="s">
        <v>2074</v>
      </c>
      <c r="F1284" s="1282">
        <v>16</v>
      </c>
      <c r="G1284" s="1436" t="s">
        <v>1198</v>
      </c>
      <c r="H1284" s="1276"/>
      <c r="I1284" s="1276"/>
      <c r="J1284" s="1276"/>
      <c r="K1284" s="1276"/>
      <c r="L1284" s="1276"/>
      <c r="M1284" s="1276"/>
      <c r="N1284" s="1276"/>
      <c r="O1284" s="1276"/>
      <c r="P1284" s="1276"/>
      <c r="Q1284" s="1276"/>
      <c r="R1284" s="1276"/>
      <c r="S1284" s="1276"/>
      <c r="V1284" s="1117" t="str">
        <f t="shared" si="171"/>
        <v>Number of Units1980-1989</v>
      </c>
      <c r="W1284" s="1282">
        <v>16</v>
      </c>
      <c r="X1284" s="1282">
        <v>16</v>
      </c>
      <c r="Y1284" s="1282">
        <v>16</v>
      </c>
      <c r="Z1284" s="1282">
        <v>16</v>
      </c>
      <c r="AA1284" s="1282">
        <v>16</v>
      </c>
      <c r="AB1284" s="1282">
        <v>16</v>
      </c>
      <c r="AC1284" s="1283"/>
      <c r="AD1284" s="1283"/>
      <c r="AE1284" s="1283"/>
      <c r="AF1284" s="1283"/>
      <c r="AG1284" s="1283"/>
      <c r="AK1284" s="982"/>
    </row>
    <row r="1285" spans="1:57" ht="18" outlineLevel="1" x14ac:dyDescent="0.35">
      <c r="D1285" s="1117" t="s">
        <v>2300</v>
      </c>
      <c r="E1285" s="1117" t="s">
        <v>2075</v>
      </c>
      <c r="F1285" s="1282">
        <v>0</v>
      </c>
      <c r="G1285" s="1436" t="s">
        <v>1198</v>
      </c>
      <c r="H1285" s="1276"/>
      <c r="I1285" s="1276"/>
      <c r="J1285" s="1276"/>
      <c r="K1285" s="1276"/>
      <c r="L1285" s="1276"/>
      <c r="M1285" s="1276"/>
      <c r="N1285" s="1276"/>
      <c r="O1285" s="1276"/>
      <c r="P1285" s="1276"/>
      <c r="Q1285" s="1276"/>
      <c r="R1285" s="1276"/>
      <c r="S1285" s="1276"/>
      <c r="V1285" s="1117" t="str">
        <f t="shared" si="171"/>
        <v>Number of Unitsbefore 1980</v>
      </c>
      <c r="W1285" s="1282">
        <v>0</v>
      </c>
      <c r="X1285" s="1282">
        <v>0</v>
      </c>
      <c r="Y1285" s="1282">
        <v>0</v>
      </c>
      <c r="Z1285" s="1282">
        <v>0</v>
      </c>
      <c r="AA1285" s="1282">
        <v>0</v>
      </c>
      <c r="AB1285" s="1282">
        <v>0</v>
      </c>
      <c r="AC1285" s="1283"/>
      <c r="AD1285" s="1283"/>
      <c r="AE1285" s="1283"/>
      <c r="AF1285" s="1283"/>
      <c r="AG1285" s="1283"/>
      <c r="AK1285" s="982"/>
    </row>
    <row r="1286" spans="1:57" outlineLevel="1" x14ac:dyDescent="0.25">
      <c r="B1286" s="1359"/>
      <c r="C1286" s="375"/>
      <c r="D1286" s="3963" t="s">
        <v>24</v>
      </c>
      <c r="E1286" s="1438" t="str">
        <f>E1259</f>
        <v>Refrigerator - early replacement ER1</v>
      </c>
      <c r="F1286" s="1282">
        <v>6</v>
      </c>
      <c r="G1286" s="1436"/>
      <c r="H1286" s="1276"/>
      <c r="I1286" s="1276"/>
      <c r="V1286" s="3963" t="str">
        <f>D1286</f>
        <v>EUL</v>
      </c>
      <c r="W1286" s="1282">
        <v>6</v>
      </c>
      <c r="X1286" s="1282">
        <v>6</v>
      </c>
      <c r="Y1286" s="1282">
        <v>6</v>
      </c>
      <c r="Z1286" s="1282">
        <v>6</v>
      </c>
      <c r="AA1286" s="1282">
        <v>6</v>
      </c>
      <c r="AB1286" s="1282">
        <v>6</v>
      </c>
      <c r="AC1286" s="1283"/>
      <c r="AD1286" s="1283"/>
      <c r="AE1286" s="1283"/>
      <c r="AF1286" s="1283"/>
      <c r="AG1286" s="1283"/>
      <c r="AK1286" s="982"/>
    </row>
    <row r="1287" spans="1:57" outlineLevel="1" x14ac:dyDescent="0.25">
      <c r="B1287" s="1359"/>
      <c r="C1287" s="375"/>
      <c r="D1287" s="3964"/>
      <c r="E1287" s="1438" t="str">
        <f>E1260</f>
        <v>Refrigerator - early replacement ER2</v>
      </c>
      <c r="F1287" s="1282">
        <v>11</v>
      </c>
      <c r="G1287" s="1436"/>
      <c r="H1287" s="1276"/>
      <c r="I1287" s="1276"/>
      <c r="V1287" s="3964"/>
      <c r="W1287" s="1282">
        <v>11</v>
      </c>
      <c r="X1287" s="1282">
        <v>11</v>
      </c>
      <c r="Y1287" s="1282">
        <v>11</v>
      </c>
      <c r="Z1287" s="1282">
        <v>11</v>
      </c>
      <c r="AA1287" s="1282">
        <v>11</v>
      </c>
      <c r="AB1287" s="1282">
        <v>11</v>
      </c>
      <c r="AC1287" s="1283"/>
      <c r="AD1287" s="1283"/>
      <c r="AE1287" s="1283"/>
      <c r="AF1287" s="1283"/>
      <c r="AG1287" s="1283"/>
      <c r="AK1287" s="982"/>
    </row>
    <row r="1288" spans="1:57" outlineLevel="1" x14ac:dyDescent="0.25">
      <c r="B1288" s="1359"/>
      <c r="C1288" s="375"/>
      <c r="D1288" s="1438" t="str">
        <f>D1189</f>
        <v>Inc. Cost</v>
      </c>
      <c r="E1288" s="1438" t="s">
        <v>2019</v>
      </c>
      <c r="F1288" s="589">
        <v>753</v>
      </c>
      <c r="G1288" s="1436"/>
      <c r="H1288" s="1276"/>
      <c r="I1288" s="1276"/>
      <c r="V1288" s="1161" t="str">
        <f>D1288</f>
        <v>Inc. Cost</v>
      </c>
      <c r="W1288" s="589">
        <v>753</v>
      </c>
      <c r="X1288" s="589">
        <v>753</v>
      </c>
      <c r="Y1288" s="589">
        <v>753</v>
      </c>
      <c r="Z1288" s="589">
        <v>753</v>
      </c>
      <c r="AA1288" s="589">
        <v>753</v>
      </c>
      <c r="AB1288" s="589">
        <v>753</v>
      </c>
      <c r="AC1288" s="1284"/>
      <c r="AD1288" s="1284"/>
      <c r="AE1288" s="1284"/>
      <c r="AF1288" s="1284"/>
      <c r="AG1288" s="1284"/>
      <c r="AK1288" s="982"/>
    </row>
    <row r="1289" spans="1:57" x14ac:dyDescent="0.25">
      <c r="X1289" s="298"/>
      <c r="Y1289" s="1701" t="s">
        <v>2076</v>
      </c>
      <c r="Z1289" s="494"/>
      <c r="AA1289" s="494"/>
      <c r="AB1289" s="494"/>
    </row>
    <row r="1291" spans="1:57" s="128" customFormat="1" x14ac:dyDescent="0.25">
      <c r="A1291" s="272"/>
      <c r="B1291" s="3350" t="s">
        <v>844</v>
      </c>
      <c r="C1291" s="3351"/>
      <c r="D1291" s="3351"/>
      <c r="E1291" s="3351"/>
      <c r="F1291" s="3351"/>
      <c r="G1291" s="3351"/>
      <c r="H1291" s="3351"/>
      <c r="I1291" s="3352"/>
      <c r="J1291" s="3352"/>
      <c r="K1291" s="3352"/>
      <c r="L1291" s="3352"/>
      <c r="M1291" s="3352"/>
      <c r="N1291" s="3352"/>
      <c r="O1291" s="3353"/>
      <c r="P1291" s="272"/>
      <c r="Q1291" s="272"/>
      <c r="R1291" s="272"/>
      <c r="S1291" s="272"/>
      <c r="T1291" s="272"/>
      <c r="U1291" s="272"/>
      <c r="V1291" s="3350" t="str">
        <f>B1291</f>
        <v>Energy Star Room AC</v>
      </c>
      <c r="W1291" s="3351"/>
      <c r="X1291" s="3351"/>
      <c r="Y1291" s="3351"/>
      <c r="Z1291" s="3351"/>
      <c r="AA1291" s="3351"/>
      <c r="AB1291" s="3351"/>
      <c r="AC1291" s="3354"/>
      <c r="AD1291" s="3354"/>
      <c r="AE1291" s="3354"/>
      <c r="AF1291" s="3354"/>
      <c r="AG1291" s="3354"/>
      <c r="AH1291" s="3354"/>
      <c r="AI1291" s="3355"/>
      <c r="AU1291" s="212"/>
      <c r="BB1291" s="1111"/>
    </row>
    <row r="1292" spans="1:57" s="128" customFormat="1" x14ac:dyDescent="0.25">
      <c r="A1292" s="272"/>
      <c r="B1292" s="157"/>
      <c r="C1292" s="385"/>
      <c r="D1292" s="386"/>
      <c r="E1292" s="386"/>
      <c r="F1292" s="157"/>
      <c r="G1292" s="157"/>
      <c r="H1292" s="157"/>
      <c r="I1292" s="157"/>
      <c r="J1292" s="157"/>
      <c r="K1292" s="157"/>
      <c r="L1292" s="157"/>
      <c r="M1292" s="157"/>
      <c r="N1292" s="157"/>
      <c r="O1292" s="157"/>
      <c r="P1292" s="272"/>
      <c r="Q1292" s="272"/>
      <c r="R1292" s="272"/>
      <c r="S1292" s="272"/>
      <c r="T1292" s="272"/>
      <c r="U1292" s="272"/>
      <c r="Y1292" s="247"/>
      <c r="AU1292" s="212"/>
      <c r="BB1292" s="1111"/>
    </row>
    <row r="1293" spans="1:57" s="128" customFormat="1" ht="30" x14ac:dyDescent="0.25">
      <c r="A1293" s="272"/>
      <c r="B1293" s="1480"/>
      <c r="C1293" s="1420" t="s">
        <v>17</v>
      </c>
      <c r="D1293" s="1420" t="s">
        <v>616</v>
      </c>
      <c r="E1293" s="1420" t="s">
        <v>19</v>
      </c>
      <c r="F1293" s="1420" t="s">
        <v>20</v>
      </c>
      <c r="G1293" s="1420" t="s">
        <v>21</v>
      </c>
      <c r="H1293" s="1420" t="s">
        <v>22</v>
      </c>
      <c r="I1293" s="1420" t="s">
        <v>23</v>
      </c>
      <c r="J1293" s="1420" t="s">
        <v>24</v>
      </c>
      <c r="K1293" s="1420" t="s">
        <v>25</v>
      </c>
      <c r="L1293" s="1420" t="s">
        <v>26</v>
      </c>
      <c r="M1293" s="277"/>
      <c r="N1293" s="277"/>
      <c r="O1293" s="1480"/>
      <c r="P1293" s="272"/>
      <c r="Q1293" s="272"/>
      <c r="R1293" s="272"/>
      <c r="S1293" s="272"/>
      <c r="T1293" s="272"/>
      <c r="U1293" s="272"/>
      <c r="V1293" s="55" t="s">
        <v>27</v>
      </c>
      <c r="W1293" s="56">
        <v>43252</v>
      </c>
      <c r="X1293" s="56">
        <f>$X$6</f>
        <v>43465</v>
      </c>
      <c r="Y1293" s="420">
        <f>$Y$6</f>
        <v>43800</v>
      </c>
      <c r="Z1293" s="56">
        <f>$Z$6</f>
        <v>43862</v>
      </c>
      <c r="AA1293" s="56">
        <f>$AA$6</f>
        <v>44013</v>
      </c>
      <c r="AB1293" s="56">
        <f>$AB$6</f>
        <v>44166</v>
      </c>
      <c r="AC1293" s="56" t="str">
        <f>$AC$6</f>
        <v>-</v>
      </c>
      <c r="AD1293" s="56" t="str">
        <f>$AD$6</f>
        <v>-</v>
      </c>
      <c r="AE1293" s="56" t="str">
        <f>$AE$6</f>
        <v>-</v>
      </c>
      <c r="AF1293" s="56" t="str">
        <f>$AF$6</f>
        <v>-</v>
      </c>
      <c r="AG1293" s="56" t="str">
        <f>$AG$6</f>
        <v>-</v>
      </c>
      <c r="AU1293" s="212"/>
      <c r="BB1293" s="57" t="str">
        <f>$BB$6</f>
        <v>TRC (2020)</v>
      </c>
      <c r="BC1293" s="93" t="str">
        <f>$BC$6</f>
        <v>Benefit Lookup</v>
      </c>
      <c r="BD1293" s="741" t="str">
        <f>$BD$6</f>
        <v>Benefits (2019 $)</v>
      </c>
      <c r="BE1293" s="279" t="str">
        <f>$BE$6</f>
        <v>Incremental Cost (2019 $)</v>
      </c>
    </row>
    <row r="1294" spans="1:57" s="454" customFormat="1" x14ac:dyDescent="0.25">
      <c r="A1294" s="272"/>
      <c r="B1294" s="198"/>
      <c r="C1294" s="1958" t="s">
        <v>2077</v>
      </c>
      <c r="D1294" s="1959" t="s">
        <v>1518</v>
      </c>
      <c r="E1294" s="201" t="s">
        <v>3258</v>
      </c>
      <c r="F1294" s="408">
        <f>ROUND(($H$1337*$H$1327*(1/$H$1335-1/$H$1334)/1000),2)</f>
        <v>195.22</v>
      </c>
      <c r="G1294" s="60" t="s">
        <v>690</v>
      </c>
      <c r="H1294" s="202">
        <f>VLOOKUP(G1294,'CP FACTORS'!$A$3:$B$38, 2, FALSE)</f>
        <v>9.4741810000000004E-4</v>
      </c>
      <c r="I1294" s="1733">
        <f t="shared" ref="I1294:I1317" si="172">ROUND(F1294*H1294,6)</f>
        <v>0.18495500000000001</v>
      </c>
      <c r="J1294" s="382">
        <f t="shared" ref="J1294:J1317" si="173">$F$1340</f>
        <v>9</v>
      </c>
      <c r="K1294" s="1286">
        <f t="shared" ref="K1294:K1317" si="174">$F$1341</f>
        <v>20</v>
      </c>
      <c r="L1294" s="1959" t="s">
        <v>37</v>
      </c>
      <c r="M1294" s="272"/>
      <c r="N1294" s="1626"/>
      <c r="O1294" s="1249"/>
      <c r="P1294" s="272"/>
      <c r="Q1294" s="272"/>
      <c r="R1294" s="1627"/>
      <c r="S1294" s="272"/>
      <c r="T1294" s="272"/>
      <c r="U1294" s="272"/>
      <c r="V1294" s="457" t="s">
        <v>20</v>
      </c>
      <c r="W1294" s="458"/>
      <c r="X1294" s="1285">
        <v>898.77014282038067</v>
      </c>
      <c r="Y1294" s="292">
        <v>195.22</v>
      </c>
      <c r="Z1294" s="1285">
        <v>195.22</v>
      </c>
      <c r="AA1294" s="1285">
        <v>195.22</v>
      </c>
      <c r="AB1294" s="1285">
        <v>195.22</v>
      </c>
      <c r="AC1294" s="457"/>
      <c r="AD1294" s="457"/>
      <c r="AE1294" s="457"/>
      <c r="AF1294" s="457"/>
      <c r="AG1294" s="457"/>
      <c r="AI1294" s="128"/>
      <c r="AJ1294" s="128"/>
      <c r="AK1294" s="128"/>
      <c r="AL1294" s="128"/>
      <c r="AM1294" s="128"/>
      <c r="AN1294" s="128"/>
      <c r="AO1294" s="128"/>
      <c r="AP1294" s="128"/>
      <c r="AQ1294" s="128"/>
      <c r="AR1294" s="128"/>
      <c r="AS1294" s="128"/>
      <c r="AU1294" s="212"/>
      <c r="BB1294" s="67">
        <f t="shared" ref="BB1294:BB1317" si="175">(BD1294)/(BE1294)</f>
        <v>9.4699752003868074</v>
      </c>
      <c r="BC1294" s="68" t="str">
        <f>CONCATENATE(G1294," ",J1294," Year EUL")</f>
        <v>Cooling RES 9 Year EUL</v>
      </c>
      <c r="BD1294" s="145">
        <f>(INDEX('Avoided Cost Benefits'!$C$4:$C$857,MATCH(BC1294,'Avoided Cost Benefits'!$A$4:$A$857,0)))*F1294</f>
        <v>178.76309958257303</v>
      </c>
      <c r="BE1294" s="69">
        <f>K1294/(1.0595^(2020-2019))</f>
        <v>18.876828692779611</v>
      </c>
    </row>
    <row r="1295" spans="1:57" s="454" customFormat="1" x14ac:dyDescent="0.25">
      <c r="A1295" s="272"/>
      <c r="B1295" s="198"/>
      <c r="C1295" s="1958" t="s">
        <v>2078</v>
      </c>
      <c r="D1295" s="1959" t="s">
        <v>1515</v>
      </c>
      <c r="E1295" s="201" t="s">
        <v>3259</v>
      </c>
      <c r="F1295" s="408">
        <f>ROUND(($F$1337*$F$1327*(1/$F$1333-1/$F$1334)/1000),2)</f>
        <v>76.92</v>
      </c>
      <c r="G1295" s="60" t="s">
        <v>690</v>
      </c>
      <c r="H1295" s="202">
        <f>VLOOKUP(G1295,'CP FACTORS'!$A$3:$B$38, 2, FALSE)</f>
        <v>9.4741810000000004E-4</v>
      </c>
      <c r="I1295" s="1733">
        <f t="shared" si="172"/>
        <v>7.2874999999999995E-2</v>
      </c>
      <c r="J1295" s="382">
        <f t="shared" si="173"/>
        <v>9</v>
      </c>
      <c r="K1295" s="1286">
        <f t="shared" si="174"/>
        <v>20</v>
      </c>
      <c r="L1295" s="1959" t="s">
        <v>37</v>
      </c>
      <c r="M1295" s="272"/>
      <c r="N1295" s="1626"/>
      <c r="O1295" s="1249"/>
      <c r="P1295" s="272"/>
      <c r="Q1295" s="272"/>
      <c r="R1295" s="1627"/>
      <c r="S1295" s="272"/>
      <c r="T1295" s="272"/>
      <c r="U1295" s="272"/>
      <c r="V1295" s="457" t="s">
        <v>20</v>
      </c>
      <c r="W1295" s="458">
        <v>40.971199412398086</v>
      </c>
      <c r="X1295" s="382">
        <v>49.727499015442788</v>
      </c>
      <c r="Y1295" s="129">
        <v>76.92</v>
      </c>
      <c r="Z1295" s="382">
        <v>76.92</v>
      </c>
      <c r="AA1295" s="382">
        <v>76.92</v>
      </c>
      <c r="AB1295" s="382">
        <v>76.92</v>
      </c>
      <c r="AC1295" s="457"/>
      <c r="AD1295" s="457"/>
      <c r="AE1295" s="457"/>
      <c r="AF1295" s="457"/>
      <c r="AG1295" s="457"/>
      <c r="AI1295" s="128"/>
      <c r="AJ1295" s="128"/>
      <c r="AK1295" s="128"/>
      <c r="AL1295" s="128"/>
      <c r="AM1295" s="128"/>
      <c r="AN1295" s="128"/>
      <c r="AO1295" s="128"/>
      <c r="AP1295" s="128"/>
      <c r="AQ1295" s="128"/>
      <c r="AR1295" s="128"/>
      <c r="AS1295" s="128"/>
      <c r="AU1295" s="212"/>
      <c r="BB1295" s="71">
        <f t="shared" si="175"/>
        <v>3.7313312796524603</v>
      </c>
      <c r="BC1295" s="72" t="str">
        <f t="shared" ref="BC1295:BC1317" si="176">CONCATENATE(G1295," ",J1295," Year EUL")</f>
        <v>Cooling RES 9 Year EUL</v>
      </c>
      <c r="BD1295" s="148">
        <f>(INDEX('Avoided Cost Benefits'!$C$4:$C$857,MATCH(BC1295,'Avoided Cost Benefits'!$A$4:$A$857,0)))*F1295</f>
        <v>70.435701362009624</v>
      </c>
      <c r="BE1295" s="73">
        <f t="shared" ref="BE1295:BE1317" si="177">K1295/(1.0595^(2020-2019))</f>
        <v>18.876828692779611</v>
      </c>
    </row>
    <row r="1296" spans="1:57" s="454" customFormat="1" x14ac:dyDescent="0.25">
      <c r="A1296" s="272"/>
      <c r="B1296" s="198"/>
      <c r="C1296" s="1958" t="s">
        <v>2079</v>
      </c>
      <c r="D1296" s="1959" t="s">
        <v>1518</v>
      </c>
      <c r="E1296" s="201" t="s">
        <v>3260</v>
      </c>
      <c r="F1296" s="408">
        <f>ROUND(($H$1337*$H$1327*(1/$H$1335-1/$H$1334)/1000),2)</f>
        <v>195.22</v>
      </c>
      <c r="G1296" s="60" t="s">
        <v>690</v>
      </c>
      <c r="H1296" s="202">
        <f>VLOOKUP(G1296,'CP FACTORS'!$A$3:$B$38, 2, FALSE)</f>
        <v>9.4741810000000004E-4</v>
      </c>
      <c r="I1296" s="1733">
        <f t="shared" si="172"/>
        <v>0.18495500000000001</v>
      </c>
      <c r="J1296" s="382">
        <f t="shared" si="173"/>
        <v>9</v>
      </c>
      <c r="K1296" s="1286">
        <f t="shared" si="174"/>
        <v>20</v>
      </c>
      <c r="L1296" s="1959" t="s">
        <v>37</v>
      </c>
      <c r="M1296" s="272"/>
      <c r="N1296" s="1626"/>
      <c r="O1296" s="1249"/>
      <c r="P1296" s="272"/>
      <c r="Q1296" s="272"/>
      <c r="R1296" s="1627"/>
      <c r="S1296" s="272"/>
      <c r="T1296" s="272"/>
      <c r="U1296" s="272"/>
      <c r="V1296" s="457" t="s">
        <v>20</v>
      </c>
      <c r="W1296" s="458"/>
      <c r="X1296" s="1285">
        <v>898.77014282038067</v>
      </c>
      <c r="Y1296" s="292">
        <v>195.22</v>
      </c>
      <c r="Z1296" s="1285">
        <v>195.22</v>
      </c>
      <c r="AA1296" s="1285">
        <v>195.22</v>
      </c>
      <c r="AB1296" s="1285">
        <v>195.22</v>
      </c>
      <c r="AC1296" s="457"/>
      <c r="AD1296" s="457"/>
      <c r="AE1296" s="457"/>
      <c r="AF1296" s="457"/>
      <c r="AG1296" s="457"/>
      <c r="AI1296" s="128"/>
      <c r="AJ1296" s="128"/>
      <c r="AK1296" s="128"/>
      <c r="AL1296" s="128"/>
      <c r="AM1296" s="128"/>
      <c r="AN1296" s="128"/>
      <c r="AO1296" s="128"/>
      <c r="AP1296" s="128"/>
      <c r="AQ1296" s="128"/>
      <c r="AR1296" s="128"/>
      <c r="AS1296" s="128"/>
      <c r="AU1296" s="212"/>
      <c r="BB1296" s="71">
        <f t="shared" si="175"/>
        <v>9.4699752003868074</v>
      </c>
      <c r="BC1296" s="72" t="str">
        <f t="shared" si="176"/>
        <v>Cooling RES 9 Year EUL</v>
      </c>
      <c r="BD1296" s="148">
        <f>(INDEX('Avoided Cost Benefits'!$C$4:$C$857,MATCH(BC1296,'Avoided Cost Benefits'!$A$4:$A$857,0)))*F1296</f>
        <v>178.76309958257303</v>
      </c>
      <c r="BE1296" s="73">
        <f t="shared" si="177"/>
        <v>18.876828692779611</v>
      </c>
    </row>
    <row r="1297" spans="1:57" s="454" customFormat="1" ht="15.75" thickBot="1" x14ac:dyDescent="0.3">
      <c r="A1297" s="272"/>
      <c r="B1297" s="198"/>
      <c r="C1297" s="1960" t="s">
        <v>2080</v>
      </c>
      <c r="D1297" s="1965" t="s">
        <v>1515</v>
      </c>
      <c r="E1297" s="1287" t="s">
        <v>3261</v>
      </c>
      <c r="F1297" s="1468">
        <f>ROUND(($F$1337*$F$1327*(1/$F$1333-1/$F$1334)/1000),2)</f>
        <v>76.92</v>
      </c>
      <c r="G1297" s="1961" t="s">
        <v>690</v>
      </c>
      <c r="H1297" s="1962">
        <f>VLOOKUP(G1297,'CP FACTORS'!$A$3:$B$38, 2, FALSE)</f>
        <v>9.4741810000000004E-4</v>
      </c>
      <c r="I1297" s="1963">
        <f t="shared" si="172"/>
        <v>7.2874999999999995E-2</v>
      </c>
      <c r="J1297" s="1964">
        <f t="shared" si="173"/>
        <v>9</v>
      </c>
      <c r="K1297" s="1288">
        <f t="shared" si="174"/>
        <v>20</v>
      </c>
      <c r="L1297" s="1965" t="s">
        <v>37</v>
      </c>
      <c r="M1297" s="272"/>
      <c r="N1297" s="1626"/>
      <c r="O1297" s="1249"/>
      <c r="P1297" s="272"/>
      <c r="Q1297" s="272"/>
      <c r="R1297" s="1627"/>
      <c r="S1297" s="272"/>
      <c r="T1297" s="272"/>
      <c r="U1297" s="272"/>
      <c r="V1297" s="457" t="s">
        <v>20</v>
      </c>
      <c r="W1297" s="458">
        <v>40.971199412398086</v>
      </c>
      <c r="X1297" s="382">
        <v>49.727499015442788</v>
      </c>
      <c r="Y1297" s="129">
        <v>76.92</v>
      </c>
      <c r="Z1297" s="382">
        <v>76.92</v>
      </c>
      <c r="AA1297" s="382">
        <v>76.92</v>
      </c>
      <c r="AB1297" s="382">
        <v>76.92</v>
      </c>
      <c r="AC1297" s="457"/>
      <c r="AD1297" s="457"/>
      <c r="AE1297" s="457"/>
      <c r="AF1297" s="457"/>
      <c r="AG1297" s="457"/>
      <c r="AI1297" s="128"/>
      <c r="AJ1297" s="128"/>
      <c r="AK1297" s="128"/>
      <c r="AL1297" s="128"/>
      <c r="AM1297" s="128"/>
      <c r="AN1297" s="128"/>
      <c r="AO1297" s="128"/>
      <c r="AP1297" s="128"/>
      <c r="AQ1297" s="128"/>
      <c r="AR1297" s="128"/>
      <c r="AS1297" s="128"/>
      <c r="AU1297" s="212"/>
      <c r="BB1297" s="71">
        <f t="shared" si="175"/>
        <v>3.7313312796524603</v>
      </c>
      <c r="BC1297" s="72" t="str">
        <f t="shared" si="176"/>
        <v>Cooling RES 9 Year EUL</v>
      </c>
      <c r="BD1297" s="148">
        <f>(INDEX('Avoided Cost Benefits'!$C$4:$C$857,MATCH(BC1297,'Avoided Cost Benefits'!$A$4:$A$857,0)))*F1297</f>
        <v>70.435701362009624</v>
      </c>
      <c r="BE1297" s="73">
        <f t="shared" si="177"/>
        <v>18.876828692779611</v>
      </c>
    </row>
    <row r="1298" spans="1:57" s="454" customFormat="1" x14ac:dyDescent="0.25">
      <c r="A1298" s="272"/>
      <c r="B1298" s="198"/>
      <c r="C1298" s="1966" t="s">
        <v>2081</v>
      </c>
      <c r="D1298" s="1973" t="s">
        <v>1518</v>
      </c>
      <c r="E1298" s="1967" t="s">
        <v>2082</v>
      </c>
      <c r="F1298" s="1968">
        <f>ROUND(($H$1337*$H$1328*(1/$H$1335-1/$H$1334)/1000),2)</f>
        <v>83.11</v>
      </c>
      <c r="G1298" s="1969" t="s">
        <v>690</v>
      </c>
      <c r="H1298" s="1767">
        <f>VLOOKUP(G1298,'CP FACTORS'!$A$3:$B$38, 2, FALSE)</f>
        <v>9.4741810000000004E-4</v>
      </c>
      <c r="I1298" s="1970">
        <f t="shared" si="172"/>
        <v>7.8740000000000004E-2</v>
      </c>
      <c r="J1298" s="1971">
        <f t="shared" si="173"/>
        <v>9</v>
      </c>
      <c r="K1298" s="1972">
        <f t="shared" si="174"/>
        <v>20</v>
      </c>
      <c r="L1298" s="1973" t="s">
        <v>37</v>
      </c>
      <c r="M1298" s="272"/>
      <c r="N1298" s="1626"/>
      <c r="O1298" s="1249"/>
      <c r="P1298" s="272"/>
      <c r="Q1298" s="272"/>
      <c r="R1298" s="1627"/>
      <c r="S1298" s="272"/>
      <c r="T1298" s="272"/>
      <c r="U1298" s="272"/>
      <c r="V1298" s="457" t="s">
        <v>20</v>
      </c>
      <c r="W1298" s="458"/>
      <c r="X1298" s="382"/>
      <c r="Y1298" s="129">
        <v>83.11</v>
      </c>
      <c r="Z1298" s="382">
        <v>83.11</v>
      </c>
      <c r="AA1298" s="382">
        <v>83.11</v>
      </c>
      <c r="AB1298" s="382">
        <v>83.11</v>
      </c>
      <c r="AC1298" s="457"/>
      <c r="AD1298" s="457"/>
      <c r="AE1298" s="457"/>
      <c r="AF1298" s="457"/>
      <c r="AG1298" s="457"/>
      <c r="AI1298" s="128"/>
      <c r="AJ1298" s="128"/>
      <c r="AK1298" s="128"/>
      <c r="AL1298" s="128"/>
      <c r="AM1298" s="128"/>
      <c r="AN1298" s="128"/>
      <c r="AO1298" s="128"/>
      <c r="AP1298" s="128"/>
      <c r="AQ1298" s="128"/>
      <c r="AR1298" s="128"/>
      <c r="AS1298" s="128"/>
      <c r="AU1298" s="212"/>
      <c r="BB1298" s="71">
        <f t="shared" si="175"/>
        <v>4.0316035186156522</v>
      </c>
      <c r="BC1298" s="72" t="str">
        <f t="shared" si="176"/>
        <v>Cooling RES 9 Year EUL</v>
      </c>
      <c r="BD1298" s="148">
        <f>(INDEX('Avoided Cost Benefits'!$C$4:$C$857,MATCH(BC1298,'Avoided Cost Benefits'!$A$4:$A$857,0)))*F1298</f>
        <v>76.103888978115179</v>
      </c>
      <c r="BE1298" s="73">
        <f t="shared" si="177"/>
        <v>18.876828692779611</v>
      </c>
    </row>
    <row r="1299" spans="1:57" s="454" customFormat="1" x14ac:dyDescent="0.25">
      <c r="A1299" s="272"/>
      <c r="B1299" s="198"/>
      <c r="C1299" s="1958" t="s">
        <v>2083</v>
      </c>
      <c r="D1299" s="1959" t="s">
        <v>1515</v>
      </c>
      <c r="E1299" s="201" t="s">
        <v>2084</v>
      </c>
      <c r="F1299" s="408">
        <f>ROUND(($F$1337*$F$1328*(1/$F$1333-1/$F$1334)/1000),2)</f>
        <v>37.26</v>
      </c>
      <c r="G1299" s="60" t="s">
        <v>690</v>
      </c>
      <c r="H1299" s="202">
        <f>VLOOKUP(G1299,'CP FACTORS'!$A$3:$B$38, 2, FALSE)</f>
        <v>9.4741810000000004E-4</v>
      </c>
      <c r="I1299" s="1733">
        <f t="shared" si="172"/>
        <v>3.5300999999999999E-2</v>
      </c>
      <c r="J1299" s="382">
        <f t="shared" si="173"/>
        <v>9</v>
      </c>
      <c r="K1299" s="1286">
        <f t="shared" si="174"/>
        <v>20</v>
      </c>
      <c r="L1299" s="1959" t="s">
        <v>37</v>
      </c>
      <c r="M1299" s="272"/>
      <c r="N1299" s="1626"/>
      <c r="O1299" s="1249"/>
      <c r="P1299" s="272"/>
      <c r="Q1299" s="272"/>
      <c r="R1299" s="1627"/>
      <c r="S1299" s="272"/>
      <c r="T1299" s="272"/>
      <c r="U1299" s="272"/>
      <c r="V1299" s="457" t="s">
        <v>20</v>
      </c>
      <c r="W1299" s="458"/>
      <c r="X1299" s="382"/>
      <c r="Y1299" s="129">
        <v>37.26</v>
      </c>
      <c r="Z1299" s="382">
        <v>37.26</v>
      </c>
      <c r="AA1299" s="382">
        <v>37.26</v>
      </c>
      <c r="AB1299" s="382">
        <v>37.26</v>
      </c>
      <c r="AC1299" s="457"/>
      <c r="AD1299" s="457"/>
      <c r="AE1299" s="457"/>
      <c r="AF1299" s="457"/>
      <c r="AG1299" s="457"/>
      <c r="AI1299" s="128"/>
      <c r="AJ1299" s="128"/>
      <c r="AK1299" s="128"/>
      <c r="AL1299" s="128"/>
      <c r="AM1299" s="128"/>
      <c r="AN1299" s="128"/>
      <c r="AO1299" s="128"/>
      <c r="AP1299" s="128"/>
      <c r="AQ1299" s="128"/>
      <c r="AR1299" s="128"/>
      <c r="AS1299" s="128"/>
      <c r="AU1299" s="212"/>
      <c r="BB1299" s="71">
        <f t="shared" si="175"/>
        <v>1.8074545434197955</v>
      </c>
      <c r="BC1299" s="72" t="str">
        <f t="shared" si="176"/>
        <v>Cooling RES 9 Year EUL</v>
      </c>
      <c r="BD1299" s="148">
        <f>(INDEX('Avoided Cost Benefits'!$C$4:$C$857,MATCH(BC1299,'Avoided Cost Benefits'!$A$4:$A$857,0)))*F1299</f>
        <v>34.119009786121666</v>
      </c>
      <c r="BE1299" s="73">
        <f t="shared" si="177"/>
        <v>18.876828692779611</v>
      </c>
    </row>
    <row r="1300" spans="1:57" s="454" customFormat="1" x14ac:dyDescent="0.25">
      <c r="A1300" s="272"/>
      <c r="B1300" s="198"/>
      <c r="C1300" s="1958" t="s">
        <v>3295</v>
      </c>
      <c r="D1300" s="1959" t="s">
        <v>1518</v>
      </c>
      <c r="E1300" s="201" t="s">
        <v>2085</v>
      </c>
      <c r="F1300" s="408">
        <f>ROUND(($H$1337*$H$1328*(1/$H$1335-1/$H$1334)/1000),2)</f>
        <v>83.11</v>
      </c>
      <c r="G1300" s="60" t="s">
        <v>690</v>
      </c>
      <c r="H1300" s="202">
        <f>VLOOKUP(G1300,'CP FACTORS'!$A$3:$B$38, 2, FALSE)</f>
        <v>9.4741810000000004E-4</v>
      </c>
      <c r="I1300" s="1733">
        <f t="shared" si="172"/>
        <v>7.8740000000000004E-2</v>
      </c>
      <c r="J1300" s="382">
        <f t="shared" si="173"/>
        <v>9</v>
      </c>
      <c r="K1300" s="1286">
        <f t="shared" si="174"/>
        <v>20</v>
      </c>
      <c r="L1300" s="1959" t="s">
        <v>37</v>
      </c>
      <c r="M1300" s="272"/>
      <c r="N1300" s="1626"/>
      <c r="O1300" s="1249"/>
      <c r="P1300" s="272"/>
      <c r="Q1300" s="272"/>
      <c r="R1300" s="1627"/>
      <c r="S1300" s="272"/>
      <c r="T1300" s="272"/>
      <c r="U1300" s="272"/>
      <c r="V1300" s="457" t="s">
        <v>20</v>
      </c>
      <c r="W1300" s="458"/>
      <c r="X1300" s="382"/>
      <c r="Y1300" s="129">
        <v>83.11</v>
      </c>
      <c r="Z1300" s="382">
        <v>83.11</v>
      </c>
      <c r="AA1300" s="382">
        <v>83.11</v>
      </c>
      <c r="AB1300" s="382">
        <v>83.11</v>
      </c>
      <c r="AC1300" s="457"/>
      <c r="AD1300" s="457"/>
      <c r="AE1300" s="457"/>
      <c r="AF1300" s="457"/>
      <c r="AG1300" s="457"/>
      <c r="AI1300" s="128"/>
      <c r="AJ1300" s="128"/>
      <c r="AK1300" s="128"/>
      <c r="AL1300" s="128"/>
      <c r="AM1300" s="128"/>
      <c r="AN1300" s="128"/>
      <c r="AO1300" s="128"/>
      <c r="AP1300" s="128"/>
      <c r="AQ1300" s="128"/>
      <c r="AR1300" s="128"/>
      <c r="AS1300" s="128"/>
      <c r="AU1300" s="212"/>
      <c r="BB1300" s="71">
        <f t="shared" si="175"/>
        <v>4.0316035186156522</v>
      </c>
      <c r="BC1300" s="72" t="str">
        <f t="shared" si="176"/>
        <v>Cooling RES 9 Year EUL</v>
      </c>
      <c r="BD1300" s="148">
        <f>(INDEX('Avoided Cost Benefits'!$C$4:$C$857,MATCH(BC1300,'Avoided Cost Benefits'!$A$4:$A$857,0)))*F1300</f>
        <v>76.103888978115179</v>
      </c>
      <c r="BE1300" s="73">
        <f t="shared" si="177"/>
        <v>18.876828692779611</v>
      </c>
    </row>
    <row r="1301" spans="1:57" s="454" customFormat="1" ht="15.75" thickBot="1" x14ac:dyDescent="0.3">
      <c r="A1301" s="272"/>
      <c r="B1301" s="198"/>
      <c r="C1301" s="1960" t="s">
        <v>2086</v>
      </c>
      <c r="D1301" s="1965" t="s">
        <v>1515</v>
      </c>
      <c r="E1301" s="1287" t="s">
        <v>2087</v>
      </c>
      <c r="F1301" s="1468">
        <f>ROUND(($F$1337*$F$1328*(1/$F$1333-1/$F$1334)/1000),2)</f>
        <v>37.26</v>
      </c>
      <c r="G1301" s="1961" t="s">
        <v>690</v>
      </c>
      <c r="H1301" s="1962">
        <f>VLOOKUP(G1301,'CP FACTORS'!$A$3:$B$38, 2, FALSE)</f>
        <v>9.4741810000000004E-4</v>
      </c>
      <c r="I1301" s="1963">
        <f t="shared" si="172"/>
        <v>3.5300999999999999E-2</v>
      </c>
      <c r="J1301" s="1964">
        <f t="shared" si="173"/>
        <v>9</v>
      </c>
      <c r="K1301" s="1288">
        <f t="shared" si="174"/>
        <v>20</v>
      </c>
      <c r="L1301" s="1965" t="s">
        <v>37</v>
      </c>
      <c r="M1301" s="272"/>
      <c r="N1301" s="1626"/>
      <c r="O1301" s="1249"/>
      <c r="P1301" s="272"/>
      <c r="Q1301" s="272"/>
      <c r="R1301" s="1627"/>
      <c r="S1301" s="272"/>
      <c r="T1301" s="272"/>
      <c r="U1301" s="272"/>
      <c r="V1301" s="457" t="s">
        <v>20</v>
      </c>
      <c r="W1301" s="458"/>
      <c r="X1301" s="382"/>
      <c r="Y1301" s="129">
        <v>37.26</v>
      </c>
      <c r="Z1301" s="382">
        <v>37.26</v>
      </c>
      <c r="AA1301" s="382">
        <v>37.26</v>
      </c>
      <c r="AB1301" s="382">
        <v>37.26</v>
      </c>
      <c r="AC1301" s="457"/>
      <c r="AD1301" s="457"/>
      <c r="AE1301" s="457"/>
      <c r="AF1301" s="457"/>
      <c r="AG1301" s="457"/>
      <c r="AI1301" s="128"/>
      <c r="AJ1301" s="128"/>
      <c r="AK1301" s="128"/>
      <c r="AL1301" s="128"/>
      <c r="AM1301" s="128"/>
      <c r="AN1301" s="128"/>
      <c r="AO1301" s="128"/>
      <c r="AP1301" s="128"/>
      <c r="AQ1301" s="128"/>
      <c r="AR1301" s="128"/>
      <c r="AS1301" s="128"/>
      <c r="AU1301" s="212"/>
      <c r="BB1301" s="71">
        <f t="shared" si="175"/>
        <v>1.8074545434197955</v>
      </c>
      <c r="BC1301" s="72" t="str">
        <f t="shared" si="176"/>
        <v>Cooling RES 9 Year EUL</v>
      </c>
      <c r="BD1301" s="148">
        <f>(INDEX('Avoided Cost Benefits'!$C$4:$C$857,MATCH(BC1301,'Avoided Cost Benefits'!$A$4:$A$857,0)))*F1301</f>
        <v>34.119009786121666</v>
      </c>
      <c r="BE1301" s="73">
        <f t="shared" si="177"/>
        <v>18.876828692779611</v>
      </c>
    </row>
    <row r="1302" spans="1:57" s="454" customFormat="1" x14ac:dyDescent="0.25">
      <c r="A1302" s="272"/>
      <c r="B1302" s="198"/>
      <c r="C1302" s="1966" t="s">
        <v>2088</v>
      </c>
      <c r="D1302" s="1973" t="s">
        <v>1518</v>
      </c>
      <c r="E1302" s="1967" t="s">
        <v>2089</v>
      </c>
      <c r="F1302" s="1968">
        <f>ROUND(($H$1337*$H$1329*(1/$H$1335-1/$H$1334)/1000),2)</f>
        <v>132.97</v>
      </c>
      <c r="G1302" s="1969" t="s">
        <v>690</v>
      </c>
      <c r="H1302" s="1767">
        <f>VLOOKUP(G1302,'CP FACTORS'!$A$3:$B$38, 2, FALSE)</f>
        <v>9.4741810000000004E-4</v>
      </c>
      <c r="I1302" s="1970">
        <f t="shared" si="172"/>
        <v>0.12597800000000001</v>
      </c>
      <c r="J1302" s="1971">
        <f t="shared" si="173"/>
        <v>9</v>
      </c>
      <c r="K1302" s="1972">
        <f t="shared" si="174"/>
        <v>20</v>
      </c>
      <c r="L1302" s="1973" t="s">
        <v>37</v>
      </c>
      <c r="M1302" s="272"/>
      <c r="N1302" s="1626"/>
      <c r="O1302" s="1249"/>
      <c r="P1302" s="272"/>
      <c r="Q1302" s="272"/>
      <c r="R1302" s="1627"/>
      <c r="S1302" s="272"/>
      <c r="T1302" s="272"/>
      <c r="U1302" s="272"/>
      <c r="V1302" s="457" t="s">
        <v>20</v>
      </c>
      <c r="W1302" s="458"/>
      <c r="X1302" s="382"/>
      <c r="Y1302" s="129">
        <v>132.97</v>
      </c>
      <c r="Z1302" s="382">
        <v>132.97</v>
      </c>
      <c r="AA1302" s="382">
        <v>132.97</v>
      </c>
      <c r="AB1302" s="382">
        <v>132.97</v>
      </c>
      <c r="AC1302" s="457"/>
      <c r="AD1302" s="457"/>
      <c r="AE1302" s="457"/>
      <c r="AF1302" s="457"/>
      <c r="AG1302" s="457"/>
      <c r="AI1302" s="128"/>
      <c r="AJ1302" s="128"/>
      <c r="AK1302" s="128"/>
      <c r="AL1302" s="128"/>
      <c r="AM1302" s="128"/>
      <c r="AN1302" s="128"/>
      <c r="AO1302" s="128"/>
      <c r="AP1302" s="128"/>
      <c r="AQ1302" s="128"/>
      <c r="AR1302" s="128"/>
      <c r="AS1302" s="128"/>
      <c r="AU1302" s="212"/>
      <c r="BB1302" s="71">
        <f t="shared" si="175"/>
        <v>6.4502745743030108</v>
      </c>
      <c r="BC1302" s="72" t="str">
        <f t="shared" si="176"/>
        <v>Cooling RES 9 Year EUL</v>
      </c>
      <c r="BD1302" s="148">
        <f>(INDEX('Avoided Cost Benefits'!$C$4:$C$857,MATCH(BC1302,'Avoided Cost Benefits'!$A$4:$A$857,0)))*F1302</f>
        <v>121.76072816050987</v>
      </c>
      <c r="BE1302" s="73">
        <f t="shared" si="177"/>
        <v>18.876828692779611</v>
      </c>
    </row>
    <row r="1303" spans="1:57" s="454" customFormat="1" x14ac:dyDescent="0.25">
      <c r="A1303" s="272"/>
      <c r="B1303" s="198"/>
      <c r="C1303" s="1958" t="s">
        <v>2090</v>
      </c>
      <c r="D1303" s="1959" t="s">
        <v>1515</v>
      </c>
      <c r="E1303" s="201" t="s">
        <v>2091</v>
      </c>
      <c r="F1303" s="408">
        <f>ROUND(($F$1337*$F$1329*(1/$F$1333-1/$F$1334)/1000),2)</f>
        <v>59.61</v>
      </c>
      <c r="G1303" s="60" t="s">
        <v>690</v>
      </c>
      <c r="H1303" s="202">
        <f>VLOOKUP(G1303,'CP FACTORS'!$A$3:$B$38, 2, FALSE)</f>
        <v>9.4741810000000004E-4</v>
      </c>
      <c r="I1303" s="1733">
        <f t="shared" si="172"/>
        <v>5.6475999999999998E-2</v>
      </c>
      <c r="J1303" s="382">
        <f t="shared" si="173"/>
        <v>9</v>
      </c>
      <c r="K1303" s="1286">
        <f t="shared" si="174"/>
        <v>20</v>
      </c>
      <c r="L1303" s="1959" t="s">
        <v>37</v>
      </c>
      <c r="M1303" s="272"/>
      <c r="N1303" s="1626"/>
      <c r="O1303" s="1249"/>
      <c r="P1303" s="272"/>
      <c r="Q1303" s="272"/>
      <c r="R1303" s="1627"/>
      <c r="S1303" s="272"/>
      <c r="T1303" s="272"/>
      <c r="U1303" s="272"/>
      <c r="V1303" s="457" t="s">
        <v>20</v>
      </c>
      <c r="W1303" s="458"/>
      <c r="X1303" s="382"/>
      <c r="Y1303" s="129">
        <v>59.61</v>
      </c>
      <c r="Z1303" s="382">
        <v>59.61</v>
      </c>
      <c r="AA1303" s="382">
        <v>59.61</v>
      </c>
      <c r="AB1303" s="382">
        <v>59.61</v>
      </c>
      <c r="AC1303" s="457"/>
      <c r="AD1303" s="457"/>
      <c r="AE1303" s="457"/>
      <c r="AF1303" s="457"/>
      <c r="AG1303" s="457"/>
      <c r="AI1303" s="128"/>
      <c r="AJ1303" s="128"/>
      <c r="AK1303" s="128"/>
      <c r="AL1303" s="128"/>
      <c r="AM1303" s="128"/>
      <c r="AN1303" s="128"/>
      <c r="AO1303" s="128"/>
      <c r="AP1303" s="128"/>
      <c r="AQ1303" s="128"/>
      <c r="AR1303" s="128"/>
      <c r="AS1303" s="128"/>
      <c r="AU1303" s="212"/>
      <c r="BB1303" s="71">
        <f t="shared" si="175"/>
        <v>2.8916362139896403</v>
      </c>
      <c r="BC1303" s="72" t="str">
        <f t="shared" si="176"/>
        <v>Cooling RES 9 Year EUL</v>
      </c>
      <c r="BD1303" s="148">
        <f>(INDEX('Avoided Cost Benefits'!$C$4:$C$857,MATCH(BC1303,'Avoided Cost Benefits'!$A$4:$A$857,0)))*F1303</f>
        <v>54.584921453320248</v>
      </c>
      <c r="BE1303" s="73">
        <f t="shared" si="177"/>
        <v>18.876828692779611</v>
      </c>
    </row>
    <row r="1304" spans="1:57" s="454" customFormat="1" x14ac:dyDescent="0.25">
      <c r="A1304" s="272"/>
      <c r="B1304" s="198"/>
      <c r="C1304" s="1958" t="s">
        <v>2092</v>
      </c>
      <c r="D1304" s="1959" t="s">
        <v>1518</v>
      </c>
      <c r="E1304" s="201" t="s">
        <v>2093</v>
      </c>
      <c r="F1304" s="408">
        <f>ROUND(($H$1337*$H$1329*(1/$H$1335-1/$H$1334)/1000),2)</f>
        <v>132.97</v>
      </c>
      <c r="G1304" s="60" t="s">
        <v>690</v>
      </c>
      <c r="H1304" s="202">
        <f>VLOOKUP(G1304,'CP FACTORS'!$A$3:$B$38, 2, FALSE)</f>
        <v>9.4741810000000004E-4</v>
      </c>
      <c r="I1304" s="1733">
        <f t="shared" si="172"/>
        <v>0.12597800000000001</v>
      </c>
      <c r="J1304" s="382">
        <f t="shared" si="173"/>
        <v>9</v>
      </c>
      <c r="K1304" s="1286">
        <f t="shared" si="174"/>
        <v>20</v>
      </c>
      <c r="L1304" s="1959" t="s">
        <v>37</v>
      </c>
      <c r="M1304" s="272"/>
      <c r="N1304" s="1626"/>
      <c r="O1304" s="1249"/>
      <c r="P1304" s="272"/>
      <c r="Q1304" s="272"/>
      <c r="R1304" s="1627"/>
      <c r="S1304" s="272"/>
      <c r="T1304" s="272"/>
      <c r="U1304" s="272"/>
      <c r="V1304" s="457" t="s">
        <v>20</v>
      </c>
      <c r="W1304" s="458"/>
      <c r="X1304" s="382"/>
      <c r="Y1304" s="129">
        <v>132.97</v>
      </c>
      <c r="Z1304" s="382">
        <v>132.97</v>
      </c>
      <c r="AA1304" s="382">
        <v>132.97</v>
      </c>
      <c r="AB1304" s="382">
        <v>132.97</v>
      </c>
      <c r="AC1304" s="457"/>
      <c r="AD1304" s="457"/>
      <c r="AE1304" s="457"/>
      <c r="AF1304" s="457"/>
      <c r="AG1304" s="457"/>
      <c r="AI1304" s="128"/>
      <c r="AJ1304" s="128"/>
      <c r="AK1304" s="128"/>
      <c r="AL1304" s="128"/>
      <c r="AM1304" s="128"/>
      <c r="AN1304" s="128"/>
      <c r="AO1304" s="128"/>
      <c r="AP1304" s="128"/>
      <c r="AQ1304" s="128"/>
      <c r="AR1304" s="128"/>
      <c r="AS1304" s="128"/>
      <c r="AU1304" s="212"/>
      <c r="BB1304" s="71">
        <f t="shared" si="175"/>
        <v>6.4502745743030108</v>
      </c>
      <c r="BC1304" s="72" t="str">
        <f t="shared" si="176"/>
        <v>Cooling RES 9 Year EUL</v>
      </c>
      <c r="BD1304" s="148">
        <f>(INDEX('Avoided Cost Benefits'!$C$4:$C$857,MATCH(BC1304,'Avoided Cost Benefits'!$A$4:$A$857,0)))*F1304</f>
        <v>121.76072816050987</v>
      </c>
      <c r="BE1304" s="73">
        <f t="shared" si="177"/>
        <v>18.876828692779611</v>
      </c>
    </row>
    <row r="1305" spans="1:57" s="454" customFormat="1" ht="15.75" thickBot="1" x14ac:dyDescent="0.3">
      <c r="A1305" s="272"/>
      <c r="B1305" s="198"/>
      <c r="C1305" s="1960" t="s">
        <v>2094</v>
      </c>
      <c r="D1305" s="1965" t="s">
        <v>1515</v>
      </c>
      <c r="E1305" s="1287" t="s">
        <v>2095</v>
      </c>
      <c r="F1305" s="1468">
        <f>ROUND(($F$1337*$F$1329*(1/$F$1333-1/$F$1334)/1000),2)</f>
        <v>59.61</v>
      </c>
      <c r="G1305" s="1961" t="s">
        <v>690</v>
      </c>
      <c r="H1305" s="1962">
        <f>VLOOKUP(G1305,'CP FACTORS'!$A$3:$B$38, 2, FALSE)</f>
        <v>9.4741810000000004E-4</v>
      </c>
      <c r="I1305" s="1963">
        <f t="shared" si="172"/>
        <v>5.6475999999999998E-2</v>
      </c>
      <c r="J1305" s="1964">
        <f t="shared" si="173"/>
        <v>9</v>
      </c>
      <c r="K1305" s="1288">
        <f t="shared" si="174"/>
        <v>20</v>
      </c>
      <c r="L1305" s="1965" t="s">
        <v>37</v>
      </c>
      <c r="M1305" s="272"/>
      <c r="N1305" s="1626"/>
      <c r="O1305" s="1249"/>
      <c r="P1305" s="272"/>
      <c r="Q1305" s="272"/>
      <c r="R1305" s="1627"/>
      <c r="S1305" s="272"/>
      <c r="T1305" s="272"/>
      <c r="U1305" s="272"/>
      <c r="V1305" s="457" t="s">
        <v>20</v>
      </c>
      <c r="W1305" s="458"/>
      <c r="X1305" s="382"/>
      <c r="Y1305" s="129">
        <v>59.61</v>
      </c>
      <c r="Z1305" s="382">
        <v>59.61</v>
      </c>
      <c r="AA1305" s="382">
        <v>59.61</v>
      </c>
      <c r="AB1305" s="382">
        <v>59.61</v>
      </c>
      <c r="AC1305" s="457"/>
      <c r="AD1305" s="457"/>
      <c r="AE1305" s="457"/>
      <c r="AF1305" s="457"/>
      <c r="AG1305" s="457"/>
      <c r="AI1305" s="128"/>
      <c r="AJ1305" s="128"/>
      <c r="AK1305" s="128"/>
      <c r="AL1305" s="128"/>
      <c r="AM1305" s="128"/>
      <c r="AN1305" s="128"/>
      <c r="AO1305" s="128"/>
      <c r="AP1305" s="128"/>
      <c r="AQ1305" s="128"/>
      <c r="AR1305" s="128"/>
      <c r="AS1305" s="128"/>
      <c r="AU1305" s="212"/>
      <c r="BB1305" s="71">
        <f t="shared" si="175"/>
        <v>2.8916362139896403</v>
      </c>
      <c r="BC1305" s="72" t="str">
        <f t="shared" si="176"/>
        <v>Cooling RES 9 Year EUL</v>
      </c>
      <c r="BD1305" s="148">
        <f>(INDEX('Avoided Cost Benefits'!$C$4:$C$857,MATCH(BC1305,'Avoided Cost Benefits'!$A$4:$A$857,0)))*F1305</f>
        <v>54.584921453320248</v>
      </c>
      <c r="BE1305" s="73">
        <f t="shared" si="177"/>
        <v>18.876828692779611</v>
      </c>
    </row>
    <row r="1306" spans="1:57" s="454" customFormat="1" x14ac:dyDescent="0.25">
      <c r="A1306" s="272"/>
      <c r="B1306" s="198"/>
      <c r="C1306" s="1966" t="s">
        <v>2096</v>
      </c>
      <c r="D1306" s="1973" t="s">
        <v>1518</v>
      </c>
      <c r="E1306" s="1967" t="s">
        <v>2097</v>
      </c>
      <c r="F1306" s="1968">
        <f>ROUND(($H$1337*$H$1330*(1/$H$1335-1/$H$1334)/1000),2)</f>
        <v>166.22</v>
      </c>
      <c r="G1306" s="1969" t="s">
        <v>690</v>
      </c>
      <c r="H1306" s="1767">
        <f>VLOOKUP(G1306,'CP FACTORS'!$A$3:$B$38, 2, FALSE)</f>
        <v>9.4741810000000004E-4</v>
      </c>
      <c r="I1306" s="1970">
        <f t="shared" si="172"/>
        <v>0.15748000000000001</v>
      </c>
      <c r="J1306" s="1971">
        <f t="shared" si="173"/>
        <v>9</v>
      </c>
      <c r="K1306" s="1972">
        <f t="shared" si="174"/>
        <v>20</v>
      </c>
      <c r="L1306" s="1973" t="s">
        <v>37</v>
      </c>
      <c r="M1306" s="272"/>
      <c r="N1306" s="1626"/>
      <c r="O1306" s="1249"/>
      <c r="P1306" s="272"/>
      <c r="Q1306" s="272"/>
      <c r="R1306" s="1627"/>
      <c r="S1306" s="272"/>
      <c r="T1306" s="272"/>
      <c r="U1306" s="272"/>
      <c r="V1306" s="457" t="s">
        <v>20</v>
      </c>
      <c r="W1306" s="458"/>
      <c r="X1306" s="382"/>
      <c r="Y1306" s="129">
        <v>166.22</v>
      </c>
      <c r="Z1306" s="382">
        <v>166.22</v>
      </c>
      <c r="AA1306" s="382">
        <v>166.22</v>
      </c>
      <c r="AB1306" s="382">
        <v>166.22</v>
      </c>
      <c r="AC1306" s="457"/>
      <c r="AD1306" s="457"/>
      <c r="AE1306" s="457"/>
      <c r="AF1306" s="457"/>
      <c r="AG1306" s="457"/>
      <c r="AI1306" s="128"/>
      <c r="AJ1306" s="128"/>
      <c r="AK1306" s="128"/>
      <c r="AL1306" s="128"/>
      <c r="AM1306" s="128"/>
      <c r="AN1306" s="128"/>
      <c r="AO1306" s="128"/>
      <c r="AP1306" s="128"/>
      <c r="AQ1306" s="128"/>
      <c r="AR1306" s="128"/>
      <c r="AS1306" s="128"/>
      <c r="AU1306" s="212"/>
      <c r="BB1306" s="71">
        <f t="shared" si="175"/>
        <v>8.0632070372313045</v>
      </c>
      <c r="BC1306" s="72" t="str">
        <f t="shared" si="176"/>
        <v>Cooling RES 9 Year EUL</v>
      </c>
      <c r="BD1306" s="148">
        <f>(INDEX('Avoided Cost Benefits'!$C$4:$C$857,MATCH(BC1306,'Avoided Cost Benefits'!$A$4:$A$857,0)))*F1306</f>
        <v>152.20777795623036</v>
      </c>
      <c r="BE1306" s="73">
        <f t="shared" si="177"/>
        <v>18.876828692779611</v>
      </c>
    </row>
    <row r="1307" spans="1:57" s="454" customFormat="1" x14ac:dyDescent="0.25">
      <c r="A1307" s="272"/>
      <c r="B1307" s="198"/>
      <c r="C1307" s="1958" t="s">
        <v>2098</v>
      </c>
      <c r="D1307" s="1959" t="s">
        <v>1515</v>
      </c>
      <c r="E1307" s="201" t="s">
        <v>2099</v>
      </c>
      <c r="F1307" s="408">
        <f>ROUND(($F$1337*$F$1330*(1/$F$1333-1/$F$1334)/1000),2)</f>
        <v>74.52</v>
      </c>
      <c r="G1307" s="60" t="s">
        <v>690</v>
      </c>
      <c r="H1307" s="202">
        <f>VLOOKUP(G1307,'CP FACTORS'!$A$3:$B$38, 2, FALSE)</f>
        <v>9.4741810000000004E-4</v>
      </c>
      <c r="I1307" s="1733">
        <f t="shared" si="172"/>
        <v>7.0601999999999998E-2</v>
      </c>
      <c r="J1307" s="382">
        <f t="shared" si="173"/>
        <v>9</v>
      </c>
      <c r="K1307" s="1286">
        <f t="shared" si="174"/>
        <v>20</v>
      </c>
      <c r="L1307" s="1959" t="s">
        <v>37</v>
      </c>
      <c r="M1307" s="272"/>
      <c r="N1307" s="1626"/>
      <c r="O1307" s="1249"/>
      <c r="P1307" s="272"/>
      <c r="Q1307" s="272"/>
      <c r="R1307" s="1627"/>
      <c r="S1307" s="272"/>
      <c r="T1307" s="272"/>
      <c r="U1307" s="272"/>
      <c r="V1307" s="457" t="s">
        <v>20</v>
      </c>
      <c r="W1307" s="458"/>
      <c r="X1307" s="382"/>
      <c r="Y1307" s="129">
        <v>74.52</v>
      </c>
      <c r="Z1307" s="382">
        <v>74.52</v>
      </c>
      <c r="AA1307" s="382">
        <v>74.52</v>
      </c>
      <c r="AB1307" s="382">
        <v>74.52</v>
      </c>
      <c r="AC1307" s="457"/>
      <c r="AD1307" s="457"/>
      <c r="AE1307" s="457"/>
      <c r="AF1307" s="457"/>
      <c r="AG1307" s="457"/>
      <c r="AI1307" s="128"/>
      <c r="AJ1307" s="128"/>
      <c r="AK1307" s="128"/>
      <c r="AL1307" s="128"/>
      <c r="AM1307" s="128"/>
      <c r="AN1307" s="128"/>
      <c r="AO1307" s="128"/>
      <c r="AP1307" s="128"/>
      <c r="AQ1307" s="128"/>
      <c r="AR1307" s="128"/>
      <c r="AS1307" s="128"/>
      <c r="AU1307" s="212"/>
      <c r="BB1307" s="71">
        <f t="shared" si="175"/>
        <v>3.614909086839591</v>
      </c>
      <c r="BC1307" s="72" t="str">
        <f t="shared" si="176"/>
        <v>Cooling RES 9 Year EUL</v>
      </c>
      <c r="BD1307" s="148">
        <f>(INDEX('Avoided Cost Benefits'!$C$4:$C$857,MATCH(BC1307,'Avoided Cost Benefits'!$A$4:$A$857,0)))*F1307</f>
        <v>68.238019572243331</v>
      </c>
      <c r="BE1307" s="73">
        <f t="shared" si="177"/>
        <v>18.876828692779611</v>
      </c>
    </row>
    <row r="1308" spans="1:57" s="454" customFormat="1" x14ac:dyDescent="0.25">
      <c r="A1308" s="272"/>
      <c r="B1308" s="198"/>
      <c r="C1308" s="1958" t="s">
        <v>2100</v>
      </c>
      <c r="D1308" s="1959" t="s">
        <v>1518</v>
      </c>
      <c r="E1308" s="201" t="s">
        <v>2101</v>
      </c>
      <c r="F1308" s="408">
        <f>ROUND(($H$1337*$H$1330*(1/$H$1335-1/$H$1334)/1000),2)</f>
        <v>166.22</v>
      </c>
      <c r="G1308" s="60" t="s">
        <v>690</v>
      </c>
      <c r="H1308" s="202">
        <f>VLOOKUP(G1308,'CP FACTORS'!$A$3:$B$38, 2, FALSE)</f>
        <v>9.4741810000000004E-4</v>
      </c>
      <c r="I1308" s="1733">
        <f t="shared" si="172"/>
        <v>0.15748000000000001</v>
      </c>
      <c r="J1308" s="382">
        <f t="shared" si="173"/>
        <v>9</v>
      </c>
      <c r="K1308" s="1286">
        <f t="shared" si="174"/>
        <v>20</v>
      </c>
      <c r="L1308" s="1959" t="s">
        <v>37</v>
      </c>
      <c r="M1308" s="272"/>
      <c r="N1308" s="1626"/>
      <c r="O1308" s="1249"/>
      <c r="P1308" s="272"/>
      <c r="Q1308" s="272"/>
      <c r="R1308" s="1627"/>
      <c r="S1308" s="272"/>
      <c r="T1308" s="272"/>
      <c r="U1308" s="272"/>
      <c r="V1308" s="457" t="s">
        <v>20</v>
      </c>
      <c r="W1308" s="458"/>
      <c r="X1308" s="382"/>
      <c r="Y1308" s="129">
        <v>166.22</v>
      </c>
      <c r="Z1308" s="382">
        <v>166.22</v>
      </c>
      <c r="AA1308" s="382">
        <v>166.22</v>
      </c>
      <c r="AB1308" s="382">
        <v>166.22</v>
      </c>
      <c r="AC1308" s="457"/>
      <c r="AD1308" s="457"/>
      <c r="AE1308" s="457"/>
      <c r="AF1308" s="457"/>
      <c r="AG1308" s="457"/>
      <c r="AI1308" s="128"/>
      <c r="AJ1308" s="128"/>
      <c r="AK1308" s="128"/>
      <c r="AL1308" s="128"/>
      <c r="AM1308" s="128"/>
      <c r="AN1308" s="128"/>
      <c r="AO1308" s="128"/>
      <c r="AP1308" s="128"/>
      <c r="AQ1308" s="128"/>
      <c r="AR1308" s="128"/>
      <c r="AS1308" s="128"/>
      <c r="AU1308" s="212"/>
      <c r="BB1308" s="71">
        <f t="shared" si="175"/>
        <v>8.0632070372313045</v>
      </c>
      <c r="BC1308" s="72" t="str">
        <f t="shared" si="176"/>
        <v>Cooling RES 9 Year EUL</v>
      </c>
      <c r="BD1308" s="148">
        <f>(INDEX('Avoided Cost Benefits'!$C$4:$C$857,MATCH(BC1308,'Avoided Cost Benefits'!$A$4:$A$857,0)))*F1308</f>
        <v>152.20777795623036</v>
      </c>
      <c r="BE1308" s="73">
        <f t="shared" si="177"/>
        <v>18.876828692779611</v>
      </c>
    </row>
    <row r="1309" spans="1:57" s="454" customFormat="1" ht="15.75" thickBot="1" x14ac:dyDescent="0.3">
      <c r="A1309" s="272"/>
      <c r="B1309" s="198"/>
      <c r="C1309" s="1960" t="s">
        <v>2102</v>
      </c>
      <c r="D1309" s="1965" t="s">
        <v>1515</v>
      </c>
      <c r="E1309" s="1287" t="s">
        <v>2103</v>
      </c>
      <c r="F1309" s="1468">
        <f>ROUND(($F$1337*$F$1330*(1/$F$1333-1/$F$1334)/1000),2)</f>
        <v>74.52</v>
      </c>
      <c r="G1309" s="1961" t="s">
        <v>690</v>
      </c>
      <c r="H1309" s="1962">
        <f>VLOOKUP(G1309,'CP FACTORS'!$A$3:$B$38, 2, FALSE)</f>
        <v>9.4741810000000004E-4</v>
      </c>
      <c r="I1309" s="1963">
        <f t="shared" si="172"/>
        <v>7.0601999999999998E-2</v>
      </c>
      <c r="J1309" s="1964">
        <f t="shared" si="173"/>
        <v>9</v>
      </c>
      <c r="K1309" s="1288">
        <f t="shared" si="174"/>
        <v>20</v>
      </c>
      <c r="L1309" s="1965" t="s">
        <v>37</v>
      </c>
      <c r="M1309" s="272"/>
      <c r="N1309" s="1626"/>
      <c r="O1309" s="1249"/>
      <c r="P1309" s="272"/>
      <c r="Q1309" s="272"/>
      <c r="R1309" s="1627"/>
      <c r="S1309" s="272"/>
      <c r="T1309" s="272"/>
      <c r="U1309" s="272"/>
      <c r="V1309" s="457" t="s">
        <v>20</v>
      </c>
      <c r="W1309" s="458"/>
      <c r="X1309" s="382"/>
      <c r="Y1309" s="129">
        <v>74.52</v>
      </c>
      <c r="Z1309" s="382">
        <v>74.52</v>
      </c>
      <c r="AA1309" s="382">
        <v>74.52</v>
      </c>
      <c r="AB1309" s="382">
        <v>74.52</v>
      </c>
      <c r="AC1309" s="457"/>
      <c r="AD1309" s="457"/>
      <c r="AE1309" s="457"/>
      <c r="AF1309" s="457"/>
      <c r="AG1309" s="457"/>
      <c r="AI1309" s="128"/>
      <c r="AJ1309" s="128"/>
      <c r="AK1309" s="128"/>
      <c r="AL1309" s="128"/>
      <c r="AM1309" s="128"/>
      <c r="AN1309" s="128"/>
      <c r="AO1309" s="128"/>
      <c r="AP1309" s="128"/>
      <c r="AQ1309" s="128"/>
      <c r="AR1309" s="128"/>
      <c r="AS1309" s="128"/>
      <c r="AU1309" s="212"/>
      <c r="BB1309" s="71">
        <f t="shared" si="175"/>
        <v>3.614909086839591</v>
      </c>
      <c r="BC1309" s="72" t="str">
        <f t="shared" si="176"/>
        <v>Cooling RES 9 Year EUL</v>
      </c>
      <c r="BD1309" s="148">
        <f>(INDEX('Avoided Cost Benefits'!$C$4:$C$857,MATCH(BC1309,'Avoided Cost Benefits'!$A$4:$A$857,0)))*F1309</f>
        <v>68.238019572243331</v>
      </c>
      <c r="BE1309" s="73">
        <f t="shared" si="177"/>
        <v>18.876828692779611</v>
      </c>
    </row>
    <row r="1310" spans="1:57" s="454" customFormat="1" x14ac:dyDescent="0.25">
      <c r="A1310" s="272"/>
      <c r="B1310" s="198"/>
      <c r="C1310" s="1966" t="s">
        <v>2104</v>
      </c>
      <c r="D1310" s="1973" t="s">
        <v>1518</v>
      </c>
      <c r="E1310" s="1967" t="s">
        <v>2105</v>
      </c>
      <c r="F1310" s="1968">
        <f>ROUND(($H$1337*$H$1331*(1/$H$1335-1/$H$1334)/1000),2)</f>
        <v>199.46</v>
      </c>
      <c r="G1310" s="1969" t="s">
        <v>690</v>
      </c>
      <c r="H1310" s="1767">
        <f>VLOOKUP(G1310,'CP FACTORS'!$A$3:$B$38, 2, FALSE)</f>
        <v>9.4741810000000004E-4</v>
      </c>
      <c r="I1310" s="1970">
        <f t="shared" si="172"/>
        <v>0.188972</v>
      </c>
      <c r="J1310" s="1971">
        <f t="shared" si="173"/>
        <v>9</v>
      </c>
      <c r="K1310" s="1972">
        <f t="shared" si="174"/>
        <v>20</v>
      </c>
      <c r="L1310" s="1973" t="s">
        <v>37</v>
      </c>
      <c r="M1310" s="272"/>
      <c r="N1310" s="1626"/>
      <c r="O1310" s="1249"/>
      <c r="P1310" s="272"/>
      <c r="Q1310" s="272"/>
      <c r="R1310" s="1627"/>
      <c r="S1310" s="272"/>
      <c r="T1310" s="272"/>
      <c r="U1310" s="272"/>
      <c r="V1310" s="457" t="s">
        <v>20</v>
      </c>
      <c r="W1310" s="458"/>
      <c r="X1310" s="382"/>
      <c r="Y1310" s="129">
        <v>199.46</v>
      </c>
      <c r="Z1310" s="382">
        <v>199.46</v>
      </c>
      <c r="AA1310" s="382">
        <v>199.46</v>
      </c>
      <c r="AB1310" s="382">
        <v>199.46</v>
      </c>
      <c r="AC1310" s="457"/>
      <c r="AD1310" s="457"/>
      <c r="AE1310" s="457"/>
      <c r="AF1310" s="457"/>
      <c r="AG1310" s="457"/>
      <c r="AI1310" s="128"/>
      <c r="AJ1310" s="128"/>
      <c r="AK1310" s="128"/>
      <c r="AL1310" s="128"/>
      <c r="AM1310" s="128"/>
      <c r="AN1310" s="128"/>
      <c r="AO1310" s="128"/>
      <c r="AP1310" s="128"/>
      <c r="AQ1310" s="128"/>
      <c r="AR1310" s="128"/>
      <c r="AS1310" s="128"/>
      <c r="AU1310" s="212"/>
      <c r="BB1310" s="71">
        <f t="shared" si="175"/>
        <v>9.6756544076895441</v>
      </c>
      <c r="BC1310" s="72" t="str">
        <f t="shared" si="176"/>
        <v>Cooling RES 9 Year EUL</v>
      </c>
      <c r="BD1310" s="148">
        <f>(INDEX('Avoided Cost Benefits'!$C$4:$C$857,MATCH(BC1310,'Avoided Cost Benefits'!$A$4:$A$857,0)))*F1310</f>
        <v>182.64567074449349</v>
      </c>
      <c r="BE1310" s="73">
        <f t="shared" si="177"/>
        <v>18.876828692779611</v>
      </c>
    </row>
    <row r="1311" spans="1:57" s="454" customFormat="1" x14ac:dyDescent="0.25">
      <c r="A1311" s="272"/>
      <c r="B1311" s="198"/>
      <c r="C1311" s="1958" t="s">
        <v>2106</v>
      </c>
      <c r="D1311" s="1959" t="s">
        <v>1515</v>
      </c>
      <c r="E1311" s="201" t="s">
        <v>2107</v>
      </c>
      <c r="F1311" s="408">
        <f>ROUND(($F$1337*$F$1331*(1/$F$1333-1/$F$1334)/1000),2)</f>
        <v>89.42</v>
      </c>
      <c r="G1311" s="60" t="s">
        <v>690</v>
      </c>
      <c r="H1311" s="202">
        <f>VLOOKUP(G1311,'CP FACTORS'!$A$3:$B$38, 2, FALSE)</f>
        <v>9.4741810000000004E-4</v>
      </c>
      <c r="I1311" s="1733">
        <f t="shared" si="172"/>
        <v>8.4718000000000002E-2</v>
      </c>
      <c r="J1311" s="382">
        <f t="shared" si="173"/>
        <v>9</v>
      </c>
      <c r="K1311" s="1286">
        <f t="shared" si="174"/>
        <v>20</v>
      </c>
      <c r="L1311" s="1959" t="s">
        <v>37</v>
      </c>
      <c r="M1311" s="272"/>
      <c r="N1311" s="1626"/>
      <c r="O1311" s="1249"/>
      <c r="P1311" s="272"/>
      <c r="Q1311" s="272"/>
      <c r="R1311" s="1627"/>
      <c r="S1311" s="272"/>
      <c r="T1311" s="272"/>
      <c r="U1311" s="272"/>
      <c r="V1311" s="457" t="s">
        <v>20</v>
      </c>
      <c r="W1311" s="458"/>
      <c r="X1311" s="382"/>
      <c r="Y1311" s="129">
        <v>89.42</v>
      </c>
      <c r="Z1311" s="382">
        <v>89.42</v>
      </c>
      <c r="AA1311" s="382">
        <v>89.42</v>
      </c>
      <c r="AB1311" s="382">
        <v>89.42</v>
      </c>
      <c r="AC1311" s="457"/>
      <c r="AD1311" s="457"/>
      <c r="AE1311" s="457"/>
      <c r="AF1311" s="457"/>
      <c r="AG1311" s="457"/>
      <c r="AI1311" s="128"/>
      <c r="AJ1311" s="128"/>
      <c r="AK1311" s="128"/>
      <c r="AL1311" s="128"/>
      <c r="AM1311" s="128"/>
      <c r="AN1311" s="128"/>
      <c r="AO1311" s="128"/>
      <c r="AP1311" s="128"/>
      <c r="AQ1311" s="128"/>
      <c r="AR1311" s="128"/>
      <c r="AS1311" s="128"/>
      <c r="AU1311" s="212"/>
      <c r="BB1311" s="71">
        <f t="shared" si="175"/>
        <v>4.3376968672194876</v>
      </c>
      <c r="BC1311" s="72" t="str">
        <f t="shared" si="176"/>
        <v>Cooling RES 9 Year EUL</v>
      </c>
      <c r="BD1311" s="148">
        <f>(INDEX('Avoided Cost Benefits'!$C$4:$C$857,MATCH(BC1311,'Avoided Cost Benefits'!$A$4:$A$857,0)))*F1311</f>
        <v>81.881960683709053</v>
      </c>
      <c r="BE1311" s="73">
        <f t="shared" si="177"/>
        <v>18.876828692779611</v>
      </c>
    </row>
    <row r="1312" spans="1:57" s="454" customFormat="1" x14ac:dyDescent="0.25">
      <c r="A1312" s="272"/>
      <c r="B1312" s="198"/>
      <c r="C1312" s="1958" t="s">
        <v>2108</v>
      </c>
      <c r="D1312" s="1959" t="s">
        <v>1518</v>
      </c>
      <c r="E1312" s="201" t="s">
        <v>2109</v>
      </c>
      <c r="F1312" s="408">
        <f>ROUND(($H$1337*$H$1331*(1/$H$1335-1/$H$1334)/1000),2)</f>
        <v>199.46</v>
      </c>
      <c r="G1312" s="60" t="s">
        <v>690</v>
      </c>
      <c r="H1312" s="202">
        <f>VLOOKUP(G1312,'CP FACTORS'!$A$3:$B$38, 2, FALSE)</f>
        <v>9.4741810000000004E-4</v>
      </c>
      <c r="I1312" s="1733">
        <f t="shared" si="172"/>
        <v>0.188972</v>
      </c>
      <c r="J1312" s="382">
        <f t="shared" si="173"/>
        <v>9</v>
      </c>
      <c r="K1312" s="1286">
        <f t="shared" si="174"/>
        <v>20</v>
      </c>
      <c r="L1312" s="1959" t="s">
        <v>37</v>
      </c>
      <c r="M1312" s="272"/>
      <c r="N1312" s="1626"/>
      <c r="O1312" s="1249"/>
      <c r="P1312" s="272"/>
      <c r="Q1312" s="272"/>
      <c r="R1312" s="1627"/>
      <c r="S1312" s="272"/>
      <c r="T1312" s="272"/>
      <c r="U1312" s="272"/>
      <c r="V1312" s="457" t="s">
        <v>20</v>
      </c>
      <c r="W1312" s="458"/>
      <c r="X1312" s="382"/>
      <c r="Y1312" s="129">
        <v>199.46</v>
      </c>
      <c r="Z1312" s="382">
        <v>199.46</v>
      </c>
      <c r="AA1312" s="382">
        <v>199.46</v>
      </c>
      <c r="AB1312" s="382">
        <v>199.46</v>
      </c>
      <c r="AC1312" s="457"/>
      <c r="AD1312" s="457"/>
      <c r="AE1312" s="457"/>
      <c r="AF1312" s="457"/>
      <c r="AG1312" s="457"/>
      <c r="AI1312" s="128"/>
      <c r="AJ1312" s="128"/>
      <c r="AK1312" s="128"/>
      <c r="AL1312" s="128"/>
      <c r="AM1312" s="128"/>
      <c r="AN1312" s="128"/>
      <c r="AO1312" s="128"/>
      <c r="AP1312" s="128"/>
      <c r="AQ1312" s="128"/>
      <c r="AR1312" s="128"/>
      <c r="AS1312" s="128"/>
      <c r="AU1312" s="212"/>
      <c r="BB1312" s="71">
        <f t="shared" si="175"/>
        <v>9.6756544076895441</v>
      </c>
      <c r="BC1312" s="72" t="str">
        <f t="shared" si="176"/>
        <v>Cooling RES 9 Year EUL</v>
      </c>
      <c r="BD1312" s="148">
        <f>(INDEX('Avoided Cost Benefits'!$C$4:$C$857,MATCH(BC1312,'Avoided Cost Benefits'!$A$4:$A$857,0)))*F1312</f>
        <v>182.64567074449349</v>
      </c>
      <c r="BE1312" s="73">
        <f t="shared" si="177"/>
        <v>18.876828692779611</v>
      </c>
    </row>
    <row r="1313" spans="1:57" s="454" customFormat="1" ht="15.75" thickBot="1" x14ac:dyDescent="0.3">
      <c r="A1313" s="272"/>
      <c r="B1313" s="198"/>
      <c r="C1313" s="1960" t="s">
        <v>2110</v>
      </c>
      <c r="D1313" s="1965" t="s">
        <v>1515</v>
      </c>
      <c r="E1313" s="1287" t="s">
        <v>2111</v>
      </c>
      <c r="F1313" s="1468">
        <f>ROUND(($F$1337*$F$1331*(1/$F$1333-1/$F$1334)/1000),2)</f>
        <v>89.42</v>
      </c>
      <c r="G1313" s="1961" t="s">
        <v>690</v>
      </c>
      <c r="H1313" s="1962">
        <f>VLOOKUP(G1313,'CP FACTORS'!$A$3:$B$38, 2, FALSE)</f>
        <v>9.4741810000000004E-4</v>
      </c>
      <c r="I1313" s="1963">
        <f t="shared" si="172"/>
        <v>8.4718000000000002E-2</v>
      </c>
      <c r="J1313" s="1964">
        <f t="shared" si="173"/>
        <v>9</v>
      </c>
      <c r="K1313" s="1288">
        <f t="shared" si="174"/>
        <v>20</v>
      </c>
      <c r="L1313" s="1965" t="s">
        <v>37</v>
      </c>
      <c r="M1313" s="272"/>
      <c r="N1313" s="1626"/>
      <c r="O1313" s="1249"/>
      <c r="P1313" s="272"/>
      <c r="Q1313" s="272"/>
      <c r="R1313" s="1627"/>
      <c r="S1313" s="272"/>
      <c r="T1313" s="272"/>
      <c r="U1313" s="272"/>
      <c r="V1313" s="457" t="s">
        <v>20</v>
      </c>
      <c r="W1313" s="458"/>
      <c r="X1313" s="382"/>
      <c r="Y1313" s="129">
        <v>89.42</v>
      </c>
      <c r="Z1313" s="382">
        <v>89.42</v>
      </c>
      <c r="AA1313" s="382">
        <v>89.42</v>
      </c>
      <c r="AB1313" s="382">
        <v>89.42</v>
      </c>
      <c r="AC1313" s="457"/>
      <c r="AD1313" s="457"/>
      <c r="AE1313" s="457"/>
      <c r="AF1313" s="457"/>
      <c r="AG1313" s="457"/>
      <c r="AI1313" s="128"/>
      <c r="AJ1313" s="128"/>
      <c r="AK1313" s="128"/>
      <c r="AL1313" s="128"/>
      <c r="AM1313" s="128"/>
      <c r="AN1313" s="128"/>
      <c r="AO1313" s="128"/>
      <c r="AP1313" s="128"/>
      <c r="AQ1313" s="128"/>
      <c r="AR1313" s="128"/>
      <c r="AS1313" s="128"/>
      <c r="AU1313" s="212"/>
      <c r="BB1313" s="71">
        <f t="shared" si="175"/>
        <v>4.3376968672194876</v>
      </c>
      <c r="BC1313" s="72" t="str">
        <f t="shared" si="176"/>
        <v>Cooling RES 9 Year EUL</v>
      </c>
      <c r="BD1313" s="148">
        <f>(INDEX('Avoided Cost Benefits'!$C$4:$C$857,MATCH(BC1313,'Avoided Cost Benefits'!$A$4:$A$857,0)))*F1313</f>
        <v>81.881960683709053</v>
      </c>
      <c r="BE1313" s="73">
        <f t="shared" si="177"/>
        <v>18.876828692779611</v>
      </c>
    </row>
    <row r="1314" spans="1:57" s="454" customFormat="1" x14ac:dyDescent="0.25">
      <c r="A1314" s="272"/>
      <c r="B1314" s="198"/>
      <c r="C1314" s="1966" t="s">
        <v>2112</v>
      </c>
      <c r="D1314" s="1973" t="s">
        <v>1518</v>
      </c>
      <c r="E1314" s="1967" t="s">
        <v>2113</v>
      </c>
      <c r="F1314" s="1968">
        <f>ROUND(($H$1337*$H$1332*(1/$H$1335-1/$H$1334)/1000),2)</f>
        <v>249.32</v>
      </c>
      <c r="G1314" s="1969" t="s">
        <v>690</v>
      </c>
      <c r="H1314" s="1767">
        <f>VLOOKUP(G1314,'CP FACTORS'!$A$3:$B$38, 2, FALSE)</f>
        <v>9.4741810000000004E-4</v>
      </c>
      <c r="I1314" s="1970">
        <f t="shared" si="172"/>
        <v>0.23621</v>
      </c>
      <c r="J1314" s="1971">
        <f t="shared" si="173"/>
        <v>9</v>
      </c>
      <c r="K1314" s="1972">
        <f t="shared" si="174"/>
        <v>20</v>
      </c>
      <c r="L1314" s="1973" t="s">
        <v>37</v>
      </c>
      <c r="M1314" s="272"/>
      <c r="N1314" s="1626"/>
      <c r="O1314" s="1249"/>
      <c r="P1314" s="272"/>
      <c r="Q1314" s="272"/>
      <c r="R1314" s="1627"/>
      <c r="S1314" s="272"/>
      <c r="T1314" s="272"/>
      <c r="U1314" s="272"/>
      <c r="V1314" s="457" t="s">
        <v>20</v>
      </c>
      <c r="W1314" s="458"/>
      <c r="X1314" s="382"/>
      <c r="Y1314" s="129">
        <v>249.32</v>
      </c>
      <c r="Z1314" s="382">
        <v>249.32</v>
      </c>
      <c r="AA1314" s="382">
        <v>249.32</v>
      </c>
      <c r="AB1314" s="382">
        <v>249.32</v>
      </c>
      <c r="AC1314" s="457"/>
      <c r="AD1314" s="457"/>
      <c r="AE1314" s="457"/>
      <c r="AF1314" s="457"/>
      <c r="AG1314" s="457"/>
      <c r="AI1314" s="128"/>
      <c r="AJ1314" s="128"/>
      <c r="AK1314" s="128"/>
      <c r="AL1314" s="128"/>
      <c r="AM1314" s="128"/>
      <c r="AN1314" s="128"/>
      <c r="AO1314" s="128"/>
      <c r="AP1314" s="128"/>
      <c r="AQ1314" s="128"/>
      <c r="AR1314" s="128"/>
      <c r="AS1314" s="128"/>
      <c r="AU1314" s="212"/>
      <c r="BB1314" s="71">
        <f t="shared" si="175"/>
        <v>12.094325463376903</v>
      </c>
      <c r="BC1314" s="72" t="str">
        <f t="shared" si="176"/>
        <v>Cooling RES 9 Year EUL</v>
      </c>
      <c r="BD1314" s="148">
        <f>(INDEX('Avoided Cost Benefits'!$C$4:$C$857,MATCH(BC1314,'Avoided Cost Benefits'!$A$4:$A$857,0)))*F1314</f>
        <v>228.30250992688818</v>
      </c>
      <c r="BE1314" s="73">
        <f t="shared" si="177"/>
        <v>18.876828692779611</v>
      </c>
    </row>
    <row r="1315" spans="1:57" s="454" customFormat="1" x14ac:dyDescent="0.25">
      <c r="A1315" s="272"/>
      <c r="B1315" s="198"/>
      <c r="C1315" s="1958" t="s">
        <v>2114</v>
      </c>
      <c r="D1315" s="1959" t="s">
        <v>1515</v>
      </c>
      <c r="E1315" s="201" t="s">
        <v>2115</v>
      </c>
      <c r="F1315" s="408">
        <f>ROUND(($F$1337*$F$1332*(1/$F$1333-1/$F$1334)/1000),2)</f>
        <v>111.77</v>
      </c>
      <c r="G1315" s="60" t="s">
        <v>690</v>
      </c>
      <c r="H1315" s="202">
        <f>VLOOKUP(G1315,'CP FACTORS'!$A$3:$B$38, 2, FALSE)</f>
        <v>9.4741810000000004E-4</v>
      </c>
      <c r="I1315" s="1733">
        <f t="shared" si="172"/>
        <v>0.105893</v>
      </c>
      <c r="J1315" s="382">
        <f t="shared" si="173"/>
        <v>9</v>
      </c>
      <c r="K1315" s="1286">
        <f t="shared" si="174"/>
        <v>20</v>
      </c>
      <c r="L1315" s="1959" t="s">
        <v>37</v>
      </c>
      <c r="M1315" s="272"/>
      <c r="N1315" s="1626"/>
      <c r="O1315" s="1249"/>
      <c r="P1315" s="272"/>
      <c r="Q1315" s="272"/>
      <c r="R1315" s="1627"/>
      <c r="S1315" s="272"/>
      <c r="T1315" s="272"/>
      <c r="U1315" s="272"/>
      <c r="V1315" s="457" t="s">
        <v>20</v>
      </c>
      <c r="W1315" s="458"/>
      <c r="X1315" s="382"/>
      <c r="Y1315" s="129">
        <v>111.77</v>
      </c>
      <c r="Z1315" s="382">
        <v>111.77</v>
      </c>
      <c r="AA1315" s="382">
        <v>111.77</v>
      </c>
      <c r="AB1315" s="382">
        <v>111.77</v>
      </c>
      <c r="AC1315" s="457"/>
      <c r="AD1315" s="457"/>
      <c r="AE1315" s="457"/>
      <c r="AF1315" s="457"/>
      <c r="AG1315" s="457"/>
      <c r="AI1315" s="128"/>
      <c r="AJ1315" s="128"/>
      <c r="AK1315" s="128"/>
      <c r="AL1315" s="128"/>
      <c r="AM1315" s="128"/>
      <c r="AN1315" s="128"/>
      <c r="AO1315" s="128"/>
      <c r="AP1315" s="128"/>
      <c r="AQ1315" s="128"/>
      <c r="AR1315" s="128"/>
      <c r="AS1315" s="128"/>
      <c r="AU1315" s="212"/>
      <c r="BB1315" s="71">
        <f t="shared" si="175"/>
        <v>5.4218785377893326</v>
      </c>
      <c r="BC1315" s="72" t="str">
        <f t="shared" si="176"/>
        <v>Cooling RES 9 Year EUL</v>
      </c>
      <c r="BD1315" s="148">
        <f>(INDEX('Avoided Cost Benefits'!$C$4:$C$857,MATCH(BC1315,'Avoided Cost Benefits'!$A$4:$A$857,0)))*F1315</f>
        <v>102.34787235090764</v>
      </c>
      <c r="BE1315" s="73">
        <f t="shared" si="177"/>
        <v>18.876828692779611</v>
      </c>
    </row>
    <row r="1316" spans="1:57" s="454" customFormat="1" x14ac:dyDescent="0.25">
      <c r="A1316" s="272"/>
      <c r="B1316" s="198"/>
      <c r="C1316" s="1958" t="s">
        <v>2116</v>
      </c>
      <c r="D1316" s="1959" t="s">
        <v>1518</v>
      </c>
      <c r="E1316" s="201" t="s">
        <v>2117</v>
      </c>
      <c r="F1316" s="408">
        <f>ROUND(($H$1337*$H$1332*(1/$H$1335-1/$H$1334)/1000),2)</f>
        <v>249.32</v>
      </c>
      <c r="G1316" s="60" t="s">
        <v>690</v>
      </c>
      <c r="H1316" s="202">
        <f>VLOOKUP(G1316,'CP FACTORS'!$A$3:$B$38, 2, FALSE)</f>
        <v>9.4741810000000004E-4</v>
      </c>
      <c r="I1316" s="1733">
        <f t="shared" si="172"/>
        <v>0.23621</v>
      </c>
      <c r="J1316" s="382">
        <f t="shared" si="173"/>
        <v>9</v>
      </c>
      <c r="K1316" s="1286">
        <f t="shared" si="174"/>
        <v>20</v>
      </c>
      <c r="L1316" s="1959" t="s">
        <v>37</v>
      </c>
      <c r="M1316" s="272"/>
      <c r="N1316" s="1626"/>
      <c r="O1316" s="1249"/>
      <c r="P1316" s="272"/>
      <c r="Q1316" s="272"/>
      <c r="R1316" s="1627"/>
      <c r="S1316" s="272"/>
      <c r="T1316" s="272"/>
      <c r="U1316" s="272"/>
      <c r="V1316" s="457" t="s">
        <v>20</v>
      </c>
      <c r="W1316" s="458"/>
      <c r="X1316" s="382"/>
      <c r="Y1316" s="129">
        <v>249.32</v>
      </c>
      <c r="Z1316" s="382">
        <v>249.32</v>
      </c>
      <c r="AA1316" s="382">
        <v>249.32</v>
      </c>
      <c r="AB1316" s="382">
        <v>249.32</v>
      </c>
      <c r="AC1316" s="457"/>
      <c r="AD1316" s="457"/>
      <c r="AE1316" s="457"/>
      <c r="AF1316" s="457"/>
      <c r="AG1316" s="457"/>
      <c r="AI1316" s="128"/>
      <c r="AJ1316" s="128"/>
      <c r="AK1316" s="128"/>
      <c r="AL1316" s="128"/>
      <c r="AM1316" s="128"/>
      <c r="AN1316" s="128"/>
      <c r="AO1316" s="128"/>
      <c r="AP1316" s="128"/>
      <c r="AQ1316" s="128"/>
      <c r="AR1316" s="128"/>
      <c r="AS1316" s="128"/>
      <c r="AU1316" s="212"/>
      <c r="BB1316" s="71">
        <f t="shared" si="175"/>
        <v>12.094325463376903</v>
      </c>
      <c r="BC1316" s="72" t="str">
        <f t="shared" si="176"/>
        <v>Cooling RES 9 Year EUL</v>
      </c>
      <c r="BD1316" s="148">
        <f>(INDEX('Avoided Cost Benefits'!$C$4:$C$857,MATCH(BC1316,'Avoided Cost Benefits'!$A$4:$A$857,0)))*F1316</f>
        <v>228.30250992688818</v>
      </c>
      <c r="BE1316" s="73">
        <f t="shared" si="177"/>
        <v>18.876828692779611</v>
      </c>
    </row>
    <row r="1317" spans="1:57" s="454" customFormat="1" x14ac:dyDescent="0.25">
      <c r="A1317" s="272"/>
      <c r="B1317" s="198"/>
      <c r="C1317" s="1958" t="s">
        <v>2118</v>
      </c>
      <c r="D1317" s="1959" t="s">
        <v>1515</v>
      </c>
      <c r="E1317" s="201" t="s">
        <v>2119</v>
      </c>
      <c r="F1317" s="408">
        <f>ROUND(($F$1337*$F$1332*(1/$F$1333-1/$F$1334)/1000),2)</f>
        <v>111.77</v>
      </c>
      <c r="G1317" s="60" t="s">
        <v>690</v>
      </c>
      <c r="H1317" s="202">
        <f>VLOOKUP(G1317,'CP FACTORS'!$A$3:$B$38, 2, FALSE)</f>
        <v>9.4741810000000004E-4</v>
      </c>
      <c r="I1317" s="1733">
        <f t="shared" si="172"/>
        <v>0.105893</v>
      </c>
      <c r="J1317" s="382">
        <f t="shared" si="173"/>
        <v>9</v>
      </c>
      <c r="K1317" s="1286">
        <f t="shared" si="174"/>
        <v>20</v>
      </c>
      <c r="L1317" s="1959" t="s">
        <v>37</v>
      </c>
      <c r="M1317" s="272"/>
      <c r="N1317" s="1626"/>
      <c r="O1317" s="1249"/>
      <c r="P1317" s="272"/>
      <c r="Q1317" s="272"/>
      <c r="R1317" s="1627"/>
      <c r="S1317" s="272"/>
      <c r="T1317" s="272"/>
      <c r="U1317" s="272"/>
      <c r="V1317" s="457" t="s">
        <v>20</v>
      </c>
      <c r="W1317" s="458"/>
      <c r="X1317" s="382"/>
      <c r="Y1317" s="129">
        <v>111.77</v>
      </c>
      <c r="Z1317" s="382">
        <v>111.77</v>
      </c>
      <c r="AA1317" s="382">
        <v>111.77</v>
      </c>
      <c r="AB1317" s="382">
        <v>111.77</v>
      </c>
      <c r="AC1317" s="457"/>
      <c r="AD1317" s="457"/>
      <c r="AE1317" s="457"/>
      <c r="AF1317" s="457"/>
      <c r="AG1317" s="457"/>
      <c r="AI1317" s="128"/>
      <c r="AJ1317" s="128"/>
      <c r="AK1317" s="128"/>
      <c r="AL1317" s="128"/>
      <c r="AM1317" s="128"/>
      <c r="AN1317" s="128"/>
      <c r="AO1317" s="128"/>
      <c r="AP1317" s="128"/>
      <c r="AQ1317" s="128"/>
      <c r="AR1317" s="128"/>
      <c r="AS1317" s="128"/>
      <c r="AU1317" s="212"/>
      <c r="BB1317" s="74">
        <f t="shared" si="175"/>
        <v>5.4218785377893326</v>
      </c>
      <c r="BC1317" s="72" t="str">
        <f t="shared" si="176"/>
        <v>Cooling RES 9 Year EUL</v>
      </c>
      <c r="BD1317" s="153">
        <f>(INDEX('Avoided Cost Benefits'!$C$4:$C$857,MATCH(BC1317,'Avoided Cost Benefits'!$A$4:$A$857,0)))*F1317</f>
        <v>102.34787235090764</v>
      </c>
      <c r="BE1317" s="75">
        <f t="shared" si="177"/>
        <v>18.876828692779611</v>
      </c>
    </row>
    <row r="1318" spans="1:57" s="128" customFormat="1" ht="42" customHeight="1" outlineLevel="1" x14ac:dyDescent="0.25">
      <c r="A1318" s="272"/>
      <c r="B1318" s="463"/>
      <c r="C1318" s="196"/>
      <c r="D1318" s="228"/>
      <c r="E1318" s="460" t="s">
        <v>2120</v>
      </c>
      <c r="F1318" s="461"/>
      <c r="G1318" s="198"/>
      <c r="H1318" s="198"/>
      <c r="I1318" s="157"/>
      <c r="J1318" s="157"/>
      <c r="K1318" s="157"/>
      <c r="L1318" s="1643"/>
      <c r="M1318" s="1631"/>
      <c r="N1318" s="1631"/>
      <c r="O1318" s="463"/>
      <c r="P1318" s="272"/>
      <c r="Q1318" s="272"/>
      <c r="R1318" s="272"/>
      <c r="S1318" s="272"/>
      <c r="T1318" s="272"/>
      <c r="U1318" s="272"/>
      <c r="X1318" s="42"/>
      <c r="Y1318" s="1289"/>
      <c r="Z1318" s="42"/>
      <c r="AA1318" s="42"/>
      <c r="AB1318" s="42"/>
      <c r="AC1318" s="42"/>
      <c r="AD1318" s="42"/>
      <c r="AE1318" s="42"/>
      <c r="AF1318" s="42"/>
      <c r="AG1318" s="42"/>
      <c r="AH1318" s="42"/>
      <c r="AI1318" s="42"/>
      <c r="AJ1318" s="42"/>
      <c r="AK1318" s="42"/>
      <c r="AU1318" s="212"/>
      <c r="BB1318" s="1111"/>
    </row>
    <row r="1319" spans="1:57" s="128" customFormat="1" outlineLevel="1" x14ac:dyDescent="0.25">
      <c r="A1319" s="272"/>
      <c r="B1319" s="463"/>
      <c r="C1319" s="196"/>
      <c r="D1319" s="222" t="s">
        <v>571</v>
      </c>
      <c r="E1319" s="462"/>
      <c r="F1319" s="224"/>
      <c r="G1319" s="198"/>
      <c r="H1319" s="463"/>
      <c r="I1319" s="157"/>
      <c r="J1319" s="157"/>
      <c r="K1319" s="157"/>
      <c r="L1319" s="198"/>
      <c r="M1319" s="1631"/>
      <c r="N1319" s="1631"/>
      <c r="O1319" s="463"/>
      <c r="P1319" s="272"/>
      <c r="Q1319" s="272"/>
      <c r="R1319" s="272"/>
      <c r="S1319" s="272"/>
      <c r="T1319" s="272"/>
      <c r="U1319" s="272"/>
      <c r="X1319" s="42"/>
      <c r="Y1319" s="1290"/>
      <c r="Z1319" s="42"/>
      <c r="AA1319" s="42"/>
      <c r="AB1319" s="42"/>
      <c r="AC1319" s="42"/>
      <c r="AD1319" s="42"/>
      <c r="AE1319" s="42"/>
      <c r="AF1319" s="42"/>
      <c r="AG1319" s="42"/>
      <c r="AH1319" s="42"/>
      <c r="AI1319" s="42"/>
      <c r="AJ1319" s="42"/>
      <c r="AK1319" s="42"/>
      <c r="AU1319" s="212"/>
      <c r="BB1319" s="1111"/>
    </row>
    <row r="1320" spans="1:57" s="128" customFormat="1" outlineLevel="1" x14ac:dyDescent="0.25">
      <c r="A1320" s="272"/>
      <c r="B1320" s="463"/>
      <c r="C1320" s="196"/>
      <c r="D1320" s="228"/>
      <c r="E1320" s="464"/>
      <c r="F1320" s="224"/>
      <c r="G1320" s="198"/>
      <c r="H1320" s="463"/>
      <c r="I1320" s="157"/>
      <c r="J1320" s="157"/>
      <c r="K1320" s="157"/>
      <c r="L1320" s="198"/>
      <c r="M1320" s="1631"/>
      <c r="N1320" s="1631"/>
      <c r="O1320" s="463"/>
      <c r="P1320" s="272"/>
      <c r="Q1320" s="272"/>
      <c r="R1320" s="272"/>
      <c r="S1320" s="272"/>
      <c r="T1320" s="272"/>
      <c r="U1320" s="272"/>
      <c r="X1320" s="42"/>
      <c r="Y1320" s="1289"/>
      <c r="Z1320" s="42"/>
      <c r="AA1320" s="42"/>
      <c r="AB1320" s="42"/>
      <c r="AC1320" s="42"/>
      <c r="AD1320" s="42"/>
      <c r="AE1320" s="42"/>
      <c r="AF1320" s="42"/>
      <c r="AG1320" s="42"/>
      <c r="AH1320" s="42"/>
      <c r="AI1320" s="42"/>
      <c r="AJ1320" s="42"/>
      <c r="AK1320" s="42"/>
      <c r="AU1320" s="212"/>
      <c r="BB1320" s="1111"/>
    </row>
    <row r="1321" spans="1:57" s="128" customFormat="1" outlineLevel="1" x14ac:dyDescent="0.25">
      <c r="A1321" s="272"/>
      <c r="B1321" s="463"/>
      <c r="C1321" s="196"/>
      <c r="D1321" s="228"/>
      <c r="E1321" s="228"/>
      <c r="F1321" s="224"/>
      <c r="G1321" s="198"/>
      <c r="H1321" s="463"/>
      <c r="I1321" s="157"/>
      <c r="J1321" s="157"/>
      <c r="K1321" s="157"/>
      <c r="L1321" s="198"/>
      <c r="M1321" s="1631"/>
      <c r="N1321" s="1631"/>
      <c r="O1321" s="463"/>
      <c r="P1321" s="272"/>
      <c r="Q1321" s="272"/>
      <c r="R1321" s="272"/>
      <c r="S1321" s="272"/>
      <c r="T1321" s="272"/>
      <c r="U1321" s="272"/>
      <c r="X1321" s="42"/>
      <c r="Y1321" s="1290"/>
      <c r="Z1321" s="42"/>
      <c r="AA1321" s="42"/>
      <c r="AB1321" s="42"/>
      <c r="AC1321" s="42"/>
      <c r="AD1321" s="42"/>
      <c r="AE1321" s="42"/>
      <c r="AF1321" s="42"/>
      <c r="AG1321" s="42"/>
      <c r="AH1321" s="42"/>
      <c r="AI1321" s="42"/>
      <c r="AJ1321" s="42"/>
      <c r="AK1321" s="42"/>
      <c r="AU1321" s="212"/>
      <c r="BB1321" s="1111"/>
    </row>
    <row r="1322" spans="1:57" s="128" customFormat="1" outlineLevel="1" x14ac:dyDescent="0.25">
      <c r="A1322" s="272"/>
      <c r="B1322" s="463"/>
      <c r="C1322" s="196"/>
      <c r="D1322" s="228"/>
      <c r="E1322" s="228"/>
      <c r="F1322" s="224"/>
      <c r="G1322" s="198"/>
      <c r="H1322" s="463"/>
      <c r="I1322" s="157"/>
      <c r="J1322" s="157"/>
      <c r="K1322" s="157"/>
      <c r="L1322" s="198"/>
      <c r="M1322" s="1631"/>
      <c r="N1322" s="1631"/>
      <c r="O1322" s="463"/>
      <c r="P1322" s="272"/>
      <c r="Q1322" s="272"/>
      <c r="R1322" s="272"/>
      <c r="S1322" s="272"/>
      <c r="T1322" s="272"/>
      <c r="U1322" s="272"/>
      <c r="X1322" s="42"/>
      <c r="Y1322" s="1290"/>
      <c r="Z1322" s="42"/>
      <c r="AA1322" s="42"/>
      <c r="AB1322" s="42"/>
      <c r="AC1322" s="42"/>
      <c r="AD1322" s="42"/>
      <c r="AE1322" s="42"/>
      <c r="AF1322" s="42"/>
      <c r="AG1322" s="42"/>
      <c r="AH1322" s="42"/>
      <c r="AI1322" s="42"/>
      <c r="AJ1322" s="42"/>
      <c r="AK1322" s="42"/>
      <c r="AU1322" s="212"/>
      <c r="BB1322" s="1111"/>
    </row>
    <row r="1323" spans="1:57" s="128" customFormat="1" outlineLevel="1" x14ac:dyDescent="0.25">
      <c r="A1323" s="272"/>
      <c r="B1323" s="463"/>
      <c r="C1323" s="196"/>
      <c r="D1323" s="228"/>
      <c r="E1323" s="228"/>
      <c r="F1323" s="224"/>
      <c r="G1323" s="198"/>
      <c r="H1323" s="157"/>
      <c r="I1323" s="157"/>
      <c r="J1323" s="157"/>
      <c r="K1323" s="157"/>
      <c r="L1323" s="198"/>
      <c r="M1323" s="1631"/>
      <c r="N1323" s="1631"/>
      <c r="O1323" s="463"/>
      <c r="P1323" s="272"/>
      <c r="Q1323" s="272"/>
      <c r="R1323" s="272"/>
      <c r="S1323" s="272"/>
      <c r="T1323" s="272"/>
      <c r="U1323" s="272"/>
      <c r="X1323" s="42"/>
      <c r="Y1323" s="1290"/>
      <c r="Z1323" s="42"/>
      <c r="AA1323" s="42"/>
      <c r="AB1323" s="42"/>
      <c r="AC1323" s="42"/>
      <c r="AD1323" s="42"/>
      <c r="AE1323" s="42"/>
      <c r="AF1323" s="42"/>
      <c r="AG1323" s="42"/>
      <c r="AH1323" s="42"/>
      <c r="AI1323" s="42"/>
      <c r="AJ1323" s="42"/>
      <c r="AK1323" s="42"/>
      <c r="AU1323" s="212"/>
      <c r="BB1323" s="1111"/>
    </row>
    <row r="1324" spans="1:57" s="128" customFormat="1" outlineLevel="1" x14ac:dyDescent="0.25">
      <c r="A1324" s="272"/>
      <c r="B1324" s="463"/>
      <c r="C1324" s="196"/>
      <c r="D1324" s="228"/>
      <c r="E1324" s="228"/>
      <c r="F1324" s="224"/>
      <c r="G1324" s="198"/>
      <c r="H1324" s="463"/>
      <c r="I1324" s="198"/>
      <c r="J1324" s="198"/>
      <c r="K1324" s="198"/>
      <c r="L1324" s="198"/>
      <c r="M1324" s="1631"/>
      <c r="N1324" s="1631"/>
      <c r="O1324" s="463"/>
      <c r="P1324" s="272"/>
      <c r="Q1324" s="272"/>
      <c r="R1324" s="272"/>
      <c r="S1324" s="272"/>
      <c r="T1324" s="272"/>
      <c r="U1324" s="272"/>
      <c r="X1324" s="42"/>
      <c r="Y1324" s="1290"/>
      <c r="Z1324" s="42"/>
      <c r="AA1324" s="42"/>
      <c r="AB1324" s="42"/>
      <c r="AC1324" s="42"/>
      <c r="AD1324" s="42"/>
      <c r="AE1324" s="42"/>
      <c r="AF1324" s="42"/>
      <c r="AG1324" s="42"/>
      <c r="AH1324" s="42"/>
      <c r="AI1324" s="42"/>
      <c r="AJ1324" s="42"/>
      <c r="AK1324" s="42"/>
      <c r="AU1324" s="212"/>
      <c r="BB1324" s="1111"/>
    </row>
    <row r="1325" spans="1:57" s="128" customFormat="1" outlineLevel="1" x14ac:dyDescent="0.25">
      <c r="A1325" s="272"/>
      <c r="B1325" s="463"/>
      <c r="C1325" s="196"/>
      <c r="D1325" s="228"/>
      <c r="E1325" s="228"/>
      <c r="F1325" s="224"/>
      <c r="G1325" s="198"/>
      <c r="H1325" s="198"/>
      <c r="I1325" s="198"/>
      <c r="J1325" s="198"/>
      <c r="K1325" s="198"/>
      <c r="L1325" s="198"/>
      <c r="M1325" s="1631"/>
      <c r="N1325" s="1631"/>
      <c r="O1325" s="463"/>
      <c r="P1325" s="272"/>
      <c r="Q1325" s="272"/>
      <c r="R1325" s="272"/>
      <c r="S1325" s="272"/>
      <c r="T1325" s="272"/>
      <c r="U1325" s="272"/>
      <c r="V1325" s="55" t="s">
        <v>27</v>
      </c>
      <c r="W1325" s="56">
        <v>43252</v>
      </c>
      <c r="X1325" s="56">
        <f>$X$6</f>
        <v>43465</v>
      </c>
      <c r="Y1325" s="420">
        <f>$Y$6</f>
        <v>43800</v>
      </c>
      <c r="Z1325" s="56">
        <f>$Z$6</f>
        <v>43862</v>
      </c>
      <c r="AA1325" s="56">
        <f>$AA$6</f>
        <v>44013</v>
      </c>
      <c r="AB1325" s="56">
        <f>$AB$6</f>
        <v>44166</v>
      </c>
      <c r="AC1325" s="56" t="str">
        <f>$AC$6</f>
        <v>-</v>
      </c>
      <c r="AD1325" s="56" t="str">
        <f>$AD$6</f>
        <v>-</v>
      </c>
      <c r="AE1325" s="56" t="str">
        <f>$AE$6</f>
        <v>-</v>
      </c>
      <c r="AF1325" s="56" t="str">
        <f>$AF$6</f>
        <v>-</v>
      </c>
      <c r="AG1325" s="56" t="str">
        <f>$AG$6</f>
        <v>-</v>
      </c>
      <c r="AI1325" s="56">
        <v>43252</v>
      </c>
      <c r="AJ1325" s="56">
        <f>$Y$6</f>
        <v>43800</v>
      </c>
      <c r="AK1325" s="56">
        <f>$Y$6</f>
        <v>43800</v>
      </c>
      <c r="AL1325" s="56">
        <f>$Z$6</f>
        <v>43862</v>
      </c>
      <c r="AM1325" s="56">
        <f>$AA$6</f>
        <v>44013</v>
      </c>
      <c r="AN1325" s="56">
        <f>$AB$6</f>
        <v>44166</v>
      </c>
      <c r="AO1325" s="56" t="str">
        <f>$AC$6</f>
        <v>-</v>
      </c>
      <c r="AP1325" s="56" t="str">
        <f>$AD$6</f>
        <v>-</v>
      </c>
      <c r="AQ1325" s="56" t="str">
        <f>$AE$6</f>
        <v>-</v>
      </c>
      <c r="AR1325" s="56" t="str">
        <f>$AF$6</f>
        <v>-</v>
      </c>
      <c r="AS1325" s="56" t="str">
        <f>$AG$6</f>
        <v>-</v>
      </c>
      <c r="AU1325" s="212"/>
      <c r="BB1325" s="1111"/>
    </row>
    <row r="1326" spans="1:57" s="128" customFormat="1" outlineLevel="1" x14ac:dyDescent="0.25">
      <c r="A1326" s="272"/>
      <c r="B1326" s="463"/>
      <c r="C1326" s="196"/>
      <c r="D1326" s="1456" t="s">
        <v>573</v>
      </c>
      <c r="E1326" s="1409" t="s">
        <v>2121</v>
      </c>
      <c r="F1326" s="1456" t="s">
        <v>2122</v>
      </c>
      <c r="G1326" s="1409" t="s">
        <v>2123</v>
      </c>
      <c r="H1326" s="1456" t="s">
        <v>2124</v>
      </c>
      <c r="I1326" s="1420" t="s">
        <v>804</v>
      </c>
      <c r="J1326" s="198"/>
      <c r="K1326" s="198"/>
      <c r="L1326" s="198"/>
      <c r="M1326" s="277"/>
      <c r="N1326" s="277"/>
      <c r="O1326" s="463"/>
      <c r="P1326" s="272"/>
      <c r="Q1326" s="272"/>
      <c r="R1326" s="272"/>
      <c r="S1326" s="272"/>
      <c r="T1326" s="272"/>
      <c r="U1326" s="272"/>
      <c r="V1326" s="78"/>
      <c r="W1326" s="79" t="s">
        <v>849</v>
      </c>
      <c r="X1326" s="79" t="s">
        <v>849</v>
      </c>
      <c r="Y1326" s="79" t="s">
        <v>849</v>
      </c>
      <c r="Z1326" s="79" t="s">
        <v>849</v>
      </c>
      <c r="AA1326" s="79" t="s">
        <v>849</v>
      </c>
      <c r="AB1326" s="79" t="s">
        <v>849</v>
      </c>
      <c r="AC1326" s="79" t="s">
        <v>849</v>
      </c>
      <c r="AD1326" s="79" t="s">
        <v>849</v>
      </c>
      <c r="AE1326" s="79" t="s">
        <v>849</v>
      </c>
      <c r="AF1326" s="79" t="s">
        <v>849</v>
      </c>
      <c r="AG1326" s="79" t="s">
        <v>849</v>
      </c>
      <c r="AI1326" s="79" t="s">
        <v>2125</v>
      </c>
      <c r="AJ1326" s="79" t="s">
        <v>2125</v>
      </c>
      <c r="AK1326" s="79" t="s">
        <v>2125</v>
      </c>
      <c r="AL1326" s="79" t="s">
        <v>2125</v>
      </c>
      <c r="AM1326" s="79" t="s">
        <v>2125</v>
      </c>
      <c r="AN1326" s="79" t="s">
        <v>2125</v>
      </c>
      <c r="AO1326" s="79" t="s">
        <v>2125</v>
      </c>
      <c r="AP1326" s="79" t="s">
        <v>2125</v>
      </c>
      <c r="AQ1326" s="79" t="s">
        <v>2125</v>
      </c>
      <c r="AR1326" s="79" t="s">
        <v>2125</v>
      </c>
      <c r="AS1326" s="79" t="s">
        <v>2125</v>
      </c>
      <c r="AU1326" s="212"/>
      <c r="BB1326" s="1111"/>
    </row>
    <row r="1327" spans="1:57" s="128" customFormat="1" ht="30" outlineLevel="1" x14ac:dyDescent="0.25">
      <c r="A1327" s="272"/>
      <c r="B1327" s="463"/>
      <c r="C1327" s="196"/>
      <c r="D1327" s="3987" t="s">
        <v>850</v>
      </c>
      <c r="E1327" s="1411" t="s">
        <v>2126</v>
      </c>
      <c r="F1327" s="376">
        <v>10322.173207292981</v>
      </c>
      <c r="G1327" s="1411" t="s">
        <v>2127</v>
      </c>
      <c r="H1327" s="1291">
        <v>11745</v>
      </c>
      <c r="I1327" s="1292"/>
      <c r="J1327" s="198"/>
      <c r="K1327" s="198"/>
      <c r="L1327" s="198"/>
      <c r="M1327" s="272"/>
      <c r="N1327" s="272"/>
      <c r="O1327" s="463"/>
      <c r="P1327" s="272"/>
      <c r="Q1327" s="272"/>
      <c r="R1327" s="272"/>
      <c r="S1327" s="272"/>
      <c r="T1327" s="272"/>
      <c r="U1327" s="272"/>
      <c r="V1327" s="3988" t="s">
        <v>850</v>
      </c>
      <c r="W1327" s="381">
        <v>9558.22711471611</v>
      </c>
      <c r="X1327" s="465">
        <v>10322.173207292981</v>
      </c>
      <c r="Y1327" s="376">
        <v>10322.173207292981</v>
      </c>
      <c r="Z1327" s="376">
        <v>10322.173207292981</v>
      </c>
      <c r="AA1327" s="376">
        <v>10322.173207292981</v>
      </c>
      <c r="AB1327" s="376">
        <v>10322.173207292981</v>
      </c>
      <c r="AC1327" s="332"/>
      <c r="AD1327" s="332"/>
      <c r="AE1327" s="332"/>
      <c r="AF1327" s="332"/>
      <c r="AG1327" s="332"/>
      <c r="AI1327" s="378" t="s">
        <v>2128</v>
      </c>
      <c r="AJ1327" s="1293">
        <v>11733</v>
      </c>
      <c r="AK1327" s="1293">
        <v>11745</v>
      </c>
      <c r="AL1327" s="1282">
        <v>11745</v>
      </c>
      <c r="AM1327" s="1282">
        <v>11745</v>
      </c>
      <c r="AN1327" s="1282">
        <v>11745</v>
      </c>
      <c r="AO1327" s="1294"/>
      <c r="AP1327" s="1294"/>
      <c r="AQ1327" s="1294"/>
      <c r="AR1327" s="1294"/>
      <c r="AS1327" s="1294"/>
      <c r="AU1327" s="212"/>
      <c r="BB1327" s="1111"/>
    </row>
    <row r="1328" spans="1:57" s="128" customFormat="1" outlineLevel="1" x14ac:dyDescent="0.25">
      <c r="A1328" s="272"/>
      <c r="B1328" s="463"/>
      <c r="C1328" s="196"/>
      <c r="D1328" s="3572"/>
      <c r="E1328" s="1411" t="s">
        <v>2129</v>
      </c>
      <c r="F1328" s="376">
        <v>5000</v>
      </c>
      <c r="G1328" s="1411" t="s">
        <v>2129</v>
      </c>
      <c r="H1328" s="1291">
        <v>5000</v>
      </c>
      <c r="I1328" s="1292"/>
      <c r="J1328" s="198"/>
      <c r="K1328" s="198"/>
      <c r="L1328" s="198"/>
      <c r="M1328" s="272"/>
      <c r="N1328" s="272"/>
      <c r="O1328" s="463"/>
      <c r="P1328" s="272"/>
      <c r="Q1328" s="272"/>
      <c r="R1328" s="272"/>
      <c r="S1328" s="272"/>
      <c r="T1328" s="272"/>
      <c r="U1328" s="272"/>
      <c r="V1328" s="3785"/>
      <c r="W1328" s="381"/>
      <c r="X1328" s="465"/>
      <c r="Y1328" s="466">
        <v>5000</v>
      </c>
      <c r="Z1328" s="376">
        <v>5000</v>
      </c>
      <c r="AA1328" s="376">
        <v>5000</v>
      </c>
      <c r="AB1328" s="376">
        <v>5000</v>
      </c>
      <c r="AC1328" s="332"/>
      <c r="AD1328" s="332"/>
      <c r="AE1328" s="332"/>
      <c r="AF1328" s="332"/>
      <c r="AG1328" s="332"/>
      <c r="AI1328" s="378"/>
      <c r="AJ1328" s="1293"/>
      <c r="AK1328" s="1293">
        <v>5000</v>
      </c>
      <c r="AL1328" s="1282">
        <v>5000</v>
      </c>
      <c r="AM1328" s="1282">
        <v>5000</v>
      </c>
      <c r="AN1328" s="1282">
        <v>5000</v>
      </c>
      <c r="AO1328" s="1294"/>
      <c r="AP1328" s="1294"/>
      <c r="AQ1328" s="1294"/>
      <c r="AR1328" s="1294"/>
      <c r="AS1328" s="1294"/>
      <c r="AU1328" s="212"/>
      <c r="BB1328" s="1111"/>
    </row>
    <row r="1329" spans="1:54" s="128" customFormat="1" outlineLevel="1" x14ac:dyDescent="0.25">
      <c r="A1329" s="272"/>
      <c r="B1329" s="463"/>
      <c r="C1329" s="196"/>
      <c r="D1329" s="3572"/>
      <c r="E1329" s="1411" t="s">
        <v>2130</v>
      </c>
      <c r="F1329" s="376">
        <v>8000</v>
      </c>
      <c r="G1329" s="1411" t="s">
        <v>2130</v>
      </c>
      <c r="H1329" s="1291">
        <v>8000</v>
      </c>
      <c r="I1329" s="1292"/>
      <c r="J1329" s="198"/>
      <c r="K1329" s="198"/>
      <c r="L1329" s="198"/>
      <c r="M1329" s="272"/>
      <c r="N1329" s="272"/>
      <c r="O1329" s="463"/>
      <c r="P1329" s="272"/>
      <c r="Q1329" s="272"/>
      <c r="R1329" s="272"/>
      <c r="S1329" s="272"/>
      <c r="T1329" s="272"/>
      <c r="U1329" s="272"/>
      <c r="V1329" s="3785"/>
      <c r="W1329" s="381"/>
      <c r="X1329" s="465"/>
      <c r="Y1329" s="466">
        <v>8000</v>
      </c>
      <c r="Z1329" s="376">
        <v>8000</v>
      </c>
      <c r="AA1329" s="376">
        <v>8000</v>
      </c>
      <c r="AB1329" s="376">
        <v>8000</v>
      </c>
      <c r="AC1329" s="332"/>
      <c r="AD1329" s="332"/>
      <c r="AE1329" s="332"/>
      <c r="AF1329" s="332"/>
      <c r="AG1329" s="332"/>
      <c r="AI1329" s="378"/>
      <c r="AJ1329" s="1293"/>
      <c r="AK1329" s="1293">
        <v>8000</v>
      </c>
      <c r="AL1329" s="1282">
        <v>8000</v>
      </c>
      <c r="AM1329" s="1282">
        <v>8000</v>
      </c>
      <c r="AN1329" s="1282">
        <v>8000</v>
      </c>
      <c r="AO1329" s="1294"/>
      <c r="AP1329" s="1294"/>
      <c r="AQ1329" s="1294"/>
      <c r="AR1329" s="1294"/>
      <c r="AS1329" s="1294"/>
      <c r="AU1329" s="212"/>
      <c r="BB1329" s="1111"/>
    </row>
    <row r="1330" spans="1:54" s="128" customFormat="1" outlineLevel="1" x14ac:dyDescent="0.25">
      <c r="A1330" s="272"/>
      <c r="B1330" s="463"/>
      <c r="C1330" s="196"/>
      <c r="D1330" s="3572"/>
      <c r="E1330" s="1411" t="s">
        <v>2131</v>
      </c>
      <c r="F1330" s="376">
        <v>10000</v>
      </c>
      <c r="G1330" s="1411" t="s">
        <v>2131</v>
      </c>
      <c r="H1330" s="1291">
        <v>10000</v>
      </c>
      <c r="I1330" s="1292"/>
      <c r="J1330" s="198"/>
      <c r="K1330" s="198"/>
      <c r="L1330" s="198"/>
      <c r="M1330" s="272"/>
      <c r="N1330" s="272"/>
      <c r="O1330" s="463"/>
      <c r="P1330" s="272"/>
      <c r="Q1330" s="272"/>
      <c r="R1330" s="272"/>
      <c r="S1330" s="272"/>
      <c r="T1330" s="272"/>
      <c r="U1330" s="272"/>
      <c r="V1330" s="3785"/>
      <c r="W1330" s="381"/>
      <c r="X1330" s="465"/>
      <c r="Y1330" s="466">
        <v>10000</v>
      </c>
      <c r="Z1330" s="376">
        <v>10000</v>
      </c>
      <c r="AA1330" s="376">
        <v>10000</v>
      </c>
      <c r="AB1330" s="376">
        <v>10000</v>
      </c>
      <c r="AC1330" s="332"/>
      <c r="AD1330" s="332"/>
      <c r="AE1330" s="332"/>
      <c r="AF1330" s="332"/>
      <c r="AG1330" s="332"/>
      <c r="AI1330" s="378"/>
      <c r="AJ1330" s="1293"/>
      <c r="AK1330" s="1293">
        <v>10000</v>
      </c>
      <c r="AL1330" s="1282">
        <v>10000</v>
      </c>
      <c r="AM1330" s="1282">
        <v>10000</v>
      </c>
      <c r="AN1330" s="1282">
        <v>10000</v>
      </c>
      <c r="AO1330" s="1294"/>
      <c r="AP1330" s="1294"/>
      <c r="AQ1330" s="1294"/>
      <c r="AR1330" s="1294"/>
      <c r="AS1330" s="1294"/>
      <c r="AU1330" s="212"/>
      <c r="BB1330" s="1111"/>
    </row>
    <row r="1331" spans="1:54" s="128" customFormat="1" outlineLevel="1" x14ac:dyDescent="0.25">
      <c r="A1331" s="272"/>
      <c r="B1331" s="463"/>
      <c r="C1331" s="196"/>
      <c r="D1331" s="3572"/>
      <c r="E1331" s="1411" t="s">
        <v>2132</v>
      </c>
      <c r="F1331" s="376">
        <v>12000</v>
      </c>
      <c r="G1331" s="1411" t="s">
        <v>2132</v>
      </c>
      <c r="H1331" s="1291">
        <v>12000</v>
      </c>
      <c r="I1331" s="1292"/>
      <c r="J1331" s="198"/>
      <c r="K1331" s="198"/>
      <c r="L1331" s="198"/>
      <c r="M1331" s="272"/>
      <c r="N1331" s="272"/>
      <c r="O1331" s="463"/>
      <c r="P1331" s="272"/>
      <c r="Q1331" s="272"/>
      <c r="R1331" s="272"/>
      <c r="S1331" s="272"/>
      <c r="T1331" s="272"/>
      <c r="U1331" s="272"/>
      <c r="V1331" s="3785"/>
      <c r="W1331" s="381"/>
      <c r="X1331" s="465"/>
      <c r="Y1331" s="466">
        <v>12000</v>
      </c>
      <c r="Z1331" s="376">
        <v>12000</v>
      </c>
      <c r="AA1331" s="376">
        <v>12000</v>
      </c>
      <c r="AB1331" s="376">
        <v>12000</v>
      </c>
      <c r="AC1331" s="332"/>
      <c r="AD1331" s="332"/>
      <c r="AE1331" s="332"/>
      <c r="AF1331" s="332"/>
      <c r="AG1331" s="332"/>
      <c r="AI1331" s="378"/>
      <c r="AJ1331" s="1293"/>
      <c r="AK1331" s="1293">
        <v>12000</v>
      </c>
      <c r="AL1331" s="1282">
        <v>12000</v>
      </c>
      <c r="AM1331" s="1282">
        <v>12000</v>
      </c>
      <c r="AN1331" s="1282">
        <v>12000</v>
      </c>
      <c r="AO1331" s="1294"/>
      <c r="AP1331" s="1294"/>
      <c r="AQ1331" s="1294"/>
      <c r="AR1331" s="1294"/>
      <c r="AS1331" s="1294"/>
      <c r="AU1331" s="212"/>
      <c r="BB1331" s="1111"/>
    </row>
    <row r="1332" spans="1:54" s="128" customFormat="1" outlineLevel="1" x14ac:dyDescent="0.25">
      <c r="A1332" s="272"/>
      <c r="B1332" s="463"/>
      <c r="C1332" s="196"/>
      <c r="D1332" s="3573"/>
      <c r="E1332" s="1411" t="s">
        <v>2133</v>
      </c>
      <c r="F1332" s="376">
        <v>15000</v>
      </c>
      <c r="G1332" s="1411" t="s">
        <v>2133</v>
      </c>
      <c r="H1332" s="1291">
        <v>15000</v>
      </c>
      <c r="I1332" s="1292"/>
      <c r="J1332" s="198"/>
      <c r="K1332" s="198"/>
      <c r="L1332" s="198"/>
      <c r="M1332" s="272"/>
      <c r="N1332" s="272"/>
      <c r="O1332" s="463"/>
      <c r="P1332" s="272"/>
      <c r="Q1332" s="272"/>
      <c r="R1332" s="272"/>
      <c r="S1332" s="272"/>
      <c r="T1332" s="272"/>
      <c r="U1332" s="272"/>
      <c r="V1332" s="3832"/>
      <c r="W1332" s="381"/>
      <c r="X1332" s="465"/>
      <c r="Y1332" s="466">
        <v>15000</v>
      </c>
      <c r="Z1332" s="376">
        <v>15000</v>
      </c>
      <c r="AA1332" s="376">
        <v>15000</v>
      </c>
      <c r="AB1332" s="376">
        <v>15000</v>
      </c>
      <c r="AC1332" s="332"/>
      <c r="AD1332" s="332"/>
      <c r="AE1332" s="332"/>
      <c r="AF1332" s="332"/>
      <c r="AG1332" s="332"/>
      <c r="AI1332" s="378"/>
      <c r="AJ1332" s="1293"/>
      <c r="AK1332" s="1293">
        <v>15000</v>
      </c>
      <c r="AL1332" s="1282">
        <v>15000</v>
      </c>
      <c r="AM1332" s="1282">
        <v>15000</v>
      </c>
      <c r="AN1332" s="1282">
        <v>15000</v>
      </c>
      <c r="AO1332" s="1294"/>
      <c r="AP1332" s="1294"/>
      <c r="AQ1332" s="1294"/>
      <c r="AR1332" s="1294"/>
      <c r="AS1332" s="1294"/>
      <c r="AU1332" s="212"/>
      <c r="BB1332" s="1111"/>
    </row>
    <row r="1333" spans="1:54" s="128" customFormat="1" ht="18" outlineLevel="1" x14ac:dyDescent="0.25">
      <c r="A1333" s="272"/>
      <c r="B1333" s="463"/>
      <c r="C1333" s="196"/>
      <c r="D1333" s="1411" t="s">
        <v>852</v>
      </c>
      <c r="E1333" s="1411" t="s">
        <v>2134</v>
      </c>
      <c r="F1333" s="376">
        <v>10.833666904931999</v>
      </c>
      <c r="G1333" s="1411"/>
      <c r="H1333" s="1291"/>
      <c r="I1333" s="402"/>
      <c r="J1333" s="198"/>
      <c r="K1333" s="198"/>
      <c r="L1333" s="198"/>
      <c r="M1333" s="272"/>
      <c r="N1333" s="272"/>
      <c r="O1333" s="463"/>
      <c r="P1333" s="272"/>
      <c r="Q1333" s="272"/>
      <c r="R1333" s="272"/>
      <c r="S1333" s="272"/>
      <c r="T1333" s="272"/>
      <c r="U1333" s="272"/>
      <c r="V1333" s="381" t="s">
        <v>854</v>
      </c>
      <c r="W1333" s="381">
        <v>10.9</v>
      </c>
      <c r="X1333" s="465">
        <v>10.833666904931999</v>
      </c>
      <c r="Y1333" s="376">
        <v>10.833666904931999</v>
      </c>
      <c r="Z1333" s="376">
        <v>10.833666904931999</v>
      </c>
      <c r="AA1333" s="376">
        <v>10.833666904931999</v>
      </c>
      <c r="AB1333" s="376">
        <v>10.833666904931999</v>
      </c>
      <c r="AC1333" s="332"/>
      <c r="AD1333" s="332"/>
      <c r="AE1333" s="332"/>
      <c r="AF1333" s="332"/>
      <c r="AG1333" s="332"/>
      <c r="AI1333" s="378" t="s">
        <v>2128</v>
      </c>
      <c r="AJ1333" s="466" t="s">
        <v>859</v>
      </c>
      <c r="AK1333" s="1294"/>
      <c r="AL1333" s="1291"/>
      <c r="AM1333" s="1291"/>
      <c r="AN1333" s="1291"/>
      <c r="AO1333" s="1294"/>
      <c r="AP1333" s="1294"/>
      <c r="AQ1333" s="1294"/>
      <c r="AR1333" s="1294"/>
      <c r="AS1333" s="1294"/>
      <c r="AU1333" s="212"/>
      <c r="BB1333" s="1111"/>
    </row>
    <row r="1334" spans="1:54" s="128" customFormat="1" ht="46.5" customHeight="1" outlineLevel="1" x14ac:dyDescent="0.25">
      <c r="A1334" s="272"/>
      <c r="B1334" s="463"/>
      <c r="C1334" s="196"/>
      <c r="D1334" s="1411" t="s">
        <v>855</v>
      </c>
      <c r="E1334" s="1411" t="s">
        <v>2135</v>
      </c>
      <c r="F1334" s="467">
        <v>11.955972333179155</v>
      </c>
      <c r="G1334" s="1411" t="s">
        <v>2127</v>
      </c>
      <c r="H1334" s="1291">
        <v>11.561669242658486</v>
      </c>
      <c r="I1334" s="402"/>
      <c r="J1334" s="198"/>
      <c r="K1334" s="198"/>
      <c r="L1334" s="198"/>
      <c r="M1334" s="272"/>
      <c r="N1334" s="272"/>
      <c r="O1334" s="463"/>
      <c r="P1334" s="272"/>
      <c r="Q1334" s="272"/>
      <c r="R1334" s="272"/>
      <c r="S1334" s="272"/>
      <c r="T1334" s="272"/>
      <c r="U1334" s="272"/>
      <c r="V1334" s="381" t="s">
        <v>857</v>
      </c>
      <c r="W1334" s="381">
        <v>11.9</v>
      </c>
      <c r="X1334" s="465">
        <v>11.955972333179155</v>
      </c>
      <c r="Y1334" s="376">
        <v>11.955972333179155</v>
      </c>
      <c r="Z1334" s="376">
        <v>11.955972333179155</v>
      </c>
      <c r="AA1334" s="376">
        <v>11.955972333179155</v>
      </c>
      <c r="AB1334" s="376">
        <v>11.955972333179155</v>
      </c>
      <c r="AC1334" s="332"/>
      <c r="AD1334" s="332"/>
      <c r="AE1334" s="332"/>
      <c r="AF1334" s="332"/>
      <c r="AG1334" s="332"/>
      <c r="AI1334" s="378" t="s">
        <v>2128</v>
      </c>
      <c r="AJ1334" s="466">
        <v>11.6</v>
      </c>
      <c r="AK1334" s="376">
        <v>11.561669242658486</v>
      </c>
      <c r="AL1334" s="376">
        <v>11.561669242658486</v>
      </c>
      <c r="AM1334" s="376">
        <v>11.561669242658486</v>
      </c>
      <c r="AN1334" s="376">
        <v>11.561669242658486</v>
      </c>
      <c r="AO1334" s="376"/>
      <c r="AP1334" s="376"/>
      <c r="AQ1334" s="376"/>
      <c r="AR1334" s="376"/>
      <c r="AS1334" s="376"/>
      <c r="AU1334" s="212"/>
      <c r="BB1334" s="1111"/>
    </row>
    <row r="1335" spans="1:54" s="128" customFormat="1" ht="46.5" customHeight="1" outlineLevel="1" x14ac:dyDescent="0.25">
      <c r="A1335" s="272"/>
      <c r="B1335" s="463"/>
      <c r="C1335" s="196"/>
      <c r="D1335" s="1411" t="s">
        <v>858</v>
      </c>
      <c r="E1335" s="1411"/>
      <c r="F1335" s="467"/>
      <c r="G1335" s="1411" t="s">
        <v>2136</v>
      </c>
      <c r="H1335" s="1291">
        <v>9.4499999999999993</v>
      </c>
      <c r="I1335" s="402"/>
      <c r="J1335" s="198"/>
      <c r="K1335" s="198"/>
      <c r="L1335" s="198"/>
      <c r="M1335" s="272"/>
      <c r="N1335" s="272"/>
      <c r="O1335" s="463"/>
      <c r="P1335" s="272"/>
      <c r="Q1335" s="272"/>
      <c r="R1335" s="272"/>
      <c r="S1335" s="272"/>
      <c r="T1335" s="272"/>
      <c r="U1335" s="272"/>
      <c r="V1335" s="381" t="s">
        <v>860</v>
      </c>
      <c r="W1335" s="381"/>
      <c r="X1335" s="1295"/>
      <c r="Y1335" s="376"/>
      <c r="Z1335" s="376"/>
      <c r="AA1335" s="376"/>
      <c r="AB1335" s="376"/>
      <c r="AC1335" s="332"/>
      <c r="AD1335" s="332"/>
      <c r="AE1335" s="332"/>
      <c r="AF1335" s="332"/>
      <c r="AG1335" s="332"/>
      <c r="AI1335" s="378" t="s">
        <v>2128</v>
      </c>
      <c r="AJ1335" s="466">
        <v>6.7</v>
      </c>
      <c r="AK1335" s="466">
        <v>9.4499999999999993</v>
      </c>
      <c r="AL1335" s="376">
        <v>9.4499999999999993</v>
      </c>
      <c r="AM1335" s="376">
        <v>9.4499999999999993</v>
      </c>
      <c r="AN1335" s="376">
        <v>9.4499999999999993</v>
      </c>
      <c r="AO1335" s="1296"/>
      <c r="AP1335" s="1296"/>
      <c r="AQ1335" s="1296"/>
      <c r="AR1335" s="1296"/>
      <c r="AS1335" s="1296"/>
      <c r="AU1335" s="212"/>
      <c r="BB1335" s="1111"/>
    </row>
    <row r="1336" spans="1:54" s="128" customFormat="1" ht="45" customHeight="1" outlineLevel="1" x14ac:dyDescent="0.25">
      <c r="A1336" s="272"/>
      <c r="B1336" s="1654"/>
      <c r="C1336" s="469"/>
      <c r="D1336" s="1411" t="s">
        <v>861</v>
      </c>
      <c r="E1336" s="1411" t="s">
        <v>862</v>
      </c>
      <c r="F1336" s="1297">
        <v>556</v>
      </c>
      <c r="G1336" s="1411" t="s">
        <v>862</v>
      </c>
      <c r="H1336" s="376">
        <v>556</v>
      </c>
      <c r="I1336" s="402"/>
      <c r="J1336" s="198"/>
      <c r="K1336" s="198"/>
      <c r="L1336" s="198"/>
      <c r="M1336" s="272"/>
      <c r="N1336" s="272"/>
      <c r="O1336" s="1654"/>
      <c r="P1336" s="272"/>
      <c r="Q1336" s="272"/>
      <c r="R1336" s="272"/>
      <c r="S1336" s="272"/>
      <c r="T1336" s="272"/>
      <c r="U1336" s="272"/>
      <c r="V1336" s="381" t="s">
        <v>863</v>
      </c>
      <c r="W1336" s="1298">
        <v>556</v>
      </c>
      <c r="X1336" s="1298">
        <v>556</v>
      </c>
      <c r="Y1336" s="1297">
        <v>556</v>
      </c>
      <c r="Z1336" s="1297">
        <v>556</v>
      </c>
      <c r="AA1336" s="1297">
        <v>556</v>
      </c>
      <c r="AB1336" s="1297">
        <v>556</v>
      </c>
      <c r="AC1336" s="332"/>
      <c r="AD1336" s="332"/>
      <c r="AE1336" s="332"/>
      <c r="AF1336" s="332"/>
      <c r="AG1336" s="332"/>
      <c r="AI1336" s="378" t="s">
        <v>2128</v>
      </c>
      <c r="AJ1336" s="1297">
        <v>556</v>
      </c>
      <c r="AK1336" s="1297">
        <v>556</v>
      </c>
      <c r="AL1336" s="1297">
        <v>556</v>
      </c>
      <c r="AM1336" s="1297">
        <v>556</v>
      </c>
      <c r="AN1336" s="1297">
        <v>556</v>
      </c>
      <c r="AO1336" s="1297"/>
      <c r="AP1336" s="1297"/>
      <c r="AQ1336" s="1297"/>
      <c r="AR1336" s="1297"/>
      <c r="AS1336" s="1297"/>
      <c r="AU1336" s="212"/>
      <c r="BB1336" s="1111"/>
    </row>
    <row r="1337" spans="1:54" s="128" customFormat="1" ht="30" customHeight="1" outlineLevel="1" x14ac:dyDescent="0.25">
      <c r="A1337" s="272"/>
      <c r="B1337" s="1654"/>
      <c r="C1337" s="469"/>
      <c r="D1337" s="1411" t="s">
        <v>864</v>
      </c>
      <c r="E1337" s="1411" t="s">
        <v>865</v>
      </c>
      <c r="F1337" s="1297">
        <v>860</v>
      </c>
      <c r="G1337" s="1408" t="s">
        <v>889</v>
      </c>
      <c r="H1337" s="1291">
        <v>860</v>
      </c>
      <c r="I1337" s="1408" t="s">
        <v>2137</v>
      </c>
      <c r="J1337" s="198"/>
      <c r="K1337" s="198"/>
      <c r="L1337" s="198"/>
      <c r="M1337" s="272"/>
      <c r="N1337" s="272"/>
      <c r="O1337" s="1654"/>
      <c r="P1337" s="272"/>
      <c r="Q1337" s="272"/>
      <c r="R1337" s="272"/>
      <c r="S1337" s="272"/>
      <c r="T1337" s="272"/>
      <c r="U1337" s="272"/>
      <c r="V1337" s="381" t="s">
        <v>866</v>
      </c>
      <c r="W1337" s="1298">
        <v>860</v>
      </c>
      <c r="X1337" s="1298">
        <v>860</v>
      </c>
      <c r="Y1337" s="1297">
        <v>860</v>
      </c>
      <c r="Z1337" s="1297">
        <v>860</v>
      </c>
      <c r="AA1337" s="1297">
        <v>860</v>
      </c>
      <c r="AB1337" s="1297">
        <v>860</v>
      </c>
      <c r="AC1337" s="332"/>
      <c r="AD1337" s="332"/>
      <c r="AE1337" s="332"/>
      <c r="AF1337" s="332"/>
      <c r="AG1337" s="332"/>
      <c r="AI1337" s="378" t="s">
        <v>2128</v>
      </c>
      <c r="AJ1337" s="1299">
        <v>1215</v>
      </c>
      <c r="AK1337" s="1299">
        <v>860</v>
      </c>
      <c r="AL1337" s="1297">
        <v>860</v>
      </c>
      <c r="AM1337" s="1297">
        <v>860</v>
      </c>
      <c r="AN1337" s="1297">
        <v>860</v>
      </c>
      <c r="AO1337" s="1299"/>
      <c r="AP1337" s="1299"/>
      <c r="AQ1337" s="1299"/>
      <c r="AR1337" s="1299"/>
      <c r="AS1337" s="1299"/>
      <c r="AU1337" s="212"/>
      <c r="BB1337" s="1111"/>
    </row>
    <row r="1338" spans="1:54" s="128" customFormat="1" ht="30" customHeight="1" outlineLevel="1" x14ac:dyDescent="0.25">
      <c r="A1338" s="272"/>
      <c r="B1338" s="1654"/>
      <c r="C1338" s="469"/>
      <c r="D1338" s="1411" t="s">
        <v>867</v>
      </c>
      <c r="E1338" s="1411" t="s">
        <v>868</v>
      </c>
      <c r="F1338" s="376">
        <v>1000</v>
      </c>
      <c r="G1338" s="1411" t="s">
        <v>868</v>
      </c>
      <c r="H1338" s="1291">
        <v>1000</v>
      </c>
      <c r="I1338" s="402"/>
      <c r="J1338" s="198"/>
      <c r="K1338" s="198"/>
      <c r="L1338" s="198"/>
      <c r="M1338" s="272"/>
      <c r="N1338" s="272"/>
      <c r="O1338" s="1654"/>
      <c r="P1338" s="272"/>
      <c r="Q1338" s="272"/>
      <c r="R1338" s="272"/>
      <c r="S1338" s="272"/>
      <c r="T1338" s="272"/>
      <c r="U1338" s="272"/>
      <c r="V1338" s="381" t="s">
        <v>867</v>
      </c>
      <c r="W1338" s="381">
        <v>1000</v>
      </c>
      <c r="X1338" s="381">
        <v>1000</v>
      </c>
      <c r="Y1338" s="376">
        <v>1000</v>
      </c>
      <c r="Z1338" s="376">
        <v>1000</v>
      </c>
      <c r="AA1338" s="376">
        <v>1000</v>
      </c>
      <c r="AB1338" s="376">
        <v>1000</v>
      </c>
      <c r="AC1338" s="332"/>
      <c r="AD1338" s="332"/>
      <c r="AE1338" s="332"/>
      <c r="AF1338" s="332"/>
      <c r="AG1338" s="332"/>
      <c r="AI1338" s="378" t="s">
        <v>2128</v>
      </c>
      <c r="AJ1338" s="466">
        <v>1000</v>
      </c>
      <c r="AK1338" s="1294">
        <v>1000</v>
      </c>
      <c r="AL1338" s="1291">
        <v>1000</v>
      </c>
      <c r="AM1338" s="1291">
        <v>1000</v>
      </c>
      <c r="AN1338" s="1291">
        <v>1000</v>
      </c>
      <c r="AO1338" s="1294"/>
      <c r="AP1338" s="1294"/>
      <c r="AQ1338" s="1294"/>
      <c r="AR1338" s="1294"/>
      <c r="AS1338" s="1294"/>
      <c r="AU1338" s="212"/>
      <c r="BB1338" s="1111"/>
    </row>
    <row r="1339" spans="1:54" s="128" customFormat="1" ht="30" customHeight="1" outlineLevel="1" thickBot="1" x14ac:dyDescent="0.3">
      <c r="A1339" s="272"/>
      <c r="B1339" s="1654"/>
      <c r="C1339" s="469"/>
      <c r="D1339" s="1411" t="s">
        <v>684</v>
      </c>
      <c r="E1339" s="1411" t="s">
        <v>780</v>
      </c>
      <c r="F1339" s="380">
        <v>0.97560975609756095</v>
      </c>
      <c r="G1339" s="1411" t="s">
        <v>2138</v>
      </c>
      <c r="H1339" s="380">
        <v>1</v>
      </c>
      <c r="I1339" s="402"/>
      <c r="J1339" s="198"/>
      <c r="K1339" s="198"/>
      <c r="L1339" s="198"/>
      <c r="M1339" s="272"/>
      <c r="N1339" s="272"/>
      <c r="O1339" s="1654"/>
      <c r="P1339" s="272"/>
      <c r="Q1339" s="272"/>
      <c r="R1339" s="272"/>
      <c r="S1339" s="272"/>
      <c r="T1339" s="272"/>
      <c r="U1339" s="272"/>
      <c r="V1339" s="471" t="s">
        <v>684</v>
      </c>
      <c r="W1339" s="1300">
        <v>0.97560975609756095</v>
      </c>
      <c r="X1339" s="1300">
        <v>0.97560975609756095</v>
      </c>
      <c r="Y1339" s="1301">
        <v>0.97560975609756095</v>
      </c>
      <c r="Z1339" s="1301">
        <v>0.97560975609756095</v>
      </c>
      <c r="AA1339" s="1301">
        <v>0.97560975609756095</v>
      </c>
      <c r="AB1339" s="1301">
        <v>0.97560975609756095</v>
      </c>
      <c r="AC1339" s="474"/>
      <c r="AD1339" s="474"/>
      <c r="AE1339" s="474"/>
      <c r="AF1339" s="474"/>
      <c r="AG1339" s="474"/>
      <c r="AI1339" s="378" t="s">
        <v>2128</v>
      </c>
      <c r="AJ1339" s="831">
        <v>1</v>
      </c>
      <c r="AK1339" s="380">
        <v>1</v>
      </c>
      <c r="AL1339" s="380">
        <v>1</v>
      </c>
      <c r="AM1339" s="380">
        <v>1</v>
      </c>
      <c r="AN1339" s="380">
        <v>1</v>
      </c>
      <c r="AO1339" s="1294"/>
      <c r="AP1339" s="1294"/>
      <c r="AQ1339" s="1294"/>
      <c r="AR1339" s="1294"/>
      <c r="AS1339" s="1294"/>
      <c r="AU1339" s="212"/>
      <c r="BB1339" s="1111"/>
    </row>
    <row r="1340" spans="1:54" s="128" customFormat="1" ht="15" customHeight="1" outlineLevel="1" x14ac:dyDescent="0.25">
      <c r="A1340" s="406"/>
      <c r="B1340" s="406"/>
      <c r="C1340" s="196"/>
      <c r="D1340" s="358" t="str">
        <f>D1286</f>
        <v>EUL</v>
      </c>
      <c r="E1340" s="358"/>
      <c r="F1340" s="4008">
        <v>9</v>
      </c>
      <c r="G1340" s="4009"/>
      <c r="H1340" s="4010"/>
      <c r="I1340" s="1302" t="s">
        <v>37</v>
      </c>
      <c r="J1340" s="406"/>
      <c r="K1340" s="406"/>
      <c r="L1340" s="406"/>
      <c r="M1340" s="272"/>
      <c r="N1340" s="272"/>
      <c r="O1340" s="272"/>
      <c r="P1340" s="272"/>
      <c r="Q1340" s="272"/>
      <c r="R1340" s="272"/>
      <c r="S1340" s="272"/>
      <c r="T1340" s="272"/>
      <c r="U1340" s="272"/>
      <c r="V1340" s="475" t="str">
        <f>D1340</f>
        <v>EUL</v>
      </c>
      <c r="W1340" s="476">
        <v>9</v>
      </c>
      <c r="X1340" s="476">
        <v>9</v>
      </c>
      <c r="Y1340" s="1303">
        <v>9</v>
      </c>
      <c r="Z1340" s="1303">
        <v>9</v>
      </c>
      <c r="AA1340" s="1303">
        <v>9</v>
      </c>
      <c r="AB1340" s="1303">
        <v>9</v>
      </c>
      <c r="AC1340" s="476"/>
      <c r="AD1340" s="476"/>
      <c r="AE1340" s="476"/>
      <c r="AF1340" s="476"/>
      <c r="AG1340" s="476"/>
      <c r="AI1340" s="476">
        <v>9</v>
      </c>
      <c r="AJ1340" s="476">
        <v>9</v>
      </c>
      <c r="AK1340" s="1303">
        <v>9</v>
      </c>
      <c r="AL1340" s="1303">
        <v>9</v>
      </c>
      <c r="AM1340" s="1303">
        <v>9</v>
      </c>
      <c r="AN1340" s="1303">
        <v>9</v>
      </c>
      <c r="AO1340" s="476"/>
      <c r="AP1340" s="476"/>
      <c r="AQ1340" s="476"/>
      <c r="AR1340" s="476"/>
      <c r="AS1340" s="476"/>
      <c r="AU1340" s="212"/>
      <c r="BB1340" s="1111"/>
    </row>
    <row r="1341" spans="1:54" s="128" customFormat="1" ht="15" customHeight="1" outlineLevel="1" x14ac:dyDescent="0.25">
      <c r="A1341" s="406"/>
      <c r="B1341" s="406"/>
      <c r="C1341" s="196"/>
      <c r="D1341" s="358" t="str">
        <f>D1288</f>
        <v>Inc. Cost</v>
      </c>
      <c r="E1341" s="358"/>
      <c r="F1341" s="4011">
        <v>20</v>
      </c>
      <c r="G1341" s="4012"/>
      <c r="H1341" s="4013"/>
      <c r="I1341" s="1302" t="s">
        <v>37</v>
      </c>
      <c r="J1341" s="406"/>
      <c r="K1341" s="406"/>
      <c r="L1341" s="406"/>
      <c r="M1341" s="272"/>
      <c r="N1341" s="272"/>
      <c r="O1341" s="272"/>
      <c r="P1341" s="272"/>
      <c r="Q1341" s="272"/>
      <c r="R1341" s="272"/>
      <c r="S1341" s="272"/>
      <c r="T1341" s="272"/>
      <c r="U1341" s="272"/>
      <c r="V1341" s="381" t="str">
        <f>D1341</f>
        <v>Inc. Cost</v>
      </c>
      <c r="W1341" s="410">
        <v>20</v>
      </c>
      <c r="X1341" s="410">
        <v>20</v>
      </c>
      <c r="Y1341" s="1286">
        <v>20</v>
      </c>
      <c r="Z1341" s="1286">
        <v>20</v>
      </c>
      <c r="AA1341" s="1286">
        <v>20</v>
      </c>
      <c r="AB1341" s="1286">
        <v>20</v>
      </c>
      <c r="AC1341" s="410"/>
      <c r="AD1341" s="410"/>
      <c r="AE1341" s="410"/>
      <c r="AF1341" s="410"/>
      <c r="AG1341" s="410"/>
      <c r="AI1341" s="410">
        <v>20</v>
      </c>
      <c r="AJ1341" s="410">
        <v>20</v>
      </c>
      <c r="AK1341" s="1286">
        <v>20</v>
      </c>
      <c r="AL1341" s="1286">
        <v>20</v>
      </c>
      <c r="AM1341" s="1286">
        <v>20</v>
      </c>
      <c r="AN1341" s="1286">
        <v>20</v>
      </c>
      <c r="AO1341" s="410"/>
      <c r="AP1341" s="410"/>
      <c r="AQ1341" s="410"/>
      <c r="AR1341" s="410"/>
      <c r="AS1341" s="410"/>
      <c r="AU1341" s="212"/>
      <c r="BB1341" s="1111"/>
    </row>
    <row r="1342" spans="1:54" s="128" customFormat="1" x14ac:dyDescent="0.25">
      <c r="A1342" s="272"/>
      <c r="B1342" s="198"/>
      <c r="C1342" s="196"/>
      <c r="D1342" s="477"/>
      <c r="E1342" s="477"/>
      <c r="F1342" s="478"/>
      <c r="G1342" s="479"/>
      <c r="H1342" s="198"/>
      <c r="I1342" s="198"/>
      <c r="J1342" s="198"/>
      <c r="K1342" s="198"/>
      <c r="L1342" s="198"/>
      <c r="M1342" s="272"/>
      <c r="N1342" s="198"/>
      <c r="O1342" s="198"/>
      <c r="P1342" s="272"/>
      <c r="Q1342" s="272"/>
      <c r="R1342" s="272"/>
      <c r="S1342" s="272"/>
      <c r="T1342" s="272"/>
      <c r="U1342" s="272"/>
      <c r="Y1342" s="247"/>
      <c r="AU1342" s="212"/>
      <c r="BB1342" s="1111"/>
    </row>
    <row r="1343" spans="1:54" s="128" customFormat="1" x14ac:dyDescent="0.25">
      <c r="A1343" s="272"/>
      <c r="B1343" s="198"/>
      <c r="C1343" s="196"/>
      <c r="D1343" s="197"/>
      <c r="E1343" s="197"/>
      <c r="F1343" s="198"/>
      <c r="G1343" s="198"/>
      <c r="H1343" s="198"/>
      <c r="I1343" s="198"/>
      <c r="J1343" s="198"/>
      <c r="K1343" s="198"/>
      <c r="L1343" s="198"/>
      <c r="M1343" s="198"/>
      <c r="N1343" s="198"/>
      <c r="O1343" s="198"/>
      <c r="P1343" s="272"/>
      <c r="Q1343" s="272"/>
      <c r="R1343" s="272"/>
      <c r="S1343" s="272"/>
      <c r="T1343" s="272"/>
      <c r="U1343" s="272"/>
      <c r="Y1343" s="247"/>
      <c r="AU1343" s="212"/>
      <c r="BB1343" s="1111"/>
    </row>
    <row r="1344" spans="1:54" s="128" customFormat="1" x14ac:dyDescent="0.25">
      <c r="A1344" s="272"/>
      <c r="B1344" s="272"/>
      <c r="C1344" s="229"/>
      <c r="D1344" s="271"/>
      <c r="E1344" s="271"/>
      <c r="F1344" s="272"/>
      <c r="G1344" s="272"/>
      <c r="H1344" s="272"/>
      <c r="I1344" s="272"/>
      <c r="J1344" s="272"/>
      <c r="K1344" s="272"/>
      <c r="L1344" s="272"/>
      <c r="M1344" s="198"/>
      <c r="N1344" s="198"/>
      <c r="O1344" s="198"/>
      <c r="P1344" s="272"/>
      <c r="Q1344" s="272"/>
      <c r="R1344" s="272"/>
      <c r="S1344" s="272"/>
      <c r="T1344" s="272"/>
      <c r="U1344" s="272"/>
      <c r="Y1344" s="247"/>
      <c r="AU1344" s="212"/>
      <c r="BB1344" s="1111"/>
    </row>
    <row r="1345" spans="1:57" s="199" customFormat="1" x14ac:dyDescent="0.25">
      <c r="A1345" s="2325" t="str">
        <f t="shared" ref="A1345:A1346" si="178">C1345&amp;G1345</f>
        <v/>
      </c>
      <c r="B1345" s="3350" t="s">
        <v>3711</v>
      </c>
      <c r="C1345" s="3351"/>
      <c r="D1345" s="3351"/>
      <c r="E1345" s="3351"/>
      <c r="F1345" s="3351"/>
      <c r="G1345" s="3351"/>
      <c r="H1345" s="3351"/>
      <c r="I1345" s="3351"/>
      <c r="J1345" s="3351"/>
      <c r="K1345" s="3351"/>
      <c r="L1345" s="3351"/>
      <c r="M1345" s="3351"/>
      <c r="N1345" s="3351"/>
      <c r="O1345" s="3593"/>
      <c r="V1345" s="3350" t="str">
        <f>B1345</f>
        <v>Storm Window</v>
      </c>
      <c r="W1345" s="3351"/>
      <c r="X1345" s="3351"/>
      <c r="Y1345" s="3351"/>
      <c r="Z1345" s="3351"/>
      <c r="AA1345" s="3351"/>
      <c r="AB1345" s="3351"/>
      <c r="AC1345" s="3581"/>
      <c r="AD1345" s="3581"/>
      <c r="AE1345" s="3581"/>
      <c r="AF1345" s="3581"/>
      <c r="AG1345" s="3581"/>
      <c r="AH1345" s="3581"/>
      <c r="AI1345" s="3582"/>
      <c r="AU1345" s="2840"/>
      <c r="BB1345" s="2841"/>
    </row>
    <row r="1346" spans="1:57" s="2794" customFormat="1" x14ac:dyDescent="0.25">
      <c r="A1346" s="2325" t="str">
        <f t="shared" si="178"/>
        <v/>
      </c>
      <c r="B1346" s="157"/>
      <c r="C1346" s="385"/>
      <c r="D1346" s="386"/>
      <c r="E1346" s="386"/>
      <c r="F1346" s="157"/>
      <c r="G1346" s="157"/>
      <c r="H1346" s="157"/>
      <c r="I1346" s="157"/>
      <c r="J1346" s="157"/>
      <c r="K1346" s="157"/>
      <c r="L1346" s="157"/>
      <c r="M1346" s="157"/>
      <c r="N1346" s="157"/>
      <c r="O1346" s="157"/>
      <c r="V1346" s="298"/>
      <c r="W1346" s="298"/>
      <c r="X1346" s="298"/>
      <c r="Y1346" s="1007"/>
      <c r="Z1346" s="298"/>
      <c r="AA1346" s="298"/>
      <c r="AB1346" s="298"/>
      <c r="AC1346" s="298"/>
      <c r="AD1346" s="298"/>
      <c r="AE1346" s="298"/>
      <c r="AF1346" s="298"/>
      <c r="AG1346" s="298"/>
      <c r="AH1346" s="298"/>
      <c r="AI1346" s="298"/>
      <c r="BB1346" s="2843"/>
    </row>
    <row r="1347" spans="1:57" s="2794" customFormat="1" ht="30" x14ac:dyDescent="0.25">
      <c r="A1347" s="2325"/>
      <c r="B1347" s="463"/>
      <c r="C1347" s="3042" t="s">
        <v>17</v>
      </c>
      <c r="D1347" s="3042" t="s">
        <v>616</v>
      </c>
      <c r="E1347" s="3042" t="s">
        <v>19</v>
      </c>
      <c r="F1347" s="3042" t="s">
        <v>20</v>
      </c>
      <c r="G1347" s="3042" t="s">
        <v>21</v>
      </c>
      <c r="H1347" s="3042" t="s">
        <v>22</v>
      </c>
      <c r="I1347" s="3042" t="s">
        <v>23</v>
      </c>
      <c r="J1347" s="3042" t="s">
        <v>24</v>
      </c>
      <c r="K1347" s="3042" t="s">
        <v>25</v>
      </c>
      <c r="L1347" s="3042" t="s">
        <v>26</v>
      </c>
      <c r="M1347" s="157"/>
      <c r="N1347" s="157"/>
      <c r="O1347" s="463"/>
      <c r="V1347" s="623" t="s">
        <v>27</v>
      </c>
      <c r="W1347" s="624">
        <v>43252</v>
      </c>
      <c r="X1347" s="624">
        <f>$X$6</f>
        <v>43465</v>
      </c>
      <c r="Y1347" s="2898">
        <f>$Y$6</f>
        <v>43800</v>
      </c>
      <c r="Z1347" s="624">
        <f>$Z$6</f>
        <v>43862</v>
      </c>
      <c r="AA1347" s="624">
        <f>$AA$6</f>
        <v>44013</v>
      </c>
      <c r="AB1347" s="624">
        <f>$AB$6</f>
        <v>44166</v>
      </c>
      <c r="AC1347" s="624" t="str">
        <f>$AC$6</f>
        <v>-</v>
      </c>
      <c r="AD1347" s="624" t="str">
        <f>$AD$6</f>
        <v>-</v>
      </c>
      <c r="AE1347" s="624" t="str">
        <f>$AE$6</f>
        <v>-</v>
      </c>
      <c r="AF1347" s="624" t="str">
        <f>$AF$6</f>
        <v>-</v>
      </c>
      <c r="AG1347" s="624" t="str">
        <f>$AG$6</f>
        <v>-</v>
      </c>
      <c r="AH1347" s="298"/>
      <c r="AI1347" s="298"/>
      <c r="BB1347" s="2285" t="str">
        <f>$BB$6</f>
        <v>TRC (2020)</v>
      </c>
      <c r="BC1347" s="2300" t="str">
        <f>$BC$6</f>
        <v>Benefit Lookup</v>
      </c>
      <c r="BD1347" s="741" t="str">
        <f>$BD$6</f>
        <v>Benefits (2019 $)</v>
      </c>
      <c r="BE1347" s="279" t="str">
        <f>$BE$6</f>
        <v>Incremental Cost (2019 $)</v>
      </c>
    </row>
    <row r="1348" spans="1:57" s="2794" customFormat="1" x14ac:dyDescent="0.25">
      <c r="A1348" s="2325"/>
      <c r="B1348" s="198"/>
      <c r="C1348" s="1670" t="s">
        <v>3712</v>
      </c>
      <c r="D1348" s="3292" t="s">
        <v>1968</v>
      </c>
      <c r="E1348" s="3292" t="s">
        <v>3713</v>
      </c>
      <c r="F1348" s="408">
        <f>G1368*G$1367/G$1372+G1373*G$1367/(G$1377*G$1380)</f>
        <v>17.535985292550357</v>
      </c>
      <c r="G1348" s="3080" t="s">
        <v>1558</v>
      </c>
      <c r="H1348" s="515">
        <f>VLOOKUP(G1348,'CP FACTORS'!$A$3:$B$38, 2, FALSE)</f>
        <v>4.6608050000000002E-4</v>
      </c>
      <c r="I1348" s="3293">
        <f t="shared" ref="I1348:I1359" si="179">ROUND(F1348*H1348,6)</f>
        <v>8.1729999999999997E-3</v>
      </c>
      <c r="J1348" s="3294">
        <f>G$1381</f>
        <v>20</v>
      </c>
      <c r="K1348" s="430">
        <f>G$1382</f>
        <v>9.2850000000000001</v>
      </c>
      <c r="L1348" s="1291" t="s">
        <v>3714</v>
      </c>
      <c r="M1348" s="198"/>
      <c r="N1348" s="3295"/>
      <c r="O1348" s="1249"/>
      <c r="V1348" s="402" t="s">
        <v>20</v>
      </c>
      <c r="W1348" s="459"/>
      <c r="X1348" s="2793"/>
      <c r="Y1348" s="2793"/>
      <c r="Z1348" s="2793"/>
      <c r="AA1348" s="2509"/>
      <c r="AB1348" s="459">
        <v>17.535985292550357</v>
      </c>
      <c r="AC1348" s="2490"/>
      <c r="AD1348" s="2490"/>
      <c r="AE1348" s="2490"/>
      <c r="AF1348" s="2490"/>
      <c r="AG1348" s="2490"/>
      <c r="BB1348" s="2292">
        <f t="shared" ref="BB1348:BB1358" si="180">(BD1348)/(BE1348)</f>
        <v>2.3819683751413465</v>
      </c>
      <c r="BC1348" s="2922" t="str">
        <f>CONCATENATE(G1348," ",J1348," Year EUL")</f>
        <v>Building Shell RES 20 Year EUL</v>
      </c>
      <c r="BD1348" s="145">
        <f>(INDEX('Avoided Cost Benefits'!$C$4:$C$857,MATCH(BC1348,'Avoided Cost Benefits'!$A$4:$A$857,0)))*F1348</f>
        <v>20.874541163933362</v>
      </c>
      <c r="BE1348" s="2293">
        <f>K1348/(1.0595^(2020-2019))</f>
        <v>8.7635677206229339</v>
      </c>
    </row>
    <row r="1349" spans="1:57" s="2794" customFormat="1" x14ac:dyDescent="0.25">
      <c r="A1349" s="2325"/>
      <c r="B1349" s="198"/>
      <c r="C1349" s="1670" t="s">
        <v>3715</v>
      </c>
      <c r="D1349" s="3292" t="s">
        <v>1968</v>
      </c>
      <c r="E1349" s="3292" t="s">
        <v>3716</v>
      </c>
      <c r="F1349" s="408">
        <f>G1368*G$1367/G$1372+G1373*G$1367/(G$1378*G$1380)</f>
        <v>10.4183346394822</v>
      </c>
      <c r="G1349" s="3080" t="s">
        <v>1558</v>
      </c>
      <c r="H1349" s="515">
        <f>VLOOKUP(G1349,'CP FACTORS'!$A$3:$B$38, 2, FALSE)</f>
        <v>4.6608050000000002E-4</v>
      </c>
      <c r="I1349" s="3293">
        <f t="shared" si="179"/>
        <v>4.8560000000000001E-3</v>
      </c>
      <c r="J1349" s="3294">
        <f t="shared" ref="J1349:J1359" si="181">G$1381</f>
        <v>20</v>
      </c>
      <c r="K1349" s="430">
        <f t="shared" ref="K1349:K1359" si="182">G$1382</f>
        <v>9.2850000000000001</v>
      </c>
      <c r="L1349" s="1291" t="s">
        <v>3714</v>
      </c>
      <c r="M1349" s="198"/>
      <c r="N1349" s="3295"/>
      <c r="O1349" s="1249"/>
      <c r="V1349" s="402" t="s">
        <v>20</v>
      </c>
      <c r="W1349" s="459"/>
      <c r="X1349" s="129"/>
      <c r="Y1349" s="129"/>
      <c r="Z1349" s="129"/>
      <c r="AA1349" s="2509"/>
      <c r="AB1349" s="459">
        <v>10.4183346394822</v>
      </c>
      <c r="AC1349" s="2490"/>
      <c r="AD1349" s="2490"/>
      <c r="AE1349" s="2490"/>
      <c r="AF1349" s="2490"/>
      <c r="AG1349" s="2490"/>
      <c r="BB1349" s="71">
        <f t="shared" si="180"/>
        <v>1.4151553630367506</v>
      </c>
      <c r="BC1349" s="2295" t="str">
        <f t="shared" ref="BC1349:BC1358" si="183">CONCATENATE(G1349," ",J1349," Year EUL")</f>
        <v>Building Shell RES 20 Year EUL</v>
      </c>
      <c r="BD1349" s="148">
        <f>(INDEX('Avoided Cost Benefits'!$C$4:$C$857,MATCH(BC1349,'Avoided Cost Benefits'!$A$4:$A$857,0)))*F1349</f>
        <v>12.401809859175296</v>
      </c>
      <c r="BE1349" s="2296">
        <f t="shared" ref="BE1349:BE1358" si="184">K1349/(1.0595^(2020-2019))</f>
        <v>8.7635677206229339</v>
      </c>
    </row>
    <row r="1350" spans="1:57" s="2794" customFormat="1" x14ac:dyDescent="0.25">
      <c r="A1350" s="2325"/>
      <c r="B1350" s="198"/>
      <c r="C1350" s="1670" t="s">
        <v>3717</v>
      </c>
      <c r="D1350" s="3292" t="s">
        <v>1968</v>
      </c>
      <c r="E1350" s="3292" t="s">
        <v>3718</v>
      </c>
      <c r="F1350" s="408">
        <f>G1368*G$1367/G$1372</f>
        <v>2.3909090909090911</v>
      </c>
      <c r="G1350" s="3080" t="s">
        <v>1558</v>
      </c>
      <c r="H1350" s="515">
        <f>VLOOKUP(G1350,'CP FACTORS'!$A$3:$B$38, 2, FALSE)</f>
        <v>4.6608050000000002E-4</v>
      </c>
      <c r="I1350" s="3293">
        <f t="shared" si="179"/>
        <v>1.114E-3</v>
      </c>
      <c r="J1350" s="3294">
        <f t="shared" si="181"/>
        <v>20</v>
      </c>
      <c r="K1350" s="430">
        <f t="shared" si="182"/>
        <v>9.2850000000000001</v>
      </c>
      <c r="L1350" s="1291" t="s">
        <v>3714</v>
      </c>
      <c r="M1350" s="198"/>
      <c r="N1350" s="3295"/>
      <c r="O1350" s="1249"/>
      <c r="V1350" s="402" t="s">
        <v>20</v>
      </c>
      <c r="W1350" s="459"/>
      <c r="X1350" s="2793"/>
      <c r="Y1350" s="2793"/>
      <c r="Z1350" s="2793"/>
      <c r="AA1350" s="2509"/>
      <c r="AB1350" s="459">
        <v>2.3909090909090911</v>
      </c>
      <c r="AC1350" s="2490"/>
      <c r="AD1350" s="2490"/>
      <c r="AE1350" s="2490"/>
      <c r="AF1350" s="2490"/>
      <c r="AG1350" s="2490"/>
      <c r="BB1350" s="71">
        <f t="shared" si="180"/>
        <v>0.32476474788119158</v>
      </c>
      <c r="BC1350" s="2295" t="str">
        <f t="shared" si="183"/>
        <v>Building Shell RES 20 Year EUL</v>
      </c>
      <c r="BD1350" s="148">
        <f>(INDEX('Avoided Cost Benefits'!$C$4:$C$857,MATCH(BC1350,'Avoided Cost Benefits'!$A$4:$A$857,0)))*F1350</f>
        <v>2.846097861327856</v>
      </c>
      <c r="BE1350" s="2296">
        <f t="shared" si="184"/>
        <v>8.7635677206229339</v>
      </c>
    </row>
    <row r="1351" spans="1:57" s="2794" customFormat="1" x14ac:dyDescent="0.25">
      <c r="A1351" s="2325"/>
      <c r="B1351" s="198"/>
      <c r="C1351" s="1670" t="s">
        <v>3719</v>
      </c>
      <c r="D1351" s="3292" t="s">
        <v>1968</v>
      </c>
      <c r="E1351" s="3292" t="s">
        <v>3720</v>
      </c>
      <c r="F1351" s="408">
        <f>G1369*G$1367/G$1372+G1374*G$1367/(G$1377*G$1380)</f>
        <v>5.9024938718959818</v>
      </c>
      <c r="G1351" s="3080" t="s">
        <v>1558</v>
      </c>
      <c r="H1351" s="515">
        <f>VLOOKUP(G1351,'CP FACTORS'!$A$3:$B$38, 2, FALSE)</f>
        <v>4.6608050000000002E-4</v>
      </c>
      <c r="I1351" s="3293">
        <f t="shared" si="179"/>
        <v>2.751E-3</v>
      </c>
      <c r="J1351" s="3294">
        <f t="shared" si="181"/>
        <v>20</v>
      </c>
      <c r="K1351" s="430">
        <f t="shared" si="182"/>
        <v>9.2850000000000001</v>
      </c>
      <c r="L1351" s="1291" t="s">
        <v>3714</v>
      </c>
      <c r="M1351" s="198"/>
      <c r="N1351" s="3295"/>
      <c r="O1351" s="1249"/>
      <c r="V1351" s="402" t="s">
        <v>20</v>
      </c>
      <c r="W1351" s="459"/>
      <c r="X1351" s="129"/>
      <c r="Y1351" s="129"/>
      <c r="Z1351" s="129"/>
      <c r="AA1351" s="2509"/>
      <c r="AB1351" s="459">
        <v>5.9024938718959818</v>
      </c>
      <c r="AC1351" s="2490"/>
      <c r="AD1351" s="2490"/>
      <c r="AE1351" s="2490"/>
      <c r="AF1351" s="2490"/>
      <c r="AG1351" s="2490"/>
      <c r="BB1351" s="71">
        <f t="shared" si="180"/>
        <v>0.80175442113849216</v>
      </c>
      <c r="BC1351" s="2295" t="str">
        <f t="shared" si="183"/>
        <v>Building Shell RES 20 Year EUL</v>
      </c>
      <c r="BD1351" s="148">
        <f>(INDEX('Avoided Cost Benefits'!$C$4:$C$857,MATCH(BC1351,'Avoided Cost Benefits'!$A$4:$A$857,0)))*F1351</f>
        <v>7.0262291649560158</v>
      </c>
      <c r="BE1351" s="2296">
        <f t="shared" si="184"/>
        <v>8.7635677206229339</v>
      </c>
    </row>
    <row r="1352" spans="1:57" s="2794" customFormat="1" x14ac:dyDescent="0.25">
      <c r="A1352" s="2325"/>
      <c r="B1352" s="198"/>
      <c r="C1352" s="1670" t="s">
        <v>3721</v>
      </c>
      <c r="D1352" s="3292" t="s">
        <v>1968</v>
      </c>
      <c r="E1352" s="3292" t="s">
        <v>3722</v>
      </c>
      <c r="F1352" s="408">
        <f>G1369*G$1367/G$1372+G1374*G$1367/(G$1378*G$1380)</f>
        <v>3.6711258877701161</v>
      </c>
      <c r="G1352" s="3080" t="s">
        <v>1558</v>
      </c>
      <c r="H1352" s="515">
        <f>VLOOKUP(G1352,'CP FACTORS'!$A$3:$B$38, 2, FALSE)</f>
        <v>4.6608050000000002E-4</v>
      </c>
      <c r="I1352" s="3293">
        <f t="shared" si="179"/>
        <v>1.7110000000000001E-3</v>
      </c>
      <c r="J1352" s="3294">
        <f t="shared" si="181"/>
        <v>20</v>
      </c>
      <c r="K1352" s="430">
        <f t="shared" si="182"/>
        <v>9.2850000000000001</v>
      </c>
      <c r="L1352" s="1291" t="s">
        <v>3714</v>
      </c>
      <c r="M1352" s="198"/>
      <c r="N1352" s="3295"/>
      <c r="O1352" s="1249"/>
      <c r="V1352" s="402" t="s">
        <v>20</v>
      </c>
      <c r="W1352" s="459"/>
      <c r="X1352" s="129"/>
      <c r="Y1352" s="129"/>
      <c r="Z1352" s="129"/>
      <c r="AA1352" s="2509"/>
      <c r="AB1352" s="459">
        <v>3.6711258877701161</v>
      </c>
      <c r="AC1352" s="2490"/>
      <c r="AD1352" s="2490"/>
      <c r="AE1352" s="2490"/>
      <c r="AF1352" s="2490"/>
      <c r="AG1352" s="2490"/>
      <c r="BB1352" s="71">
        <f t="shared" si="180"/>
        <v>0.49866064666157989</v>
      </c>
      <c r="BC1352" s="2295" t="str">
        <f t="shared" si="183"/>
        <v>Building Shell RES 20 Year EUL</v>
      </c>
      <c r="BD1352" s="148">
        <f>(INDEX('Avoided Cost Benefits'!$C$4:$C$857,MATCH(BC1352,'Avoided Cost Benefits'!$A$4:$A$857,0)))*F1352</f>
        <v>4.3700463466283797</v>
      </c>
      <c r="BE1352" s="2296">
        <f t="shared" si="184"/>
        <v>8.7635677206229339</v>
      </c>
    </row>
    <row r="1353" spans="1:57" s="2794" customFormat="1" x14ac:dyDescent="0.25">
      <c r="A1353" s="2325"/>
      <c r="B1353" s="198"/>
      <c r="C1353" s="1670" t="s">
        <v>3723</v>
      </c>
      <c r="D1353" s="3292" t="s">
        <v>1968</v>
      </c>
      <c r="E1353" s="3292" t="s">
        <v>3724</v>
      </c>
      <c r="F1353" s="408">
        <f>G1369*G$1367/G$1372</f>
        <v>1.1545454545454545</v>
      </c>
      <c r="G1353" s="3080" t="s">
        <v>1558</v>
      </c>
      <c r="H1353" s="515">
        <f>VLOOKUP(G1353,'CP FACTORS'!$A$3:$B$38, 2, FALSE)</f>
        <v>4.6608050000000002E-4</v>
      </c>
      <c r="I1353" s="3293">
        <f t="shared" si="179"/>
        <v>5.3799999999999996E-4</v>
      </c>
      <c r="J1353" s="3294">
        <f t="shared" si="181"/>
        <v>20</v>
      </c>
      <c r="K1353" s="430">
        <f t="shared" si="182"/>
        <v>9.2850000000000001</v>
      </c>
      <c r="L1353" s="1291" t="s">
        <v>3714</v>
      </c>
      <c r="M1353" s="198"/>
      <c r="N1353" s="3295"/>
      <c r="O1353" s="1249"/>
      <c r="V1353" s="402" t="s">
        <v>20</v>
      </c>
      <c r="W1353" s="459"/>
      <c r="X1353" s="129"/>
      <c r="Y1353" s="129"/>
      <c r="Z1353" s="129"/>
      <c r="AA1353" s="2509"/>
      <c r="AB1353" s="459">
        <v>1.1545454545454545</v>
      </c>
      <c r="AC1353" s="2490"/>
      <c r="AD1353" s="2490"/>
      <c r="AE1353" s="2490"/>
      <c r="AF1353" s="2490"/>
      <c r="AG1353" s="2490"/>
      <c r="BB1353" s="71">
        <f t="shared" si="180"/>
        <v>0.15682556266506209</v>
      </c>
      <c r="BC1353" s="2295" t="str">
        <f t="shared" si="183"/>
        <v>Building Shell RES 20 Year EUL</v>
      </c>
      <c r="BD1353" s="148">
        <f>(INDEX('Avoided Cost Benefits'!$C$4:$C$857,MATCH(BC1353,'Avoided Cost Benefits'!$A$4:$A$857,0)))*F1353</f>
        <v>1.3743514387400673</v>
      </c>
      <c r="BE1353" s="2296">
        <f t="shared" si="184"/>
        <v>8.7635677206229339</v>
      </c>
    </row>
    <row r="1354" spans="1:57" s="2794" customFormat="1" x14ac:dyDescent="0.25">
      <c r="A1354" s="2325"/>
      <c r="B1354" s="198"/>
      <c r="C1354" s="1670" t="s">
        <v>3725</v>
      </c>
      <c r="D1354" s="3292" t="s">
        <v>1968</v>
      </c>
      <c r="E1354" s="3292" t="s">
        <v>3726</v>
      </c>
      <c r="F1354" s="408">
        <f>G1370*G$1367/G$1372+G1375*G$1367/(G$1377*G$1380)</f>
        <v>17.528658211659383</v>
      </c>
      <c r="G1354" s="3080" t="s">
        <v>1558</v>
      </c>
      <c r="H1354" s="515">
        <f>VLOOKUP(G1354,'CP FACTORS'!$A$3:$B$38, 2, FALSE)</f>
        <v>4.6608050000000002E-4</v>
      </c>
      <c r="I1354" s="3293">
        <f t="shared" si="179"/>
        <v>8.1700000000000002E-3</v>
      </c>
      <c r="J1354" s="3294">
        <f t="shared" si="181"/>
        <v>20</v>
      </c>
      <c r="K1354" s="430">
        <f t="shared" si="182"/>
        <v>9.2850000000000001</v>
      </c>
      <c r="L1354" s="1291" t="s">
        <v>3714</v>
      </c>
      <c r="M1354" s="198"/>
      <c r="N1354" s="3295"/>
      <c r="O1354" s="1249"/>
      <c r="V1354" s="402" t="s">
        <v>20</v>
      </c>
      <c r="W1354" s="459"/>
      <c r="X1354" s="129"/>
      <c r="Y1354" s="129"/>
      <c r="Z1354" s="129"/>
      <c r="AA1354" s="2509"/>
      <c r="AB1354" s="459">
        <v>17.528658211659383</v>
      </c>
      <c r="AC1354" s="2490"/>
      <c r="AD1354" s="2490"/>
      <c r="AE1354" s="2490"/>
      <c r="AF1354" s="2490"/>
      <c r="AG1354" s="2490"/>
      <c r="BB1354" s="71">
        <f t="shared" si="180"/>
        <v>2.3809731145572823</v>
      </c>
      <c r="BC1354" s="2295" t="str">
        <f t="shared" si="183"/>
        <v>Building Shell RES 20 Year EUL</v>
      </c>
      <c r="BD1354" s="148">
        <f>(INDEX('Avoided Cost Benefits'!$C$4:$C$857,MATCH(BC1354,'Avoided Cost Benefits'!$A$4:$A$857,0)))*F1354</f>
        <v>20.865819130405249</v>
      </c>
      <c r="BE1354" s="2296">
        <f t="shared" si="184"/>
        <v>8.7635677206229339</v>
      </c>
    </row>
    <row r="1355" spans="1:57" s="2794" customFormat="1" x14ac:dyDescent="0.25">
      <c r="A1355" s="2325"/>
      <c r="B1355" s="198"/>
      <c r="C1355" s="1670" t="s">
        <v>3727</v>
      </c>
      <c r="D1355" s="3292" t="s">
        <v>1968</v>
      </c>
      <c r="E1355" s="3292" t="s">
        <v>3728</v>
      </c>
      <c r="F1355" s="408">
        <f>G1370*G$1367/G$1372+G1375*G$1367/(G$1378*G$1380)</f>
        <v>10.414451027702533</v>
      </c>
      <c r="G1355" s="3080" t="s">
        <v>1558</v>
      </c>
      <c r="H1355" s="515">
        <f>VLOOKUP(G1355,'CP FACTORS'!$A$3:$B$38, 2, FALSE)</f>
        <v>4.6608050000000002E-4</v>
      </c>
      <c r="I1355" s="3293">
        <f t="shared" si="179"/>
        <v>4.8539999999999998E-3</v>
      </c>
      <c r="J1355" s="3294">
        <f t="shared" si="181"/>
        <v>20</v>
      </c>
      <c r="K1355" s="430">
        <f t="shared" si="182"/>
        <v>9.2850000000000001</v>
      </c>
      <c r="L1355" s="1291" t="s">
        <v>3714</v>
      </c>
      <c r="M1355" s="198"/>
      <c r="N1355" s="3295"/>
      <c r="O1355" s="1249"/>
      <c r="V1355" s="402" t="s">
        <v>20</v>
      </c>
      <c r="W1355" s="459"/>
      <c r="X1355" s="129"/>
      <c r="Y1355" s="129"/>
      <c r="Z1355" s="129"/>
      <c r="AA1355" s="2509"/>
      <c r="AB1355" s="459">
        <v>10.414451027702533</v>
      </c>
      <c r="AC1355" s="2490"/>
      <c r="AD1355" s="2490"/>
      <c r="AE1355" s="2490"/>
      <c r="AF1355" s="2490"/>
      <c r="AG1355" s="2490"/>
      <c r="BB1355" s="71">
        <f t="shared" si="180"/>
        <v>1.4146278397589782</v>
      </c>
      <c r="BC1355" s="2295" t="str">
        <f t="shared" si="183"/>
        <v>Building Shell RES 20 Year EUL</v>
      </c>
      <c r="BD1355" s="148">
        <f>(INDEX('Avoided Cost Benefits'!$C$4:$C$857,MATCH(BC1355,'Avoided Cost Benefits'!$A$4:$A$857,0)))*F1355</f>
        <v>12.397186873206334</v>
      </c>
      <c r="BE1355" s="2296">
        <f t="shared" si="184"/>
        <v>8.7635677206229339</v>
      </c>
    </row>
    <row r="1356" spans="1:57" s="2794" customFormat="1" x14ac:dyDescent="0.25">
      <c r="A1356" s="2325"/>
      <c r="B1356" s="198"/>
      <c r="C1356" s="1670" t="s">
        <v>3729</v>
      </c>
      <c r="D1356" s="3292" t="s">
        <v>1968</v>
      </c>
      <c r="E1356" s="3292" t="s">
        <v>3730</v>
      </c>
      <c r="F1356" s="408">
        <f>G1370*G$1367/G$1372</f>
        <v>2.3909090909090911</v>
      </c>
      <c r="G1356" s="3080" t="s">
        <v>1558</v>
      </c>
      <c r="H1356" s="515">
        <f>VLOOKUP(G1356,'CP FACTORS'!$A$3:$B$38, 2, FALSE)</f>
        <v>4.6608050000000002E-4</v>
      </c>
      <c r="I1356" s="3293">
        <f t="shared" si="179"/>
        <v>1.114E-3</v>
      </c>
      <c r="J1356" s="3294">
        <f t="shared" si="181"/>
        <v>20</v>
      </c>
      <c r="K1356" s="430">
        <f t="shared" si="182"/>
        <v>9.2850000000000001</v>
      </c>
      <c r="L1356" s="1291" t="s">
        <v>3714</v>
      </c>
      <c r="M1356" s="198"/>
      <c r="N1356" s="3295"/>
      <c r="O1356" s="1249"/>
      <c r="V1356" s="402" t="s">
        <v>20</v>
      </c>
      <c r="W1356" s="459"/>
      <c r="X1356" s="129"/>
      <c r="Y1356" s="129"/>
      <c r="Z1356" s="129"/>
      <c r="AA1356" s="2509"/>
      <c r="AB1356" s="459">
        <v>2.3909090909090911</v>
      </c>
      <c r="AC1356" s="2490"/>
      <c r="AD1356" s="2490"/>
      <c r="AE1356" s="2490"/>
      <c r="AF1356" s="2490"/>
      <c r="AG1356" s="2490"/>
      <c r="BB1356" s="71">
        <f t="shared" si="180"/>
        <v>0.32476474788119158</v>
      </c>
      <c r="BC1356" s="2295" t="str">
        <f t="shared" si="183"/>
        <v>Building Shell RES 20 Year EUL</v>
      </c>
      <c r="BD1356" s="148">
        <f>(INDEX('Avoided Cost Benefits'!$C$4:$C$857,MATCH(BC1356,'Avoided Cost Benefits'!$A$4:$A$857,0)))*F1356</f>
        <v>2.846097861327856</v>
      </c>
      <c r="BE1356" s="2296">
        <f t="shared" si="184"/>
        <v>8.7635677206229339</v>
      </c>
    </row>
    <row r="1357" spans="1:57" s="2794" customFormat="1" x14ac:dyDescent="0.25">
      <c r="A1357" s="2325"/>
      <c r="B1357" s="198"/>
      <c r="C1357" s="1670" t="s">
        <v>3731</v>
      </c>
      <c r="D1357" s="3292" t="s">
        <v>1968</v>
      </c>
      <c r="E1357" s="3292" t="s">
        <v>3732</v>
      </c>
      <c r="F1357" s="408">
        <f>G1371*G$1367/G$1372+G1376*G$1367/(G$1377*G$1380)</f>
        <v>5.5948603858041137</v>
      </c>
      <c r="G1357" s="3080" t="s">
        <v>1558</v>
      </c>
      <c r="H1357" s="515">
        <f>VLOOKUP(G1357,'CP FACTORS'!$A$3:$B$38, 2, FALSE)</f>
        <v>4.6608050000000002E-4</v>
      </c>
      <c r="I1357" s="3293">
        <f t="shared" si="179"/>
        <v>2.6080000000000001E-3</v>
      </c>
      <c r="J1357" s="3294">
        <f t="shared" si="181"/>
        <v>20</v>
      </c>
      <c r="K1357" s="430">
        <f t="shared" si="182"/>
        <v>9.2850000000000001</v>
      </c>
      <c r="L1357" s="1291" t="s">
        <v>3714</v>
      </c>
      <c r="M1357" s="198"/>
      <c r="N1357" s="3295"/>
      <c r="O1357" s="1249"/>
      <c r="V1357" s="402" t="s">
        <v>20</v>
      </c>
      <c r="W1357" s="459"/>
      <c r="X1357" s="129"/>
      <c r="Y1357" s="129"/>
      <c r="Z1357" s="129"/>
      <c r="AA1357" s="2509"/>
      <c r="AB1357" s="459">
        <v>5.5948603858041137</v>
      </c>
      <c r="AC1357" s="2490"/>
      <c r="AD1357" s="2490"/>
      <c r="AE1357" s="2490"/>
      <c r="AF1357" s="2490"/>
      <c r="AG1357" s="2490"/>
      <c r="BB1357" s="71">
        <f t="shared" si="180"/>
        <v>0.75996759121245372</v>
      </c>
      <c r="BC1357" s="2295" t="str">
        <f t="shared" si="183"/>
        <v>Building Shell RES 20 Year EUL</v>
      </c>
      <c r="BD1357" s="148">
        <f>(INDEX('Avoided Cost Benefits'!$C$4:$C$857,MATCH(BC1357,'Avoided Cost Benefits'!$A$4:$A$857,0)))*F1357</f>
        <v>6.6600274510690243</v>
      </c>
      <c r="BE1357" s="2296">
        <f t="shared" si="184"/>
        <v>8.7635677206229339</v>
      </c>
    </row>
    <row r="1358" spans="1:57" s="2794" customFormat="1" x14ac:dyDescent="0.25">
      <c r="A1358" s="2325"/>
      <c r="B1358" s="198"/>
      <c r="C1358" s="1670" t="s">
        <v>3733</v>
      </c>
      <c r="D1358" s="3292" t="s">
        <v>1968</v>
      </c>
      <c r="E1358" s="3292" t="s">
        <v>3734</v>
      </c>
      <c r="F1358" s="408">
        <f>G1371*G$1367/G$1372+G1376*G$1367/(G$1378*G$1380)</f>
        <v>3.415144438347828</v>
      </c>
      <c r="G1358" s="3080" t="s">
        <v>1558</v>
      </c>
      <c r="H1358" s="515">
        <f>VLOOKUP(G1358,'CP FACTORS'!$A$3:$B$38, 2, FALSE)</f>
        <v>4.6608050000000002E-4</v>
      </c>
      <c r="I1358" s="3293">
        <f t="shared" si="179"/>
        <v>1.5920000000000001E-3</v>
      </c>
      <c r="J1358" s="3294">
        <f t="shared" si="181"/>
        <v>20</v>
      </c>
      <c r="K1358" s="430">
        <f t="shared" si="182"/>
        <v>9.2850000000000001</v>
      </c>
      <c r="L1358" s="1291" t="s">
        <v>3714</v>
      </c>
      <c r="M1358" s="198"/>
      <c r="N1358" s="3295"/>
      <c r="O1358" s="1249"/>
      <c r="V1358" s="402" t="s">
        <v>20</v>
      </c>
      <c r="W1358" s="459"/>
      <c r="X1358" s="129"/>
      <c r="Y1358" s="129"/>
      <c r="Z1358" s="129"/>
      <c r="AA1358" s="2509"/>
      <c r="AB1358" s="459">
        <v>3.415144438347828</v>
      </c>
      <c r="AC1358" s="2490"/>
      <c r="AD1358" s="2490"/>
      <c r="AE1358" s="2490"/>
      <c r="AF1358" s="2490"/>
      <c r="AG1358" s="2490"/>
      <c r="BB1358" s="71">
        <f t="shared" si="180"/>
        <v>0.4638898763299143</v>
      </c>
      <c r="BC1358" s="2295" t="str">
        <f t="shared" si="183"/>
        <v>Building Shell RES 20 Year EUL</v>
      </c>
      <c r="BD1358" s="148">
        <f>(INDEX('Avoided Cost Benefits'!$C$4:$C$857,MATCH(BC1358,'Avoided Cost Benefits'!$A$4:$A$857,0)))*F1358</f>
        <v>4.0653303461286017</v>
      </c>
      <c r="BE1358" s="2296">
        <f t="shared" si="184"/>
        <v>8.7635677206229339</v>
      </c>
    </row>
    <row r="1359" spans="1:57" s="2794" customFormat="1" x14ac:dyDescent="0.25">
      <c r="A1359" s="2325"/>
      <c r="B1359" s="198"/>
      <c r="C1359" s="1670" t="s">
        <v>3735</v>
      </c>
      <c r="D1359" s="3292" t="s">
        <v>1968</v>
      </c>
      <c r="E1359" s="3292" t="s">
        <v>3736</v>
      </c>
      <c r="F1359" s="408">
        <f>G1371*G$1367/G$1372</f>
        <v>0.9568181818181819</v>
      </c>
      <c r="G1359" s="3080" t="s">
        <v>1558</v>
      </c>
      <c r="H1359" s="515">
        <f>VLOOKUP(G1359,'CP FACTORS'!$A$3:$B$38, 2, FALSE)</f>
        <v>4.6608050000000002E-4</v>
      </c>
      <c r="I1359" s="3293">
        <f t="shared" si="179"/>
        <v>4.46E-4</v>
      </c>
      <c r="J1359" s="3294">
        <f t="shared" si="181"/>
        <v>20</v>
      </c>
      <c r="K1359" s="430">
        <f t="shared" si="182"/>
        <v>9.2850000000000001</v>
      </c>
      <c r="L1359" s="1291" t="s">
        <v>3714</v>
      </c>
      <c r="M1359" s="198"/>
      <c r="N1359" s="3295"/>
      <c r="O1359" s="1249"/>
      <c r="V1359" s="402" t="s">
        <v>20</v>
      </c>
      <c r="W1359" s="459"/>
      <c r="X1359" s="129"/>
      <c r="Y1359" s="129"/>
      <c r="Z1359" s="129"/>
      <c r="AA1359" s="2509"/>
      <c r="AB1359" s="459">
        <v>0.9568181818181819</v>
      </c>
      <c r="AC1359" s="2490"/>
      <c r="AD1359" s="2490"/>
      <c r="AE1359" s="2490"/>
      <c r="AF1359" s="2490"/>
      <c r="AG1359" s="2490"/>
      <c r="BB1359" s="74">
        <f t="shared" ref="BB1359" si="185">(BD1359)/(BE1359)</f>
        <v>0.12996764149998258</v>
      </c>
      <c r="BC1359" s="2295" t="str">
        <f t="shared" ref="BC1359" si="186">CONCATENATE(G1359," ",J1359," Year EUL")</f>
        <v>Building Shell RES 20 Year EUL</v>
      </c>
      <c r="BD1359" s="153">
        <f>(INDEX('Avoided Cost Benefits'!$C$4:$C$857,MATCH(BC1359,'Avoided Cost Benefits'!$A$4:$A$857,0)))*F1359</f>
        <v>1.1389802277747409</v>
      </c>
      <c r="BE1359" s="2297">
        <f t="shared" ref="BE1359" si="187">K1359/(1.0595^(2020-2019))</f>
        <v>8.7635677206229339</v>
      </c>
    </row>
    <row r="1360" spans="1:57" s="2794" customFormat="1" outlineLevel="1" x14ac:dyDescent="0.25">
      <c r="B1360" s="298"/>
      <c r="C1360" s="1007"/>
      <c r="D1360" s="296"/>
      <c r="E1360" s="296"/>
      <c r="F1360" s="298"/>
      <c r="G1360" s="298"/>
      <c r="H1360" s="298"/>
      <c r="I1360" s="298"/>
      <c r="J1360" s="298"/>
      <c r="K1360" s="298"/>
      <c r="L1360" s="298"/>
      <c r="M1360" s="298"/>
      <c r="N1360" s="298"/>
      <c r="O1360" s="298"/>
      <c r="V1360" s="298"/>
      <c r="BB1360" s="2843"/>
    </row>
    <row r="1361" spans="2:54" s="2794" customFormat="1" outlineLevel="1" x14ac:dyDescent="0.25">
      <c r="B1361" s="298"/>
      <c r="C1361" s="1007"/>
      <c r="D1361" s="222" t="s">
        <v>571</v>
      </c>
      <c r="E1361" s="296"/>
      <c r="F1361" s="298"/>
      <c r="G1361" s="298"/>
      <c r="H1361" s="298"/>
      <c r="I1361" s="298"/>
      <c r="J1361" s="298"/>
      <c r="K1361" s="298"/>
      <c r="L1361" s="298"/>
      <c r="M1361" s="298"/>
      <c r="N1361" s="298"/>
      <c r="O1361" s="298"/>
      <c r="V1361" s="298"/>
      <c r="Y1361" s="2842"/>
      <c r="BB1361" s="2843"/>
    </row>
    <row r="1362" spans="2:54" s="2794" customFormat="1" outlineLevel="1" x14ac:dyDescent="0.25">
      <c r="B1362" s="298"/>
      <c r="C1362" s="1007"/>
      <c r="D1362" s="296"/>
      <c r="E1362" s="296"/>
      <c r="F1362" s="298"/>
      <c r="G1362" s="298"/>
      <c r="H1362" s="298"/>
      <c r="I1362" s="298"/>
      <c r="J1362" s="298"/>
      <c r="K1362" s="298"/>
      <c r="L1362" s="298"/>
      <c r="M1362" s="298"/>
      <c r="N1362" s="298"/>
      <c r="O1362" s="298"/>
      <c r="V1362" s="298"/>
      <c r="Y1362" s="2842"/>
      <c r="BB1362" s="2843"/>
    </row>
    <row r="1363" spans="2:54" s="2794" customFormat="1" outlineLevel="1" x14ac:dyDescent="0.25">
      <c r="B1363" s="298"/>
      <c r="C1363" s="1007"/>
      <c r="D1363" s="296"/>
      <c r="E1363" s="296"/>
      <c r="F1363" s="298"/>
      <c r="G1363" s="298"/>
      <c r="H1363" s="298"/>
      <c r="I1363" s="298"/>
      <c r="J1363" s="298"/>
      <c r="K1363" s="298"/>
      <c r="L1363" s="298"/>
      <c r="M1363" s="298"/>
      <c r="N1363" s="298"/>
      <c r="O1363" s="298"/>
      <c r="V1363" s="298"/>
      <c r="Y1363" s="2842"/>
      <c r="BB1363" s="2843"/>
    </row>
    <row r="1364" spans="2:54" s="2794" customFormat="1" outlineLevel="1" x14ac:dyDescent="0.25">
      <c r="B1364" s="298"/>
      <c r="C1364" s="1007"/>
      <c r="D1364" s="296"/>
      <c r="E1364" s="296"/>
      <c r="F1364" s="298"/>
      <c r="G1364" s="298"/>
      <c r="H1364" s="298"/>
      <c r="I1364" s="298"/>
      <c r="J1364" s="298"/>
      <c r="K1364" s="298"/>
      <c r="L1364" s="298"/>
      <c r="M1364" s="298"/>
      <c r="N1364" s="298"/>
      <c r="O1364" s="298"/>
      <c r="V1364" s="298"/>
      <c r="Y1364" s="2842"/>
      <c r="BB1364" s="2843"/>
    </row>
    <row r="1365" spans="2:54" s="2794" customFormat="1" outlineLevel="1" x14ac:dyDescent="0.25">
      <c r="B1365" s="298"/>
      <c r="C1365" s="1007"/>
      <c r="D1365" s="296"/>
      <c r="E1365" s="296"/>
      <c r="F1365" s="298"/>
      <c r="G1365" s="298"/>
      <c r="H1365" s="298"/>
      <c r="I1365" s="298"/>
      <c r="J1365" s="298"/>
      <c r="K1365" s="298"/>
      <c r="L1365" s="298"/>
      <c r="M1365" s="298"/>
      <c r="N1365" s="298"/>
      <c r="O1365" s="298"/>
      <c r="V1365" s="298"/>
      <c r="Y1365" s="2842"/>
      <c r="BB1365" s="2843"/>
    </row>
    <row r="1366" spans="2:54" s="2794" customFormat="1" outlineLevel="1" x14ac:dyDescent="0.25">
      <c r="B1366" s="298"/>
      <c r="C1366" s="1007"/>
      <c r="D1366" s="3101" t="s">
        <v>572</v>
      </c>
      <c r="E1366" s="3101" t="s">
        <v>573</v>
      </c>
      <c r="F1366" s="3002" t="s">
        <v>623</v>
      </c>
      <c r="G1366" s="3002" t="s">
        <v>574</v>
      </c>
      <c r="H1366" s="3594" t="s">
        <v>624</v>
      </c>
      <c r="I1366" s="3908"/>
      <c r="J1366" s="3419" t="s">
        <v>575</v>
      </c>
      <c r="K1366" s="3419"/>
      <c r="L1366" s="3419"/>
      <c r="M1366" s="298"/>
      <c r="N1366" s="298"/>
      <c r="O1366" s="298"/>
      <c r="V1366" s="623" t="s">
        <v>27</v>
      </c>
      <c r="W1366" s="624">
        <v>43252</v>
      </c>
      <c r="X1366" s="624">
        <f>$X$6</f>
        <v>43465</v>
      </c>
      <c r="Y1366" s="2898">
        <f>$Y$6</f>
        <v>43800</v>
      </c>
      <c r="Z1366" s="624">
        <f>$Z$6</f>
        <v>43862</v>
      </c>
      <c r="AA1366" s="624">
        <f>$AA$6</f>
        <v>44013</v>
      </c>
      <c r="AB1366" s="624">
        <f>$AB$6</f>
        <v>44166</v>
      </c>
      <c r="AC1366" s="624" t="str">
        <f>$AC$6</f>
        <v>-</v>
      </c>
      <c r="AD1366" s="624" t="str">
        <f>$AD$6</f>
        <v>-</v>
      </c>
      <c r="AE1366" s="624" t="str">
        <f>$AE$6</f>
        <v>-</v>
      </c>
      <c r="AF1366" s="624" t="str">
        <f>$AF$6</f>
        <v>-</v>
      </c>
      <c r="AG1366" s="624" t="str">
        <f>$AG$6</f>
        <v>-</v>
      </c>
      <c r="BB1366" s="2843"/>
    </row>
    <row r="1367" spans="2:54" s="2794" customFormat="1" ht="15" customHeight="1" outlineLevel="1" x14ac:dyDescent="0.25">
      <c r="B1367" s="298"/>
      <c r="C1367" s="1007"/>
      <c r="D1367" s="3089" t="s">
        <v>127</v>
      </c>
      <c r="E1367" s="3077" t="s">
        <v>3737</v>
      </c>
      <c r="F1367" s="3077"/>
      <c r="G1367" s="3296">
        <v>1</v>
      </c>
      <c r="H1367" s="4004"/>
      <c r="I1367" s="4004"/>
      <c r="J1367" s="3880" t="s">
        <v>3738</v>
      </c>
      <c r="K1367" s="3866"/>
      <c r="L1367" s="3866"/>
      <c r="M1367" s="278"/>
      <c r="N1367" s="278"/>
      <c r="O1367" s="278"/>
      <c r="P1367" s="2845"/>
      <c r="Q1367" s="2845"/>
      <c r="R1367" s="2845"/>
      <c r="V1367" s="3089" t="s">
        <v>127</v>
      </c>
      <c r="W1367" s="459"/>
      <c r="X1367" s="2793"/>
      <c r="Y1367" s="2793"/>
      <c r="Z1367" s="2793"/>
      <c r="AA1367" s="2490"/>
      <c r="AB1367" s="2844">
        <v>1</v>
      </c>
      <c r="AC1367" s="2490"/>
      <c r="AD1367" s="2490"/>
      <c r="AE1367" s="2490"/>
      <c r="AF1367" s="2490"/>
      <c r="AG1367" s="2490"/>
      <c r="AH1367" s="2845"/>
      <c r="BB1367" s="2843"/>
    </row>
    <row r="1368" spans="2:54" s="2794" customFormat="1" ht="15" customHeight="1" outlineLevel="1" x14ac:dyDescent="0.25">
      <c r="B1368" s="298"/>
      <c r="C1368" s="1007"/>
      <c r="D1368" s="4001" t="s">
        <v>3739</v>
      </c>
      <c r="E1368" s="3424" t="s">
        <v>3740</v>
      </c>
      <c r="F1368" s="3077" t="s">
        <v>3741</v>
      </c>
      <c r="G1368" s="1868">
        <f>AVERAGE(23,23.9, 29.5, 28.8)</f>
        <v>26.3</v>
      </c>
      <c r="H1368" s="4002" t="s">
        <v>3742</v>
      </c>
      <c r="I1368" s="4003"/>
      <c r="J1368" s="3880" t="s">
        <v>3743</v>
      </c>
      <c r="K1368" s="3866"/>
      <c r="L1368" s="3866"/>
      <c r="M1368" s="278"/>
      <c r="N1368" s="278"/>
      <c r="O1368" s="278"/>
      <c r="P1368" s="2845"/>
      <c r="Q1368" s="2845"/>
      <c r="R1368" s="2845"/>
      <c r="V1368" s="4001" t="s">
        <v>3739</v>
      </c>
      <c r="W1368" s="459"/>
      <c r="X1368" s="129"/>
      <c r="Y1368" s="129"/>
      <c r="Z1368" s="129"/>
      <c r="AA1368" s="2490"/>
      <c r="AB1368" s="2846">
        <f>AVERAGE(23,23.9, 29.5, 28.8)</f>
        <v>26.3</v>
      </c>
      <c r="AC1368" s="2490"/>
      <c r="AD1368" s="2490"/>
      <c r="AE1368" s="2490"/>
      <c r="AF1368" s="2490"/>
      <c r="AG1368" s="2490"/>
      <c r="AH1368" s="2845"/>
      <c r="BB1368" s="2843"/>
    </row>
    <row r="1369" spans="2:54" s="2794" customFormat="1" ht="15" customHeight="1" outlineLevel="1" x14ac:dyDescent="0.25">
      <c r="B1369" s="298"/>
      <c r="C1369" s="1007"/>
      <c r="D1369" s="4001"/>
      <c r="E1369" s="3424"/>
      <c r="F1369" s="3077" t="s">
        <v>3744</v>
      </c>
      <c r="G1369" s="1868">
        <f>AVERAGE(10.5,10.7,15.4,14.2)</f>
        <v>12.7</v>
      </c>
      <c r="H1369" s="4002" t="s">
        <v>3742</v>
      </c>
      <c r="I1369" s="4003"/>
      <c r="J1369" s="3880" t="s">
        <v>3743</v>
      </c>
      <c r="K1369" s="3866"/>
      <c r="L1369" s="3866"/>
      <c r="M1369" s="278"/>
      <c r="N1369" s="278"/>
      <c r="O1369" s="278"/>
      <c r="P1369" s="2845"/>
      <c r="Q1369" s="2845"/>
      <c r="R1369" s="2845"/>
      <c r="V1369" s="4001"/>
      <c r="W1369" s="459"/>
      <c r="X1369" s="2793"/>
      <c r="Y1369" s="2793"/>
      <c r="Z1369" s="2793"/>
      <c r="AA1369" s="2490"/>
      <c r="AB1369" s="2846">
        <f>AVERAGE(10.5,10.7,15.4,14.2)</f>
        <v>12.7</v>
      </c>
      <c r="AC1369" s="2490"/>
      <c r="AD1369" s="2490"/>
      <c r="AE1369" s="2490"/>
      <c r="AF1369" s="2490"/>
      <c r="AG1369" s="2490"/>
      <c r="AH1369" s="2845"/>
      <c r="BB1369" s="2843"/>
    </row>
    <row r="1370" spans="2:54" s="2794" customFormat="1" ht="15" customHeight="1" outlineLevel="1" x14ac:dyDescent="0.25">
      <c r="B1370" s="298"/>
      <c r="C1370" s="1007"/>
      <c r="D1370" s="4001"/>
      <c r="E1370" s="3424"/>
      <c r="F1370" s="3077" t="s">
        <v>3745</v>
      </c>
      <c r="G1370" s="1868">
        <f>AVERAGE(22.5, 24.4, 29.3, 29)</f>
        <v>26.3</v>
      </c>
      <c r="H1370" s="4002" t="s">
        <v>3742</v>
      </c>
      <c r="I1370" s="4003"/>
      <c r="J1370" s="3880" t="s">
        <v>3743</v>
      </c>
      <c r="K1370" s="3866"/>
      <c r="L1370" s="3866"/>
      <c r="M1370" s="278"/>
      <c r="N1370" s="278"/>
      <c r="O1370" s="278"/>
      <c r="P1370" s="2845"/>
      <c r="Q1370" s="2845"/>
      <c r="R1370" s="2845"/>
      <c r="V1370" s="4001"/>
      <c r="W1370" s="459"/>
      <c r="X1370" s="129"/>
      <c r="Y1370" s="129"/>
      <c r="Z1370" s="129"/>
      <c r="AA1370" s="2490"/>
      <c r="AB1370" s="2846">
        <f>AVERAGE(22.5, 24.4, 29.3, 29)</f>
        <v>26.3</v>
      </c>
      <c r="AC1370" s="2490"/>
      <c r="AD1370" s="2490"/>
      <c r="AE1370" s="2490"/>
      <c r="AF1370" s="2490"/>
      <c r="AG1370" s="2490"/>
      <c r="AH1370" s="2845"/>
      <c r="BB1370" s="2843"/>
    </row>
    <row r="1371" spans="2:54" s="2794" customFormat="1" ht="15" customHeight="1" outlineLevel="1" x14ac:dyDescent="0.25">
      <c r="B1371" s="298"/>
      <c r="C1371" s="1007"/>
      <c r="D1371" s="4001"/>
      <c r="E1371" s="3424"/>
      <c r="F1371" s="3077" t="s">
        <v>3746</v>
      </c>
      <c r="G1371" s="1868">
        <f>AVERAGE(9.6, 9.8, 9.3, 13.4)</f>
        <v>10.525</v>
      </c>
      <c r="H1371" s="4002" t="s">
        <v>3742</v>
      </c>
      <c r="I1371" s="4003"/>
      <c r="J1371" s="3880" t="s">
        <v>3743</v>
      </c>
      <c r="K1371" s="3866"/>
      <c r="L1371" s="3866"/>
      <c r="M1371" s="278"/>
      <c r="N1371" s="278"/>
      <c r="O1371" s="278"/>
      <c r="P1371" s="2845"/>
      <c r="Q1371" s="2845"/>
      <c r="R1371" s="2845"/>
      <c r="V1371" s="4001"/>
      <c r="W1371" s="459"/>
      <c r="X1371" s="129"/>
      <c r="Y1371" s="129"/>
      <c r="Z1371" s="129"/>
      <c r="AA1371" s="2490"/>
      <c r="AB1371" s="2846">
        <f>AVERAGE(9.6, 9.8, 9.3, 13.4)</f>
        <v>10.525</v>
      </c>
      <c r="AC1371" s="2490"/>
      <c r="AD1371" s="2490"/>
      <c r="AE1371" s="2490"/>
      <c r="AF1371" s="2490"/>
      <c r="AG1371" s="2490"/>
      <c r="AH1371" s="2845"/>
      <c r="BB1371" s="2843"/>
    </row>
    <row r="1372" spans="2:54" s="2794" customFormat="1" ht="30.75" customHeight="1" outlineLevel="1" x14ac:dyDescent="0.25">
      <c r="B1372" s="298"/>
      <c r="C1372" s="1007"/>
      <c r="D1372" s="1443" t="s">
        <v>3747</v>
      </c>
      <c r="E1372" s="3003" t="s">
        <v>3748</v>
      </c>
      <c r="F1372" s="3003"/>
      <c r="G1372" s="1868">
        <v>11</v>
      </c>
      <c r="H1372" s="4004" t="s">
        <v>3749</v>
      </c>
      <c r="I1372" s="4004"/>
      <c r="J1372" s="3880"/>
      <c r="K1372" s="3866"/>
      <c r="L1372" s="3866"/>
      <c r="M1372" s="278"/>
      <c r="N1372" s="278"/>
      <c r="O1372" s="278"/>
      <c r="P1372" s="2845"/>
      <c r="Q1372" s="2845"/>
      <c r="R1372" s="2845"/>
      <c r="V1372" s="1443" t="s">
        <v>3747</v>
      </c>
      <c r="W1372" s="459"/>
      <c r="X1372" s="129"/>
      <c r="Y1372" s="129"/>
      <c r="Z1372" s="129"/>
      <c r="AA1372" s="2490"/>
      <c r="AB1372" s="2846">
        <v>11</v>
      </c>
      <c r="AC1372" s="2490"/>
      <c r="AD1372" s="2490"/>
      <c r="AE1372" s="2490"/>
      <c r="AF1372" s="2490"/>
      <c r="AG1372" s="2490"/>
      <c r="AH1372" s="2845"/>
      <c r="BB1372" s="2843"/>
    </row>
    <row r="1373" spans="2:54" s="2794" customFormat="1" ht="15" customHeight="1" outlineLevel="1" x14ac:dyDescent="0.25">
      <c r="B1373" s="298"/>
      <c r="C1373" s="1007"/>
      <c r="D1373" s="4001" t="s">
        <v>3750</v>
      </c>
      <c r="E1373" s="3424" t="s">
        <v>3751</v>
      </c>
      <c r="F1373" s="3077" t="s">
        <v>3741</v>
      </c>
      <c r="G1373" s="3012">
        <f>AVERAGE(47.7, 49.8,51.5, 57.7)</f>
        <v>51.674999999999997</v>
      </c>
      <c r="H1373" s="4007" t="s">
        <v>3742</v>
      </c>
      <c r="I1373" s="4007"/>
      <c r="J1373" s="3880" t="s">
        <v>3743</v>
      </c>
      <c r="K1373" s="3866"/>
      <c r="L1373" s="3866"/>
      <c r="M1373" s="278"/>
      <c r="N1373" s="278"/>
      <c r="O1373" s="278"/>
      <c r="P1373" s="2845"/>
      <c r="Q1373" s="2845"/>
      <c r="R1373" s="2845"/>
      <c r="V1373" s="4001" t="s">
        <v>3750</v>
      </c>
      <c r="W1373" s="459"/>
      <c r="X1373" s="129"/>
      <c r="Y1373" s="129"/>
      <c r="Z1373" s="129"/>
      <c r="AA1373" s="2490"/>
      <c r="AB1373" s="2847">
        <f>AVERAGE(47.7, 49.8,51.5, 57.7)</f>
        <v>51.674999999999997</v>
      </c>
      <c r="AC1373" s="2490"/>
      <c r="AD1373" s="2490"/>
      <c r="AE1373" s="2490"/>
      <c r="AF1373" s="2490"/>
      <c r="AG1373" s="2490"/>
      <c r="AH1373" s="2845"/>
      <c r="BB1373" s="2843"/>
    </row>
    <row r="1374" spans="2:54" s="2794" customFormat="1" ht="15" customHeight="1" outlineLevel="1" x14ac:dyDescent="0.25">
      <c r="B1374" s="298"/>
      <c r="C1374" s="1007"/>
      <c r="D1374" s="4001"/>
      <c r="E1374" s="3424"/>
      <c r="F1374" s="3077" t="s">
        <v>3744</v>
      </c>
      <c r="G1374" s="1868">
        <f>AVERAGE(13.3, 17.9,13.3,20.3)</f>
        <v>16.2</v>
      </c>
      <c r="H1374" s="4004" t="s">
        <v>3742</v>
      </c>
      <c r="I1374" s="4004"/>
      <c r="J1374" s="3880" t="s">
        <v>3743</v>
      </c>
      <c r="K1374" s="3866"/>
      <c r="L1374" s="3866"/>
      <c r="M1374" s="278"/>
      <c r="N1374" s="278"/>
      <c r="O1374" s="278"/>
      <c r="P1374" s="2845"/>
      <c r="Q1374" s="2845"/>
      <c r="R1374" s="2845"/>
      <c r="V1374" s="4001"/>
      <c r="W1374" s="459"/>
      <c r="X1374" s="129"/>
      <c r="Y1374" s="129"/>
      <c r="Z1374" s="129"/>
      <c r="AA1374" s="2490"/>
      <c r="AB1374" s="2846">
        <f>AVERAGE(13.3, 17.9,13.3,20.3)</f>
        <v>16.2</v>
      </c>
      <c r="AC1374" s="2490"/>
      <c r="AD1374" s="2490"/>
      <c r="AE1374" s="2490"/>
      <c r="AF1374" s="2490"/>
      <c r="AG1374" s="2490"/>
      <c r="AH1374" s="2845"/>
      <c r="BB1374" s="2843"/>
    </row>
    <row r="1375" spans="2:54" s="2794" customFormat="1" ht="15" customHeight="1" outlineLevel="1" x14ac:dyDescent="0.25">
      <c r="B1375" s="298"/>
      <c r="C1375" s="1007"/>
      <c r="D1375" s="4001"/>
      <c r="E1375" s="3424"/>
      <c r="F1375" s="3077" t="s">
        <v>3745</v>
      </c>
      <c r="G1375" s="1868">
        <f>AVERAGE(48.5,49,53.2,55.9)</f>
        <v>51.65</v>
      </c>
      <c r="H1375" s="4004" t="s">
        <v>3742</v>
      </c>
      <c r="I1375" s="4004"/>
      <c r="J1375" s="3880" t="s">
        <v>3743</v>
      </c>
      <c r="K1375" s="3866"/>
      <c r="L1375" s="3866"/>
      <c r="M1375" s="278"/>
      <c r="N1375" s="278"/>
      <c r="O1375" s="278"/>
      <c r="P1375" s="2845"/>
      <c r="Q1375" s="2845"/>
      <c r="R1375" s="2845"/>
      <c r="V1375" s="4001"/>
      <c r="W1375" s="459"/>
      <c r="X1375" s="129"/>
      <c r="Y1375" s="129"/>
      <c r="Z1375" s="129"/>
      <c r="AA1375" s="2490"/>
      <c r="AB1375" s="2846">
        <f>AVERAGE(48.5,49,53.2,55.9)</f>
        <v>51.65</v>
      </c>
      <c r="AC1375" s="2490"/>
      <c r="AD1375" s="2490"/>
      <c r="AE1375" s="2490"/>
      <c r="AF1375" s="2490"/>
      <c r="AG1375" s="2490"/>
      <c r="AH1375" s="2845"/>
      <c r="BB1375" s="2843"/>
    </row>
    <row r="1376" spans="2:54" s="2794" customFormat="1" ht="15" customHeight="1" outlineLevel="1" x14ac:dyDescent="0.25">
      <c r="B1376" s="298"/>
      <c r="C1376" s="1007"/>
      <c r="D1376" s="4001"/>
      <c r="E1376" s="3424"/>
      <c r="F1376" s="3077" t="s">
        <v>3746</v>
      </c>
      <c r="G1376" s="1868">
        <f>AVERAGE(12.3,14.2,19.3,17.5)</f>
        <v>15.824999999999999</v>
      </c>
      <c r="H1376" s="4004" t="s">
        <v>3742</v>
      </c>
      <c r="I1376" s="4004"/>
      <c r="J1376" s="3880" t="s">
        <v>3743</v>
      </c>
      <c r="K1376" s="3866"/>
      <c r="L1376" s="3866"/>
      <c r="M1376" s="278"/>
      <c r="N1376" s="278"/>
      <c r="O1376" s="278"/>
      <c r="P1376" s="2845"/>
      <c r="Q1376" s="2845"/>
      <c r="R1376" s="2845"/>
      <c r="V1376" s="4001"/>
      <c r="W1376" s="459"/>
      <c r="X1376" s="129"/>
      <c r="Y1376" s="129"/>
      <c r="Z1376" s="129"/>
      <c r="AA1376" s="2490"/>
      <c r="AB1376" s="2846">
        <f>AVERAGE(12.3,14.2,19.3,17.5)</f>
        <v>15.824999999999999</v>
      </c>
      <c r="AC1376" s="2490"/>
      <c r="AD1376" s="2490"/>
      <c r="AE1376" s="2490"/>
      <c r="AF1376" s="2490"/>
      <c r="AG1376" s="2490"/>
      <c r="AH1376" s="2845"/>
      <c r="BB1376" s="2843"/>
    </row>
    <row r="1377" spans="2:54" s="2794" customFormat="1" ht="15" customHeight="1" outlineLevel="1" x14ac:dyDescent="0.25">
      <c r="B1377" s="298"/>
      <c r="C1377" s="1007"/>
      <c r="D1377" s="4001" t="s">
        <v>3752</v>
      </c>
      <c r="E1377" s="3424" t="s">
        <v>3753</v>
      </c>
      <c r="F1377" s="3077" t="s">
        <v>3754</v>
      </c>
      <c r="G1377" s="3297">
        <v>1</v>
      </c>
      <c r="H1377" s="4004" t="s">
        <v>3755</v>
      </c>
      <c r="I1377" s="4004"/>
      <c r="J1377" s="3880"/>
      <c r="K1377" s="3866"/>
      <c r="L1377" s="3866"/>
      <c r="M1377" s="278"/>
      <c r="N1377" s="278"/>
      <c r="O1377" s="278"/>
      <c r="P1377" s="2845"/>
      <c r="Q1377" s="2845"/>
      <c r="R1377" s="2845"/>
      <c r="V1377" s="4001" t="s">
        <v>3752</v>
      </c>
      <c r="W1377" s="459"/>
      <c r="X1377" s="129"/>
      <c r="Y1377" s="129"/>
      <c r="Z1377" s="129"/>
      <c r="AA1377" s="2490"/>
      <c r="AB1377" s="2848">
        <v>1</v>
      </c>
      <c r="AC1377" s="2490"/>
      <c r="AD1377" s="2490"/>
      <c r="AE1377" s="2490"/>
      <c r="AF1377" s="2490"/>
      <c r="AG1377" s="2490"/>
      <c r="AH1377" s="2845"/>
      <c r="BB1377" s="2843"/>
    </row>
    <row r="1378" spans="2:54" s="2794" customFormat="1" ht="30.75" customHeight="1" outlineLevel="1" x14ac:dyDescent="0.25">
      <c r="B1378" s="298"/>
      <c r="C1378" s="1007"/>
      <c r="D1378" s="4001"/>
      <c r="E1378" s="3424"/>
      <c r="F1378" s="3003" t="s">
        <v>3756</v>
      </c>
      <c r="G1378" s="1093">
        <f>AVERAGE(1.7,1.92,2.04)</f>
        <v>1.8866666666666667</v>
      </c>
      <c r="H1378" s="4005" t="s">
        <v>3757</v>
      </c>
      <c r="I1378" s="4006"/>
      <c r="J1378" s="3880"/>
      <c r="K1378" s="3866"/>
      <c r="L1378" s="3866"/>
      <c r="M1378" s="278"/>
      <c r="N1378" s="278"/>
      <c r="O1378" s="278"/>
      <c r="P1378" s="2845"/>
      <c r="Q1378" s="2845"/>
      <c r="R1378" s="2845"/>
      <c r="V1378" s="4001"/>
      <c r="W1378" s="459"/>
      <c r="X1378" s="129"/>
      <c r="Y1378" s="129"/>
      <c r="Z1378" s="129"/>
      <c r="AA1378" s="2490"/>
      <c r="AB1378" s="2849">
        <f>AVERAGE(1.7,1.92,2.04)</f>
        <v>1.8866666666666667</v>
      </c>
      <c r="AC1378" s="2490"/>
      <c r="AD1378" s="2490"/>
      <c r="AE1378" s="2490"/>
      <c r="AF1378" s="2490"/>
      <c r="AG1378" s="2490"/>
      <c r="AH1378" s="2845"/>
      <c r="BB1378" s="2843"/>
    </row>
    <row r="1379" spans="2:54" s="2794" customFormat="1" ht="15" customHeight="1" outlineLevel="1" x14ac:dyDescent="0.25">
      <c r="B1379" s="298"/>
      <c r="C1379" s="1007"/>
      <c r="D1379" s="4001"/>
      <c r="E1379" s="3424"/>
      <c r="F1379" s="3003" t="s">
        <v>3758</v>
      </c>
      <c r="G1379" s="3297">
        <v>0</v>
      </c>
      <c r="H1379" s="4004"/>
      <c r="I1379" s="4004"/>
      <c r="J1379" s="3880" t="s">
        <v>3759</v>
      </c>
      <c r="K1379" s="3866"/>
      <c r="L1379" s="3866"/>
      <c r="M1379" s="278"/>
      <c r="N1379" s="278"/>
      <c r="O1379" s="278"/>
      <c r="P1379" s="2845"/>
      <c r="Q1379" s="2845"/>
      <c r="R1379" s="2845"/>
      <c r="V1379" s="4001"/>
      <c r="W1379" s="459"/>
      <c r="X1379" s="129"/>
      <c r="Y1379" s="129"/>
      <c r="Z1379" s="129"/>
      <c r="AA1379" s="2490"/>
      <c r="AB1379" s="2848">
        <v>0</v>
      </c>
      <c r="AC1379" s="2490"/>
      <c r="AD1379" s="2490"/>
      <c r="AE1379" s="2490"/>
      <c r="AF1379" s="2490"/>
      <c r="AG1379" s="2490"/>
      <c r="AH1379" s="2845"/>
      <c r="BB1379" s="2843"/>
    </row>
    <row r="1380" spans="2:54" s="2794" customFormat="1" ht="15" customHeight="1" outlineLevel="1" x14ac:dyDescent="0.25">
      <c r="B1380" s="298"/>
      <c r="C1380" s="1007"/>
      <c r="D1380" s="1443">
        <v>3.4119999999999999</v>
      </c>
      <c r="E1380" s="3003" t="s">
        <v>3760</v>
      </c>
      <c r="F1380" s="3003"/>
      <c r="G1380" s="3298">
        <v>3.4119999999999999</v>
      </c>
      <c r="H1380" s="4004"/>
      <c r="I1380" s="4004"/>
      <c r="J1380" s="3880"/>
      <c r="K1380" s="3866"/>
      <c r="L1380" s="3866"/>
      <c r="M1380" s="278"/>
      <c r="N1380" s="278"/>
      <c r="O1380" s="278"/>
      <c r="P1380" s="2845"/>
      <c r="Q1380" s="2845"/>
      <c r="R1380" s="2845"/>
      <c r="V1380" s="1443">
        <v>3.4119999999999999</v>
      </c>
      <c r="W1380" s="2852"/>
      <c r="X1380" s="2852"/>
      <c r="Y1380" s="2853"/>
      <c r="Z1380" s="2852"/>
      <c r="AA1380" s="2852"/>
      <c r="AB1380" s="2850">
        <v>3.4119999999999999</v>
      </c>
      <c r="AC1380" s="2852"/>
      <c r="AD1380" s="2852"/>
      <c r="AE1380" s="2852"/>
      <c r="AF1380" s="2852"/>
      <c r="AG1380" s="2852"/>
      <c r="AH1380" s="2845"/>
      <c r="BB1380" s="2843"/>
    </row>
    <row r="1381" spans="2:54" s="2794" customFormat="1" ht="15" customHeight="1" outlineLevel="1" x14ac:dyDescent="0.25">
      <c r="B1381" s="298"/>
      <c r="C1381" s="1007"/>
      <c r="D1381" s="1443" t="s">
        <v>24</v>
      </c>
      <c r="E1381" s="3003" t="s">
        <v>611</v>
      </c>
      <c r="F1381" s="3003"/>
      <c r="G1381" s="3297">
        <v>20</v>
      </c>
      <c r="H1381" s="4004" t="s">
        <v>3761</v>
      </c>
      <c r="I1381" s="4004"/>
      <c r="J1381" s="3880"/>
      <c r="K1381" s="3866"/>
      <c r="L1381" s="3866"/>
      <c r="M1381" s="278"/>
      <c r="N1381" s="278"/>
      <c r="O1381" s="278"/>
      <c r="P1381" s="2845"/>
      <c r="Q1381" s="2845"/>
      <c r="R1381" s="2845"/>
      <c r="V1381" s="1443" t="s">
        <v>24</v>
      </c>
      <c r="W1381" s="2852"/>
      <c r="X1381" s="2852"/>
      <c r="Y1381" s="2853"/>
      <c r="Z1381" s="2852"/>
      <c r="AA1381" s="2852"/>
      <c r="AB1381" s="2848">
        <v>20</v>
      </c>
      <c r="AC1381" s="2852"/>
      <c r="AD1381" s="2852"/>
      <c r="AE1381" s="2852"/>
      <c r="AF1381" s="2852"/>
      <c r="AG1381" s="2852"/>
      <c r="AH1381" s="2845"/>
      <c r="BB1381" s="2843"/>
    </row>
    <row r="1382" spans="2:54" s="2794" customFormat="1" ht="15" customHeight="1" outlineLevel="1" x14ac:dyDescent="0.25">
      <c r="B1382" s="298"/>
      <c r="C1382" s="1007"/>
      <c r="D1382" s="1443" t="s">
        <v>3285</v>
      </c>
      <c r="E1382" s="3003" t="s">
        <v>613</v>
      </c>
      <c r="F1382" s="3003" t="s">
        <v>3762</v>
      </c>
      <c r="G1382" s="3299">
        <f>AVERAGE(6.72,7.85)+30/15</f>
        <v>9.2850000000000001</v>
      </c>
      <c r="H1382" s="4004" t="s">
        <v>3761</v>
      </c>
      <c r="I1382" s="4004"/>
      <c r="J1382" s="3880" t="s">
        <v>3763</v>
      </c>
      <c r="K1382" s="3866"/>
      <c r="L1382" s="3866"/>
      <c r="M1382" s="278"/>
      <c r="N1382" s="278"/>
      <c r="O1382" s="278"/>
      <c r="P1382" s="2845"/>
      <c r="Q1382" s="2845"/>
      <c r="R1382" s="2845"/>
      <c r="V1382" s="1443" t="s">
        <v>3285</v>
      </c>
      <c r="W1382" s="2852"/>
      <c r="X1382" s="2852"/>
      <c r="Y1382" s="2853"/>
      <c r="Z1382" s="2852"/>
      <c r="AA1382" s="2852"/>
      <c r="AB1382" s="2851">
        <f>AVERAGE(6.72,7.85)+30/15</f>
        <v>9.2850000000000001</v>
      </c>
      <c r="AC1382" s="2852"/>
      <c r="AD1382" s="2852"/>
      <c r="AE1382" s="2852"/>
      <c r="AF1382" s="2852"/>
      <c r="AG1382" s="2852"/>
      <c r="AH1382" s="2845"/>
      <c r="BB1382" s="2843"/>
    </row>
    <row r="1383" spans="2:54" s="2794" customFormat="1" x14ac:dyDescent="0.25">
      <c r="B1383" s="298"/>
      <c r="C1383" s="1007"/>
      <c r="D1383" s="3300"/>
      <c r="E1383" s="3300"/>
      <c r="F1383" s="278"/>
      <c r="G1383" s="278"/>
      <c r="H1383" s="278"/>
      <c r="I1383" s="278"/>
      <c r="J1383" s="278"/>
      <c r="K1383" s="278"/>
      <c r="L1383" s="278"/>
      <c r="M1383" s="278"/>
      <c r="N1383" s="278"/>
      <c r="O1383" s="278"/>
      <c r="P1383" s="2845"/>
      <c r="Q1383" s="2845"/>
      <c r="R1383" s="2845"/>
      <c r="V1383" s="2845"/>
      <c r="W1383" s="2845"/>
      <c r="X1383" s="2845"/>
      <c r="Y1383" s="2854"/>
      <c r="Z1383" s="2845"/>
      <c r="AA1383" s="2845"/>
      <c r="AB1383" s="2845"/>
      <c r="AC1383" s="2845"/>
      <c r="AD1383" s="2845"/>
      <c r="AE1383" s="2845"/>
      <c r="AF1383" s="2845"/>
      <c r="AG1383" s="2845"/>
      <c r="AH1383" s="2845"/>
      <c r="BB1383" s="2843"/>
    </row>
  </sheetData>
  <mergeCells count="882">
    <mergeCell ref="H1248:J1248"/>
    <mergeCell ref="H1380:I1380"/>
    <mergeCell ref="J1380:L1380"/>
    <mergeCell ref="H1381:I1381"/>
    <mergeCell ref="J1381:L1381"/>
    <mergeCell ref="H1382:I1382"/>
    <mergeCell ref="J1382:L1382"/>
    <mergeCell ref="D1377:D1379"/>
    <mergeCell ref="E1377:E1379"/>
    <mergeCell ref="H1377:I1377"/>
    <mergeCell ref="J1377:L1377"/>
    <mergeCell ref="F1340:H1340"/>
    <mergeCell ref="F1341:H1341"/>
    <mergeCell ref="D1286:D1287"/>
    <mergeCell ref="V1377:V1379"/>
    <mergeCell ref="H1378:I1378"/>
    <mergeCell ref="J1378:L1378"/>
    <mergeCell ref="H1379:I1379"/>
    <mergeCell ref="J1379:L1379"/>
    <mergeCell ref="H1372:I1372"/>
    <mergeCell ref="J1372:L1372"/>
    <mergeCell ref="D1373:D1376"/>
    <mergeCell ref="E1373:E1376"/>
    <mergeCell ref="H1373:I1373"/>
    <mergeCell ref="J1373:L1373"/>
    <mergeCell ref="V1373:V1376"/>
    <mergeCell ref="H1374:I1374"/>
    <mergeCell ref="J1374:L1374"/>
    <mergeCell ref="H1375:I1375"/>
    <mergeCell ref="J1375:L1375"/>
    <mergeCell ref="H1376:I1376"/>
    <mergeCell ref="J1376:L1376"/>
    <mergeCell ref="V1368:V1371"/>
    <mergeCell ref="H1369:I1369"/>
    <mergeCell ref="J1369:L1369"/>
    <mergeCell ref="H1370:I1370"/>
    <mergeCell ref="J1370:L1370"/>
    <mergeCell ref="H1371:I1371"/>
    <mergeCell ref="J1371:L1371"/>
    <mergeCell ref="B1345:O1345"/>
    <mergeCell ref="V1345:AI1345"/>
    <mergeCell ref="H1366:I1366"/>
    <mergeCell ref="J1366:L1366"/>
    <mergeCell ref="H1367:I1367"/>
    <mergeCell ref="J1367:L1367"/>
    <mergeCell ref="D1368:D1371"/>
    <mergeCell ref="E1368:E1371"/>
    <mergeCell ref="H1368:I1368"/>
    <mergeCell ref="J1368:L1368"/>
    <mergeCell ref="V1286:V1287"/>
    <mergeCell ref="B1291:O1291"/>
    <mergeCell ref="V1291:AI1291"/>
    <mergeCell ref="D1327:D1332"/>
    <mergeCell ref="V1327:V1332"/>
    <mergeCell ref="B1256:R1256"/>
    <mergeCell ref="V1256:AI1256"/>
    <mergeCell ref="D1270:D1271"/>
    <mergeCell ref="I1270:R1271"/>
    <mergeCell ref="V1270:V1271"/>
    <mergeCell ref="I1272:I1273"/>
    <mergeCell ref="K1272:M1272"/>
    <mergeCell ref="N1272:R1272"/>
    <mergeCell ref="U1127:U1149"/>
    <mergeCell ref="U1150:U1172"/>
    <mergeCell ref="U1173:U1174"/>
    <mergeCell ref="D1236:D1237"/>
    <mergeCell ref="E1236:E1237"/>
    <mergeCell ref="D1238:D1241"/>
    <mergeCell ref="E1238:E1241"/>
    <mergeCell ref="D1242:D1245"/>
    <mergeCell ref="E1242:E1245"/>
    <mergeCell ref="H1234:J1234"/>
    <mergeCell ref="H1236:J1236"/>
    <mergeCell ref="H1238:J1238"/>
    <mergeCell ref="H1242:J1242"/>
    <mergeCell ref="H1204:I1204"/>
    <mergeCell ref="H1205:I1205"/>
    <mergeCell ref="H1206:I1206"/>
    <mergeCell ref="H1208:I1208"/>
    <mergeCell ref="H1209:I1209"/>
    <mergeCell ref="D1189:D1212"/>
    <mergeCell ref="H1207:I1207"/>
    <mergeCell ref="H1198:I1198"/>
    <mergeCell ref="H1199:I1199"/>
    <mergeCell ref="D1185:D1186"/>
    <mergeCell ref="H1185:I1185"/>
    <mergeCell ref="V1185:V1186"/>
    <mergeCell ref="H1186:I1186"/>
    <mergeCell ref="D1187:D1188"/>
    <mergeCell ref="E1187:E1188"/>
    <mergeCell ref="F1187:F1188"/>
    <mergeCell ref="G1187:G1188"/>
    <mergeCell ref="H1187:I1188"/>
    <mergeCell ref="V797:V798"/>
    <mergeCell ref="H798:I798"/>
    <mergeCell ref="J798:L798"/>
    <mergeCell ref="H799:I799"/>
    <mergeCell ref="J799:L799"/>
    <mergeCell ref="D800:D801"/>
    <mergeCell ref="E800:E801"/>
    <mergeCell ref="H800:I800"/>
    <mergeCell ref="J800:L800"/>
    <mergeCell ref="V800:V801"/>
    <mergeCell ref="H801:I801"/>
    <mergeCell ref="J801:L801"/>
    <mergeCell ref="H1180:I1180"/>
    <mergeCell ref="H1181:I1181"/>
    <mergeCell ref="H1182:I1182"/>
    <mergeCell ref="H1183:I1183"/>
    <mergeCell ref="H1184:I1184"/>
    <mergeCell ref="H794:I794"/>
    <mergeCell ref="J794:L794"/>
    <mergeCell ref="H795:I795"/>
    <mergeCell ref="J795:L795"/>
    <mergeCell ref="H796:I796"/>
    <mergeCell ref="J796:L796"/>
    <mergeCell ref="D797:D798"/>
    <mergeCell ref="E797:E798"/>
    <mergeCell ref="H797:I797"/>
    <mergeCell ref="J797:L797"/>
    <mergeCell ref="H789:I789"/>
    <mergeCell ref="J789:L789"/>
    <mergeCell ref="H790:I790"/>
    <mergeCell ref="J790:L790"/>
    <mergeCell ref="H791:I791"/>
    <mergeCell ref="J791:L791"/>
    <mergeCell ref="H792:I792"/>
    <mergeCell ref="J792:L792"/>
    <mergeCell ref="H793:I793"/>
    <mergeCell ref="J793:L793"/>
    <mergeCell ref="J784:L784"/>
    <mergeCell ref="H785:I785"/>
    <mergeCell ref="J785:L785"/>
    <mergeCell ref="H786:I786"/>
    <mergeCell ref="J786:L786"/>
    <mergeCell ref="H787:I787"/>
    <mergeCell ref="J787:L787"/>
    <mergeCell ref="H788:I788"/>
    <mergeCell ref="J788:L788"/>
    <mergeCell ref="V1215:AI1215"/>
    <mergeCell ref="B1215:R1215"/>
    <mergeCell ref="H1249:J1249"/>
    <mergeCell ref="H1250:J1250"/>
    <mergeCell ref="H1251:J1251"/>
    <mergeCell ref="H1252:J1252"/>
    <mergeCell ref="V1236:V1237"/>
    <mergeCell ref="V1238:V1241"/>
    <mergeCell ref="V1242:V1245"/>
    <mergeCell ref="V1246:V1247"/>
    <mergeCell ref="V1249:V1252"/>
    <mergeCell ref="H1237:J1237"/>
    <mergeCell ref="H1239:J1239"/>
    <mergeCell ref="H1240:J1240"/>
    <mergeCell ref="H1241:J1241"/>
    <mergeCell ref="H1243:J1243"/>
    <mergeCell ref="H1244:J1244"/>
    <mergeCell ref="H1245:J1245"/>
    <mergeCell ref="H1247:J1247"/>
    <mergeCell ref="D1249:D1252"/>
    <mergeCell ref="E1249:E1252"/>
    <mergeCell ref="D1246:D1247"/>
    <mergeCell ref="E1246:E1247"/>
    <mergeCell ref="H1246:J1246"/>
    <mergeCell ref="H1202:I1202"/>
    <mergeCell ref="H1203:I1203"/>
    <mergeCell ref="H1189:I1189"/>
    <mergeCell ref="H1190:I1190"/>
    <mergeCell ref="H1191:I1191"/>
    <mergeCell ref="H1192:I1192"/>
    <mergeCell ref="H1193:I1193"/>
    <mergeCell ref="H1195:I1195"/>
    <mergeCell ref="H1196:I1196"/>
    <mergeCell ref="H1197:I1197"/>
    <mergeCell ref="H1200:I1200"/>
    <mergeCell ref="H1201:I1201"/>
    <mergeCell ref="H1171:I1171"/>
    <mergeCell ref="H1173:I1173"/>
    <mergeCell ref="H1175:I1175"/>
    <mergeCell ref="H1176:I1176"/>
    <mergeCell ref="H1177:I1177"/>
    <mergeCell ref="H1178:I1178"/>
    <mergeCell ref="H1179:I1179"/>
    <mergeCell ref="H1164:I1164"/>
    <mergeCell ref="H1165:I1165"/>
    <mergeCell ref="H1166:I1166"/>
    <mergeCell ref="H1167:I1167"/>
    <mergeCell ref="H1169:I1169"/>
    <mergeCell ref="H1170:I1170"/>
    <mergeCell ref="H1158:I1158"/>
    <mergeCell ref="H1159:I1159"/>
    <mergeCell ref="H1160:I1160"/>
    <mergeCell ref="H1161:I1161"/>
    <mergeCell ref="H1162:I1162"/>
    <mergeCell ref="H1163:I1163"/>
    <mergeCell ref="H1134:I1134"/>
    <mergeCell ref="H1135:I1135"/>
    <mergeCell ref="H1136:I1136"/>
    <mergeCell ref="H1151:I1151"/>
    <mergeCell ref="H1152:I1152"/>
    <mergeCell ref="H1153:I1153"/>
    <mergeCell ref="H1154:I1154"/>
    <mergeCell ref="H1156:I1156"/>
    <mergeCell ref="H1157:I1157"/>
    <mergeCell ref="H1143:I1143"/>
    <mergeCell ref="H1144:I1144"/>
    <mergeCell ref="H1146:I1146"/>
    <mergeCell ref="H1147:I1147"/>
    <mergeCell ref="H1148:I1148"/>
    <mergeCell ref="H1150:I1150"/>
    <mergeCell ref="F1126:G1126"/>
    <mergeCell ref="H1126:I1126"/>
    <mergeCell ref="H1127:I1127"/>
    <mergeCell ref="H1128:I1128"/>
    <mergeCell ref="H1129:I1129"/>
    <mergeCell ref="K1091:K1092"/>
    <mergeCell ref="L1091:L1092"/>
    <mergeCell ref="M1091:M1092"/>
    <mergeCell ref="N1091:N1092"/>
    <mergeCell ref="B1089:R1089"/>
    <mergeCell ref="V1089:AI1089"/>
    <mergeCell ref="C1091:C1092"/>
    <mergeCell ref="D1091:D1092"/>
    <mergeCell ref="E1091:E1092"/>
    <mergeCell ref="F1091:F1092"/>
    <mergeCell ref="G1091:G1092"/>
    <mergeCell ref="H1091:H1092"/>
    <mergeCell ref="I1091:I1092"/>
    <mergeCell ref="J1091:J1092"/>
    <mergeCell ref="R1091:R1092"/>
    <mergeCell ref="O1091:O1092"/>
    <mergeCell ref="P1091:Q1091"/>
    <mergeCell ref="G1082:H1082"/>
    <mergeCell ref="G1083:H1083"/>
    <mergeCell ref="G1084:H1084"/>
    <mergeCell ref="D1085:D1086"/>
    <mergeCell ref="G1085:H1085"/>
    <mergeCell ref="V1085:V1086"/>
    <mergeCell ref="G1086:H1086"/>
    <mergeCell ref="G1076:H1076"/>
    <mergeCell ref="G1077:H1077"/>
    <mergeCell ref="G1078:H1078"/>
    <mergeCell ref="G1079:H1079"/>
    <mergeCell ref="G1080:H1080"/>
    <mergeCell ref="G1081:H1081"/>
    <mergeCell ref="G1070:H1070"/>
    <mergeCell ref="G1071:H1071"/>
    <mergeCell ref="G1072:H1072"/>
    <mergeCell ref="G1073:H1073"/>
    <mergeCell ref="G1074:H1074"/>
    <mergeCell ref="G1075:H1075"/>
    <mergeCell ref="V1052:V1053"/>
    <mergeCell ref="G1053:H1053"/>
    <mergeCell ref="B1056:R1056"/>
    <mergeCell ref="V1056:AI1056"/>
    <mergeCell ref="G1068:H1068"/>
    <mergeCell ref="G1069:H1069"/>
    <mergeCell ref="G1048:H1048"/>
    <mergeCell ref="G1049:H1049"/>
    <mergeCell ref="G1050:H1050"/>
    <mergeCell ref="G1051:H1051"/>
    <mergeCell ref="D1052:D1053"/>
    <mergeCell ref="G1052:H1052"/>
    <mergeCell ref="G1042:H1042"/>
    <mergeCell ref="G1043:H1043"/>
    <mergeCell ref="G1044:H1044"/>
    <mergeCell ref="G1045:H1045"/>
    <mergeCell ref="G1046:H1046"/>
    <mergeCell ref="G1047:H1047"/>
    <mergeCell ref="B1025:R1025"/>
    <mergeCell ref="V1025:AI1025"/>
    <mergeCell ref="G1038:H1038"/>
    <mergeCell ref="G1039:H1039"/>
    <mergeCell ref="G1040:H1040"/>
    <mergeCell ref="G1041:H1041"/>
    <mergeCell ref="G1018:H1018"/>
    <mergeCell ref="G1019:H1019"/>
    <mergeCell ref="G1020:H1020"/>
    <mergeCell ref="D1021:D1022"/>
    <mergeCell ref="G1021:H1021"/>
    <mergeCell ref="V1021:V1022"/>
    <mergeCell ref="G1022:H1022"/>
    <mergeCell ref="G1012:H1012"/>
    <mergeCell ref="G1013:H1013"/>
    <mergeCell ref="G1014:H1014"/>
    <mergeCell ref="G1015:H1015"/>
    <mergeCell ref="G1016:H1016"/>
    <mergeCell ref="G1017:H1017"/>
    <mergeCell ref="B999:R999"/>
    <mergeCell ref="V999:AI999"/>
    <mergeCell ref="G1008:H1008"/>
    <mergeCell ref="G1009:H1009"/>
    <mergeCell ref="G1010:H1010"/>
    <mergeCell ref="G1011:H1011"/>
    <mergeCell ref="D995:D996"/>
    <mergeCell ref="E995:E996"/>
    <mergeCell ref="H995:I995"/>
    <mergeCell ref="J995:L995"/>
    <mergeCell ref="V995:V996"/>
    <mergeCell ref="H996:I996"/>
    <mergeCell ref="J996:L996"/>
    <mergeCell ref="H992:I992"/>
    <mergeCell ref="J992:L992"/>
    <mergeCell ref="H993:I993"/>
    <mergeCell ref="J993:L993"/>
    <mergeCell ref="H994:I994"/>
    <mergeCell ref="J994:L994"/>
    <mergeCell ref="H989:I989"/>
    <mergeCell ref="J989:L989"/>
    <mergeCell ref="H990:I990"/>
    <mergeCell ref="J990:L990"/>
    <mergeCell ref="H991:I991"/>
    <mergeCell ref="J991:L991"/>
    <mergeCell ref="H986:I986"/>
    <mergeCell ref="J986:L986"/>
    <mergeCell ref="H987:I987"/>
    <mergeCell ref="J987:L987"/>
    <mergeCell ref="H988:I988"/>
    <mergeCell ref="J988:L988"/>
    <mergeCell ref="D984:D985"/>
    <mergeCell ref="E984:E985"/>
    <mergeCell ref="H984:I984"/>
    <mergeCell ref="J984:L984"/>
    <mergeCell ref="V984:V985"/>
    <mergeCell ref="H985:I985"/>
    <mergeCell ref="J985:L985"/>
    <mergeCell ref="V980:V981"/>
    <mergeCell ref="H981:I981"/>
    <mergeCell ref="J981:L981"/>
    <mergeCell ref="H982:I982"/>
    <mergeCell ref="J982:L982"/>
    <mergeCell ref="H983:I983"/>
    <mergeCell ref="J983:L983"/>
    <mergeCell ref="H978:I978"/>
    <mergeCell ref="J978:L978"/>
    <mergeCell ref="H979:I979"/>
    <mergeCell ref="J979:L979"/>
    <mergeCell ref="D980:D981"/>
    <mergeCell ref="E980:E981"/>
    <mergeCell ref="H980:I980"/>
    <mergeCell ref="J980:L980"/>
    <mergeCell ref="B964:R964"/>
    <mergeCell ref="V964:AI964"/>
    <mergeCell ref="H976:I976"/>
    <mergeCell ref="J976:L976"/>
    <mergeCell ref="H977:I977"/>
    <mergeCell ref="J977:L977"/>
    <mergeCell ref="D940:D947"/>
    <mergeCell ref="V940:V947"/>
    <mergeCell ref="D948:D955"/>
    <mergeCell ref="G948:G955"/>
    <mergeCell ref="V948:V955"/>
    <mergeCell ref="D960:D961"/>
    <mergeCell ref="V960:V961"/>
    <mergeCell ref="D918:D925"/>
    <mergeCell ref="V918:V925"/>
    <mergeCell ref="D930:D937"/>
    <mergeCell ref="V930:V937"/>
    <mergeCell ref="D938:D939"/>
    <mergeCell ref="V938:V939"/>
    <mergeCell ref="V875:V876"/>
    <mergeCell ref="G876:H876"/>
    <mergeCell ref="I876:K876"/>
    <mergeCell ref="B879:R879"/>
    <mergeCell ref="V879:AI879"/>
    <mergeCell ref="D916:D917"/>
    <mergeCell ref="V916:V917"/>
    <mergeCell ref="G873:H873"/>
    <mergeCell ref="I873:K873"/>
    <mergeCell ref="G874:H874"/>
    <mergeCell ref="I874:K874"/>
    <mergeCell ref="D875:D876"/>
    <mergeCell ref="G875:H875"/>
    <mergeCell ref="I875:K875"/>
    <mergeCell ref="G870:H870"/>
    <mergeCell ref="I870:K870"/>
    <mergeCell ref="G871:H871"/>
    <mergeCell ref="I871:K871"/>
    <mergeCell ref="G872:H872"/>
    <mergeCell ref="I872:K872"/>
    <mergeCell ref="G867:H867"/>
    <mergeCell ref="I867:K867"/>
    <mergeCell ref="G868:H868"/>
    <mergeCell ref="I868:K868"/>
    <mergeCell ref="G869:H869"/>
    <mergeCell ref="I869:K869"/>
    <mergeCell ref="G864:H864"/>
    <mergeCell ref="I864:K864"/>
    <mergeCell ref="G865:H865"/>
    <mergeCell ref="I865:K865"/>
    <mergeCell ref="G866:H866"/>
    <mergeCell ref="I866:K866"/>
    <mergeCell ref="G861:H861"/>
    <mergeCell ref="I861:K861"/>
    <mergeCell ref="G862:H862"/>
    <mergeCell ref="I862:K862"/>
    <mergeCell ref="G863:H863"/>
    <mergeCell ref="I863:K863"/>
    <mergeCell ref="B849:R849"/>
    <mergeCell ref="V849:AI849"/>
    <mergeCell ref="G859:H859"/>
    <mergeCell ref="I859:K859"/>
    <mergeCell ref="G860:H860"/>
    <mergeCell ref="I860:K860"/>
    <mergeCell ref="D843:D846"/>
    <mergeCell ref="E843:E846"/>
    <mergeCell ref="H843:I843"/>
    <mergeCell ref="J843:L843"/>
    <mergeCell ref="V843:V846"/>
    <mergeCell ref="H838:I838"/>
    <mergeCell ref="J838:L838"/>
    <mergeCell ref="H839:I839"/>
    <mergeCell ref="J839:L839"/>
    <mergeCell ref="H844:I844"/>
    <mergeCell ref="J844:L844"/>
    <mergeCell ref="H845:I845"/>
    <mergeCell ref="J845:L845"/>
    <mergeCell ref="H846:I846"/>
    <mergeCell ref="J846:L846"/>
    <mergeCell ref="V839:V840"/>
    <mergeCell ref="H840:I840"/>
    <mergeCell ref="J840:L840"/>
    <mergeCell ref="H842:I842"/>
    <mergeCell ref="J842:L842"/>
    <mergeCell ref="D839:D841"/>
    <mergeCell ref="E839:E841"/>
    <mergeCell ref="H841:I841"/>
    <mergeCell ref="J841:L841"/>
    <mergeCell ref="H835:I835"/>
    <mergeCell ref="J835:L835"/>
    <mergeCell ref="H836:I836"/>
    <mergeCell ref="J836:L836"/>
    <mergeCell ref="H837:I837"/>
    <mergeCell ref="J837:L837"/>
    <mergeCell ref="H832:I832"/>
    <mergeCell ref="J832:L832"/>
    <mergeCell ref="H833:I833"/>
    <mergeCell ref="J833:L833"/>
    <mergeCell ref="H834:I834"/>
    <mergeCell ref="J834:L834"/>
    <mergeCell ref="D830:D831"/>
    <mergeCell ref="E830:E831"/>
    <mergeCell ref="H830:I830"/>
    <mergeCell ref="J830:L830"/>
    <mergeCell ref="V830:V831"/>
    <mergeCell ref="H831:I831"/>
    <mergeCell ref="J831:L831"/>
    <mergeCell ref="V826:V827"/>
    <mergeCell ref="H827:I827"/>
    <mergeCell ref="J827:L827"/>
    <mergeCell ref="H828:I828"/>
    <mergeCell ref="J828:L828"/>
    <mergeCell ref="H829:I829"/>
    <mergeCell ref="J829:L829"/>
    <mergeCell ref="H824:I824"/>
    <mergeCell ref="J824:L824"/>
    <mergeCell ref="H825:I825"/>
    <mergeCell ref="J825:L825"/>
    <mergeCell ref="D826:D827"/>
    <mergeCell ref="E826:E827"/>
    <mergeCell ref="H826:I826"/>
    <mergeCell ref="J826:L826"/>
    <mergeCell ref="H821:I821"/>
    <mergeCell ref="J821:L821"/>
    <mergeCell ref="H822:I822"/>
    <mergeCell ref="J822:L822"/>
    <mergeCell ref="H823:I823"/>
    <mergeCell ref="J823:L823"/>
    <mergeCell ref="V761:V762"/>
    <mergeCell ref="H762:I762"/>
    <mergeCell ref="J762:L762"/>
    <mergeCell ref="B804:R804"/>
    <mergeCell ref="V804:AI804"/>
    <mergeCell ref="H820:I820"/>
    <mergeCell ref="J820:L820"/>
    <mergeCell ref="H760:I760"/>
    <mergeCell ref="J760:L760"/>
    <mergeCell ref="D761:D762"/>
    <mergeCell ref="E761:E762"/>
    <mergeCell ref="H761:I761"/>
    <mergeCell ref="J761:L761"/>
    <mergeCell ref="B765:R765"/>
    <mergeCell ref="V765:AI765"/>
    <mergeCell ref="H780:I780"/>
    <mergeCell ref="J780:L780"/>
    <mergeCell ref="H781:I781"/>
    <mergeCell ref="J781:L781"/>
    <mergeCell ref="H782:I782"/>
    <mergeCell ref="J782:L782"/>
    <mergeCell ref="H783:I783"/>
    <mergeCell ref="J783:L783"/>
    <mergeCell ref="H784:I784"/>
    <mergeCell ref="D758:D759"/>
    <mergeCell ref="E758:E759"/>
    <mergeCell ref="H758:I758"/>
    <mergeCell ref="J758:L758"/>
    <mergeCell ref="V758:V759"/>
    <mergeCell ref="H759:I759"/>
    <mergeCell ref="J759:L759"/>
    <mergeCell ref="H755:I755"/>
    <mergeCell ref="J755:L755"/>
    <mergeCell ref="H756:I756"/>
    <mergeCell ref="J756:L756"/>
    <mergeCell ref="H757:I757"/>
    <mergeCell ref="J757:L757"/>
    <mergeCell ref="H752:I752"/>
    <mergeCell ref="J752:L752"/>
    <mergeCell ref="H753:I753"/>
    <mergeCell ref="J753:L753"/>
    <mergeCell ref="H754:I754"/>
    <mergeCell ref="J754:L754"/>
    <mergeCell ref="H749:I749"/>
    <mergeCell ref="J749:L749"/>
    <mergeCell ref="H750:I750"/>
    <mergeCell ref="J750:L750"/>
    <mergeCell ref="H751:I751"/>
    <mergeCell ref="J751:L751"/>
    <mergeCell ref="H746:I746"/>
    <mergeCell ref="J746:L746"/>
    <mergeCell ref="H747:I747"/>
    <mergeCell ref="J747:L747"/>
    <mergeCell ref="H748:I748"/>
    <mergeCell ref="J748:L748"/>
    <mergeCell ref="H743:I743"/>
    <mergeCell ref="J743:L743"/>
    <mergeCell ref="H744:I744"/>
    <mergeCell ref="J744:L744"/>
    <mergeCell ref="H745:I745"/>
    <mergeCell ref="J745:L745"/>
    <mergeCell ref="B727:R727"/>
    <mergeCell ref="V727:AI727"/>
    <mergeCell ref="H741:I741"/>
    <mergeCell ref="J741:L741"/>
    <mergeCell ref="H742:I742"/>
    <mergeCell ref="J742:L742"/>
    <mergeCell ref="V721:V724"/>
    <mergeCell ref="H722:I722"/>
    <mergeCell ref="J722:M722"/>
    <mergeCell ref="H723:I723"/>
    <mergeCell ref="J723:M723"/>
    <mergeCell ref="H724:I724"/>
    <mergeCell ref="J724:M724"/>
    <mergeCell ref="H720:I720"/>
    <mergeCell ref="J720:M720"/>
    <mergeCell ref="D721:D724"/>
    <mergeCell ref="E721:E724"/>
    <mergeCell ref="H721:I721"/>
    <mergeCell ref="J721:M721"/>
    <mergeCell ref="J715:M715"/>
    <mergeCell ref="D716:D719"/>
    <mergeCell ref="E716:E719"/>
    <mergeCell ref="H716:I719"/>
    <mergeCell ref="J716:M719"/>
    <mergeCell ref="V716:V719"/>
    <mergeCell ref="D712:D715"/>
    <mergeCell ref="E712:E715"/>
    <mergeCell ref="H712:I712"/>
    <mergeCell ref="J712:M712"/>
    <mergeCell ref="V712:V715"/>
    <mergeCell ref="H713:I713"/>
    <mergeCell ref="J713:M713"/>
    <mergeCell ref="H714:I714"/>
    <mergeCell ref="J714:M714"/>
    <mergeCell ref="H715:I715"/>
    <mergeCell ref="V708:V709"/>
    <mergeCell ref="H709:I709"/>
    <mergeCell ref="D710:D711"/>
    <mergeCell ref="E710:E711"/>
    <mergeCell ref="H710:I710"/>
    <mergeCell ref="J710:M710"/>
    <mergeCell ref="V710:V711"/>
    <mergeCell ref="H711:I711"/>
    <mergeCell ref="J711:M711"/>
    <mergeCell ref="H707:I707"/>
    <mergeCell ref="J707:M707"/>
    <mergeCell ref="D708:D709"/>
    <mergeCell ref="E708:E709"/>
    <mergeCell ref="H708:I708"/>
    <mergeCell ref="J708:M708"/>
    <mergeCell ref="J702:M702"/>
    <mergeCell ref="D703:D706"/>
    <mergeCell ref="E703:E706"/>
    <mergeCell ref="H703:I703"/>
    <mergeCell ref="J703:M703"/>
    <mergeCell ref="V703:V706"/>
    <mergeCell ref="H704:I704"/>
    <mergeCell ref="J704:M704"/>
    <mergeCell ref="H705:I705"/>
    <mergeCell ref="J705:M705"/>
    <mergeCell ref="D699:D702"/>
    <mergeCell ref="E699:E702"/>
    <mergeCell ref="H699:I699"/>
    <mergeCell ref="J699:M699"/>
    <mergeCell ref="V699:V702"/>
    <mergeCell ref="H700:I700"/>
    <mergeCell ref="J700:M700"/>
    <mergeCell ref="H701:I701"/>
    <mergeCell ref="J701:M701"/>
    <mergeCell ref="H702:I702"/>
    <mergeCell ref="H706:I706"/>
    <mergeCell ref="J706:M706"/>
    <mergeCell ref="V695:V696"/>
    <mergeCell ref="D697:D698"/>
    <mergeCell ref="E697:E698"/>
    <mergeCell ref="H697:I697"/>
    <mergeCell ref="J697:M697"/>
    <mergeCell ref="V697:V698"/>
    <mergeCell ref="H698:I698"/>
    <mergeCell ref="J698:M698"/>
    <mergeCell ref="H694:I694"/>
    <mergeCell ref="J694:K694"/>
    <mergeCell ref="L694:M694"/>
    <mergeCell ref="D695:D696"/>
    <mergeCell ref="E695:E696"/>
    <mergeCell ref="H695:I696"/>
    <mergeCell ref="J695:M695"/>
    <mergeCell ref="D656:D661"/>
    <mergeCell ref="E656:E661"/>
    <mergeCell ref="M656:N656"/>
    <mergeCell ref="V656:V661"/>
    <mergeCell ref="B664:O664"/>
    <mergeCell ref="P664:R664"/>
    <mergeCell ref="V664:AI664"/>
    <mergeCell ref="D650:D655"/>
    <mergeCell ref="E650:E655"/>
    <mergeCell ref="V650:V655"/>
    <mergeCell ref="M652:O652"/>
    <mergeCell ref="M653:N653"/>
    <mergeCell ref="M654:N654"/>
    <mergeCell ref="M655:N655"/>
    <mergeCell ref="H642:I642"/>
    <mergeCell ref="D643:D648"/>
    <mergeCell ref="E643:E648"/>
    <mergeCell ref="V643:V648"/>
    <mergeCell ref="M647:N647"/>
    <mergeCell ref="D629:D634"/>
    <mergeCell ref="E629:E634"/>
    <mergeCell ref="V629:V634"/>
    <mergeCell ref="H635:I635"/>
    <mergeCell ref="D640:D641"/>
    <mergeCell ref="E640:E641"/>
    <mergeCell ref="V640:V641"/>
    <mergeCell ref="M645:P645"/>
    <mergeCell ref="B586:R586"/>
    <mergeCell ref="V586:AI586"/>
    <mergeCell ref="D620:D625"/>
    <mergeCell ref="E620:E625"/>
    <mergeCell ref="V620:V625"/>
    <mergeCell ref="H626:I626"/>
    <mergeCell ref="H581:I581"/>
    <mergeCell ref="J581:L581"/>
    <mergeCell ref="H582:I582"/>
    <mergeCell ref="J582:L582"/>
    <mergeCell ref="H583:I583"/>
    <mergeCell ref="J583:L583"/>
    <mergeCell ref="J577:L577"/>
    <mergeCell ref="H578:I578"/>
    <mergeCell ref="J578:L578"/>
    <mergeCell ref="H579:I579"/>
    <mergeCell ref="J579:L579"/>
    <mergeCell ref="H580:I580"/>
    <mergeCell ref="J580:L580"/>
    <mergeCell ref="H572:I572"/>
    <mergeCell ref="H573:I573"/>
    <mergeCell ref="H574:I574"/>
    <mergeCell ref="H575:I575"/>
    <mergeCell ref="H576:I576"/>
    <mergeCell ref="H577:I577"/>
    <mergeCell ref="V567:V569"/>
    <mergeCell ref="V571:V576"/>
    <mergeCell ref="H566:I566"/>
    <mergeCell ref="J566:L566"/>
    <mergeCell ref="H567:I567"/>
    <mergeCell ref="J567:L569"/>
    <mergeCell ref="H543:I543"/>
    <mergeCell ref="J543:L543"/>
    <mergeCell ref="H544:I544"/>
    <mergeCell ref="J544:L544"/>
    <mergeCell ref="B547:R547"/>
    <mergeCell ref="V547:AI547"/>
    <mergeCell ref="H568:I568"/>
    <mergeCell ref="H569:I569"/>
    <mergeCell ref="H570:I570"/>
    <mergeCell ref="J570:L570"/>
    <mergeCell ref="D571:D576"/>
    <mergeCell ref="E571:E576"/>
    <mergeCell ref="H571:I571"/>
    <mergeCell ref="J571:L576"/>
    <mergeCell ref="E567:E569"/>
    <mergeCell ref="D567:D569"/>
    <mergeCell ref="H540:I540"/>
    <mergeCell ref="J540:L540"/>
    <mergeCell ref="H541:I541"/>
    <mergeCell ref="J541:L541"/>
    <mergeCell ref="H542:I542"/>
    <mergeCell ref="J542:L542"/>
    <mergeCell ref="H537:I537"/>
    <mergeCell ref="J537:L537"/>
    <mergeCell ref="H538:I538"/>
    <mergeCell ref="J538:L538"/>
    <mergeCell ref="H539:I539"/>
    <mergeCell ref="J539:L539"/>
    <mergeCell ref="H534:I534"/>
    <mergeCell ref="J534:L534"/>
    <mergeCell ref="H535:I535"/>
    <mergeCell ref="J535:L535"/>
    <mergeCell ref="H536:I536"/>
    <mergeCell ref="J536:L536"/>
    <mergeCell ref="H531:I531"/>
    <mergeCell ref="J531:L531"/>
    <mergeCell ref="H532:I532"/>
    <mergeCell ref="J532:L532"/>
    <mergeCell ref="H533:I533"/>
    <mergeCell ref="J533:L533"/>
    <mergeCell ref="H528:I528"/>
    <mergeCell ref="J528:L528"/>
    <mergeCell ref="H529:I529"/>
    <mergeCell ref="J529:L529"/>
    <mergeCell ref="H530:I530"/>
    <mergeCell ref="J530:L530"/>
    <mergeCell ref="H525:I525"/>
    <mergeCell ref="J525:L525"/>
    <mergeCell ref="D526:D527"/>
    <mergeCell ref="E526:E527"/>
    <mergeCell ref="H526:I526"/>
    <mergeCell ref="J526:L526"/>
    <mergeCell ref="H527:I527"/>
    <mergeCell ref="J527:L527"/>
    <mergeCell ref="B506:R506"/>
    <mergeCell ref="V506:AI506"/>
    <mergeCell ref="H523:I523"/>
    <mergeCell ref="J523:L523"/>
    <mergeCell ref="H524:I524"/>
    <mergeCell ref="J524:L524"/>
    <mergeCell ref="B477:R477"/>
    <mergeCell ref="V477:AI477"/>
    <mergeCell ref="D494:D495"/>
    <mergeCell ref="V494:V495"/>
    <mergeCell ref="D500:D501"/>
    <mergeCell ref="V500:V501"/>
    <mergeCell ref="D465:D467"/>
    <mergeCell ref="H465:H467"/>
    <mergeCell ref="V465:V467"/>
    <mergeCell ref="D468:D470"/>
    <mergeCell ref="G468:G470"/>
    <mergeCell ref="H468:H470"/>
    <mergeCell ref="V468:V470"/>
    <mergeCell ref="B436:R436"/>
    <mergeCell ref="V436:AI436"/>
    <mergeCell ref="D450:G453"/>
    <mergeCell ref="D461:D463"/>
    <mergeCell ref="G461:G462"/>
    <mergeCell ref="H461:H462"/>
    <mergeCell ref="V461:V463"/>
    <mergeCell ref="D456:D457"/>
    <mergeCell ref="V456:V457"/>
    <mergeCell ref="D343:D372"/>
    <mergeCell ref="V343:V372"/>
    <mergeCell ref="D373:D402"/>
    <mergeCell ref="V373:V402"/>
    <mergeCell ref="H374:H402"/>
    <mergeCell ref="D404:D433"/>
    <mergeCell ref="G404:G433"/>
    <mergeCell ref="V404:V433"/>
    <mergeCell ref="D247:D276"/>
    <mergeCell ref="V247:V276"/>
    <mergeCell ref="D280:D309"/>
    <mergeCell ref="H280:H309"/>
    <mergeCell ref="V280:V309"/>
    <mergeCell ref="D310:D339"/>
    <mergeCell ref="V310:V339"/>
    <mergeCell ref="D157:D186"/>
    <mergeCell ref="V157:V186"/>
    <mergeCell ref="D187:D216"/>
    <mergeCell ref="V187:V216"/>
    <mergeCell ref="D217:D246"/>
    <mergeCell ref="V217:V246"/>
    <mergeCell ref="D103:D110"/>
    <mergeCell ref="H103:H110"/>
    <mergeCell ref="V103:V110"/>
    <mergeCell ref="B113:R113"/>
    <mergeCell ref="V113:AI113"/>
    <mergeCell ref="D151:L154"/>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H1210:I1210"/>
    <mergeCell ref="H1211:I1211"/>
    <mergeCell ref="H1212:I1212"/>
    <mergeCell ref="V1189:V1212"/>
    <mergeCell ref="D1150:D1172"/>
    <mergeCell ref="D1127:D1149"/>
    <mergeCell ref="D1173:D1174"/>
    <mergeCell ref="H1174:I1174"/>
    <mergeCell ref="H1145:I1145"/>
    <mergeCell ref="H1133:I1133"/>
    <mergeCell ref="H1149:I1149"/>
    <mergeCell ref="H1155:I1155"/>
    <mergeCell ref="H1168:I1168"/>
    <mergeCell ref="H1172:I1172"/>
    <mergeCell ref="H1194:I1194"/>
    <mergeCell ref="H1137:I1137"/>
    <mergeCell ref="H1138:I1138"/>
    <mergeCell ref="H1139:I1139"/>
    <mergeCell ref="H1140:I1140"/>
    <mergeCell ref="H1141:I1141"/>
    <mergeCell ref="H1142:I1142"/>
    <mergeCell ref="H1130:I1130"/>
    <mergeCell ref="H1131:I1131"/>
    <mergeCell ref="H1132:I1132"/>
  </mergeCells>
  <conditionalFormatting sqref="AH480">
    <cfRule type="cellIs" dxfId="314" priority="59" operator="lessThan">
      <formula>-0.1</formula>
    </cfRule>
    <cfRule type="cellIs" dxfId="313" priority="60" operator="greaterThan">
      <formula>0.1</formula>
    </cfRule>
  </conditionalFormatting>
  <conditionalFormatting sqref="AH667:AH686">
    <cfRule type="cellIs" dxfId="312" priority="57" operator="lessThan">
      <formula>-0.1</formula>
    </cfRule>
    <cfRule type="cellIs" dxfId="311" priority="58" operator="greaterThan">
      <formula>0.1</formula>
    </cfRule>
  </conditionalFormatting>
  <conditionalFormatting sqref="AH730:AH732">
    <cfRule type="cellIs" dxfId="310" priority="55" operator="lessThan">
      <formula>-0.1</formula>
    </cfRule>
    <cfRule type="cellIs" dxfId="309" priority="56" operator="greaterThan">
      <formula>0.1</formula>
    </cfRule>
  </conditionalFormatting>
  <conditionalFormatting sqref="AH733:AH734">
    <cfRule type="cellIs" dxfId="308" priority="53" operator="lessThan">
      <formula>-0.1</formula>
    </cfRule>
    <cfRule type="cellIs" dxfId="307" priority="54" operator="greaterThan">
      <formula>0.1</formula>
    </cfRule>
  </conditionalFormatting>
  <conditionalFormatting sqref="AH807:AH809">
    <cfRule type="cellIs" dxfId="306" priority="51" operator="lessThan">
      <formula>-0.1</formula>
    </cfRule>
    <cfRule type="cellIs" dxfId="305" priority="52" operator="greaterThan">
      <formula>0.1</formula>
    </cfRule>
  </conditionalFormatting>
  <conditionalFormatting sqref="AH810">
    <cfRule type="cellIs" dxfId="304" priority="49" operator="lessThan">
      <formula>-0.1</formula>
    </cfRule>
    <cfRule type="cellIs" dxfId="303" priority="50" operator="greaterThan">
      <formula>0.1</formula>
    </cfRule>
  </conditionalFormatting>
  <conditionalFormatting sqref="AH882:AH905">
    <cfRule type="cellIs" dxfId="302" priority="47" operator="lessThan">
      <formula>-0.1</formula>
    </cfRule>
    <cfRule type="cellIs" dxfId="301" priority="48" operator="greaterThan">
      <formula>0.1</formula>
    </cfRule>
  </conditionalFormatting>
  <conditionalFormatting sqref="AH1093:AH1115">
    <cfRule type="cellIs" dxfId="300" priority="45" operator="lessThan">
      <formula>-0.1</formula>
    </cfRule>
    <cfRule type="cellIs" dxfId="299" priority="46" operator="greaterThan">
      <formula>0.1</formula>
    </cfRule>
  </conditionalFormatting>
  <conditionalFormatting sqref="B1:B17 B445:B480 B19:B439 B812:B1260 B689:B764 B804:B810 B1263:B1344 B482:B686">
    <cfRule type="cellIs" dxfId="298" priority="44" operator="equal">
      <formula>"x"</formula>
    </cfRule>
  </conditionalFormatting>
  <conditionalFormatting sqref="B18">
    <cfRule type="cellIs" dxfId="297" priority="43" operator="equal">
      <formula>"x"</formula>
    </cfRule>
  </conditionalFormatting>
  <conditionalFormatting sqref="E9">
    <cfRule type="cellIs" dxfId="296" priority="42" operator="equal">
      <formula>"x"</formula>
    </cfRule>
  </conditionalFormatting>
  <conditionalFormatting sqref="E12">
    <cfRule type="cellIs" dxfId="295" priority="41" operator="equal">
      <formula>"x"</formula>
    </cfRule>
  </conditionalFormatting>
  <conditionalFormatting sqref="E15">
    <cfRule type="cellIs" dxfId="294" priority="40" operator="equal">
      <formula>"x"</formula>
    </cfRule>
  </conditionalFormatting>
  <conditionalFormatting sqref="E18">
    <cfRule type="cellIs" dxfId="293" priority="39" operator="equal">
      <formula>"x"</formula>
    </cfRule>
  </conditionalFormatting>
  <conditionalFormatting sqref="E687:E688">
    <cfRule type="cellIs" dxfId="292" priority="29" operator="equal">
      <formula>"x"</formula>
    </cfRule>
  </conditionalFormatting>
  <conditionalFormatting sqref="AH481">
    <cfRule type="cellIs" dxfId="291" priority="37" operator="lessThan">
      <formula>-0.1</formula>
    </cfRule>
    <cfRule type="cellIs" dxfId="290" priority="38" operator="greaterThan">
      <formula>0.1</formula>
    </cfRule>
  </conditionalFormatting>
  <conditionalFormatting sqref="B481">
    <cfRule type="cellIs" dxfId="289" priority="36" operator="equal">
      <formula>"x"</formula>
    </cfRule>
  </conditionalFormatting>
  <conditionalFormatting sqref="E481">
    <cfRule type="cellIs" dxfId="288" priority="35" operator="equal">
      <formula>"x"</formula>
    </cfRule>
  </conditionalFormatting>
  <conditionalFormatting sqref="AH687:AH688">
    <cfRule type="cellIs" dxfId="287" priority="33" operator="lessThan">
      <formula>-0.1</formula>
    </cfRule>
    <cfRule type="cellIs" dxfId="286" priority="34" operator="greaterThan">
      <formula>0.1</formula>
    </cfRule>
  </conditionalFormatting>
  <conditionalFormatting sqref="B687:B688">
    <cfRule type="cellIs" dxfId="285" priority="32" operator="equal">
      <formula>"x"</formula>
    </cfRule>
  </conditionalFormatting>
  <conditionalFormatting sqref="E675:E676">
    <cfRule type="cellIs" dxfId="284" priority="31" operator="equal">
      <formula>"x"</formula>
    </cfRule>
  </conditionalFormatting>
  <conditionalFormatting sqref="E681:E682">
    <cfRule type="cellIs" dxfId="283" priority="30" operator="equal">
      <formula>"x"</formula>
    </cfRule>
  </conditionalFormatting>
  <conditionalFormatting sqref="E884:E885">
    <cfRule type="cellIs" dxfId="282" priority="28" operator="equal">
      <formula>"x"</formula>
    </cfRule>
  </conditionalFormatting>
  <conditionalFormatting sqref="E890:E891">
    <cfRule type="cellIs" dxfId="281" priority="27" operator="equal">
      <formula>"x"</formula>
    </cfRule>
  </conditionalFormatting>
  <conditionalFormatting sqref="E896:E897">
    <cfRule type="cellIs" dxfId="280" priority="26" operator="equal">
      <formula>"x"</formula>
    </cfRule>
  </conditionalFormatting>
  <conditionalFormatting sqref="E902:E903">
    <cfRule type="cellIs" dxfId="279" priority="25" operator="equal">
      <formula>"x"</formula>
    </cfRule>
  </conditionalFormatting>
  <conditionalFormatting sqref="B440:B441">
    <cfRule type="cellIs" dxfId="278" priority="24" operator="equal">
      <formula>"x"</formula>
    </cfRule>
  </conditionalFormatting>
  <conditionalFormatting sqref="B1261:B1262">
    <cfRule type="cellIs" dxfId="277" priority="23" operator="equal">
      <formula>"x"</formula>
    </cfRule>
  </conditionalFormatting>
  <conditionalFormatting sqref="AH811">
    <cfRule type="cellIs" dxfId="276" priority="21" operator="lessThan">
      <formula>-0.1</formula>
    </cfRule>
    <cfRule type="cellIs" dxfId="275" priority="22" operator="greaterThan">
      <formula>0.1</formula>
    </cfRule>
  </conditionalFormatting>
  <conditionalFormatting sqref="B811">
    <cfRule type="cellIs" dxfId="274" priority="20" operator="equal">
      <formula>"x"</formula>
    </cfRule>
  </conditionalFormatting>
  <conditionalFormatting sqref="B442">
    <cfRule type="cellIs" dxfId="273" priority="19" operator="equal">
      <formula>"x"</formula>
    </cfRule>
  </conditionalFormatting>
  <conditionalFormatting sqref="B443:B444">
    <cfRule type="cellIs" dxfId="272" priority="18" operator="equal">
      <formula>"x"</formula>
    </cfRule>
  </conditionalFormatting>
  <conditionalFormatting sqref="AH768:AH770">
    <cfRule type="cellIs" dxfId="271" priority="16" operator="lessThan">
      <formula>-0.1</formula>
    </cfRule>
    <cfRule type="cellIs" dxfId="270" priority="17" operator="greaterThan">
      <formula>0.1</formula>
    </cfRule>
  </conditionalFormatting>
  <conditionalFormatting sqref="AH771:AH772">
    <cfRule type="cellIs" dxfId="269" priority="14" operator="lessThan">
      <formula>-0.1</formula>
    </cfRule>
    <cfRule type="cellIs" dxfId="268" priority="15" operator="greaterThan">
      <formula>0.1</formula>
    </cfRule>
  </conditionalFormatting>
  <conditionalFormatting sqref="B765:B803">
    <cfRule type="cellIs" dxfId="267" priority="13" operator="equal">
      <formula>"x"</formula>
    </cfRule>
  </conditionalFormatting>
  <conditionalFormatting sqref="B1360:B1368 B1372:B1373 B1383">
    <cfRule type="cellIs" dxfId="266" priority="12" operator="equal">
      <formula>"x"</formula>
    </cfRule>
  </conditionalFormatting>
  <conditionalFormatting sqref="A1345:B1348 A1351:B1351 A1354:B1354 A1357:B1357">
    <cfRule type="cellIs" dxfId="265" priority="11" operator="equal">
      <formula>"x"</formula>
    </cfRule>
  </conditionalFormatting>
  <conditionalFormatting sqref="B1377 B1380">
    <cfRule type="cellIs" dxfId="264" priority="10" operator="equal">
      <formula>"x"</formula>
    </cfRule>
  </conditionalFormatting>
  <conditionalFormatting sqref="B1369:B1371">
    <cfRule type="cellIs" dxfId="263" priority="9" operator="equal">
      <formula>"x"</formula>
    </cfRule>
  </conditionalFormatting>
  <conditionalFormatting sqref="B1374:B1376">
    <cfRule type="cellIs" dxfId="262" priority="8" operator="equal">
      <formula>"x"</formula>
    </cfRule>
  </conditionalFormatting>
  <conditionalFormatting sqref="B1378:B1379">
    <cfRule type="cellIs" dxfId="261" priority="7" operator="equal">
      <formula>"x"</formula>
    </cfRule>
  </conditionalFormatting>
  <conditionalFormatting sqref="A1349:B1350">
    <cfRule type="cellIs" dxfId="260" priority="6" operator="equal">
      <formula>"x"</formula>
    </cfRule>
  </conditionalFormatting>
  <conditionalFormatting sqref="A1352:B1353">
    <cfRule type="cellIs" dxfId="259" priority="5" operator="equal">
      <formula>"x"</formula>
    </cfRule>
  </conditionalFormatting>
  <conditionalFormatting sqref="A1355:B1356">
    <cfRule type="cellIs" dxfId="258" priority="4" operator="equal">
      <formula>"x"</formula>
    </cfRule>
  </conditionalFormatting>
  <conditionalFormatting sqref="A1358:B1359">
    <cfRule type="cellIs" dxfId="257" priority="3" operator="equal">
      <formula>"x"</formula>
    </cfRule>
  </conditionalFormatting>
  <conditionalFormatting sqref="B1381:B1382">
    <cfRule type="cellIs" dxfId="256" priority="2" operator="equal">
      <formula>"x"</formula>
    </cfRule>
  </conditionalFormatting>
  <conditionalFormatting sqref="AA1348:AA1359">
    <cfRule type="cellIs" dxfId="255" priority="1" operator="notEqual">
      <formula>Z1348</formula>
    </cfRule>
  </conditionalFormatting>
  <hyperlinks>
    <hyperlink ref="J1046" r:id="rId1" display="https://www.efis.psc.mo.gov/mpsc/commoncomponents/viewdocument.asp?DocId=935658483"/>
    <hyperlink ref="H989" r:id="rId2" display="https://www.efis.psc.mo.gov/mpsc/commoncomponents/viewdocument.asp?DocId=935658483"/>
    <hyperlink ref="G1046" r:id="rId3" display="https://www.efis.psc.mo.gov/mpsc/commoncomponents/viewdocument.asp?DocId=935658483"/>
    <hyperlink ref="G1079" r:id="rId4" display="https://www.efis.psc.mo.gov/mpsc/commoncomponents/viewdocument.asp?DocId=935658483"/>
    <hyperlink ref="H754" r:id="rId5" display="https://www.efis.psc.mo.gov/mpsc/commoncomponents/viewdocument.asp?DocId=935658483"/>
    <hyperlink ref="H835" r:id="rId6" display="https://www.efis.psc.mo.gov/mpsc/commoncomponents/viewdocument.asp?DocId=935658483"/>
    <hyperlink ref="H793" r:id="rId7" display="https://www.efis.psc.mo.gov/mpsc/commoncomponents/viewdocument.asp?DocId=935658483"/>
  </hyperlinks>
  <pageMargins left="0.7" right="0.7" top="0.75" bottom="0.75" header="0.3" footer="0.3"/>
  <pageSetup scale="10" fitToHeight="0" orientation="landscape" r:id="rId8"/>
  <rowBreaks count="4" manualBreakCount="4">
    <brk id="546" max="68" man="1"/>
    <brk id="877" max="68" man="1"/>
    <brk id="1138" max="68" man="1"/>
    <brk id="1212"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
  <sheetViews>
    <sheetView zoomScale="80" zoomScaleNormal="80" workbookViewId="0">
      <selection sqref="A1:O1"/>
    </sheetView>
  </sheetViews>
  <sheetFormatPr defaultRowHeight="15" outlineLevelRow="1" x14ac:dyDescent="0.25"/>
  <cols>
    <col min="3" max="3" width="19.28515625" style="135" customWidth="1"/>
    <col min="4" max="4" width="18.85546875" style="155" bestFit="1" customWidth="1"/>
    <col min="5" max="5" width="37" style="155"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3343" t="s">
        <v>2139</v>
      </c>
      <c r="B1" s="4014"/>
      <c r="C1" s="4014"/>
      <c r="D1" s="4014"/>
      <c r="E1" s="4014"/>
      <c r="F1" s="4014"/>
      <c r="G1" s="4014"/>
      <c r="H1" s="4014"/>
      <c r="I1" s="4014"/>
      <c r="J1" s="4014"/>
      <c r="K1" s="4014"/>
      <c r="L1" s="4014"/>
      <c r="M1" s="4014"/>
      <c r="N1" s="4014"/>
      <c r="O1" s="4014"/>
      <c r="P1" s="3343"/>
      <c r="Q1" s="4014"/>
      <c r="R1" s="4014"/>
      <c r="V1" s="33"/>
      <c r="W1" s="34"/>
      <c r="X1" s="34"/>
      <c r="Y1" s="35"/>
      <c r="Z1" s="35"/>
      <c r="AA1" s="35"/>
      <c r="AB1" s="35"/>
      <c r="AC1" s="35"/>
      <c r="AD1" s="35"/>
      <c r="AE1" s="35"/>
      <c r="AF1" s="35"/>
      <c r="AG1" s="35"/>
      <c r="AH1" s="35"/>
    </row>
    <row r="2" spans="1:57" s="26" customFormat="1" ht="27.75" hidden="1" customHeight="1" outlineLevel="1" x14ac:dyDescent="0.35">
      <c r="B2" s="31"/>
      <c r="C2" s="36"/>
      <c r="D2" s="4015" t="s">
        <v>14</v>
      </c>
      <c r="E2" s="4016"/>
      <c r="F2" s="4017"/>
      <c r="G2" s="4017"/>
      <c r="H2" s="4017"/>
      <c r="I2" s="4017"/>
      <c r="J2" s="4017"/>
      <c r="K2" s="32"/>
      <c r="L2" s="32"/>
    </row>
    <row r="3" spans="1:57" s="26" customFormat="1" ht="24" customHeight="1" collapsed="1" x14ac:dyDescent="0.35">
      <c r="B3" s="31"/>
      <c r="C3" s="36"/>
      <c r="D3" s="1304"/>
      <c r="E3" s="1305"/>
      <c r="F3" s="1306"/>
      <c r="G3" s="1306"/>
      <c r="H3" s="1306"/>
      <c r="I3" s="1306"/>
      <c r="J3" s="1306"/>
      <c r="K3" s="32"/>
      <c r="L3" s="32"/>
      <c r="V3" s="29"/>
      <c r="W3" s="29"/>
      <c r="X3" s="29"/>
      <c r="Y3" s="29"/>
      <c r="Z3" s="29"/>
      <c r="AA3" s="29"/>
      <c r="AB3" s="29"/>
      <c r="AC3" s="29"/>
      <c r="AD3" s="29"/>
      <c r="AE3" s="29"/>
      <c r="AF3" s="29"/>
      <c r="AG3" s="29"/>
      <c r="AH3" s="29"/>
      <c r="AI3" s="29"/>
    </row>
    <row r="4" spans="1:57" x14ac:dyDescent="0.25">
      <c r="B4" s="3350" t="s">
        <v>2140</v>
      </c>
      <c r="C4" s="3351"/>
      <c r="D4" s="3351"/>
      <c r="E4" s="3351"/>
      <c r="F4" s="3351"/>
      <c r="G4" s="3351"/>
      <c r="H4" s="3351"/>
      <c r="I4" s="3351"/>
      <c r="J4" s="3351"/>
      <c r="K4" s="3351"/>
      <c r="L4" s="3593"/>
      <c r="V4" s="3350" t="str">
        <f>B4</f>
        <v>Home Energy Report</v>
      </c>
      <c r="W4" s="3351"/>
      <c r="X4" s="3351"/>
      <c r="Y4" s="3351"/>
      <c r="Z4" s="3351"/>
      <c r="AA4" s="3351"/>
      <c r="AB4" s="3351"/>
      <c r="AC4" s="3354"/>
      <c r="AD4" s="3354"/>
      <c r="AE4" s="3354"/>
      <c r="AF4" s="3354"/>
      <c r="AG4" s="3354"/>
      <c r="AH4" s="3354"/>
      <c r="AI4" s="3355"/>
    </row>
    <row r="5" spans="1:57" x14ac:dyDescent="0.25">
      <c r="V5" s="273"/>
      <c r="W5" s="273"/>
      <c r="X5" s="273"/>
      <c r="Y5" s="273"/>
      <c r="Z5" s="273"/>
      <c r="AA5" s="273"/>
      <c r="AB5" s="273"/>
      <c r="AC5" s="273"/>
      <c r="AD5" s="273"/>
      <c r="AE5" s="273"/>
      <c r="AF5" s="273"/>
      <c r="AG5" s="273"/>
      <c r="AH5" s="273"/>
      <c r="AI5" s="273"/>
    </row>
    <row r="6" spans="1:57" ht="45" customHeight="1" x14ac:dyDescent="0.25">
      <c r="C6" s="136" t="s">
        <v>17</v>
      </c>
      <c r="D6" s="136" t="s">
        <v>616</v>
      </c>
      <c r="E6" s="136" t="s">
        <v>19</v>
      </c>
      <c r="F6" s="136" t="s">
        <v>20</v>
      </c>
      <c r="G6" s="136" t="s">
        <v>21</v>
      </c>
      <c r="H6" s="136" t="s">
        <v>22</v>
      </c>
      <c r="I6" s="136" t="s">
        <v>23</v>
      </c>
      <c r="J6" s="136" t="s">
        <v>24</v>
      </c>
      <c r="K6" s="136" t="s">
        <v>25</v>
      </c>
      <c r="L6" s="136" t="s">
        <v>26</v>
      </c>
      <c r="V6" s="55" t="s">
        <v>27</v>
      </c>
      <c r="W6" s="56">
        <v>43252</v>
      </c>
      <c r="X6" s="56">
        <v>43465</v>
      </c>
      <c r="Y6" s="56">
        <v>43800</v>
      </c>
      <c r="Z6" s="56">
        <v>43862</v>
      </c>
      <c r="AA6" s="56">
        <v>44013</v>
      </c>
      <c r="AB6" s="56">
        <v>44166</v>
      </c>
      <c r="AC6" s="56" t="s">
        <v>28</v>
      </c>
      <c r="AD6" s="56" t="s">
        <v>28</v>
      </c>
      <c r="AE6" s="56" t="s">
        <v>28</v>
      </c>
      <c r="AF6" s="56" t="s">
        <v>28</v>
      </c>
      <c r="AG6" s="56" t="s">
        <v>28</v>
      </c>
      <c r="AH6" s="273"/>
      <c r="AI6" s="273"/>
      <c r="BB6" s="57" t="s">
        <v>29</v>
      </c>
      <c r="BC6" s="58" t="s">
        <v>30</v>
      </c>
      <c r="BD6" s="650" t="s">
        <v>31</v>
      </c>
      <c r="BE6" s="59" t="s">
        <v>32</v>
      </c>
    </row>
    <row r="7" spans="1:57" x14ac:dyDescent="0.25">
      <c r="C7" s="86" t="s">
        <v>3605</v>
      </c>
      <c r="D7" s="398" t="s">
        <v>740</v>
      </c>
      <c r="E7" s="3022" t="s">
        <v>2141</v>
      </c>
      <c r="F7" s="138">
        <v>50.827800000000003</v>
      </c>
      <c r="G7" s="1307" t="s">
        <v>1558</v>
      </c>
      <c r="H7" s="202">
        <f>VLOOKUP(G7,'CP FACTORS'!$A$3:$B$38, 2, FALSE)</f>
        <v>4.6608050000000002E-4</v>
      </c>
      <c r="I7" s="2896">
        <f>ROUND(F7*H7,6)</f>
        <v>2.3689999999999999E-2</v>
      </c>
      <c r="J7" s="141">
        <v>1</v>
      </c>
      <c r="K7" s="550">
        <v>0</v>
      </c>
      <c r="L7" s="86" t="s">
        <v>2142</v>
      </c>
      <c r="V7" s="208" t="str">
        <f>$F$6</f>
        <v>kWh Annual Savings</v>
      </c>
      <c r="W7" s="209">
        <v>150</v>
      </c>
      <c r="X7" s="980">
        <v>39.1</v>
      </c>
      <c r="Y7" s="149">
        <v>82.4</v>
      </c>
      <c r="Z7" s="208">
        <v>82.4</v>
      </c>
      <c r="AA7" s="208">
        <v>82.4</v>
      </c>
      <c r="AB7" s="2287">
        <v>50.827800000000003</v>
      </c>
      <c r="AC7" s="208"/>
      <c r="AD7" s="208"/>
      <c r="AE7" s="208"/>
      <c r="AF7" s="208"/>
      <c r="AG7" s="208"/>
      <c r="BB7" s="2913" t="str">
        <f>IFERROR((BD7)/(BE7),"")</f>
        <v/>
      </c>
      <c r="BC7" s="2763" t="str">
        <f>CONCATENATE(G7," ",J7," Year EUL")</f>
        <v>Building Shell RES 1 Year EUL</v>
      </c>
      <c r="BD7" s="2925">
        <f>(INDEX('Avoided Cost Benefits'!$C$4:$C$857,MATCH(BC7,'Avoided Cost Benefits'!$A$4:$A$857,0)))*F7</f>
        <v>2.8287942080234521</v>
      </c>
      <c r="BE7" s="2914">
        <f>K7/(1.0595^(2020-2019))</f>
        <v>0</v>
      </c>
    </row>
    <row r="8" spans="1:57" x14ac:dyDescent="0.25">
      <c r="C8" s="385"/>
      <c r="D8" s="386"/>
      <c r="E8" s="386"/>
      <c r="F8" s="157" t="s">
        <v>3606</v>
      </c>
      <c r="G8" s="157"/>
      <c r="H8" s="157"/>
      <c r="I8" s="157"/>
      <c r="J8" s="157"/>
      <c r="K8" s="157"/>
      <c r="L8" s="157"/>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60"/>
  <sheetViews>
    <sheetView zoomScale="70" zoomScaleNormal="70" workbookViewId="0">
      <selection sqref="A1:O1"/>
    </sheetView>
  </sheetViews>
  <sheetFormatPr defaultRowHeight="15" outlineLevelRow="1" x14ac:dyDescent="0.25"/>
  <cols>
    <col min="1" max="1" width="3" style="157" customWidth="1"/>
    <col min="2" max="2" width="9.140625" style="157"/>
    <col min="3" max="3" width="20.140625" style="385" bestFit="1" customWidth="1"/>
    <col min="4" max="4" width="19.140625" style="386" customWidth="1"/>
    <col min="5" max="5" width="64" style="386" customWidth="1"/>
    <col min="6" max="6" width="33.140625" style="157" customWidth="1"/>
    <col min="7" max="7" width="19.5703125" style="157" customWidth="1"/>
    <col min="8" max="8" width="38.85546875" style="157" customWidth="1"/>
    <col min="9" max="9" width="14.7109375" style="157" customWidth="1"/>
    <col min="10" max="10" width="25.5703125" style="157" customWidth="1"/>
    <col min="11" max="11" width="16.7109375" style="157" customWidth="1"/>
    <col min="12" max="12" width="13.42578125" style="157" customWidth="1"/>
    <col min="13" max="13" width="14" style="157" customWidth="1"/>
    <col min="14" max="14" width="14.85546875" style="157" customWidth="1"/>
    <col min="15" max="16" width="11.85546875" style="157" customWidth="1"/>
    <col min="17" max="17" width="12.85546875" style="157" customWidth="1"/>
    <col min="18" max="18" width="16.42578125" style="157" customWidth="1"/>
    <col min="19" max="21" width="9.140625" style="157" customWidth="1"/>
    <col min="22" max="22" width="31.85546875" customWidth="1"/>
    <col min="23" max="23" width="14.5703125" customWidth="1"/>
    <col min="24" max="24" width="18.7109375" customWidth="1"/>
    <col min="25" max="26" width="16.85546875" customWidth="1"/>
    <col min="27" max="27" width="14.5703125" customWidth="1"/>
    <col min="28" max="28" width="24" customWidth="1"/>
    <col min="29" max="35" width="14.5703125" customWidth="1"/>
    <col min="36" max="36" width="20" customWidth="1"/>
    <col min="37" max="37" width="17" customWidth="1"/>
    <col min="38" max="53" width="14.7109375" customWidth="1"/>
    <col min="54" max="54" width="14.7109375" style="1055" customWidth="1"/>
    <col min="55" max="55" width="32.140625" bestFit="1" customWidth="1"/>
    <col min="56" max="57" width="14.7109375" customWidth="1"/>
    <col min="58" max="58" width="3.140625" customWidth="1"/>
    <col min="59" max="69" width="14.7109375" customWidth="1"/>
  </cols>
  <sheetData>
    <row r="1" spans="1:57" s="26" customFormat="1" ht="18.75" x14ac:dyDescent="0.3">
      <c r="A1" s="3343" t="s">
        <v>2143</v>
      </c>
      <c r="B1" s="3535"/>
      <c r="C1" s="3535"/>
      <c r="D1" s="3535"/>
      <c r="E1" s="3535" t="s">
        <v>2144</v>
      </c>
      <c r="F1" s="3535"/>
      <c r="G1" s="3535"/>
      <c r="H1" s="3535"/>
      <c r="I1" s="3535"/>
      <c r="J1" s="3535"/>
      <c r="K1" s="3535"/>
      <c r="L1" s="3535"/>
      <c r="M1" s="3535"/>
      <c r="N1" s="3535"/>
      <c r="O1" s="3535"/>
      <c r="P1" s="3345"/>
      <c r="Q1" s="3592"/>
      <c r="R1" s="3592"/>
      <c r="S1" s="1470"/>
      <c r="T1" s="1470"/>
      <c r="U1" s="1470"/>
      <c r="V1" s="33"/>
      <c r="W1" s="34"/>
      <c r="X1" s="34"/>
      <c r="Y1" s="35"/>
      <c r="Z1" s="35"/>
      <c r="AA1" s="35"/>
      <c r="AB1" s="35"/>
      <c r="AC1" s="35"/>
      <c r="AD1" s="35"/>
      <c r="AE1" s="35"/>
      <c r="AF1" s="35"/>
      <c r="AG1" s="35"/>
      <c r="AH1" s="35"/>
      <c r="BB1" s="27"/>
    </row>
    <row r="2" spans="1:57" s="26" customFormat="1" ht="30" customHeight="1" outlineLevel="1" x14ac:dyDescent="0.35">
      <c r="A2" s="1470"/>
      <c r="B2" s="1472"/>
      <c r="C2" s="190"/>
      <c r="D2" s="3347" t="s">
        <v>3212</v>
      </c>
      <c r="E2" s="3348"/>
      <c r="F2" s="3349"/>
      <c r="G2" s="3349"/>
      <c r="H2" s="3349"/>
      <c r="I2" s="3349"/>
      <c r="J2" s="3349"/>
      <c r="K2" s="972"/>
      <c r="L2" s="972"/>
      <c r="M2" s="1470"/>
      <c r="N2" s="1470"/>
      <c r="O2" s="1470"/>
      <c r="P2" s="1470"/>
      <c r="Q2" s="1470"/>
      <c r="R2" s="1470"/>
      <c r="S2" s="1470"/>
      <c r="T2" s="1470"/>
      <c r="U2" s="1470"/>
      <c r="BB2" s="27"/>
    </row>
    <row r="3" spans="1:57" s="26" customFormat="1" ht="25.5" customHeight="1" x14ac:dyDescent="0.35">
      <c r="A3" s="1470"/>
      <c r="B3" s="1472"/>
      <c r="C3" s="190"/>
      <c r="D3" s="1310"/>
      <c r="E3" s="1975"/>
      <c r="F3" s="1976"/>
      <c r="G3" s="1976"/>
      <c r="H3" s="1976"/>
      <c r="I3" s="1976"/>
      <c r="J3" s="1976"/>
      <c r="K3" s="972"/>
      <c r="L3" s="972"/>
      <c r="M3" s="1470"/>
      <c r="N3" s="1470"/>
      <c r="O3" s="1470"/>
      <c r="P3" s="1470"/>
      <c r="Q3" s="1470"/>
      <c r="R3" s="1470"/>
      <c r="S3" s="1470"/>
      <c r="T3" s="1470"/>
      <c r="U3" s="1470"/>
      <c r="V3" s="29"/>
      <c r="W3" s="29"/>
      <c r="X3" s="29"/>
      <c r="Y3" s="29"/>
      <c r="Z3" s="29"/>
      <c r="AA3" s="29"/>
      <c r="AB3" s="29"/>
      <c r="AC3" s="29"/>
      <c r="AD3" s="29"/>
      <c r="AE3" s="29"/>
      <c r="AF3" s="29"/>
      <c r="AG3" s="29"/>
      <c r="AH3" s="29"/>
      <c r="AI3" s="29"/>
      <c r="BB3" s="27"/>
    </row>
    <row r="4" spans="1:57" s="194" customFormat="1" x14ac:dyDescent="0.25">
      <c r="B4" s="3350" t="s">
        <v>1512</v>
      </c>
      <c r="C4" s="3351"/>
      <c r="D4" s="3351"/>
      <c r="E4" s="3351"/>
      <c r="F4" s="3351"/>
      <c r="G4" s="3351"/>
      <c r="H4" s="3351"/>
      <c r="I4" s="3351"/>
      <c r="J4" s="3351"/>
      <c r="K4" s="3351"/>
      <c r="L4" s="3351"/>
      <c r="M4" s="3351"/>
      <c r="N4" s="3351"/>
      <c r="O4" s="3351"/>
      <c r="P4" s="3351"/>
      <c r="Q4" s="3593"/>
      <c r="V4" s="3350" t="str">
        <f>B4</f>
        <v>AC Tune-up</v>
      </c>
      <c r="W4" s="3351"/>
      <c r="X4" s="3351"/>
      <c r="Y4" s="3351"/>
      <c r="Z4" s="3351"/>
      <c r="AA4" s="3351"/>
      <c r="AB4" s="3351"/>
      <c r="AC4" s="3354"/>
      <c r="AD4" s="3354"/>
      <c r="AE4" s="3354"/>
      <c r="AF4" s="3354"/>
      <c r="AG4" s="3354"/>
      <c r="AH4" s="3354"/>
      <c r="AI4" s="3355"/>
      <c r="AJ4"/>
      <c r="BB4" s="937"/>
    </row>
    <row r="5" spans="1:57" ht="18" customHeight="1" x14ac:dyDescent="0.25">
      <c r="B5" s="198"/>
      <c r="C5" s="196"/>
      <c r="D5" s="386" t="s">
        <v>2145</v>
      </c>
      <c r="E5" s="197"/>
      <c r="F5" s="198"/>
      <c r="G5" s="198"/>
      <c r="H5" s="198"/>
      <c r="I5" s="198"/>
      <c r="J5" s="198"/>
      <c r="K5" s="198"/>
      <c r="L5" s="198"/>
      <c r="M5" s="198"/>
      <c r="N5" s="198"/>
      <c r="O5" s="198"/>
      <c r="P5" s="198"/>
      <c r="Q5" s="198"/>
      <c r="V5" s="273"/>
      <c r="W5" s="273"/>
      <c r="X5" s="273"/>
      <c r="Y5" s="273"/>
      <c r="Z5" s="273"/>
      <c r="AA5" s="273"/>
      <c r="AB5" s="273"/>
      <c r="AC5" s="273"/>
      <c r="AD5" s="273"/>
      <c r="AE5" s="273"/>
      <c r="AF5" s="273"/>
      <c r="AG5" s="273"/>
      <c r="AH5" s="273"/>
      <c r="AI5" s="273"/>
    </row>
    <row r="6" spans="1:57" ht="30" x14ac:dyDescent="0.25">
      <c r="B6" s="1480"/>
      <c r="C6" s="2765" t="s">
        <v>17</v>
      </c>
      <c r="D6" s="1409" t="s">
        <v>616</v>
      </c>
      <c r="E6" s="1409" t="s">
        <v>19</v>
      </c>
      <c r="F6" s="1409" t="s">
        <v>20</v>
      </c>
      <c r="G6" s="1409" t="s">
        <v>21</v>
      </c>
      <c r="H6" s="1409" t="s">
        <v>22</v>
      </c>
      <c r="I6" s="1409" t="s">
        <v>23</v>
      </c>
      <c r="J6" s="1413" t="s">
        <v>24</v>
      </c>
      <c r="K6" s="1409" t="s">
        <v>25</v>
      </c>
      <c r="L6" s="1409" t="s">
        <v>26</v>
      </c>
      <c r="M6" s="1480"/>
      <c r="N6" s="1480"/>
      <c r="O6" s="1480"/>
      <c r="P6" s="1480"/>
      <c r="Q6" s="1480"/>
      <c r="V6" s="55" t="s">
        <v>27</v>
      </c>
      <c r="W6" s="56">
        <v>43252</v>
      </c>
      <c r="X6" s="56">
        <v>43465</v>
      </c>
      <c r="Y6" s="56">
        <v>43800</v>
      </c>
      <c r="Z6" s="56">
        <v>43862</v>
      </c>
      <c r="AA6" s="56">
        <v>44013</v>
      </c>
      <c r="AB6" s="56">
        <v>44166</v>
      </c>
      <c r="AC6" s="56" t="s">
        <v>28</v>
      </c>
      <c r="AD6" s="56" t="s">
        <v>28</v>
      </c>
      <c r="AE6" s="56" t="s">
        <v>28</v>
      </c>
      <c r="AF6" s="56" t="s">
        <v>28</v>
      </c>
      <c r="AG6" s="56" t="s">
        <v>28</v>
      </c>
      <c r="AH6" s="273"/>
      <c r="AI6" s="273"/>
      <c r="BB6" s="57" t="s">
        <v>29</v>
      </c>
      <c r="BC6" s="58" t="s">
        <v>30</v>
      </c>
      <c r="BD6" s="650" t="s">
        <v>31</v>
      </c>
      <c r="BE6" s="59" t="s">
        <v>32</v>
      </c>
    </row>
    <row r="7" spans="1:57" x14ac:dyDescent="0.25">
      <c r="B7" s="1480"/>
      <c r="C7" s="1323" t="s">
        <v>2146</v>
      </c>
      <c r="D7" s="1658" t="s">
        <v>2147</v>
      </c>
      <c r="E7" s="252" t="s">
        <v>2148</v>
      </c>
      <c r="F7" s="1818">
        <f>ROUND((G21*G23*(1/G24-1/G25)/G29),2)</f>
        <v>80.33</v>
      </c>
      <c r="G7" s="1756" t="s">
        <v>690</v>
      </c>
      <c r="H7" s="202">
        <f>VLOOKUP(G7,'CP FACTORS'!$A$3:$B$38, 2, FALSE)</f>
        <v>9.4741810000000004E-4</v>
      </c>
      <c r="I7" s="1733">
        <f t="shared" ref="I7:I14" si="0">ROUND(F7*H7,6)</f>
        <v>7.6105999999999993E-2</v>
      </c>
      <c r="J7" s="1101">
        <f t="shared" ref="J7:J14" si="1">$G$30</f>
        <v>2</v>
      </c>
      <c r="K7" s="404">
        <f>G31</f>
        <v>70</v>
      </c>
      <c r="L7" s="253" t="s">
        <v>37</v>
      </c>
      <c r="M7" s="1480"/>
      <c r="N7" s="1480"/>
      <c r="O7" s="1480"/>
      <c r="P7" s="1480"/>
      <c r="Q7" s="1480"/>
      <c r="V7" s="208" t="str">
        <f>F6</f>
        <v>kWh Annual Savings</v>
      </c>
      <c r="W7" s="209">
        <v>80.326093903186262</v>
      </c>
      <c r="X7" s="1106">
        <v>80.326093903186262</v>
      </c>
      <c r="Y7" s="1105">
        <v>80.33</v>
      </c>
      <c r="Z7" s="2537">
        <v>80.33</v>
      </c>
      <c r="AA7" s="2537">
        <v>80.33</v>
      </c>
      <c r="AB7" s="637">
        <v>80.33</v>
      </c>
      <c r="AC7" s="208"/>
      <c r="AD7" s="208"/>
      <c r="AE7" s="208"/>
      <c r="AF7" s="208"/>
      <c r="AG7" s="208"/>
      <c r="AH7" s="976"/>
      <c r="AI7" s="976"/>
      <c r="BB7" s="67">
        <f t="shared" ref="BB7:BB14" si="2">(BD7)/(BE7)</f>
        <v>0.20805766351048499</v>
      </c>
      <c r="BC7" s="68" t="str">
        <f t="shared" ref="BC7:BC14" si="3">CONCATENATE(G7," ",J7," Year EUL")</f>
        <v>Cooling RES 2 Year EUL</v>
      </c>
      <c r="BD7" s="145">
        <f>(INDEX('Avoided Cost Benefits'!$C$4:$C$857,MATCH(BC7,'Avoided Cost Benefits'!$A$4:$A$857,0)))*F7</f>
        <v>13.746141053075931</v>
      </c>
      <c r="BE7" s="69">
        <f t="shared" ref="BE7:BE14" si="4">K7/(1.0595^(2020-2019))</f>
        <v>66.068900424728639</v>
      </c>
    </row>
    <row r="8" spans="1:57" x14ac:dyDescent="0.25">
      <c r="B8" s="1480"/>
      <c r="C8" s="1323" t="s">
        <v>2149</v>
      </c>
      <c r="D8" s="1658" t="s">
        <v>2150</v>
      </c>
      <c r="E8" s="388" t="str">
        <f>CONCATENATE(E7,"_CompE")</f>
        <v>General Tune-Up (no charge or coil clean) / MFMR_CompE</v>
      </c>
      <c r="F8" s="1818">
        <f>ROUND(($G$22*$G$23*(1/$G$24-1/$G$25)/$G$29),2)</f>
        <v>58.42</v>
      </c>
      <c r="G8" s="1756" t="s">
        <v>690</v>
      </c>
      <c r="H8" s="202">
        <f>VLOOKUP(G8,'CP FACTORS'!$A$3:$B$38, 2, FALSE)</f>
        <v>9.4741810000000004E-4</v>
      </c>
      <c r="I8" s="1733">
        <f t="shared" si="0"/>
        <v>5.5348000000000001E-2</v>
      </c>
      <c r="J8" s="1101">
        <f t="shared" si="1"/>
        <v>2</v>
      </c>
      <c r="K8" s="404">
        <f>K7</f>
        <v>70</v>
      </c>
      <c r="L8" s="253" t="s">
        <v>37</v>
      </c>
      <c r="M8" s="1480"/>
      <c r="N8" s="1480"/>
      <c r="O8" s="1480"/>
      <c r="P8" s="1480"/>
      <c r="Q8" s="1480"/>
      <c r="V8" s="208" t="str">
        <f>V7</f>
        <v>kWh Annual Savings</v>
      </c>
      <c r="W8" s="209"/>
      <c r="X8" s="1106"/>
      <c r="Y8" s="983">
        <v>58.42</v>
      </c>
      <c r="Z8" s="2537">
        <v>58.42</v>
      </c>
      <c r="AA8" s="2537">
        <v>58.42</v>
      </c>
      <c r="AB8" s="637">
        <v>58.42</v>
      </c>
      <c r="AC8" s="208"/>
      <c r="AD8" s="208"/>
      <c r="AE8" s="208"/>
      <c r="AF8" s="208"/>
      <c r="AG8" s="208"/>
      <c r="AH8" s="976"/>
      <c r="AI8" s="976"/>
      <c r="BB8" s="71">
        <f t="shared" si="2"/>
        <v>0.15130995521327692</v>
      </c>
      <c r="BC8" s="72" t="str">
        <f t="shared" si="3"/>
        <v>Cooling RES 2 Year EUL</v>
      </c>
      <c r="BD8" s="148">
        <f>(INDEX('Avoided Cost Benefits'!$C$4:$C$857,MATCH(BC8,'Avoided Cost Benefits'!$A$4:$A$857,0)))*F8</f>
        <v>9.9968823642561428</v>
      </c>
      <c r="BE8" s="73">
        <f t="shared" si="4"/>
        <v>66.068900424728639</v>
      </c>
    </row>
    <row r="9" spans="1:57" x14ac:dyDescent="0.25">
      <c r="B9" s="198"/>
      <c r="C9" s="1323" t="s">
        <v>2151</v>
      </c>
      <c r="D9" s="1658" t="s">
        <v>2147</v>
      </c>
      <c r="E9" s="252" t="s">
        <v>2152</v>
      </c>
      <c r="F9" s="1818">
        <f>ROUND(($G$21*$G$23*(1/$G$24-1/$G$26)/$G$29),2)</f>
        <v>335.03</v>
      </c>
      <c r="G9" s="1756" t="s">
        <v>690</v>
      </c>
      <c r="H9" s="202">
        <f>VLOOKUP(G9,'CP FACTORS'!$A$3:$B$38, 2, FALSE)</f>
        <v>9.4741810000000004E-4</v>
      </c>
      <c r="I9" s="1733">
        <f t="shared" si="0"/>
        <v>0.317413</v>
      </c>
      <c r="J9" s="1101">
        <f t="shared" si="1"/>
        <v>2</v>
      </c>
      <c r="K9" s="404">
        <f>G32</f>
        <v>81</v>
      </c>
      <c r="L9" s="253" t="s">
        <v>37</v>
      </c>
      <c r="M9" s="198"/>
      <c r="N9" s="198"/>
      <c r="O9" s="198"/>
      <c r="P9" s="198"/>
      <c r="Q9" s="198"/>
      <c r="T9" s="1678"/>
      <c r="U9" s="768"/>
      <c r="V9" s="208" t="str">
        <f t="shared" ref="V9:V14" si="5">V8</f>
        <v>kWh Annual Savings</v>
      </c>
      <c r="W9" s="209">
        <v>335.03166535854984</v>
      </c>
      <c r="X9" s="1106">
        <v>335.03166535854984</v>
      </c>
      <c r="Y9" s="1105">
        <v>335.03</v>
      </c>
      <c r="Z9" s="2537">
        <v>335.03</v>
      </c>
      <c r="AA9" s="2537">
        <v>335.03</v>
      </c>
      <c r="AB9" s="637">
        <v>335.03</v>
      </c>
      <c r="AC9" s="208"/>
      <c r="AD9" s="208"/>
      <c r="AE9" s="208"/>
      <c r="AF9" s="208"/>
      <c r="AG9" s="208"/>
      <c r="BB9" s="71">
        <f t="shared" si="2"/>
        <v>0.74989881713460449</v>
      </c>
      <c r="BC9" s="72" t="str">
        <f t="shared" si="3"/>
        <v>Cooling RES 2 Year EUL</v>
      </c>
      <c r="BD9" s="148">
        <f>(INDEX('Avoided Cost Benefits'!$C$4:$C$857,MATCH(BC9,'Avoided Cost Benefits'!$A$4:$A$857,0)))*F9</f>
        <v>57.330631607270377</v>
      </c>
      <c r="BE9" s="73">
        <f t="shared" si="4"/>
        <v>76.451156205757428</v>
      </c>
    </row>
    <row r="10" spans="1:57" x14ac:dyDescent="0.25">
      <c r="B10" s="198"/>
      <c r="C10" s="1323" t="s">
        <v>2153</v>
      </c>
      <c r="D10" s="1658" t="s">
        <v>2150</v>
      </c>
      <c r="E10" s="388" t="str">
        <f>CONCATENATE(E9,"_CompE")</f>
        <v>AC Tune-up / refrigerant charge / MFMR_CompE</v>
      </c>
      <c r="F10" s="1818">
        <f>ROUND(($G$22*$G$23*(1/$G$24-1/$G$26)/$G$29),2)</f>
        <v>243.66</v>
      </c>
      <c r="G10" s="1756" t="s">
        <v>690</v>
      </c>
      <c r="H10" s="202">
        <f>VLOOKUP(G10,'CP FACTORS'!$A$3:$B$38, 2, FALSE)</f>
        <v>9.4741810000000004E-4</v>
      </c>
      <c r="I10" s="1733">
        <f t="shared" si="0"/>
        <v>0.230848</v>
      </c>
      <c r="J10" s="1101">
        <f t="shared" si="1"/>
        <v>2</v>
      </c>
      <c r="K10" s="404">
        <f>K9</f>
        <v>81</v>
      </c>
      <c r="L10" s="253" t="s">
        <v>37</v>
      </c>
      <c r="M10" s="198"/>
      <c r="N10" s="198"/>
      <c r="O10" s="198"/>
      <c r="P10" s="198"/>
      <c r="Q10" s="198"/>
      <c r="T10" s="1678"/>
      <c r="U10" s="768"/>
      <c r="V10" s="208" t="str">
        <f t="shared" si="5"/>
        <v>kWh Annual Savings</v>
      </c>
      <c r="W10" s="209"/>
      <c r="X10" s="1106"/>
      <c r="Y10" s="983">
        <v>243.66</v>
      </c>
      <c r="Z10" s="2537">
        <v>243.66</v>
      </c>
      <c r="AA10" s="2537">
        <v>243.66</v>
      </c>
      <c r="AB10" s="637">
        <v>243.66</v>
      </c>
      <c r="AC10" s="208"/>
      <c r="AD10" s="208"/>
      <c r="AE10" s="208"/>
      <c r="AF10" s="208"/>
      <c r="AG10" s="208"/>
      <c r="BB10" s="71">
        <f t="shared" si="2"/>
        <v>0.54538502755877905</v>
      </c>
      <c r="BC10" s="72" t="str">
        <f t="shared" si="3"/>
        <v>Cooling RES 2 Year EUL</v>
      </c>
      <c r="BD10" s="148">
        <f>(INDEX('Avoided Cost Benefits'!$C$4:$C$857,MATCH(BC10,'Avoided Cost Benefits'!$A$4:$A$857,0)))*F10</f>
        <v>41.695315934177536</v>
      </c>
      <c r="BE10" s="73">
        <f t="shared" si="4"/>
        <v>76.451156205757428</v>
      </c>
    </row>
    <row r="11" spans="1:57" s="43" customFormat="1" x14ac:dyDescent="0.25">
      <c r="A11" s="198"/>
      <c r="B11" s="198"/>
      <c r="C11" s="1323" t="s">
        <v>2154</v>
      </c>
      <c r="D11" s="1658" t="s">
        <v>2147</v>
      </c>
      <c r="E11" s="252" t="s">
        <v>2155</v>
      </c>
      <c r="F11" s="1818">
        <f>ROUND(($G$21*$G$23*(1/$G$24-1/$G$27)/$G$29),2)</f>
        <v>55.45</v>
      </c>
      <c r="G11" s="1756" t="s">
        <v>690</v>
      </c>
      <c r="H11" s="202">
        <f>VLOOKUP(G11,'CP FACTORS'!$A$3:$B$38, 2, FALSE)</f>
        <v>9.4741810000000004E-4</v>
      </c>
      <c r="I11" s="1733">
        <f t="shared" si="0"/>
        <v>5.2533999999999997E-2</v>
      </c>
      <c r="J11" s="1101">
        <f t="shared" si="1"/>
        <v>2</v>
      </c>
      <c r="K11" s="404">
        <f>G33</f>
        <v>63</v>
      </c>
      <c r="L11" s="253" t="s">
        <v>37</v>
      </c>
      <c r="M11" s="198"/>
      <c r="N11" s="198"/>
      <c r="O11" s="198"/>
      <c r="P11" s="198"/>
      <c r="Q11" s="198"/>
      <c r="R11" s="197"/>
      <c r="S11" s="198"/>
      <c r="T11" s="198"/>
      <c r="U11" s="198"/>
      <c r="V11" s="208" t="str">
        <f t="shared" si="5"/>
        <v>kWh Annual Savings</v>
      </c>
      <c r="W11" s="209">
        <v>55.452200250259111</v>
      </c>
      <c r="X11" s="1106">
        <v>55.452200250259111</v>
      </c>
      <c r="Y11" s="1105">
        <v>55.45</v>
      </c>
      <c r="Z11" s="2537">
        <v>55.45</v>
      </c>
      <c r="AA11" s="2537">
        <v>55.45</v>
      </c>
      <c r="AB11" s="637">
        <v>55.45</v>
      </c>
      <c r="AC11" s="208"/>
      <c r="AD11" s="208"/>
      <c r="AE11" s="208"/>
      <c r="AF11" s="208"/>
      <c r="AG11" s="208"/>
      <c r="AH11"/>
      <c r="AI11"/>
      <c r="AJ11"/>
      <c r="BB11" s="71">
        <f t="shared" si="2"/>
        <v>0.15957505071657738</v>
      </c>
      <c r="BC11" s="72" t="str">
        <f t="shared" si="3"/>
        <v>Cooling RES 2 Year EUL</v>
      </c>
      <c r="BD11" s="148">
        <f>(INDEX('Avoided Cost Benefits'!$C$4:$C$857,MATCH(BC11,'Avoided Cost Benefits'!$A$4:$A$857,0)))*F11</f>
        <v>9.4886533224581164</v>
      </c>
      <c r="BE11" s="73">
        <f t="shared" si="4"/>
        <v>59.462010382255777</v>
      </c>
    </row>
    <row r="12" spans="1:57" s="43" customFormat="1" x14ac:dyDescent="0.25">
      <c r="A12" s="198"/>
      <c r="B12" s="198"/>
      <c r="C12" s="1323" t="s">
        <v>2156</v>
      </c>
      <c r="D12" s="1658" t="s">
        <v>2150</v>
      </c>
      <c r="E12" s="388" t="str">
        <f>CONCATENATE(E11,"_CompE")</f>
        <v>Indoor Coil (Evaporator) Cleaning / MFMR_CompE</v>
      </c>
      <c r="F12" s="1818">
        <f>ROUND(($G$22*$G$23*(1/$G$24-1/$G$27)/$G$29),2)</f>
        <v>40.33</v>
      </c>
      <c r="G12" s="1756" t="s">
        <v>690</v>
      </c>
      <c r="H12" s="202">
        <f>VLOOKUP(G12,'CP FACTORS'!$A$3:$B$38, 2, FALSE)</f>
        <v>9.4741810000000004E-4</v>
      </c>
      <c r="I12" s="1733">
        <f t="shared" si="0"/>
        <v>3.8209E-2</v>
      </c>
      <c r="J12" s="1101">
        <f t="shared" si="1"/>
        <v>2</v>
      </c>
      <c r="K12" s="404">
        <f>K11</f>
        <v>63</v>
      </c>
      <c r="L12" s="253" t="s">
        <v>37</v>
      </c>
      <c r="M12" s="198"/>
      <c r="N12" s="198"/>
      <c r="O12" s="198"/>
      <c r="P12" s="198"/>
      <c r="Q12" s="198"/>
      <c r="R12" s="197"/>
      <c r="S12" s="198"/>
      <c r="T12" s="198"/>
      <c r="U12" s="198"/>
      <c r="V12" s="208" t="str">
        <f t="shared" si="5"/>
        <v>kWh Annual Savings</v>
      </c>
      <c r="W12" s="209"/>
      <c r="X12" s="1106"/>
      <c r="Y12" s="983">
        <v>40.33</v>
      </c>
      <c r="Z12" s="2537">
        <v>40.33</v>
      </c>
      <c r="AA12" s="2537">
        <v>40.33</v>
      </c>
      <c r="AB12" s="637">
        <v>40.33</v>
      </c>
      <c r="AC12" s="208"/>
      <c r="AD12" s="208"/>
      <c r="AE12" s="208"/>
      <c r="AF12" s="208"/>
      <c r="AG12" s="208"/>
      <c r="AH12"/>
      <c r="AI12"/>
      <c r="AJ12"/>
      <c r="BB12" s="71">
        <f t="shared" si="2"/>
        <v>0.1160624309359705</v>
      </c>
      <c r="BC12" s="72" t="str">
        <f t="shared" si="3"/>
        <v>Cooling RES 2 Year EUL</v>
      </c>
      <c r="BD12" s="148">
        <f>(INDEX('Avoided Cost Benefits'!$C$4:$C$857,MATCH(BC12,'Avoided Cost Benefits'!$A$4:$A$857,0)))*F12</f>
        <v>6.9013054733045225</v>
      </c>
      <c r="BE12" s="73">
        <f t="shared" si="4"/>
        <v>59.462010382255777</v>
      </c>
    </row>
    <row r="13" spans="1:57" s="43" customFormat="1" x14ac:dyDescent="0.25">
      <c r="A13" s="198"/>
      <c r="B13" s="198"/>
      <c r="C13" s="1323" t="s">
        <v>2157</v>
      </c>
      <c r="D13" s="1658" t="s">
        <v>2147</v>
      </c>
      <c r="E13" s="252" t="s">
        <v>2158</v>
      </c>
      <c r="F13" s="1818">
        <f>ROUND(($G$21*$G$23*(1/$G$24-1/$G$28)/$G$29),2)</f>
        <v>110.9</v>
      </c>
      <c r="G13" s="1756" t="s">
        <v>690</v>
      </c>
      <c r="H13" s="202">
        <f>VLOOKUP(G13,'CP FACTORS'!$A$3:$B$38, 2, FALSE)</f>
        <v>9.4741810000000004E-4</v>
      </c>
      <c r="I13" s="1733">
        <f t="shared" si="0"/>
        <v>0.105069</v>
      </c>
      <c r="J13" s="1101">
        <f t="shared" si="1"/>
        <v>2</v>
      </c>
      <c r="K13" s="404">
        <f>G34</f>
        <v>31</v>
      </c>
      <c r="L13" s="253" t="s">
        <v>37</v>
      </c>
      <c r="M13" s="198"/>
      <c r="N13" s="198"/>
      <c r="O13" s="198"/>
      <c r="P13" s="198"/>
      <c r="Q13" s="198"/>
      <c r="R13" s="197"/>
      <c r="S13" s="198"/>
      <c r="T13" s="198"/>
      <c r="U13" s="198"/>
      <c r="V13" s="208" t="str">
        <f t="shared" si="5"/>
        <v>kWh Annual Savings</v>
      </c>
      <c r="W13" s="209">
        <v>110.90169564708388</v>
      </c>
      <c r="X13" s="1106">
        <v>110.90169564708388</v>
      </c>
      <c r="Y13" s="1105">
        <v>110.9</v>
      </c>
      <c r="Z13" s="2537">
        <v>110.9</v>
      </c>
      <c r="AA13" s="2537">
        <v>110.9</v>
      </c>
      <c r="AB13" s="637">
        <v>110.9</v>
      </c>
      <c r="AC13" s="208"/>
      <c r="AD13" s="208"/>
      <c r="AE13" s="208"/>
      <c r="AF13" s="208"/>
      <c r="AG13" s="208"/>
      <c r="AH13"/>
      <c r="AI13"/>
      <c r="AJ13"/>
      <c r="BB13" s="71">
        <f t="shared" si="2"/>
        <v>0.64859536742866941</v>
      </c>
      <c r="BC13" s="72" t="str">
        <f t="shared" si="3"/>
        <v>Cooling RES 2 Year EUL</v>
      </c>
      <c r="BD13" s="148">
        <f>(INDEX('Avoided Cost Benefits'!$C$4:$C$857,MATCH(BC13,'Avoided Cost Benefits'!$A$4:$A$857,0)))*F13</f>
        <v>18.977306644916233</v>
      </c>
      <c r="BE13" s="73">
        <f t="shared" si="4"/>
        <v>29.259084473808397</v>
      </c>
    </row>
    <row r="14" spans="1:57" s="43" customFormat="1" x14ac:dyDescent="0.25">
      <c r="A14" s="198"/>
      <c r="B14" s="198"/>
      <c r="C14" s="1323" t="s">
        <v>2159</v>
      </c>
      <c r="D14" s="1658" t="s">
        <v>2150</v>
      </c>
      <c r="E14" s="388" t="str">
        <f>CONCATENATE(E13,"_CompE")</f>
        <v>Outdoor Coil (Condenser) Cleaning / MFMR_CompE</v>
      </c>
      <c r="F14" s="1818">
        <f>ROUND(($G$22*$G$23*(1/$G$24-1/$G$28)/$G$29),2)</f>
        <v>80.66</v>
      </c>
      <c r="G14" s="1756" t="s">
        <v>690</v>
      </c>
      <c r="H14" s="202">
        <f>VLOOKUP(G14,'CP FACTORS'!$A$3:$B$38, 2, FALSE)</f>
        <v>9.4741810000000004E-4</v>
      </c>
      <c r="I14" s="1733">
        <f t="shared" si="0"/>
        <v>7.6419000000000001E-2</v>
      </c>
      <c r="J14" s="1101">
        <f t="shared" si="1"/>
        <v>2</v>
      </c>
      <c r="K14" s="404">
        <f>K13</f>
        <v>31</v>
      </c>
      <c r="L14" s="253" t="s">
        <v>37</v>
      </c>
      <c r="M14" s="198"/>
      <c r="N14" s="198"/>
      <c r="O14" s="198"/>
      <c r="P14" s="198"/>
      <c r="Q14" s="198"/>
      <c r="R14" s="197"/>
      <c r="S14" s="198"/>
      <c r="T14" s="198"/>
      <c r="U14" s="198"/>
      <c r="V14" s="208" t="str">
        <f t="shared" si="5"/>
        <v>kWh Annual Savings</v>
      </c>
      <c r="W14" s="209"/>
      <c r="X14" s="1106"/>
      <c r="Y14" s="983">
        <v>80.66</v>
      </c>
      <c r="Z14" s="2537">
        <v>80.66</v>
      </c>
      <c r="AA14" s="2537">
        <v>80.66</v>
      </c>
      <c r="AB14" s="637">
        <v>80.66</v>
      </c>
      <c r="AC14" s="208"/>
      <c r="AD14" s="208"/>
      <c r="AE14" s="208"/>
      <c r="AF14" s="208"/>
      <c r="AG14" s="208"/>
      <c r="AH14"/>
      <c r="AI14"/>
      <c r="AJ14"/>
      <c r="BB14" s="74">
        <f t="shared" si="2"/>
        <v>0.47173762251394469</v>
      </c>
      <c r="BC14" s="72" t="str">
        <f t="shared" si="3"/>
        <v>Cooling RES 2 Year EUL</v>
      </c>
      <c r="BD14" s="153">
        <f>(INDEX('Avoided Cost Benefits'!$C$4:$C$857,MATCH(BC14,'Avoided Cost Benefits'!$A$4:$A$857,0)))*F14</f>
        <v>13.802610946609045</v>
      </c>
      <c r="BE14" s="75">
        <f t="shared" si="4"/>
        <v>29.259084473808397</v>
      </c>
    </row>
    <row r="15" spans="1:57" outlineLevel="1" x14ac:dyDescent="0.25">
      <c r="B15" s="198"/>
      <c r="C15" s="196"/>
      <c r="D15" s="197"/>
      <c r="E15" s="197"/>
      <c r="F15" s="1819"/>
      <c r="G15" s="198"/>
      <c r="H15" s="198"/>
      <c r="I15" s="198"/>
      <c r="J15" s="198"/>
      <c r="K15" s="198"/>
      <c r="L15" s="198"/>
      <c r="M15" s="198"/>
      <c r="Q15" s="198"/>
    </row>
    <row r="16" spans="1:57" outlineLevel="1" x14ac:dyDescent="0.25">
      <c r="B16" s="198"/>
      <c r="C16" s="196"/>
      <c r="D16" s="222" t="s">
        <v>571</v>
      </c>
      <c r="E16" s="370"/>
      <c r="F16" s="1820"/>
      <c r="G16" s="198"/>
      <c r="H16" s="198"/>
      <c r="I16" s="198"/>
      <c r="J16" s="198"/>
      <c r="K16" s="198"/>
      <c r="L16" s="198"/>
      <c r="M16" s="198"/>
      <c r="Q16" s="198"/>
    </row>
    <row r="17" spans="1:54" outlineLevel="1" x14ac:dyDescent="0.25">
      <c r="B17" s="198"/>
      <c r="C17" s="196"/>
      <c r="D17" s="1311"/>
      <c r="E17" s="1821"/>
      <c r="F17" s="1820"/>
      <c r="G17" s="198"/>
      <c r="H17" s="198"/>
      <c r="I17" s="198"/>
      <c r="J17" s="198"/>
      <c r="K17" s="198"/>
      <c r="L17" s="198"/>
      <c r="M17" s="198"/>
      <c r="Q17" s="198"/>
    </row>
    <row r="18" spans="1:54" outlineLevel="1" x14ac:dyDescent="0.25">
      <c r="B18" s="198"/>
      <c r="C18" s="196"/>
      <c r="D18" s="1311"/>
      <c r="E18" s="370"/>
      <c r="F18" s="1820"/>
      <c r="G18" s="198"/>
      <c r="H18" s="198"/>
      <c r="I18" s="198"/>
      <c r="J18" s="198"/>
      <c r="K18" s="198"/>
      <c r="L18" s="198"/>
      <c r="M18" s="198"/>
      <c r="N18" s="198"/>
      <c r="O18" s="198"/>
      <c r="P18" s="198"/>
      <c r="Q18" s="198"/>
    </row>
    <row r="19" spans="1:54" outlineLevel="1" x14ac:dyDescent="0.25">
      <c r="B19" s="198"/>
      <c r="C19" s="196"/>
      <c r="D19" s="197"/>
      <c r="E19" s="197"/>
      <c r="F19" s="198"/>
      <c r="G19" s="198"/>
      <c r="H19" s="198"/>
      <c r="I19" s="198"/>
      <c r="J19" s="198"/>
      <c r="K19" s="198"/>
      <c r="L19" s="198"/>
      <c r="M19" s="198"/>
      <c r="N19" s="198"/>
      <c r="O19" s="198"/>
      <c r="P19" s="198"/>
      <c r="Q19" s="198"/>
    </row>
    <row r="20" spans="1:54" ht="15" customHeight="1" outlineLevel="1" x14ac:dyDescent="0.25">
      <c r="B20" s="463"/>
      <c r="C20" s="196"/>
      <c r="D20" s="1456" t="s">
        <v>572</v>
      </c>
      <c r="E20" s="1456" t="s">
        <v>573</v>
      </c>
      <c r="F20" s="1456" t="s">
        <v>623</v>
      </c>
      <c r="G20" s="1409" t="s">
        <v>574</v>
      </c>
      <c r="H20" s="1409" t="s">
        <v>624</v>
      </c>
      <c r="I20" s="3419" t="s">
        <v>575</v>
      </c>
      <c r="J20" s="3419"/>
      <c r="K20" s="3419"/>
      <c r="L20" s="3419"/>
      <c r="M20" s="463"/>
      <c r="N20" s="198"/>
      <c r="O20" s="198"/>
      <c r="P20" s="198"/>
      <c r="Q20" s="463"/>
      <c r="V20" s="55" t="s">
        <v>27</v>
      </c>
      <c r="W20" s="56">
        <f>W$6</f>
        <v>43252</v>
      </c>
      <c r="X20" s="56">
        <f t="shared" ref="X20:AG20" si="6">X$6</f>
        <v>43465</v>
      </c>
      <c r="Y20" s="56">
        <f t="shared" si="6"/>
        <v>43800</v>
      </c>
      <c r="Z20" s="56">
        <f t="shared" si="6"/>
        <v>43862</v>
      </c>
      <c r="AA20" s="56">
        <f t="shared" si="6"/>
        <v>44013</v>
      </c>
      <c r="AB20" s="56">
        <f t="shared" si="6"/>
        <v>44166</v>
      </c>
      <c r="AC20" s="56" t="str">
        <f t="shared" si="6"/>
        <v>-</v>
      </c>
      <c r="AD20" s="56" t="str">
        <f t="shared" si="6"/>
        <v>-</v>
      </c>
      <c r="AE20" s="56" t="str">
        <f t="shared" si="6"/>
        <v>-</v>
      </c>
      <c r="AF20" s="56" t="str">
        <f t="shared" si="6"/>
        <v>-</v>
      </c>
      <c r="AG20" s="56" t="str">
        <f t="shared" si="6"/>
        <v>-</v>
      </c>
    </row>
    <row r="21" spans="1:54" ht="30" customHeight="1" outlineLevel="1" x14ac:dyDescent="0.25">
      <c r="B21" s="272"/>
      <c r="C21" s="229"/>
      <c r="D21" s="3821" t="s">
        <v>1804</v>
      </c>
      <c r="E21" s="3821" t="s">
        <v>1299</v>
      </c>
      <c r="F21" s="1113" t="s">
        <v>735</v>
      </c>
      <c r="G21" s="1870">
        <v>869</v>
      </c>
      <c r="H21" s="1442" t="s">
        <v>889</v>
      </c>
      <c r="I21" s="3424"/>
      <c r="J21" s="3424"/>
      <c r="K21" s="3424"/>
      <c r="L21" s="3424"/>
      <c r="M21" s="272"/>
      <c r="N21" s="198"/>
      <c r="O21" s="198"/>
      <c r="P21" s="198"/>
      <c r="Q21" s="272"/>
      <c r="V21" s="3821" t="s">
        <v>1804</v>
      </c>
      <c r="W21" s="1312">
        <v>869</v>
      </c>
      <c r="X21" s="1312">
        <v>869</v>
      </c>
      <c r="Y21" s="1312">
        <v>869</v>
      </c>
      <c r="Z21" s="1870">
        <v>869</v>
      </c>
      <c r="AA21" s="1870">
        <v>869</v>
      </c>
      <c r="AB21" s="1312">
        <v>869</v>
      </c>
      <c r="AC21" s="1312"/>
      <c r="AD21" s="1312"/>
      <c r="AE21" s="1312"/>
      <c r="AF21" s="1312"/>
      <c r="AG21" s="1312"/>
    </row>
    <row r="22" spans="1:54" ht="30" customHeight="1" outlineLevel="1" x14ac:dyDescent="0.25">
      <c r="B22" s="272"/>
      <c r="C22" s="229"/>
      <c r="D22" s="3573"/>
      <c r="E22" s="3573"/>
      <c r="F22" s="1113" t="s">
        <v>888</v>
      </c>
      <c r="G22" s="1870">
        <v>632</v>
      </c>
      <c r="H22" s="1442" t="s">
        <v>889</v>
      </c>
      <c r="I22" s="3424"/>
      <c r="J22" s="3424"/>
      <c r="K22" s="3424"/>
      <c r="L22" s="3424"/>
      <c r="M22" s="272"/>
      <c r="N22" s="198"/>
      <c r="O22" s="198"/>
      <c r="P22" s="198"/>
      <c r="Q22" s="272"/>
      <c r="V22" s="3832"/>
      <c r="W22" s="1312"/>
      <c r="X22" s="1312"/>
      <c r="Y22" s="1070">
        <v>632</v>
      </c>
      <c r="Z22" s="1870">
        <v>632</v>
      </c>
      <c r="AA22" s="1870">
        <v>632</v>
      </c>
      <c r="AB22" s="1870">
        <v>632</v>
      </c>
      <c r="AC22" s="1312"/>
      <c r="AD22" s="1312"/>
      <c r="AE22" s="1312"/>
      <c r="AF22" s="1312"/>
      <c r="AG22" s="1312"/>
    </row>
    <row r="23" spans="1:54" ht="30" outlineLevel="1" x14ac:dyDescent="0.25">
      <c r="B23" s="272"/>
      <c r="C23" s="229"/>
      <c r="D23" s="1442" t="s">
        <v>1805</v>
      </c>
      <c r="E23" s="1442" t="s">
        <v>1507</v>
      </c>
      <c r="F23" s="1113"/>
      <c r="G23" s="1870">
        <v>20742.434375000001</v>
      </c>
      <c r="H23" s="1442" t="s">
        <v>2160</v>
      </c>
      <c r="I23" s="3424"/>
      <c r="J23" s="3424"/>
      <c r="K23" s="3424"/>
      <c r="L23" s="3424"/>
      <c r="M23" s="272"/>
      <c r="N23" s="198"/>
      <c r="O23" s="198"/>
      <c r="P23" s="198"/>
      <c r="Q23" s="272"/>
      <c r="V23" s="1069" t="str">
        <f t="shared" ref="V23:V31" si="7">D23</f>
        <v>Capacitycool</v>
      </c>
      <c r="W23" s="1312">
        <v>20742.434375000001</v>
      </c>
      <c r="X23" s="1312">
        <v>20742.434375000001</v>
      </c>
      <c r="Y23" s="1312">
        <v>20742.434375000001</v>
      </c>
      <c r="Z23" s="1870">
        <v>20742.434375000001</v>
      </c>
      <c r="AA23" s="1870">
        <v>20742.434375000001</v>
      </c>
      <c r="AB23" s="1312">
        <v>20742.434375000001</v>
      </c>
      <c r="AC23" s="1312"/>
      <c r="AD23" s="1312"/>
      <c r="AE23" s="1312"/>
      <c r="AF23" s="1312"/>
      <c r="AG23" s="1312"/>
    </row>
    <row r="24" spans="1:54" ht="105" customHeight="1" outlineLevel="1" x14ac:dyDescent="0.25">
      <c r="B24" s="272"/>
      <c r="C24" s="229"/>
      <c r="D24" s="1442" t="s">
        <v>2161</v>
      </c>
      <c r="E24" s="1442" t="s">
        <v>1544</v>
      </c>
      <c r="F24" s="1113"/>
      <c r="G24" s="1447">
        <v>11.9</v>
      </c>
      <c r="H24" s="1442" t="s">
        <v>2162</v>
      </c>
      <c r="I24" s="3424" t="s">
        <v>2163</v>
      </c>
      <c r="J24" s="3424"/>
      <c r="K24" s="3424"/>
      <c r="L24" s="3424"/>
      <c r="M24" s="272"/>
      <c r="N24" s="198"/>
      <c r="O24" s="198"/>
      <c r="P24" s="198"/>
      <c r="Q24" s="272"/>
      <c r="V24" s="1069" t="str">
        <f t="shared" si="7"/>
        <v>SEERtest-in</v>
      </c>
      <c r="W24" s="1313">
        <v>11.9</v>
      </c>
      <c r="X24" s="1313">
        <v>11.9</v>
      </c>
      <c r="Y24" s="1313">
        <v>11.9</v>
      </c>
      <c r="Z24" s="2752">
        <v>11.9</v>
      </c>
      <c r="AA24" s="2752">
        <v>11.9</v>
      </c>
      <c r="AB24" s="1313">
        <v>11.9</v>
      </c>
      <c r="AC24" s="1313"/>
      <c r="AD24" s="1313"/>
      <c r="AE24" s="1313"/>
      <c r="AF24" s="1313"/>
      <c r="AG24" s="1313"/>
    </row>
    <row r="25" spans="1:54" outlineLevel="1" x14ac:dyDescent="0.25">
      <c r="B25" s="272"/>
      <c r="C25" s="229"/>
      <c r="D25" s="3821" t="s">
        <v>1807</v>
      </c>
      <c r="E25" s="3821" t="s">
        <v>1551</v>
      </c>
      <c r="F25" s="1113" t="s">
        <v>1545</v>
      </c>
      <c r="G25" s="1447">
        <f>G24*(1+0.056)</f>
        <v>12.566400000000002</v>
      </c>
      <c r="H25" s="1442" t="s">
        <v>1198</v>
      </c>
      <c r="I25" s="3424" t="s">
        <v>1548</v>
      </c>
      <c r="J25" s="3424"/>
      <c r="K25" s="3424"/>
      <c r="L25" s="3424"/>
      <c r="M25" s="272"/>
      <c r="N25" s="198"/>
      <c r="O25" s="198"/>
      <c r="P25" s="198"/>
      <c r="Q25" s="272"/>
      <c r="V25" s="1069" t="str">
        <f t="shared" si="7"/>
        <v>SEERtest-out</v>
      </c>
      <c r="W25" s="1313">
        <f>W24*(1+0.056)</f>
        <v>12.566400000000002</v>
      </c>
      <c r="X25" s="1313">
        <f>X24*(1+0.056)</f>
        <v>12.566400000000002</v>
      </c>
      <c r="Y25" s="1313">
        <f>Y24*(1+0.056)</f>
        <v>12.566400000000002</v>
      </c>
      <c r="Z25" s="2752">
        <f t="shared" ref="Z25:AA25" si="8">Z24*(1+0.056)</f>
        <v>12.566400000000002</v>
      </c>
      <c r="AA25" s="2752">
        <f t="shared" si="8"/>
        <v>12.566400000000002</v>
      </c>
      <c r="AB25" s="1313">
        <v>12.566400000000002</v>
      </c>
      <c r="AC25" s="1313"/>
      <c r="AD25" s="1313"/>
      <c r="AE25" s="1313"/>
      <c r="AF25" s="1313"/>
      <c r="AG25" s="1313"/>
    </row>
    <row r="26" spans="1:54" outlineLevel="1" x14ac:dyDescent="0.25">
      <c r="B26" s="272"/>
      <c r="C26" s="229"/>
      <c r="D26" s="3833"/>
      <c r="E26" s="3833"/>
      <c r="F26" s="1113" t="s">
        <v>1546</v>
      </c>
      <c r="G26" s="1447">
        <f>G24*(1+0.284)</f>
        <v>15.2796</v>
      </c>
      <c r="H26" s="1442" t="s">
        <v>1198</v>
      </c>
      <c r="I26" s="3424" t="s">
        <v>1548</v>
      </c>
      <c r="J26" s="3424"/>
      <c r="K26" s="3424"/>
      <c r="L26" s="3424"/>
      <c r="M26" s="272"/>
      <c r="N26" s="198"/>
      <c r="O26" s="198"/>
      <c r="P26" s="198"/>
      <c r="Q26" s="272"/>
      <c r="V26" s="1069">
        <f t="shared" si="7"/>
        <v>0</v>
      </c>
      <c r="W26" s="1313">
        <f>W24*(1+0.284)</f>
        <v>15.2796</v>
      </c>
      <c r="X26" s="1313">
        <f>X24*(1+0.284)</f>
        <v>15.2796</v>
      </c>
      <c r="Y26" s="1313">
        <f>Y24*(1+0.284)</f>
        <v>15.2796</v>
      </c>
      <c r="Z26" s="2752">
        <f t="shared" ref="Z26:AA26" si="9">Z24*(1+0.284)</f>
        <v>15.2796</v>
      </c>
      <c r="AA26" s="2752">
        <f t="shared" si="9"/>
        <v>15.2796</v>
      </c>
      <c r="AB26" s="1313">
        <v>15.2796</v>
      </c>
      <c r="AC26" s="1313"/>
      <c r="AD26" s="1313"/>
      <c r="AE26" s="1313"/>
      <c r="AF26" s="1313"/>
      <c r="AG26" s="1313"/>
    </row>
    <row r="27" spans="1:54" ht="27" customHeight="1" outlineLevel="1" x14ac:dyDescent="0.25">
      <c r="B27" s="272"/>
      <c r="C27" s="229"/>
      <c r="D27" s="3833"/>
      <c r="E27" s="3833"/>
      <c r="F27" s="1977" t="s">
        <v>2164</v>
      </c>
      <c r="G27" s="1447">
        <f>G24*(1+0.038)</f>
        <v>12.352200000000002</v>
      </c>
      <c r="H27" s="1442" t="s">
        <v>1198</v>
      </c>
      <c r="I27" s="3424" t="s">
        <v>1548</v>
      </c>
      <c r="J27" s="3424"/>
      <c r="K27" s="3424"/>
      <c r="L27" s="3424"/>
      <c r="M27" s="272"/>
      <c r="N27" s="198"/>
      <c r="O27" s="198"/>
      <c r="P27" s="198"/>
      <c r="Q27" s="272"/>
      <c r="V27" s="1069">
        <f t="shared" si="7"/>
        <v>0</v>
      </c>
      <c r="W27" s="1313">
        <f>W24*(1+0.038)</f>
        <v>12.352200000000002</v>
      </c>
      <c r="X27" s="1313">
        <f>X24*(1+0.038)</f>
        <v>12.352200000000002</v>
      </c>
      <c r="Y27" s="1313">
        <f>Y24*(1+0.038)</f>
        <v>12.352200000000002</v>
      </c>
      <c r="Z27" s="2752">
        <f t="shared" ref="Z27:AA27" si="10">Z24*(1+0.038)</f>
        <v>12.352200000000002</v>
      </c>
      <c r="AA27" s="2752">
        <f t="shared" si="10"/>
        <v>12.352200000000002</v>
      </c>
      <c r="AB27" s="1313">
        <v>12.352200000000002</v>
      </c>
      <c r="AC27" s="1313"/>
      <c r="AD27" s="1313"/>
      <c r="AE27" s="1313"/>
      <c r="AF27" s="1313"/>
      <c r="AG27" s="1313"/>
    </row>
    <row r="28" spans="1:54" outlineLevel="1" x14ac:dyDescent="0.25">
      <c r="B28" s="272"/>
      <c r="C28" s="229"/>
      <c r="D28" s="3438"/>
      <c r="E28" s="3438"/>
      <c r="F28" s="1977" t="s">
        <v>2165</v>
      </c>
      <c r="G28" s="1447">
        <f>G24*(1+0.079)</f>
        <v>12.8401</v>
      </c>
      <c r="H28" s="1442" t="s">
        <v>1198</v>
      </c>
      <c r="I28" s="3424" t="s">
        <v>1548</v>
      </c>
      <c r="J28" s="3424"/>
      <c r="K28" s="3424"/>
      <c r="L28" s="3424"/>
      <c r="M28" s="272"/>
      <c r="N28" s="198"/>
      <c r="O28" s="198"/>
      <c r="P28" s="198"/>
      <c r="Q28" s="272"/>
      <c r="V28" s="1069">
        <f t="shared" si="7"/>
        <v>0</v>
      </c>
      <c r="W28" s="1313">
        <f>W24*(1+0.079)</f>
        <v>12.8401</v>
      </c>
      <c r="X28" s="1313">
        <f>X24*(1+0.079)</f>
        <v>12.8401</v>
      </c>
      <c r="Y28" s="1313">
        <f>Y24*(1+0.079)</f>
        <v>12.8401</v>
      </c>
      <c r="Z28" s="2752">
        <f t="shared" ref="Z28:AA28" si="11">Z24*(1+0.079)</f>
        <v>12.8401</v>
      </c>
      <c r="AA28" s="2752">
        <f t="shared" si="11"/>
        <v>12.8401</v>
      </c>
      <c r="AB28" s="1313">
        <v>12.8401</v>
      </c>
      <c r="AC28" s="1313"/>
      <c r="AD28" s="1313"/>
      <c r="AE28" s="1313"/>
      <c r="AF28" s="1313"/>
      <c r="AG28" s="1313"/>
    </row>
    <row r="29" spans="1:54" outlineLevel="1" x14ac:dyDescent="0.25">
      <c r="B29" s="1978"/>
      <c r="C29" s="1979"/>
      <c r="D29" s="1116">
        <v>1000</v>
      </c>
      <c r="E29" s="1314" t="s">
        <v>1552</v>
      </c>
      <c r="F29" s="1113"/>
      <c r="G29" s="1870">
        <v>1000</v>
      </c>
      <c r="H29" s="1410" t="s">
        <v>1553</v>
      </c>
      <c r="I29" s="3875"/>
      <c r="J29" s="3875"/>
      <c r="K29" s="3875"/>
      <c r="L29" s="3875"/>
      <c r="V29" s="1069">
        <f t="shared" si="7"/>
        <v>1000</v>
      </c>
      <c r="W29" s="1312">
        <v>1000</v>
      </c>
      <c r="X29" s="1312">
        <v>1000</v>
      </c>
      <c r="Y29" s="1312">
        <v>1000</v>
      </c>
      <c r="Z29" s="1870">
        <v>1000</v>
      </c>
      <c r="AA29" s="1870">
        <v>1000</v>
      </c>
      <c r="AB29" s="1312">
        <v>1000</v>
      </c>
      <c r="AC29" s="1312"/>
      <c r="AD29" s="1312"/>
      <c r="AE29" s="1312"/>
      <c r="AF29" s="1312"/>
      <c r="AG29" s="1312"/>
    </row>
    <row r="30" spans="1:54" s="128" customFormat="1" outlineLevel="1" x14ac:dyDescent="0.25">
      <c r="A30" s="406"/>
      <c r="B30" s="406"/>
      <c r="C30" s="196"/>
      <c r="D30" s="1465" t="str">
        <f>$J$6</f>
        <v>EUL</v>
      </c>
      <c r="E30" s="1314" t="str">
        <f>'HVAC Deemed Table'!E88</f>
        <v>End of Useful Life</v>
      </c>
      <c r="F30" s="1113"/>
      <c r="G30" s="1101">
        <v>2</v>
      </c>
      <c r="H30" s="1410"/>
      <c r="I30" s="3875"/>
      <c r="J30" s="3875"/>
      <c r="K30" s="3875"/>
      <c r="L30" s="3875"/>
      <c r="M30" s="272"/>
      <c r="N30" s="272"/>
      <c r="O30" s="272"/>
      <c r="P30" s="272"/>
      <c r="Q30" s="272"/>
      <c r="R30" s="272"/>
      <c r="S30" s="272"/>
      <c r="T30" s="272"/>
      <c r="U30" s="272"/>
      <c r="V30" s="365" t="str">
        <f t="shared" si="7"/>
        <v>EUL</v>
      </c>
      <c r="W30" s="421">
        <v>2</v>
      </c>
      <c r="X30" s="421">
        <v>2</v>
      </c>
      <c r="Y30" s="1101">
        <v>2</v>
      </c>
      <c r="Z30" s="1101">
        <v>2</v>
      </c>
      <c r="AA30" s="1101">
        <v>2</v>
      </c>
      <c r="AB30" s="1101">
        <v>2</v>
      </c>
      <c r="AC30" s="423"/>
      <c r="AD30" s="423"/>
      <c r="AE30" s="423"/>
      <c r="AF30" s="423"/>
      <c r="AG30" s="423"/>
      <c r="AU30" s="212"/>
      <c r="BB30" s="1111"/>
    </row>
    <row r="31" spans="1:54" s="128" customFormat="1" ht="30" outlineLevel="1" x14ac:dyDescent="0.25">
      <c r="A31" s="406"/>
      <c r="B31" s="406"/>
      <c r="C31" s="196"/>
      <c r="D31" s="4023" t="str">
        <f>$K$6</f>
        <v>Inc. Cost</v>
      </c>
      <c r="E31" s="3876" t="str">
        <f>'HVAC Deemed Table'!E100</f>
        <v>Incremental Cost ($)</v>
      </c>
      <c r="F31" s="1113" t="str">
        <f>E7</f>
        <v>General Tune-Up (no charge or coil clean) / MFMR</v>
      </c>
      <c r="G31" s="404">
        <v>70</v>
      </c>
      <c r="H31" s="1410"/>
      <c r="I31" s="3875"/>
      <c r="J31" s="3875"/>
      <c r="K31" s="3875"/>
      <c r="L31" s="3875"/>
      <c r="M31" s="272"/>
      <c r="N31" s="272"/>
      <c r="O31" s="272"/>
      <c r="P31" s="272"/>
      <c r="Q31" s="272"/>
      <c r="R31" s="272"/>
      <c r="S31" s="272"/>
      <c r="T31" s="272"/>
      <c r="U31" s="272"/>
      <c r="V31" s="3987" t="str">
        <f t="shared" si="7"/>
        <v>Inc. Cost</v>
      </c>
      <c r="W31" s="421">
        <v>70</v>
      </c>
      <c r="X31" s="421">
        <v>70</v>
      </c>
      <c r="Y31" s="404">
        <v>70</v>
      </c>
      <c r="Z31" s="404">
        <v>70</v>
      </c>
      <c r="AA31" s="404">
        <v>70</v>
      </c>
      <c r="AB31" s="404">
        <v>70</v>
      </c>
      <c r="AC31" s="423"/>
      <c r="AD31" s="423"/>
      <c r="AE31" s="423"/>
      <c r="AF31" s="423"/>
      <c r="AG31" s="423"/>
      <c r="AU31" s="212"/>
      <c r="BB31" s="1111"/>
    </row>
    <row r="32" spans="1:54" s="128" customFormat="1" ht="30" outlineLevel="1" x14ac:dyDescent="0.25">
      <c r="A32" s="406"/>
      <c r="B32" s="406"/>
      <c r="C32" s="196"/>
      <c r="D32" s="3362"/>
      <c r="E32" s="3572"/>
      <c r="F32" s="1113" t="str">
        <f>E9</f>
        <v>AC Tune-up / refrigerant charge / MFMR</v>
      </c>
      <c r="G32" s="404">
        <v>81</v>
      </c>
      <c r="H32" s="1410"/>
      <c r="I32" s="3875"/>
      <c r="J32" s="3875"/>
      <c r="K32" s="3875"/>
      <c r="L32" s="3875"/>
      <c r="M32" s="272"/>
      <c r="N32" s="272"/>
      <c r="O32" s="272"/>
      <c r="P32" s="272"/>
      <c r="Q32" s="272"/>
      <c r="R32" s="272"/>
      <c r="S32" s="272"/>
      <c r="T32" s="272"/>
      <c r="U32" s="272"/>
      <c r="V32" s="3572"/>
      <c r="W32" s="430">
        <v>81</v>
      </c>
      <c r="X32" s="430">
        <v>81</v>
      </c>
      <c r="Y32" s="404">
        <v>81</v>
      </c>
      <c r="Z32" s="404">
        <v>81</v>
      </c>
      <c r="AA32" s="404">
        <v>81</v>
      </c>
      <c r="AB32" s="404">
        <v>81</v>
      </c>
      <c r="AC32" s="410"/>
      <c r="AD32" s="410"/>
      <c r="AE32" s="410"/>
      <c r="AF32" s="410"/>
      <c r="AG32" s="410"/>
      <c r="AU32" s="212"/>
      <c r="BB32" s="1111"/>
    </row>
    <row r="33" spans="1:57" s="128" customFormat="1" ht="30" outlineLevel="1" x14ac:dyDescent="0.25">
      <c r="A33" s="406"/>
      <c r="B33" s="406"/>
      <c r="C33" s="196"/>
      <c r="D33" s="3362"/>
      <c r="E33" s="3572"/>
      <c r="F33" s="1113" t="str">
        <f>E11</f>
        <v>Indoor Coil (Evaporator) Cleaning / MFMR</v>
      </c>
      <c r="G33" s="404">
        <v>63</v>
      </c>
      <c r="H33" s="1410"/>
      <c r="I33" s="3875"/>
      <c r="J33" s="3875"/>
      <c r="K33" s="3875"/>
      <c r="L33" s="3875"/>
      <c r="M33" s="272"/>
      <c r="N33" s="272"/>
      <c r="O33" s="272"/>
      <c r="P33" s="272"/>
      <c r="Q33" s="272"/>
      <c r="R33" s="272"/>
      <c r="S33" s="272"/>
      <c r="T33" s="272"/>
      <c r="U33" s="272"/>
      <c r="V33" s="3572"/>
      <c r="W33" s="421">
        <v>63</v>
      </c>
      <c r="X33" s="421">
        <v>63</v>
      </c>
      <c r="Y33" s="404">
        <v>63</v>
      </c>
      <c r="Z33" s="404">
        <v>63</v>
      </c>
      <c r="AA33" s="404">
        <v>63</v>
      </c>
      <c r="AB33" s="404">
        <v>63</v>
      </c>
      <c r="AC33" s="423"/>
      <c r="AD33" s="423"/>
      <c r="AE33" s="423"/>
      <c r="AF33" s="423"/>
      <c r="AG33" s="423"/>
      <c r="AU33" s="212"/>
      <c r="BB33" s="1111"/>
    </row>
    <row r="34" spans="1:57" s="128" customFormat="1" ht="30" outlineLevel="1" x14ac:dyDescent="0.25">
      <c r="A34" s="406"/>
      <c r="B34" s="406"/>
      <c r="C34" s="196"/>
      <c r="D34" s="3434"/>
      <c r="E34" s="3573"/>
      <c r="F34" s="1113" t="str">
        <f>E13</f>
        <v>Outdoor Coil (Condenser) Cleaning / MFMR</v>
      </c>
      <c r="G34" s="404">
        <v>31</v>
      </c>
      <c r="H34" s="1410"/>
      <c r="I34" s="3875"/>
      <c r="J34" s="3875"/>
      <c r="K34" s="3875"/>
      <c r="L34" s="3875"/>
      <c r="M34" s="272"/>
      <c r="N34" s="272"/>
      <c r="O34" s="272"/>
      <c r="P34" s="272"/>
      <c r="Q34" s="272"/>
      <c r="R34" s="272"/>
      <c r="S34" s="272"/>
      <c r="T34" s="272"/>
      <c r="U34" s="272"/>
      <c r="V34" s="3573"/>
      <c r="W34" s="430">
        <v>31</v>
      </c>
      <c r="X34" s="430">
        <v>31</v>
      </c>
      <c r="Y34" s="404">
        <v>31</v>
      </c>
      <c r="Z34" s="404">
        <v>31</v>
      </c>
      <c r="AA34" s="404">
        <v>31</v>
      </c>
      <c r="AB34" s="404">
        <v>31</v>
      </c>
      <c r="AC34" s="410"/>
      <c r="AD34" s="410"/>
      <c r="AE34" s="410"/>
      <c r="AF34" s="410"/>
      <c r="AG34" s="410"/>
      <c r="AU34" s="212"/>
      <c r="BB34" s="1111"/>
    </row>
    <row r="35" spans="1:57" x14ac:dyDescent="0.25">
      <c r="B35" s="1978"/>
      <c r="C35" s="1979"/>
      <c r="D35" s="1315"/>
      <c r="E35" s="1315"/>
      <c r="F35" s="1978"/>
      <c r="G35" s="1978"/>
      <c r="H35" s="1978"/>
      <c r="I35" s="1978"/>
      <c r="J35" s="1978"/>
      <c r="K35" s="1978"/>
      <c r="L35" s="1978"/>
    </row>
    <row r="36" spans="1:57" x14ac:dyDescent="0.25">
      <c r="B36" s="1978"/>
      <c r="C36" s="1979"/>
      <c r="D36" s="1315"/>
      <c r="E36" s="1315"/>
      <c r="F36" s="1978"/>
      <c r="G36" s="1978"/>
      <c r="H36" s="1978"/>
      <c r="I36" s="1978"/>
      <c r="J36" s="1978"/>
      <c r="K36" s="1978"/>
      <c r="L36" s="1978"/>
    </row>
    <row r="37" spans="1:57" x14ac:dyDescent="0.25">
      <c r="B37" s="3350" t="s">
        <v>1582</v>
      </c>
      <c r="C37" s="3351"/>
      <c r="D37" s="3351"/>
      <c r="E37" s="3351"/>
      <c r="F37" s="3351"/>
      <c r="G37" s="3351"/>
      <c r="H37" s="3351"/>
      <c r="I37" s="3352"/>
      <c r="J37" s="3352"/>
      <c r="K37" s="3352"/>
      <c r="L37" s="3352"/>
      <c r="M37" s="3352"/>
      <c r="N37" s="3352"/>
      <c r="O37" s="3352"/>
      <c r="P37" s="3352"/>
      <c r="Q37" s="3353"/>
      <c r="V37" s="3350" t="str">
        <f>B37</f>
        <v>Ceiling Insulation</v>
      </c>
      <c r="W37" s="3351"/>
      <c r="X37" s="3351"/>
      <c r="Y37" s="3351"/>
      <c r="Z37" s="3351"/>
      <c r="AA37" s="3351"/>
      <c r="AB37" s="3351"/>
      <c r="AC37" s="3354"/>
      <c r="AD37" s="3354"/>
      <c r="AE37" s="3354"/>
      <c r="AF37" s="3354"/>
      <c r="AG37" s="3354"/>
      <c r="AH37" s="3354"/>
      <c r="AI37" s="3355"/>
    </row>
    <row r="38" spans="1:57" x14ac:dyDescent="0.25">
      <c r="B38" s="1657"/>
      <c r="C38" s="274"/>
      <c r="D38" s="482"/>
      <c r="E38" s="482"/>
      <c r="F38" s="275"/>
      <c r="G38" s="275"/>
      <c r="H38" s="275"/>
      <c r="I38" s="275"/>
      <c r="J38" s="275"/>
      <c r="K38" s="275"/>
      <c r="L38" s="1635"/>
      <c r="M38" s="298"/>
      <c r="N38" s="298"/>
      <c r="O38" s="298"/>
      <c r="P38" s="298"/>
      <c r="Q38" s="298"/>
    </row>
    <row r="39" spans="1:57" ht="45" x14ac:dyDescent="0.25">
      <c r="B39" s="1359"/>
      <c r="C39" s="2765" t="s">
        <v>17</v>
      </c>
      <c r="D39" s="1409" t="s">
        <v>616</v>
      </c>
      <c r="E39" s="1409" t="s">
        <v>19</v>
      </c>
      <c r="F39" s="1409" t="s">
        <v>20</v>
      </c>
      <c r="G39" s="1409" t="s">
        <v>21</v>
      </c>
      <c r="H39" s="1409" t="s">
        <v>22</v>
      </c>
      <c r="I39" s="1409" t="s">
        <v>872</v>
      </c>
      <c r="J39" s="1409" t="s">
        <v>873</v>
      </c>
      <c r="K39" s="1409" t="s">
        <v>23</v>
      </c>
      <c r="L39" s="1413" t="s">
        <v>24</v>
      </c>
      <c r="M39" s="1409" t="s">
        <v>25</v>
      </c>
      <c r="N39" s="1409" t="s">
        <v>1583</v>
      </c>
      <c r="V39" s="55" t="s">
        <v>27</v>
      </c>
      <c r="W39" s="56">
        <f>W$6</f>
        <v>43252</v>
      </c>
      <c r="X39" s="56">
        <f t="shared" ref="X39:AG39" si="12">X$6</f>
        <v>43465</v>
      </c>
      <c r="Y39" s="56">
        <f t="shared" si="12"/>
        <v>43800</v>
      </c>
      <c r="Z39" s="56">
        <f t="shared" si="12"/>
        <v>43862</v>
      </c>
      <c r="AA39" s="56">
        <f t="shared" si="12"/>
        <v>44013</v>
      </c>
      <c r="AB39" s="56">
        <f t="shared" si="12"/>
        <v>44166</v>
      </c>
      <c r="AC39" s="56" t="str">
        <f t="shared" si="12"/>
        <v>-</v>
      </c>
      <c r="AD39" s="56" t="str">
        <f t="shared" si="12"/>
        <v>-</v>
      </c>
      <c r="AE39" s="56" t="str">
        <f t="shared" si="12"/>
        <v>-</v>
      </c>
      <c r="AF39" s="56" t="str">
        <f t="shared" si="12"/>
        <v>-</v>
      </c>
      <c r="AG39" s="56" t="str">
        <f t="shared" si="12"/>
        <v>-</v>
      </c>
      <c r="BB39" s="57" t="str">
        <f>$BB$6</f>
        <v>TRC (2020)</v>
      </c>
      <c r="BC39" s="93" t="str">
        <f>$BC$6</f>
        <v>Benefit Lookup</v>
      </c>
      <c r="BD39" s="741" t="str">
        <f>$BD$6</f>
        <v>Benefits (2019 $)</v>
      </c>
      <c r="BE39" s="279" t="str">
        <f>$BE$6</f>
        <v>Incremental Cost (2019 $)</v>
      </c>
    </row>
    <row r="40" spans="1:57" x14ac:dyDescent="0.25">
      <c r="B40" s="1359"/>
      <c r="C40" s="2764" t="s">
        <v>3296</v>
      </c>
      <c r="D40" s="1658" t="s">
        <v>2147</v>
      </c>
      <c r="E40" s="1427" t="s">
        <v>2166</v>
      </c>
      <c r="F40" s="651">
        <f>ROUND(I40+J40,2)</f>
        <v>1.06</v>
      </c>
      <c r="G40" s="1658" t="s">
        <v>1558</v>
      </c>
      <c r="H40" s="202">
        <f>VLOOKUP(G40,'CP FACTORS'!$A$3:$B$38, 2, FALSE)</f>
        <v>4.6608050000000002E-4</v>
      </c>
      <c r="I40" s="1088">
        <f t="shared" ref="I40:I49" si="13">F60*(1/(F70+5)-1/(F80+5))*F90*(1-F$100)*F$101*24*F$102/(F103*3412)+(F113*F$123*29.3)</f>
        <v>0.95509376709652194</v>
      </c>
      <c r="J40" s="1659">
        <f t="shared" ref="J40:J49" si="14">F126*(1/(F70+5)-1/(F80+5))*F90*(1-F$100)*F$124*24*F$125/(F136*1000)</f>
        <v>0.10025449318181817</v>
      </c>
      <c r="K40" s="994">
        <f>ROUND(H40*F40,6)</f>
        <v>4.9399999999999997E-4</v>
      </c>
      <c r="L40" s="1088">
        <f t="shared" ref="L40:L49" si="15">$F$146</f>
        <v>25</v>
      </c>
      <c r="M40" s="1316">
        <f t="shared" ref="M40:M49" si="16">F147</f>
        <v>2.1249043458397581</v>
      </c>
      <c r="N40" s="1088">
        <f t="shared" ref="N40:N49" si="17">F90</f>
        <v>1</v>
      </c>
      <c r="V40" s="208" t="str">
        <f>F39</f>
        <v>kWh Annual Savings</v>
      </c>
      <c r="W40" s="723">
        <v>924.01016928670083</v>
      </c>
      <c r="X40" s="1223">
        <v>924.01016928670083</v>
      </c>
      <c r="Y40" s="2027">
        <v>1.06</v>
      </c>
      <c r="Z40" s="1317">
        <v>1.06</v>
      </c>
      <c r="AA40" s="1317">
        <v>1.06</v>
      </c>
      <c r="AB40" s="2662">
        <v>1.06</v>
      </c>
      <c r="AC40" s="208"/>
      <c r="AD40" s="208"/>
      <c r="AE40" s="208"/>
      <c r="AF40" s="208"/>
      <c r="AG40" s="208"/>
      <c r="BB40" s="67">
        <f t="shared" ref="BB40:BB49" si="18">(BD40)/(BE40)</f>
        <v>0.73564454661671597</v>
      </c>
      <c r="BC40" s="68" t="str">
        <f>CONCATENATE(G40," ",L40," Year EUL")</f>
        <v>Building Shell RES 25 Year EUL</v>
      </c>
      <c r="BD40" s="145">
        <f>(INDEX('Avoided Cost Benefits'!$C$4:$C$857,MATCH(BC40,'Avoided Cost Benefits'!$A$4:$A$857,0)))*F40</f>
        <v>1.4753886683333441</v>
      </c>
      <c r="BE40" s="69">
        <f>M40/(1.0595^(2020-2019))</f>
        <v>2.0055727662480018</v>
      </c>
    </row>
    <row r="41" spans="1:57" x14ac:dyDescent="0.25">
      <c r="B41" s="1359"/>
      <c r="C41" s="2764" t="s">
        <v>3297</v>
      </c>
      <c r="D41" s="1658" t="s">
        <v>2147</v>
      </c>
      <c r="E41" s="1427" t="s">
        <v>2167</v>
      </c>
      <c r="F41" s="651">
        <f t="shared" ref="F41:F49" si="19">ROUND(I41+J41,2)</f>
        <v>0.53</v>
      </c>
      <c r="G41" s="1658" t="s">
        <v>1558</v>
      </c>
      <c r="H41" s="202">
        <f>VLOOKUP(G41,'CP FACTORS'!$A$3:$B$38, 2, FALSE)</f>
        <v>4.6608050000000002E-4</v>
      </c>
      <c r="I41" s="1088">
        <f t="shared" si="13"/>
        <v>0.42227362172751165</v>
      </c>
      <c r="J41" s="1659">
        <f t="shared" si="14"/>
        <v>0.11016977272727271</v>
      </c>
      <c r="K41" s="994">
        <f t="shared" ref="K41:K49" si="20">ROUND(H41*F41,6)</f>
        <v>2.4699999999999999E-4</v>
      </c>
      <c r="L41" s="1088">
        <f t="shared" si="15"/>
        <v>25</v>
      </c>
      <c r="M41" s="1316">
        <f t="shared" si="16"/>
        <v>2.1249043458397581</v>
      </c>
      <c r="N41" s="1088">
        <f t="shared" si="17"/>
        <v>1</v>
      </c>
      <c r="V41" s="208" t="str">
        <f>V40</f>
        <v>kWh Annual Savings</v>
      </c>
      <c r="W41" s="723">
        <v>466.18081401488644</v>
      </c>
      <c r="X41" s="1223">
        <v>466.18081401488644</v>
      </c>
      <c r="Y41" s="2027">
        <v>0.53</v>
      </c>
      <c r="Z41" s="1317">
        <v>0.53</v>
      </c>
      <c r="AA41" s="1317">
        <v>0.53</v>
      </c>
      <c r="AB41" s="2662">
        <v>0.53</v>
      </c>
      <c r="AC41" s="208"/>
      <c r="AD41" s="208"/>
      <c r="AE41" s="208"/>
      <c r="AF41" s="208"/>
      <c r="AG41" s="208"/>
      <c r="BB41" s="71">
        <f t="shared" si="18"/>
        <v>0.36782227330835798</v>
      </c>
      <c r="BC41" s="72" t="str">
        <f t="shared" ref="BC41:BC49" si="21">CONCATENATE(G41," ",L41," Year EUL")</f>
        <v>Building Shell RES 25 Year EUL</v>
      </c>
      <c r="BD41" s="148">
        <f>(INDEX('Avoided Cost Benefits'!$C$4:$C$857,MATCH(BC41,'Avoided Cost Benefits'!$A$4:$A$857,0)))*F41</f>
        <v>0.73769433416667207</v>
      </c>
      <c r="BE41" s="73">
        <f t="shared" ref="BE41:BE49" si="22">M41/(1.0595^(2020-2019))</f>
        <v>2.0055727662480018</v>
      </c>
    </row>
    <row r="42" spans="1:57" x14ac:dyDescent="0.25">
      <c r="B42" s="1359"/>
      <c r="C42" s="2764" t="s">
        <v>3298</v>
      </c>
      <c r="D42" s="1658" t="s">
        <v>2147</v>
      </c>
      <c r="E42" s="1427" t="s">
        <v>2168</v>
      </c>
      <c r="F42" s="651">
        <f t="shared" si="19"/>
        <v>1.71</v>
      </c>
      <c r="G42" s="1658" t="s">
        <v>1558</v>
      </c>
      <c r="H42" s="202">
        <f>VLOOKUP(G42,'CP FACTORS'!$A$3:$B$38, 2, FALSE)</f>
        <v>4.6608050000000002E-4</v>
      </c>
      <c r="I42" s="1088">
        <f t="shared" si="13"/>
        <v>1.5511297270139006</v>
      </c>
      <c r="J42" s="1659">
        <f t="shared" si="14"/>
        <v>0.1628193272727273</v>
      </c>
      <c r="K42" s="994">
        <f t="shared" si="20"/>
        <v>7.9699999999999997E-4</v>
      </c>
      <c r="L42" s="1088">
        <f t="shared" si="15"/>
        <v>25</v>
      </c>
      <c r="M42" s="1316">
        <f t="shared" si="16"/>
        <v>1.1631103074141049</v>
      </c>
      <c r="N42" s="1088">
        <f t="shared" si="17"/>
        <v>1</v>
      </c>
      <c r="V42" s="208" t="str">
        <f t="shared" ref="V42:V49" si="23">V41</f>
        <v>kWh Annual Savings</v>
      </c>
      <c r="W42" s="723">
        <v>1232.157975126657</v>
      </c>
      <c r="X42" s="1223">
        <v>1232.157975126657</v>
      </c>
      <c r="Y42" s="2027">
        <v>1.71</v>
      </c>
      <c r="Z42" s="1317">
        <v>1.71</v>
      </c>
      <c r="AA42" s="1317">
        <v>1.71</v>
      </c>
      <c r="AB42" s="2662">
        <v>1.71</v>
      </c>
      <c r="AC42" s="208"/>
      <c r="AD42" s="208"/>
      <c r="AE42" s="208"/>
      <c r="AF42" s="208"/>
      <c r="AG42" s="208"/>
      <c r="BB42" s="71">
        <f t="shared" si="18"/>
        <v>2.1680871992176587</v>
      </c>
      <c r="BC42" s="72" t="str">
        <f t="shared" si="21"/>
        <v>Building Shell RES 25 Year EUL</v>
      </c>
      <c r="BD42" s="148">
        <f>(INDEX('Avoided Cost Benefits'!$C$4:$C$857,MATCH(BC42,'Avoided Cost Benefits'!$A$4:$A$857,0)))*F42</f>
        <v>2.3801081347641682</v>
      </c>
      <c r="BE42" s="73">
        <f t="shared" si="22"/>
        <v>1.0977917011931144</v>
      </c>
    </row>
    <row r="43" spans="1:57" x14ac:dyDescent="0.25">
      <c r="B43" s="1359"/>
      <c r="C43" s="2764" t="s">
        <v>3299</v>
      </c>
      <c r="D43" s="1658" t="s">
        <v>2147</v>
      </c>
      <c r="E43" s="1427" t="s">
        <v>2169</v>
      </c>
      <c r="F43" s="651">
        <f t="shared" si="19"/>
        <v>0.86</v>
      </c>
      <c r="G43" s="1658" t="s">
        <v>1558</v>
      </c>
      <c r="H43" s="202">
        <f>VLOOKUP(G43,'CP FACTORS'!$A$3:$B$38, 2, FALSE)</f>
        <v>4.6608050000000002E-4</v>
      </c>
      <c r="I43" s="1088">
        <f t="shared" si="13"/>
        <v>0.68579776160257533</v>
      </c>
      <c r="J43" s="1659">
        <f t="shared" si="14"/>
        <v>0.17892233766233767</v>
      </c>
      <c r="K43" s="994">
        <f t="shared" si="20"/>
        <v>4.0099999999999999E-4</v>
      </c>
      <c r="L43" s="1088">
        <f t="shared" si="15"/>
        <v>25</v>
      </c>
      <c r="M43" s="1316">
        <f t="shared" si="16"/>
        <v>1.1631103074141049</v>
      </c>
      <c r="N43" s="1088">
        <f t="shared" si="17"/>
        <v>1</v>
      </c>
      <c r="V43" s="208" t="str">
        <f t="shared" si="23"/>
        <v>kWh Annual Savings</v>
      </c>
      <c r="W43" s="723">
        <v>621.647279361546</v>
      </c>
      <c r="X43" s="1223">
        <v>621.647279361546</v>
      </c>
      <c r="Y43" s="2027">
        <v>0.86</v>
      </c>
      <c r="Z43" s="1317">
        <v>0.86</v>
      </c>
      <c r="AA43" s="1317">
        <v>0.86</v>
      </c>
      <c r="AB43" s="2662">
        <v>0.86</v>
      </c>
      <c r="AC43" s="208"/>
      <c r="AD43" s="208"/>
      <c r="AE43" s="208"/>
      <c r="AF43" s="208"/>
      <c r="AG43" s="208"/>
      <c r="BB43" s="71">
        <f t="shared" si="18"/>
        <v>1.0903830358638518</v>
      </c>
      <c r="BC43" s="72" t="str">
        <f t="shared" si="21"/>
        <v>Building Shell RES 25 Year EUL</v>
      </c>
      <c r="BD43" s="148">
        <f>(INDEX('Avoided Cost Benefits'!$C$4:$C$857,MATCH(BC43,'Avoided Cost Benefits'!$A$4:$A$857,0)))*F43</f>
        <v>1.1970134478930905</v>
      </c>
      <c r="BE43" s="73">
        <f t="shared" si="22"/>
        <v>1.0977917011931144</v>
      </c>
    </row>
    <row r="44" spans="1:57" x14ac:dyDescent="0.25">
      <c r="B44" s="1359"/>
      <c r="C44" s="2764" t="s">
        <v>3300</v>
      </c>
      <c r="D44" s="1658" t="s">
        <v>2147</v>
      </c>
      <c r="E44" s="1427" t="s">
        <v>2170</v>
      </c>
      <c r="F44" s="651">
        <f t="shared" si="19"/>
        <v>1.84</v>
      </c>
      <c r="G44" s="1658" t="s">
        <v>1558</v>
      </c>
      <c r="H44" s="202">
        <f>VLOOKUP(G44,'CP FACTORS'!$A$3:$B$38, 2, FALSE)</f>
        <v>4.6608050000000002E-4</v>
      </c>
      <c r="I44" s="1088">
        <f t="shared" si="13"/>
        <v>1.6665626369312141</v>
      </c>
      <c r="J44" s="1659">
        <f t="shared" si="14"/>
        <v>0.17493611441860468</v>
      </c>
      <c r="K44" s="994">
        <f t="shared" si="20"/>
        <v>8.5800000000000004E-4</v>
      </c>
      <c r="L44" s="1088">
        <f t="shared" si="15"/>
        <v>25</v>
      </c>
      <c r="M44" s="1316">
        <f t="shared" si="16"/>
        <v>1.6810404785088331</v>
      </c>
      <c r="N44" s="1088">
        <f t="shared" si="17"/>
        <v>1</v>
      </c>
      <c r="V44" s="208" t="str">
        <f t="shared" si="23"/>
        <v>kWh Annual Savings</v>
      </c>
      <c r="W44" s="723">
        <v>1323.8534523453845</v>
      </c>
      <c r="X44" s="1223">
        <v>1323.8534523453845</v>
      </c>
      <c r="Y44" s="2027">
        <v>1.84</v>
      </c>
      <c r="Z44" s="1317">
        <v>1.84</v>
      </c>
      <c r="AA44" s="1317">
        <v>1.84</v>
      </c>
      <c r="AB44" s="2662">
        <v>1.84</v>
      </c>
      <c r="AC44" s="208"/>
      <c r="AD44" s="208"/>
      <c r="AE44" s="208"/>
      <c r="AF44" s="208"/>
      <c r="AG44" s="208"/>
      <c r="BB44" s="71">
        <f t="shared" si="18"/>
        <v>1.6141399677218247</v>
      </c>
      <c r="BC44" s="72" t="str">
        <f t="shared" si="21"/>
        <v>Building Shell RES 25 Year EUL</v>
      </c>
      <c r="BD44" s="148">
        <f>(INDEX('Avoided Cost Benefits'!$C$4:$C$857,MATCH(BC44,'Avoided Cost Benefits'!$A$4:$A$857,0)))*F44</f>
        <v>2.5610520280503333</v>
      </c>
      <c r="BE44" s="73">
        <f t="shared" si="22"/>
        <v>1.5866356569219753</v>
      </c>
    </row>
    <row r="45" spans="1:57" x14ac:dyDescent="0.25">
      <c r="B45" s="1359"/>
      <c r="C45" s="2764" t="s">
        <v>3301</v>
      </c>
      <c r="D45" s="1658" t="s">
        <v>2147</v>
      </c>
      <c r="E45" s="1427" t="s">
        <v>2171</v>
      </c>
      <c r="F45" s="651">
        <f>ROUND(I45+J45,2)</f>
        <v>0.93</v>
      </c>
      <c r="G45" s="1658" t="s">
        <v>1558</v>
      </c>
      <c r="H45" s="202">
        <f>VLOOKUP(G45,'CP FACTORS'!$A$3:$B$38, 2, FALSE)</f>
        <v>4.6608050000000002E-4</v>
      </c>
      <c r="I45" s="1088">
        <f t="shared" si="13"/>
        <v>0.73683387409392986</v>
      </c>
      <c r="J45" s="1659">
        <f t="shared" si="14"/>
        <v>0.19223748837209306</v>
      </c>
      <c r="K45" s="994">
        <f t="shared" si="20"/>
        <v>4.3300000000000001E-4</v>
      </c>
      <c r="L45" s="1088">
        <f t="shared" si="15"/>
        <v>25</v>
      </c>
      <c r="M45" s="1316">
        <f t="shared" si="16"/>
        <v>1.6810404785088331</v>
      </c>
      <c r="N45" s="1088">
        <f t="shared" si="17"/>
        <v>1</v>
      </c>
      <c r="V45" s="208" t="str">
        <f t="shared" si="23"/>
        <v>kWh Annual Savings</v>
      </c>
      <c r="W45" s="723">
        <v>667.90940247682386</v>
      </c>
      <c r="X45" s="1223">
        <v>667.90940247682386</v>
      </c>
      <c r="Y45" s="2027">
        <v>0.93</v>
      </c>
      <c r="Z45" s="1317">
        <v>0.93</v>
      </c>
      <c r="AA45" s="1317">
        <v>0.93</v>
      </c>
      <c r="AB45" s="2662">
        <v>0.93</v>
      </c>
      <c r="AC45" s="208"/>
      <c r="AD45" s="208"/>
      <c r="AE45" s="208"/>
      <c r="AF45" s="208"/>
      <c r="AG45" s="208"/>
      <c r="BB45" s="71">
        <f t="shared" si="18"/>
        <v>0.8158424836854874</v>
      </c>
      <c r="BC45" s="72" t="str">
        <f t="shared" si="21"/>
        <v>Building Shell RES 25 Year EUL</v>
      </c>
      <c r="BD45" s="148">
        <f>(INDEX('Avoided Cost Benefits'!$C$4:$C$857,MATCH(BC45,'Avoided Cost Benefits'!$A$4:$A$857,0)))*F45</f>
        <v>1.2944447750471793</v>
      </c>
      <c r="BE45" s="73">
        <f t="shared" si="22"/>
        <v>1.5866356569219753</v>
      </c>
    </row>
    <row r="46" spans="1:57" x14ac:dyDescent="0.25">
      <c r="B46" s="1359"/>
      <c r="C46" s="2764" t="s">
        <v>3302</v>
      </c>
      <c r="D46" s="1658" t="s">
        <v>2147</v>
      </c>
      <c r="E46" s="1427" t="s">
        <v>2172</v>
      </c>
      <c r="F46" s="651">
        <f t="shared" si="19"/>
        <v>1.96</v>
      </c>
      <c r="G46" s="1658" t="s">
        <v>1558</v>
      </c>
      <c r="H46" s="202">
        <f>VLOOKUP(G46,'CP FACTORS'!$A$3:$B$38, 2, FALSE)</f>
        <v>4.6608050000000002E-4</v>
      </c>
      <c r="I46" s="1088">
        <f t="shared" si="13"/>
        <v>1.76943687377882</v>
      </c>
      <c r="J46" s="1659">
        <f t="shared" si="14"/>
        <v>0.18573464000000001</v>
      </c>
      <c r="K46" s="994">
        <f t="shared" si="20"/>
        <v>9.1399999999999999E-4</v>
      </c>
      <c r="L46" s="1088">
        <f t="shared" si="15"/>
        <v>25</v>
      </c>
      <c r="M46" s="1316">
        <f t="shared" si="16"/>
        <v>2.568757824454027</v>
      </c>
      <c r="N46" s="1088">
        <f t="shared" si="17"/>
        <v>1</v>
      </c>
      <c r="V46" s="208" t="str">
        <f t="shared" si="23"/>
        <v>kWh Annual Savings</v>
      </c>
      <c r="W46" s="723">
        <v>1405.5728012555933</v>
      </c>
      <c r="X46" s="1223">
        <v>1405.5728012555933</v>
      </c>
      <c r="Y46" s="2027">
        <v>1.96</v>
      </c>
      <c r="Z46" s="1317">
        <v>1.96</v>
      </c>
      <c r="AA46" s="1317">
        <v>1.96</v>
      </c>
      <c r="AB46" s="2662">
        <v>1.96</v>
      </c>
      <c r="AC46" s="208"/>
      <c r="AD46" s="208"/>
      <c r="AE46" s="208"/>
      <c r="AF46" s="208"/>
      <c r="AG46" s="208"/>
      <c r="BB46" s="71">
        <f t="shared" si="18"/>
        <v>1.1252122422118687</v>
      </c>
      <c r="BC46" s="72" t="str">
        <f t="shared" si="21"/>
        <v>Building Shell RES 25 Year EUL</v>
      </c>
      <c r="BD46" s="148">
        <f>(INDEX('Avoided Cost Benefits'!$C$4:$C$857,MATCH(BC46,'Avoided Cost Benefits'!$A$4:$A$857,0)))*F46</f>
        <v>2.7280771603144851</v>
      </c>
      <c r="BE46" s="73">
        <f t="shared" si="22"/>
        <v>2.4245000702727952</v>
      </c>
    </row>
    <row r="47" spans="1:57" x14ac:dyDescent="0.25">
      <c r="B47" s="1359"/>
      <c r="C47" s="2764" t="s">
        <v>3303</v>
      </c>
      <c r="D47" s="1658" t="s">
        <v>2147</v>
      </c>
      <c r="E47" s="1427" t="s">
        <v>2173</v>
      </c>
      <c r="F47" s="651">
        <f t="shared" si="19"/>
        <v>0.99</v>
      </c>
      <c r="G47" s="1658" t="s">
        <v>1558</v>
      </c>
      <c r="H47" s="202">
        <f>VLOOKUP(G47,'CP FACTORS'!$A$3:$B$38, 2, FALSE)</f>
        <v>4.6608050000000002E-4</v>
      </c>
      <c r="I47" s="1088">
        <f t="shared" si="13"/>
        <v>0.78231744656886393</v>
      </c>
      <c r="J47" s="1659">
        <f t="shared" si="14"/>
        <v>0.20410400000000001</v>
      </c>
      <c r="K47" s="994">
        <f t="shared" si="20"/>
        <v>4.6099999999999998E-4</v>
      </c>
      <c r="L47" s="1088">
        <f t="shared" si="15"/>
        <v>25</v>
      </c>
      <c r="M47" s="1316">
        <f t="shared" si="16"/>
        <v>2.568757824454027</v>
      </c>
      <c r="N47" s="1088">
        <f t="shared" si="17"/>
        <v>1</v>
      </c>
      <c r="V47" s="208" t="str">
        <f t="shared" si="23"/>
        <v>kWh Annual Savings</v>
      </c>
      <c r="W47" s="723">
        <v>709.13837793835614</v>
      </c>
      <c r="X47" s="1223">
        <v>709.13837793835614</v>
      </c>
      <c r="Y47" s="2027">
        <v>0.99</v>
      </c>
      <c r="Z47" s="1317">
        <v>0.99</v>
      </c>
      <c r="AA47" s="1317">
        <v>0.99</v>
      </c>
      <c r="AB47" s="2662">
        <v>0.99</v>
      </c>
      <c r="AC47" s="208"/>
      <c r="AD47" s="208"/>
      <c r="AE47" s="208"/>
      <c r="AF47" s="208"/>
      <c r="AG47" s="208"/>
      <c r="BB47" s="71">
        <f t="shared" si="18"/>
        <v>0.56834699989272963</v>
      </c>
      <c r="BC47" s="72" t="str">
        <f t="shared" si="21"/>
        <v>Building Shell RES 25 Year EUL</v>
      </c>
      <c r="BD47" s="148">
        <f>(INDEX('Avoided Cost Benefits'!$C$4:$C$857,MATCH(BC47,'Avoided Cost Benefits'!$A$4:$A$857,0)))*F47</f>
        <v>1.3779573411792554</v>
      </c>
      <c r="BE47" s="73">
        <f t="shared" si="22"/>
        <v>2.4245000702727952</v>
      </c>
    </row>
    <row r="48" spans="1:57" x14ac:dyDescent="0.25">
      <c r="B48" s="1359"/>
      <c r="C48" s="2764" t="s">
        <v>3304</v>
      </c>
      <c r="D48" s="1658" t="s">
        <v>2147</v>
      </c>
      <c r="E48" s="1427" t="s">
        <v>2174</v>
      </c>
      <c r="F48" s="651">
        <f t="shared" si="19"/>
        <v>2.0299999999999998</v>
      </c>
      <c r="G48" s="1658" t="s">
        <v>1558</v>
      </c>
      <c r="H48" s="202">
        <f>VLOOKUP(G48,'CP FACTORS'!$A$3:$B$38, 2, FALSE)</f>
        <v>4.6608050000000002E-4</v>
      </c>
      <c r="I48" s="1088">
        <f t="shared" si="13"/>
        <v>1.8374921381549281</v>
      </c>
      <c r="J48" s="1659">
        <f t="shared" si="14"/>
        <v>0.19287827999999999</v>
      </c>
      <c r="K48" s="994">
        <f t="shared" si="20"/>
        <v>9.4600000000000001E-4</v>
      </c>
      <c r="L48" s="1088">
        <f t="shared" si="15"/>
        <v>25</v>
      </c>
      <c r="M48" s="1316">
        <f t="shared" si="16"/>
        <v>3.424301015440256</v>
      </c>
      <c r="N48" s="1088">
        <f t="shared" si="17"/>
        <v>1</v>
      </c>
      <c r="V48" s="208" t="str">
        <f t="shared" si="23"/>
        <v>kWh Annual Savings</v>
      </c>
      <c r="W48" s="723">
        <v>1459.6332936115778</v>
      </c>
      <c r="X48" s="1223">
        <v>1459.6332936115778</v>
      </c>
      <c r="Y48" s="2027">
        <v>2.0299999999999998</v>
      </c>
      <c r="Z48" s="1317">
        <v>2.0299999999999998</v>
      </c>
      <c r="AA48" s="1317">
        <v>2.0299999999999998</v>
      </c>
      <c r="AB48" s="2662">
        <v>2.0299999999999998</v>
      </c>
      <c r="AC48" s="208"/>
      <c r="AD48" s="208"/>
      <c r="AE48" s="208"/>
      <c r="AF48" s="208"/>
      <c r="AG48" s="208"/>
      <c r="BB48" s="71">
        <f t="shared" si="18"/>
        <v>0.87422987318422674</v>
      </c>
      <c r="BC48" s="72" t="str">
        <f t="shared" si="21"/>
        <v>Building Shell RES 25 Year EUL</v>
      </c>
      <c r="BD48" s="148">
        <f>(INDEX('Avoided Cost Benefits'!$C$4:$C$857,MATCH(BC48,'Avoided Cost Benefits'!$A$4:$A$857,0)))*F48</f>
        <v>2.8255084874685736</v>
      </c>
      <c r="BE48" s="73">
        <f t="shared" si="22"/>
        <v>3.2319971830488492</v>
      </c>
    </row>
    <row r="49" spans="1:57" x14ac:dyDescent="0.25">
      <c r="B49" s="1359"/>
      <c r="C49" s="2764" t="s">
        <v>3305</v>
      </c>
      <c r="D49" s="1658" t="s">
        <v>2147</v>
      </c>
      <c r="E49" s="1427" t="s">
        <v>2175</v>
      </c>
      <c r="F49" s="651">
        <f t="shared" si="19"/>
        <v>1.02</v>
      </c>
      <c r="G49" s="1658" t="s">
        <v>1558</v>
      </c>
      <c r="H49" s="202">
        <f>VLOOKUP(G49,'CP FACTORS'!$A$3:$B$38, 2, FALSE)</f>
        <v>4.6608050000000002E-4</v>
      </c>
      <c r="I49" s="1088">
        <f t="shared" si="13"/>
        <v>0.81240657912920466</v>
      </c>
      <c r="J49" s="1659">
        <f t="shared" si="14"/>
        <v>0.21195415384615382</v>
      </c>
      <c r="K49" s="994">
        <f t="shared" si="20"/>
        <v>4.75E-4</v>
      </c>
      <c r="L49" s="1088">
        <f t="shared" si="15"/>
        <v>25</v>
      </c>
      <c r="M49" s="1316">
        <f t="shared" si="16"/>
        <v>3.424301015440256</v>
      </c>
      <c r="N49" s="1088">
        <f t="shared" si="17"/>
        <v>1</v>
      </c>
      <c r="V49" s="208" t="str">
        <f t="shared" si="23"/>
        <v>kWh Annual Savings</v>
      </c>
      <c r="W49" s="723">
        <v>736.41293093598529</v>
      </c>
      <c r="X49" s="1223">
        <v>736.41293093598529</v>
      </c>
      <c r="Y49" s="2027">
        <v>1.02</v>
      </c>
      <c r="Z49" s="1317">
        <v>1.02</v>
      </c>
      <c r="AA49" s="1317">
        <v>1.02</v>
      </c>
      <c r="AB49" s="2662">
        <v>1.02</v>
      </c>
      <c r="AC49" s="208"/>
      <c r="AD49" s="208"/>
      <c r="AE49" s="208"/>
      <c r="AF49" s="208"/>
      <c r="AG49" s="208"/>
      <c r="BB49" s="74">
        <f t="shared" si="18"/>
        <v>0.43926821214182832</v>
      </c>
      <c r="BC49" s="72" t="str">
        <f t="shared" si="21"/>
        <v>Building Shell RES 25 Year EUL</v>
      </c>
      <c r="BD49" s="153">
        <f>(INDEX('Avoided Cost Benefits'!$C$4:$C$857,MATCH(BC49,'Avoided Cost Benefits'!$A$4:$A$857,0)))*F49</f>
        <v>1.4197136242452935</v>
      </c>
      <c r="BE49" s="75">
        <f t="shared" si="22"/>
        <v>3.2319971830488492</v>
      </c>
    </row>
    <row r="50" spans="1:57" hidden="1" outlineLevel="1" x14ac:dyDescent="0.25">
      <c r="B50" s="1359"/>
      <c r="C50" s="1009"/>
      <c r="D50" s="492"/>
      <c r="E50" s="492"/>
      <c r="F50" s="1669"/>
      <c r="G50" s="1012"/>
      <c r="H50" s="1012"/>
      <c r="I50" s="1012"/>
      <c r="J50" s="1012"/>
      <c r="K50" s="1012"/>
      <c r="L50" s="1012"/>
      <c r="M50" s="1012"/>
      <c r="N50" s="1012"/>
      <c r="O50" s="298"/>
      <c r="P50" s="298"/>
      <c r="Q50" s="298"/>
    </row>
    <row r="51" spans="1:57" hidden="1" outlineLevel="1" x14ac:dyDescent="0.25">
      <c r="B51" s="1359"/>
      <c r="C51" s="1009"/>
      <c r="D51" s="492" t="s">
        <v>571</v>
      </c>
      <c r="E51" s="492"/>
      <c r="F51" s="1669"/>
      <c r="G51" s="1012"/>
      <c r="H51" s="1012"/>
      <c r="I51" s="1012"/>
      <c r="J51" s="1012"/>
      <c r="K51" s="1012"/>
      <c r="L51" s="1012"/>
      <c r="M51" s="1012"/>
      <c r="N51" s="1012"/>
      <c r="O51" s="298"/>
      <c r="P51" s="298"/>
      <c r="Q51" s="298"/>
    </row>
    <row r="52" spans="1:57" s="2277" customFormat="1" hidden="1" outlineLevel="1" x14ac:dyDescent="0.25">
      <c r="A52" s="157"/>
      <c r="B52" s="1359"/>
      <c r="C52" s="1009"/>
      <c r="D52" s="492"/>
      <c r="E52" s="492"/>
      <c r="F52" s="1669"/>
      <c r="G52" s="1012"/>
      <c r="H52" s="1012"/>
      <c r="I52" s="1012"/>
      <c r="J52" s="1012"/>
      <c r="K52" s="1012"/>
      <c r="L52" s="1012"/>
      <c r="M52" s="1012"/>
      <c r="N52" s="1012"/>
      <c r="O52" s="298"/>
      <c r="P52" s="298"/>
      <c r="Q52" s="298"/>
      <c r="R52" s="157"/>
      <c r="S52" s="157"/>
      <c r="T52" s="157"/>
      <c r="U52" s="157"/>
      <c r="BB52" s="1055"/>
    </row>
    <row r="53" spans="1:57" s="2277" customFormat="1" hidden="1" outlineLevel="1" x14ac:dyDescent="0.25">
      <c r="A53" s="157"/>
      <c r="B53" s="1359"/>
      <c r="C53" s="1009"/>
      <c r="D53" s="492"/>
      <c r="E53" s="492"/>
      <c r="F53" s="1669"/>
      <c r="G53" s="1012"/>
      <c r="H53" s="1012"/>
      <c r="I53" s="1012"/>
      <c r="J53" s="1012"/>
      <c r="K53" s="1012"/>
      <c r="L53" s="1012"/>
      <c r="M53" s="1012"/>
      <c r="N53" s="1012"/>
      <c r="O53" s="298"/>
      <c r="P53" s="298"/>
      <c r="Q53" s="298"/>
      <c r="R53" s="157"/>
      <c r="S53" s="157"/>
      <c r="T53" s="157"/>
      <c r="U53" s="157"/>
      <c r="BB53" s="1055"/>
    </row>
    <row r="54" spans="1:57" hidden="1" outlineLevel="1" x14ac:dyDescent="0.25">
      <c r="B54" s="1359"/>
      <c r="C54" s="1014"/>
      <c r="D54" s="3849"/>
      <c r="E54" s="3849"/>
      <c r="F54" s="3849"/>
      <c r="G54" s="3849"/>
      <c r="H54" s="3849"/>
      <c r="I54" s="3849"/>
      <c r="J54" s="3849"/>
      <c r="K54" s="3849"/>
      <c r="L54" s="3849"/>
      <c r="M54" s="1012"/>
      <c r="N54" s="1012"/>
      <c r="O54" s="298"/>
      <c r="P54" s="298"/>
      <c r="Q54" s="298"/>
    </row>
    <row r="55" spans="1:57" ht="66" hidden="1" customHeight="1" outlineLevel="1" x14ac:dyDescent="0.25">
      <c r="B55" s="1359"/>
      <c r="C55" s="1015"/>
      <c r="D55" s="3849"/>
      <c r="E55" s="3849"/>
      <c r="F55" s="3849"/>
      <c r="G55" s="3849"/>
      <c r="H55" s="3849"/>
      <c r="I55" s="3849"/>
      <c r="J55" s="3849"/>
      <c r="K55" s="3849"/>
      <c r="L55" s="3849"/>
      <c r="M55" s="1012"/>
      <c r="N55" s="1012"/>
      <c r="O55" s="298"/>
      <c r="P55" s="298"/>
      <c r="Q55" s="298"/>
    </row>
    <row r="56" spans="1:57" hidden="1" outlineLevel="1" x14ac:dyDescent="0.25">
      <c r="B56" s="1359"/>
      <c r="C56" s="1015"/>
      <c r="D56" s="3849"/>
      <c r="E56" s="3849"/>
      <c r="F56" s="3849"/>
      <c r="G56" s="3849"/>
      <c r="H56" s="3849"/>
      <c r="I56" s="3849"/>
      <c r="J56" s="3849"/>
      <c r="K56" s="3849"/>
      <c r="L56" s="3849"/>
      <c r="M56" s="1012"/>
      <c r="N56" s="1012"/>
      <c r="O56" s="298"/>
      <c r="P56" s="298"/>
      <c r="Q56" s="298"/>
    </row>
    <row r="57" spans="1:57" hidden="1" outlineLevel="1" x14ac:dyDescent="0.25">
      <c r="B57" s="1359"/>
      <c r="C57" s="1016"/>
      <c r="D57" s="3849"/>
      <c r="E57" s="3849"/>
      <c r="F57" s="3849"/>
      <c r="G57" s="3849"/>
      <c r="H57" s="3849"/>
      <c r="I57" s="3849"/>
      <c r="J57" s="3849"/>
      <c r="K57" s="3849"/>
      <c r="L57" s="3849"/>
      <c r="M57" s="1012"/>
      <c r="N57" s="1012"/>
      <c r="O57" s="298"/>
      <c r="P57" s="298"/>
      <c r="Q57" s="298"/>
    </row>
    <row r="58" spans="1:57" hidden="1" outlineLevel="1" x14ac:dyDescent="0.25">
      <c r="B58" s="1359"/>
      <c r="C58" s="1009"/>
      <c r="D58" s="492"/>
      <c r="E58" s="492"/>
      <c r="F58" s="1012"/>
      <c r="G58" s="1012"/>
      <c r="H58" s="1012"/>
      <c r="I58" s="1012"/>
      <c r="J58" s="1012"/>
      <c r="K58" s="1012"/>
      <c r="L58" s="1012"/>
      <c r="M58" s="1012"/>
      <c r="N58" s="1012"/>
      <c r="O58" s="298"/>
      <c r="P58" s="298"/>
      <c r="Q58" s="298"/>
    </row>
    <row r="59" spans="1:57" hidden="1" outlineLevel="1" x14ac:dyDescent="0.25">
      <c r="B59" s="1359"/>
      <c r="C59" s="274"/>
      <c r="D59" s="1456" t="s">
        <v>572</v>
      </c>
      <c r="E59" s="1456" t="s">
        <v>573</v>
      </c>
      <c r="F59" s="1409" t="s">
        <v>574</v>
      </c>
      <c r="G59" s="1409" t="s">
        <v>624</v>
      </c>
      <c r="H59" s="1409" t="s">
        <v>713</v>
      </c>
      <c r="I59" s="1012"/>
      <c r="J59" s="1012"/>
      <c r="K59" s="298"/>
      <c r="L59" s="298"/>
      <c r="M59" s="298"/>
      <c r="N59" s="298"/>
      <c r="O59" s="298"/>
      <c r="P59" s="298"/>
      <c r="Q59" s="298"/>
      <c r="V59" s="55" t="s">
        <v>27</v>
      </c>
      <c r="W59" s="56">
        <f>W$6</f>
        <v>43252</v>
      </c>
      <c r="X59" s="56">
        <f t="shared" ref="X59:AG59" si="24">X$6</f>
        <v>43465</v>
      </c>
      <c r="Y59" s="56">
        <f t="shared" si="24"/>
        <v>43800</v>
      </c>
      <c r="Z59" s="56">
        <f t="shared" si="24"/>
        <v>43862</v>
      </c>
      <c r="AA59" s="56">
        <f t="shared" si="24"/>
        <v>44013</v>
      </c>
      <c r="AB59" s="56">
        <f t="shared" si="24"/>
        <v>44166</v>
      </c>
      <c r="AC59" s="56" t="str">
        <f t="shared" si="24"/>
        <v>-</v>
      </c>
      <c r="AD59" s="56" t="str">
        <f t="shared" si="24"/>
        <v>-</v>
      </c>
      <c r="AE59" s="56" t="str">
        <f t="shared" si="24"/>
        <v>-</v>
      </c>
      <c r="AF59" s="56" t="str">
        <f t="shared" si="24"/>
        <v>-</v>
      </c>
      <c r="AG59" s="56" t="str">
        <f t="shared" si="24"/>
        <v>-</v>
      </c>
    </row>
    <row r="60" spans="1:57" hidden="1" outlineLevel="1" x14ac:dyDescent="0.25">
      <c r="B60" s="1359"/>
      <c r="C60" s="274"/>
      <c r="D60" s="3839" t="s">
        <v>183</v>
      </c>
      <c r="E60" s="483" t="s">
        <v>2176</v>
      </c>
      <c r="F60" s="1048">
        <v>1</v>
      </c>
      <c r="G60" s="1189"/>
      <c r="H60" s="1322"/>
      <c r="I60" s="1012"/>
      <c r="J60" s="1012"/>
      <c r="K60" s="298"/>
      <c r="L60" s="298"/>
      <c r="M60" s="298"/>
      <c r="N60" s="298"/>
      <c r="O60" s="298"/>
      <c r="P60" s="298"/>
      <c r="Q60" s="298"/>
      <c r="V60" s="3841" t="str">
        <f>D60</f>
        <v>%ElectricHeat</v>
      </c>
      <c r="W60" s="544">
        <v>1</v>
      </c>
      <c r="X60" s="544">
        <v>1</v>
      </c>
      <c r="Y60" s="1048">
        <v>1</v>
      </c>
      <c r="Z60" s="1048">
        <v>1</v>
      </c>
      <c r="AA60" s="1048">
        <v>1</v>
      </c>
      <c r="AB60" s="544">
        <v>1</v>
      </c>
      <c r="AC60" s="544"/>
      <c r="AD60" s="544"/>
      <c r="AE60" s="544"/>
      <c r="AF60" s="544"/>
      <c r="AG60" s="544"/>
    </row>
    <row r="61" spans="1:57" hidden="1" outlineLevel="1" x14ac:dyDescent="0.25">
      <c r="B61" s="1359"/>
      <c r="C61" s="274"/>
      <c r="D61" s="3840"/>
      <c r="E61" s="483" t="s">
        <v>2177</v>
      </c>
      <c r="F61" s="1048">
        <v>0</v>
      </c>
      <c r="G61" s="1189"/>
      <c r="H61" s="1322"/>
      <c r="I61" s="1012"/>
      <c r="J61" s="1012"/>
      <c r="K61" s="298"/>
      <c r="L61" s="298"/>
      <c r="M61" s="298"/>
      <c r="N61" s="298"/>
      <c r="O61" s="298"/>
      <c r="P61" s="298"/>
      <c r="Q61" s="298"/>
      <c r="V61" s="3842"/>
      <c r="W61" s="544">
        <v>0</v>
      </c>
      <c r="X61" s="544">
        <v>0</v>
      </c>
      <c r="Y61" s="1048">
        <v>0</v>
      </c>
      <c r="Z61" s="1048">
        <v>0</v>
      </c>
      <c r="AA61" s="1048">
        <v>0</v>
      </c>
      <c r="AB61" s="544">
        <v>0</v>
      </c>
      <c r="AC61" s="544"/>
      <c r="AD61" s="544"/>
      <c r="AE61" s="544"/>
      <c r="AF61" s="544"/>
      <c r="AG61" s="544"/>
    </row>
    <row r="62" spans="1:57" hidden="1" outlineLevel="1" x14ac:dyDescent="0.25">
      <c r="B62" s="1359"/>
      <c r="C62" s="274"/>
      <c r="D62" s="3840"/>
      <c r="E62" s="483" t="s">
        <v>2178</v>
      </c>
      <c r="F62" s="1048">
        <v>1</v>
      </c>
      <c r="G62" s="1189"/>
      <c r="H62" s="1322"/>
      <c r="I62" s="1012"/>
      <c r="J62" s="1012"/>
      <c r="K62" s="298"/>
      <c r="L62" s="298"/>
      <c r="M62" s="298"/>
      <c r="N62" s="298"/>
      <c r="O62" s="298"/>
      <c r="P62" s="298"/>
      <c r="Q62" s="298"/>
      <c r="V62" s="3842"/>
      <c r="W62" s="544">
        <v>1</v>
      </c>
      <c r="X62" s="544">
        <v>1</v>
      </c>
      <c r="Y62" s="1048">
        <v>1</v>
      </c>
      <c r="Z62" s="1048">
        <v>1</v>
      </c>
      <c r="AA62" s="1048">
        <v>1</v>
      </c>
      <c r="AB62" s="544">
        <v>1</v>
      </c>
      <c r="AC62" s="544"/>
      <c r="AD62" s="544"/>
      <c r="AE62" s="544"/>
      <c r="AF62" s="544"/>
      <c r="AG62" s="544"/>
    </row>
    <row r="63" spans="1:57" hidden="1" outlineLevel="1" x14ac:dyDescent="0.25">
      <c r="B63" s="1359"/>
      <c r="C63" s="274"/>
      <c r="D63" s="3840"/>
      <c r="E63" s="483" t="s">
        <v>2179</v>
      </c>
      <c r="F63" s="1048">
        <v>0</v>
      </c>
      <c r="G63" s="1189"/>
      <c r="H63" s="1322"/>
      <c r="I63" s="1012"/>
      <c r="J63" s="1012"/>
      <c r="K63" s="298"/>
      <c r="L63" s="298"/>
      <c r="M63" s="298"/>
      <c r="N63" s="298"/>
      <c r="O63" s="298"/>
      <c r="P63" s="298"/>
      <c r="Q63" s="298"/>
      <c r="V63" s="3842"/>
      <c r="W63" s="544">
        <v>0</v>
      </c>
      <c r="X63" s="544">
        <v>0</v>
      </c>
      <c r="Y63" s="1048">
        <v>0</v>
      </c>
      <c r="Z63" s="1048">
        <v>0</v>
      </c>
      <c r="AA63" s="1048">
        <v>0</v>
      </c>
      <c r="AB63" s="544">
        <v>0</v>
      </c>
      <c r="AC63" s="544"/>
      <c r="AD63" s="544"/>
      <c r="AE63" s="544"/>
      <c r="AF63" s="544"/>
      <c r="AG63" s="544"/>
    </row>
    <row r="64" spans="1:57" hidden="1" outlineLevel="1" x14ac:dyDescent="0.25">
      <c r="B64" s="1359"/>
      <c r="C64" s="274"/>
      <c r="D64" s="3840"/>
      <c r="E64" s="483" t="s">
        <v>2180</v>
      </c>
      <c r="F64" s="1048">
        <v>1</v>
      </c>
      <c r="G64" s="1189"/>
      <c r="H64" s="1322"/>
      <c r="I64" s="1012"/>
      <c r="J64" s="1012"/>
      <c r="K64" s="298"/>
      <c r="L64" s="298"/>
      <c r="M64" s="298"/>
      <c r="N64" s="298"/>
      <c r="O64" s="298"/>
      <c r="P64" s="298"/>
      <c r="Q64" s="298"/>
      <c r="V64" s="3842"/>
      <c r="W64" s="544">
        <v>1</v>
      </c>
      <c r="X64" s="544">
        <v>1</v>
      </c>
      <c r="Y64" s="1048">
        <v>1</v>
      </c>
      <c r="Z64" s="1048">
        <v>1</v>
      </c>
      <c r="AA64" s="1048">
        <v>1</v>
      </c>
      <c r="AB64" s="544">
        <v>1</v>
      </c>
      <c r="AC64" s="544"/>
      <c r="AD64" s="544"/>
      <c r="AE64" s="544"/>
      <c r="AF64" s="544"/>
      <c r="AG64" s="544"/>
    </row>
    <row r="65" spans="2:33" hidden="1" outlineLevel="1" x14ac:dyDescent="0.25">
      <c r="B65" s="1359"/>
      <c r="C65" s="274"/>
      <c r="D65" s="3840"/>
      <c r="E65" s="483" t="s">
        <v>2181</v>
      </c>
      <c r="F65" s="1048">
        <v>0</v>
      </c>
      <c r="G65" s="1189"/>
      <c r="H65" s="1322"/>
      <c r="I65" s="1012"/>
      <c r="J65" s="1012"/>
      <c r="K65" s="298"/>
      <c r="L65" s="298"/>
      <c r="M65" s="298"/>
      <c r="N65" s="298"/>
      <c r="O65" s="298"/>
      <c r="P65" s="298"/>
      <c r="Q65" s="298"/>
      <c r="V65" s="3842"/>
      <c r="W65" s="544">
        <v>0</v>
      </c>
      <c r="X65" s="544">
        <v>0</v>
      </c>
      <c r="Y65" s="1048">
        <v>0</v>
      </c>
      <c r="Z65" s="1048">
        <v>0</v>
      </c>
      <c r="AA65" s="1048">
        <v>0</v>
      </c>
      <c r="AB65" s="544">
        <v>0</v>
      </c>
      <c r="AC65" s="544"/>
      <c r="AD65" s="544"/>
      <c r="AE65" s="544"/>
      <c r="AF65" s="544"/>
      <c r="AG65" s="544"/>
    </row>
    <row r="66" spans="2:33" hidden="1" outlineLevel="1" x14ac:dyDescent="0.25">
      <c r="B66" s="1359"/>
      <c r="C66" s="274"/>
      <c r="D66" s="3840"/>
      <c r="E66" s="483" t="s">
        <v>2182</v>
      </c>
      <c r="F66" s="1048">
        <v>1</v>
      </c>
      <c r="G66" s="1189"/>
      <c r="H66" s="1322"/>
      <c r="I66" s="1012"/>
      <c r="J66" s="1012"/>
      <c r="K66" s="298"/>
      <c r="L66" s="298"/>
      <c r="M66" s="298"/>
      <c r="N66" s="298"/>
      <c r="O66" s="298"/>
      <c r="P66" s="298"/>
      <c r="Q66" s="298"/>
      <c r="V66" s="3842"/>
      <c r="W66" s="544">
        <v>1</v>
      </c>
      <c r="X66" s="544">
        <v>1</v>
      </c>
      <c r="Y66" s="1048">
        <v>1</v>
      </c>
      <c r="Z66" s="1048">
        <v>1</v>
      </c>
      <c r="AA66" s="1048">
        <v>1</v>
      </c>
      <c r="AB66" s="544">
        <v>1</v>
      </c>
      <c r="AC66" s="544"/>
      <c r="AD66" s="544"/>
      <c r="AE66" s="544"/>
      <c r="AF66" s="544"/>
      <c r="AG66" s="544"/>
    </row>
    <row r="67" spans="2:33" hidden="1" outlineLevel="1" x14ac:dyDescent="0.25">
      <c r="B67" s="1359"/>
      <c r="C67" s="274"/>
      <c r="D67" s="3840"/>
      <c r="E67" s="483" t="s">
        <v>2183</v>
      </c>
      <c r="F67" s="1048">
        <v>0</v>
      </c>
      <c r="G67" s="1189"/>
      <c r="H67" s="1322"/>
      <c r="I67" s="1012"/>
      <c r="J67" s="1012"/>
      <c r="K67" s="298"/>
      <c r="L67" s="298"/>
      <c r="M67" s="298"/>
      <c r="N67" s="298"/>
      <c r="O67" s="298"/>
      <c r="P67" s="298"/>
      <c r="Q67" s="298"/>
      <c r="V67" s="3842"/>
      <c r="W67" s="544">
        <v>0</v>
      </c>
      <c r="X67" s="544">
        <v>0</v>
      </c>
      <c r="Y67" s="1048">
        <v>0</v>
      </c>
      <c r="Z67" s="1048">
        <v>0</v>
      </c>
      <c r="AA67" s="1048">
        <v>0</v>
      </c>
      <c r="AB67" s="544">
        <v>0</v>
      </c>
      <c r="AC67" s="544"/>
      <c r="AD67" s="544"/>
      <c r="AE67" s="544"/>
      <c r="AF67" s="544"/>
      <c r="AG67" s="544"/>
    </row>
    <row r="68" spans="2:33" hidden="1" outlineLevel="1" x14ac:dyDescent="0.25">
      <c r="B68" s="1359"/>
      <c r="C68" s="274"/>
      <c r="D68" s="3840"/>
      <c r="E68" s="483" t="s">
        <v>2184</v>
      </c>
      <c r="F68" s="1048">
        <v>1</v>
      </c>
      <c r="G68" s="1189"/>
      <c r="H68" s="1322"/>
      <c r="I68" s="1012"/>
      <c r="J68" s="1012"/>
      <c r="K68" s="298"/>
      <c r="L68" s="298"/>
      <c r="M68" s="298"/>
      <c r="N68" s="298"/>
      <c r="O68" s="298"/>
      <c r="P68" s="298"/>
      <c r="Q68" s="298"/>
      <c r="V68" s="3842"/>
      <c r="W68" s="544">
        <v>1</v>
      </c>
      <c r="X68" s="544">
        <v>1</v>
      </c>
      <c r="Y68" s="1048">
        <v>1</v>
      </c>
      <c r="Z68" s="1048">
        <v>1</v>
      </c>
      <c r="AA68" s="1048">
        <v>1</v>
      </c>
      <c r="AB68" s="544">
        <v>1</v>
      </c>
      <c r="AC68" s="544"/>
      <c r="AD68" s="544"/>
      <c r="AE68" s="544"/>
      <c r="AF68" s="544"/>
      <c r="AG68" s="544"/>
    </row>
    <row r="69" spans="2:33" hidden="1" outlineLevel="1" x14ac:dyDescent="0.25">
      <c r="B69" s="1359"/>
      <c r="C69" s="274"/>
      <c r="D69" s="3840"/>
      <c r="E69" s="483" t="s">
        <v>2185</v>
      </c>
      <c r="F69" s="1048">
        <v>0</v>
      </c>
      <c r="G69" s="1189"/>
      <c r="H69" s="1322"/>
      <c r="I69" s="1012"/>
      <c r="J69" s="1012"/>
      <c r="K69" s="298"/>
      <c r="L69" s="298"/>
      <c r="M69" s="298"/>
      <c r="N69" s="298"/>
      <c r="O69" s="298"/>
      <c r="P69" s="298"/>
      <c r="Q69" s="298"/>
      <c r="V69" s="3842"/>
      <c r="W69" s="544">
        <v>0</v>
      </c>
      <c r="X69" s="544">
        <v>0</v>
      </c>
      <c r="Y69" s="1048">
        <v>0</v>
      </c>
      <c r="Z69" s="1048">
        <v>0</v>
      </c>
      <c r="AA69" s="1048">
        <v>0</v>
      </c>
      <c r="AB69" s="544">
        <v>0</v>
      </c>
      <c r="AC69" s="544"/>
      <c r="AD69" s="544"/>
      <c r="AE69" s="544"/>
      <c r="AF69" s="544"/>
      <c r="AG69" s="544"/>
    </row>
    <row r="70" spans="2:33" ht="15" hidden="1" customHeight="1" outlineLevel="1" x14ac:dyDescent="0.25">
      <c r="B70" s="1359"/>
      <c r="C70" s="274"/>
      <c r="D70" s="3839" t="s">
        <v>2186</v>
      </c>
      <c r="E70" s="483" t="s">
        <v>2176</v>
      </c>
      <c r="F70" s="1321">
        <v>11</v>
      </c>
      <c r="G70" s="1189"/>
      <c r="H70" s="1322" t="s">
        <v>1644</v>
      </c>
      <c r="I70" s="1012"/>
      <c r="J70" s="1012"/>
      <c r="K70" s="298"/>
      <c r="L70" s="298"/>
      <c r="M70" s="298"/>
      <c r="N70" s="298"/>
      <c r="O70" s="298"/>
      <c r="P70" s="298"/>
      <c r="Q70" s="298"/>
      <c r="V70" s="3841" t="str">
        <f>D70</f>
        <v>Rold</v>
      </c>
      <c r="W70" s="1318">
        <v>11</v>
      </c>
      <c r="X70" s="1318">
        <v>11</v>
      </c>
      <c r="Y70" s="1321">
        <v>11</v>
      </c>
      <c r="Z70" s="1321">
        <v>11</v>
      </c>
      <c r="AA70" s="1321">
        <v>11</v>
      </c>
      <c r="AB70" s="1318">
        <v>11</v>
      </c>
      <c r="AC70" s="1318"/>
      <c r="AD70" s="1318"/>
      <c r="AE70" s="1318"/>
      <c r="AF70" s="1318"/>
      <c r="AG70" s="1318"/>
    </row>
    <row r="71" spans="2:33" hidden="1" outlineLevel="1" x14ac:dyDescent="0.25">
      <c r="B71" s="1359"/>
      <c r="C71" s="274"/>
      <c r="D71" s="3840"/>
      <c r="E71" s="483" t="s">
        <v>2177</v>
      </c>
      <c r="F71" s="1321">
        <v>11</v>
      </c>
      <c r="G71" s="1189"/>
      <c r="H71" s="1322" t="s">
        <v>1644</v>
      </c>
      <c r="I71" s="1012"/>
      <c r="J71" s="1012"/>
      <c r="K71" s="298"/>
      <c r="L71" s="298"/>
      <c r="M71" s="298"/>
      <c r="N71" s="298"/>
      <c r="O71" s="298"/>
      <c r="P71" s="298"/>
      <c r="Q71" s="298"/>
      <c r="V71" s="3842"/>
      <c r="W71" s="1318">
        <v>11</v>
      </c>
      <c r="X71" s="1318">
        <v>11</v>
      </c>
      <c r="Y71" s="1321">
        <v>11</v>
      </c>
      <c r="Z71" s="1321">
        <v>11</v>
      </c>
      <c r="AA71" s="1321">
        <v>11</v>
      </c>
      <c r="AB71" s="1318">
        <v>11</v>
      </c>
      <c r="AC71" s="1318"/>
      <c r="AD71" s="1318"/>
      <c r="AE71" s="1318"/>
      <c r="AF71" s="1318"/>
      <c r="AG71" s="1318"/>
    </row>
    <row r="72" spans="2:33" hidden="1" outlineLevel="1" x14ac:dyDescent="0.25">
      <c r="B72" s="1359"/>
      <c r="C72" s="274"/>
      <c r="D72" s="3840"/>
      <c r="E72" s="483" t="s">
        <v>2178</v>
      </c>
      <c r="F72" s="1321">
        <v>5</v>
      </c>
      <c r="G72" s="1189"/>
      <c r="H72" s="1322" t="s">
        <v>1644</v>
      </c>
      <c r="I72" s="1012"/>
      <c r="J72" s="1012"/>
      <c r="K72" s="298"/>
      <c r="L72" s="298"/>
      <c r="M72" s="298"/>
      <c r="N72" s="298"/>
      <c r="O72" s="298"/>
      <c r="P72" s="298"/>
      <c r="Q72" s="298"/>
      <c r="V72" s="3842"/>
      <c r="W72" s="1318">
        <v>5</v>
      </c>
      <c r="X72" s="1318">
        <v>5</v>
      </c>
      <c r="Y72" s="1321">
        <v>5</v>
      </c>
      <c r="Z72" s="1321">
        <v>5</v>
      </c>
      <c r="AA72" s="1321">
        <v>5</v>
      </c>
      <c r="AB72" s="1318">
        <v>5</v>
      </c>
      <c r="AC72" s="1318"/>
      <c r="AD72" s="1318"/>
      <c r="AE72" s="1318"/>
      <c r="AF72" s="1318"/>
      <c r="AG72" s="1318"/>
    </row>
    <row r="73" spans="2:33" hidden="1" outlineLevel="1" x14ac:dyDescent="0.25">
      <c r="B73" s="1359"/>
      <c r="C73" s="274"/>
      <c r="D73" s="3840"/>
      <c r="E73" s="483" t="s">
        <v>2179</v>
      </c>
      <c r="F73" s="1321">
        <v>5</v>
      </c>
      <c r="G73" s="1189"/>
      <c r="H73" s="1322" t="s">
        <v>1644</v>
      </c>
      <c r="I73" s="1012"/>
      <c r="J73" s="1012"/>
      <c r="K73" s="298"/>
      <c r="L73" s="298"/>
      <c r="M73" s="298"/>
      <c r="N73" s="298"/>
      <c r="O73" s="298"/>
      <c r="P73" s="298"/>
      <c r="Q73" s="298"/>
      <c r="V73" s="3842"/>
      <c r="W73" s="1318">
        <v>5</v>
      </c>
      <c r="X73" s="1318">
        <v>5</v>
      </c>
      <c r="Y73" s="1321">
        <v>5</v>
      </c>
      <c r="Z73" s="1321">
        <v>5</v>
      </c>
      <c r="AA73" s="1321">
        <v>5</v>
      </c>
      <c r="AB73" s="1318">
        <v>5</v>
      </c>
      <c r="AC73" s="1318"/>
      <c r="AD73" s="1318"/>
      <c r="AE73" s="1318"/>
      <c r="AF73" s="1318"/>
      <c r="AG73" s="1318"/>
    </row>
    <row r="74" spans="2:33" hidden="1" outlineLevel="1" x14ac:dyDescent="0.25">
      <c r="B74" s="1359"/>
      <c r="C74" s="274"/>
      <c r="D74" s="3840"/>
      <c r="E74" s="483" t="s">
        <v>2180</v>
      </c>
      <c r="F74" s="1321">
        <v>5</v>
      </c>
      <c r="G74" s="1189"/>
      <c r="H74" s="1322" t="s">
        <v>1644</v>
      </c>
      <c r="I74" s="1012"/>
      <c r="J74" s="1012"/>
      <c r="K74" s="298"/>
      <c r="L74" s="298"/>
      <c r="M74" s="298"/>
      <c r="N74" s="298"/>
      <c r="O74" s="298"/>
      <c r="P74" s="298"/>
      <c r="Q74" s="298"/>
      <c r="V74" s="3842"/>
      <c r="W74" s="1318">
        <v>5</v>
      </c>
      <c r="X74" s="1318">
        <v>5</v>
      </c>
      <c r="Y74" s="1321">
        <v>5</v>
      </c>
      <c r="Z74" s="1321">
        <v>5</v>
      </c>
      <c r="AA74" s="1321">
        <v>5</v>
      </c>
      <c r="AB74" s="1318">
        <v>5</v>
      </c>
      <c r="AC74" s="1318"/>
      <c r="AD74" s="1318"/>
      <c r="AE74" s="1318"/>
      <c r="AF74" s="1318"/>
      <c r="AG74" s="1318"/>
    </row>
    <row r="75" spans="2:33" hidden="1" outlineLevel="1" x14ac:dyDescent="0.25">
      <c r="B75" s="1359"/>
      <c r="C75" s="274"/>
      <c r="D75" s="3840"/>
      <c r="E75" s="483" t="s">
        <v>2181</v>
      </c>
      <c r="F75" s="1321">
        <v>5</v>
      </c>
      <c r="G75" s="1189"/>
      <c r="H75" s="1322" t="s">
        <v>1644</v>
      </c>
      <c r="I75" s="1012"/>
      <c r="J75" s="1012"/>
      <c r="K75" s="298"/>
      <c r="L75" s="298"/>
      <c r="M75" s="298"/>
      <c r="N75" s="298"/>
      <c r="O75" s="298"/>
      <c r="P75" s="298"/>
      <c r="Q75" s="298"/>
      <c r="V75" s="3842"/>
      <c r="W75" s="1318">
        <v>5</v>
      </c>
      <c r="X75" s="1318">
        <v>5</v>
      </c>
      <c r="Y75" s="1321">
        <v>5</v>
      </c>
      <c r="Z75" s="1321">
        <v>5</v>
      </c>
      <c r="AA75" s="1321">
        <v>5</v>
      </c>
      <c r="AB75" s="1318">
        <v>5</v>
      </c>
      <c r="AC75" s="1318"/>
      <c r="AD75" s="1318"/>
      <c r="AE75" s="1318"/>
      <c r="AF75" s="1318"/>
      <c r="AG75" s="1318"/>
    </row>
    <row r="76" spans="2:33" hidden="1" outlineLevel="1" x14ac:dyDescent="0.25">
      <c r="B76" s="1359"/>
      <c r="C76" s="274"/>
      <c r="D76" s="3840"/>
      <c r="E76" s="483" t="s">
        <v>2182</v>
      </c>
      <c r="F76" s="1321">
        <v>5</v>
      </c>
      <c r="G76" s="1189"/>
      <c r="H76" s="1322" t="s">
        <v>1644</v>
      </c>
      <c r="I76" s="1012"/>
      <c r="J76" s="1012"/>
      <c r="K76" s="298"/>
      <c r="L76" s="298"/>
      <c r="M76" s="298"/>
      <c r="N76" s="298"/>
      <c r="O76" s="298"/>
      <c r="P76" s="298"/>
      <c r="Q76" s="298"/>
      <c r="V76" s="3842"/>
      <c r="W76" s="1318">
        <v>5</v>
      </c>
      <c r="X76" s="1318">
        <v>5</v>
      </c>
      <c r="Y76" s="1321">
        <v>5</v>
      </c>
      <c r="Z76" s="1321">
        <v>5</v>
      </c>
      <c r="AA76" s="1321">
        <v>5</v>
      </c>
      <c r="AB76" s="1318">
        <v>5</v>
      </c>
      <c r="AC76" s="1318"/>
      <c r="AD76" s="1318"/>
      <c r="AE76" s="1318"/>
      <c r="AF76" s="1318"/>
      <c r="AG76" s="1318"/>
    </row>
    <row r="77" spans="2:33" hidden="1" outlineLevel="1" x14ac:dyDescent="0.25">
      <c r="B77" s="1359"/>
      <c r="C77" s="274"/>
      <c r="D77" s="3840"/>
      <c r="E77" s="483" t="s">
        <v>2183</v>
      </c>
      <c r="F77" s="1321">
        <v>5</v>
      </c>
      <c r="G77" s="1189"/>
      <c r="H77" s="1322" t="s">
        <v>1644</v>
      </c>
      <c r="I77" s="1012"/>
      <c r="J77" s="1012"/>
      <c r="K77" s="298"/>
      <c r="L77" s="298"/>
      <c r="M77" s="298"/>
      <c r="N77" s="298"/>
      <c r="O77" s="298"/>
      <c r="P77" s="298"/>
      <c r="Q77" s="298"/>
      <c r="V77" s="3842"/>
      <c r="W77" s="1318">
        <v>5</v>
      </c>
      <c r="X77" s="1318">
        <v>5</v>
      </c>
      <c r="Y77" s="1321">
        <v>5</v>
      </c>
      <c r="Z77" s="1321">
        <v>5</v>
      </c>
      <c r="AA77" s="1321">
        <v>5</v>
      </c>
      <c r="AB77" s="1318">
        <v>5</v>
      </c>
      <c r="AC77" s="1318"/>
      <c r="AD77" s="1318"/>
      <c r="AE77" s="1318"/>
      <c r="AF77" s="1318"/>
      <c r="AG77" s="1318"/>
    </row>
    <row r="78" spans="2:33" hidden="1" outlineLevel="1" x14ac:dyDescent="0.25">
      <c r="B78" s="1359"/>
      <c r="C78" s="274"/>
      <c r="D78" s="3840"/>
      <c r="E78" s="483" t="s">
        <v>2184</v>
      </c>
      <c r="F78" s="1321">
        <v>5</v>
      </c>
      <c r="G78" s="1189"/>
      <c r="H78" s="1322" t="s">
        <v>1644</v>
      </c>
      <c r="I78" s="1012"/>
      <c r="J78" s="1012"/>
      <c r="K78" s="298"/>
      <c r="L78" s="298"/>
      <c r="M78" s="298"/>
      <c r="N78" s="298"/>
      <c r="O78" s="298"/>
      <c r="P78" s="298"/>
      <c r="Q78" s="298"/>
      <c r="V78" s="3842"/>
      <c r="W78" s="1318">
        <v>5</v>
      </c>
      <c r="X78" s="1318">
        <v>5</v>
      </c>
      <c r="Y78" s="1321">
        <v>5</v>
      </c>
      <c r="Z78" s="1321">
        <v>5</v>
      </c>
      <c r="AA78" s="1321">
        <v>5</v>
      </c>
      <c r="AB78" s="1318">
        <v>5</v>
      </c>
      <c r="AC78" s="1318"/>
      <c r="AD78" s="1318"/>
      <c r="AE78" s="1318"/>
      <c r="AF78" s="1318"/>
      <c r="AG78" s="1318"/>
    </row>
    <row r="79" spans="2:33" hidden="1" outlineLevel="1" x14ac:dyDescent="0.25">
      <c r="B79" s="1359"/>
      <c r="C79" s="274"/>
      <c r="D79" s="3840"/>
      <c r="E79" s="483" t="s">
        <v>2185</v>
      </c>
      <c r="F79" s="1321">
        <v>5</v>
      </c>
      <c r="G79" s="1189"/>
      <c r="H79" s="1322" t="s">
        <v>1644</v>
      </c>
      <c r="I79" s="1012"/>
      <c r="J79" s="1012"/>
      <c r="K79" s="298"/>
      <c r="L79" s="298"/>
      <c r="M79" s="298"/>
      <c r="N79" s="298"/>
      <c r="O79" s="298"/>
      <c r="P79" s="298"/>
      <c r="Q79" s="298"/>
      <c r="V79" s="3842"/>
      <c r="W79" s="1318">
        <v>5</v>
      </c>
      <c r="X79" s="1318">
        <v>5</v>
      </c>
      <c r="Y79" s="1321">
        <v>5</v>
      </c>
      <c r="Z79" s="1321">
        <v>5</v>
      </c>
      <c r="AA79" s="1321">
        <v>5</v>
      </c>
      <c r="AB79" s="1318">
        <v>5</v>
      </c>
      <c r="AC79" s="1318"/>
      <c r="AD79" s="1318"/>
      <c r="AE79" s="1318"/>
      <c r="AF79" s="1318"/>
      <c r="AG79" s="1318"/>
    </row>
    <row r="80" spans="2:33" ht="15" hidden="1" customHeight="1" outlineLevel="1" x14ac:dyDescent="0.25">
      <c r="B80" s="1359"/>
      <c r="C80" s="274"/>
      <c r="D80" s="3839" t="s">
        <v>2187</v>
      </c>
      <c r="E80" s="483" t="s">
        <v>2176</v>
      </c>
      <c r="F80" s="1321">
        <v>49</v>
      </c>
      <c r="G80" s="1189"/>
      <c r="H80" s="1322" t="s">
        <v>1644</v>
      </c>
      <c r="I80" s="1012"/>
      <c r="J80" s="1012"/>
      <c r="K80" s="298"/>
      <c r="L80" s="298"/>
      <c r="M80" s="298"/>
      <c r="N80" s="298"/>
      <c r="O80" s="298"/>
      <c r="P80" s="298"/>
      <c r="Q80" s="298"/>
      <c r="V80" s="3841" t="str">
        <f>D80</f>
        <v>RAttic</v>
      </c>
      <c r="W80" s="1318">
        <v>49</v>
      </c>
      <c r="X80" s="1318">
        <v>49</v>
      </c>
      <c r="Y80" s="1321">
        <v>49</v>
      </c>
      <c r="Z80" s="1321">
        <v>49</v>
      </c>
      <c r="AA80" s="1321">
        <v>49</v>
      </c>
      <c r="AB80" s="1318">
        <v>49</v>
      </c>
      <c r="AC80" s="1318"/>
      <c r="AD80" s="1318"/>
      <c r="AE80" s="1318"/>
      <c r="AF80" s="1318"/>
      <c r="AG80" s="1318"/>
    </row>
    <row r="81" spans="2:33" hidden="1" outlineLevel="1" x14ac:dyDescent="0.25">
      <c r="B81" s="1359"/>
      <c r="C81" s="274"/>
      <c r="D81" s="3840"/>
      <c r="E81" s="483" t="s">
        <v>2177</v>
      </c>
      <c r="F81" s="1321">
        <v>49</v>
      </c>
      <c r="G81" s="1189"/>
      <c r="H81" s="1322" t="s">
        <v>1644</v>
      </c>
      <c r="I81" s="1012"/>
      <c r="J81" s="1012"/>
      <c r="K81" s="298"/>
      <c r="L81" s="298"/>
      <c r="M81" s="298"/>
      <c r="N81" s="298"/>
      <c r="O81" s="298"/>
      <c r="P81" s="298"/>
      <c r="Q81" s="298"/>
      <c r="V81" s="3842"/>
      <c r="W81" s="1318">
        <v>49</v>
      </c>
      <c r="X81" s="1318">
        <v>49</v>
      </c>
      <c r="Y81" s="1321">
        <v>49</v>
      </c>
      <c r="Z81" s="1321">
        <v>49</v>
      </c>
      <c r="AA81" s="1321">
        <v>49</v>
      </c>
      <c r="AB81" s="1318">
        <v>49</v>
      </c>
      <c r="AC81" s="1318"/>
      <c r="AD81" s="1318"/>
      <c r="AE81" s="1318"/>
      <c r="AF81" s="1318"/>
      <c r="AG81" s="1318"/>
    </row>
    <row r="82" spans="2:33" hidden="1" outlineLevel="1" x14ac:dyDescent="0.25">
      <c r="B82" s="1359"/>
      <c r="C82" s="274"/>
      <c r="D82" s="3840"/>
      <c r="E82" s="483" t="s">
        <v>2178</v>
      </c>
      <c r="F82" s="1321">
        <v>30</v>
      </c>
      <c r="G82" s="1189"/>
      <c r="H82" s="1322" t="s">
        <v>1644</v>
      </c>
      <c r="I82" s="1012"/>
      <c r="J82" s="1012"/>
      <c r="K82" s="298"/>
      <c r="L82" s="298"/>
      <c r="M82" s="298"/>
      <c r="N82" s="298"/>
      <c r="O82" s="298"/>
      <c r="P82" s="298"/>
      <c r="Q82" s="298"/>
      <c r="V82" s="3842"/>
      <c r="W82" s="1318">
        <v>30</v>
      </c>
      <c r="X82" s="1318">
        <v>30</v>
      </c>
      <c r="Y82" s="1321">
        <v>30</v>
      </c>
      <c r="Z82" s="1321">
        <v>30</v>
      </c>
      <c r="AA82" s="1321">
        <v>30</v>
      </c>
      <c r="AB82" s="1318">
        <v>30</v>
      </c>
      <c r="AC82" s="1318"/>
      <c r="AD82" s="1318"/>
      <c r="AE82" s="1318"/>
      <c r="AF82" s="1318"/>
      <c r="AG82" s="1318"/>
    </row>
    <row r="83" spans="2:33" hidden="1" outlineLevel="1" x14ac:dyDescent="0.25">
      <c r="B83" s="1359"/>
      <c r="C83" s="274"/>
      <c r="D83" s="3840"/>
      <c r="E83" s="483" t="s">
        <v>2179</v>
      </c>
      <c r="F83" s="1321">
        <v>30</v>
      </c>
      <c r="G83" s="1189"/>
      <c r="H83" s="1322" t="s">
        <v>1644</v>
      </c>
      <c r="I83" s="1012"/>
      <c r="J83" s="1012"/>
      <c r="K83" s="298"/>
      <c r="L83" s="298"/>
      <c r="M83" s="298"/>
      <c r="N83" s="298"/>
      <c r="O83" s="298"/>
      <c r="P83" s="298"/>
      <c r="Q83" s="298"/>
      <c r="V83" s="3842"/>
      <c r="W83" s="1318">
        <v>30</v>
      </c>
      <c r="X83" s="1318">
        <v>30</v>
      </c>
      <c r="Y83" s="1321">
        <v>30</v>
      </c>
      <c r="Z83" s="1321">
        <v>30</v>
      </c>
      <c r="AA83" s="1321">
        <v>30</v>
      </c>
      <c r="AB83" s="1318">
        <v>30</v>
      </c>
      <c r="AC83" s="1318"/>
      <c r="AD83" s="1318"/>
      <c r="AE83" s="1318"/>
      <c r="AF83" s="1318"/>
      <c r="AG83" s="1318"/>
    </row>
    <row r="84" spans="2:33" hidden="1" outlineLevel="1" x14ac:dyDescent="0.25">
      <c r="B84" s="1359"/>
      <c r="C84" s="274"/>
      <c r="D84" s="3840"/>
      <c r="E84" s="483" t="s">
        <v>2180</v>
      </c>
      <c r="F84" s="1321">
        <v>38</v>
      </c>
      <c r="G84" s="1189"/>
      <c r="H84" s="1322" t="s">
        <v>1644</v>
      </c>
      <c r="I84" s="1012"/>
      <c r="J84" s="1012"/>
      <c r="K84" s="298"/>
      <c r="L84" s="298"/>
      <c r="M84" s="298"/>
      <c r="N84" s="298"/>
      <c r="O84" s="298"/>
      <c r="P84" s="298"/>
      <c r="Q84" s="298"/>
      <c r="V84" s="3842"/>
      <c r="W84" s="1318">
        <v>38</v>
      </c>
      <c r="X84" s="1318">
        <v>38</v>
      </c>
      <c r="Y84" s="1321">
        <v>38</v>
      </c>
      <c r="Z84" s="1321">
        <v>38</v>
      </c>
      <c r="AA84" s="1321">
        <v>38</v>
      </c>
      <c r="AB84" s="1318">
        <v>38</v>
      </c>
      <c r="AC84" s="1318"/>
      <c r="AD84" s="1318"/>
      <c r="AE84" s="1318"/>
      <c r="AF84" s="1318"/>
      <c r="AG84" s="1318"/>
    </row>
    <row r="85" spans="2:33" hidden="1" outlineLevel="1" x14ac:dyDescent="0.25">
      <c r="B85" s="1359"/>
      <c r="C85" s="274"/>
      <c r="D85" s="3840"/>
      <c r="E85" s="483" t="s">
        <v>2181</v>
      </c>
      <c r="F85" s="1321">
        <v>38</v>
      </c>
      <c r="G85" s="1189"/>
      <c r="H85" s="1322" t="s">
        <v>1644</v>
      </c>
      <c r="I85" s="1012"/>
      <c r="J85" s="1012"/>
      <c r="K85" s="298"/>
      <c r="L85" s="298"/>
      <c r="M85" s="298"/>
      <c r="N85" s="298"/>
      <c r="O85" s="298"/>
      <c r="P85" s="298"/>
      <c r="Q85" s="298"/>
      <c r="V85" s="3842"/>
      <c r="W85" s="1318">
        <v>38</v>
      </c>
      <c r="X85" s="1318">
        <v>38</v>
      </c>
      <c r="Y85" s="1321">
        <v>38</v>
      </c>
      <c r="Z85" s="1321">
        <v>38</v>
      </c>
      <c r="AA85" s="1321">
        <v>38</v>
      </c>
      <c r="AB85" s="1318">
        <v>38</v>
      </c>
      <c r="AC85" s="1318"/>
      <c r="AD85" s="1318"/>
      <c r="AE85" s="1318"/>
      <c r="AF85" s="1318"/>
      <c r="AG85" s="1318"/>
    </row>
    <row r="86" spans="2:33" hidden="1" outlineLevel="1" x14ac:dyDescent="0.25">
      <c r="B86" s="1359"/>
      <c r="C86" s="274"/>
      <c r="D86" s="3840"/>
      <c r="E86" s="483" t="s">
        <v>2182</v>
      </c>
      <c r="F86" s="1321">
        <v>49</v>
      </c>
      <c r="G86" s="1189"/>
      <c r="H86" s="1322" t="s">
        <v>1644</v>
      </c>
      <c r="I86" s="1012"/>
      <c r="J86" s="1012"/>
      <c r="K86" s="298"/>
      <c r="L86" s="298"/>
      <c r="M86" s="298"/>
      <c r="N86" s="298"/>
      <c r="O86" s="298"/>
      <c r="P86" s="298"/>
      <c r="Q86" s="298"/>
      <c r="V86" s="3842"/>
      <c r="W86" s="1318">
        <v>49</v>
      </c>
      <c r="X86" s="1318">
        <v>49</v>
      </c>
      <c r="Y86" s="1321">
        <v>49</v>
      </c>
      <c r="Z86" s="1321">
        <v>49</v>
      </c>
      <c r="AA86" s="1321">
        <v>49</v>
      </c>
      <c r="AB86" s="1318">
        <v>49</v>
      </c>
      <c r="AC86" s="1318"/>
      <c r="AD86" s="1318"/>
      <c r="AE86" s="1318"/>
      <c r="AF86" s="1318"/>
      <c r="AG86" s="1318"/>
    </row>
    <row r="87" spans="2:33" hidden="1" outlineLevel="1" x14ac:dyDescent="0.25">
      <c r="B87" s="1359"/>
      <c r="C87" s="274"/>
      <c r="D87" s="3840"/>
      <c r="E87" s="483" t="s">
        <v>2183</v>
      </c>
      <c r="F87" s="1321">
        <v>49</v>
      </c>
      <c r="G87" s="1189"/>
      <c r="H87" s="1322" t="s">
        <v>1644</v>
      </c>
      <c r="I87" s="1012"/>
      <c r="J87" s="1012"/>
      <c r="K87" s="298"/>
      <c r="L87" s="298"/>
      <c r="M87" s="298"/>
      <c r="N87" s="298"/>
      <c r="O87" s="298"/>
      <c r="P87" s="298"/>
      <c r="Q87" s="298"/>
      <c r="V87" s="3842"/>
      <c r="W87" s="1318">
        <v>49</v>
      </c>
      <c r="X87" s="1318">
        <v>49</v>
      </c>
      <c r="Y87" s="1321">
        <v>49</v>
      </c>
      <c r="Z87" s="1321">
        <v>49</v>
      </c>
      <c r="AA87" s="1321">
        <v>49</v>
      </c>
      <c r="AB87" s="1318">
        <v>49</v>
      </c>
      <c r="AC87" s="1318"/>
      <c r="AD87" s="1318"/>
      <c r="AE87" s="1318"/>
      <c r="AF87" s="1318"/>
      <c r="AG87" s="1318"/>
    </row>
    <row r="88" spans="2:33" hidden="1" outlineLevel="1" x14ac:dyDescent="0.25">
      <c r="B88" s="1359"/>
      <c r="C88" s="274"/>
      <c r="D88" s="3840"/>
      <c r="E88" s="483" t="s">
        <v>2184</v>
      </c>
      <c r="F88" s="1321">
        <v>60</v>
      </c>
      <c r="G88" s="1189"/>
      <c r="H88" s="1322" t="s">
        <v>1644</v>
      </c>
      <c r="I88" s="1012"/>
      <c r="J88" s="1012"/>
      <c r="K88" s="298"/>
      <c r="L88" s="298"/>
      <c r="M88" s="298"/>
      <c r="N88" s="298"/>
      <c r="O88" s="298"/>
      <c r="P88" s="298"/>
      <c r="Q88" s="298"/>
      <c r="V88" s="3842"/>
      <c r="W88" s="1318">
        <v>60</v>
      </c>
      <c r="X88" s="1318">
        <v>60</v>
      </c>
      <c r="Y88" s="1321">
        <v>60</v>
      </c>
      <c r="Z88" s="1321">
        <v>60</v>
      </c>
      <c r="AA88" s="1321">
        <v>60</v>
      </c>
      <c r="AB88" s="1318">
        <v>60</v>
      </c>
      <c r="AC88" s="1318"/>
      <c r="AD88" s="1318"/>
      <c r="AE88" s="1318"/>
      <c r="AF88" s="1318"/>
      <c r="AG88" s="1318"/>
    </row>
    <row r="89" spans="2:33" hidden="1" outlineLevel="1" x14ac:dyDescent="0.25">
      <c r="B89" s="1359"/>
      <c r="C89" s="274"/>
      <c r="D89" s="3840"/>
      <c r="E89" s="483" t="s">
        <v>2185</v>
      </c>
      <c r="F89" s="1321">
        <v>60</v>
      </c>
      <c r="G89" s="1189"/>
      <c r="H89" s="1322" t="s">
        <v>1644</v>
      </c>
      <c r="I89" s="1012"/>
      <c r="J89" s="1012"/>
      <c r="K89" s="298"/>
      <c r="L89" s="298"/>
      <c r="M89" s="298"/>
      <c r="N89" s="298"/>
      <c r="O89" s="298"/>
      <c r="P89" s="298"/>
      <c r="Q89" s="298"/>
      <c r="V89" s="3842"/>
      <c r="W89" s="1318">
        <v>60</v>
      </c>
      <c r="X89" s="1318">
        <v>60</v>
      </c>
      <c r="Y89" s="1321">
        <v>60</v>
      </c>
      <c r="Z89" s="1321">
        <v>60</v>
      </c>
      <c r="AA89" s="1321">
        <v>60</v>
      </c>
      <c r="AB89" s="1318">
        <v>60</v>
      </c>
      <c r="AC89" s="1318"/>
      <c r="AD89" s="1318"/>
      <c r="AE89" s="1318"/>
      <c r="AF89" s="1318"/>
      <c r="AG89" s="1318"/>
    </row>
    <row r="90" spans="2:33" ht="15" hidden="1" customHeight="1" outlineLevel="1" x14ac:dyDescent="0.25">
      <c r="B90" s="1148"/>
      <c r="C90" s="274"/>
      <c r="D90" s="3839" t="s">
        <v>2188</v>
      </c>
      <c r="E90" s="483" t="s">
        <v>2176</v>
      </c>
      <c r="F90" s="1321">
        <v>1</v>
      </c>
      <c r="G90" s="1189" t="s">
        <v>1645</v>
      </c>
      <c r="H90" s="1322" t="s">
        <v>3276</v>
      </c>
      <c r="I90" s="1020"/>
      <c r="J90" s="1020"/>
      <c r="K90" s="1148"/>
      <c r="L90" s="1148"/>
      <c r="M90" s="1148"/>
      <c r="N90" s="1148"/>
      <c r="O90" s="1148"/>
      <c r="P90" s="1148"/>
      <c r="Q90" s="1148"/>
      <c r="V90" s="3841" t="str">
        <f>D90</f>
        <v>AAttic</v>
      </c>
      <c r="W90" s="1318">
        <f>1347*0.65</f>
        <v>875.55000000000007</v>
      </c>
      <c r="X90" s="1318">
        <f>1347*0.65</f>
        <v>875.55000000000007</v>
      </c>
      <c r="Y90" s="1032">
        <v>1</v>
      </c>
      <c r="Z90" s="1321">
        <v>1</v>
      </c>
      <c r="AA90" s="1321">
        <v>1</v>
      </c>
      <c r="AB90" s="1318">
        <v>1</v>
      </c>
      <c r="AC90" s="1318"/>
      <c r="AD90" s="1318"/>
      <c r="AE90" s="1318"/>
      <c r="AF90" s="1318"/>
      <c r="AG90" s="1318"/>
    </row>
    <row r="91" spans="2:33" hidden="1" outlineLevel="1" x14ac:dyDescent="0.25">
      <c r="B91" s="1359"/>
      <c r="C91" s="274"/>
      <c r="D91" s="3840"/>
      <c r="E91" s="483" t="s">
        <v>2177</v>
      </c>
      <c r="F91" s="1321">
        <v>1</v>
      </c>
      <c r="G91" s="1189" t="s">
        <v>1645</v>
      </c>
      <c r="H91" s="1322" t="s">
        <v>3276</v>
      </c>
      <c r="I91" s="1012"/>
      <c r="J91" s="1012"/>
      <c r="K91" s="298"/>
      <c r="L91" s="298"/>
      <c r="M91" s="298"/>
      <c r="N91" s="298"/>
      <c r="O91" s="298"/>
      <c r="P91" s="298"/>
      <c r="Q91" s="298"/>
      <c r="V91" s="3842"/>
      <c r="W91" s="1318">
        <f>1347*0.65</f>
        <v>875.55000000000007</v>
      </c>
      <c r="X91" s="1318">
        <f>1347*0.65</f>
        <v>875.55000000000007</v>
      </c>
      <c r="Y91" s="1032">
        <v>1</v>
      </c>
      <c r="Z91" s="1321">
        <v>1</v>
      </c>
      <c r="AA91" s="1321">
        <v>1</v>
      </c>
      <c r="AB91" s="1318">
        <v>1</v>
      </c>
      <c r="AC91" s="1318"/>
      <c r="AD91" s="1318"/>
      <c r="AE91" s="1318"/>
      <c r="AF91" s="1318"/>
      <c r="AG91" s="1318"/>
    </row>
    <row r="92" spans="2:33" ht="30" hidden="1" outlineLevel="1" x14ac:dyDescent="0.25">
      <c r="B92" s="1359"/>
      <c r="C92" s="274"/>
      <c r="D92" s="3840"/>
      <c r="E92" s="483" t="s">
        <v>2178</v>
      </c>
      <c r="F92" s="1321">
        <v>1</v>
      </c>
      <c r="G92" s="1189" t="s">
        <v>2189</v>
      </c>
      <c r="H92" s="1322" t="s">
        <v>3277</v>
      </c>
      <c r="I92" s="1012"/>
      <c r="J92" s="1012"/>
      <c r="K92" s="298"/>
      <c r="L92" s="298"/>
      <c r="M92" s="298"/>
      <c r="N92" s="298"/>
      <c r="O92" s="298"/>
      <c r="P92" s="298"/>
      <c r="Q92" s="298"/>
      <c r="V92" s="3842"/>
      <c r="W92" s="1318">
        <f t="shared" ref="W92:X99" si="25">1106*0.65</f>
        <v>718.9</v>
      </c>
      <c r="X92" s="1318">
        <f t="shared" si="25"/>
        <v>718.9</v>
      </c>
      <c r="Y92" s="1032">
        <v>1</v>
      </c>
      <c r="Z92" s="1321">
        <v>1</v>
      </c>
      <c r="AA92" s="1321">
        <v>1</v>
      </c>
      <c r="AB92" s="1318">
        <v>1</v>
      </c>
      <c r="AC92" s="1318"/>
      <c r="AD92" s="1318"/>
      <c r="AE92" s="1318"/>
      <c r="AF92" s="1318"/>
      <c r="AG92" s="1318"/>
    </row>
    <row r="93" spans="2:33" ht="30" hidden="1" outlineLevel="1" x14ac:dyDescent="0.25">
      <c r="B93" s="1359"/>
      <c r="C93" s="274"/>
      <c r="D93" s="3840"/>
      <c r="E93" s="483" t="s">
        <v>2179</v>
      </c>
      <c r="F93" s="1321">
        <v>1</v>
      </c>
      <c r="G93" s="1189" t="s">
        <v>2189</v>
      </c>
      <c r="H93" s="1322" t="s">
        <v>3277</v>
      </c>
      <c r="I93" s="1012"/>
      <c r="J93" s="1012"/>
      <c r="K93" s="298"/>
      <c r="L93" s="298"/>
      <c r="M93" s="298"/>
      <c r="N93" s="298"/>
      <c r="O93" s="298"/>
      <c r="P93" s="298"/>
      <c r="Q93" s="298"/>
      <c r="V93" s="3842"/>
      <c r="W93" s="1318">
        <f t="shared" si="25"/>
        <v>718.9</v>
      </c>
      <c r="X93" s="1318">
        <f t="shared" si="25"/>
        <v>718.9</v>
      </c>
      <c r="Y93" s="1032">
        <v>1</v>
      </c>
      <c r="Z93" s="1321">
        <v>1</v>
      </c>
      <c r="AA93" s="1321">
        <v>1</v>
      </c>
      <c r="AB93" s="1318">
        <v>1</v>
      </c>
      <c r="AC93" s="1318"/>
      <c r="AD93" s="1318"/>
      <c r="AE93" s="1318"/>
      <c r="AF93" s="1318"/>
      <c r="AG93" s="1318"/>
    </row>
    <row r="94" spans="2:33" ht="30" hidden="1" outlineLevel="1" x14ac:dyDescent="0.25">
      <c r="B94" s="1359"/>
      <c r="C94" s="274"/>
      <c r="D94" s="3840"/>
      <c r="E94" s="483" t="s">
        <v>2180</v>
      </c>
      <c r="F94" s="1321">
        <v>1</v>
      </c>
      <c r="G94" s="1189" t="s">
        <v>2189</v>
      </c>
      <c r="H94" s="1322" t="s">
        <v>3277</v>
      </c>
      <c r="I94" s="1012"/>
      <c r="J94" s="1012"/>
      <c r="K94" s="298"/>
      <c r="L94" s="298"/>
      <c r="M94" s="298"/>
      <c r="N94" s="298"/>
      <c r="O94" s="298"/>
      <c r="P94" s="298"/>
      <c r="Q94" s="298"/>
      <c r="V94" s="3842"/>
      <c r="W94" s="1318">
        <f t="shared" si="25"/>
        <v>718.9</v>
      </c>
      <c r="X94" s="1318">
        <f t="shared" si="25"/>
        <v>718.9</v>
      </c>
      <c r="Y94" s="1032">
        <v>1</v>
      </c>
      <c r="Z94" s="1321">
        <v>1</v>
      </c>
      <c r="AA94" s="1321">
        <v>1</v>
      </c>
      <c r="AB94" s="1318">
        <v>1</v>
      </c>
      <c r="AC94" s="1318"/>
      <c r="AD94" s="1318"/>
      <c r="AE94" s="1318"/>
      <c r="AF94" s="1318"/>
      <c r="AG94" s="1318"/>
    </row>
    <row r="95" spans="2:33" ht="30" hidden="1" outlineLevel="1" x14ac:dyDescent="0.25">
      <c r="B95" s="1359"/>
      <c r="C95" s="274"/>
      <c r="D95" s="3840"/>
      <c r="E95" s="483" t="s">
        <v>2181</v>
      </c>
      <c r="F95" s="1321">
        <v>1</v>
      </c>
      <c r="G95" s="1189" t="s">
        <v>2189</v>
      </c>
      <c r="H95" s="1322" t="s">
        <v>3277</v>
      </c>
      <c r="I95" s="1012"/>
      <c r="J95" s="1012"/>
      <c r="K95" s="298"/>
      <c r="L95" s="298"/>
      <c r="M95" s="298"/>
      <c r="N95" s="298"/>
      <c r="O95" s="298"/>
      <c r="P95" s="298"/>
      <c r="Q95" s="298"/>
      <c r="V95" s="3842"/>
      <c r="W95" s="1318">
        <f t="shared" si="25"/>
        <v>718.9</v>
      </c>
      <c r="X95" s="1318">
        <f t="shared" si="25"/>
        <v>718.9</v>
      </c>
      <c r="Y95" s="1032">
        <v>1</v>
      </c>
      <c r="Z95" s="1321">
        <v>1</v>
      </c>
      <c r="AA95" s="1321">
        <v>1</v>
      </c>
      <c r="AB95" s="1318">
        <v>1</v>
      </c>
      <c r="AC95" s="1318"/>
      <c r="AD95" s="1318"/>
      <c r="AE95" s="1318"/>
      <c r="AF95" s="1318"/>
      <c r="AG95" s="1318"/>
    </row>
    <row r="96" spans="2:33" hidden="1" outlineLevel="1" x14ac:dyDescent="0.25">
      <c r="B96" s="1359"/>
      <c r="C96" s="274"/>
      <c r="D96" s="3840"/>
      <c r="E96" s="483" t="s">
        <v>2182</v>
      </c>
      <c r="F96" s="1321">
        <v>1</v>
      </c>
      <c r="G96" s="1189" t="s">
        <v>1645</v>
      </c>
      <c r="H96" s="1322" t="s">
        <v>3277</v>
      </c>
      <c r="I96" s="1012"/>
      <c r="J96" s="1012"/>
      <c r="K96" s="298"/>
      <c r="L96" s="298"/>
      <c r="M96" s="298"/>
      <c r="N96" s="298"/>
      <c r="O96" s="298"/>
      <c r="P96" s="298"/>
      <c r="Q96" s="298"/>
      <c r="V96" s="3842"/>
      <c r="W96" s="1318">
        <f t="shared" si="25"/>
        <v>718.9</v>
      </c>
      <c r="X96" s="1318">
        <f t="shared" si="25"/>
        <v>718.9</v>
      </c>
      <c r="Y96" s="1032">
        <v>1</v>
      </c>
      <c r="Z96" s="1321">
        <v>1</v>
      </c>
      <c r="AA96" s="1321">
        <v>1</v>
      </c>
      <c r="AB96" s="1318">
        <v>1</v>
      </c>
      <c r="AC96" s="1318"/>
      <c r="AD96" s="1318"/>
      <c r="AE96" s="1318"/>
      <c r="AF96" s="1318"/>
      <c r="AG96" s="1318"/>
    </row>
    <row r="97" spans="2:33" hidden="1" outlineLevel="1" x14ac:dyDescent="0.25">
      <c r="B97" s="1359"/>
      <c r="C97" s="274"/>
      <c r="D97" s="3840"/>
      <c r="E97" s="483" t="s">
        <v>2183</v>
      </c>
      <c r="F97" s="1321">
        <v>1</v>
      </c>
      <c r="G97" s="1189" t="s">
        <v>1645</v>
      </c>
      <c r="H97" s="1322" t="s">
        <v>3277</v>
      </c>
      <c r="I97" s="1012"/>
      <c r="J97" s="1012"/>
      <c r="K97" s="298"/>
      <c r="L97" s="298"/>
      <c r="M97" s="298"/>
      <c r="N97" s="298"/>
      <c r="O97" s="298"/>
      <c r="P97" s="298"/>
      <c r="Q97" s="298"/>
      <c r="V97" s="3842"/>
      <c r="W97" s="1318">
        <f t="shared" si="25"/>
        <v>718.9</v>
      </c>
      <c r="X97" s="1318">
        <f t="shared" si="25"/>
        <v>718.9</v>
      </c>
      <c r="Y97" s="1032">
        <v>1</v>
      </c>
      <c r="Z97" s="1321">
        <v>1</v>
      </c>
      <c r="AA97" s="1321">
        <v>1</v>
      </c>
      <c r="AB97" s="1318">
        <v>1</v>
      </c>
      <c r="AC97" s="1318"/>
      <c r="AD97" s="1318"/>
      <c r="AE97" s="1318"/>
      <c r="AF97" s="1318"/>
      <c r="AG97" s="1318"/>
    </row>
    <row r="98" spans="2:33" ht="30" hidden="1" outlineLevel="1" x14ac:dyDescent="0.25">
      <c r="B98" s="1359"/>
      <c r="C98" s="274"/>
      <c r="D98" s="3840"/>
      <c r="E98" s="483" t="s">
        <v>2184</v>
      </c>
      <c r="F98" s="1321">
        <v>1</v>
      </c>
      <c r="G98" s="1189" t="s">
        <v>2189</v>
      </c>
      <c r="H98" s="1322" t="s">
        <v>3277</v>
      </c>
      <c r="I98" s="1012"/>
      <c r="J98" s="1012"/>
      <c r="K98" s="298"/>
      <c r="L98" s="298"/>
      <c r="M98" s="298"/>
      <c r="N98" s="298"/>
      <c r="O98" s="298"/>
      <c r="P98" s="298"/>
      <c r="Q98" s="298"/>
      <c r="V98" s="3842"/>
      <c r="W98" s="1318">
        <f t="shared" si="25"/>
        <v>718.9</v>
      </c>
      <c r="X98" s="1318">
        <f t="shared" si="25"/>
        <v>718.9</v>
      </c>
      <c r="Y98" s="1032">
        <v>1</v>
      </c>
      <c r="Z98" s="1321">
        <v>1</v>
      </c>
      <c r="AA98" s="1321">
        <v>1</v>
      </c>
      <c r="AB98" s="1318">
        <v>1</v>
      </c>
      <c r="AC98" s="1318"/>
      <c r="AD98" s="1318"/>
      <c r="AE98" s="1318"/>
      <c r="AF98" s="1318"/>
      <c r="AG98" s="1318"/>
    </row>
    <row r="99" spans="2:33" ht="30" hidden="1" outlineLevel="1" x14ac:dyDescent="0.25">
      <c r="B99" s="1359"/>
      <c r="C99" s="274"/>
      <c r="D99" s="3840"/>
      <c r="E99" s="483" t="s">
        <v>2185</v>
      </c>
      <c r="F99" s="1321">
        <v>1</v>
      </c>
      <c r="G99" s="1189" t="s">
        <v>2190</v>
      </c>
      <c r="H99" s="1322" t="s">
        <v>3277</v>
      </c>
      <c r="I99" s="1012"/>
      <c r="J99" s="1012"/>
      <c r="K99" s="298"/>
      <c r="L99" s="298"/>
      <c r="M99" s="298"/>
      <c r="N99" s="298"/>
      <c r="O99" s="298"/>
      <c r="P99" s="298"/>
      <c r="Q99" s="298"/>
      <c r="V99" s="3842"/>
      <c r="W99" s="1318">
        <f t="shared" si="25"/>
        <v>718.9</v>
      </c>
      <c r="X99" s="1318">
        <f t="shared" si="25"/>
        <v>718.9</v>
      </c>
      <c r="Y99" s="1032">
        <v>1</v>
      </c>
      <c r="Z99" s="1321">
        <v>1</v>
      </c>
      <c r="AA99" s="1321">
        <v>1</v>
      </c>
      <c r="AB99" s="1318">
        <v>1</v>
      </c>
      <c r="AC99" s="1318"/>
      <c r="AD99" s="1318"/>
      <c r="AE99" s="1318"/>
      <c r="AF99" s="1318"/>
      <c r="AG99" s="1318"/>
    </row>
    <row r="100" spans="2:33" ht="18" hidden="1" outlineLevel="1" x14ac:dyDescent="0.25">
      <c r="B100" s="1148"/>
      <c r="C100" s="274"/>
      <c r="D100" s="1463" t="s">
        <v>2191</v>
      </c>
      <c r="E100" s="483" t="s">
        <v>591</v>
      </c>
      <c r="F100" s="1048">
        <v>7.0000000000000007E-2</v>
      </c>
      <c r="G100" s="1189" t="s">
        <v>1651</v>
      </c>
      <c r="H100" s="1322"/>
      <c r="I100" s="1020"/>
      <c r="J100" s="1020"/>
      <c r="K100" s="1148"/>
      <c r="L100" s="1148"/>
      <c r="M100" s="1148"/>
      <c r="N100" s="1148"/>
      <c r="O100" s="1148"/>
      <c r="P100" s="1148"/>
      <c r="Q100" s="1148"/>
      <c r="V100" s="1019" t="str">
        <f>D100</f>
        <v>Framing FactorAttic</v>
      </c>
      <c r="W100" s="544">
        <v>7.0000000000000007E-2</v>
      </c>
      <c r="X100" s="544">
        <v>7.0000000000000007E-2</v>
      </c>
      <c r="Y100" s="1048">
        <v>7.0000000000000007E-2</v>
      </c>
      <c r="Z100" s="1048">
        <v>7.0000000000000007E-2</v>
      </c>
      <c r="AA100" s="1048">
        <v>7.0000000000000007E-2</v>
      </c>
      <c r="AB100" s="544">
        <v>7.0000000000000007E-2</v>
      </c>
      <c r="AC100" s="544"/>
      <c r="AD100" s="544"/>
      <c r="AE100" s="544"/>
      <c r="AF100" s="544"/>
      <c r="AG100" s="544"/>
    </row>
    <row r="101" spans="2:33" hidden="1" outlineLevel="1" x14ac:dyDescent="0.25">
      <c r="B101" s="1148"/>
      <c r="C101" s="274"/>
      <c r="D101" s="1463" t="s">
        <v>1652</v>
      </c>
      <c r="E101" s="483" t="s">
        <v>591</v>
      </c>
      <c r="F101" s="1321">
        <v>4486</v>
      </c>
      <c r="G101" s="1189" t="s">
        <v>736</v>
      </c>
      <c r="H101" s="1322" t="s">
        <v>1653</v>
      </c>
      <c r="I101" s="1020"/>
      <c r="J101" s="1020"/>
      <c r="K101" s="1148"/>
      <c r="L101" s="1148"/>
      <c r="M101" s="1148"/>
      <c r="N101" s="1148"/>
      <c r="O101" s="1148"/>
      <c r="P101" s="1148"/>
      <c r="Q101" s="1148"/>
      <c r="V101" s="1019" t="str">
        <f>D101</f>
        <v>HDD</v>
      </c>
      <c r="W101" s="1318">
        <v>4486</v>
      </c>
      <c r="X101" s="1318">
        <v>4486</v>
      </c>
      <c r="Y101" s="1321">
        <v>4486</v>
      </c>
      <c r="Z101" s="1321">
        <v>4486</v>
      </c>
      <c r="AA101" s="1321">
        <v>4486</v>
      </c>
      <c r="AB101" s="1318">
        <v>4486</v>
      </c>
      <c r="AC101" s="1318"/>
      <c r="AD101" s="1318"/>
      <c r="AE101" s="1318"/>
      <c r="AF101" s="1318"/>
      <c r="AG101" s="1318"/>
    </row>
    <row r="102" spans="2:33" ht="18" hidden="1" outlineLevel="1" x14ac:dyDescent="0.25">
      <c r="B102" s="1148"/>
      <c r="C102" s="274"/>
      <c r="D102" s="1463" t="s">
        <v>2192</v>
      </c>
      <c r="E102" s="483" t="s">
        <v>591</v>
      </c>
      <c r="F102" s="1048">
        <v>0.74</v>
      </c>
      <c r="G102" s="1189" t="s">
        <v>714</v>
      </c>
      <c r="H102" s="1322"/>
      <c r="I102" s="1020"/>
      <c r="J102" s="1020"/>
      <c r="K102" s="1148"/>
      <c r="L102" s="1148"/>
      <c r="M102" s="1148"/>
      <c r="N102" s="1148"/>
      <c r="O102" s="1148"/>
      <c r="P102" s="1148"/>
      <c r="Q102" s="1148"/>
      <c r="V102" s="1019" t="str">
        <f>D102</f>
        <v>AdjAttic</v>
      </c>
      <c r="W102" s="544">
        <v>0.74</v>
      </c>
      <c r="X102" s="544">
        <v>0.74</v>
      </c>
      <c r="Y102" s="1048">
        <v>0.74</v>
      </c>
      <c r="Z102" s="1048">
        <v>0.74</v>
      </c>
      <c r="AA102" s="1048">
        <v>0.74</v>
      </c>
      <c r="AB102" s="544">
        <v>0.74</v>
      </c>
      <c r="AC102" s="544"/>
      <c r="AD102" s="544"/>
      <c r="AE102" s="544"/>
      <c r="AF102" s="544"/>
      <c r="AG102" s="544"/>
    </row>
    <row r="103" spans="2:33" hidden="1" outlineLevel="1" x14ac:dyDescent="0.25">
      <c r="B103" s="1148"/>
      <c r="C103" s="274"/>
      <c r="D103" s="3839" t="s">
        <v>1654</v>
      </c>
      <c r="E103" s="483" t="s">
        <v>2176</v>
      </c>
      <c r="F103" s="1043">
        <v>1</v>
      </c>
      <c r="G103" s="1322" t="s">
        <v>2193</v>
      </c>
      <c r="H103" s="4026" t="s">
        <v>717</v>
      </c>
      <c r="I103" s="1020"/>
      <c r="J103" s="1020"/>
      <c r="K103" s="1148"/>
      <c r="L103" s="1148"/>
      <c r="M103" s="1148"/>
      <c r="N103" s="1148"/>
      <c r="O103" s="1148"/>
      <c r="P103" s="1148"/>
      <c r="Q103" s="1148"/>
      <c r="V103" s="3841" t="str">
        <f>D103</f>
        <v>ƞheat</v>
      </c>
      <c r="W103" s="1320">
        <v>1</v>
      </c>
      <c r="X103" s="1320">
        <v>1</v>
      </c>
      <c r="Y103" s="1043">
        <v>1</v>
      </c>
      <c r="Z103" s="1043">
        <v>1</v>
      </c>
      <c r="AA103" s="1043">
        <v>1</v>
      </c>
      <c r="AB103" s="1320">
        <v>1</v>
      </c>
      <c r="AC103" s="1320"/>
      <c r="AD103" s="1320"/>
      <c r="AE103" s="1320"/>
      <c r="AF103" s="1320"/>
      <c r="AG103" s="1320"/>
    </row>
    <row r="104" spans="2:33" hidden="1" outlineLevel="1" x14ac:dyDescent="0.25">
      <c r="B104" s="1148"/>
      <c r="C104" s="274"/>
      <c r="D104" s="3840"/>
      <c r="E104" s="483" t="s">
        <v>2177</v>
      </c>
      <c r="F104" s="1048">
        <v>0.71</v>
      </c>
      <c r="G104" s="1322" t="s">
        <v>1645</v>
      </c>
      <c r="H104" s="4027" t="s">
        <v>1645</v>
      </c>
      <c r="I104" s="1020"/>
      <c r="J104" s="1020"/>
      <c r="K104" s="1148"/>
      <c r="L104" s="1148"/>
      <c r="M104" s="1148"/>
      <c r="N104" s="1148"/>
      <c r="O104" s="1148"/>
      <c r="P104" s="1148"/>
      <c r="Q104" s="1148"/>
      <c r="V104" s="3842"/>
      <c r="W104" s="544">
        <v>0.71</v>
      </c>
      <c r="X104" s="544">
        <v>0.71</v>
      </c>
      <c r="Y104" s="1048">
        <v>0.71</v>
      </c>
      <c r="Z104" s="1048">
        <v>0.71</v>
      </c>
      <c r="AA104" s="1048">
        <v>0.71</v>
      </c>
      <c r="AB104" s="544">
        <v>0.71</v>
      </c>
      <c r="AC104" s="544"/>
      <c r="AD104" s="544"/>
      <c r="AE104" s="544"/>
      <c r="AF104" s="544"/>
      <c r="AG104" s="544"/>
    </row>
    <row r="105" spans="2:33" hidden="1" outlineLevel="1" x14ac:dyDescent="0.25">
      <c r="B105" s="1148"/>
      <c r="C105" s="274"/>
      <c r="D105" s="3840"/>
      <c r="E105" s="483" t="s">
        <v>2178</v>
      </c>
      <c r="F105" s="1043">
        <v>1</v>
      </c>
      <c r="G105" s="1322"/>
      <c r="H105" s="4027"/>
      <c r="I105" s="1020"/>
      <c r="J105" s="1020"/>
      <c r="K105" s="1148"/>
      <c r="L105" s="1148"/>
      <c r="M105" s="1148"/>
      <c r="N105" s="1148"/>
      <c r="O105" s="1148"/>
      <c r="P105" s="1148"/>
      <c r="Q105" s="1148"/>
      <c r="V105" s="3842"/>
      <c r="W105" s="1320">
        <v>1</v>
      </c>
      <c r="X105" s="1320">
        <v>1</v>
      </c>
      <c r="Y105" s="1043">
        <v>1</v>
      </c>
      <c r="Z105" s="1043">
        <v>1</v>
      </c>
      <c r="AA105" s="1043">
        <v>1</v>
      </c>
      <c r="AB105" s="1320">
        <v>1</v>
      </c>
      <c r="AC105" s="1320"/>
      <c r="AD105" s="1320"/>
      <c r="AE105" s="1320"/>
      <c r="AF105" s="1320"/>
      <c r="AG105" s="1320"/>
    </row>
    <row r="106" spans="2:33" hidden="1" outlineLevel="1" x14ac:dyDescent="0.25">
      <c r="B106" s="1148"/>
      <c r="C106" s="274"/>
      <c r="D106" s="3840"/>
      <c r="E106" s="483" t="s">
        <v>2179</v>
      </c>
      <c r="F106" s="1048">
        <v>0.71</v>
      </c>
      <c r="G106" s="1322" t="s">
        <v>1645</v>
      </c>
      <c r="H106" s="4027" t="s">
        <v>1645</v>
      </c>
      <c r="I106" s="1020"/>
      <c r="J106" s="1020"/>
      <c r="K106" s="1148"/>
      <c r="L106" s="1148"/>
      <c r="M106" s="1148"/>
      <c r="N106" s="1148"/>
      <c r="O106" s="1148"/>
      <c r="P106" s="1148"/>
      <c r="Q106" s="1148"/>
      <c r="V106" s="3842"/>
      <c r="W106" s="544">
        <v>0.71</v>
      </c>
      <c r="X106" s="544">
        <v>0.71</v>
      </c>
      <c r="Y106" s="1048">
        <v>0.71</v>
      </c>
      <c r="Z106" s="1048">
        <v>0.71</v>
      </c>
      <c r="AA106" s="1048">
        <v>0.71</v>
      </c>
      <c r="AB106" s="544">
        <v>0.71</v>
      </c>
      <c r="AC106" s="544"/>
      <c r="AD106" s="544"/>
      <c r="AE106" s="544"/>
      <c r="AF106" s="544"/>
      <c r="AG106" s="544"/>
    </row>
    <row r="107" spans="2:33" hidden="1" outlineLevel="1" x14ac:dyDescent="0.25">
      <c r="B107" s="1148"/>
      <c r="C107" s="274"/>
      <c r="D107" s="3840"/>
      <c r="E107" s="483" t="s">
        <v>2180</v>
      </c>
      <c r="F107" s="1043">
        <v>1</v>
      </c>
      <c r="G107" s="1322"/>
      <c r="H107" s="4027"/>
      <c r="I107" s="1020"/>
      <c r="J107" s="1020"/>
      <c r="K107" s="1148"/>
      <c r="L107" s="1148"/>
      <c r="M107" s="1148"/>
      <c r="N107" s="1148"/>
      <c r="O107" s="1148"/>
      <c r="P107" s="1148"/>
      <c r="Q107" s="1148"/>
      <c r="V107" s="3842"/>
      <c r="W107" s="1320">
        <v>1</v>
      </c>
      <c r="X107" s="1320">
        <v>1</v>
      </c>
      <c r="Y107" s="1043">
        <v>1</v>
      </c>
      <c r="Z107" s="1043">
        <v>1</v>
      </c>
      <c r="AA107" s="1043">
        <v>1</v>
      </c>
      <c r="AB107" s="1320">
        <v>1</v>
      </c>
      <c r="AC107" s="1320"/>
      <c r="AD107" s="1320"/>
      <c r="AE107" s="1320"/>
      <c r="AF107" s="1320"/>
      <c r="AG107" s="1320"/>
    </row>
    <row r="108" spans="2:33" hidden="1" outlineLevel="1" x14ac:dyDescent="0.25">
      <c r="B108" s="1148"/>
      <c r="C108" s="274"/>
      <c r="D108" s="3840"/>
      <c r="E108" s="483" t="s">
        <v>2181</v>
      </c>
      <c r="F108" s="1048">
        <v>0.71</v>
      </c>
      <c r="G108" s="1322" t="s">
        <v>1645</v>
      </c>
      <c r="H108" s="4027" t="s">
        <v>1645</v>
      </c>
      <c r="I108" s="1020"/>
      <c r="J108" s="1020"/>
      <c r="K108" s="1148"/>
      <c r="L108" s="1148"/>
      <c r="M108" s="1148"/>
      <c r="N108" s="1148"/>
      <c r="O108" s="1148"/>
      <c r="P108" s="1148"/>
      <c r="Q108" s="1148"/>
      <c r="V108" s="3842"/>
      <c r="W108" s="544">
        <v>0.71</v>
      </c>
      <c r="X108" s="544">
        <v>0.71</v>
      </c>
      <c r="Y108" s="1048">
        <v>0.71</v>
      </c>
      <c r="Z108" s="1048">
        <v>0.71</v>
      </c>
      <c r="AA108" s="1048">
        <v>0.71</v>
      </c>
      <c r="AB108" s="544">
        <v>0.71</v>
      </c>
      <c r="AC108" s="544"/>
      <c r="AD108" s="544"/>
      <c r="AE108" s="544"/>
      <c r="AF108" s="544"/>
      <c r="AG108" s="544"/>
    </row>
    <row r="109" spans="2:33" hidden="1" outlineLevel="1" x14ac:dyDescent="0.25">
      <c r="B109" s="1148"/>
      <c r="C109" s="274"/>
      <c r="D109" s="3840"/>
      <c r="E109" s="483" t="s">
        <v>2182</v>
      </c>
      <c r="F109" s="1043">
        <v>1</v>
      </c>
      <c r="G109" s="1322"/>
      <c r="H109" s="4027"/>
      <c r="I109" s="1020"/>
      <c r="J109" s="1020"/>
      <c r="K109" s="1148"/>
      <c r="L109" s="1148"/>
      <c r="M109" s="1148"/>
      <c r="N109" s="1148"/>
      <c r="O109" s="1148"/>
      <c r="P109" s="1148"/>
      <c r="Q109" s="1148"/>
      <c r="V109" s="3842"/>
      <c r="W109" s="1320">
        <v>1</v>
      </c>
      <c r="X109" s="1320">
        <v>1</v>
      </c>
      <c r="Y109" s="1043">
        <v>1</v>
      </c>
      <c r="Z109" s="1043">
        <v>1</v>
      </c>
      <c r="AA109" s="1043">
        <v>1</v>
      </c>
      <c r="AB109" s="1320">
        <v>1</v>
      </c>
      <c r="AC109" s="1320"/>
      <c r="AD109" s="1320"/>
      <c r="AE109" s="1320"/>
      <c r="AF109" s="1320"/>
      <c r="AG109" s="1320"/>
    </row>
    <row r="110" spans="2:33" hidden="1" outlineLevel="1" x14ac:dyDescent="0.25">
      <c r="B110" s="1148"/>
      <c r="C110" s="274"/>
      <c r="D110" s="3840"/>
      <c r="E110" s="483" t="s">
        <v>2183</v>
      </c>
      <c r="F110" s="1048">
        <v>0.71</v>
      </c>
      <c r="G110" s="1322" t="s">
        <v>1645</v>
      </c>
      <c r="H110" s="4027" t="s">
        <v>1645</v>
      </c>
      <c r="I110" s="1020"/>
      <c r="J110" s="1020"/>
      <c r="K110" s="1148"/>
      <c r="L110" s="1148"/>
      <c r="M110" s="1148"/>
      <c r="N110" s="1148"/>
      <c r="O110" s="1148"/>
      <c r="P110" s="1148"/>
      <c r="Q110" s="1148"/>
      <c r="V110" s="3842"/>
      <c r="W110" s="544">
        <v>0.71</v>
      </c>
      <c r="X110" s="544">
        <v>0.71</v>
      </c>
      <c r="Y110" s="1048">
        <v>0.71</v>
      </c>
      <c r="Z110" s="1048">
        <v>0.71</v>
      </c>
      <c r="AA110" s="1048">
        <v>0.71</v>
      </c>
      <c r="AB110" s="544">
        <v>0.71</v>
      </c>
      <c r="AC110" s="544"/>
      <c r="AD110" s="544"/>
      <c r="AE110" s="544"/>
      <c r="AF110" s="544"/>
      <c r="AG110" s="544"/>
    </row>
    <row r="111" spans="2:33" hidden="1" outlineLevel="1" x14ac:dyDescent="0.25">
      <c r="B111" s="1148"/>
      <c r="C111" s="274"/>
      <c r="D111" s="3840"/>
      <c r="E111" s="483" t="s">
        <v>2184</v>
      </c>
      <c r="F111" s="1043">
        <v>1</v>
      </c>
      <c r="G111" s="1322"/>
      <c r="H111" s="4027"/>
      <c r="I111" s="1020"/>
      <c r="J111" s="1020"/>
      <c r="K111" s="1148"/>
      <c r="L111" s="1148"/>
      <c r="M111" s="1148"/>
      <c r="N111" s="1148"/>
      <c r="O111" s="1148"/>
      <c r="P111" s="1148"/>
      <c r="Q111" s="1148"/>
      <c r="V111" s="3842"/>
      <c r="W111" s="1320">
        <v>1</v>
      </c>
      <c r="X111" s="1320">
        <v>1</v>
      </c>
      <c r="Y111" s="1043">
        <v>1</v>
      </c>
      <c r="Z111" s="1043">
        <v>1</v>
      </c>
      <c r="AA111" s="1043">
        <v>1</v>
      </c>
      <c r="AB111" s="1320">
        <v>1</v>
      </c>
      <c r="AC111" s="1320"/>
      <c r="AD111" s="1320"/>
      <c r="AE111" s="1320"/>
      <c r="AF111" s="1320"/>
      <c r="AG111" s="1320"/>
    </row>
    <row r="112" spans="2:33" hidden="1" outlineLevel="1" x14ac:dyDescent="0.25">
      <c r="B112" s="1148"/>
      <c r="C112" s="274"/>
      <c r="D112" s="3840"/>
      <c r="E112" s="483" t="s">
        <v>2185</v>
      </c>
      <c r="F112" s="1048">
        <v>0.71</v>
      </c>
      <c r="G112" s="1322" t="s">
        <v>1645</v>
      </c>
      <c r="H112" s="4028" t="s">
        <v>1645</v>
      </c>
      <c r="I112" s="1020"/>
      <c r="J112" s="1020"/>
      <c r="K112" s="1148"/>
      <c r="L112" s="1148"/>
      <c r="M112" s="1148"/>
      <c r="N112" s="1148"/>
      <c r="O112" s="1148"/>
      <c r="P112" s="1148"/>
      <c r="Q112" s="1148"/>
      <c r="V112" s="3842"/>
      <c r="W112" s="544">
        <v>0.71</v>
      </c>
      <c r="X112" s="544">
        <v>0.71</v>
      </c>
      <c r="Y112" s="1048">
        <v>0.71</v>
      </c>
      <c r="Z112" s="1048">
        <v>0.71</v>
      </c>
      <c r="AA112" s="1048">
        <v>0.71</v>
      </c>
      <c r="AB112" s="544">
        <v>0.71</v>
      </c>
      <c r="AC112" s="544"/>
      <c r="AD112" s="544"/>
      <c r="AE112" s="544"/>
      <c r="AF112" s="544"/>
      <c r="AG112" s="544"/>
    </row>
    <row r="113" spans="2:33" hidden="1" outlineLevel="1" x14ac:dyDescent="0.25">
      <c r="B113" s="1148"/>
      <c r="C113" s="274"/>
      <c r="D113" s="3860" t="s">
        <v>730</v>
      </c>
      <c r="E113" s="483" t="s">
        <v>2176</v>
      </c>
      <c r="F113" s="1043">
        <f t="shared" ref="F113:F122" si="26">(1-F60)*(1/(F70+5)-1/(F80+5))*F90*(1-F$100)*F$101*24*F$102/(F103*10000)</f>
        <v>0</v>
      </c>
      <c r="G113" s="1189" t="s">
        <v>731</v>
      </c>
      <c r="H113" s="1322"/>
      <c r="I113" s="1020"/>
      <c r="J113" s="1020"/>
      <c r="K113" s="1148"/>
      <c r="L113" s="1148"/>
      <c r="M113" s="1148"/>
      <c r="N113" s="1148"/>
      <c r="O113" s="1148"/>
      <c r="P113" s="1148"/>
      <c r="Q113" s="1148"/>
      <c r="V113" s="4024" t="str">
        <f>D113</f>
        <v>∆Therms</v>
      </c>
      <c r="W113" s="1320">
        <f t="shared" ref="W113:Y122" si="27">(1-W60)*(1/(W70+5)-1/(W80+5))*W90*(1-W$100)*W$101*24*W$102/(W103*10000)</f>
        <v>0</v>
      </c>
      <c r="X113" s="1320">
        <f t="shared" si="27"/>
        <v>0</v>
      </c>
      <c r="Y113" s="1043">
        <f t="shared" si="27"/>
        <v>0</v>
      </c>
      <c r="Z113" s="1043">
        <f t="shared" ref="Z113:AA113" si="28">(1-Z60)*(1/(Z70+5)-1/(Z80+5))*Z90*(1-Z$100)*Z$101*24*Z$102/(Z103*10000)</f>
        <v>0</v>
      </c>
      <c r="AA113" s="1043">
        <f t="shared" si="28"/>
        <v>0</v>
      </c>
      <c r="AB113" s="1320">
        <v>0</v>
      </c>
      <c r="AC113" s="1320"/>
      <c r="AD113" s="1320"/>
      <c r="AE113" s="1320"/>
      <c r="AF113" s="1320"/>
      <c r="AG113" s="1320"/>
    </row>
    <row r="114" spans="2:33" hidden="1" outlineLevel="1" x14ac:dyDescent="0.25">
      <c r="B114" s="1148"/>
      <c r="C114" s="274"/>
      <c r="D114" s="3861"/>
      <c r="E114" s="483" t="s">
        <v>2177</v>
      </c>
      <c r="F114" s="1043">
        <f t="shared" si="26"/>
        <v>0.45898308920187786</v>
      </c>
      <c r="G114" s="1189" t="s">
        <v>731</v>
      </c>
      <c r="H114" s="1322"/>
      <c r="I114" s="1020"/>
      <c r="J114" s="1020"/>
      <c r="K114" s="1148"/>
      <c r="L114" s="1148"/>
      <c r="M114" s="1148"/>
      <c r="N114" s="1148"/>
      <c r="O114" s="1148"/>
      <c r="P114" s="1148"/>
      <c r="Q114" s="1148"/>
      <c r="V114" s="4025"/>
      <c r="W114" s="1320">
        <f t="shared" si="27"/>
        <v>401.86264375070419</v>
      </c>
      <c r="X114" s="1320">
        <f t="shared" si="27"/>
        <v>401.86264375070419</v>
      </c>
      <c r="Y114" s="1018">
        <f t="shared" si="27"/>
        <v>0.45898308920187786</v>
      </c>
      <c r="Z114" s="1043">
        <f t="shared" ref="Z114:AA114" si="29">(1-Z61)*(1/(Z71+5)-1/(Z81+5))*Z91*(1-Z$100)*Z$101*24*Z$102/(Z104*10000)</f>
        <v>0.45898308920187786</v>
      </c>
      <c r="AA114" s="1043">
        <f t="shared" si="29"/>
        <v>0.45898308920187786</v>
      </c>
      <c r="AB114" s="1320">
        <v>0.45898308920187786</v>
      </c>
      <c r="AC114" s="1320"/>
      <c r="AD114" s="1320"/>
      <c r="AE114" s="1320"/>
      <c r="AF114" s="1320"/>
      <c r="AG114" s="1320"/>
    </row>
    <row r="115" spans="2:33" hidden="1" outlineLevel="1" x14ac:dyDescent="0.25">
      <c r="B115" s="1148"/>
      <c r="C115" s="274"/>
      <c r="D115" s="3861"/>
      <c r="E115" s="483" t="s">
        <v>2178</v>
      </c>
      <c r="F115" s="1043">
        <f t="shared" si="26"/>
        <v>0</v>
      </c>
      <c r="G115" s="1189" t="s">
        <v>731</v>
      </c>
      <c r="H115" s="1322"/>
      <c r="I115" s="1020"/>
      <c r="J115" s="1020"/>
      <c r="K115" s="1148"/>
      <c r="L115" s="1148"/>
      <c r="M115" s="1148"/>
      <c r="N115" s="1148"/>
      <c r="O115" s="1148"/>
      <c r="P115" s="1148"/>
      <c r="Q115" s="1148"/>
      <c r="V115" s="4025"/>
      <c r="W115" s="1320">
        <f t="shared" si="27"/>
        <v>0</v>
      </c>
      <c r="X115" s="1320">
        <f t="shared" si="27"/>
        <v>0</v>
      </c>
      <c r="Y115" s="1018">
        <f t="shared" si="27"/>
        <v>0</v>
      </c>
      <c r="Z115" s="1043">
        <f t="shared" ref="Z115:AA115" si="30">(1-Z62)*(1/(Z72+5)-1/(Z82+5))*Z92*(1-Z$100)*Z$101*24*Z$102/(Z105*10000)</f>
        <v>0</v>
      </c>
      <c r="AA115" s="1043">
        <f t="shared" si="30"/>
        <v>0</v>
      </c>
      <c r="AB115" s="1320">
        <v>0</v>
      </c>
      <c r="AC115" s="1320"/>
      <c r="AD115" s="1320"/>
      <c r="AE115" s="1320"/>
      <c r="AF115" s="1320"/>
      <c r="AG115" s="1320"/>
    </row>
    <row r="116" spans="2:33" hidden="1" outlineLevel="1" x14ac:dyDescent="0.25">
      <c r="B116" s="1148"/>
      <c r="C116" s="274"/>
      <c r="D116" s="3861"/>
      <c r="E116" s="483" t="s">
        <v>2179</v>
      </c>
      <c r="F116" s="1043">
        <f t="shared" si="26"/>
        <v>0.74541614486921526</v>
      </c>
      <c r="G116" s="1189" t="s">
        <v>731</v>
      </c>
      <c r="H116" s="1322"/>
      <c r="I116" s="1020"/>
      <c r="J116" s="1020"/>
      <c r="K116" s="1148"/>
      <c r="L116" s="1148"/>
      <c r="M116" s="1148"/>
      <c r="N116" s="1148"/>
      <c r="O116" s="1148"/>
      <c r="P116" s="1148"/>
      <c r="Q116" s="1148"/>
      <c r="V116" s="4025"/>
      <c r="W116" s="1320">
        <f t="shared" si="27"/>
        <v>535.87966654647892</v>
      </c>
      <c r="X116" s="1320">
        <f t="shared" si="27"/>
        <v>535.87966654647892</v>
      </c>
      <c r="Y116" s="1018">
        <f t="shared" si="27"/>
        <v>0.74541614486921526</v>
      </c>
      <c r="Z116" s="1043">
        <f t="shared" ref="Z116:AA116" si="31">(1-Z63)*(1/(Z73+5)-1/(Z83+5))*Z93*(1-Z$100)*Z$101*24*Z$102/(Z106*10000)</f>
        <v>0.74541614486921526</v>
      </c>
      <c r="AA116" s="1043">
        <f t="shared" si="31"/>
        <v>0.74541614486921526</v>
      </c>
      <c r="AB116" s="1320">
        <v>0.74541614486921526</v>
      </c>
      <c r="AC116" s="1320"/>
      <c r="AD116" s="1320"/>
      <c r="AE116" s="1320"/>
      <c r="AF116" s="1320"/>
      <c r="AG116" s="1320"/>
    </row>
    <row r="117" spans="2:33" hidden="1" outlineLevel="1" x14ac:dyDescent="0.25">
      <c r="B117" s="1148"/>
      <c r="C117" s="274"/>
      <c r="D117" s="3861"/>
      <c r="E117" s="483" t="s">
        <v>2180</v>
      </c>
      <c r="F117" s="1043">
        <f t="shared" si="26"/>
        <v>0</v>
      </c>
      <c r="G117" s="1189" t="s">
        <v>731</v>
      </c>
      <c r="H117" s="1322"/>
      <c r="I117" s="1020"/>
      <c r="J117" s="1020"/>
      <c r="K117" s="1148"/>
      <c r="L117" s="1148"/>
      <c r="M117" s="1148"/>
      <c r="N117" s="1148"/>
      <c r="O117" s="1148"/>
      <c r="P117" s="1148"/>
      <c r="Q117" s="1148"/>
      <c r="V117" s="4025"/>
      <c r="W117" s="1320">
        <f t="shared" si="27"/>
        <v>0</v>
      </c>
      <c r="X117" s="1320">
        <f t="shared" si="27"/>
        <v>0</v>
      </c>
      <c r="Y117" s="1018">
        <f t="shared" si="27"/>
        <v>0</v>
      </c>
      <c r="Z117" s="1043">
        <f t="shared" ref="Z117:AA117" si="32">(1-Z64)*(1/(Z74+5)-1/(Z84+5))*Z94*(1-Z$100)*Z$101*24*Z$102/(Z107*10000)</f>
        <v>0</v>
      </c>
      <c r="AA117" s="1043">
        <f t="shared" si="32"/>
        <v>0</v>
      </c>
      <c r="AB117" s="1320">
        <v>0</v>
      </c>
      <c r="AC117" s="1320"/>
      <c r="AD117" s="1320"/>
      <c r="AE117" s="1320"/>
      <c r="AF117" s="1320"/>
      <c r="AG117" s="1320"/>
    </row>
    <row r="118" spans="2:33" hidden="1" outlineLevel="1" x14ac:dyDescent="0.25">
      <c r="B118" s="1148"/>
      <c r="C118" s="274"/>
      <c r="D118" s="3861"/>
      <c r="E118" s="483" t="s">
        <v>2181</v>
      </c>
      <c r="F118" s="1043">
        <f t="shared" si="26"/>
        <v>0.8008889742548313</v>
      </c>
      <c r="G118" s="1189" t="s">
        <v>731</v>
      </c>
      <c r="H118" s="1322"/>
      <c r="I118" s="1020"/>
      <c r="J118" s="1020"/>
      <c r="K118" s="1148"/>
      <c r="L118" s="1148"/>
      <c r="M118" s="1148"/>
      <c r="N118" s="1148"/>
      <c r="O118" s="1148"/>
      <c r="P118" s="1148"/>
      <c r="Q118" s="1148"/>
      <c r="V118" s="4025"/>
      <c r="W118" s="1320">
        <f t="shared" si="27"/>
        <v>575.75908359179823</v>
      </c>
      <c r="X118" s="1320">
        <f t="shared" si="27"/>
        <v>575.75908359179823</v>
      </c>
      <c r="Y118" s="1018">
        <f t="shared" si="27"/>
        <v>0.8008889742548313</v>
      </c>
      <c r="Z118" s="1043">
        <f t="shared" ref="Z118:AA118" si="33">(1-Z65)*(1/(Z75+5)-1/(Z85+5))*Z95*(1-Z$100)*Z$101*24*Z$102/(Z108*10000)</f>
        <v>0.8008889742548313</v>
      </c>
      <c r="AA118" s="1043">
        <f t="shared" si="33"/>
        <v>0.8008889742548313</v>
      </c>
      <c r="AB118" s="1320">
        <v>0.8008889742548313</v>
      </c>
      <c r="AC118" s="1320"/>
      <c r="AD118" s="1320"/>
      <c r="AE118" s="1320"/>
      <c r="AF118" s="1320"/>
      <c r="AG118" s="1320"/>
    </row>
    <row r="119" spans="2:33" hidden="1" outlineLevel="1" x14ac:dyDescent="0.25">
      <c r="B119" s="1148"/>
      <c r="C119" s="274"/>
      <c r="D119" s="3861"/>
      <c r="E119" s="483" t="s">
        <v>2182</v>
      </c>
      <c r="F119" s="1043">
        <f t="shared" si="26"/>
        <v>0</v>
      </c>
      <c r="G119" s="1189" t="s">
        <v>731</v>
      </c>
      <c r="H119" s="1322"/>
      <c r="I119" s="1020"/>
      <c r="J119" s="1020"/>
      <c r="K119" s="1148"/>
      <c r="L119" s="1148"/>
      <c r="M119" s="1148"/>
      <c r="N119" s="1148"/>
      <c r="O119" s="1148"/>
      <c r="P119" s="1148"/>
      <c r="Q119" s="1148"/>
      <c r="V119" s="4025"/>
      <c r="W119" s="1320">
        <f t="shared" si="27"/>
        <v>0</v>
      </c>
      <c r="X119" s="1320">
        <f t="shared" si="27"/>
        <v>0</v>
      </c>
      <c r="Y119" s="1018">
        <f t="shared" si="27"/>
        <v>0</v>
      </c>
      <c r="Z119" s="1043">
        <f t="shared" ref="Z119:AA119" si="34">(1-Z66)*(1/(Z76+5)-1/(Z86+5))*Z96*(1-Z$100)*Z$101*24*Z$102/(Z109*10000)</f>
        <v>0</v>
      </c>
      <c r="AA119" s="1043">
        <f t="shared" si="34"/>
        <v>0</v>
      </c>
      <c r="AB119" s="1320">
        <v>0</v>
      </c>
      <c r="AC119" s="1320"/>
      <c r="AD119" s="1320"/>
      <c r="AE119" s="1320"/>
      <c r="AF119" s="1320"/>
      <c r="AG119" s="1320"/>
    </row>
    <row r="120" spans="2:33" hidden="1" outlineLevel="1" x14ac:dyDescent="0.25">
      <c r="B120" s="1148"/>
      <c r="C120" s="274"/>
      <c r="D120" s="3861"/>
      <c r="E120" s="483" t="s">
        <v>2183</v>
      </c>
      <c r="F120" s="1043">
        <f t="shared" si="26"/>
        <v>0.85032656525821604</v>
      </c>
      <c r="G120" s="1189" t="s">
        <v>731</v>
      </c>
      <c r="H120" s="1322"/>
      <c r="I120" s="1020"/>
      <c r="J120" s="1020"/>
      <c r="K120" s="1148"/>
      <c r="L120" s="1148"/>
      <c r="M120" s="1148"/>
      <c r="N120" s="1148"/>
      <c r="O120" s="1148"/>
      <c r="P120" s="1148"/>
      <c r="Q120" s="1148"/>
      <c r="V120" s="4025"/>
      <c r="W120" s="1320">
        <f t="shared" si="27"/>
        <v>611.29976776413139</v>
      </c>
      <c r="X120" s="1320">
        <f t="shared" si="27"/>
        <v>611.29976776413139</v>
      </c>
      <c r="Y120" s="1018">
        <f t="shared" si="27"/>
        <v>0.85032656525821604</v>
      </c>
      <c r="Z120" s="1043">
        <f t="shared" ref="Z120:AA120" si="35">(1-Z67)*(1/(Z77+5)-1/(Z87+5))*Z97*(1-Z$100)*Z$101*24*Z$102/(Z110*10000)</f>
        <v>0.85032656525821604</v>
      </c>
      <c r="AA120" s="1043">
        <f t="shared" si="35"/>
        <v>0.85032656525821604</v>
      </c>
      <c r="AB120" s="1320">
        <v>0.85032656525821604</v>
      </c>
      <c r="AC120" s="1320"/>
      <c r="AD120" s="1320"/>
      <c r="AE120" s="1320"/>
      <c r="AF120" s="1320"/>
      <c r="AG120" s="1320"/>
    </row>
    <row r="121" spans="2:33" hidden="1" outlineLevel="1" x14ac:dyDescent="0.25">
      <c r="B121" s="1148"/>
      <c r="C121" s="274"/>
      <c r="D121" s="3861"/>
      <c r="E121" s="483" t="s">
        <v>2184</v>
      </c>
      <c r="F121" s="1043">
        <f t="shared" si="26"/>
        <v>0</v>
      </c>
      <c r="G121" s="1189" t="s">
        <v>731</v>
      </c>
      <c r="H121" s="1322"/>
      <c r="I121" s="1020"/>
      <c r="J121" s="1020"/>
      <c r="K121" s="1148"/>
      <c r="L121" s="1148"/>
      <c r="M121" s="1148"/>
      <c r="N121" s="1148"/>
      <c r="O121" s="1148"/>
      <c r="P121" s="1148"/>
      <c r="Q121" s="1148"/>
      <c r="V121" s="4025"/>
      <c r="W121" s="1320">
        <f t="shared" si="27"/>
        <v>0</v>
      </c>
      <c r="X121" s="1320">
        <f t="shared" si="27"/>
        <v>0</v>
      </c>
      <c r="Y121" s="1018">
        <f t="shared" si="27"/>
        <v>0</v>
      </c>
      <c r="Z121" s="1043">
        <f t="shared" ref="Z121:AA121" si="36">(1-Z68)*(1/(Z78+5)-1/(Z88+5))*Z98*(1-Z$100)*Z$101*24*Z$102/(Z111*10000)</f>
        <v>0</v>
      </c>
      <c r="AA121" s="1043">
        <f t="shared" si="36"/>
        <v>0</v>
      </c>
      <c r="AB121" s="1320">
        <v>0</v>
      </c>
      <c r="AC121" s="1320"/>
      <c r="AD121" s="1320"/>
      <c r="AE121" s="1320"/>
      <c r="AF121" s="1320"/>
      <c r="AG121" s="1320"/>
    </row>
    <row r="122" spans="2:33" hidden="1" outlineLevel="1" x14ac:dyDescent="0.25">
      <c r="B122" s="1148"/>
      <c r="C122" s="274"/>
      <c r="D122" s="3861"/>
      <c r="E122" s="483" t="s">
        <v>2185</v>
      </c>
      <c r="F122" s="1043">
        <f t="shared" si="26"/>
        <v>0.88303143315276267</v>
      </c>
      <c r="G122" s="1189" t="s">
        <v>731</v>
      </c>
      <c r="H122" s="1322"/>
      <c r="I122" s="1020"/>
      <c r="J122" s="1020"/>
      <c r="K122" s="1148"/>
      <c r="L122" s="1148"/>
      <c r="M122" s="1148"/>
      <c r="N122" s="1148"/>
      <c r="O122" s="1148"/>
      <c r="P122" s="1148"/>
      <c r="Q122" s="1148"/>
      <c r="V122" s="4025"/>
      <c r="W122" s="1320">
        <f t="shared" si="27"/>
        <v>634.81129729352108</v>
      </c>
      <c r="X122" s="1320">
        <f t="shared" si="27"/>
        <v>634.81129729352108</v>
      </c>
      <c r="Y122" s="1018">
        <f t="shared" si="27"/>
        <v>0.88303143315276267</v>
      </c>
      <c r="Z122" s="1043">
        <f t="shared" ref="Z122:AA122" si="37">(1-Z69)*(1/(Z79+5)-1/(Z89+5))*Z99*(1-Z$100)*Z$101*24*Z$102/(Z112*10000)</f>
        <v>0.88303143315276267</v>
      </c>
      <c r="AA122" s="1043">
        <f t="shared" si="37"/>
        <v>0.88303143315276267</v>
      </c>
      <c r="AB122" s="1320">
        <v>0.88303143315276267</v>
      </c>
      <c r="AC122" s="1320"/>
      <c r="AD122" s="1320"/>
      <c r="AE122" s="1320"/>
      <c r="AF122" s="1320"/>
      <c r="AG122" s="1320"/>
    </row>
    <row r="123" spans="2:33" hidden="1" outlineLevel="1" x14ac:dyDescent="0.25">
      <c r="B123" s="1148"/>
      <c r="C123" s="274"/>
      <c r="D123" s="1463" t="s">
        <v>732</v>
      </c>
      <c r="E123" s="483" t="s">
        <v>591</v>
      </c>
      <c r="F123" s="1046">
        <v>3.1399999999999997E-2</v>
      </c>
      <c r="G123" s="1189" t="s">
        <v>714</v>
      </c>
      <c r="H123" s="1322"/>
      <c r="I123" s="1020"/>
      <c r="J123" s="1020"/>
      <c r="K123" s="1148"/>
      <c r="L123" s="1148"/>
      <c r="M123" s="1148"/>
      <c r="N123" s="1148"/>
      <c r="O123" s="1148"/>
      <c r="P123" s="1148"/>
      <c r="Q123" s="1148"/>
      <c r="V123" s="1019" t="str">
        <f>D123</f>
        <v>Fe</v>
      </c>
      <c r="W123" s="639">
        <v>3.1399999999999997E-2</v>
      </c>
      <c r="X123" s="639">
        <v>3.1399999999999997E-2</v>
      </c>
      <c r="Y123" s="1046">
        <v>3.1399999999999997E-2</v>
      </c>
      <c r="Z123" s="1046">
        <v>3.1399999999999997E-2</v>
      </c>
      <c r="AA123" s="1046">
        <v>3.1399999999999997E-2</v>
      </c>
      <c r="AB123" s="639">
        <v>3.1399999999999997E-2</v>
      </c>
      <c r="AC123" s="639"/>
      <c r="AD123" s="639"/>
      <c r="AE123" s="639"/>
      <c r="AF123" s="639"/>
      <c r="AG123" s="639"/>
    </row>
    <row r="124" spans="2:33" hidden="1" outlineLevel="1" x14ac:dyDescent="0.25">
      <c r="B124" s="1148"/>
      <c r="C124" s="274"/>
      <c r="D124" s="1463" t="s">
        <v>1655</v>
      </c>
      <c r="E124" s="483" t="s">
        <v>591</v>
      </c>
      <c r="F124" s="1321">
        <v>1646</v>
      </c>
      <c r="G124" s="1189" t="s">
        <v>736</v>
      </c>
      <c r="H124" s="1322" t="s">
        <v>1656</v>
      </c>
      <c r="I124" s="1020"/>
      <c r="J124" s="1020"/>
      <c r="K124" s="1148"/>
      <c r="L124" s="1148"/>
      <c r="M124" s="1148"/>
      <c r="N124" s="1148"/>
      <c r="O124" s="1148"/>
      <c r="P124" s="1148"/>
      <c r="Q124" s="1148"/>
      <c r="V124" s="1019" t="str">
        <f>D124</f>
        <v>CDD</v>
      </c>
      <c r="W124" s="1318">
        <v>1646</v>
      </c>
      <c r="X124" s="1318">
        <v>1646</v>
      </c>
      <c r="Y124" s="1321">
        <v>1646</v>
      </c>
      <c r="Z124" s="1321">
        <v>1646</v>
      </c>
      <c r="AA124" s="1321">
        <v>1646</v>
      </c>
      <c r="AB124" s="1318">
        <v>1646</v>
      </c>
      <c r="AC124" s="1318"/>
      <c r="AD124" s="1318"/>
      <c r="AE124" s="1318"/>
      <c r="AF124" s="1318"/>
      <c r="AG124" s="1318"/>
    </row>
    <row r="125" spans="2:33" hidden="1" outlineLevel="1" x14ac:dyDescent="0.25">
      <c r="B125" s="1148"/>
      <c r="C125" s="274"/>
      <c r="D125" s="1463" t="s">
        <v>1657</v>
      </c>
      <c r="E125" s="483" t="s">
        <v>591</v>
      </c>
      <c r="F125" s="1048">
        <v>0.75</v>
      </c>
      <c r="G125" s="1189" t="s">
        <v>714</v>
      </c>
      <c r="H125" s="1322"/>
      <c r="I125" s="1020"/>
      <c r="J125" s="1020"/>
      <c r="K125" s="1148"/>
      <c r="L125" s="1148"/>
      <c r="M125" s="1148"/>
      <c r="N125" s="1148"/>
      <c r="O125" s="1148"/>
      <c r="P125" s="1148"/>
      <c r="Q125" s="1148"/>
      <c r="V125" s="1019" t="str">
        <f>D125</f>
        <v>DUA</v>
      </c>
      <c r="W125" s="544">
        <v>0.75</v>
      </c>
      <c r="X125" s="544">
        <v>0.75</v>
      </c>
      <c r="Y125" s="1048">
        <v>0.75</v>
      </c>
      <c r="Z125" s="1048">
        <v>0.75</v>
      </c>
      <c r="AA125" s="1048">
        <v>0.75</v>
      </c>
      <c r="AB125" s="544">
        <v>0.75</v>
      </c>
      <c r="AC125" s="544"/>
      <c r="AD125" s="544"/>
      <c r="AE125" s="544"/>
      <c r="AF125" s="544"/>
      <c r="AG125" s="544"/>
    </row>
    <row r="126" spans="2:33" hidden="1" outlineLevel="1" x14ac:dyDescent="0.25">
      <c r="B126" s="1148"/>
      <c r="C126" s="274"/>
      <c r="D126" s="3839" t="s">
        <v>1658</v>
      </c>
      <c r="E126" s="483" t="s">
        <v>2176</v>
      </c>
      <c r="F126" s="1048">
        <v>0.91</v>
      </c>
      <c r="G126" s="1189" t="s">
        <v>714</v>
      </c>
      <c r="H126" s="1322" t="s">
        <v>1660</v>
      </c>
      <c r="I126" s="1020"/>
      <c r="J126" s="1020"/>
      <c r="K126" s="1148"/>
      <c r="L126" s="1148"/>
      <c r="M126" s="1148"/>
      <c r="N126" s="1148"/>
      <c r="O126" s="1148"/>
      <c r="P126" s="1148"/>
      <c r="Q126" s="1148"/>
      <c r="V126" s="3841" t="str">
        <f>D126</f>
        <v>%cool</v>
      </c>
      <c r="W126" s="544">
        <v>0.91</v>
      </c>
      <c r="X126" s="544">
        <v>0.91</v>
      </c>
      <c r="Y126" s="1048">
        <v>0.91</v>
      </c>
      <c r="Z126" s="1048">
        <v>0.91</v>
      </c>
      <c r="AA126" s="1048">
        <v>0.91</v>
      </c>
      <c r="AB126" s="544">
        <v>0.91</v>
      </c>
      <c r="AC126" s="544"/>
      <c r="AD126" s="544"/>
      <c r="AE126" s="544"/>
      <c r="AF126" s="544"/>
      <c r="AG126" s="544"/>
    </row>
    <row r="127" spans="2:33" hidden="1" outlineLevel="1" x14ac:dyDescent="0.25">
      <c r="B127" s="1148"/>
      <c r="C127" s="274"/>
      <c r="D127" s="3840"/>
      <c r="E127" s="483" t="s">
        <v>2177</v>
      </c>
      <c r="F127" s="1048">
        <v>1</v>
      </c>
      <c r="G127" s="1189" t="s">
        <v>743</v>
      </c>
      <c r="H127" s="1322" t="s">
        <v>1660</v>
      </c>
      <c r="I127" s="1020"/>
      <c r="J127" s="1020"/>
      <c r="K127" s="1148"/>
      <c r="L127" s="1148"/>
      <c r="M127" s="1148"/>
      <c r="N127" s="1148"/>
      <c r="O127" s="1148"/>
      <c r="P127" s="1148"/>
      <c r="Q127" s="1148"/>
      <c r="V127" s="3842"/>
      <c r="W127" s="544">
        <v>1</v>
      </c>
      <c r="X127" s="544">
        <v>1</v>
      </c>
      <c r="Y127" s="1048">
        <v>1</v>
      </c>
      <c r="Z127" s="1048">
        <v>1</v>
      </c>
      <c r="AA127" s="1048">
        <v>1</v>
      </c>
      <c r="AB127" s="544">
        <v>1</v>
      </c>
      <c r="AC127" s="544"/>
      <c r="AD127" s="544"/>
      <c r="AE127" s="544"/>
      <c r="AF127" s="544"/>
      <c r="AG127" s="544"/>
    </row>
    <row r="128" spans="2:33" hidden="1" outlineLevel="1" x14ac:dyDescent="0.25">
      <c r="B128" s="1148"/>
      <c r="C128" s="274"/>
      <c r="D128" s="3840"/>
      <c r="E128" s="483" t="s">
        <v>2178</v>
      </c>
      <c r="F128" s="1048">
        <v>0.91</v>
      </c>
      <c r="G128" s="1189" t="s">
        <v>714</v>
      </c>
      <c r="H128" s="1322" t="s">
        <v>1660</v>
      </c>
      <c r="I128" s="1020"/>
      <c r="J128" s="1020"/>
      <c r="K128" s="1148"/>
      <c r="L128" s="1148"/>
      <c r="M128" s="1148"/>
      <c r="N128" s="1148"/>
      <c r="O128" s="1148"/>
      <c r="P128" s="1148"/>
      <c r="Q128" s="1148"/>
      <c r="V128" s="3842"/>
      <c r="W128" s="544">
        <v>0.91</v>
      </c>
      <c r="X128" s="544">
        <v>0.91</v>
      </c>
      <c r="Y128" s="1048">
        <v>0.91</v>
      </c>
      <c r="Z128" s="1048">
        <v>0.91</v>
      </c>
      <c r="AA128" s="1048">
        <v>0.91</v>
      </c>
      <c r="AB128" s="544">
        <v>0.91</v>
      </c>
      <c r="AC128" s="544"/>
      <c r="AD128" s="544"/>
      <c r="AE128" s="544"/>
      <c r="AF128" s="544"/>
      <c r="AG128" s="544"/>
    </row>
    <row r="129" spans="2:33" hidden="1" outlineLevel="1" x14ac:dyDescent="0.25">
      <c r="B129" s="1148"/>
      <c r="C129" s="274"/>
      <c r="D129" s="3840"/>
      <c r="E129" s="483" t="s">
        <v>2179</v>
      </c>
      <c r="F129" s="1048">
        <v>1</v>
      </c>
      <c r="G129" s="1189" t="s">
        <v>714</v>
      </c>
      <c r="H129" s="1322" t="s">
        <v>1660</v>
      </c>
      <c r="I129" s="1020"/>
      <c r="J129" s="1020"/>
      <c r="K129" s="1148"/>
      <c r="L129" s="1148"/>
      <c r="M129" s="1148"/>
      <c r="N129" s="1148"/>
      <c r="O129" s="1148"/>
      <c r="P129" s="1148"/>
      <c r="Q129" s="1148"/>
      <c r="V129" s="3842"/>
      <c r="W129" s="544">
        <v>1</v>
      </c>
      <c r="X129" s="544">
        <v>1</v>
      </c>
      <c r="Y129" s="1048">
        <v>1</v>
      </c>
      <c r="Z129" s="1048">
        <v>1</v>
      </c>
      <c r="AA129" s="1048">
        <v>1</v>
      </c>
      <c r="AB129" s="544">
        <v>1</v>
      </c>
      <c r="AC129" s="544"/>
      <c r="AD129" s="544"/>
      <c r="AE129" s="544"/>
      <c r="AF129" s="544"/>
      <c r="AG129" s="544"/>
    </row>
    <row r="130" spans="2:33" hidden="1" outlineLevel="1" x14ac:dyDescent="0.25">
      <c r="B130" s="1148"/>
      <c r="C130" s="274"/>
      <c r="D130" s="3840"/>
      <c r="E130" s="483" t="s">
        <v>2180</v>
      </c>
      <c r="F130" s="1048">
        <v>0.91</v>
      </c>
      <c r="G130" s="1189" t="s">
        <v>714</v>
      </c>
      <c r="H130" s="1322" t="s">
        <v>1660</v>
      </c>
      <c r="I130" s="1020"/>
      <c r="J130" s="1020"/>
      <c r="K130" s="1148"/>
      <c r="L130" s="1148"/>
      <c r="M130" s="1148"/>
      <c r="N130" s="1148"/>
      <c r="O130" s="1148"/>
      <c r="P130" s="1148"/>
      <c r="Q130" s="1148"/>
      <c r="V130" s="3842"/>
      <c r="W130" s="544">
        <v>0.91</v>
      </c>
      <c r="X130" s="544">
        <v>0.91</v>
      </c>
      <c r="Y130" s="1048">
        <v>0.91</v>
      </c>
      <c r="Z130" s="1048">
        <v>0.91</v>
      </c>
      <c r="AA130" s="1048">
        <v>0.91</v>
      </c>
      <c r="AB130" s="544">
        <v>0.91</v>
      </c>
      <c r="AC130" s="544"/>
      <c r="AD130" s="544"/>
      <c r="AE130" s="544"/>
      <c r="AF130" s="544"/>
      <c r="AG130" s="544"/>
    </row>
    <row r="131" spans="2:33" hidden="1" outlineLevel="1" x14ac:dyDescent="0.25">
      <c r="B131" s="1148"/>
      <c r="C131" s="274"/>
      <c r="D131" s="3840"/>
      <c r="E131" s="483" t="s">
        <v>2181</v>
      </c>
      <c r="F131" s="1048">
        <v>1</v>
      </c>
      <c r="G131" s="1189" t="s">
        <v>714</v>
      </c>
      <c r="H131" s="1322" t="s">
        <v>1660</v>
      </c>
      <c r="I131" s="1020"/>
      <c r="J131" s="1020"/>
      <c r="K131" s="1148"/>
      <c r="L131" s="1148"/>
      <c r="M131" s="1148"/>
      <c r="N131" s="1148"/>
      <c r="O131" s="1148"/>
      <c r="P131" s="1148"/>
      <c r="Q131" s="1148"/>
      <c r="V131" s="3842"/>
      <c r="W131" s="544">
        <v>1</v>
      </c>
      <c r="X131" s="544">
        <v>1</v>
      </c>
      <c r="Y131" s="1048">
        <v>1</v>
      </c>
      <c r="Z131" s="1048">
        <v>1</v>
      </c>
      <c r="AA131" s="1048">
        <v>1</v>
      </c>
      <c r="AB131" s="544">
        <v>1</v>
      </c>
      <c r="AC131" s="544"/>
      <c r="AD131" s="544"/>
      <c r="AE131" s="544"/>
      <c r="AF131" s="544"/>
      <c r="AG131" s="544"/>
    </row>
    <row r="132" spans="2:33" hidden="1" outlineLevel="1" x14ac:dyDescent="0.25">
      <c r="B132" s="1148"/>
      <c r="C132" s="274"/>
      <c r="D132" s="3840"/>
      <c r="E132" s="483" t="s">
        <v>2182</v>
      </c>
      <c r="F132" s="1048">
        <v>0.91</v>
      </c>
      <c r="G132" s="1189" t="s">
        <v>714</v>
      </c>
      <c r="H132" s="1322" t="s">
        <v>1660</v>
      </c>
      <c r="I132" s="1020"/>
      <c r="J132" s="1020"/>
      <c r="K132" s="1148"/>
      <c r="L132" s="1148"/>
      <c r="M132" s="1148"/>
      <c r="N132" s="1148"/>
      <c r="O132" s="1148"/>
      <c r="P132" s="1148"/>
      <c r="Q132" s="1148"/>
      <c r="V132" s="3842"/>
      <c r="W132" s="544">
        <v>0.91</v>
      </c>
      <c r="X132" s="544">
        <v>0.91</v>
      </c>
      <c r="Y132" s="1048">
        <v>0.91</v>
      </c>
      <c r="Z132" s="1048">
        <v>0.91</v>
      </c>
      <c r="AA132" s="1048">
        <v>0.91</v>
      </c>
      <c r="AB132" s="544">
        <v>0.91</v>
      </c>
      <c r="AC132" s="544"/>
      <c r="AD132" s="544"/>
      <c r="AE132" s="544"/>
      <c r="AF132" s="544"/>
      <c r="AG132" s="544"/>
    </row>
    <row r="133" spans="2:33" hidden="1" outlineLevel="1" x14ac:dyDescent="0.25">
      <c r="B133" s="1148"/>
      <c r="C133" s="274"/>
      <c r="D133" s="3840"/>
      <c r="E133" s="483" t="s">
        <v>2183</v>
      </c>
      <c r="F133" s="1048">
        <v>1</v>
      </c>
      <c r="G133" s="1189" t="s">
        <v>714</v>
      </c>
      <c r="H133" s="1322" t="s">
        <v>1660</v>
      </c>
      <c r="I133" s="1020"/>
      <c r="J133" s="1020"/>
      <c r="K133" s="1148"/>
      <c r="L133" s="1148"/>
      <c r="M133" s="1148"/>
      <c r="N133" s="1148"/>
      <c r="O133" s="1148"/>
      <c r="P133" s="1148"/>
      <c r="Q133" s="1148"/>
      <c r="V133" s="3842"/>
      <c r="W133" s="544">
        <v>1</v>
      </c>
      <c r="X133" s="544">
        <v>1</v>
      </c>
      <c r="Y133" s="1048">
        <v>1</v>
      </c>
      <c r="Z133" s="1048">
        <v>1</v>
      </c>
      <c r="AA133" s="1048">
        <v>1</v>
      </c>
      <c r="AB133" s="544">
        <v>1</v>
      </c>
      <c r="AC133" s="544"/>
      <c r="AD133" s="544"/>
      <c r="AE133" s="544"/>
      <c r="AF133" s="544"/>
      <c r="AG133" s="544"/>
    </row>
    <row r="134" spans="2:33" hidden="1" outlineLevel="1" x14ac:dyDescent="0.25">
      <c r="B134" s="1148"/>
      <c r="C134" s="274"/>
      <c r="D134" s="3840"/>
      <c r="E134" s="483" t="s">
        <v>2184</v>
      </c>
      <c r="F134" s="1048">
        <v>0.91</v>
      </c>
      <c r="G134" s="1189" t="s">
        <v>714</v>
      </c>
      <c r="H134" s="1322" t="s">
        <v>1660</v>
      </c>
      <c r="I134" s="1020"/>
      <c r="J134" s="1020"/>
      <c r="K134" s="1148"/>
      <c r="L134" s="1148"/>
      <c r="M134" s="1148"/>
      <c r="N134" s="1148"/>
      <c r="O134" s="1148"/>
      <c r="P134" s="1148"/>
      <c r="Q134" s="1148"/>
      <c r="V134" s="3842"/>
      <c r="W134" s="544">
        <v>0.91</v>
      </c>
      <c r="X134" s="544">
        <v>0.91</v>
      </c>
      <c r="Y134" s="1048">
        <v>0.91</v>
      </c>
      <c r="Z134" s="1048">
        <v>0.91</v>
      </c>
      <c r="AA134" s="1048">
        <v>0.91</v>
      </c>
      <c r="AB134" s="544">
        <v>0.91</v>
      </c>
      <c r="AC134" s="544"/>
      <c r="AD134" s="544"/>
      <c r="AE134" s="544"/>
      <c r="AF134" s="544"/>
      <c r="AG134" s="544"/>
    </row>
    <row r="135" spans="2:33" hidden="1" outlineLevel="1" x14ac:dyDescent="0.25">
      <c r="B135" s="1148"/>
      <c r="C135" s="274"/>
      <c r="D135" s="3840"/>
      <c r="E135" s="483" t="s">
        <v>2185</v>
      </c>
      <c r="F135" s="1048">
        <v>1</v>
      </c>
      <c r="G135" s="1189" t="s">
        <v>714</v>
      </c>
      <c r="H135" s="1322" t="s">
        <v>1660</v>
      </c>
      <c r="I135" s="1020"/>
      <c r="J135" s="1020"/>
      <c r="K135" s="1148"/>
      <c r="L135" s="1148"/>
      <c r="M135" s="1148"/>
      <c r="N135" s="1148"/>
      <c r="O135" s="1148"/>
      <c r="P135" s="1148"/>
      <c r="Q135" s="1148"/>
      <c r="V135" s="3842"/>
      <c r="W135" s="544">
        <v>1</v>
      </c>
      <c r="X135" s="544">
        <v>1</v>
      </c>
      <c r="Y135" s="1048">
        <v>1</v>
      </c>
      <c r="Z135" s="1048">
        <v>1</v>
      </c>
      <c r="AA135" s="1048">
        <v>1</v>
      </c>
      <c r="AB135" s="544">
        <v>1</v>
      </c>
      <c r="AC135" s="544"/>
      <c r="AD135" s="544"/>
      <c r="AE135" s="544"/>
      <c r="AF135" s="544"/>
      <c r="AG135" s="544"/>
    </row>
    <row r="136" spans="2:33" hidden="1" outlineLevel="1" x14ac:dyDescent="0.25">
      <c r="B136" s="1148"/>
      <c r="C136" s="274"/>
      <c r="D136" s="3839" t="s">
        <v>1661</v>
      </c>
      <c r="E136" s="483" t="s">
        <v>2176</v>
      </c>
      <c r="F136" s="1321">
        <v>11</v>
      </c>
      <c r="G136" s="1322" t="s">
        <v>1645</v>
      </c>
      <c r="H136" s="4026" t="s">
        <v>717</v>
      </c>
      <c r="I136" s="1020"/>
      <c r="J136" s="1020"/>
      <c r="K136" s="1148"/>
      <c r="L136" s="1148"/>
      <c r="M136" s="1148"/>
      <c r="N136" s="1148"/>
      <c r="O136" s="1148"/>
      <c r="P136" s="1148"/>
      <c r="Q136" s="1148"/>
      <c r="V136" s="3839" t="str">
        <f>D136</f>
        <v>ƞcool</v>
      </c>
      <c r="W136" s="1318">
        <v>11</v>
      </c>
      <c r="X136" s="1318">
        <v>11</v>
      </c>
      <c r="Y136" s="1321">
        <v>11</v>
      </c>
      <c r="Z136" s="1321">
        <v>11</v>
      </c>
      <c r="AA136" s="1321">
        <v>11</v>
      </c>
      <c r="AB136" s="1318">
        <v>11</v>
      </c>
      <c r="AC136" s="1318"/>
      <c r="AD136" s="1318"/>
      <c r="AE136" s="1318"/>
      <c r="AF136" s="1318"/>
      <c r="AG136" s="1318"/>
    </row>
    <row r="137" spans="2:33" hidden="1" outlineLevel="1" x14ac:dyDescent="0.25">
      <c r="B137" s="1148"/>
      <c r="C137" s="274"/>
      <c r="D137" s="3840"/>
      <c r="E137" s="483" t="s">
        <v>2177</v>
      </c>
      <c r="F137" s="1321">
        <v>11</v>
      </c>
      <c r="G137" s="1322" t="s">
        <v>1645</v>
      </c>
      <c r="H137" s="4027" t="s">
        <v>1645</v>
      </c>
      <c r="I137" s="1020"/>
      <c r="J137" s="1020"/>
      <c r="K137" s="1148"/>
      <c r="L137" s="1148"/>
      <c r="M137" s="1148"/>
      <c r="N137" s="1148"/>
      <c r="O137" s="1148"/>
      <c r="P137" s="1148"/>
      <c r="Q137" s="1148"/>
      <c r="V137" s="3840"/>
      <c r="W137" s="1318">
        <v>11</v>
      </c>
      <c r="X137" s="1318">
        <v>11</v>
      </c>
      <c r="Y137" s="1321">
        <v>11</v>
      </c>
      <c r="Z137" s="1321">
        <v>11</v>
      </c>
      <c r="AA137" s="1321">
        <v>11</v>
      </c>
      <c r="AB137" s="1318">
        <v>11</v>
      </c>
      <c r="AC137" s="1318"/>
      <c r="AD137" s="1318"/>
      <c r="AE137" s="1318"/>
      <c r="AF137" s="1318"/>
      <c r="AG137" s="1318"/>
    </row>
    <row r="138" spans="2:33" hidden="1" outlineLevel="1" x14ac:dyDescent="0.25">
      <c r="B138" s="1148"/>
      <c r="C138" s="274"/>
      <c r="D138" s="3840"/>
      <c r="E138" s="483" t="s">
        <v>2178</v>
      </c>
      <c r="F138" s="1321">
        <v>11</v>
      </c>
      <c r="G138" s="1322" t="s">
        <v>1645</v>
      </c>
      <c r="H138" s="4027"/>
      <c r="I138" s="1020"/>
      <c r="J138" s="1020"/>
      <c r="K138" s="1148"/>
      <c r="L138" s="1148"/>
      <c r="M138" s="1148"/>
      <c r="N138" s="1148"/>
      <c r="O138" s="1148"/>
      <c r="P138" s="1148"/>
      <c r="Q138" s="1148"/>
      <c r="V138" s="3840"/>
      <c r="W138" s="1318">
        <v>11</v>
      </c>
      <c r="X138" s="1318">
        <v>11</v>
      </c>
      <c r="Y138" s="1321">
        <v>11</v>
      </c>
      <c r="Z138" s="1321">
        <v>11</v>
      </c>
      <c r="AA138" s="1321">
        <v>11</v>
      </c>
      <c r="AB138" s="1318">
        <v>11</v>
      </c>
      <c r="AC138" s="1318"/>
      <c r="AD138" s="1318"/>
      <c r="AE138" s="1318"/>
      <c r="AF138" s="1318"/>
      <c r="AG138" s="1318"/>
    </row>
    <row r="139" spans="2:33" hidden="1" outlineLevel="1" x14ac:dyDescent="0.25">
      <c r="B139" s="1148"/>
      <c r="C139" s="274"/>
      <c r="D139" s="3840"/>
      <c r="E139" s="483" t="s">
        <v>2179</v>
      </c>
      <c r="F139" s="1321">
        <v>11</v>
      </c>
      <c r="G139" s="1322" t="s">
        <v>1645</v>
      </c>
      <c r="H139" s="4027" t="s">
        <v>1645</v>
      </c>
      <c r="I139" s="1020"/>
      <c r="J139" s="1020"/>
      <c r="K139" s="1148"/>
      <c r="L139" s="1148"/>
      <c r="M139" s="1148"/>
      <c r="N139" s="1148"/>
      <c r="O139" s="1148"/>
      <c r="P139" s="1148"/>
      <c r="Q139" s="1148"/>
      <c r="V139" s="3840"/>
      <c r="W139" s="1318">
        <v>11</v>
      </c>
      <c r="X139" s="1318">
        <v>11</v>
      </c>
      <c r="Y139" s="1321">
        <v>11</v>
      </c>
      <c r="Z139" s="1321">
        <v>11</v>
      </c>
      <c r="AA139" s="1321">
        <v>11</v>
      </c>
      <c r="AB139" s="1318">
        <v>11</v>
      </c>
      <c r="AC139" s="1318"/>
      <c r="AD139" s="1318"/>
      <c r="AE139" s="1318"/>
      <c r="AF139" s="1318"/>
      <c r="AG139" s="1318"/>
    </row>
    <row r="140" spans="2:33" hidden="1" outlineLevel="1" x14ac:dyDescent="0.25">
      <c r="B140" s="1148"/>
      <c r="C140" s="274"/>
      <c r="D140" s="3840"/>
      <c r="E140" s="483" t="s">
        <v>2180</v>
      </c>
      <c r="F140" s="1321">
        <v>11</v>
      </c>
      <c r="G140" s="1322" t="s">
        <v>1645</v>
      </c>
      <c r="H140" s="4027"/>
      <c r="I140" s="1020"/>
      <c r="J140" s="1020"/>
      <c r="K140" s="1148"/>
      <c r="L140" s="1148"/>
      <c r="M140" s="1148"/>
      <c r="N140" s="1148"/>
      <c r="O140" s="1148"/>
      <c r="P140" s="1148"/>
      <c r="Q140" s="1148"/>
      <c r="V140" s="3840"/>
      <c r="W140" s="1318">
        <v>11</v>
      </c>
      <c r="X140" s="1318">
        <v>11</v>
      </c>
      <c r="Y140" s="1321">
        <v>11</v>
      </c>
      <c r="Z140" s="1321">
        <v>11</v>
      </c>
      <c r="AA140" s="1321">
        <v>11</v>
      </c>
      <c r="AB140" s="1318">
        <v>11</v>
      </c>
      <c r="AC140" s="1318"/>
      <c r="AD140" s="1318"/>
      <c r="AE140" s="1318"/>
      <c r="AF140" s="1318"/>
      <c r="AG140" s="1318"/>
    </row>
    <row r="141" spans="2:33" hidden="1" outlineLevel="1" x14ac:dyDescent="0.25">
      <c r="B141" s="1148"/>
      <c r="C141" s="274"/>
      <c r="D141" s="3840"/>
      <c r="E141" s="483" t="s">
        <v>2181</v>
      </c>
      <c r="F141" s="1321">
        <v>11</v>
      </c>
      <c r="G141" s="1322" t="s">
        <v>1645</v>
      </c>
      <c r="H141" s="4027" t="s">
        <v>1645</v>
      </c>
      <c r="I141" s="1020"/>
      <c r="J141" s="1020"/>
      <c r="K141" s="1148"/>
      <c r="L141" s="1148"/>
      <c r="M141" s="1148"/>
      <c r="N141" s="1148"/>
      <c r="O141" s="1148"/>
      <c r="P141" s="1148"/>
      <c r="Q141" s="1148"/>
      <c r="V141" s="3840"/>
      <c r="W141" s="1318">
        <v>11</v>
      </c>
      <c r="X141" s="1318">
        <v>11</v>
      </c>
      <c r="Y141" s="1321">
        <v>11</v>
      </c>
      <c r="Z141" s="1321">
        <v>11</v>
      </c>
      <c r="AA141" s="1321">
        <v>11</v>
      </c>
      <c r="AB141" s="1318">
        <v>11</v>
      </c>
      <c r="AC141" s="1318"/>
      <c r="AD141" s="1318"/>
      <c r="AE141" s="1318"/>
      <c r="AF141" s="1318"/>
      <c r="AG141" s="1318"/>
    </row>
    <row r="142" spans="2:33" hidden="1" outlineLevel="1" x14ac:dyDescent="0.25">
      <c r="B142" s="1148"/>
      <c r="C142" s="274"/>
      <c r="D142" s="3840"/>
      <c r="E142" s="483" t="s">
        <v>2182</v>
      </c>
      <c r="F142" s="1321">
        <v>11</v>
      </c>
      <c r="G142" s="1322" t="s">
        <v>1645</v>
      </c>
      <c r="H142" s="4027"/>
      <c r="I142" s="1020"/>
      <c r="J142" s="1020"/>
      <c r="K142" s="1148"/>
      <c r="L142" s="1148"/>
      <c r="M142" s="1148"/>
      <c r="N142" s="1148"/>
      <c r="O142" s="1148"/>
      <c r="P142" s="1148"/>
      <c r="Q142" s="1148"/>
      <c r="V142" s="3840"/>
      <c r="W142" s="1318">
        <v>11</v>
      </c>
      <c r="X142" s="1318">
        <v>11</v>
      </c>
      <c r="Y142" s="1321">
        <v>11</v>
      </c>
      <c r="Z142" s="1321">
        <v>11</v>
      </c>
      <c r="AA142" s="1321">
        <v>11</v>
      </c>
      <c r="AB142" s="1318">
        <v>11</v>
      </c>
      <c r="AC142" s="1318"/>
      <c r="AD142" s="1318"/>
      <c r="AE142" s="1318"/>
      <c r="AF142" s="1318"/>
      <c r="AG142" s="1318"/>
    </row>
    <row r="143" spans="2:33" hidden="1" outlineLevel="1" x14ac:dyDescent="0.25">
      <c r="B143" s="1148"/>
      <c r="C143" s="274"/>
      <c r="D143" s="3840"/>
      <c r="E143" s="483" t="s">
        <v>2183</v>
      </c>
      <c r="F143" s="1321">
        <v>11</v>
      </c>
      <c r="G143" s="1322" t="s">
        <v>1645</v>
      </c>
      <c r="H143" s="4027" t="s">
        <v>1645</v>
      </c>
      <c r="I143" s="1020"/>
      <c r="J143" s="1020"/>
      <c r="K143" s="1148"/>
      <c r="L143" s="1148"/>
      <c r="M143" s="1148"/>
      <c r="N143" s="1148"/>
      <c r="O143" s="1148"/>
      <c r="P143" s="1148"/>
      <c r="Q143" s="1148"/>
      <c r="V143" s="3840"/>
      <c r="W143" s="1318">
        <v>11</v>
      </c>
      <c r="X143" s="1318">
        <v>11</v>
      </c>
      <c r="Y143" s="1321">
        <v>11</v>
      </c>
      <c r="Z143" s="1321">
        <v>11</v>
      </c>
      <c r="AA143" s="1321">
        <v>11</v>
      </c>
      <c r="AB143" s="1318">
        <v>11</v>
      </c>
      <c r="AC143" s="1318"/>
      <c r="AD143" s="1318"/>
      <c r="AE143" s="1318"/>
      <c r="AF143" s="1318"/>
      <c r="AG143" s="1318"/>
    </row>
    <row r="144" spans="2:33" hidden="1" outlineLevel="1" x14ac:dyDescent="0.25">
      <c r="B144" s="1148"/>
      <c r="C144" s="274"/>
      <c r="D144" s="3840"/>
      <c r="E144" s="483" t="s">
        <v>2184</v>
      </c>
      <c r="F144" s="1321">
        <v>11</v>
      </c>
      <c r="G144" s="1322" t="s">
        <v>1645</v>
      </c>
      <c r="H144" s="4027"/>
      <c r="I144" s="1020"/>
      <c r="J144" s="1020"/>
      <c r="K144" s="1148"/>
      <c r="L144" s="1148"/>
      <c r="M144" s="1148"/>
      <c r="N144" s="1148"/>
      <c r="O144" s="1148"/>
      <c r="P144" s="1148"/>
      <c r="Q144" s="1148"/>
      <c r="V144" s="3840"/>
      <c r="W144" s="1318">
        <v>11</v>
      </c>
      <c r="X144" s="1318">
        <v>11</v>
      </c>
      <c r="Y144" s="1321">
        <v>11</v>
      </c>
      <c r="Z144" s="1321">
        <v>11</v>
      </c>
      <c r="AA144" s="1321">
        <v>11</v>
      </c>
      <c r="AB144" s="1318">
        <v>11</v>
      </c>
      <c r="AC144" s="1318"/>
      <c r="AD144" s="1318"/>
      <c r="AE144" s="1318"/>
      <c r="AF144" s="1318"/>
      <c r="AG144" s="1318"/>
    </row>
    <row r="145" spans="2:35" hidden="1" outlineLevel="1" x14ac:dyDescent="0.25">
      <c r="B145" s="1148"/>
      <c r="C145" s="274"/>
      <c r="D145" s="3851"/>
      <c r="E145" s="483" t="s">
        <v>2185</v>
      </c>
      <c r="F145" s="1321">
        <v>11</v>
      </c>
      <c r="G145" s="1322" t="s">
        <v>1645</v>
      </c>
      <c r="H145" s="4028" t="s">
        <v>1645</v>
      </c>
      <c r="I145" s="1020"/>
      <c r="J145" s="1020"/>
      <c r="K145" s="1148"/>
      <c r="L145" s="1148"/>
      <c r="M145" s="1148"/>
      <c r="N145" s="1148"/>
      <c r="O145" s="1148"/>
      <c r="P145" s="1148"/>
      <c r="Q145" s="1148"/>
      <c r="V145" s="3851"/>
      <c r="W145" s="1318">
        <v>11</v>
      </c>
      <c r="X145" s="1318">
        <v>11</v>
      </c>
      <c r="Y145" s="1321">
        <v>11</v>
      </c>
      <c r="Z145" s="1321">
        <v>11</v>
      </c>
      <c r="AA145" s="1321">
        <v>11</v>
      </c>
      <c r="AB145" s="1318">
        <v>11</v>
      </c>
      <c r="AC145" s="1318"/>
      <c r="AD145" s="1318"/>
      <c r="AE145" s="1318"/>
      <c r="AF145" s="1318"/>
      <c r="AG145" s="1318"/>
    </row>
    <row r="146" spans="2:35" hidden="1" outlineLevel="1" x14ac:dyDescent="0.25">
      <c r="B146" s="1148"/>
      <c r="C146" s="274"/>
      <c r="D146" s="1462" t="str">
        <f>$D$30</f>
        <v>EUL</v>
      </c>
      <c r="E146" s="483"/>
      <c r="F146" s="1321">
        <v>25</v>
      </c>
      <c r="G146" s="1189"/>
      <c r="H146" s="1322"/>
      <c r="I146" s="1020"/>
      <c r="J146" s="1020"/>
      <c r="K146" s="1148"/>
      <c r="L146" s="1148"/>
      <c r="M146" s="1148"/>
      <c r="N146" s="1148"/>
      <c r="O146" s="1148"/>
      <c r="P146" s="1148"/>
      <c r="Q146" s="1148"/>
      <c r="V146" s="1319" t="str">
        <f>D146</f>
        <v>EUL</v>
      </c>
      <c r="W146" s="1321">
        <v>25</v>
      </c>
      <c r="X146" s="1321">
        <v>25</v>
      </c>
      <c r="Y146" s="1321">
        <v>25</v>
      </c>
      <c r="Z146" s="1321">
        <v>25</v>
      </c>
      <c r="AA146" s="1321">
        <v>25</v>
      </c>
      <c r="AB146" s="2855">
        <v>25</v>
      </c>
      <c r="AC146" s="544"/>
      <c r="AD146" s="544"/>
      <c r="AE146" s="544"/>
      <c r="AF146" s="544"/>
      <c r="AG146" s="544"/>
    </row>
    <row r="147" spans="2:35" hidden="1" outlineLevel="1" x14ac:dyDescent="0.25">
      <c r="B147" s="1148"/>
      <c r="C147" s="274"/>
      <c r="D147" s="4031" t="str">
        <f>$D$31</f>
        <v>Inc. Cost</v>
      </c>
      <c r="E147" s="483"/>
      <c r="F147" s="1316">
        <f>1860.46/875.55</f>
        <v>2.1249043458397581</v>
      </c>
      <c r="G147" s="4026" t="s">
        <v>1580</v>
      </c>
      <c r="H147" s="1322" t="str">
        <f>CONCATENATE("Avg. size home ",I147," sq.ft.")</f>
        <v>Avg. size home 875.55 sq.ft.</v>
      </c>
      <c r="I147" s="490">
        <v>875.55000000000007</v>
      </c>
      <c r="J147" s="1020"/>
      <c r="K147" s="1148"/>
      <c r="L147" s="1148"/>
      <c r="M147" s="1148"/>
      <c r="N147" s="1148"/>
      <c r="O147" s="1148"/>
      <c r="P147" s="1148"/>
      <c r="Q147" s="1148"/>
      <c r="V147" s="4032" t="str">
        <f>D147</f>
        <v>Inc. Cost</v>
      </c>
      <c r="W147" s="1316">
        <v>1860.46</v>
      </c>
      <c r="X147" s="1316">
        <v>1860.46</v>
      </c>
      <c r="Y147" s="2026">
        <f>1860.46/875.55</f>
        <v>2.1249043458397581</v>
      </c>
      <c r="Z147" s="1316">
        <f t="shared" ref="Z147:AA148" si="38">1860.46/875.55</f>
        <v>2.1249043458397581</v>
      </c>
      <c r="AA147" s="1316">
        <f t="shared" si="38"/>
        <v>2.1249043458397581</v>
      </c>
      <c r="AB147" s="733">
        <v>2.1249043458397581</v>
      </c>
      <c r="AC147" s="544"/>
      <c r="AD147" s="544"/>
      <c r="AE147" s="544"/>
      <c r="AF147" s="544"/>
      <c r="AG147" s="544"/>
    </row>
    <row r="148" spans="2:35" hidden="1" outlineLevel="1" x14ac:dyDescent="0.25">
      <c r="B148" s="1148"/>
      <c r="C148" s="274"/>
      <c r="D148" s="4032"/>
      <c r="E148" s="483"/>
      <c r="F148" s="1316">
        <f>1860.46/875.55</f>
        <v>2.1249043458397581</v>
      </c>
      <c r="G148" s="4027"/>
      <c r="H148" s="1322" t="str">
        <f t="shared" ref="H148:H156" si="39">CONCATENATE("Avg. size home ",I148," sq.ft.")</f>
        <v>Avg. size home 875.55 sq.ft.</v>
      </c>
      <c r="I148" s="490">
        <v>875.55000000000007</v>
      </c>
      <c r="J148" s="1020"/>
      <c r="K148" s="1148"/>
      <c r="L148" s="1148"/>
      <c r="M148" s="1148"/>
      <c r="N148" s="1148"/>
      <c r="O148" s="1148"/>
      <c r="P148" s="1148"/>
      <c r="Q148" s="1148"/>
      <c r="V148" s="4032"/>
      <c r="W148" s="1316">
        <v>1860.46</v>
      </c>
      <c r="X148" s="1316">
        <v>1860.46</v>
      </c>
      <c r="Y148" s="2026">
        <f>1860.46/875.55</f>
        <v>2.1249043458397581</v>
      </c>
      <c r="Z148" s="1316">
        <f t="shared" si="38"/>
        <v>2.1249043458397581</v>
      </c>
      <c r="AA148" s="1316">
        <f t="shared" si="38"/>
        <v>2.1249043458397581</v>
      </c>
      <c r="AB148" s="733">
        <v>2.1249043458397581</v>
      </c>
      <c r="AC148" s="544"/>
      <c r="AD148" s="544"/>
      <c r="AE148" s="544"/>
      <c r="AF148" s="544"/>
      <c r="AG148" s="544"/>
    </row>
    <row r="149" spans="2:35" hidden="1" outlineLevel="1" x14ac:dyDescent="0.25">
      <c r="B149" s="1148"/>
      <c r="C149" s="274"/>
      <c r="D149" s="4032"/>
      <c r="E149" s="483"/>
      <c r="F149" s="1316">
        <f>836.16/718.9</f>
        <v>1.1631103074141049</v>
      </c>
      <c r="G149" s="4027"/>
      <c r="H149" s="1322" t="str">
        <f t="shared" si="39"/>
        <v>Avg. size home 718.9 sq.ft.</v>
      </c>
      <c r="I149" s="490">
        <v>718.9</v>
      </c>
      <c r="J149" s="1020"/>
      <c r="K149" s="1148"/>
      <c r="L149" s="1148"/>
      <c r="M149" s="1148"/>
      <c r="N149" s="1148"/>
      <c r="O149" s="1148"/>
      <c r="P149" s="1148"/>
      <c r="Q149" s="1148"/>
      <c r="V149" s="4032"/>
      <c r="W149" s="1316">
        <v>836.16</v>
      </c>
      <c r="X149" s="1316">
        <v>836.16</v>
      </c>
      <c r="Y149" s="2026">
        <f>836.16/718.9</f>
        <v>1.1631103074141049</v>
      </c>
      <c r="Z149" s="1316">
        <f t="shared" ref="Z149:AA150" si="40">836.16/718.9</f>
        <v>1.1631103074141049</v>
      </c>
      <c r="AA149" s="1316">
        <f t="shared" si="40"/>
        <v>1.1631103074141049</v>
      </c>
      <c r="AB149" s="733">
        <v>1.1631103074141049</v>
      </c>
      <c r="AC149" s="544"/>
      <c r="AD149" s="544"/>
      <c r="AE149" s="544"/>
      <c r="AF149" s="544"/>
      <c r="AG149" s="544"/>
    </row>
    <row r="150" spans="2:35" hidden="1" outlineLevel="1" x14ac:dyDescent="0.25">
      <c r="B150" s="1148"/>
      <c r="C150" s="274"/>
      <c r="D150" s="4032"/>
      <c r="E150" s="483"/>
      <c r="F150" s="1316">
        <f>836.16/718.9</f>
        <v>1.1631103074141049</v>
      </c>
      <c r="G150" s="4027"/>
      <c r="H150" s="1322" t="str">
        <f t="shared" si="39"/>
        <v>Avg. size home 718.9 sq.ft.</v>
      </c>
      <c r="I150" s="490">
        <v>718.9</v>
      </c>
      <c r="J150" s="1020"/>
      <c r="K150" s="1148"/>
      <c r="L150" s="1148"/>
      <c r="M150" s="1148"/>
      <c r="N150" s="1148"/>
      <c r="O150" s="1148"/>
      <c r="P150" s="1148"/>
      <c r="Q150" s="1148"/>
      <c r="V150" s="4032"/>
      <c r="W150" s="1316">
        <v>836.16</v>
      </c>
      <c r="X150" s="1316">
        <v>836.16</v>
      </c>
      <c r="Y150" s="2026">
        <f>836.16/718.9</f>
        <v>1.1631103074141049</v>
      </c>
      <c r="Z150" s="1316">
        <f t="shared" si="40"/>
        <v>1.1631103074141049</v>
      </c>
      <c r="AA150" s="1316">
        <f t="shared" si="40"/>
        <v>1.1631103074141049</v>
      </c>
      <c r="AB150" s="733">
        <v>1.1631103074141049</v>
      </c>
      <c r="AC150" s="544"/>
      <c r="AD150" s="544"/>
      <c r="AE150" s="544"/>
      <c r="AF150" s="544"/>
      <c r="AG150" s="544"/>
    </row>
    <row r="151" spans="2:35" hidden="1" outlineLevel="1" x14ac:dyDescent="0.25">
      <c r="B151" s="1148"/>
      <c r="C151" s="274"/>
      <c r="D151" s="4032"/>
      <c r="E151" s="483"/>
      <c r="F151" s="1316">
        <f>1208.5/718.9</f>
        <v>1.6810404785088331</v>
      </c>
      <c r="G151" s="4027"/>
      <c r="H151" s="1322" t="str">
        <f t="shared" si="39"/>
        <v>Avg. size home 718.9 sq.ft.</v>
      </c>
      <c r="I151" s="490">
        <v>718.9</v>
      </c>
      <c r="J151" s="1020"/>
      <c r="K151" s="1148"/>
      <c r="L151" s="1148"/>
      <c r="M151" s="1148"/>
      <c r="N151" s="1148"/>
      <c r="O151" s="1148"/>
      <c r="P151" s="1148"/>
      <c r="Q151" s="1148"/>
      <c r="V151" s="4032"/>
      <c r="W151" s="1316">
        <v>1208.5</v>
      </c>
      <c r="X151" s="1316">
        <v>1208.5</v>
      </c>
      <c r="Y151" s="2026">
        <f>1208.5/718.9</f>
        <v>1.6810404785088331</v>
      </c>
      <c r="Z151" s="1316">
        <f t="shared" ref="Z151:AA152" si="41">1208.5/718.9</f>
        <v>1.6810404785088331</v>
      </c>
      <c r="AA151" s="1316">
        <f t="shared" si="41"/>
        <v>1.6810404785088331</v>
      </c>
      <c r="AB151" s="733">
        <v>1.6810404785088331</v>
      </c>
      <c r="AC151" s="544"/>
      <c r="AD151" s="544"/>
      <c r="AE151" s="544"/>
      <c r="AF151" s="544"/>
      <c r="AG151" s="544"/>
    </row>
    <row r="152" spans="2:35" hidden="1" outlineLevel="1" x14ac:dyDescent="0.25">
      <c r="B152" s="1148"/>
      <c r="C152" s="274"/>
      <c r="D152" s="4032"/>
      <c r="E152" s="483"/>
      <c r="F152" s="1316">
        <f>1208.5/718.9</f>
        <v>1.6810404785088331</v>
      </c>
      <c r="G152" s="4027"/>
      <c r="H152" s="1322" t="str">
        <f t="shared" si="39"/>
        <v>Avg. size home 718.9 sq.ft.</v>
      </c>
      <c r="I152" s="490">
        <v>718.9</v>
      </c>
      <c r="J152" s="1020"/>
      <c r="K152" s="1148"/>
      <c r="L152" s="1148"/>
      <c r="M152" s="1148"/>
      <c r="N152" s="1148"/>
      <c r="O152" s="1148"/>
      <c r="P152" s="1148"/>
      <c r="Q152" s="1148"/>
      <c r="V152" s="4032"/>
      <c r="W152" s="1316">
        <v>1208.5</v>
      </c>
      <c r="X152" s="1316">
        <v>1208.5</v>
      </c>
      <c r="Y152" s="2026">
        <f>1208.5/718.9</f>
        <v>1.6810404785088331</v>
      </c>
      <c r="Z152" s="1316">
        <f t="shared" si="41"/>
        <v>1.6810404785088331</v>
      </c>
      <c r="AA152" s="1316">
        <f t="shared" si="41"/>
        <v>1.6810404785088331</v>
      </c>
      <c r="AB152" s="733">
        <v>1.6810404785088331</v>
      </c>
      <c r="AC152" s="544"/>
      <c r="AD152" s="544"/>
      <c r="AE152" s="544"/>
      <c r="AF152" s="544"/>
      <c r="AG152" s="544"/>
    </row>
    <row r="153" spans="2:35" hidden="1" outlineLevel="1" x14ac:dyDescent="0.25">
      <c r="B153" s="1148"/>
      <c r="C153" s="274"/>
      <c r="D153" s="4032"/>
      <c r="E153" s="483"/>
      <c r="F153" s="1316">
        <f>1846.68/718.9</f>
        <v>2.568757824454027</v>
      </c>
      <c r="G153" s="4027"/>
      <c r="H153" s="1322" t="str">
        <f t="shared" si="39"/>
        <v>Avg. size home 718.9 sq.ft.</v>
      </c>
      <c r="I153" s="490">
        <v>718.9</v>
      </c>
      <c r="J153" s="1020"/>
      <c r="K153" s="1148"/>
      <c r="L153" s="1148"/>
      <c r="M153" s="1148"/>
      <c r="N153" s="1148"/>
      <c r="O153" s="1148"/>
      <c r="P153" s="1148"/>
      <c r="Q153" s="1148"/>
      <c r="V153" s="4032"/>
      <c r="W153" s="1316">
        <v>1846.68</v>
      </c>
      <c r="X153" s="1316">
        <v>1846.68</v>
      </c>
      <c r="Y153" s="2026">
        <f>1846.68/718.9</f>
        <v>2.568757824454027</v>
      </c>
      <c r="Z153" s="1316">
        <f t="shared" ref="Z153:AA154" si="42">1846.68/718.9</f>
        <v>2.568757824454027</v>
      </c>
      <c r="AA153" s="1316">
        <f t="shared" si="42"/>
        <v>2.568757824454027</v>
      </c>
      <c r="AB153" s="733">
        <v>2.568757824454027</v>
      </c>
      <c r="AC153" s="544"/>
      <c r="AD153" s="544"/>
      <c r="AE153" s="544"/>
      <c r="AF153" s="544"/>
      <c r="AG153" s="544"/>
    </row>
    <row r="154" spans="2:35" hidden="1" outlineLevel="1" x14ac:dyDescent="0.25">
      <c r="B154" s="1148"/>
      <c r="C154" s="274"/>
      <c r="D154" s="4032"/>
      <c r="E154" s="483"/>
      <c r="F154" s="1316">
        <f>1846.68/718.9</f>
        <v>2.568757824454027</v>
      </c>
      <c r="G154" s="4027"/>
      <c r="H154" s="1322" t="str">
        <f t="shared" si="39"/>
        <v>Avg. size home 718.9 sq.ft.</v>
      </c>
      <c r="I154" s="490">
        <v>718.9</v>
      </c>
      <c r="J154" s="1020"/>
      <c r="K154" s="1148"/>
      <c r="L154" s="1148"/>
      <c r="M154" s="1148"/>
      <c r="N154" s="1148"/>
      <c r="O154" s="1148"/>
      <c r="P154" s="1148"/>
      <c r="Q154" s="1148"/>
      <c r="V154" s="4032"/>
      <c r="W154" s="1316">
        <v>1846.68</v>
      </c>
      <c r="X154" s="1316">
        <v>1846.68</v>
      </c>
      <c r="Y154" s="2026">
        <f>1846.68/718.9</f>
        <v>2.568757824454027</v>
      </c>
      <c r="Z154" s="1316">
        <f t="shared" si="42"/>
        <v>2.568757824454027</v>
      </c>
      <c r="AA154" s="1316">
        <f t="shared" si="42"/>
        <v>2.568757824454027</v>
      </c>
      <c r="AB154" s="733">
        <v>2.568757824454027</v>
      </c>
      <c r="AC154" s="544"/>
      <c r="AD154" s="544"/>
      <c r="AE154" s="544"/>
      <c r="AF154" s="544"/>
      <c r="AG154" s="544"/>
    </row>
    <row r="155" spans="2:35" hidden="1" outlineLevel="1" x14ac:dyDescent="0.25">
      <c r="B155" s="1148"/>
      <c r="C155" s="274"/>
      <c r="D155" s="4032"/>
      <c r="E155" s="483"/>
      <c r="F155" s="1316">
        <f>2461.73/718.9</f>
        <v>3.424301015440256</v>
      </c>
      <c r="G155" s="4027"/>
      <c r="H155" s="1322" t="str">
        <f t="shared" si="39"/>
        <v>Avg. size home 718.9 sq.ft.</v>
      </c>
      <c r="I155" s="490">
        <v>718.9</v>
      </c>
      <c r="J155" s="1020"/>
      <c r="K155" s="1148"/>
      <c r="L155" s="1148"/>
      <c r="M155" s="1148"/>
      <c r="N155" s="1148"/>
      <c r="O155" s="1148"/>
      <c r="P155" s="1148"/>
      <c r="Q155" s="1148"/>
      <c r="V155" s="4032"/>
      <c r="W155" s="1316">
        <v>2461.73</v>
      </c>
      <c r="X155" s="1316">
        <v>2461.73</v>
      </c>
      <c r="Y155" s="2026">
        <f>2461.73/718.9</f>
        <v>3.424301015440256</v>
      </c>
      <c r="Z155" s="1316">
        <f t="shared" ref="Z155:AA156" si="43">2461.73/718.9</f>
        <v>3.424301015440256</v>
      </c>
      <c r="AA155" s="1316">
        <f t="shared" si="43"/>
        <v>3.424301015440256</v>
      </c>
      <c r="AB155" s="733">
        <v>3.424301015440256</v>
      </c>
      <c r="AC155" s="544"/>
      <c r="AD155" s="544"/>
      <c r="AE155" s="544"/>
      <c r="AF155" s="544"/>
      <c r="AG155" s="544"/>
    </row>
    <row r="156" spans="2:35" hidden="1" outlineLevel="1" x14ac:dyDescent="0.25">
      <c r="B156" s="1148"/>
      <c r="C156" s="274"/>
      <c r="D156" s="4032"/>
      <c r="E156" s="483"/>
      <c r="F156" s="1316">
        <f>2461.73/718.9</f>
        <v>3.424301015440256</v>
      </c>
      <c r="G156" s="4028"/>
      <c r="H156" s="1322" t="str">
        <f t="shared" si="39"/>
        <v>Avg. size home 718.9 sq.ft.</v>
      </c>
      <c r="I156" s="490">
        <v>718.9</v>
      </c>
      <c r="J156" s="1020"/>
      <c r="K156" s="1148"/>
      <c r="L156" s="1148"/>
      <c r="M156" s="1148"/>
      <c r="N156" s="1148"/>
      <c r="O156" s="1148"/>
      <c r="P156" s="1148"/>
      <c r="Q156" s="1148"/>
      <c r="V156" s="4032"/>
      <c r="W156" s="1316">
        <v>2461.73</v>
      </c>
      <c r="X156" s="1316">
        <v>2461.73</v>
      </c>
      <c r="Y156" s="2026">
        <f>2461.73/718.9</f>
        <v>3.424301015440256</v>
      </c>
      <c r="Z156" s="1316">
        <f t="shared" si="43"/>
        <v>3.424301015440256</v>
      </c>
      <c r="AA156" s="1316">
        <f t="shared" si="43"/>
        <v>3.424301015440256</v>
      </c>
      <c r="AB156" s="733">
        <v>3.424301015440256</v>
      </c>
      <c r="AC156" s="544"/>
      <c r="AD156" s="544"/>
      <c r="AE156" s="544"/>
      <c r="AF156" s="544"/>
      <c r="AG156" s="544"/>
    </row>
    <row r="157" spans="2:35" collapsed="1" x14ac:dyDescent="0.25">
      <c r="B157" s="1359"/>
      <c r="C157" s="274"/>
      <c r="D157" s="296"/>
      <c r="E157" s="296"/>
      <c r="F157" s="298"/>
      <c r="G157" s="298"/>
      <c r="H157" s="298"/>
      <c r="I157" s="298"/>
      <c r="J157" s="298"/>
      <c r="K157" s="298"/>
      <c r="L157" s="298"/>
      <c r="M157" s="298"/>
      <c r="N157" s="298"/>
      <c r="O157" s="298"/>
      <c r="P157" s="298"/>
      <c r="Q157" s="298"/>
    </row>
    <row r="159" spans="2:35" x14ac:dyDescent="0.25">
      <c r="B159" s="3350" t="s">
        <v>871</v>
      </c>
      <c r="C159" s="3351"/>
      <c r="D159" s="3351"/>
      <c r="E159" s="3351"/>
      <c r="F159" s="3351"/>
      <c r="G159" s="3351"/>
      <c r="H159" s="3351"/>
      <c r="I159" s="3352"/>
      <c r="J159" s="3352"/>
      <c r="K159" s="3352"/>
      <c r="L159" s="3352"/>
      <c r="M159" s="3352"/>
      <c r="N159" s="3352"/>
      <c r="O159" s="3352"/>
      <c r="P159" s="3352"/>
      <c r="Q159" s="3353"/>
      <c r="V159" s="3350" t="str">
        <f>B159</f>
        <v>Dirty Filter Alarm</v>
      </c>
      <c r="W159" s="3351"/>
      <c r="X159" s="3351"/>
      <c r="Y159" s="3351"/>
      <c r="Z159" s="3351"/>
      <c r="AA159" s="3351"/>
      <c r="AB159" s="3351"/>
      <c r="AC159" s="3354"/>
      <c r="AD159" s="3354"/>
      <c r="AE159" s="3354"/>
      <c r="AF159" s="3354"/>
      <c r="AG159" s="3354"/>
      <c r="AH159" s="3354"/>
      <c r="AI159" s="3355"/>
    </row>
    <row r="160" spans="2:35" x14ac:dyDescent="0.25">
      <c r="B160" s="1359"/>
      <c r="C160" s="274"/>
      <c r="D160" s="386" t="s">
        <v>2145</v>
      </c>
      <c r="E160" s="482"/>
      <c r="F160" s="275"/>
      <c r="G160" s="275"/>
      <c r="H160" s="275"/>
      <c r="I160" s="275"/>
      <c r="J160" s="275"/>
      <c r="K160" s="275"/>
      <c r="L160" s="1635"/>
      <c r="M160" s="298"/>
      <c r="N160" s="298"/>
      <c r="O160" s="298"/>
      <c r="P160" s="298"/>
      <c r="Q160" s="298"/>
    </row>
    <row r="161" spans="1:57" ht="30" x14ac:dyDescent="0.25">
      <c r="B161" s="1359"/>
      <c r="C161" s="2765" t="s">
        <v>17</v>
      </c>
      <c r="D161" s="1409" t="s">
        <v>616</v>
      </c>
      <c r="E161" s="1409" t="s">
        <v>19</v>
      </c>
      <c r="F161" s="1409" t="s">
        <v>20</v>
      </c>
      <c r="G161" s="1409" t="s">
        <v>21</v>
      </c>
      <c r="H161" s="1409" t="s">
        <v>22</v>
      </c>
      <c r="I161" s="1409" t="s">
        <v>872</v>
      </c>
      <c r="J161" s="1409" t="s">
        <v>873</v>
      </c>
      <c r="K161" s="1409" t="s">
        <v>23</v>
      </c>
      <c r="L161" s="1413" t="s">
        <v>24</v>
      </c>
      <c r="M161" s="1409" t="s">
        <v>25</v>
      </c>
      <c r="N161" s="1409" t="s">
        <v>26</v>
      </c>
      <c r="V161" s="55" t="s">
        <v>27</v>
      </c>
      <c r="W161" s="56">
        <f>W$6</f>
        <v>43252</v>
      </c>
      <c r="X161" s="56">
        <f t="shared" ref="X161:AG161" si="44">X$6</f>
        <v>43465</v>
      </c>
      <c r="Y161" s="56">
        <f t="shared" si="44"/>
        <v>43800</v>
      </c>
      <c r="Z161" s="56">
        <f t="shared" si="44"/>
        <v>43862</v>
      </c>
      <c r="AA161" s="56">
        <f t="shared" si="44"/>
        <v>44013</v>
      </c>
      <c r="AB161" s="56">
        <f t="shared" si="44"/>
        <v>44166</v>
      </c>
      <c r="AC161" s="56" t="str">
        <f t="shared" si="44"/>
        <v>-</v>
      </c>
      <c r="AD161" s="56" t="str">
        <f t="shared" si="44"/>
        <v>-</v>
      </c>
      <c r="AE161" s="56" t="str">
        <f t="shared" si="44"/>
        <v>-</v>
      </c>
      <c r="AF161" s="56" t="str">
        <f t="shared" si="44"/>
        <v>-</v>
      </c>
      <c r="AG161" s="56" t="str">
        <f t="shared" si="44"/>
        <v>-</v>
      </c>
      <c r="BB161" s="57" t="str">
        <f>$BB$6</f>
        <v>TRC (2020)</v>
      </c>
      <c r="BC161" s="93" t="str">
        <f>$BC$6</f>
        <v>Benefit Lookup</v>
      </c>
      <c r="BD161" s="741" t="str">
        <f>$BD$6</f>
        <v>Benefits (2019 $)</v>
      </c>
      <c r="BE161" s="279" t="str">
        <f>$BE$6</f>
        <v>Incremental Cost (2019 $)</v>
      </c>
    </row>
    <row r="162" spans="1:57" x14ac:dyDescent="0.25">
      <c r="B162" s="1359"/>
      <c r="C162" s="253" t="s">
        <v>3306</v>
      </c>
      <c r="D162" s="1658" t="s">
        <v>2147</v>
      </c>
      <c r="E162" s="1460" t="s">
        <v>2194</v>
      </c>
      <c r="F162" s="1640">
        <f>ROUND(I162+J162,2)</f>
        <v>79.2</v>
      </c>
      <c r="G162" s="1429" t="s">
        <v>877</v>
      </c>
      <c r="H162" s="202">
        <f>VLOOKUP(G162,'CP FACTORS'!$A$3:$B$38, 2, FALSE)</f>
        <v>4.6608050000000002E-4</v>
      </c>
      <c r="I162" s="1325">
        <f>F$175*F$176*F$177*F$179*F180*F181</f>
        <v>50.097299999999997</v>
      </c>
      <c r="J162" s="1325">
        <f>F$182*F$176*F$183*F$179*F180*F181</f>
        <v>29.100637499999994</v>
      </c>
      <c r="K162" s="994">
        <f>ROUND(H162*F162,6)</f>
        <v>3.6914000000000002E-2</v>
      </c>
      <c r="L162" s="1325">
        <f>F185</f>
        <v>14</v>
      </c>
      <c r="M162" s="1316">
        <f>F186</f>
        <v>5</v>
      </c>
      <c r="N162" s="253" t="s">
        <v>37</v>
      </c>
      <c r="V162" s="208" t="str">
        <f>F161</f>
        <v>kWh Annual Savings</v>
      </c>
      <c r="W162" s="484">
        <v>79.197937499999995</v>
      </c>
      <c r="X162" s="1317">
        <v>79.197937499999995</v>
      </c>
      <c r="Y162" s="345">
        <v>79.2</v>
      </c>
      <c r="Z162" s="1640">
        <v>79.2</v>
      </c>
      <c r="AA162" s="1640">
        <v>79.2</v>
      </c>
      <c r="AB162" s="1640">
        <v>79.2</v>
      </c>
      <c r="AC162" s="208"/>
      <c r="AD162" s="208"/>
      <c r="AE162" s="208"/>
      <c r="AF162" s="208"/>
      <c r="AG162" s="208"/>
      <c r="BB162" s="67">
        <f>(BD162)/(BE162)</f>
        <v>14.901460188305345</v>
      </c>
      <c r="BC162" s="68" t="str">
        <f>CONCATENATE(G162," ",L162," Year EUL")</f>
        <v>HVAC RES 14 Year EUL</v>
      </c>
      <c r="BD162" s="145">
        <f>(INDEX('Avoided Cost Benefits'!$C$4:$C$857,MATCH(BC162,'Avoided Cost Benefits'!$A$4:$A$857,0)))*F162</f>
        <v>70.323077811728851</v>
      </c>
      <c r="BE162" s="69">
        <f>M162/(1.0595^(2020-2019))</f>
        <v>4.7192071731949028</v>
      </c>
    </row>
    <row r="163" spans="1:57" x14ac:dyDescent="0.25">
      <c r="B163" s="1359"/>
      <c r="C163" s="253" t="s">
        <v>3307</v>
      </c>
      <c r="D163" s="1658" t="s">
        <v>2150</v>
      </c>
      <c r="E163" s="388" t="str">
        <f>CONCATENATE(E162,"_CompE")</f>
        <v>Dirty Filter Alarm_MFMR_CompE</v>
      </c>
      <c r="F163" s="1640">
        <f>ROUND(I163+J163,2)</f>
        <v>38.24</v>
      </c>
      <c r="G163" s="1429" t="s">
        <v>877</v>
      </c>
      <c r="H163" s="202">
        <f>VLOOKUP(G163,'CP FACTORS'!$A$3:$B$38, 2, FALSE)</f>
        <v>4.6608050000000002E-4</v>
      </c>
      <c r="I163" s="1325">
        <f>F$175*F$176*F$178*F$179*F180*F181</f>
        <v>17.078624999999999</v>
      </c>
      <c r="J163" s="1325">
        <f>F$182*F$176*F$184*F$179*F180*F181</f>
        <v>21.164099999999998</v>
      </c>
      <c r="K163" s="994">
        <f>ROUND(H163*F163,6)</f>
        <v>1.7822999999999999E-2</v>
      </c>
      <c r="L163" s="1325">
        <f>L162</f>
        <v>14</v>
      </c>
      <c r="M163" s="1316">
        <f>M162</f>
        <v>5</v>
      </c>
      <c r="N163" s="253" t="s">
        <v>37</v>
      </c>
      <c r="V163" s="208" t="str">
        <f>V162</f>
        <v>kWh Annual Savings</v>
      </c>
      <c r="W163" s="484"/>
      <c r="X163" s="1317"/>
      <c r="Y163" s="342">
        <v>38.24</v>
      </c>
      <c r="Z163" s="1640">
        <v>38.24</v>
      </c>
      <c r="AA163" s="1640">
        <v>38.24</v>
      </c>
      <c r="AB163" s="1640">
        <v>38.24</v>
      </c>
      <c r="AC163" s="208"/>
      <c r="AD163" s="208"/>
      <c r="AE163" s="208"/>
      <c r="AF163" s="208"/>
      <c r="AG163" s="208"/>
      <c r="BB163" s="74">
        <f>(BD163)/(BE163)</f>
        <v>7.1948464343534893</v>
      </c>
      <c r="BC163" s="72" t="str">
        <f>CONCATENATE(G163," ",L163," Year EUL")</f>
        <v>HVAC RES 14 Year EUL</v>
      </c>
      <c r="BD163" s="153">
        <f>(INDEX('Avoided Cost Benefits'!$C$4:$C$857,MATCH(BC163,'Avoided Cost Benefits'!$A$4:$A$857,0)))*F163</f>
        <v>33.953970903036755</v>
      </c>
      <c r="BE163" s="75">
        <f>M163/(1.0595^(2020-2019))</f>
        <v>4.7192071731949028</v>
      </c>
    </row>
    <row r="164" spans="1:57" outlineLevel="1" x14ac:dyDescent="0.25">
      <c r="B164" s="1359"/>
      <c r="C164" s="274"/>
      <c r="D164" s="1326"/>
      <c r="E164" s="1326"/>
      <c r="F164" s="1980"/>
      <c r="G164" s="1662"/>
      <c r="H164" s="1663"/>
      <c r="I164" s="1981"/>
      <c r="J164" s="1982"/>
      <c r="K164" s="1135"/>
      <c r="L164" s="1135"/>
      <c r="M164" s="1983"/>
      <c r="N164" s="1984"/>
      <c r="O164" s="1983"/>
      <c r="P164" s="1949"/>
      <c r="Q164" s="1148"/>
    </row>
    <row r="165" spans="1:57" outlineLevel="1" x14ac:dyDescent="0.25">
      <c r="B165" s="1359"/>
      <c r="C165" s="274"/>
      <c r="D165" s="222" t="s">
        <v>571</v>
      </c>
      <c r="E165" s="1862"/>
      <c r="F165" s="1985"/>
      <c r="G165" s="1063"/>
      <c r="H165" s="1063"/>
      <c r="I165" s="1063"/>
      <c r="J165" s="1063"/>
      <c r="K165" s="1063"/>
      <c r="L165" s="1063"/>
      <c r="M165" s="1012"/>
      <c r="N165" s="1012"/>
      <c r="O165" s="298"/>
      <c r="P165" s="298"/>
      <c r="Q165" s="298"/>
    </row>
    <row r="166" spans="1:57" s="2277" customFormat="1" outlineLevel="1" x14ac:dyDescent="0.25">
      <c r="A166" s="157"/>
      <c r="B166" s="1359"/>
      <c r="C166" s="274"/>
      <c r="D166" s="222"/>
      <c r="E166" s="1862"/>
      <c r="F166" s="1985"/>
      <c r="G166" s="1063"/>
      <c r="H166" s="1063"/>
      <c r="I166" s="1063"/>
      <c r="J166" s="1063"/>
      <c r="K166" s="1063"/>
      <c r="L166" s="1063"/>
      <c r="M166" s="1012"/>
      <c r="N166" s="1012"/>
      <c r="O166" s="298"/>
      <c r="P166" s="298"/>
      <c r="Q166" s="298"/>
      <c r="R166" s="157"/>
      <c r="S166" s="157"/>
      <c r="T166" s="157"/>
      <c r="U166" s="157"/>
      <c r="BB166" s="1055"/>
    </row>
    <row r="167" spans="1:57" s="2277" customFormat="1" outlineLevel="1" x14ac:dyDescent="0.25">
      <c r="A167" s="157"/>
      <c r="B167" s="1359"/>
      <c r="C167" s="274"/>
      <c r="D167" s="222"/>
      <c r="E167" s="1862"/>
      <c r="F167" s="1985"/>
      <c r="G167" s="1063"/>
      <c r="H167" s="1063"/>
      <c r="I167" s="1063"/>
      <c r="J167" s="1063"/>
      <c r="K167" s="1063"/>
      <c r="L167" s="1063"/>
      <c r="M167" s="1012"/>
      <c r="N167" s="1012"/>
      <c r="O167" s="298"/>
      <c r="P167" s="298"/>
      <c r="Q167" s="298"/>
      <c r="R167" s="157"/>
      <c r="S167" s="157"/>
      <c r="T167" s="157"/>
      <c r="U167" s="157"/>
      <c r="BB167" s="1055"/>
    </row>
    <row r="168" spans="1:57" s="2277" customFormat="1" outlineLevel="1" x14ac:dyDescent="0.25">
      <c r="A168" s="157"/>
      <c r="B168" s="1359"/>
      <c r="C168" s="274"/>
      <c r="D168" s="222"/>
      <c r="E168" s="1862"/>
      <c r="F168" s="1985"/>
      <c r="G168" s="1063"/>
      <c r="H168" s="1063"/>
      <c r="I168" s="1063"/>
      <c r="J168" s="1063"/>
      <c r="K168" s="1063"/>
      <c r="L168" s="1063"/>
      <c r="M168" s="1012"/>
      <c r="N168" s="1012"/>
      <c r="O168" s="298"/>
      <c r="P168" s="298"/>
      <c r="Q168" s="298"/>
      <c r="R168" s="157"/>
      <c r="S168" s="157"/>
      <c r="T168" s="157"/>
      <c r="U168" s="157"/>
      <c r="BB168" s="1055"/>
    </row>
    <row r="169" spans="1:57" outlineLevel="1" x14ac:dyDescent="0.25">
      <c r="B169" s="1359"/>
      <c r="C169" s="274"/>
      <c r="D169" s="2993"/>
      <c r="E169" s="2993"/>
      <c r="F169" s="2993"/>
      <c r="G169" s="2993"/>
      <c r="H169" s="2993"/>
      <c r="I169" s="2993"/>
      <c r="J169" s="2993"/>
      <c r="K169" s="2993"/>
      <c r="L169" s="2993"/>
      <c r="M169" s="1012"/>
      <c r="N169" s="1012"/>
      <c r="O169" s="298"/>
      <c r="P169" s="298"/>
      <c r="Q169" s="298"/>
    </row>
    <row r="170" spans="1:57" outlineLevel="1" x14ac:dyDescent="0.25">
      <c r="B170" s="1359"/>
      <c r="C170" s="274"/>
      <c r="D170" s="2993"/>
      <c r="E170" s="2993"/>
      <c r="F170" s="2993"/>
      <c r="G170" s="2993"/>
      <c r="H170" s="2993"/>
      <c r="I170" s="2993"/>
      <c r="J170" s="2993"/>
      <c r="K170" s="2993"/>
      <c r="L170" s="2993"/>
      <c r="M170" s="1012"/>
      <c r="N170" s="1012"/>
      <c r="O170" s="298"/>
      <c r="P170" s="298"/>
      <c r="Q170" s="298"/>
    </row>
    <row r="171" spans="1:57" outlineLevel="1" x14ac:dyDescent="0.25">
      <c r="B171" s="1359"/>
      <c r="C171" s="274"/>
      <c r="D171" s="2993"/>
      <c r="E171" s="2993"/>
      <c r="F171" s="2993"/>
      <c r="G171" s="2993"/>
      <c r="H171" s="2993"/>
      <c r="I171" s="2993"/>
      <c r="J171" s="2993"/>
      <c r="K171" s="2993"/>
      <c r="L171" s="2993"/>
      <c r="M171" s="1012"/>
      <c r="N171" s="1012"/>
      <c r="O171" s="298"/>
      <c r="P171" s="298"/>
      <c r="Q171" s="298"/>
    </row>
    <row r="172" spans="1:57" outlineLevel="1" x14ac:dyDescent="0.25">
      <c r="B172" s="1359"/>
      <c r="C172" s="274"/>
      <c r="D172" s="2993"/>
      <c r="E172" s="2993"/>
      <c r="F172" s="2993"/>
      <c r="G172" s="2993"/>
      <c r="H172" s="2993"/>
      <c r="I172" s="2993"/>
      <c r="J172" s="2993"/>
      <c r="K172" s="2993"/>
      <c r="L172" s="2993"/>
      <c r="M172" s="1012"/>
      <c r="N172" s="1012"/>
      <c r="O172" s="298"/>
      <c r="P172" s="298"/>
      <c r="Q172" s="298"/>
    </row>
    <row r="173" spans="1:57" outlineLevel="1" x14ac:dyDescent="0.25">
      <c r="B173" s="1359"/>
      <c r="C173" s="274"/>
      <c r="D173" s="296"/>
      <c r="E173" s="296"/>
      <c r="F173" s="298"/>
      <c r="G173" s="298"/>
      <c r="H173" s="298"/>
      <c r="I173" s="298"/>
      <c r="J173" s="298"/>
      <c r="K173" s="298"/>
      <c r="L173" s="298"/>
      <c r="M173" s="298"/>
      <c r="N173" s="298"/>
      <c r="O173" s="298"/>
      <c r="P173" s="298"/>
      <c r="Q173" s="298"/>
    </row>
    <row r="174" spans="1:57" outlineLevel="1" x14ac:dyDescent="0.25">
      <c r="B174" s="1359"/>
      <c r="C174" s="274"/>
      <c r="D174" s="1456" t="s">
        <v>572</v>
      </c>
      <c r="E174" s="1456" t="s">
        <v>573</v>
      </c>
      <c r="F174" s="1409" t="s">
        <v>574</v>
      </c>
      <c r="G174" s="1409" t="s">
        <v>624</v>
      </c>
      <c r="H174" s="1409" t="s">
        <v>713</v>
      </c>
      <c r="I174" s="298"/>
      <c r="J174" s="298"/>
      <c r="K174" s="298"/>
      <c r="L174" s="298"/>
      <c r="M174" s="298"/>
      <c r="N174" s="298"/>
      <c r="O174" s="298"/>
      <c r="P174" s="298"/>
      <c r="Q174" s="298"/>
      <c r="V174" s="55" t="s">
        <v>27</v>
      </c>
      <c r="W174" s="56">
        <f>W$6</f>
        <v>43252</v>
      </c>
      <c r="X174" s="56">
        <f t="shared" ref="X174:AG174" si="45">X$6</f>
        <v>43465</v>
      </c>
      <c r="Y174" s="56">
        <f t="shared" si="45"/>
        <v>43800</v>
      </c>
      <c r="Z174" s="56">
        <f t="shared" si="45"/>
        <v>43862</v>
      </c>
      <c r="AA174" s="56">
        <f t="shared" si="45"/>
        <v>44013</v>
      </c>
      <c r="AB174" s="56">
        <f t="shared" si="45"/>
        <v>44166</v>
      </c>
      <c r="AC174" s="56" t="str">
        <f t="shared" si="45"/>
        <v>-</v>
      </c>
      <c r="AD174" s="56" t="str">
        <f t="shared" si="45"/>
        <v>-</v>
      </c>
      <c r="AE174" s="56" t="str">
        <f t="shared" si="45"/>
        <v>-</v>
      </c>
      <c r="AF174" s="56" t="str">
        <f t="shared" si="45"/>
        <v>-</v>
      </c>
      <c r="AG174" s="56" t="str">
        <f t="shared" si="45"/>
        <v>-</v>
      </c>
    </row>
    <row r="175" spans="1:57" outlineLevel="1" x14ac:dyDescent="0.25">
      <c r="B175" s="1359"/>
      <c r="C175" s="274"/>
      <c r="D175" s="1327" t="s">
        <v>881</v>
      </c>
      <c r="E175" s="367" t="s">
        <v>591</v>
      </c>
      <c r="F175" s="341">
        <v>0.95</v>
      </c>
      <c r="G175" s="1280" t="s">
        <v>885</v>
      </c>
      <c r="H175" s="1281"/>
      <c r="I175" s="298"/>
      <c r="J175" s="298"/>
      <c r="K175" s="298"/>
      <c r="L175" s="298"/>
      <c r="M175" s="298"/>
      <c r="N175" s="298"/>
      <c r="O175" s="298"/>
      <c r="P175" s="298"/>
      <c r="Q175" s="298"/>
      <c r="V175" s="1069" t="str">
        <f>D175</f>
        <v>%Heating</v>
      </c>
      <c r="W175" s="322">
        <v>0.95</v>
      </c>
      <c r="X175" s="322">
        <v>0.95</v>
      </c>
      <c r="Y175" s="322">
        <v>0.95</v>
      </c>
      <c r="Z175" s="341">
        <v>0.95</v>
      </c>
      <c r="AA175" s="341">
        <v>0.95</v>
      </c>
      <c r="AB175" s="341">
        <v>0.95</v>
      </c>
      <c r="AC175" s="322"/>
      <c r="AD175" s="322"/>
      <c r="AE175" s="322"/>
      <c r="AF175" s="322"/>
      <c r="AG175" s="322"/>
    </row>
    <row r="176" spans="1:57" outlineLevel="1" x14ac:dyDescent="0.25">
      <c r="B176" s="1359"/>
      <c r="C176" s="274"/>
      <c r="D176" s="1327" t="s">
        <v>23</v>
      </c>
      <c r="E176" s="367" t="s">
        <v>591</v>
      </c>
      <c r="F176" s="500">
        <v>0.5</v>
      </c>
      <c r="G176" s="1280" t="s">
        <v>714</v>
      </c>
      <c r="H176" s="1281"/>
      <c r="I176" s="298"/>
      <c r="J176" s="298"/>
      <c r="K176" s="298"/>
      <c r="L176" s="298"/>
      <c r="M176" s="298"/>
      <c r="N176" s="298"/>
      <c r="O176" s="298"/>
      <c r="P176" s="298"/>
      <c r="Q176" s="298"/>
      <c r="V176" s="1069" t="str">
        <f t="shared" ref="V176:V183" si="46">D176</f>
        <v>kW</v>
      </c>
      <c r="W176" s="1328">
        <v>0.5</v>
      </c>
      <c r="X176" s="1328">
        <v>0.5</v>
      </c>
      <c r="Y176" s="1328">
        <v>0.5</v>
      </c>
      <c r="Z176" s="500">
        <v>0.5</v>
      </c>
      <c r="AA176" s="500">
        <v>0.5</v>
      </c>
      <c r="AB176" s="500">
        <v>0.5</v>
      </c>
      <c r="AC176" s="1328"/>
      <c r="AD176" s="1328"/>
      <c r="AE176" s="1328"/>
      <c r="AF176" s="1328"/>
      <c r="AG176" s="1328"/>
    </row>
    <row r="177" spans="2:57" outlineLevel="1" x14ac:dyDescent="0.25">
      <c r="B177" s="1359"/>
      <c r="C177" s="274"/>
      <c r="D177" s="4029" t="s">
        <v>886</v>
      </c>
      <c r="E177" s="318" t="s">
        <v>735</v>
      </c>
      <c r="F177" s="501">
        <v>1496</v>
      </c>
      <c r="G177" s="1280" t="s">
        <v>714</v>
      </c>
      <c r="H177" s="1281"/>
      <c r="I177" s="298"/>
      <c r="J177" s="298"/>
      <c r="K177" s="298"/>
      <c r="L177" s="298"/>
      <c r="M177" s="298"/>
      <c r="N177" s="298"/>
      <c r="O177" s="298"/>
      <c r="P177" s="298"/>
      <c r="Q177" s="298"/>
      <c r="V177" s="3824" t="str">
        <f t="shared" si="46"/>
        <v>EFLHheat</v>
      </c>
      <c r="W177" s="329">
        <v>1496</v>
      </c>
      <c r="X177" s="329">
        <v>1496</v>
      </c>
      <c r="Y177" s="329">
        <v>1496</v>
      </c>
      <c r="Z177" s="359">
        <v>1496</v>
      </c>
      <c r="AA177" s="359">
        <v>1496</v>
      </c>
      <c r="AB177" s="359">
        <v>1496</v>
      </c>
      <c r="AC177" s="329"/>
      <c r="AD177" s="329"/>
      <c r="AE177" s="329"/>
      <c r="AF177" s="329"/>
      <c r="AG177" s="329"/>
    </row>
    <row r="178" spans="2:57" ht="38.25" outlineLevel="1" x14ac:dyDescent="0.25">
      <c r="B178" s="1359"/>
      <c r="C178" s="274"/>
      <c r="D178" s="3434"/>
      <c r="E178" s="318" t="s">
        <v>888</v>
      </c>
      <c r="F178" s="505">
        <v>510</v>
      </c>
      <c r="G178" s="1679" t="s">
        <v>889</v>
      </c>
      <c r="H178" s="1281"/>
      <c r="I178" s="298"/>
      <c r="J178" s="298"/>
      <c r="K178" s="298"/>
      <c r="L178" s="298"/>
      <c r="M178" s="298"/>
      <c r="N178" s="298"/>
      <c r="O178" s="298"/>
      <c r="P178" s="298"/>
      <c r="Q178" s="298"/>
      <c r="V178" s="3832"/>
      <c r="W178" s="329"/>
      <c r="X178" s="329"/>
      <c r="Y178" s="357">
        <v>510</v>
      </c>
      <c r="Z178" s="359">
        <v>510</v>
      </c>
      <c r="AA178" s="359">
        <v>510</v>
      </c>
      <c r="AB178" s="359">
        <v>510</v>
      </c>
      <c r="AC178" s="329"/>
      <c r="AD178" s="329"/>
      <c r="AE178" s="329"/>
      <c r="AF178" s="329"/>
      <c r="AG178" s="329"/>
    </row>
    <row r="179" spans="2:57" outlineLevel="1" x14ac:dyDescent="0.25">
      <c r="B179" s="1359"/>
      <c r="C179" s="274"/>
      <c r="D179" s="367" t="s">
        <v>890</v>
      </c>
      <c r="E179" s="367" t="s">
        <v>591</v>
      </c>
      <c r="F179" s="341">
        <v>0.15</v>
      </c>
      <c r="G179" s="1280" t="s">
        <v>714</v>
      </c>
      <c r="H179" s="1281"/>
      <c r="I179" s="298"/>
      <c r="J179" s="298"/>
      <c r="K179" s="298"/>
      <c r="L179" s="298"/>
      <c r="M179" s="298"/>
      <c r="N179" s="298"/>
      <c r="O179" s="298"/>
      <c r="P179" s="298"/>
      <c r="Q179" s="298"/>
      <c r="V179" s="1069" t="str">
        <f t="shared" si="46"/>
        <v>EI</v>
      </c>
      <c r="W179" s="322">
        <v>0.15</v>
      </c>
      <c r="X179" s="322">
        <v>0.15</v>
      </c>
      <c r="Y179" s="322">
        <v>0.15</v>
      </c>
      <c r="Z179" s="341">
        <v>0.15</v>
      </c>
      <c r="AA179" s="341">
        <v>0.15</v>
      </c>
      <c r="AB179" s="341">
        <v>0.15</v>
      </c>
      <c r="AC179" s="322"/>
      <c r="AD179" s="322"/>
      <c r="AE179" s="322"/>
      <c r="AF179" s="322"/>
      <c r="AG179" s="322"/>
    </row>
    <row r="180" spans="2:57" ht="15" customHeight="1" outlineLevel="1" x14ac:dyDescent="0.25">
      <c r="B180" s="1359"/>
      <c r="C180" s="274"/>
      <c r="D180" s="1327" t="s">
        <v>892</v>
      </c>
      <c r="E180" s="367" t="s">
        <v>1674</v>
      </c>
      <c r="F180" s="341">
        <v>1</v>
      </c>
      <c r="G180" s="1280" t="s">
        <v>714</v>
      </c>
      <c r="H180" s="1281" t="s">
        <v>2195</v>
      </c>
      <c r="I180" s="298"/>
      <c r="J180" s="298"/>
      <c r="K180" s="298"/>
      <c r="L180" s="298"/>
      <c r="M180" s="298"/>
      <c r="N180" s="298"/>
      <c r="O180" s="298"/>
      <c r="P180" s="298"/>
      <c r="Q180" s="298"/>
      <c r="V180" s="1069" t="str">
        <f t="shared" si="46"/>
        <v>Utility Adjustment</v>
      </c>
      <c r="W180" s="322">
        <v>1</v>
      </c>
      <c r="X180" s="322">
        <v>1</v>
      </c>
      <c r="Y180" s="322">
        <v>1</v>
      </c>
      <c r="Z180" s="341">
        <v>1</v>
      </c>
      <c r="AA180" s="341">
        <v>1</v>
      </c>
      <c r="AB180" s="341">
        <v>1</v>
      </c>
      <c r="AC180" s="322"/>
      <c r="AD180" s="322"/>
      <c r="AE180" s="322"/>
      <c r="AF180" s="322"/>
      <c r="AG180" s="322"/>
    </row>
    <row r="181" spans="2:57" outlineLevel="1" x14ac:dyDescent="0.25">
      <c r="B181" s="1359"/>
      <c r="C181" s="274"/>
      <c r="D181" s="1327" t="s">
        <v>75</v>
      </c>
      <c r="E181" s="367" t="s">
        <v>1674</v>
      </c>
      <c r="F181" s="319">
        <v>0.47</v>
      </c>
      <c r="G181" s="1280" t="s">
        <v>714</v>
      </c>
      <c r="H181" s="1281" t="s">
        <v>2196</v>
      </c>
      <c r="I181" s="298"/>
      <c r="J181" s="298"/>
      <c r="K181" s="298"/>
      <c r="L181" s="298"/>
      <c r="M181" s="298"/>
      <c r="N181" s="298"/>
      <c r="O181" s="298"/>
      <c r="P181" s="298"/>
      <c r="Q181" s="298"/>
      <c r="V181" s="1069" t="str">
        <f t="shared" si="46"/>
        <v>ISR</v>
      </c>
      <c r="W181" s="323">
        <v>0.47</v>
      </c>
      <c r="X181" s="323">
        <v>0.47</v>
      </c>
      <c r="Y181" s="323">
        <v>0.47</v>
      </c>
      <c r="Z181" s="319">
        <v>0.47</v>
      </c>
      <c r="AA181" s="319">
        <v>0.47</v>
      </c>
      <c r="AB181" s="319">
        <v>0.47</v>
      </c>
      <c r="AC181" s="323"/>
      <c r="AD181" s="323"/>
      <c r="AE181" s="323"/>
      <c r="AF181" s="323"/>
      <c r="AG181" s="323"/>
    </row>
    <row r="182" spans="2:57" outlineLevel="1" x14ac:dyDescent="0.25">
      <c r="B182" s="1359"/>
      <c r="C182" s="274"/>
      <c r="D182" s="1327" t="s">
        <v>734</v>
      </c>
      <c r="E182" s="367" t="s">
        <v>591</v>
      </c>
      <c r="F182" s="341">
        <v>0.95</v>
      </c>
      <c r="G182" s="1280" t="s">
        <v>2197</v>
      </c>
      <c r="H182" s="1281"/>
      <c r="I182" s="298"/>
      <c r="J182" s="298"/>
      <c r="K182" s="298"/>
      <c r="L182" s="298"/>
      <c r="M182" s="298"/>
      <c r="N182" s="298"/>
      <c r="O182" s="298"/>
      <c r="P182" s="298"/>
      <c r="Q182" s="298"/>
      <c r="V182" s="1069" t="str">
        <f t="shared" si="46"/>
        <v>%AC</v>
      </c>
      <c r="W182" s="322">
        <v>0.95</v>
      </c>
      <c r="X182" s="322">
        <v>0.95</v>
      </c>
      <c r="Y182" s="322">
        <v>0.95</v>
      </c>
      <c r="Z182" s="341">
        <v>0.95</v>
      </c>
      <c r="AA182" s="341">
        <v>0.95</v>
      </c>
      <c r="AB182" s="341">
        <v>0.95</v>
      </c>
      <c r="AC182" s="322"/>
      <c r="AD182" s="322"/>
      <c r="AE182" s="322"/>
      <c r="AF182" s="322"/>
      <c r="AG182" s="322"/>
    </row>
    <row r="183" spans="2:57" outlineLevel="1" x14ac:dyDescent="0.25">
      <c r="B183" s="1359"/>
      <c r="C183" s="274"/>
      <c r="D183" s="4029" t="s">
        <v>894</v>
      </c>
      <c r="E183" s="318" t="s">
        <v>735</v>
      </c>
      <c r="F183" s="505">
        <v>869</v>
      </c>
      <c r="G183" s="1280" t="s">
        <v>714</v>
      </c>
      <c r="H183" s="1281"/>
      <c r="I183" s="298"/>
      <c r="J183" s="298"/>
      <c r="K183" s="298"/>
      <c r="L183" s="298"/>
      <c r="M183" s="298"/>
      <c r="N183" s="298"/>
      <c r="O183" s="298"/>
      <c r="P183" s="298"/>
      <c r="Q183" s="298"/>
      <c r="V183" s="3821" t="str">
        <f t="shared" si="46"/>
        <v>EFLHcool</v>
      </c>
      <c r="W183" s="329">
        <v>869</v>
      </c>
      <c r="X183" s="329">
        <v>869</v>
      </c>
      <c r="Y183" s="329">
        <v>869</v>
      </c>
      <c r="Z183" s="359">
        <v>869</v>
      </c>
      <c r="AA183" s="359">
        <v>869</v>
      </c>
      <c r="AB183" s="359">
        <v>869</v>
      </c>
      <c r="AC183" s="329"/>
      <c r="AD183" s="329"/>
      <c r="AE183" s="329"/>
      <c r="AF183" s="329"/>
      <c r="AG183" s="329"/>
    </row>
    <row r="184" spans="2:57" ht="38.25" outlineLevel="1" x14ac:dyDescent="0.25">
      <c r="B184" s="1359"/>
      <c r="C184" s="274"/>
      <c r="D184" s="3434"/>
      <c r="E184" s="318" t="s">
        <v>888</v>
      </c>
      <c r="F184" s="505">
        <v>632</v>
      </c>
      <c r="G184" s="1679" t="s">
        <v>889</v>
      </c>
      <c r="H184" s="1281"/>
      <c r="I184" s="298"/>
      <c r="J184" s="298"/>
      <c r="K184" s="298"/>
      <c r="L184" s="298"/>
      <c r="M184" s="298"/>
      <c r="N184" s="298"/>
      <c r="O184" s="298"/>
      <c r="P184" s="298"/>
      <c r="Q184" s="298"/>
      <c r="V184" s="3832"/>
      <c r="W184" s="329"/>
      <c r="X184" s="329"/>
      <c r="Y184" s="357">
        <v>632</v>
      </c>
      <c r="Z184" s="359">
        <v>632</v>
      </c>
      <c r="AA184" s="359">
        <v>632</v>
      </c>
      <c r="AB184" s="359">
        <v>632</v>
      </c>
      <c r="AC184" s="329"/>
      <c r="AD184" s="329"/>
      <c r="AE184" s="329"/>
      <c r="AF184" s="329"/>
      <c r="AG184" s="329"/>
    </row>
    <row r="185" spans="2:57" outlineLevel="1" x14ac:dyDescent="0.25">
      <c r="B185" s="1359"/>
      <c r="C185" s="274"/>
      <c r="D185" s="318" t="s">
        <v>896</v>
      </c>
      <c r="E185" s="318" t="s">
        <v>611</v>
      </c>
      <c r="F185" s="1414">
        <v>14</v>
      </c>
      <c r="G185" s="499"/>
      <c r="H185" s="321"/>
      <c r="I185" s="298"/>
      <c r="J185" s="298"/>
      <c r="K185" s="298"/>
      <c r="L185" s="298"/>
      <c r="M185" s="1276"/>
      <c r="N185" s="298"/>
      <c r="O185" s="298"/>
      <c r="P185" s="298"/>
      <c r="Q185" s="298"/>
      <c r="V185" s="1327" t="str">
        <f>D185</f>
        <v xml:space="preserve">EUL </v>
      </c>
      <c r="W185" s="506">
        <f>F185</f>
        <v>14</v>
      </c>
      <c r="X185" s="506">
        <f>W185</f>
        <v>14</v>
      </c>
      <c r="Y185" s="506">
        <f>X185</f>
        <v>14</v>
      </c>
      <c r="Z185" s="506">
        <f t="shared" ref="Z185:AB185" si="47">Y185</f>
        <v>14</v>
      </c>
      <c r="AA185" s="506">
        <f t="shared" si="47"/>
        <v>14</v>
      </c>
      <c r="AB185" s="506">
        <f t="shared" si="47"/>
        <v>14</v>
      </c>
      <c r="AC185" s="506"/>
      <c r="AD185" s="506"/>
      <c r="AE185" s="506"/>
      <c r="AF185" s="506"/>
      <c r="AG185" s="506"/>
    </row>
    <row r="186" spans="2:57" outlineLevel="1" x14ac:dyDescent="0.25">
      <c r="B186" s="1359"/>
      <c r="C186" s="274"/>
      <c r="D186" s="1419" t="s">
        <v>25</v>
      </c>
      <c r="E186" s="318" t="s">
        <v>897</v>
      </c>
      <c r="F186" s="1415">
        <v>5</v>
      </c>
      <c r="G186" s="499"/>
      <c r="H186" s="321"/>
      <c r="I186" s="298"/>
      <c r="J186" s="298"/>
      <c r="K186" s="298"/>
      <c r="L186" s="298"/>
      <c r="M186" s="1276"/>
      <c r="N186" s="298"/>
      <c r="O186" s="298"/>
      <c r="P186" s="298"/>
      <c r="Q186" s="298"/>
      <c r="V186" s="1329" t="str">
        <f>D186</f>
        <v>Inc. Cost</v>
      </c>
      <c r="W186" s="508">
        <f>F186</f>
        <v>5</v>
      </c>
      <c r="X186" s="508">
        <f>W186</f>
        <v>5</v>
      </c>
      <c r="Y186" s="508">
        <f>X186</f>
        <v>5</v>
      </c>
      <c r="Z186" s="508">
        <f t="shared" ref="Z186:AA186" si="48">Y186</f>
        <v>5</v>
      </c>
      <c r="AA186" s="508">
        <f t="shared" si="48"/>
        <v>5</v>
      </c>
      <c r="AB186" s="508">
        <v>5</v>
      </c>
      <c r="AC186" s="509"/>
      <c r="AD186" s="509"/>
      <c r="AE186" s="509"/>
      <c r="AF186" s="509"/>
      <c r="AG186" s="509"/>
    </row>
    <row r="187" spans="2:57" outlineLevel="1" x14ac:dyDescent="0.25">
      <c r="B187" s="1359"/>
      <c r="C187" s="1052"/>
      <c r="D187" s="1419" t="s">
        <v>898</v>
      </c>
      <c r="E187" s="318" t="s">
        <v>899</v>
      </c>
      <c r="F187" s="510" t="s">
        <v>900</v>
      </c>
      <c r="G187" s="499"/>
      <c r="H187" s="321"/>
      <c r="I187" s="298"/>
      <c r="J187" s="298"/>
      <c r="K187" s="298"/>
      <c r="L187" s="298"/>
      <c r="M187" s="1276"/>
      <c r="N187" s="298"/>
      <c r="O187" s="298"/>
      <c r="P187" s="298"/>
      <c r="Q187" s="298"/>
      <c r="V187" s="1327" t="str">
        <f>D187</f>
        <v>P</v>
      </c>
      <c r="W187" s="506" t="s">
        <v>900</v>
      </c>
      <c r="X187" s="506" t="s">
        <v>900</v>
      </c>
      <c r="Y187" s="506" t="s">
        <v>900</v>
      </c>
      <c r="Z187" s="506" t="s">
        <v>900</v>
      </c>
      <c r="AA187" s="506" t="s">
        <v>900</v>
      </c>
      <c r="AB187" s="506" t="s">
        <v>900</v>
      </c>
      <c r="AC187" s="506"/>
      <c r="AD187" s="506"/>
      <c r="AE187" s="506"/>
      <c r="AF187" s="506"/>
      <c r="AG187" s="506"/>
    </row>
    <row r="188" spans="2:57" x14ac:dyDescent="0.25">
      <c r="B188" s="1359"/>
      <c r="C188" s="274"/>
      <c r="D188" s="296"/>
      <c r="E188" s="361"/>
      <c r="F188" s="298"/>
      <c r="G188" s="298"/>
      <c r="H188" s="298"/>
      <c r="I188" s="298"/>
      <c r="J188" s="298"/>
      <c r="K188" s="298"/>
      <c r="L188" s="298"/>
      <c r="M188" s="298"/>
      <c r="N188" s="298"/>
      <c r="O188" s="298"/>
      <c r="P188" s="298"/>
      <c r="Q188" s="298"/>
    </row>
    <row r="189" spans="2:57" x14ac:dyDescent="0.25">
      <c r="B189" s="1359"/>
      <c r="C189" s="274"/>
      <c r="D189" s="296"/>
      <c r="E189" s="296"/>
      <c r="F189" s="298"/>
      <c r="G189" s="298"/>
      <c r="H189" s="298"/>
      <c r="I189" s="298"/>
      <c r="J189" s="298"/>
      <c r="K189" s="298"/>
      <c r="L189" s="298"/>
      <c r="M189" s="298"/>
      <c r="N189" s="298"/>
      <c r="O189" s="298"/>
      <c r="P189" s="298"/>
      <c r="Q189" s="298"/>
    </row>
    <row r="190" spans="2:57" x14ac:dyDescent="0.25">
      <c r="B190" s="3350" t="str">
        <f>'Income Eligible Deemed Table'!B586:L586</f>
        <v>ECM/ Blower Motor</v>
      </c>
      <c r="C190" s="3351"/>
      <c r="D190" s="3351"/>
      <c r="E190" s="3351"/>
      <c r="F190" s="3351"/>
      <c r="G190" s="3351"/>
      <c r="H190" s="3351"/>
      <c r="I190" s="3352"/>
      <c r="J190" s="3352"/>
      <c r="K190" s="3352"/>
      <c r="L190" s="3352"/>
      <c r="M190" s="3352"/>
      <c r="N190" s="3352"/>
      <c r="O190" s="3352"/>
      <c r="P190" s="3352"/>
      <c r="Q190" s="3353"/>
      <c r="V190" s="3350" t="str">
        <f>B190</f>
        <v>ECM/ Blower Motor</v>
      </c>
      <c r="W190" s="3351"/>
      <c r="X190" s="3351"/>
      <c r="Y190" s="3351"/>
      <c r="Z190" s="3351"/>
      <c r="AA190" s="3351"/>
      <c r="AB190" s="3351"/>
      <c r="AC190" s="3354"/>
      <c r="AD190" s="3354"/>
      <c r="AE190" s="3354"/>
      <c r="AF190" s="3354"/>
      <c r="AG190" s="3354"/>
      <c r="AH190" s="3354"/>
      <c r="AI190" s="3355"/>
    </row>
    <row r="191" spans="2:57" x14ac:dyDescent="0.25">
      <c r="B191" s="1359"/>
      <c r="C191" s="274"/>
      <c r="D191" s="482"/>
      <c r="E191" s="482"/>
      <c r="F191" s="275"/>
      <c r="G191" s="275"/>
      <c r="H191" s="275"/>
      <c r="I191" s="275"/>
      <c r="J191" s="275"/>
      <c r="K191" s="275"/>
      <c r="L191" s="1635"/>
      <c r="M191" s="298"/>
      <c r="N191" s="298"/>
      <c r="O191" s="298"/>
      <c r="P191" s="298"/>
      <c r="Q191" s="298"/>
    </row>
    <row r="192" spans="2:57" ht="30" x14ac:dyDescent="0.25">
      <c r="B192" s="1359"/>
      <c r="C192" s="2765" t="s">
        <v>17</v>
      </c>
      <c r="D192" s="1409" t="s">
        <v>616</v>
      </c>
      <c r="E192" s="1409" t="s">
        <v>19</v>
      </c>
      <c r="F192" s="1409" t="s">
        <v>20</v>
      </c>
      <c r="G192" s="1409" t="s">
        <v>21</v>
      </c>
      <c r="H192" s="1409" t="s">
        <v>22</v>
      </c>
      <c r="I192" s="1409" t="s">
        <v>872</v>
      </c>
      <c r="J192" s="1409" t="s">
        <v>873</v>
      </c>
      <c r="K192" s="1409" t="s">
        <v>1057</v>
      </c>
      <c r="L192" s="1409" t="s">
        <v>1058</v>
      </c>
      <c r="M192" s="1409" t="s">
        <v>23</v>
      </c>
      <c r="N192" s="1413" t="s">
        <v>2198</v>
      </c>
      <c r="O192" s="1409" t="s">
        <v>25</v>
      </c>
      <c r="P192" s="1409" t="s">
        <v>26</v>
      </c>
      <c r="R192" s="277"/>
      <c r="S192" s="277"/>
      <c r="T192" s="277"/>
      <c r="U192" s="277"/>
      <c r="V192" s="55" t="s">
        <v>27</v>
      </c>
      <c r="W192" s="56">
        <f>W$6</f>
        <v>43252</v>
      </c>
      <c r="X192" s="56">
        <f t="shared" ref="X192:AG192" si="49">X$6</f>
        <v>43465</v>
      </c>
      <c r="Y192" s="56">
        <f t="shared" si="49"/>
        <v>43800</v>
      </c>
      <c r="Z192" s="56">
        <f t="shared" si="49"/>
        <v>43862</v>
      </c>
      <c r="AA192" s="56">
        <f t="shared" si="49"/>
        <v>44013</v>
      </c>
      <c r="AB192" s="56">
        <f t="shared" si="49"/>
        <v>44166</v>
      </c>
      <c r="AC192" s="56" t="str">
        <f t="shared" si="49"/>
        <v>-</v>
      </c>
      <c r="AD192" s="56" t="str">
        <f t="shared" si="49"/>
        <v>-</v>
      </c>
      <c r="AE192" s="56" t="str">
        <f t="shared" si="49"/>
        <v>-</v>
      </c>
      <c r="AF192" s="56" t="str">
        <f t="shared" si="49"/>
        <v>-</v>
      </c>
      <c r="AG192" s="56" t="str">
        <f t="shared" si="49"/>
        <v>-</v>
      </c>
      <c r="BB192" s="57" t="str">
        <f>$BB$6</f>
        <v>TRC (2020)</v>
      </c>
      <c r="BC192" s="93" t="str">
        <f>$BC$6</f>
        <v>Benefit Lookup</v>
      </c>
      <c r="BD192" s="741" t="str">
        <f>$BD$6</f>
        <v>Benefits (2019 $)</v>
      </c>
      <c r="BE192" s="279" t="str">
        <f>$BE$6</f>
        <v>Incremental Cost (2019 $)</v>
      </c>
    </row>
    <row r="193" spans="1:57" x14ac:dyDescent="0.25">
      <c r="B193" s="1359"/>
      <c r="C193" s="1658" t="s">
        <v>2199</v>
      </c>
      <c r="D193" s="1658" t="s">
        <v>2147</v>
      </c>
      <c r="E193" s="656" t="s">
        <v>2200</v>
      </c>
      <c r="F193" s="751">
        <f>ROUND(I193+J193+K193+L193,2)</f>
        <v>582</v>
      </c>
      <c r="G193" s="1429" t="s">
        <v>877</v>
      </c>
      <c r="H193" s="202">
        <f>VLOOKUP(G193,'CP FACTORS'!$A$3:$B$38, 2, FALSE)</f>
        <v>4.6608050000000002E-4</v>
      </c>
      <c r="I193" s="506">
        <f>(1-I212)*400*I$215/I$216*I227*$I$229</f>
        <v>264.14545423487061</v>
      </c>
      <c r="J193" s="506">
        <f>(1-I217)*70*I$220/I$221*I227*$I$229</f>
        <v>31.133309957924254</v>
      </c>
      <c r="K193" s="506">
        <f>(25*I$220/I$221+2960*0.0880846122963064-30)*I227*$I$229</f>
        <v>286.72123580720518</v>
      </c>
      <c r="L193" s="506">
        <v>0</v>
      </c>
      <c r="M193" s="1330">
        <f>ROUND(H193*F193,6)</f>
        <v>0.27125899999999997</v>
      </c>
      <c r="N193" s="506">
        <f>I230</f>
        <v>6</v>
      </c>
      <c r="O193" s="1316">
        <f>I232</f>
        <v>74.327224020150311</v>
      </c>
      <c r="P193" s="253" t="s">
        <v>37</v>
      </c>
      <c r="R193" s="277"/>
      <c r="S193" s="277"/>
      <c r="T193" s="277"/>
      <c r="U193" s="277"/>
      <c r="V193" s="208" t="str">
        <f>F192</f>
        <v>kWh Annual Savings</v>
      </c>
      <c r="W193" s="484">
        <v>513.93550400425124</v>
      </c>
      <c r="X193" s="484">
        <v>513.93550400425124</v>
      </c>
      <c r="Y193" s="754">
        <v>582</v>
      </c>
      <c r="Z193" s="651">
        <v>582</v>
      </c>
      <c r="AA193" s="651">
        <v>582</v>
      </c>
      <c r="AB193" s="651">
        <v>582</v>
      </c>
      <c r="AC193" s="484"/>
      <c r="AD193" s="484"/>
      <c r="AE193" s="484"/>
      <c r="AF193" s="484"/>
      <c r="AG193" s="484"/>
      <c r="BB193" s="67">
        <f>IFERROR((BD193+BD194)/(BE193+BE194),"")</f>
        <v>9.106187302806509</v>
      </c>
      <c r="BC193" s="2177" t="str">
        <f>CONCATENATE(G193," ",N193," Year EUL")</f>
        <v>HVAC RES 6 Year EUL</v>
      </c>
      <c r="BD193" s="145">
        <f>(INDEX('Avoided Cost Benefits'!$C$4:$C$857,MATCH(BC193,'Avoided Cost Benefits'!$A$4:$A$857,0)))*F193</f>
        <v>214.66614365077814</v>
      </c>
      <c r="BE193" s="69">
        <f>O193/(1.0595^(2020-2019))</f>
        <v>70.153113751911562</v>
      </c>
    </row>
    <row r="194" spans="1:57" x14ac:dyDescent="0.25">
      <c r="B194" s="1359"/>
      <c r="C194" s="1658" t="s">
        <v>2199</v>
      </c>
      <c r="D194" s="1658" t="s">
        <v>2147</v>
      </c>
      <c r="E194" s="72" t="s">
        <v>2201</v>
      </c>
      <c r="F194" s="751">
        <f>ROUND(I194+J194+K194+L194,2)</f>
        <v>582</v>
      </c>
      <c r="G194" s="1429" t="s">
        <v>2202</v>
      </c>
      <c r="H194" s="202">
        <f>VLOOKUP(G194,'CP FACTORS'!$A$3:$B$38, 2, FALSE)</f>
        <v>4.6608050000000002E-4</v>
      </c>
      <c r="I194" s="506">
        <f>(1-I213)*400*I$215/I$216*I228*$I$229</f>
        <v>264.14545423487061</v>
      </c>
      <c r="J194" s="506">
        <f>(1-I218)*70*I$220/I$221*I228*$I$229</f>
        <v>31.133309957924254</v>
      </c>
      <c r="K194" s="506">
        <f>(25*I$220/I$221+2960*0.0880846122963064-30)*I228*$I$229</f>
        <v>286.72123580720518</v>
      </c>
      <c r="L194" s="506">
        <v>0</v>
      </c>
      <c r="M194" s="1330">
        <f>ROUND(H194*F194,6)</f>
        <v>0.27125899999999997</v>
      </c>
      <c r="N194" s="506">
        <f>I231</f>
        <v>12</v>
      </c>
      <c r="O194" s="1316"/>
      <c r="P194" s="253" t="s">
        <v>37</v>
      </c>
      <c r="V194" s="208" t="str">
        <f>V193</f>
        <v>kWh Annual Savings</v>
      </c>
      <c r="W194" s="484">
        <v>513.93550400425124</v>
      </c>
      <c r="X194" s="484">
        <v>513.93550400425124</v>
      </c>
      <c r="Y194" s="754">
        <v>582</v>
      </c>
      <c r="Z194" s="651">
        <v>582</v>
      </c>
      <c r="AA194" s="651">
        <v>582</v>
      </c>
      <c r="AB194" s="651">
        <v>582</v>
      </c>
      <c r="AC194" s="484"/>
      <c r="AD194" s="484"/>
      <c r="AE194" s="484"/>
      <c r="AF194" s="484"/>
      <c r="AG194" s="484"/>
      <c r="BB194" s="1089"/>
      <c r="BC194" s="2177" t="str">
        <f>CONCATENATE(G194," ",N194," Year EUL")</f>
        <v>HVAC RES ER2 12 Year EUL</v>
      </c>
      <c r="BD194" s="153">
        <f>(INDEX('Avoided Cost Benefits'!$C$4:$C$857,MATCH(BC194,'Avoided Cost Benefits'!$A$4:$A$857,0)))*F194</f>
        <v>424.16125004921963</v>
      </c>
      <c r="BE194" s="75">
        <f>O194/(1.0595^(2020-2019))</f>
        <v>0</v>
      </c>
    </row>
    <row r="195" spans="1:57" x14ac:dyDescent="0.25">
      <c r="B195" s="1359"/>
      <c r="C195" s="4139" t="s">
        <v>3616</v>
      </c>
      <c r="D195" s="1332"/>
      <c r="E195" s="1332"/>
      <c r="F195" s="1700"/>
      <c r="G195" s="1136"/>
      <c r="H195" s="1136"/>
      <c r="I195" s="1136"/>
      <c r="J195" s="1136"/>
      <c r="K195" s="1063"/>
      <c r="L195" s="1136"/>
      <c r="M195" s="1333"/>
      <c r="N195" s="1136"/>
      <c r="O195" s="1136"/>
      <c r="P195" s="1136"/>
      <c r="Q195" s="298"/>
    </row>
    <row r="196" spans="1:57" outlineLevel="1" x14ac:dyDescent="0.25">
      <c r="B196" s="1359"/>
      <c r="C196" s="274"/>
      <c r="D196" s="222" t="s">
        <v>571</v>
      </c>
      <c r="E196" s="1862"/>
      <c r="F196" s="1985"/>
      <c r="G196" s="1063"/>
      <c r="H196" s="1063"/>
      <c r="I196" s="1063"/>
      <c r="J196" s="1063"/>
      <c r="K196" s="1063"/>
      <c r="L196" s="1063"/>
      <c r="M196" s="1333"/>
      <c r="N196" s="1136"/>
      <c r="O196" s="1136"/>
      <c r="P196" s="1136"/>
      <c r="Q196" s="298"/>
    </row>
    <row r="197" spans="1:57" s="2277" customFormat="1" outlineLevel="1" x14ac:dyDescent="0.25">
      <c r="A197" s="157"/>
      <c r="B197" s="1359"/>
      <c r="C197" s="274"/>
      <c r="D197" s="222"/>
      <c r="E197" s="1862"/>
      <c r="F197" s="1985"/>
      <c r="G197" s="1063"/>
      <c r="H197" s="1063"/>
      <c r="I197" s="1063"/>
      <c r="J197" s="1063"/>
      <c r="K197" s="1063"/>
      <c r="L197" s="1063"/>
      <c r="M197" s="1333"/>
      <c r="N197" s="1136"/>
      <c r="O197" s="1136"/>
      <c r="P197" s="1136"/>
      <c r="Q197" s="298"/>
      <c r="R197" s="157"/>
      <c r="S197" s="157"/>
      <c r="T197" s="157"/>
      <c r="U197" s="157"/>
      <c r="BB197" s="1055"/>
    </row>
    <row r="198" spans="1:57" s="2277" customFormat="1" outlineLevel="1" x14ac:dyDescent="0.25">
      <c r="A198" s="157"/>
      <c r="B198" s="1359"/>
      <c r="C198" s="274"/>
      <c r="D198" s="222"/>
      <c r="E198" s="1862"/>
      <c r="F198" s="1985"/>
      <c r="G198" s="1063"/>
      <c r="H198" s="1063"/>
      <c r="I198" s="1063"/>
      <c r="J198" s="1063"/>
      <c r="K198" s="1063"/>
      <c r="L198" s="1063"/>
      <c r="M198" s="1333"/>
      <c r="N198" s="1136"/>
      <c r="O198" s="1136"/>
      <c r="P198" s="1136"/>
      <c r="Q198" s="298"/>
      <c r="R198" s="157"/>
      <c r="S198" s="157"/>
      <c r="T198" s="157"/>
      <c r="U198" s="157"/>
      <c r="BB198" s="1055"/>
    </row>
    <row r="199" spans="1:57" s="2277" customFormat="1" outlineLevel="1" x14ac:dyDescent="0.25">
      <c r="A199" s="157"/>
      <c r="B199" s="1359"/>
      <c r="C199" s="274"/>
      <c r="D199" s="222"/>
      <c r="E199" s="1862"/>
      <c r="F199" s="1985"/>
      <c r="G199" s="1063"/>
      <c r="H199" s="1063"/>
      <c r="I199" s="1063"/>
      <c r="J199" s="1063"/>
      <c r="K199" s="1063"/>
      <c r="L199" s="1063"/>
      <c r="M199" s="1333"/>
      <c r="N199" s="1136"/>
      <c r="O199" s="1136"/>
      <c r="P199" s="1136"/>
      <c r="Q199" s="298"/>
      <c r="R199" s="157"/>
      <c r="S199" s="157"/>
      <c r="T199" s="157"/>
      <c r="U199" s="157"/>
      <c r="BB199" s="1055"/>
    </row>
    <row r="200" spans="1:57" ht="18" customHeight="1" outlineLevel="1" x14ac:dyDescent="0.25">
      <c r="B200" s="1359"/>
      <c r="C200" s="302"/>
      <c r="D200" s="2993"/>
      <c r="E200" s="2993"/>
      <c r="F200" s="2993"/>
      <c r="G200" s="2993"/>
      <c r="H200" s="2993"/>
      <c r="I200" s="2993"/>
      <c r="J200" s="2993"/>
      <c r="K200" s="2993"/>
      <c r="L200" s="2993"/>
      <c r="M200" s="1333"/>
      <c r="N200" s="1136"/>
      <c r="O200" s="1136"/>
      <c r="P200" s="1136"/>
      <c r="Q200" s="298"/>
    </row>
    <row r="201" spans="1:57" s="2277" customFormat="1" ht="18" customHeight="1" outlineLevel="1" x14ac:dyDescent="0.25">
      <c r="A201" s="157"/>
      <c r="B201" s="1359"/>
      <c r="C201" s="302"/>
      <c r="D201" s="2993"/>
      <c r="E201" s="2993"/>
      <c r="F201" s="2993"/>
      <c r="G201" s="2993"/>
      <c r="H201" s="2993"/>
      <c r="I201" s="2993"/>
      <c r="J201" s="2993"/>
      <c r="K201" s="2993"/>
      <c r="L201" s="2993"/>
      <c r="M201" s="1333"/>
      <c r="N201" s="1136"/>
      <c r="O201" s="1136"/>
      <c r="P201" s="1136"/>
      <c r="Q201" s="298"/>
      <c r="R201" s="157"/>
      <c r="S201" s="157"/>
      <c r="T201" s="157"/>
      <c r="U201" s="157"/>
      <c r="BB201" s="1055"/>
    </row>
    <row r="202" spans="1:57" s="2277" customFormat="1" ht="18" customHeight="1" outlineLevel="1" x14ac:dyDescent="0.25">
      <c r="A202" s="157"/>
      <c r="B202" s="1359"/>
      <c r="C202" s="302"/>
      <c r="D202" s="2993"/>
      <c r="E202" s="2993"/>
      <c r="F202" s="2993"/>
      <c r="G202" s="2993"/>
      <c r="H202" s="2993"/>
      <c r="I202" s="2993"/>
      <c r="J202" s="2993"/>
      <c r="K202" s="2993"/>
      <c r="L202" s="2993"/>
      <c r="M202" s="1333"/>
      <c r="N202" s="1136"/>
      <c r="O202" s="1136"/>
      <c r="P202" s="1136"/>
      <c r="Q202" s="298"/>
      <c r="R202" s="157"/>
      <c r="S202" s="157"/>
      <c r="T202" s="157"/>
      <c r="U202" s="157"/>
      <c r="BB202" s="1055"/>
    </row>
    <row r="203" spans="1:57" s="2277" customFormat="1" ht="18" customHeight="1" outlineLevel="1" x14ac:dyDescent="0.25">
      <c r="A203" s="157"/>
      <c r="B203" s="1359"/>
      <c r="C203" s="302"/>
      <c r="D203" s="2993"/>
      <c r="E203" s="2993"/>
      <c r="F203" s="2993"/>
      <c r="G203" s="2993"/>
      <c r="H203" s="2993"/>
      <c r="I203" s="2993"/>
      <c r="J203" s="2993"/>
      <c r="K203" s="2993"/>
      <c r="L203" s="2993"/>
      <c r="M203" s="1333"/>
      <c r="N203" s="1136"/>
      <c r="O203" s="1136"/>
      <c r="P203" s="1136"/>
      <c r="Q203" s="298"/>
      <c r="R203" s="157"/>
      <c r="S203" s="157"/>
      <c r="T203" s="157"/>
      <c r="U203" s="157"/>
      <c r="BB203" s="1055"/>
    </row>
    <row r="204" spans="1:57" s="2277" customFormat="1" ht="18" customHeight="1" outlineLevel="1" x14ac:dyDescent="0.25">
      <c r="A204" s="157"/>
      <c r="B204" s="1359"/>
      <c r="C204" s="302"/>
      <c r="D204" s="2993"/>
      <c r="E204" s="2993"/>
      <c r="F204" s="2993"/>
      <c r="G204" s="2993"/>
      <c r="H204" s="2993"/>
      <c r="I204" s="2993"/>
      <c r="J204" s="2993"/>
      <c r="K204" s="2993"/>
      <c r="L204" s="2993"/>
      <c r="M204" s="1333"/>
      <c r="N204" s="1136"/>
      <c r="O204" s="1136"/>
      <c r="P204" s="1136"/>
      <c r="Q204" s="298"/>
      <c r="R204" s="157"/>
      <c r="S204" s="157"/>
      <c r="T204" s="157"/>
      <c r="U204" s="157"/>
      <c r="BB204" s="1055"/>
    </row>
    <row r="205" spans="1:57" s="2277" customFormat="1" ht="18" customHeight="1" outlineLevel="1" x14ac:dyDescent="0.25">
      <c r="A205" s="157"/>
      <c r="B205" s="1359"/>
      <c r="C205" s="302"/>
      <c r="D205" s="2993"/>
      <c r="E205" s="2993"/>
      <c r="F205" s="2993"/>
      <c r="G205" s="2993"/>
      <c r="H205" s="2993"/>
      <c r="I205" s="2993"/>
      <c r="J205" s="2993"/>
      <c r="K205" s="2993"/>
      <c r="L205" s="2993"/>
      <c r="M205" s="1333"/>
      <c r="N205" s="1136"/>
      <c r="O205" s="1136"/>
      <c r="P205" s="1136"/>
      <c r="Q205" s="298"/>
      <c r="R205" s="157"/>
      <c r="S205" s="157"/>
      <c r="T205" s="157"/>
      <c r="U205" s="157"/>
      <c r="BB205" s="1055"/>
    </row>
    <row r="206" spans="1:57" s="2277" customFormat="1" ht="18" customHeight="1" outlineLevel="1" x14ac:dyDescent="0.25">
      <c r="A206" s="157"/>
      <c r="B206" s="1359"/>
      <c r="C206" s="302"/>
      <c r="D206" s="2993"/>
      <c r="E206" s="2993"/>
      <c r="F206" s="2993"/>
      <c r="G206" s="2993"/>
      <c r="H206" s="2993"/>
      <c r="I206" s="2993"/>
      <c r="J206" s="2993"/>
      <c r="K206" s="2993"/>
      <c r="L206" s="2993"/>
      <c r="M206" s="1333"/>
      <c r="N206" s="1136"/>
      <c r="O206" s="1136"/>
      <c r="P206" s="1136"/>
      <c r="Q206" s="298"/>
      <c r="R206" s="157"/>
      <c r="S206" s="157"/>
      <c r="T206" s="157"/>
      <c r="U206" s="157"/>
      <c r="BB206" s="1055"/>
    </row>
    <row r="207" spans="1:57" s="2277" customFormat="1" ht="18" customHeight="1" outlineLevel="1" x14ac:dyDescent="0.25">
      <c r="A207" s="157"/>
      <c r="B207" s="1359"/>
      <c r="C207" s="302"/>
      <c r="D207" s="2993"/>
      <c r="E207" s="2993"/>
      <c r="F207" s="2993"/>
      <c r="G207" s="2993"/>
      <c r="H207" s="2993"/>
      <c r="I207" s="2993"/>
      <c r="J207" s="2993"/>
      <c r="K207" s="2993"/>
      <c r="L207" s="2993"/>
      <c r="M207" s="1333"/>
      <c r="N207" s="1136"/>
      <c r="O207" s="1136"/>
      <c r="P207" s="1136"/>
      <c r="Q207" s="298"/>
      <c r="R207" s="157"/>
      <c r="S207" s="157"/>
      <c r="T207" s="157"/>
      <c r="U207" s="157"/>
      <c r="BB207" s="1055"/>
    </row>
    <row r="208" spans="1:57" outlineLevel="1" x14ac:dyDescent="0.25">
      <c r="B208" s="1359"/>
      <c r="C208" s="316"/>
      <c r="D208" s="2993"/>
      <c r="E208" s="2993"/>
      <c r="F208" s="2993"/>
      <c r="G208" s="2993"/>
      <c r="H208" s="2993"/>
      <c r="I208" s="2993"/>
      <c r="J208" s="2993"/>
      <c r="K208" s="2993"/>
      <c r="L208" s="2993"/>
      <c r="M208" s="1333"/>
      <c r="N208" s="1136"/>
      <c r="O208" s="1136"/>
      <c r="P208" s="1136"/>
      <c r="Q208" s="298"/>
    </row>
    <row r="209" spans="2:33" ht="75" customHeight="1" outlineLevel="1" x14ac:dyDescent="0.25">
      <c r="B209" s="1359"/>
      <c r="C209" s="317"/>
      <c r="D209" s="2993"/>
      <c r="E209" s="2993"/>
      <c r="F209" s="2993"/>
      <c r="G209" s="2993"/>
      <c r="H209" s="2993"/>
      <c r="I209" s="2993"/>
      <c r="J209" s="2993"/>
      <c r="K209" s="2993"/>
      <c r="L209" s="2993"/>
      <c r="M209" s="1333"/>
      <c r="N209" s="1136"/>
      <c r="O209" s="1136"/>
      <c r="P209" s="1136"/>
      <c r="Q209" s="298"/>
    </row>
    <row r="210" spans="2:33" outlineLevel="1" x14ac:dyDescent="0.25">
      <c r="B210" s="1359"/>
      <c r="C210" s="274"/>
      <c r="D210" s="1332"/>
      <c r="E210" s="1332"/>
      <c r="F210" s="1136"/>
      <c r="G210" s="1136"/>
      <c r="H210" s="1136"/>
      <c r="I210" s="1136"/>
      <c r="J210" s="1136"/>
      <c r="K210" s="1136"/>
      <c r="L210" s="1136"/>
      <c r="M210" s="1333"/>
      <c r="N210" s="1136"/>
      <c r="O210" s="1136"/>
      <c r="P210" s="1136"/>
      <c r="Q210" s="298"/>
    </row>
    <row r="211" spans="2:33" outlineLevel="1" x14ac:dyDescent="0.25">
      <c r="B211" s="1359"/>
      <c r="C211" s="274"/>
      <c r="D211" s="1434" t="s">
        <v>572</v>
      </c>
      <c r="E211" s="1434"/>
      <c r="F211" s="3976" t="s">
        <v>573</v>
      </c>
      <c r="G211" s="4030"/>
      <c r="H211" s="4030"/>
      <c r="I211" s="1434" t="s">
        <v>574</v>
      </c>
      <c r="J211" s="1434" t="s">
        <v>624</v>
      </c>
      <c r="K211" s="1434" t="s">
        <v>713</v>
      </c>
      <c r="L211" s="278"/>
      <c r="M211" s="1333"/>
      <c r="N211" s="278"/>
      <c r="O211" s="1136"/>
      <c r="P211" s="1136"/>
      <c r="Q211" s="298"/>
      <c r="V211" s="55" t="s">
        <v>27</v>
      </c>
      <c r="W211" s="56">
        <f t="shared" ref="W211:AG211" si="50">W$6</f>
        <v>43252</v>
      </c>
      <c r="X211" s="56">
        <f t="shared" si="50"/>
        <v>43465</v>
      </c>
      <c r="Y211" s="56">
        <f t="shared" si="50"/>
        <v>43800</v>
      </c>
      <c r="Z211" s="56">
        <f t="shared" si="50"/>
        <v>43862</v>
      </c>
      <c r="AA211" s="56">
        <f t="shared" si="50"/>
        <v>44013</v>
      </c>
      <c r="AB211" s="56">
        <f t="shared" si="50"/>
        <v>44166</v>
      </c>
      <c r="AC211" s="56" t="str">
        <f t="shared" si="50"/>
        <v>-</v>
      </c>
      <c r="AD211" s="56" t="str">
        <f t="shared" si="50"/>
        <v>-</v>
      </c>
      <c r="AE211" s="56" t="str">
        <f t="shared" si="50"/>
        <v>-</v>
      </c>
      <c r="AF211" s="56" t="str">
        <f t="shared" si="50"/>
        <v>-</v>
      </c>
      <c r="AG211" s="56" t="str">
        <f t="shared" si="50"/>
        <v>-</v>
      </c>
    </row>
    <row r="212" spans="2:33" outlineLevel="1" x14ac:dyDescent="0.25">
      <c r="B212" s="1359"/>
      <c r="C212" s="274"/>
      <c r="D212" s="4035" t="s">
        <v>1079</v>
      </c>
      <c r="E212" s="3567" t="s">
        <v>1080</v>
      </c>
      <c r="F212" s="4034" t="s">
        <v>1765</v>
      </c>
      <c r="G212" s="3469"/>
      <c r="H212" s="3469"/>
      <c r="I212" s="1986">
        <v>0.16336956521739129</v>
      </c>
      <c r="J212" s="1334" t="s">
        <v>714</v>
      </c>
      <c r="K212" s="1053"/>
      <c r="L212" s="278"/>
      <c r="M212" s="1333"/>
      <c r="N212" s="278"/>
      <c r="O212" s="1136"/>
      <c r="P212" s="1136"/>
      <c r="Q212" s="298"/>
      <c r="V212" s="4036" t="s">
        <v>1079</v>
      </c>
      <c r="W212" s="340">
        <v>0</v>
      </c>
      <c r="X212" s="340">
        <v>0</v>
      </c>
      <c r="Y212" s="672">
        <v>0.16336956521739129</v>
      </c>
      <c r="Z212" s="673">
        <v>0.16336956521739129</v>
      </c>
      <c r="AA212" s="673">
        <v>0.16336956521739129</v>
      </c>
      <c r="AB212" s="673">
        <v>0.16336956521739129</v>
      </c>
      <c r="AC212" s="340"/>
      <c r="AD212" s="340"/>
      <c r="AE212" s="340"/>
      <c r="AF212" s="340"/>
      <c r="AG212" s="340"/>
    </row>
    <row r="213" spans="2:33" outlineLevel="1" x14ac:dyDescent="0.25">
      <c r="B213" s="1359"/>
      <c r="C213" s="274"/>
      <c r="D213" s="4035"/>
      <c r="E213" s="3567"/>
      <c r="F213" s="4034" t="s">
        <v>1766</v>
      </c>
      <c r="G213" s="3469"/>
      <c r="H213" s="3469"/>
      <c r="I213" s="673">
        <v>0.16336956521739129</v>
      </c>
      <c r="J213" s="1334" t="s">
        <v>714</v>
      </c>
      <c r="K213" s="1053"/>
      <c r="L213" s="278"/>
      <c r="M213" s="1333"/>
      <c r="N213" s="278"/>
      <c r="V213" s="4036"/>
      <c r="W213" s="340">
        <v>0</v>
      </c>
      <c r="X213" s="340">
        <v>0</v>
      </c>
      <c r="Y213" s="672">
        <v>0.16336956521739129</v>
      </c>
      <c r="Z213" s="673">
        <v>0.16336956521739129</v>
      </c>
      <c r="AA213" s="673">
        <v>0.16336956521739129</v>
      </c>
      <c r="AB213" s="673">
        <v>0.16336956521739129</v>
      </c>
      <c r="AC213" s="340"/>
      <c r="AD213" s="340"/>
      <c r="AE213" s="340"/>
      <c r="AF213" s="340"/>
      <c r="AG213" s="340"/>
    </row>
    <row r="214" spans="2:33" outlineLevel="1" x14ac:dyDescent="0.25">
      <c r="B214" s="1359"/>
      <c r="C214" s="274"/>
      <c r="D214" s="3302" t="s">
        <v>1082</v>
      </c>
      <c r="E214" s="388" t="s">
        <v>1083</v>
      </c>
      <c r="F214" s="4037" t="s">
        <v>591</v>
      </c>
      <c r="G214" s="4038"/>
      <c r="H214" s="4039"/>
      <c r="I214" s="1987">
        <v>400</v>
      </c>
      <c r="J214" s="4040" t="s">
        <v>1084</v>
      </c>
      <c r="K214" s="3947"/>
      <c r="L214" s="278"/>
      <c r="M214" s="1333"/>
      <c r="N214" s="278"/>
      <c r="V214" s="1461" t="s">
        <v>1082</v>
      </c>
      <c r="W214" s="340"/>
      <c r="X214" s="340"/>
      <c r="Y214" s="1045">
        <v>400</v>
      </c>
      <c r="Z214" s="1051">
        <v>400</v>
      </c>
      <c r="AA214" s="1051">
        <v>400</v>
      </c>
      <c r="AB214" s="1051">
        <v>400</v>
      </c>
      <c r="AC214" s="340"/>
      <c r="AD214" s="340"/>
      <c r="AE214" s="340"/>
      <c r="AF214" s="340"/>
      <c r="AG214" s="340"/>
    </row>
    <row r="215" spans="2:33" ht="18" outlineLevel="1" x14ac:dyDescent="0.25">
      <c r="B215" s="1359"/>
      <c r="C215" s="274"/>
      <c r="D215" s="3302" t="s">
        <v>3848</v>
      </c>
      <c r="E215" s="1335" t="str">
        <f>'HVAC Deemed Table'!E53</f>
        <v>Effective full load heating hours (in St. Louis)</v>
      </c>
      <c r="F215" s="4034" t="s">
        <v>591</v>
      </c>
      <c r="G215" s="3469"/>
      <c r="H215" s="3469"/>
      <c r="I215" s="328">
        <v>2009</v>
      </c>
      <c r="J215" s="1334" t="s">
        <v>714</v>
      </c>
      <c r="K215" s="1053"/>
      <c r="L215" s="278"/>
      <c r="M215" s="1333"/>
      <c r="N215" s="278"/>
      <c r="V215" s="1461" t="s">
        <v>2203</v>
      </c>
      <c r="W215" s="331">
        <v>2009</v>
      </c>
      <c r="X215" s="331">
        <v>2009</v>
      </c>
      <c r="Y215" s="328">
        <v>2009</v>
      </c>
      <c r="Z215" s="328">
        <v>2009</v>
      </c>
      <c r="AA215" s="328">
        <v>2009</v>
      </c>
      <c r="AB215" s="328">
        <v>2009</v>
      </c>
      <c r="AC215" s="331"/>
      <c r="AD215" s="331"/>
      <c r="AE215" s="331"/>
      <c r="AF215" s="331"/>
      <c r="AG215" s="331"/>
    </row>
    <row r="216" spans="2:33" ht="18" outlineLevel="1" x14ac:dyDescent="0.25">
      <c r="B216" s="1359"/>
      <c r="C216" s="274"/>
      <c r="D216" s="3302" t="s">
        <v>3849</v>
      </c>
      <c r="E216" s="1335" t="str">
        <f>'HVAC Deemed Table'!E54</f>
        <v>Wisconsin effective full load heating hours</v>
      </c>
      <c r="F216" s="4034" t="s">
        <v>591</v>
      </c>
      <c r="G216" s="3469"/>
      <c r="H216" s="3469"/>
      <c r="I216" s="1336">
        <v>2545.25</v>
      </c>
      <c r="J216" s="1334" t="s">
        <v>714</v>
      </c>
      <c r="K216" s="1053"/>
      <c r="L216" s="278"/>
      <c r="M216" s="1333"/>
      <c r="N216" s="278"/>
      <c r="O216" s="278"/>
      <c r="P216" s="278"/>
      <c r="Q216" s="278"/>
      <c r="R216" s="278"/>
      <c r="V216" s="1461" t="s">
        <v>2204</v>
      </c>
      <c r="W216" s="1337">
        <v>2545.25</v>
      </c>
      <c r="X216" s="1337">
        <v>2545.25</v>
      </c>
      <c r="Y216" s="1336">
        <v>2545.25</v>
      </c>
      <c r="Z216" s="1336">
        <v>2545.25</v>
      </c>
      <c r="AA216" s="1336">
        <v>2545.25</v>
      </c>
      <c r="AB216" s="1336">
        <v>2545.25</v>
      </c>
      <c r="AC216" s="1337"/>
      <c r="AD216" s="1337"/>
      <c r="AE216" s="1337"/>
      <c r="AF216" s="1337"/>
      <c r="AG216" s="1337"/>
    </row>
    <row r="217" spans="2:33" ht="15" customHeight="1" outlineLevel="1" x14ac:dyDescent="0.25">
      <c r="B217" s="1359"/>
      <c r="C217" s="274"/>
      <c r="D217" s="4044" t="s">
        <v>1090</v>
      </c>
      <c r="E217" s="3567" t="str">
        <f>'HVAC Deemed Table'!E55</f>
        <v>% of furnaces with new central cooling</v>
      </c>
      <c r="F217" s="4034" t="s">
        <v>1765</v>
      </c>
      <c r="G217" s="3469"/>
      <c r="H217" s="3469"/>
      <c r="I217" s="669">
        <v>0.80141304347826092</v>
      </c>
      <c r="J217" s="1334" t="s">
        <v>714</v>
      </c>
      <c r="K217" s="1053"/>
      <c r="L217" s="278"/>
      <c r="M217" s="1333"/>
      <c r="N217" s="278"/>
      <c r="O217" s="278"/>
      <c r="P217" s="1339"/>
      <c r="Q217" s="278"/>
      <c r="R217" s="1339"/>
      <c r="S217" s="298"/>
      <c r="V217" s="4033" t="s">
        <v>1090</v>
      </c>
      <c r="W217" s="323">
        <v>0.97</v>
      </c>
      <c r="X217" s="323">
        <v>0.97</v>
      </c>
      <c r="Y217" s="1338">
        <v>0.80141304347826092</v>
      </c>
      <c r="Z217" s="669">
        <v>0.80141304347826092</v>
      </c>
      <c r="AA217" s="669">
        <v>0.80141304347826092</v>
      </c>
      <c r="AB217" s="669">
        <v>0.80141304347826092</v>
      </c>
      <c r="AC217" s="323"/>
      <c r="AD217" s="323"/>
      <c r="AE217" s="323"/>
      <c r="AF217" s="323"/>
      <c r="AG217" s="323"/>
    </row>
    <row r="218" spans="2:33" ht="24.75" customHeight="1" outlineLevel="1" x14ac:dyDescent="0.25">
      <c r="B218" s="1359"/>
      <c r="C218" s="274"/>
      <c r="D218" s="4044"/>
      <c r="E218" s="3567"/>
      <c r="F218" s="4034" t="s">
        <v>1766</v>
      </c>
      <c r="G218" s="3469"/>
      <c r="H218" s="3469"/>
      <c r="I218" s="319">
        <v>0.80141304347826092</v>
      </c>
      <c r="J218" s="1334" t="s">
        <v>714</v>
      </c>
      <c r="K218" s="1053"/>
      <c r="L218" s="278"/>
      <c r="M218" s="1333"/>
      <c r="N218" s="278"/>
      <c r="O218" s="278"/>
      <c r="P218" s="278"/>
      <c r="Q218" s="278"/>
      <c r="R218" s="278"/>
      <c r="S218" s="298"/>
      <c r="V218" s="4033"/>
      <c r="W218" s="323">
        <v>0.97</v>
      </c>
      <c r="X218" s="323">
        <v>0.97</v>
      </c>
      <c r="Y218" s="325">
        <v>0.80141304347826092</v>
      </c>
      <c r="Z218" s="319">
        <v>0.80141304347826092</v>
      </c>
      <c r="AA218" s="319">
        <v>0.80141304347826092</v>
      </c>
      <c r="AB218" s="319">
        <v>0.80141304347826092</v>
      </c>
      <c r="AC218" s="323"/>
      <c r="AD218" s="323"/>
      <c r="AE218" s="323"/>
      <c r="AF218" s="323"/>
      <c r="AG218" s="323"/>
    </row>
    <row r="219" spans="2:33" ht="30" outlineLevel="1" x14ac:dyDescent="0.25">
      <c r="B219" s="1359"/>
      <c r="C219" s="274"/>
      <c r="D219" s="3302" t="s">
        <v>1092</v>
      </c>
      <c r="E219" s="388" t="s">
        <v>1093</v>
      </c>
      <c r="F219" s="4037" t="s">
        <v>591</v>
      </c>
      <c r="G219" s="4038"/>
      <c r="H219" s="4039"/>
      <c r="I219" s="1987">
        <v>70</v>
      </c>
      <c r="J219" s="4040" t="s">
        <v>1084</v>
      </c>
      <c r="K219" s="3947"/>
      <c r="L219" s="278"/>
      <c r="M219" s="1333"/>
      <c r="N219" s="278"/>
      <c r="O219" s="3483" t="s">
        <v>1780</v>
      </c>
      <c r="P219" s="3646"/>
      <c r="Q219" s="1413"/>
      <c r="R219" s="1420" t="s">
        <v>1781</v>
      </c>
      <c r="S219" s="298"/>
      <c r="V219" s="1461" t="s">
        <v>1092</v>
      </c>
      <c r="W219" s="323"/>
      <c r="X219" s="323"/>
      <c r="Y219" s="1045">
        <v>70</v>
      </c>
      <c r="Z219" s="1051">
        <v>70</v>
      </c>
      <c r="AA219" s="1051">
        <v>70</v>
      </c>
      <c r="AB219" s="1051">
        <v>70</v>
      </c>
      <c r="AC219" s="323"/>
      <c r="AD219" s="323"/>
      <c r="AE219" s="323"/>
      <c r="AF219" s="323"/>
      <c r="AG219" s="323"/>
    </row>
    <row r="220" spans="2:33" ht="18" outlineLevel="1" x14ac:dyDescent="0.25">
      <c r="B220" s="1359"/>
      <c r="C220" s="274"/>
      <c r="D220" s="3302" t="s">
        <v>3850</v>
      </c>
      <c r="E220" s="1335" t="str">
        <f>'HVAC Deemed Table'!E68</f>
        <v>Effective full load cooling hours (in St. Louis)</v>
      </c>
      <c r="F220" s="4041" t="s">
        <v>591</v>
      </c>
      <c r="G220" s="4042"/>
      <c r="H220" s="4043"/>
      <c r="I220" s="1336">
        <v>1215</v>
      </c>
      <c r="J220" s="1334" t="s">
        <v>714</v>
      </c>
      <c r="K220" s="1053"/>
      <c r="L220" s="278"/>
      <c r="M220" s="1333"/>
      <c r="N220" s="278"/>
      <c r="O220" s="1412"/>
      <c r="P220" s="1416"/>
      <c r="Q220" s="1413"/>
      <c r="R220" s="1420"/>
      <c r="S220" s="298"/>
      <c r="T220" s="1095"/>
      <c r="V220" s="1461" t="s">
        <v>2205</v>
      </c>
      <c r="W220" s="1337">
        <v>1215</v>
      </c>
      <c r="X220" s="1337">
        <v>1215</v>
      </c>
      <c r="Y220" s="1336">
        <v>1215</v>
      </c>
      <c r="Z220" s="1336">
        <v>1215</v>
      </c>
      <c r="AA220" s="1336">
        <v>1215</v>
      </c>
      <c r="AB220" s="1336">
        <v>1215</v>
      </c>
      <c r="AC220" s="1337"/>
      <c r="AD220" s="1337"/>
      <c r="AE220" s="1337"/>
      <c r="AF220" s="1337"/>
      <c r="AG220" s="1337"/>
    </row>
    <row r="221" spans="2:33" ht="18" outlineLevel="1" x14ac:dyDescent="0.25">
      <c r="B221" s="1359"/>
      <c r="C221" s="274"/>
      <c r="D221" s="3302" t="s">
        <v>3851</v>
      </c>
      <c r="E221" s="1335" t="str">
        <f>'HVAC Deemed Table'!E69</f>
        <v>Wisconsin effective full load cooling hours</v>
      </c>
      <c r="F221" s="4041" t="s">
        <v>591</v>
      </c>
      <c r="G221" s="4042"/>
      <c r="H221" s="4043"/>
      <c r="I221" s="1340">
        <v>542.5</v>
      </c>
      <c r="J221" s="1334" t="s">
        <v>714</v>
      </c>
      <c r="K221" s="1053"/>
      <c r="L221" s="278"/>
      <c r="M221" s="1333"/>
      <c r="N221" s="278"/>
      <c r="O221" s="3619" t="s">
        <v>3222</v>
      </c>
      <c r="P221" s="3620"/>
      <c r="Q221" s="725">
        <v>0</v>
      </c>
      <c r="R221" s="1341">
        <f>($Q$227/1+Q221)-$Q$226/((1+$Q$229)^($Q$230-1))</f>
        <v>74.327224020150311</v>
      </c>
      <c r="V221" s="1461" t="s">
        <v>2206</v>
      </c>
      <c r="W221" s="1342">
        <v>542.5</v>
      </c>
      <c r="X221" s="1342">
        <v>542.5</v>
      </c>
      <c r="Y221" s="1340">
        <v>542.5</v>
      </c>
      <c r="Z221" s="1340">
        <v>542.5</v>
      </c>
      <c r="AA221" s="1340">
        <v>542.5</v>
      </c>
      <c r="AB221" s="1340">
        <v>542.5</v>
      </c>
      <c r="AC221" s="1342"/>
      <c r="AD221" s="1342"/>
      <c r="AE221" s="1342"/>
      <c r="AF221" s="1342"/>
      <c r="AG221" s="1342"/>
    </row>
    <row r="222" spans="2:33" outlineLevel="1" x14ac:dyDescent="0.25">
      <c r="B222" s="1359"/>
      <c r="C222" s="274"/>
      <c r="D222" s="3047" t="s">
        <v>1099</v>
      </c>
      <c r="E222" s="1335" t="s">
        <v>1100</v>
      </c>
      <c r="F222" s="4041" t="s">
        <v>591</v>
      </c>
      <c r="G222" s="4042"/>
      <c r="H222" s="4043"/>
      <c r="I222" s="1057">
        <v>25</v>
      </c>
      <c r="J222" s="4045" t="s">
        <v>1084</v>
      </c>
      <c r="K222" s="4046"/>
      <c r="L222" s="278"/>
      <c r="M222" s="1333"/>
      <c r="N222" s="278"/>
      <c r="R222" s="278"/>
      <c r="V222" s="1459" t="s">
        <v>1099</v>
      </c>
      <c r="W222" s="323"/>
      <c r="X222" s="323"/>
      <c r="Y222" s="702">
        <v>25</v>
      </c>
      <c r="Z222" s="1057">
        <v>25</v>
      </c>
      <c r="AA222" s="1057">
        <v>25</v>
      </c>
      <c r="AB222" s="1057">
        <v>25</v>
      </c>
      <c r="AC222" s="323"/>
      <c r="AD222" s="323"/>
      <c r="AE222" s="323"/>
      <c r="AF222" s="323"/>
      <c r="AG222" s="323"/>
    </row>
    <row r="223" spans="2:33" outlineLevel="1" x14ac:dyDescent="0.25">
      <c r="B223" s="1359"/>
      <c r="C223" s="274"/>
      <c r="D223" s="3047" t="s">
        <v>1101</v>
      </c>
      <c r="E223" s="1335" t="s">
        <v>1102</v>
      </c>
      <c r="F223" s="4041" t="s">
        <v>591</v>
      </c>
      <c r="G223" s="4042"/>
      <c r="H223" s="4043"/>
      <c r="I223" s="1057">
        <v>2960</v>
      </c>
      <c r="J223" s="4047"/>
      <c r="K223" s="4048"/>
      <c r="L223" s="278"/>
      <c r="M223" s="1333"/>
      <c r="N223" s="278"/>
      <c r="R223" s="278"/>
      <c r="V223" s="1459" t="s">
        <v>1101</v>
      </c>
      <c r="W223" s="323"/>
      <c r="X223" s="323"/>
      <c r="Y223" s="702">
        <v>2960</v>
      </c>
      <c r="Z223" s="1057">
        <v>2960</v>
      </c>
      <c r="AA223" s="1057">
        <v>2960</v>
      </c>
      <c r="AB223" s="1057">
        <v>2960</v>
      </c>
      <c r="AC223" s="323"/>
      <c r="AD223" s="323"/>
      <c r="AE223" s="323"/>
      <c r="AF223" s="323"/>
      <c r="AG223" s="323"/>
    </row>
    <row r="224" spans="2:33" ht="15" customHeight="1" outlineLevel="1" x14ac:dyDescent="0.25">
      <c r="B224" s="1359"/>
      <c r="C224" s="274"/>
      <c r="D224" s="3609" t="s">
        <v>2207</v>
      </c>
      <c r="E224" s="4049" t="s">
        <v>1104</v>
      </c>
      <c r="F224" s="4041" t="s">
        <v>1105</v>
      </c>
      <c r="G224" s="4042"/>
      <c r="H224" s="4043"/>
      <c r="I224" s="707">
        <v>8.8084612296306403E-2</v>
      </c>
      <c r="J224" s="4040" t="s">
        <v>1106</v>
      </c>
      <c r="K224" s="3947"/>
      <c r="L224" s="278"/>
      <c r="M224" s="1333"/>
      <c r="N224" s="278"/>
      <c r="R224" s="278"/>
      <c r="V224" s="3609" t="s">
        <v>2207</v>
      </c>
      <c r="W224" s="323"/>
      <c r="X224" s="323"/>
      <c r="Y224" s="706">
        <v>8.8084612296306403E-2</v>
      </c>
      <c r="Z224" s="707">
        <v>8.8084612296306403E-2</v>
      </c>
      <c r="AA224" s="707">
        <v>8.8084612296306403E-2</v>
      </c>
      <c r="AB224" s="707">
        <v>8.8084612296306403E-2</v>
      </c>
      <c r="AC224" s="323"/>
      <c r="AD224" s="323"/>
      <c r="AE224" s="323"/>
      <c r="AF224" s="323"/>
      <c r="AG224" s="323"/>
    </row>
    <row r="225" spans="1:57" outlineLevel="1" x14ac:dyDescent="0.25">
      <c r="B225" s="1359"/>
      <c r="C225" s="274"/>
      <c r="D225" s="3609"/>
      <c r="E225" s="4050"/>
      <c r="F225" s="4041" t="s">
        <v>1107</v>
      </c>
      <c r="G225" s="4042"/>
      <c r="H225" s="4043"/>
      <c r="I225" s="707">
        <v>8.8084612296306403E-2</v>
      </c>
      <c r="J225" s="4040" t="s">
        <v>1106</v>
      </c>
      <c r="K225" s="3947"/>
      <c r="L225" s="278"/>
      <c r="M225" s="1333"/>
      <c r="N225" s="278"/>
      <c r="O225" s="3483" t="s">
        <v>1112</v>
      </c>
      <c r="P225" s="3646"/>
      <c r="Q225" s="3533"/>
      <c r="R225" s="278"/>
      <c r="V225" s="3609"/>
      <c r="W225" s="323"/>
      <c r="X225" s="323"/>
      <c r="Y225" s="706">
        <v>8.8084612296306403E-2</v>
      </c>
      <c r="Z225" s="707">
        <v>8.8084612296306403E-2</v>
      </c>
      <c r="AA225" s="707">
        <v>8.8084612296306403E-2</v>
      </c>
      <c r="AB225" s="707">
        <v>8.8084612296306403E-2</v>
      </c>
      <c r="AC225" s="323"/>
      <c r="AD225" s="323"/>
      <c r="AE225" s="323"/>
      <c r="AF225" s="323"/>
      <c r="AG225" s="323"/>
    </row>
    <row r="226" spans="1:57" outlineLevel="1" x14ac:dyDescent="0.25">
      <c r="B226" s="1359"/>
      <c r="C226" s="274"/>
      <c r="D226" s="3047" t="s">
        <v>1108</v>
      </c>
      <c r="E226" s="1335" t="s">
        <v>1109</v>
      </c>
      <c r="F226" s="4041" t="s">
        <v>591</v>
      </c>
      <c r="G226" s="4042"/>
      <c r="H226" s="4043"/>
      <c r="I226" s="1057">
        <v>30</v>
      </c>
      <c r="J226" s="4045" t="s">
        <v>1084</v>
      </c>
      <c r="K226" s="4046"/>
      <c r="L226" s="278"/>
      <c r="M226" s="1333"/>
      <c r="N226" s="278"/>
      <c r="O226" s="3634" t="s">
        <v>1113</v>
      </c>
      <c r="P226" s="3635"/>
      <c r="Q226" s="732">
        <f>Q227*(1+Q228)^Q230</f>
        <v>534.92714915040006</v>
      </c>
      <c r="R226" s="278"/>
      <c r="V226" s="1459" t="s">
        <v>1108</v>
      </c>
      <c r="W226" s="323"/>
      <c r="X226" s="323"/>
      <c r="Y226" s="1045">
        <v>30</v>
      </c>
      <c r="Z226" s="1051">
        <v>30</v>
      </c>
      <c r="AA226" s="1051">
        <v>30</v>
      </c>
      <c r="AB226" s="1051">
        <v>30</v>
      </c>
      <c r="AC226" s="323"/>
      <c r="AD226" s="323"/>
      <c r="AE226" s="323"/>
      <c r="AF226" s="323"/>
      <c r="AG226" s="323"/>
    </row>
    <row r="227" spans="1:57" outlineLevel="1" x14ac:dyDescent="0.25">
      <c r="B227" s="1359"/>
      <c r="C227" s="274"/>
      <c r="D227" s="4051" t="s">
        <v>722</v>
      </c>
      <c r="E227" s="3567" t="str">
        <f>'HVAC Deemed Table'!E75</f>
        <v>65% MF value is not applicable in this case, because it should be based upon pressure drop in the system and many of the components will have the same pressure drop, filters, coils, grills, duct length, etc.</v>
      </c>
      <c r="F227" s="4034" t="s">
        <v>1765</v>
      </c>
      <c r="G227" s="3469"/>
      <c r="H227" s="3469"/>
      <c r="I227" s="1343">
        <v>1</v>
      </c>
      <c r="J227" s="4047"/>
      <c r="K227" s="4048"/>
      <c r="L227" s="278"/>
      <c r="M227" s="1333"/>
      <c r="N227" s="278"/>
      <c r="O227" s="3634" t="s">
        <v>1114</v>
      </c>
      <c r="P227" s="3635"/>
      <c r="Q227" s="734">
        <v>475</v>
      </c>
      <c r="R227" s="1344" t="s">
        <v>1115</v>
      </c>
      <c r="V227" s="4052" t="s">
        <v>722</v>
      </c>
      <c r="W227" s="323">
        <v>0.8</v>
      </c>
      <c r="X227" s="323">
        <v>0.8</v>
      </c>
      <c r="Y227" s="319">
        <v>1</v>
      </c>
      <c r="Z227" s="319">
        <v>1</v>
      </c>
      <c r="AA227" s="319">
        <v>1</v>
      </c>
      <c r="AB227" s="319">
        <v>1</v>
      </c>
      <c r="AC227" s="323"/>
      <c r="AD227" s="323"/>
      <c r="AE227" s="323"/>
      <c r="AF227" s="323"/>
      <c r="AG227" s="323"/>
    </row>
    <row r="228" spans="1:57" outlineLevel="1" x14ac:dyDescent="0.25">
      <c r="B228" s="1359"/>
      <c r="C228" s="274"/>
      <c r="D228" s="4052"/>
      <c r="E228" s="3567"/>
      <c r="F228" s="4034" t="s">
        <v>1766</v>
      </c>
      <c r="G228" s="3469"/>
      <c r="H228" s="3469"/>
      <c r="I228" s="319">
        <v>1</v>
      </c>
      <c r="J228" s="1053"/>
      <c r="K228" s="1053"/>
      <c r="L228" s="278"/>
      <c r="M228" s="1333"/>
      <c r="N228" s="278"/>
      <c r="O228" s="3634" t="s">
        <v>1116</v>
      </c>
      <c r="P228" s="3635"/>
      <c r="Q228" s="735">
        <v>0.02</v>
      </c>
      <c r="R228" s="278"/>
      <c r="V228" s="4052"/>
      <c r="W228" s="323">
        <v>0.8</v>
      </c>
      <c r="X228" s="323">
        <v>0.8</v>
      </c>
      <c r="Y228" s="319">
        <v>1</v>
      </c>
      <c r="Z228" s="319">
        <v>1</v>
      </c>
      <c r="AA228" s="319">
        <v>1</v>
      </c>
      <c r="AB228" s="319">
        <v>1</v>
      </c>
      <c r="AC228" s="323"/>
      <c r="AD228" s="323"/>
      <c r="AE228" s="323"/>
      <c r="AF228" s="323"/>
      <c r="AG228" s="323"/>
    </row>
    <row r="229" spans="1:57" s="2277" customFormat="1" outlineLevel="1" x14ac:dyDescent="0.25">
      <c r="A229" s="157"/>
      <c r="B229" s="1359"/>
      <c r="C229" s="274"/>
      <c r="D229" s="3100" t="s">
        <v>75</v>
      </c>
      <c r="E229" s="3099" t="s">
        <v>3614</v>
      </c>
      <c r="F229" s="4041" t="s">
        <v>591</v>
      </c>
      <c r="G229" s="4042"/>
      <c r="H229" s="4043"/>
      <c r="I229" s="319">
        <v>1</v>
      </c>
      <c r="J229" s="1053" t="s">
        <v>3615</v>
      </c>
      <c r="K229" s="1053"/>
      <c r="L229" s="278"/>
      <c r="M229" s="1333"/>
      <c r="N229" s="278"/>
      <c r="O229" s="2743" t="s">
        <v>1117</v>
      </c>
      <c r="P229" s="2744"/>
      <c r="Q229" s="735">
        <v>5.9499999999999997E-2</v>
      </c>
      <c r="R229" s="278"/>
      <c r="S229" s="157"/>
      <c r="T229" s="157"/>
      <c r="U229" s="157"/>
      <c r="V229" s="3100" t="s">
        <v>75</v>
      </c>
      <c r="W229" s="323"/>
      <c r="X229" s="323"/>
      <c r="Y229" s="319"/>
      <c r="Z229" s="319"/>
      <c r="AA229" s="319"/>
      <c r="AB229" s="325">
        <v>1</v>
      </c>
      <c r="AC229" s="323"/>
      <c r="AD229" s="323"/>
      <c r="AE229" s="323"/>
      <c r="AF229" s="323"/>
      <c r="AG229" s="323"/>
      <c r="BB229" s="1055"/>
    </row>
    <row r="230" spans="1:57" outlineLevel="1" x14ac:dyDescent="0.25">
      <c r="A230" s="648"/>
      <c r="B230" s="1359"/>
      <c r="C230" s="316"/>
      <c r="D230" s="4053" t="str">
        <f>D30</f>
        <v>EUL</v>
      </c>
      <c r="E230" s="4053" t="str">
        <f>E30</f>
        <v>End of Useful Life</v>
      </c>
      <c r="F230" s="3606" t="str">
        <f>E193</f>
        <v>ECM Auto Fan Early Replacement ER1 (Full Cost) - MFMR</v>
      </c>
      <c r="G230" s="3606"/>
      <c r="H230" s="3606"/>
      <c r="I230" s="1345">
        <v>6</v>
      </c>
      <c r="J230" s="714"/>
      <c r="K230" s="714" t="s">
        <v>37</v>
      </c>
      <c r="L230" s="278"/>
      <c r="M230" s="1333"/>
      <c r="N230" s="1339"/>
      <c r="O230" s="736" t="s">
        <v>1118</v>
      </c>
      <c r="P230" s="737"/>
      <c r="Q230" s="734">
        <v>6</v>
      </c>
      <c r="R230" s="278"/>
      <c r="V230" s="4053" t="str">
        <f>V30</f>
        <v>EUL</v>
      </c>
      <c r="W230" s="723">
        <v>6</v>
      </c>
      <c r="X230" s="723">
        <v>6</v>
      </c>
      <c r="Y230" s="1345">
        <v>6</v>
      </c>
      <c r="Z230" s="1345">
        <v>6</v>
      </c>
      <c r="AA230" s="1345">
        <v>6</v>
      </c>
      <c r="AB230" s="1345">
        <v>6</v>
      </c>
      <c r="AC230" s="723"/>
      <c r="AD230" s="723"/>
      <c r="AE230" s="723"/>
      <c r="AF230" s="723"/>
      <c r="AG230" s="723"/>
    </row>
    <row r="231" spans="1:57" outlineLevel="1" x14ac:dyDescent="0.25">
      <c r="A231" s="648"/>
      <c r="B231" s="1359"/>
      <c r="C231" s="317"/>
      <c r="D231" s="3609"/>
      <c r="E231" s="3609"/>
      <c r="F231" s="3606" t="str">
        <f>E194</f>
        <v>ECM Auto Fan Early Replacement ER2 (Remaining Life) - MFMR</v>
      </c>
      <c r="G231" s="3606"/>
      <c r="H231" s="3606"/>
      <c r="I231" s="1345">
        <v>12</v>
      </c>
      <c r="J231" s="714"/>
      <c r="K231" s="714" t="s">
        <v>37</v>
      </c>
      <c r="L231" s="278"/>
      <c r="M231" s="1333"/>
      <c r="N231" s="1339"/>
      <c r="R231" s="278"/>
      <c r="V231" s="3609"/>
      <c r="W231" s="723">
        <v>12</v>
      </c>
      <c r="X231" s="723">
        <v>12</v>
      </c>
      <c r="Y231" s="1345">
        <v>12</v>
      </c>
      <c r="Z231" s="1345">
        <v>12</v>
      </c>
      <c r="AA231" s="1345">
        <v>12</v>
      </c>
      <c r="AB231" s="1345">
        <v>12</v>
      </c>
      <c r="AC231" s="723"/>
      <c r="AD231" s="723"/>
      <c r="AE231" s="723"/>
      <c r="AF231" s="723"/>
      <c r="AG231" s="723"/>
    </row>
    <row r="232" spans="1:57" ht="18" customHeight="1" outlineLevel="1" x14ac:dyDescent="0.25">
      <c r="A232" s="648"/>
      <c r="B232" s="1359"/>
      <c r="C232" s="302"/>
      <c r="D232" s="4056" t="str">
        <f>D31</f>
        <v>Inc. Cost</v>
      </c>
      <c r="E232" s="4056" t="str">
        <f>E31</f>
        <v>Incremental Cost ($)</v>
      </c>
      <c r="F232" s="3606" t="str">
        <f>E193</f>
        <v>ECM Auto Fan Early Replacement ER1 (Full Cost) - MFMR</v>
      </c>
      <c r="G232" s="3606"/>
      <c r="H232" s="3606"/>
      <c r="I232" s="1346">
        <f>R221</f>
        <v>74.327224020150311</v>
      </c>
      <c r="J232" s="714"/>
      <c r="K232" s="714" t="s">
        <v>37</v>
      </c>
      <c r="L232" s="278"/>
      <c r="M232" s="1333"/>
      <c r="N232" s="1339"/>
      <c r="V232" s="4053" t="str">
        <f>V31</f>
        <v>Inc. Cost</v>
      </c>
      <c r="W232" s="733">
        <v>96.828432298395683</v>
      </c>
      <c r="X232" s="733">
        <v>96.828432298395683</v>
      </c>
      <c r="Y232" s="1347">
        <v>74.327224020150311</v>
      </c>
      <c r="Z232" s="1346">
        <v>74.327224020150311</v>
      </c>
      <c r="AA232" s="1346">
        <v>74.327224020150311</v>
      </c>
      <c r="AB232" s="1346">
        <v>74.327224020150311</v>
      </c>
      <c r="AC232" s="733"/>
      <c r="AD232" s="733"/>
      <c r="AE232" s="733"/>
      <c r="AF232" s="733"/>
      <c r="AG232" s="733"/>
    </row>
    <row r="233" spans="1:57" outlineLevel="1" x14ac:dyDescent="0.25">
      <c r="A233" s="648"/>
      <c r="B233" s="1148"/>
      <c r="C233" s="274"/>
      <c r="D233" s="3573"/>
      <c r="E233" s="3573"/>
      <c r="F233" s="3606" t="str">
        <f>E194</f>
        <v>ECM Auto Fan Early Replacement ER2 (Remaining Life) - MFMR</v>
      </c>
      <c r="G233" s="3606"/>
      <c r="H233" s="3606"/>
      <c r="I233" s="1346"/>
      <c r="J233" s="714"/>
      <c r="K233" s="714"/>
      <c r="L233" s="278"/>
      <c r="M233" s="1333"/>
      <c r="N233" s="1339"/>
      <c r="O233" s="298"/>
      <c r="P233" s="298"/>
      <c r="Q233" s="298"/>
      <c r="R233" s="298"/>
      <c r="V233" s="3527"/>
      <c r="W233" s="733"/>
      <c r="X233" s="733"/>
      <c r="Y233" s="1346"/>
      <c r="Z233" s="1346"/>
      <c r="AA233" s="1346"/>
      <c r="AB233" s="1346"/>
      <c r="AC233" s="733"/>
      <c r="AD233" s="733"/>
      <c r="AE233" s="733"/>
      <c r="AF233" s="733"/>
      <c r="AG233" s="733"/>
    </row>
    <row r="234" spans="1:57" outlineLevel="1" x14ac:dyDescent="0.25">
      <c r="D234" s="920"/>
      <c r="E234" s="920"/>
      <c r="F234" s="648"/>
      <c r="G234" s="648"/>
      <c r="H234" s="648"/>
      <c r="I234" s="648"/>
      <c r="J234" s="648"/>
      <c r="K234" s="648"/>
      <c r="L234" s="277"/>
      <c r="M234" s="277"/>
      <c r="N234" s="277"/>
      <c r="O234" s="648"/>
      <c r="P234" s="648"/>
    </row>
    <row r="235" spans="1:57" x14ac:dyDescent="0.25">
      <c r="L235" s="277"/>
      <c r="M235" s="277"/>
      <c r="N235" s="277"/>
    </row>
    <row r="236" spans="1:57" x14ac:dyDescent="0.25">
      <c r="B236" s="3350" t="s">
        <v>16</v>
      </c>
      <c r="C236" s="3351"/>
      <c r="D236" s="3351"/>
      <c r="E236" s="3351"/>
      <c r="F236" s="3351"/>
      <c r="G236" s="3351"/>
      <c r="H236" s="3351"/>
      <c r="I236" s="3352"/>
      <c r="J236" s="3352"/>
      <c r="K236" s="3352"/>
      <c r="L236" s="3352"/>
      <c r="M236" s="3352"/>
      <c r="N236" s="3352"/>
      <c r="O236" s="3352"/>
      <c r="P236" s="3352"/>
      <c r="Q236" s="3353"/>
      <c r="V236" s="3350" t="str">
        <f>B236</f>
        <v>Lighting</v>
      </c>
      <c r="W236" s="3351"/>
      <c r="X236" s="3351"/>
      <c r="Y236" s="3351"/>
      <c r="Z236" s="3351"/>
      <c r="AA236" s="3351"/>
      <c r="AB236" s="3351"/>
      <c r="AC236" s="3354"/>
      <c r="AD236" s="3354"/>
      <c r="AE236" s="3354"/>
      <c r="AF236" s="3354"/>
      <c r="AG236" s="3354"/>
      <c r="AH236" s="3354"/>
      <c r="AI236" s="3355"/>
    </row>
    <row r="238" spans="1:57" ht="30" x14ac:dyDescent="0.25">
      <c r="C238" s="2765" t="s">
        <v>17</v>
      </c>
      <c r="D238" s="1409" t="s">
        <v>616</v>
      </c>
      <c r="E238" s="1409" t="s">
        <v>19</v>
      </c>
      <c r="F238" s="1409" t="s">
        <v>20</v>
      </c>
      <c r="G238" s="1409" t="s">
        <v>519</v>
      </c>
      <c r="H238" s="1409" t="s">
        <v>520</v>
      </c>
      <c r="I238" s="1409" t="s">
        <v>521</v>
      </c>
      <c r="J238" s="1409" t="s">
        <v>522</v>
      </c>
      <c r="K238" s="1409" t="s">
        <v>523</v>
      </c>
      <c r="L238" s="1409" t="s">
        <v>524</v>
      </c>
      <c r="M238" s="1409" t="s">
        <v>23</v>
      </c>
      <c r="N238" s="1409" t="s">
        <v>527</v>
      </c>
      <c r="O238" s="1409" t="s">
        <v>528</v>
      </c>
      <c r="P238" s="1409" t="s">
        <v>529</v>
      </c>
      <c r="Q238" s="1409" t="s">
        <v>26</v>
      </c>
      <c r="R238" s="648"/>
      <c r="S238" s="648"/>
      <c r="T238" s="648"/>
      <c r="U238" s="648"/>
      <c r="V238" s="55" t="s">
        <v>27</v>
      </c>
      <c r="W238" s="56">
        <f>W$6</f>
        <v>43252</v>
      </c>
      <c r="X238" s="56">
        <f t="shared" ref="X238:AG238" si="51">X$6</f>
        <v>43465</v>
      </c>
      <c r="Y238" s="56">
        <f t="shared" si="51"/>
        <v>43800</v>
      </c>
      <c r="Z238" s="56">
        <f t="shared" si="51"/>
        <v>43862</v>
      </c>
      <c r="AA238" s="56">
        <f t="shared" si="51"/>
        <v>44013</v>
      </c>
      <c r="AB238" s="56">
        <f t="shared" si="51"/>
        <v>44166</v>
      </c>
      <c r="AC238" s="56" t="str">
        <f t="shared" si="51"/>
        <v>-</v>
      </c>
      <c r="AD238" s="56" t="str">
        <f t="shared" si="51"/>
        <v>-</v>
      </c>
      <c r="AE238" s="56" t="str">
        <f t="shared" si="51"/>
        <v>-</v>
      </c>
      <c r="AF238" s="56" t="str">
        <f t="shared" si="51"/>
        <v>-</v>
      </c>
      <c r="AG238" s="56" t="str">
        <f t="shared" si="51"/>
        <v>-</v>
      </c>
      <c r="BB238" s="57" t="str">
        <f>$BB$6</f>
        <v>TRC (2020)</v>
      </c>
      <c r="BC238" s="93" t="str">
        <f>$BC$6</f>
        <v>Benefit Lookup</v>
      </c>
      <c r="BD238" s="741" t="str">
        <f>$BD$6</f>
        <v>Benefits (2019 $)</v>
      </c>
      <c r="BE238" s="279" t="str">
        <f>$BE$6</f>
        <v>Incremental Cost (2019 $)</v>
      </c>
    </row>
    <row r="239" spans="1:57" x14ac:dyDescent="0.25">
      <c r="C239" s="86" t="s">
        <v>2208</v>
      </c>
      <c r="D239" s="1658" t="s">
        <v>2147</v>
      </c>
      <c r="E239" s="3022" t="s">
        <v>3481</v>
      </c>
      <c r="F239" s="2582">
        <f>ROUND(K239+L239,2)</f>
        <v>4.1100000000000003</v>
      </c>
      <c r="G239" s="389" t="s">
        <v>532</v>
      </c>
      <c r="H239" s="202">
        <f>VLOOKUP(G239,'CP FACTORS'!$A$3:$B$38, 2, FALSE)</f>
        <v>1.4925290000000001E-4</v>
      </c>
      <c r="I239" s="389" t="s">
        <v>36</v>
      </c>
      <c r="J239" s="202">
        <f>VLOOKUP(I239,'CP FACTORS'!$A$3:$B$38, 2, FALSE)</f>
        <v>1.899635E-4</v>
      </c>
      <c r="K239" s="3095">
        <f>(((F267-F283)*$F$299*(1-$F$300)*$F$301*$F$302/1000)*$F$305)</f>
        <v>4.1104694483127764</v>
      </c>
      <c r="L239" s="1345">
        <f>(((F267-F283)*$F$299*(1-$F$300)*$F$303*$F$304/1000)*(1-$F$305))</f>
        <v>0</v>
      </c>
      <c r="M239" s="139">
        <f>ROUND(((K239/F239)*H239+(L239/F239)*J239)*F239,6)</f>
        <v>6.1300000000000005E-4</v>
      </c>
      <c r="N239" s="141">
        <v>19</v>
      </c>
      <c r="O239" s="3095">
        <f t="shared" ref="O239:O254" si="52">20000/3351</f>
        <v>5.9683676514473287</v>
      </c>
      <c r="P239" s="1316">
        <v>2.0299999999999998</v>
      </c>
      <c r="Q239" s="253" t="s">
        <v>37</v>
      </c>
      <c r="V239" s="208" t="str">
        <f>F238</f>
        <v>kWh Annual Savings</v>
      </c>
      <c r="W239" s="1348">
        <v>4.1104694483127764</v>
      </c>
      <c r="X239" s="1348">
        <v>4.1104694483127764</v>
      </c>
      <c r="Y239" s="83">
        <v>4.1100000000000003</v>
      </c>
      <c r="Z239" s="83">
        <v>4.1100000000000003</v>
      </c>
      <c r="AA239" s="83">
        <v>4.1100000000000003</v>
      </c>
      <c r="AB239" s="2662">
        <v>4.1100000000000003</v>
      </c>
      <c r="AC239" s="1348"/>
      <c r="AD239" s="1348"/>
      <c r="AE239" s="1348"/>
      <c r="AF239" s="1348"/>
      <c r="AG239" s="1348"/>
      <c r="BB239" s="67">
        <f t="shared" ref="BB239:BB254" si="53">(BD239)/(BE239)</f>
        <v>1.256579415716806</v>
      </c>
      <c r="BC239" s="68" t="str">
        <f>CONCATENATE(G239," ",N239," Year EUL")</f>
        <v>Lighting RES 19 Year EUL</v>
      </c>
      <c r="BD239" s="145">
        <f>(INDEX('Avoided Cost Benefits'!$C$4:$C$857,MATCH(BC239,'Avoided Cost Benefits'!$A$4:$A$857,0)))*F239</f>
        <v>2.407603788489963</v>
      </c>
      <c r="BE239" s="69">
        <f>P239/(1.0595^(2020-2019))</f>
        <v>1.9159981123171304</v>
      </c>
    </row>
    <row r="240" spans="1:57" x14ac:dyDescent="0.25">
      <c r="C240" s="86" t="s">
        <v>2209</v>
      </c>
      <c r="D240" s="1658" t="s">
        <v>2147</v>
      </c>
      <c r="E240" s="3022" t="s">
        <v>3482</v>
      </c>
      <c r="F240" s="2582">
        <f t="shared" ref="F240:F254" si="54">ROUND(K240+L240,2)</f>
        <v>23.12</v>
      </c>
      <c r="G240" s="389" t="s">
        <v>532</v>
      </c>
      <c r="H240" s="202">
        <f>VLOOKUP(G240,'CP FACTORS'!$A$3:$B$38, 2, FALSE)</f>
        <v>1.4925290000000001E-4</v>
      </c>
      <c r="I240" s="389" t="s">
        <v>36</v>
      </c>
      <c r="J240" s="202">
        <f>VLOOKUP(I240,'CP FACTORS'!$A$3:$B$38, 2, FALSE)</f>
        <v>1.899635E-4</v>
      </c>
      <c r="K240" s="3095">
        <f>(((F268-F284)*$F$299*(1-$F$300)*$F$301*$F$302/1000)*$F$305)</f>
        <v>23.121390646759359</v>
      </c>
      <c r="L240" s="1345">
        <f t="shared" ref="L240:L253" si="55">(((F268-F284)*$F$299*(1-$F$300)*$F$303*$F$304/1000)*(1-$F$305))</f>
        <v>0</v>
      </c>
      <c r="M240" s="139">
        <f t="shared" ref="M240:M252" si="56">ROUND(((K240/F240)*H240+(L240/F240)*J240)*F240,6)</f>
        <v>3.4510000000000001E-3</v>
      </c>
      <c r="N240" s="141">
        <v>19</v>
      </c>
      <c r="O240" s="3095">
        <f t="shared" si="52"/>
        <v>5.9683676514473287</v>
      </c>
      <c r="P240" s="1316">
        <v>2.0299999999999998</v>
      </c>
      <c r="Q240" s="253" t="s">
        <v>37</v>
      </c>
      <c r="V240" s="2309" t="str">
        <f>V239</f>
        <v>kWh Annual Savings</v>
      </c>
      <c r="W240" s="1348">
        <v>22.042392416577254</v>
      </c>
      <c r="X240" s="1348">
        <v>22.042392416577254</v>
      </c>
      <c r="Y240" s="83">
        <v>22.04</v>
      </c>
      <c r="Z240" s="83">
        <v>22.04</v>
      </c>
      <c r="AA240" s="83">
        <v>22.04</v>
      </c>
      <c r="AB240" s="488">
        <v>23.12</v>
      </c>
      <c r="AC240" s="1348"/>
      <c r="AD240" s="1348"/>
      <c r="AE240" s="1348"/>
      <c r="AF240" s="1348"/>
      <c r="AG240" s="1348"/>
      <c r="BB240" s="71">
        <f t="shared" si="53"/>
        <v>7.0686413847621781</v>
      </c>
      <c r="BC240" s="72" t="str">
        <f t="shared" ref="BC240:BC254" si="57">CONCATENATE(G240," ",N240," Year EUL")</f>
        <v>Lighting RES 19 Year EUL</v>
      </c>
      <c r="BD240" s="148">
        <f>(INDEX('Avoided Cost Benefits'!$C$4:$C$857,MATCH(BC240,'Avoided Cost Benefits'!$A$4:$A$857,0)))*F240</f>
        <v>13.54350354985108</v>
      </c>
      <c r="BE240" s="73">
        <f t="shared" ref="BE240:BE254" si="58">P240/(1.0595^(2020-2019))</f>
        <v>1.9159981123171304</v>
      </c>
    </row>
    <row r="241" spans="1:57" x14ac:dyDescent="0.25">
      <c r="C241" s="86" t="s">
        <v>2210</v>
      </c>
      <c r="D241" s="1658" t="s">
        <v>2147</v>
      </c>
      <c r="E241" s="3022" t="s">
        <v>541</v>
      </c>
      <c r="F241" s="2582">
        <f t="shared" si="54"/>
        <v>5.46</v>
      </c>
      <c r="G241" s="389" t="s">
        <v>532</v>
      </c>
      <c r="H241" s="202">
        <f>VLOOKUP(G241,'CP FACTORS'!$A$3:$B$38, 2, FALSE)</f>
        <v>1.4925290000000001E-4</v>
      </c>
      <c r="I241" s="389" t="s">
        <v>36</v>
      </c>
      <c r="J241" s="202">
        <f>VLOOKUP(I241,'CP FACTORS'!$A$3:$B$38, 2, FALSE)</f>
        <v>1.899635E-4</v>
      </c>
      <c r="K241" s="3095">
        <f t="shared" ref="K241:K253" si="59">(((F269-F285)*$F$299*(1-$F$300)*$F$301*$F$302/1000)*$F$305)</f>
        <v>5.4592172360404048</v>
      </c>
      <c r="L241" s="1345">
        <f t="shared" si="55"/>
        <v>0</v>
      </c>
      <c r="M241" s="139">
        <f t="shared" si="56"/>
        <v>8.1499999999999997E-4</v>
      </c>
      <c r="N241" s="141">
        <v>19</v>
      </c>
      <c r="O241" s="3095">
        <f t="shared" si="52"/>
        <v>5.9683676514473287</v>
      </c>
      <c r="P241" s="1316">
        <v>4.1399999999999997</v>
      </c>
      <c r="Q241" s="253" t="s">
        <v>37</v>
      </c>
      <c r="V241" s="2309" t="str">
        <f t="shared" ref="V241:V253" si="60">V240</f>
        <v>kWh Annual Savings</v>
      </c>
      <c r="W241" s="1348">
        <v>5.4592172360404048</v>
      </c>
      <c r="X241" s="1348">
        <v>5.4592172360404048</v>
      </c>
      <c r="Y241" s="83">
        <v>5.46</v>
      </c>
      <c r="Z241" s="83">
        <v>5.46</v>
      </c>
      <c r="AA241" s="83">
        <v>5.46</v>
      </c>
      <c r="AB241" s="2662">
        <v>5.46</v>
      </c>
      <c r="AC241" s="1348"/>
      <c r="AD241" s="1348"/>
      <c r="AE241" s="1348"/>
      <c r="AF241" s="1348"/>
      <c r="AG241" s="1348"/>
      <c r="BB241" s="71">
        <f t="shared" si="53"/>
        <v>0.81853350070653241</v>
      </c>
      <c r="BC241" s="72" t="str">
        <f t="shared" si="57"/>
        <v>Lighting RES 19 Year EUL</v>
      </c>
      <c r="BD241" s="148">
        <f>(INDEX('Avoided Cost Benefits'!$C$4:$C$857,MATCH(BC241,'Avoided Cost Benefits'!$A$4:$A$857,0)))*F241</f>
        <v>3.1984225511326509</v>
      </c>
      <c r="BE241" s="73">
        <f t="shared" si="58"/>
        <v>3.9075035394053792</v>
      </c>
    </row>
    <row r="242" spans="1:57" ht="18" customHeight="1" x14ac:dyDescent="0.25">
      <c r="C242" s="86" t="s">
        <v>2211</v>
      </c>
      <c r="D242" s="1658" t="s">
        <v>2147</v>
      </c>
      <c r="E242" s="3022" t="s">
        <v>2212</v>
      </c>
      <c r="F242" s="2582">
        <f t="shared" si="54"/>
        <v>42.87</v>
      </c>
      <c r="G242" s="389" t="s">
        <v>532</v>
      </c>
      <c r="H242" s="202">
        <f>VLOOKUP(G242,'CP FACTORS'!$A$3:$B$38, 2, FALSE)</f>
        <v>1.4925290000000001E-4</v>
      </c>
      <c r="I242" s="389" t="s">
        <v>36</v>
      </c>
      <c r="J242" s="202">
        <f>VLOOKUP(I242,'CP FACTORS'!$A$3:$B$38, 2, FALSE)</f>
        <v>1.899635E-4</v>
      </c>
      <c r="K242" s="3095">
        <f t="shared" si="59"/>
        <v>42.870911824199645</v>
      </c>
      <c r="L242" s="1345">
        <f t="shared" si="55"/>
        <v>0</v>
      </c>
      <c r="M242" s="139">
        <f>ROUND(((K242/F242)*H242+(L242/F242)*J242)*F242,6)</f>
        <v>6.3990000000000002E-3</v>
      </c>
      <c r="N242" s="141">
        <v>19</v>
      </c>
      <c r="O242" s="3095">
        <f t="shared" si="52"/>
        <v>5.9683676514473287</v>
      </c>
      <c r="P242" s="1316">
        <v>4.1399999999999997</v>
      </c>
      <c r="Q242" s="253" t="s">
        <v>37</v>
      </c>
      <c r="V242" s="2309" t="str">
        <f t="shared" si="60"/>
        <v>kWh Annual Savings</v>
      </c>
      <c r="W242" s="1348">
        <v>42.870911824199645</v>
      </c>
      <c r="X242" s="1348">
        <v>42.870911824199645</v>
      </c>
      <c r="Y242" s="83">
        <v>42.87</v>
      </c>
      <c r="Z242" s="83">
        <v>42.87</v>
      </c>
      <c r="AA242" s="83">
        <v>42.87</v>
      </c>
      <c r="AB242" s="2662">
        <v>42.87</v>
      </c>
      <c r="AC242" s="1348"/>
      <c r="AD242" s="1348"/>
      <c r="AE242" s="1348"/>
      <c r="AF242" s="1348"/>
      <c r="AG242" s="1348"/>
      <c r="BB242" s="71">
        <f t="shared" si="53"/>
        <v>6.4268372115914003</v>
      </c>
      <c r="BC242" s="72" t="str">
        <f t="shared" si="57"/>
        <v>Lighting RES 19 Year EUL</v>
      </c>
      <c r="BD242" s="148">
        <f>(INDEX('Avoided Cost Benefits'!$C$4:$C$857,MATCH(BC242,'Avoided Cost Benefits'!$A$4:$A$857,0)))*F242</f>
        <v>25.112889151475596</v>
      </c>
      <c r="BE242" s="73">
        <f t="shared" si="58"/>
        <v>3.9075035394053792</v>
      </c>
    </row>
    <row r="243" spans="1:57" x14ac:dyDescent="0.25">
      <c r="C243" s="86" t="s">
        <v>2213</v>
      </c>
      <c r="D243" s="1658" t="s">
        <v>2147</v>
      </c>
      <c r="E243" s="3022" t="s">
        <v>2214</v>
      </c>
      <c r="F243" s="2582">
        <f t="shared" si="54"/>
        <v>22.49</v>
      </c>
      <c r="G243" s="389" t="s">
        <v>532</v>
      </c>
      <c r="H243" s="202">
        <f>VLOOKUP(G243,'CP FACTORS'!$A$3:$B$38, 2, FALSE)</f>
        <v>1.4925290000000001E-4</v>
      </c>
      <c r="I243" s="389" t="s">
        <v>36</v>
      </c>
      <c r="J243" s="202">
        <f>VLOOKUP(I243,'CP FACTORS'!$A$3:$B$38, 2, FALSE)</f>
        <v>1.899635E-4</v>
      </c>
      <c r="K243" s="3095">
        <f t="shared" si="59"/>
        <v>22.491975012486467</v>
      </c>
      <c r="L243" s="1345">
        <f t="shared" si="55"/>
        <v>0</v>
      </c>
      <c r="M243" s="139">
        <f t="shared" si="56"/>
        <v>3.3570000000000002E-3</v>
      </c>
      <c r="N243" s="141">
        <v>19</v>
      </c>
      <c r="O243" s="3095">
        <f t="shared" si="52"/>
        <v>5.9683676514473287</v>
      </c>
      <c r="P243" s="1316">
        <f>'Income Eligible Deemed Table'!$Q$1095</f>
        <v>4.72</v>
      </c>
      <c r="Q243" s="253" t="s">
        <v>37</v>
      </c>
      <c r="V243" s="2309" t="str">
        <f t="shared" si="60"/>
        <v>kWh Annual Savings</v>
      </c>
      <c r="W243" s="1348">
        <v>27.938347031500896</v>
      </c>
      <c r="X243" s="1348">
        <v>22.491975012486467</v>
      </c>
      <c r="Y243" s="83">
        <v>22.49</v>
      </c>
      <c r="Z243" s="83">
        <v>22.49</v>
      </c>
      <c r="AA243" s="83">
        <v>22.49</v>
      </c>
      <c r="AB243" s="2662">
        <v>22.49</v>
      </c>
      <c r="AC243" s="1348"/>
      <c r="AD243" s="1348"/>
      <c r="AE243" s="1348"/>
      <c r="AF243" s="1348"/>
      <c r="AG243" s="1348"/>
      <c r="BB243" s="71">
        <f t="shared" si="53"/>
        <v>2.9572743335150959</v>
      </c>
      <c r="BC243" s="72" t="str">
        <f t="shared" si="57"/>
        <v>Lighting RES 19 Year EUL</v>
      </c>
      <c r="BD243" s="148">
        <f>(INDEX('Avoided Cost Benefits'!$C$4:$C$857,MATCH(BC243,'Avoided Cost Benefits'!$A$4:$A$857,0)))*F243</f>
        <v>13.174454793951156</v>
      </c>
      <c r="BE243" s="73">
        <f t="shared" si="58"/>
        <v>4.4549315714959876</v>
      </c>
    </row>
    <row r="244" spans="1:57" x14ac:dyDescent="0.25">
      <c r="C244" s="86" t="s">
        <v>2215</v>
      </c>
      <c r="D244" s="1658" t="s">
        <v>2147</v>
      </c>
      <c r="E244" s="3022" t="s">
        <v>2216</v>
      </c>
      <c r="F244" s="2582">
        <f t="shared" si="54"/>
        <v>5.46</v>
      </c>
      <c r="G244" s="389" t="s">
        <v>532</v>
      </c>
      <c r="H244" s="202">
        <f>VLOOKUP(G244,'CP FACTORS'!$A$3:$B$38, 2, FALSE)</f>
        <v>1.4925290000000001E-4</v>
      </c>
      <c r="I244" s="389" t="s">
        <v>36</v>
      </c>
      <c r="J244" s="202">
        <f>VLOOKUP(I244,'CP FACTORS'!$A$3:$B$38, 2, FALSE)</f>
        <v>1.899635E-4</v>
      </c>
      <c r="K244" s="3095">
        <f t="shared" si="59"/>
        <v>5.4592172360404048</v>
      </c>
      <c r="L244" s="1345">
        <f t="shared" si="55"/>
        <v>0</v>
      </c>
      <c r="M244" s="139">
        <f t="shared" si="56"/>
        <v>8.1499999999999997E-4</v>
      </c>
      <c r="N244" s="141">
        <v>19</v>
      </c>
      <c r="O244" s="3095">
        <f t="shared" si="52"/>
        <v>5.9683676514473287</v>
      </c>
      <c r="P244" s="1316">
        <f>$P$243</f>
        <v>4.72</v>
      </c>
      <c r="Q244" s="253" t="s">
        <v>37</v>
      </c>
      <c r="V244" s="2309" t="str">
        <f t="shared" si="60"/>
        <v>kWh Annual Savings</v>
      </c>
      <c r="W244" s="1348">
        <v>5.4592172360404048</v>
      </c>
      <c r="X244" s="1348">
        <v>5.4592172360404048</v>
      </c>
      <c r="Y244" s="83">
        <v>5.46</v>
      </c>
      <c r="Z244" s="83">
        <v>5.46</v>
      </c>
      <c r="AA244" s="83">
        <v>5.46</v>
      </c>
      <c r="AB244" s="2662">
        <v>5.46</v>
      </c>
      <c r="AC244" s="1348"/>
      <c r="AD244" s="1348"/>
      <c r="AE244" s="1348"/>
      <c r="AF244" s="1348"/>
      <c r="AG244" s="1348"/>
      <c r="BB244" s="71">
        <f t="shared" si="53"/>
        <v>0.71795099426378062</v>
      </c>
      <c r="BC244" s="72" t="str">
        <f t="shared" si="57"/>
        <v>Lighting RES 19 Year EUL</v>
      </c>
      <c r="BD244" s="148">
        <f>(INDEX('Avoided Cost Benefits'!$C$4:$C$857,MATCH(BC244,'Avoided Cost Benefits'!$A$4:$A$857,0)))*F244</f>
        <v>3.1984225511326509</v>
      </c>
      <c r="BE244" s="73">
        <f t="shared" si="58"/>
        <v>4.4549315714959876</v>
      </c>
    </row>
    <row r="245" spans="1:57" x14ac:dyDescent="0.25">
      <c r="C245" s="86" t="s">
        <v>2217</v>
      </c>
      <c r="D245" s="1658" t="s">
        <v>2147</v>
      </c>
      <c r="E245" s="3022" t="s">
        <v>3483</v>
      </c>
      <c r="F245" s="2582">
        <f t="shared" si="54"/>
        <v>27.23</v>
      </c>
      <c r="G245" s="389" t="s">
        <v>532</v>
      </c>
      <c r="H245" s="202">
        <f>VLOOKUP(G245,'CP FACTORS'!$A$3:$B$38, 2, FALSE)</f>
        <v>1.4925290000000001E-4</v>
      </c>
      <c r="I245" s="389" t="s">
        <v>36</v>
      </c>
      <c r="J245" s="202">
        <f>VLOOKUP(I245,'CP FACTORS'!$A$3:$B$38, 2, FALSE)</f>
        <v>1.899635E-4</v>
      </c>
      <c r="K245" s="3095">
        <f t="shared" si="59"/>
        <v>27.231860095072133</v>
      </c>
      <c r="L245" s="1345">
        <f t="shared" si="55"/>
        <v>0</v>
      </c>
      <c r="M245" s="139">
        <f>ROUND(((K245/F245)*H245+(L245/F245)*J245)*F245,6)</f>
        <v>4.0639999999999999E-3</v>
      </c>
      <c r="N245" s="141">
        <v>19</v>
      </c>
      <c r="O245" s="3095">
        <f t="shared" si="52"/>
        <v>5.9683676514473287</v>
      </c>
      <c r="P245" s="1316">
        <f>'Income Eligible Deemed Table'!$Q$1097</f>
        <v>6.27</v>
      </c>
      <c r="Q245" s="253" t="s">
        <v>37</v>
      </c>
      <c r="V245" s="2309" t="str">
        <f t="shared" si="60"/>
        <v>kWh Annual Savings</v>
      </c>
      <c r="W245" s="1348">
        <v>27.231860095072133</v>
      </c>
      <c r="X245" s="1348">
        <v>27.231860095072133</v>
      </c>
      <c r="Y245" s="83">
        <v>27.23</v>
      </c>
      <c r="Z245" s="83">
        <v>27.23</v>
      </c>
      <c r="AA245" s="83">
        <v>27.23</v>
      </c>
      <c r="AB245" s="2662">
        <v>27.23</v>
      </c>
      <c r="AC245" s="1348"/>
      <c r="AD245" s="1348"/>
      <c r="AE245" s="1348"/>
      <c r="AF245" s="1348"/>
      <c r="AG245" s="1348"/>
      <c r="BB245" s="71">
        <f t="shared" si="53"/>
        <v>2.6954064154660826</v>
      </c>
      <c r="BC245" s="72" t="str">
        <f t="shared" si="57"/>
        <v>Lighting RES 19 Year EUL</v>
      </c>
      <c r="BD245" s="148">
        <f>(INDEX('Avoided Cost Benefits'!$C$4:$C$857,MATCH(BC245,'Avoided Cost Benefits'!$A$4:$A$857,0)))*F245</f>
        <v>15.951107338341043</v>
      </c>
      <c r="BE245" s="73">
        <f t="shared" si="58"/>
        <v>5.9178857951864074</v>
      </c>
    </row>
    <row r="246" spans="1:57" x14ac:dyDescent="0.25">
      <c r="C246" s="86" t="s">
        <v>2218</v>
      </c>
      <c r="D246" s="1658" t="s">
        <v>2147</v>
      </c>
      <c r="E246" s="3022" t="s">
        <v>3484</v>
      </c>
      <c r="F246" s="2582">
        <f t="shared" si="54"/>
        <v>5.33</v>
      </c>
      <c r="G246" s="389" t="s">
        <v>532</v>
      </c>
      <c r="H246" s="202">
        <f>VLOOKUP(G246,'CP FACTORS'!$A$3:$B$38, 2, FALSE)</f>
        <v>1.4925290000000001E-4</v>
      </c>
      <c r="I246" s="389" t="s">
        <v>36</v>
      </c>
      <c r="J246" s="202">
        <f>VLOOKUP(I246,'CP FACTORS'!$A$3:$B$38, 2, FALSE)</f>
        <v>1.899635E-4</v>
      </c>
      <c r="K246" s="3095">
        <f t="shared" si="59"/>
        <v>5.3307650657806303</v>
      </c>
      <c r="L246" s="1345">
        <f t="shared" si="55"/>
        <v>0</v>
      </c>
      <c r="M246" s="139">
        <f t="shared" si="56"/>
        <v>7.9600000000000005E-4</v>
      </c>
      <c r="N246" s="141">
        <v>19</v>
      </c>
      <c r="O246" s="3095">
        <f t="shared" si="52"/>
        <v>5.9683676514473287</v>
      </c>
      <c r="P246" s="1316">
        <f>$P$245</f>
        <v>6.27</v>
      </c>
      <c r="Q246" s="253" t="s">
        <v>37</v>
      </c>
      <c r="V246" s="2309" t="str">
        <f t="shared" si="60"/>
        <v>kWh Annual Savings</v>
      </c>
      <c r="W246" s="1348">
        <v>5.3307650657806303</v>
      </c>
      <c r="X246" s="1348">
        <v>5.3307650657806303</v>
      </c>
      <c r="Y246" s="83">
        <v>5.33</v>
      </c>
      <c r="Z246" s="83">
        <v>5.33</v>
      </c>
      <c r="AA246" s="83">
        <v>5.33</v>
      </c>
      <c r="AB246" s="2662">
        <v>5.33</v>
      </c>
      <c r="AC246" s="1348"/>
      <c r="AD246" s="1348"/>
      <c r="AE246" s="1348"/>
      <c r="AF246" s="1348"/>
      <c r="AG246" s="1348"/>
      <c r="BB246" s="71">
        <f t="shared" si="53"/>
        <v>0.52759883196600144</v>
      </c>
      <c r="BC246" s="72" t="str">
        <f t="shared" si="57"/>
        <v>Lighting RES 19 Year EUL</v>
      </c>
      <c r="BD246" s="148">
        <f>(INDEX('Avoided Cost Benefits'!$C$4:$C$857,MATCH(BC246,'Avoided Cost Benefits'!$A$4:$A$857,0)))*F246</f>
        <v>3.1222696332485405</v>
      </c>
      <c r="BE246" s="73">
        <f t="shared" si="58"/>
        <v>5.9178857951864074</v>
      </c>
    </row>
    <row r="247" spans="1:57" x14ac:dyDescent="0.25">
      <c r="C247" s="86" t="s">
        <v>2219</v>
      </c>
      <c r="D247" s="1658" t="s">
        <v>2147</v>
      </c>
      <c r="E247" s="3022" t="s">
        <v>3490</v>
      </c>
      <c r="F247" s="2582">
        <f t="shared" si="54"/>
        <v>36.61</v>
      </c>
      <c r="G247" s="389" t="s">
        <v>532</v>
      </c>
      <c r="H247" s="202">
        <f>VLOOKUP(G247,'CP FACTORS'!$A$3:$B$38, 2, FALSE)</f>
        <v>1.4925290000000001E-4</v>
      </c>
      <c r="I247" s="389" t="s">
        <v>36</v>
      </c>
      <c r="J247" s="202">
        <f>VLOOKUP(I247,'CP FACTORS'!$A$3:$B$38, 2, FALSE)</f>
        <v>1.899635E-4</v>
      </c>
      <c r="K247" s="3095">
        <f t="shared" si="59"/>
        <v>36.60886852403565</v>
      </c>
      <c r="L247" s="1345">
        <f t="shared" si="55"/>
        <v>0</v>
      </c>
      <c r="M247" s="139">
        <f t="shared" si="56"/>
        <v>5.4640000000000001E-3</v>
      </c>
      <c r="N247" s="141">
        <v>19</v>
      </c>
      <c r="O247" s="3095">
        <f t="shared" si="52"/>
        <v>5.9683676514473287</v>
      </c>
      <c r="P247" s="1316">
        <f>'Income Eligible Deemed Table'!$Q$1101</f>
        <v>7.83</v>
      </c>
      <c r="Q247" s="253" t="s">
        <v>37</v>
      </c>
      <c r="V247" s="2309" t="str">
        <f t="shared" si="60"/>
        <v>kWh Annual Savings</v>
      </c>
      <c r="W247" s="1348">
        <v>36.60886852403565</v>
      </c>
      <c r="X247" s="1348">
        <v>36.60886852403565</v>
      </c>
      <c r="Y247" s="83">
        <v>36.61</v>
      </c>
      <c r="Z247" s="83">
        <v>36.61</v>
      </c>
      <c r="AA247" s="83">
        <v>36.61</v>
      </c>
      <c r="AB247" s="2662">
        <v>36.61</v>
      </c>
      <c r="AC247" s="1348"/>
      <c r="AD247" s="1348"/>
      <c r="AE247" s="1348"/>
      <c r="AF247" s="1348"/>
      <c r="AG247" s="1348"/>
      <c r="BB247" s="71">
        <f t="shared" si="53"/>
        <v>2.9018978720892656</v>
      </c>
      <c r="BC247" s="72" t="str">
        <f t="shared" si="57"/>
        <v>Lighting RES 19 Year EUL</v>
      </c>
      <c r="BD247" s="148">
        <f>(INDEX('Avoided Cost Benefits'!$C$4:$C$857,MATCH(BC247,'Avoided Cost Benefits'!$A$4:$A$857,0)))*F247</f>
        <v>21.445833259517649</v>
      </c>
      <c r="BE247" s="73">
        <f t="shared" si="58"/>
        <v>7.3902784332232176</v>
      </c>
    </row>
    <row r="248" spans="1:57" x14ac:dyDescent="0.25">
      <c r="C248" s="86" t="s">
        <v>2220</v>
      </c>
      <c r="D248" s="1658" t="s">
        <v>2147</v>
      </c>
      <c r="E248" s="3022" t="s">
        <v>3489</v>
      </c>
      <c r="F248" s="2582">
        <f t="shared" si="54"/>
        <v>6.29</v>
      </c>
      <c r="G248" s="389" t="s">
        <v>532</v>
      </c>
      <c r="H248" s="202">
        <f>VLOOKUP(G248,'CP FACTORS'!$A$3:$B$38, 2, FALSE)</f>
        <v>1.4925290000000001E-4</v>
      </c>
      <c r="I248" s="389" t="s">
        <v>36</v>
      </c>
      <c r="J248" s="202">
        <f>VLOOKUP(I248,'CP FACTORS'!$A$3:$B$38, 2, FALSE)</f>
        <v>1.899635E-4</v>
      </c>
      <c r="K248" s="3095">
        <f t="shared" si="59"/>
        <v>6.2941563427289378</v>
      </c>
      <c r="L248" s="1345">
        <f t="shared" si="55"/>
        <v>0</v>
      </c>
      <c r="M248" s="139">
        <f>ROUND(((K248/F248)*H248+(L248/F248)*J248)*F248,6)</f>
        <v>9.3899999999999995E-4</v>
      </c>
      <c r="N248" s="141">
        <v>19</v>
      </c>
      <c r="O248" s="3095">
        <f t="shared" si="52"/>
        <v>5.9683676514473287</v>
      </c>
      <c r="P248" s="1316">
        <f>$P$247</f>
        <v>7.83</v>
      </c>
      <c r="Q248" s="253" t="s">
        <v>37</v>
      </c>
      <c r="V248" s="2309" t="str">
        <f t="shared" si="60"/>
        <v>kWh Annual Savings</v>
      </c>
      <c r="W248" s="1348">
        <v>6.2941563427289378</v>
      </c>
      <c r="X248" s="1348">
        <v>6.2941563427289378</v>
      </c>
      <c r="Y248" s="83">
        <v>6.29</v>
      </c>
      <c r="Z248" s="83">
        <v>6.29</v>
      </c>
      <c r="AA248" s="83">
        <v>6.29</v>
      </c>
      <c r="AB248" s="2662">
        <v>6.29</v>
      </c>
      <c r="AC248" s="1348"/>
      <c r="AD248" s="1348"/>
      <c r="AE248" s="1348"/>
      <c r="AF248" s="1348"/>
      <c r="AG248" s="1348"/>
      <c r="BB248" s="71">
        <f t="shared" si="53"/>
        <v>0.49857791902325815</v>
      </c>
      <c r="BC248" s="72" t="str">
        <f t="shared" si="57"/>
        <v>Lighting RES 19 Year EUL</v>
      </c>
      <c r="BD248" s="148">
        <f>(INDEX('Avoided Cost Benefits'!$C$4:$C$857,MATCH(BC248,'Avoided Cost Benefits'!$A$4:$A$857,0)))*F248</f>
        <v>3.6846296422388964</v>
      </c>
      <c r="BE248" s="73">
        <f t="shared" si="58"/>
        <v>7.3902784332232176</v>
      </c>
    </row>
    <row r="249" spans="1:57" s="2277" customFormat="1" x14ac:dyDescent="0.25">
      <c r="A249" s="157"/>
      <c r="B249" s="157"/>
      <c r="C249" s="86" t="s">
        <v>3642</v>
      </c>
      <c r="D249" s="1658" t="s">
        <v>2147</v>
      </c>
      <c r="E249" s="3022" t="s">
        <v>3639</v>
      </c>
      <c r="F249" s="2582">
        <f t="shared" si="54"/>
        <v>34.68</v>
      </c>
      <c r="G249" s="389" t="s">
        <v>532</v>
      </c>
      <c r="H249" s="202">
        <v>1.4925290000000001E-4</v>
      </c>
      <c r="I249" s="389" t="s">
        <v>36</v>
      </c>
      <c r="J249" s="202">
        <v>1.899635E-4</v>
      </c>
      <c r="K249" s="3095">
        <f t="shared" si="59"/>
        <v>34.682085970139042</v>
      </c>
      <c r="L249" s="1345">
        <f t="shared" si="55"/>
        <v>0</v>
      </c>
      <c r="M249" s="139">
        <v>5.176E-3</v>
      </c>
      <c r="N249" s="141">
        <v>19</v>
      </c>
      <c r="O249" s="3095">
        <v>5.9683676514473287</v>
      </c>
      <c r="P249" s="1316">
        <v>1.66</v>
      </c>
      <c r="Q249" s="253" t="s">
        <v>37</v>
      </c>
      <c r="R249" s="157"/>
      <c r="S249" s="157"/>
      <c r="T249" s="157"/>
      <c r="U249" s="157"/>
      <c r="V249" s="2309" t="str">
        <f t="shared" si="60"/>
        <v>kWh Annual Savings</v>
      </c>
      <c r="W249" s="2311"/>
      <c r="X249" s="2311"/>
      <c r="Y249" s="83"/>
      <c r="Z249" s="83"/>
      <c r="AA249" s="83"/>
      <c r="AB249" s="488">
        <v>34.68</v>
      </c>
      <c r="AC249" s="2311"/>
      <c r="AD249" s="2311"/>
      <c r="AE249" s="2311"/>
      <c r="AF249" s="2311"/>
      <c r="AG249" s="2311"/>
      <c r="BB249" s="71">
        <f t="shared" ref="BB249:BB253" si="61">(BD249)/(BE249)</f>
        <v>12.966272901566766</v>
      </c>
      <c r="BC249" s="2295" t="str">
        <f t="shared" ref="BC249:BC253" si="62">CONCATENATE(G249," ",N249," Year EUL")</f>
        <v>Lighting RES 19 Year EUL</v>
      </c>
      <c r="BD249" s="148">
        <f>(INDEX('Avoided Cost Benefits'!$C$4:$C$857,MATCH(BC249,'Avoided Cost Benefits'!$A$4:$A$857,0)))*F249</f>
        <v>20.315255324776619</v>
      </c>
      <c r="BE249" s="2296">
        <f t="shared" ref="BE249:BE253" si="63">P249/(1.0595^(2020-2019))</f>
        <v>1.5667767815007076</v>
      </c>
    </row>
    <row r="250" spans="1:57" s="2277" customFormat="1" x14ac:dyDescent="0.25">
      <c r="A250" s="157"/>
      <c r="B250" s="157"/>
      <c r="C250" s="86" t="s">
        <v>3643</v>
      </c>
      <c r="D250" s="1658" t="s">
        <v>2147</v>
      </c>
      <c r="E250" s="3022" t="s">
        <v>3486</v>
      </c>
      <c r="F250" s="2582">
        <f t="shared" si="54"/>
        <v>5.07</v>
      </c>
      <c r="G250" s="389" t="s">
        <v>532</v>
      </c>
      <c r="H250" s="202">
        <v>1.4925290000000001E-4</v>
      </c>
      <c r="I250" s="389" t="s">
        <v>36</v>
      </c>
      <c r="J250" s="202">
        <v>1.899635E-4</v>
      </c>
      <c r="K250" s="3095">
        <f t="shared" si="59"/>
        <v>5.0667244935799838</v>
      </c>
      <c r="L250" s="1345">
        <f t="shared" si="55"/>
        <v>0</v>
      </c>
      <c r="M250" s="139">
        <v>7.5600000000000005E-4</v>
      </c>
      <c r="N250" s="141">
        <v>19</v>
      </c>
      <c r="O250" s="3095">
        <v>5.9683676514473287</v>
      </c>
      <c r="P250" s="1316">
        <v>1.66</v>
      </c>
      <c r="Q250" s="253" t="s">
        <v>37</v>
      </c>
      <c r="R250" s="157"/>
      <c r="S250" s="157"/>
      <c r="T250" s="157"/>
      <c r="U250" s="157"/>
      <c r="V250" s="2309" t="str">
        <f t="shared" si="60"/>
        <v>kWh Annual Savings</v>
      </c>
      <c r="W250" s="2311"/>
      <c r="X250" s="2311"/>
      <c r="Y250" s="83"/>
      <c r="Z250" s="83"/>
      <c r="AA250" s="83"/>
      <c r="AB250" s="488">
        <v>5.07</v>
      </c>
      <c r="AC250" s="2311"/>
      <c r="AD250" s="2311"/>
      <c r="AE250" s="2311"/>
      <c r="AF250" s="2311"/>
      <c r="AG250" s="2311"/>
      <c r="BB250" s="71">
        <f t="shared" si="61"/>
        <v>1.8955883394159028</v>
      </c>
      <c r="BC250" s="2295" t="str">
        <f t="shared" si="62"/>
        <v>Lighting RES 19 Year EUL</v>
      </c>
      <c r="BD250" s="148">
        <f>(INDEX('Avoided Cost Benefits'!$C$4:$C$857,MATCH(BC250,'Avoided Cost Benefits'!$A$4:$A$857,0)))*F250</f>
        <v>2.969963797480319</v>
      </c>
      <c r="BE250" s="2296">
        <f t="shared" si="63"/>
        <v>1.5667767815007076</v>
      </c>
    </row>
    <row r="251" spans="1:57" x14ac:dyDescent="0.25">
      <c r="C251" s="86" t="s">
        <v>2221</v>
      </c>
      <c r="D251" s="1658" t="s">
        <v>2147</v>
      </c>
      <c r="E251" s="3022" t="s">
        <v>549</v>
      </c>
      <c r="F251" s="2582">
        <f t="shared" si="54"/>
        <v>32.31</v>
      </c>
      <c r="G251" s="389" t="s">
        <v>532</v>
      </c>
      <c r="H251" s="202">
        <f>VLOOKUP(G251,'CP FACTORS'!$A$3:$B$38, 2, FALSE)</f>
        <v>1.4925290000000001E-4</v>
      </c>
      <c r="I251" s="389" t="s">
        <v>36</v>
      </c>
      <c r="J251" s="202">
        <f>VLOOKUP(I251,'CP FACTORS'!$A$3:$B$38, 2, FALSE)</f>
        <v>1.899635E-4</v>
      </c>
      <c r="K251" s="3095">
        <f t="shared" si="59"/>
        <v>32.305720820333214</v>
      </c>
      <c r="L251" s="1345">
        <f t="shared" si="55"/>
        <v>0</v>
      </c>
      <c r="M251" s="139">
        <f t="shared" si="56"/>
        <v>4.8219999999999999E-3</v>
      </c>
      <c r="N251" s="141">
        <v>19</v>
      </c>
      <c r="O251" s="3095">
        <f t="shared" si="52"/>
        <v>5.9683676514473287</v>
      </c>
      <c r="P251" s="1316">
        <f>$P$252</f>
        <v>3.05</v>
      </c>
      <c r="Q251" s="253" t="s">
        <v>37</v>
      </c>
      <c r="V251" s="2309" t="str">
        <f t="shared" si="60"/>
        <v>kWh Annual Savings</v>
      </c>
      <c r="W251" s="1348">
        <v>32.691077331112538</v>
      </c>
      <c r="X251" s="1348">
        <v>32.305720820333214</v>
      </c>
      <c r="Y251" s="83">
        <v>32.31</v>
      </c>
      <c r="Z251" s="83">
        <v>32.31</v>
      </c>
      <c r="AA251" s="83">
        <v>32.31</v>
      </c>
      <c r="AB251" s="2662">
        <v>32.31</v>
      </c>
      <c r="AC251" s="1348"/>
      <c r="AD251" s="1348"/>
      <c r="AE251" s="1348"/>
      <c r="AF251" s="1348"/>
      <c r="AG251" s="1348"/>
      <c r="BB251" s="71">
        <f t="shared" si="61"/>
        <v>6.5747807643312424</v>
      </c>
      <c r="BC251" s="2295" t="str">
        <f t="shared" si="62"/>
        <v>Lighting RES 19 Year EUL</v>
      </c>
      <c r="BD251" s="148">
        <f>(INDEX('Avoided Cost Benefits'!$C$4:$C$857,MATCH(BC251,'Avoided Cost Benefits'!$A$4:$A$857,0)))*F251</f>
        <v>18.926929052581677</v>
      </c>
      <c r="BE251" s="2296">
        <f t="shared" si="63"/>
        <v>2.8787163756488905</v>
      </c>
    </row>
    <row r="252" spans="1:57" x14ac:dyDescent="0.25">
      <c r="C252" s="86" t="s">
        <v>2222</v>
      </c>
      <c r="D252" s="1658" t="s">
        <v>2147</v>
      </c>
      <c r="E252" s="3022" t="s">
        <v>547</v>
      </c>
      <c r="F252" s="2582">
        <f t="shared" si="54"/>
        <v>3.08</v>
      </c>
      <c r="G252" s="389" t="s">
        <v>532</v>
      </c>
      <c r="H252" s="202">
        <f>VLOOKUP(G252,'CP FACTORS'!$A$3:$B$38, 2, FALSE)</f>
        <v>1.4925290000000001E-4</v>
      </c>
      <c r="I252" s="389" t="s">
        <v>36</v>
      </c>
      <c r="J252" s="202">
        <f>VLOOKUP(I252,'CP FACTORS'!$A$3:$B$38, 2, FALSE)</f>
        <v>1.899635E-4</v>
      </c>
      <c r="K252" s="3095">
        <f t="shared" si="59"/>
        <v>3.0828520862345816</v>
      </c>
      <c r="L252" s="1345">
        <f t="shared" si="55"/>
        <v>0</v>
      </c>
      <c r="M252" s="139">
        <f t="shared" si="56"/>
        <v>4.6000000000000001E-4</v>
      </c>
      <c r="N252" s="141">
        <v>19</v>
      </c>
      <c r="O252" s="3095">
        <f t="shared" si="52"/>
        <v>5.9683676514473287</v>
      </c>
      <c r="P252" s="1316">
        <v>3.05</v>
      </c>
      <c r="Q252" s="253" t="s">
        <v>37</v>
      </c>
      <c r="V252" s="2309" t="str">
        <f t="shared" si="60"/>
        <v>kWh Annual Savings</v>
      </c>
      <c r="W252" s="1348">
        <v>3.0828520862345816</v>
      </c>
      <c r="X252" s="1348">
        <v>3.0828520862345816</v>
      </c>
      <c r="Y252" s="83">
        <v>3.08</v>
      </c>
      <c r="Z252" s="83">
        <v>3.08</v>
      </c>
      <c r="AA252" s="83">
        <v>3.08</v>
      </c>
      <c r="AB252" s="2662">
        <v>3.08</v>
      </c>
      <c r="AC252" s="1348"/>
      <c r="AD252" s="1348"/>
      <c r="AE252" s="1348"/>
      <c r="AF252" s="1348"/>
      <c r="AG252" s="1348"/>
      <c r="BB252" s="71">
        <f t="shared" si="61"/>
        <v>0.62675099827113057</v>
      </c>
      <c r="BC252" s="2295" t="str">
        <f t="shared" si="62"/>
        <v>Lighting RES 19 Year EUL</v>
      </c>
      <c r="BD252" s="148">
        <f>(INDEX('Avoided Cost Benefits'!$C$4:$C$857,MATCH(BC252,'Avoided Cost Benefits'!$A$4:$A$857,0)))*F252</f>
        <v>1.804238362177393</v>
      </c>
      <c r="BE252" s="2296">
        <f t="shared" si="63"/>
        <v>2.8787163756488905</v>
      </c>
    </row>
    <row r="253" spans="1:57" s="2277" customFormat="1" x14ac:dyDescent="0.25">
      <c r="A253" s="157"/>
      <c r="B253" s="157"/>
      <c r="C253" s="86" t="s">
        <v>3640</v>
      </c>
      <c r="D253" s="1658" t="s">
        <v>2147</v>
      </c>
      <c r="E253" s="3022" t="s">
        <v>3641</v>
      </c>
      <c r="F253" s="2582">
        <f t="shared" si="54"/>
        <v>14.77</v>
      </c>
      <c r="G253" s="389" t="s">
        <v>532</v>
      </c>
      <c r="H253" s="202">
        <v>1.4925290000000001E-4</v>
      </c>
      <c r="I253" s="389" t="s">
        <v>36</v>
      </c>
      <c r="J253" s="202">
        <v>1.899635E-4</v>
      </c>
      <c r="K253" s="3095">
        <f t="shared" si="59"/>
        <v>14.771999579874034</v>
      </c>
      <c r="L253" s="1345">
        <f t="shared" si="55"/>
        <v>0</v>
      </c>
      <c r="M253" s="139">
        <v>2.2049999999999999E-3</v>
      </c>
      <c r="N253" s="141">
        <v>19</v>
      </c>
      <c r="O253" s="3095">
        <v>5.9683676514473287</v>
      </c>
      <c r="P253" s="1316">
        <v>0.35</v>
      </c>
      <c r="Q253" s="253" t="s">
        <v>37</v>
      </c>
      <c r="R253" s="157"/>
      <c r="S253" s="157"/>
      <c r="T253" s="157"/>
      <c r="U253" s="157"/>
      <c r="V253" s="2309" t="str">
        <f t="shared" si="60"/>
        <v>kWh Annual Savings</v>
      </c>
      <c r="W253" s="2311"/>
      <c r="X253" s="2311"/>
      <c r="Y253" s="83"/>
      <c r="Z253" s="83"/>
      <c r="AA253" s="83"/>
      <c r="AB253" s="488">
        <v>14.77</v>
      </c>
      <c r="AC253" s="2311"/>
      <c r="AD253" s="2311"/>
      <c r="AE253" s="2311"/>
      <c r="AF253" s="2311"/>
      <c r="AG253" s="2311"/>
      <c r="BB253" s="71">
        <f t="shared" si="61"/>
        <v>26.191273047882209</v>
      </c>
      <c r="BC253" s="2295" t="str">
        <f t="shared" si="62"/>
        <v>Lighting RES 19 Year EUL</v>
      </c>
      <c r="BD253" s="148">
        <f>(INDEX('Avoided Cost Benefits'!$C$4:$C$857,MATCH(BC253,'Avoided Cost Benefits'!$A$4:$A$857,0)))*F253</f>
        <v>8.6521430549870431</v>
      </c>
      <c r="BE253" s="2296">
        <f t="shared" si="63"/>
        <v>0.33034450212364319</v>
      </c>
    </row>
    <row r="254" spans="1:57" x14ac:dyDescent="0.25">
      <c r="C254" s="86" t="s">
        <v>2223</v>
      </c>
      <c r="D254" s="1658" t="s">
        <v>2147</v>
      </c>
      <c r="E254" s="3102" t="s">
        <v>2224</v>
      </c>
      <c r="F254" s="2582">
        <f t="shared" si="54"/>
        <v>22</v>
      </c>
      <c r="G254" s="389" t="s">
        <v>532</v>
      </c>
      <c r="H254" s="202">
        <f>VLOOKUP(G254,'CP FACTORS'!$A$3:$B$38, 2, FALSE)</f>
        <v>1.4925290000000001E-4</v>
      </c>
      <c r="I254" s="389" t="s">
        <v>36</v>
      </c>
      <c r="J254" s="202">
        <f>VLOOKUP(I254,'CP FACTORS'!$A$3:$B$38, 2, FALSE)</f>
        <v>1.899635E-4</v>
      </c>
      <c r="K254" s="3095">
        <f>22*F305</f>
        <v>22</v>
      </c>
      <c r="L254" s="1345">
        <f>(((F285-F301)*$F$299*(1-$F$300)*$F$303*$F$304/1000)*(1-$F$305))</f>
        <v>0</v>
      </c>
      <c r="M254" s="139">
        <f>ROUND(((K254/F254)*H254+(L254/F254)*J254)*F254,6)</f>
        <v>3.284E-3</v>
      </c>
      <c r="N254" s="141">
        <v>19</v>
      </c>
      <c r="O254" s="3095">
        <f t="shared" si="52"/>
        <v>5.9683676514473287</v>
      </c>
      <c r="P254" s="1316">
        <v>0.35</v>
      </c>
      <c r="Q254" s="253" t="s">
        <v>37</v>
      </c>
      <c r="V254" s="2309" t="str">
        <f>V253</f>
        <v>kWh Annual Savings</v>
      </c>
      <c r="W254" s="1348">
        <v>22</v>
      </c>
      <c r="X254" s="1348">
        <v>22</v>
      </c>
      <c r="Y254" s="83">
        <v>22</v>
      </c>
      <c r="Z254" s="83">
        <v>22</v>
      </c>
      <c r="AA254" s="83">
        <v>22</v>
      </c>
      <c r="AB254" s="2662">
        <v>22</v>
      </c>
      <c r="AC254" s="1348"/>
      <c r="AD254" s="1348"/>
      <c r="AE254" s="1348"/>
      <c r="AF254" s="1348"/>
      <c r="AG254" s="1348"/>
      <c r="BB254" s="74">
        <f t="shared" si="53"/>
        <v>39.012051933203018</v>
      </c>
      <c r="BC254" s="72" t="str">
        <f t="shared" si="57"/>
        <v>Lighting RES 19 Year EUL</v>
      </c>
      <c r="BD254" s="153">
        <f>(INDEX('Avoided Cost Benefits'!$C$4:$C$857,MATCH(BC254,'Avoided Cost Benefits'!$A$4:$A$857,0)))*F254</f>
        <v>12.887416872695663</v>
      </c>
      <c r="BE254" s="75">
        <f t="shared" si="58"/>
        <v>0.33034450212364319</v>
      </c>
    </row>
    <row r="255" spans="1:57" outlineLevel="1" x14ac:dyDescent="0.25">
      <c r="D255" s="600"/>
      <c r="E255" s="1227"/>
      <c r="F255" s="768"/>
      <c r="G255" s="1946"/>
      <c r="H255" s="1349"/>
      <c r="I255" s="1988"/>
      <c r="J255" s="157" t="s">
        <v>570</v>
      </c>
      <c r="L255" s="1949"/>
      <c r="M255" s="768"/>
    </row>
    <row r="256" spans="1:57" outlineLevel="1" x14ac:dyDescent="0.25">
      <c r="D256" s="600"/>
      <c r="E256" s="545" t="s">
        <v>2225</v>
      </c>
      <c r="L256" s="1949"/>
      <c r="M256" s="768"/>
    </row>
    <row r="257" spans="4:33" outlineLevel="1" x14ac:dyDescent="0.25">
      <c r="D257" s="600"/>
      <c r="L257" s="1949"/>
      <c r="M257" s="768"/>
    </row>
    <row r="258" spans="4:33" outlineLevel="1" x14ac:dyDescent="0.25">
      <c r="D258" s="600"/>
      <c r="L258" s="1949"/>
      <c r="M258" s="768"/>
    </row>
    <row r="259" spans="4:33" outlineLevel="1" x14ac:dyDescent="0.25">
      <c r="D259" s="600"/>
      <c r="L259" s="1949"/>
      <c r="M259" s="768"/>
    </row>
    <row r="260" spans="4:33" outlineLevel="1" x14ac:dyDescent="0.25">
      <c r="D260" s="600"/>
      <c r="L260" s="1949"/>
      <c r="M260" s="768"/>
    </row>
    <row r="261" spans="4:33" outlineLevel="1" x14ac:dyDescent="0.25">
      <c r="D261" s="600"/>
      <c r="L261" s="1949"/>
      <c r="M261" s="768"/>
    </row>
    <row r="262" spans="4:33" outlineLevel="1" x14ac:dyDescent="0.25">
      <c r="D262" s="600"/>
      <c r="L262" s="1949"/>
      <c r="M262" s="768"/>
    </row>
    <row r="263" spans="4:33" outlineLevel="1" x14ac:dyDescent="0.25"/>
    <row r="264" spans="4:33" outlineLevel="1" x14ac:dyDescent="0.25"/>
    <row r="265" spans="4:33" outlineLevel="1" x14ac:dyDescent="0.25"/>
    <row r="266" spans="4:33" outlineLevel="1" x14ac:dyDescent="0.25">
      <c r="D266" s="1234" t="s">
        <v>573</v>
      </c>
      <c r="E266" s="1234" t="s">
        <v>71</v>
      </c>
      <c r="F266" s="1435" t="s">
        <v>574</v>
      </c>
      <c r="G266" s="3966" t="s">
        <v>575</v>
      </c>
      <c r="H266" s="3966"/>
      <c r="V266" s="55" t="s">
        <v>27</v>
      </c>
      <c r="W266" s="56">
        <f>W$6</f>
        <v>43252</v>
      </c>
      <c r="X266" s="56">
        <f t="shared" ref="X266:AG266" si="64">X$6</f>
        <v>43465</v>
      </c>
      <c r="Y266" s="56">
        <f t="shared" si="64"/>
        <v>43800</v>
      </c>
      <c r="Z266" s="56">
        <f t="shared" si="64"/>
        <v>43862</v>
      </c>
      <c r="AA266" s="420">
        <f t="shared" si="64"/>
        <v>44013</v>
      </c>
      <c r="AB266" s="420">
        <f t="shared" si="64"/>
        <v>44166</v>
      </c>
      <c r="AC266" s="56" t="str">
        <f t="shared" si="64"/>
        <v>-</v>
      </c>
      <c r="AD266" s="56" t="str">
        <f t="shared" si="64"/>
        <v>-</v>
      </c>
      <c r="AE266" s="56" t="str">
        <f t="shared" si="64"/>
        <v>-</v>
      </c>
      <c r="AF266" s="56" t="str">
        <f t="shared" si="64"/>
        <v>-</v>
      </c>
      <c r="AG266" s="56" t="str">
        <f t="shared" si="64"/>
        <v>-</v>
      </c>
    </row>
    <row r="267" spans="4:33" ht="15" customHeight="1" outlineLevel="1" x14ac:dyDescent="0.25">
      <c r="D267" s="4057" t="s">
        <v>3638</v>
      </c>
      <c r="E267" s="3102" t="str">
        <f t="shared" ref="E267:E276" si="65">E239</f>
        <v>LED - 10W (CFL baseline) (750-1049 lumens)</v>
      </c>
      <c r="F267" s="85">
        <v>13.4</v>
      </c>
      <c r="G267" s="4019"/>
      <c r="H267" s="4019"/>
      <c r="V267" s="3824" t="str">
        <f>D267</f>
        <v>Watt Base</v>
      </c>
      <c r="W267" s="83">
        <v>13.4</v>
      </c>
      <c r="X267" s="83">
        <v>13.4</v>
      </c>
      <c r="Y267" s="85">
        <v>13.4</v>
      </c>
      <c r="Z267" s="85">
        <v>13.4</v>
      </c>
      <c r="AA267" s="85">
        <v>13.4</v>
      </c>
      <c r="AB267" s="85">
        <v>13.4</v>
      </c>
      <c r="AC267" s="83"/>
      <c r="AD267" s="83"/>
      <c r="AE267" s="83"/>
      <c r="AF267" s="83"/>
      <c r="AG267" s="83"/>
    </row>
    <row r="268" spans="4:33" ht="15" customHeight="1" outlineLevel="1" x14ac:dyDescent="0.25">
      <c r="D268" s="3358"/>
      <c r="E268" s="3102" t="str">
        <f t="shared" si="65"/>
        <v>LED - 10W (Halogen baseline) (750-1049 lumens)</v>
      </c>
      <c r="F268" s="85">
        <v>43</v>
      </c>
      <c r="G268" s="4020" t="s">
        <v>582</v>
      </c>
      <c r="H268" s="4020"/>
      <c r="V268" s="3834"/>
      <c r="W268" s="83">
        <v>41.32</v>
      </c>
      <c r="X268" s="83">
        <v>41.32</v>
      </c>
      <c r="Y268" s="85">
        <v>41.32</v>
      </c>
      <c r="Z268" s="85">
        <v>41.32</v>
      </c>
      <c r="AA268" s="85">
        <v>41.32</v>
      </c>
      <c r="AB268" s="2298">
        <v>43</v>
      </c>
      <c r="AC268" s="83"/>
      <c r="AD268" s="83"/>
      <c r="AE268" s="83"/>
      <c r="AF268" s="83"/>
      <c r="AG268" s="83"/>
    </row>
    <row r="269" spans="4:33" ht="15" customHeight="1" outlineLevel="1" x14ac:dyDescent="0.25">
      <c r="D269" s="3358"/>
      <c r="E269" s="3102" t="str">
        <f t="shared" si="65"/>
        <v>LED - 12W Dimmable Light Bulb (Replacing CFL)</v>
      </c>
      <c r="F269" s="85">
        <v>18</v>
      </c>
      <c r="G269" s="4019"/>
      <c r="H269" s="4019"/>
      <c r="V269" s="3834"/>
      <c r="W269" s="1351">
        <f>'Lighting Deemed Table'!W46</f>
        <v>18</v>
      </c>
      <c r="X269" s="1351">
        <f>'Lighting Deemed Table'!X46</f>
        <v>18</v>
      </c>
      <c r="Y269" s="89">
        <v>18</v>
      </c>
      <c r="Z269" s="89">
        <v>18</v>
      </c>
      <c r="AA269" s="89">
        <v>18</v>
      </c>
      <c r="AB269" s="85">
        <v>18</v>
      </c>
      <c r="AC269" s="1351"/>
      <c r="AD269" s="1351"/>
      <c r="AE269" s="1351"/>
      <c r="AF269" s="1351"/>
      <c r="AG269" s="1351"/>
    </row>
    <row r="270" spans="4:33" ht="15" customHeight="1" outlineLevel="1" x14ac:dyDescent="0.25">
      <c r="D270" s="3358"/>
      <c r="E270" s="3102" t="str">
        <f t="shared" si="65"/>
        <v>LED - 12W Dimmable Light Bulb (Replacing Specialty Incandescent)</v>
      </c>
      <c r="F270" s="85">
        <v>76.25</v>
      </c>
      <c r="G270" s="4020" t="s">
        <v>582</v>
      </c>
      <c r="H270" s="4020"/>
      <c r="V270" s="3834"/>
      <c r="W270" s="1351">
        <v>76.25</v>
      </c>
      <c r="X270" s="1351">
        <v>76.25</v>
      </c>
      <c r="Y270" s="89">
        <v>76.25</v>
      </c>
      <c r="Z270" s="89">
        <v>76.25</v>
      </c>
      <c r="AA270" s="89">
        <v>76.25</v>
      </c>
      <c r="AB270" s="85">
        <v>76.25</v>
      </c>
      <c r="AC270" s="1351"/>
      <c r="AD270" s="1351"/>
      <c r="AE270" s="1351"/>
      <c r="AF270" s="1351"/>
      <c r="AG270" s="1351"/>
    </row>
    <row r="271" spans="4:33" ht="15" customHeight="1" outlineLevel="1" x14ac:dyDescent="0.25">
      <c r="D271" s="3358"/>
      <c r="E271" s="3102" t="str">
        <f t="shared" si="65"/>
        <v>LED - 12W (Halogen baseline)</v>
      </c>
      <c r="F271" s="85">
        <v>44.25</v>
      </c>
      <c r="G271" s="2477" t="str">
        <f>'Income Eligible Deemed Table'!H1129</f>
        <v>Ameren Missouri Community Savers Evaluation PY2018</v>
      </c>
      <c r="H271" s="3096"/>
      <c r="V271" s="3834"/>
      <c r="W271" s="1351">
        <f>'Income Eligible Deemed Table'!W1129</f>
        <v>53</v>
      </c>
      <c r="X271" s="621">
        <f>'Income Eligible Deemed Table'!X1129</f>
        <v>44.25</v>
      </c>
      <c r="Y271" s="89">
        <v>44.25</v>
      </c>
      <c r="Z271" s="89">
        <v>44.25</v>
      </c>
      <c r="AA271" s="89">
        <v>44.25</v>
      </c>
      <c r="AB271" s="85">
        <v>44.25</v>
      </c>
      <c r="AC271" s="1351"/>
      <c r="AD271" s="1351"/>
      <c r="AE271" s="1351"/>
      <c r="AF271" s="1351"/>
      <c r="AG271" s="1351"/>
    </row>
    <row r="272" spans="4:33" ht="15" customHeight="1" outlineLevel="1" x14ac:dyDescent="0.25">
      <c r="D272" s="3358"/>
      <c r="E272" s="3102" t="str">
        <f t="shared" si="65"/>
        <v>LED - 12W (Replacing CFL)</v>
      </c>
      <c r="F272" s="85">
        <v>18</v>
      </c>
      <c r="G272" s="4054"/>
      <c r="H272" s="4055"/>
      <c r="V272" s="3834"/>
      <c r="W272" s="1351">
        <f>'Income Eligible Deemed Table'!W1143</f>
        <v>18</v>
      </c>
      <c r="X272" s="1351">
        <f>'Income Eligible Deemed Table'!X1143</f>
        <v>18</v>
      </c>
      <c r="Y272" s="89">
        <v>18</v>
      </c>
      <c r="Z272" s="89">
        <v>18</v>
      </c>
      <c r="AA272" s="89">
        <v>18</v>
      </c>
      <c r="AB272" s="85">
        <v>18</v>
      </c>
      <c r="AC272" s="1351"/>
      <c r="AD272" s="1351"/>
      <c r="AE272" s="1351"/>
      <c r="AF272" s="1351"/>
      <c r="AG272" s="1351"/>
    </row>
    <row r="273" spans="1:54" ht="15" customHeight="1" outlineLevel="1" x14ac:dyDescent="0.25">
      <c r="D273" s="3358"/>
      <c r="E273" s="3102" t="str">
        <f t="shared" si="65"/>
        <v>LED - 15W (Halogen baseline) (1050-1489 lumens)</v>
      </c>
      <c r="F273" s="85">
        <v>53</v>
      </c>
      <c r="G273" s="2477" t="str">
        <f>'Income Eligible Deemed Table'!H1131</f>
        <v>Average lumen-equivalent halogen wattage for program bulbs</v>
      </c>
      <c r="H273" s="3096"/>
      <c r="V273" s="3834"/>
      <c r="W273" s="1351">
        <f>'Income Eligible Deemed Table'!W1131</f>
        <v>53</v>
      </c>
      <c r="X273" s="1351">
        <f>'Income Eligible Deemed Table'!X1131</f>
        <v>53</v>
      </c>
      <c r="Y273" s="89">
        <v>53</v>
      </c>
      <c r="Z273" s="89">
        <v>53</v>
      </c>
      <c r="AA273" s="89">
        <v>53</v>
      </c>
      <c r="AB273" s="85">
        <v>53</v>
      </c>
      <c r="AC273" s="1351"/>
      <c r="AD273" s="1351"/>
      <c r="AE273" s="1351"/>
      <c r="AF273" s="1351"/>
      <c r="AG273" s="1351"/>
    </row>
    <row r="274" spans="1:54" ht="15" customHeight="1" outlineLevel="1" x14ac:dyDescent="0.25">
      <c r="D274" s="3358"/>
      <c r="E274" s="3102" t="str">
        <f t="shared" si="65"/>
        <v>LED - 15W (CFL baseline) (1050-1489 lumens)</v>
      </c>
      <c r="F274" s="85">
        <v>18.899999999999999</v>
      </c>
      <c r="G274" s="4054"/>
      <c r="H274" s="4055"/>
      <c r="V274" s="3834"/>
      <c r="W274" s="1351">
        <f>'Income Eligible Deemed Table'!W1144</f>
        <v>18.899999999999999</v>
      </c>
      <c r="X274" s="1351">
        <f>'Income Eligible Deemed Table'!X1144</f>
        <v>18.899999999999999</v>
      </c>
      <c r="Y274" s="89">
        <v>18.899999999999999</v>
      </c>
      <c r="Z274" s="89">
        <v>18.899999999999999</v>
      </c>
      <c r="AA274" s="89">
        <v>18.899999999999999</v>
      </c>
      <c r="AB274" s="85">
        <v>18.899999999999999</v>
      </c>
      <c r="AC274" s="1351"/>
      <c r="AD274" s="1351"/>
      <c r="AE274" s="1351"/>
      <c r="AF274" s="1351"/>
      <c r="AG274" s="1351"/>
    </row>
    <row r="275" spans="1:54" ht="15" customHeight="1" outlineLevel="1" x14ac:dyDescent="0.25">
      <c r="D275" s="3358"/>
      <c r="E275" s="3102" t="str">
        <f t="shared" si="65"/>
        <v>LED - 20W (Halogen baseline) (1490-2600 lumens)</v>
      </c>
      <c r="F275" s="85">
        <v>72</v>
      </c>
      <c r="G275" s="2477" t="str">
        <f>'Income Eligible Deemed Table'!H1135</f>
        <v>Average lumen-equivalent halogen wattage for program bulbs</v>
      </c>
      <c r="H275" s="3096"/>
      <c r="V275" s="3834"/>
      <c r="W275" s="1351">
        <f>'Income Eligible Deemed Table'!W1135</f>
        <v>72</v>
      </c>
      <c r="X275" s="1351">
        <f>'Income Eligible Deemed Table'!X1135</f>
        <v>72</v>
      </c>
      <c r="Y275" s="89">
        <v>72</v>
      </c>
      <c r="Z275" s="89">
        <v>72</v>
      </c>
      <c r="AA275" s="89">
        <v>72</v>
      </c>
      <c r="AB275" s="85">
        <v>72</v>
      </c>
      <c r="AC275" s="1351"/>
      <c r="AD275" s="1351"/>
      <c r="AE275" s="1351"/>
      <c r="AF275" s="1351"/>
      <c r="AG275" s="1351"/>
    </row>
    <row r="276" spans="1:54" ht="15" customHeight="1" outlineLevel="1" x14ac:dyDescent="0.25">
      <c r="D276" s="3358"/>
      <c r="E276" s="3102" t="str">
        <f t="shared" si="65"/>
        <v>LED - 20W (CFL baseline) (1490-2600 lumens)</v>
      </c>
      <c r="F276" s="85">
        <v>24.8</v>
      </c>
      <c r="G276" s="4054"/>
      <c r="H276" s="4055"/>
      <c r="V276" s="3834"/>
      <c r="W276" s="1351">
        <f>'Income Eligible Deemed Table'!W1148</f>
        <v>24.8</v>
      </c>
      <c r="X276" s="1351">
        <f>'Income Eligible Deemed Table'!X1148</f>
        <v>24.8</v>
      </c>
      <c r="Y276" s="89">
        <v>24.8</v>
      </c>
      <c r="Z276" s="89">
        <v>24.8</v>
      </c>
      <c r="AA276" s="89">
        <v>24.8</v>
      </c>
      <c r="AB276" s="85">
        <v>24.8</v>
      </c>
      <c r="AC276" s="1351"/>
      <c r="AD276" s="1351"/>
      <c r="AE276" s="1351"/>
      <c r="AF276" s="1351"/>
      <c r="AG276" s="1351"/>
    </row>
    <row r="277" spans="1:54" s="2277" customFormat="1" ht="15" customHeight="1" outlineLevel="1" x14ac:dyDescent="0.25">
      <c r="A277" s="157"/>
      <c r="B277" s="157"/>
      <c r="C277" s="385"/>
      <c r="D277" s="3358"/>
      <c r="E277" s="3102" t="s">
        <v>3639</v>
      </c>
      <c r="F277" s="85">
        <v>65</v>
      </c>
      <c r="G277" s="4054" t="s">
        <v>3496</v>
      </c>
      <c r="H277" s="4055"/>
      <c r="I277" s="157"/>
      <c r="J277" s="157"/>
      <c r="K277" s="157"/>
      <c r="L277" s="157"/>
      <c r="M277" s="157"/>
      <c r="N277" s="157"/>
      <c r="O277" s="157"/>
      <c r="P277" s="157"/>
      <c r="Q277" s="157"/>
      <c r="R277" s="157"/>
      <c r="S277" s="157"/>
      <c r="T277" s="157"/>
      <c r="U277" s="157"/>
      <c r="V277" s="3834"/>
      <c r="W277" s="1351"/>
      <c r="X277" s="1351"/>
      <c r="Y277" s="89"/>
      <c r="Z277" s="89"/>
      <c r="AA277" s="89"/>
      <c r="AB277" s="2298">
        <v>65</v>
      </c>
      <c r="AC277" s="1351"/>
      <c r="AD277" s="1351"/>
      <c r="AE277" s="1351"/>
      <c r="AF277" s="1351"/>
      <c r="AG277" s="1351"/>
      <c r="BB277" s="1055"/>
    </row>
    <row r="278" spans="1:54" s="2277" customFormat="1" ht="15" customHeight="1" outlineLevel="1" x14ac:dyDescent="0.25">
      <c r="A278" s="157"/>
      <c r="B278" s="157"/>
      <c r="C278" s="385"/>
      <c r="D278" s="3358"/>
      <c r="E278" s="3102" t="s">
        <v>3486</v>
      </c>
      <c r="F278" s="85">
        <v>18.888888888888889</v>
      </c>
      <c r="G278" s="4054" t="s">
        <v>3495</v>
      </c>
      <c r="H278" s="4055"/>
      <c r="I278" s="157"/>
      <c r="J278" s="157"/>
      <c r="K278" s="157"/>
      <c r="L278" s="157"/>
      <c r="M278" s="157"/>
      <c r="N278" s="157"/>
      <c r="O278" s="157"/>
      <c r="P278" s="157"/>
      <c r="Q278" s="157"/>
      <c r="R278" s="157"/>
      <c r="S278" s="157"/>
      <c r="T278" s="157"/>
      <c r="U278" s="157"/>
      <c r="V278" s="3834"/>
      <c r="W278" s="1351"/>
      <c r="X278" s="1351"/>
      <c r="Y278" s="89"/>
      <c r="Z278" s="89"/>
      <c r="AA278" s="89"/>
      <c r="AB278" s="2298">
        <v>18.888888888888889</v>
      </c>
      <c r="AC278" s="1351"/>
      <c r="AD278" s="1351"/>
      <c r="AE278" s="1351"/>
      <c r="AF278" s="1351"/>
      <c r="AG278" s="1351"/>
      <c r="BB278" s="1055"/>
    </row>
    <row r="279" spans="1:54" ht="15" customHeight="1" outlineLevel="1" x14ac:dyDescent="0.25">
      <c r="D279" s="3358"/>
      <c r="E279" s="3102" t="str">
        <f>E251</f>
        <v>LED - 15W Flood Light PAR30 Bulb (Halogen baseline)</v>
      </c>
      <c r="F279" s="85">
        <v>60.9</v>
      </c>
      <c r="G279" s="4054"/>
      <c r="H279" s="4055"/>
      <c r="V279" s="3834"/>
      <c r="W279" s="1351">
        <f>'Lighting Deemed Table'!W53</f>
        <v>62.1</v>
      </c>
      <c r="X279" s="621">
        <f>'Lighting Deemed Table'!X53</f>
        <v>60.9</v>
      </c>
      <c r="Y279" s="89">
        <v>60.9</v>
      </c>
      <c r="Z279" s="89">
        <v>60.9</v>
      </c>
      <c r="AA279" s="89">
        <v>60.9</v>
      </c>
      <c r="AB279" s="85">
        <v>60.9</v>
      </c>
      <c r="AC279" s="1351"/>
      <c r="AD279" s="1351"/>
      <c r="AE279" s="1351"/>
      <c r="AF279" s="1351"/>
      <c r="AG279" s="1351"/>
    </row>
    <row r="280" spans="1:54" ht="15" customHeight="1" outlineLevel="1" x14ac:dyDescent="0.25">
      <c r="D280" s="3358"/>
      <c r="E280" s="3102" t="str">
        <f>E252</f>
        <v>LED - 15W Flood Light PAR30 Bulb (CFL baseline)</v>
      </c>
      <c r="F280" s="85">
        <v>16</v>
      </c>
      <c r="G280" s="4054"/>
      <c r="H280" s="4055"/>
      <c r="V280" s="3834"/>
      <c r="W280" s="1247">
        <f>'Lighting Deemed Table'!W52</f>
        <v>16</v>
      </c>
      <c r="X280" s="1247">
        <f>'Lighting Deemed Table'!X52</f>
        <v>16</v>
      </c>
      <c r="Y280" s="1247">
        <v>16</v>
      </c>
      <c r="Z280" s="1247">
        <v>16</v>
      </c>
      <c r="AA280" s="1247">
        <v>16</v>
      </c>
      <c r="AB280" s="85">
        <v>16</v>
      </c>
      <c r="AC280" s="1247"/>
      <c r="AD280" s="1247"/>
      <c r="AE280" s="1247"/>
      <c r="AF280" s="1247"/>
      <c r="AG280" s="1247"/>
    </row>
    <row r="281" spans="1:54" s="2277" customFormat="1" ht="15" customHeight="1" outlineLevel="1" x14ac:dyDescent="0.25">
      <c r="A281" s="157"/>
      <c r="B281" s="157"/>
      <c r="C281" s="385"/>
      <c r="D281" s="3358"/>
      <c r="E281" s="3102" t="s">
        <v>3641</v>
      </c>
      <c r="F281" s="85">
        <v>29</v>
      </c>
      <c r="G281" s="4054" t="s">
        <v>586</v>
      </c>
      <c r="H281" s="4055"/>
      <c r="I281" s="157"/>
      <c r="J281" s="157"/>
      <c r="K281" s="157"/>
      <c r="L281" s="157"/>
      <c r="M281" s="157"/>
      <c r="N281" s="157"/>
      <c r="O281" s="157"/>
      <c r="P281" s="157"/>
      <c r="Q281" s="157"/>
      <c r="R281" s="157"/>
      <c r="S281" s="157"/>
      <c r="T281" s="157"/>
      <c r="U281" s="157"/>
      <c r="V281" s="3834"/>
      <c r="W281" s="1247"/>
      <c r="X281" s="1247"/>
      <c r="Y281" s="1247"/>
      <c r="Z281" s="1247"/>
      <c r="AA281" s="1247"/>
      <c r="AB281" s="2298">
        <v>29</v>
      </c>
      <c r="AC281" s="1247"/>
      <c r="AD281" s="1247"/>
      <c r="AE281" s="1247"/>
      <c r="AF281" s="1247"/>
      <c r="AG281" s="1247"/>
      <c r="BB281" s="1055"/>
    </row>
    <row r="282" spans="1:54" ht="15.75" outlineLevel="1" thickBot="1" x14ac:dyDescent="0.3">
      <c r="D282" s="3389"/>
      <c r="E282" s="2479" t="str">
        <f t="shared" ref="E282" si="66">E254</f>
        <v>LED Nightlights</v>
      </c>
      <c r="F282" s="2480" t="s">
        <v>859</v>
      </c>
      <c r="G282" s="4058" t="s">
        <v>2226</v>
      </c>
      <c r="H282" s="4058"/>
      <c r="V282" s="4076"/>
      <c r="W282" s="2857" t="s">
        <v>859</v>
      </c>
      <c r="X282" s="2857" t="s">
        <v>859</v>
      </c>
      <c r="Y282" s="1243" t="s">
        <v>859</v>
      </c>
      <c r="Z282" s="1243" t="s">
        <v>859</v>
      </c>
      <c r="AA282" s="1243" t="s">
        <v>859</v>
      </c>
      <c r="AB282" s="2480" t="s">
        <v>859</v>
      </c>
      <c r="AC282" s="2857"/>
      <c r="AD282" s="2857"/>
      <c r="AE282" s="2857"/>
      <c r="AF282" s="2857"/>
      <c r="AG282" s="2857"/>
    </row>
    <row r="283" spans="1:54" outlineLevel="1" x14ac:dyDescent="0.25">
      <c r="D283" s="3357" t="s">
        <v>3637</v>
      </c>
      <c r="E283" s="2482" t="str">
        <f t="shared" ref="E283:E292" si="67">E239</f>
        <v>LED - 10W (CFL baseline) (750-1049 lumens)</v>
      </c>
      <c r="F283" s="2483">
        <v>7</v>
      </c>
      <c r="G283" s="4021" t="s">
        <v>2003</v>
      </c>
      <c r="H283" s="4021"/>
      <c r="V283" s="4077" t="str">
        <f t="shared" ref="V283:V305" si="68">D283</f>
        <v>Watt EE</v>
      </c>
      <c r="W283" s="2856">
        <v>7</v>
      </c>
      <c r="X283" s="2856">
        <v>7</v>
      </c>
      <c r="Y283" s="2801">
        <v>7</v>
      </c>
      <c r="Z283" s="2801">
        <v>7</v>
      </c>
      <c r="AA283" s="2801">
        <v>7</v>
      </c>
      <c r="AB283" s="2483">
        <v>7</v>
      </c>
      <c r="AC283" s="2856"/>
      <c r="AD283" s="2856"/>
      <c r="AE283" s="2856"/>
      <c r="AF283" s="2856"/>
      <c r="AG283" s="2856"/>
    </row>
    <row r="284" spans="1:54" outlineLevel="1" x14ac:dyDescent="0.25">
      <c r="D284" s="3358"/>
      <c r="E284" s="3102" t="str">
        <f t="shared" si="67"/>
        <v>LED - 10W (Halogen baseline) (750-1049 lumens)</v>
      </c>
      <c r="F284" s="85">
        <v>7</v>
      </c>
      <c r="G284" s="4019" t="s">
        <v>2003</v>
      </c>
      <c r="H284" s="4019"/>
      <c r="V284" s="3834"/>
      <c r="W284" s="1351">
        <v>7</v>
      </c>
      <c r="X284" s="1351">
        <v>7</v>
      </c>
      <c r="Y284" s="89">
        <v>7</v>
      </c>
      <c r="Z284" s="89">
        <v>7</v>
      </c>
      <c r="AA284" s="89">
        <v>7</v>
      </c>
      <c r="AB284" s="85">
        <v>7</v>
      </c>
      <c r="AC284" s="1351"/>
      <c r="AD284" s="1351"/>
      <c r="AE284" s="1351"/>
      <c r="AF284" s="1351"/>
      <c r="AG284" s="1351"/>
    </row>
    <row r="285" spans="1:54" outlineLevel="1" x14ac:dyDescent="0.25">
      <c r="D285" s="3358"/>
      <c r="E285" s="3102" t="str">
        <f t="shared" si="67"/>
        <v>LED - 12W Dimmable Light Bulb (Replacing CFL)</v>
      </c>
      <c r="F285" s="85">
        <v>9.5</v>
      </c>
      <c r="G285" s="4022" t="s">
        <v>2003</v>
      </c>
      <c r="H285" s="4022"/>
      <c r="V285" s="3834"/>
      <c r="W285" s="1351">
        <f>'Lighting Deemed Table'!W70</f>
        <v>9.5</v>
      </c>
      <c r="X285" s="1351">
        <f>'Lighting Deemed Table'!X70</f>
        <v>9.5</v>
      </c>
      <c r="Y285" s="89">
        <v>9.5</v>
      </c>
      <c r="Z285" s="89">
        <v>9.5</v>
      </c>
      <c r="AA285" s="89">
        <v>9.5</v>
      </c>
      <c r="AB285" s="85">
        <v>9.5</v>
      </c>
      <c r="AC285" s="89"/>
      <c r="AD285" s="89"/>
      <c r="AE285" s="89"/>
      <c r="AF285" s="89"/>
      <c r="AG285" s="89"/>
    </row>
    <row r="286" spans="1:54" outlineLevel="1" x14ac:dyDescent="0.25">
      <c r="D286" s="3358"/>
      <c r="E286" s="3102" t="str">
        <f t="shared" si="67"/>
        <v>LED - 12W Dimmable Light Bulb (Replacing Specialty Incandescent)</v>
      </c>
      <c r="F286" s="85">
        <v>9.5</v>
      </c>
      <c r="G286" s="4022" t="s">
        <v>2003</v>
      </c>
      <c r="H286" s="4022"/>
      <c r="V286" s="3834"/>
      <c r="W286" s="89">
        <v>9.5</v>
      </c>
      <c r="X286" s="89">
        <v>9.5</v>
      </c>
      <c r="Y286" s="89">
        <v>9.5</v>
      </c>
      <c r="Z286" s="89">
        <v>9.5</v>
      </c>
      <c r="AA286" s="89">
        <v>9.5</v>
      </c>
      <c r="AB286" s="85">
        <v>9.5</v>
      </c>
      <c r="AC286" s="89"/>
      <c r="AD286" s="89"/>
      <c r="AE286" s="89"/>
      <c r="AF286" s="89"/>
      <c r="AG286" s="89"/>
    </row>
    <row r="287" spans="1:54" ht="15" customHeight="1" outlineLevel="1" x14ac:dyDescent="0.25">
      <c r="D287" s="3358"/>
      <c r="E287" s="3102" t="str">
        <f t="shared" si="67"/>
        <v>LED - 12W (Halogen baseline)</v>
      </c>
      <c r="F287" s="85">
        <v>9.23</v>
      </c>
      <c r="G287" s="2477" t="str">
        <f>'Income Eligible Deemed Table'!H1152</f>
        <v>Program Wattage - Ameren Missouri Community Savers Evaluation PY2017 workpapers</v>
      </c>
      <c r="H287" s="3096"/>
      <c r="V287" s="3834"/>
      <c r="W287" s="1351">
        <f>'Income Eligible Deemed Table'!W1152</f>
        <v>9.5</v>
      </c>
      <c r="X287" s="621">
        <f>'Income Eligible Deemed Table'!X1152</f>
        <v>9.23</v>
      </c>
      <c r="Y287" s="89">
        <v>9.23</v>
      </c>
      <c r="Z287" s="89">
        <v>9.23</v>
      </c>
      <c r="AA287" s="89">
        <v>9.23</v>
      </c>
      <c r="AB287" s="85">
        <v>9.23</v>
      </c>
      <c r="AC287" s="1351"/>
      <c r="AD287" s="1351"/>
      <c r="AE287" s="1351"/>
      <c r="AF287" s="1351"/>
      <c r="AG287" s="1351"/>
    </row>
    <row r="288" spans="1:54" ht="15" customHeight="1" outlineLevel="1" x14ac:dyDescent="0.25">
      <c r="D288" s="3358"/>
      <c r="E288" s="3102" t="str">
        <f t="shared" si="67"/>
        <v>LED - 12W (Replacing CFL)</v>
      </c>
      <c r="F288" s="85">
        <v>9.5</v>
      </c>
      <c r="G288" s="4054"/>
      <c r="H288" s="4055"/>
      <c r="V288" s="3834"/>
      <c r="W288" s="1351">
        <f>'Income Eligible Deemed Table'!W1166</f>
        <v>9.5</v>
      </c>
      <c r="X288" s="1351">
        <f>'Income Eligible Deemed Table'!X1166</f>
        <v>9.5</v>
      </c>
      <c r="Y288" s="89">
        <v>9.5</v>
      </c>
      <c r="Z288" s="89">
        <v>9.5</v>
      </c>
      <c r="AA288" s="89">
        <v>9.5</v>
      </c>
      <c r="AB288" s="85">
        <v>9.5</v>
      </c>
      <c r="AC288" s="1351"/>
      <c r="AD288" s="1351"/>
      <c r="AE288" s="1351"/>
      <c r="AF288" s="1351"/>
      <c r="AG288" s="1351"/>
    </row>
    <row r="289" spans="1:54" ht="15" customHeight="1" outlineLevel="1" x14ac:dyDescent="0.25">
      <c r="D289" s="3358"/>
      <c r="E289" s="3102" t="str">
        <f t="shared" si="67"/>
        <v>LED - 15W (Halogen baseline) (1050-1489 lumens)</v>
      </c>
      <c r="F289" s="85">
        <v>10.6</v>
      </c>
      <c r="G289" s="4054" t="str">
        <f>'Income Eligible Deemed Table'!H1154</f>
        <v>Program Wattage</v>
      </c>
      <c r="H289" s="4055"/>
      <c r="V289" s="3834"/>
      <c r="W289" s="1351">
        <f>'Income Eligible Deemed Table'!W1154</f>
        <v>10.6</v>
      </c>
      <c r="X289" s="1351">
        <f>'Income Eligible Deemed Table'!X1154</f>
        <v>10.6</v>
      </c>
      <c r="Y289" s="89">
        <v>10.6</v>
      </c>
      <c r="Z289" s="89">
        <v>10.6</v>
      </c>
      <c r="AA289" s="89">
        <v>10.6</v>
      </c>
      <c r="AB289" s="85">
        <v>10.6</v>
      </c>
      <c r="AC289" s="1351"/>
      <c r="AD289" s="1351"/>
      <c r="AE289" s="1351"/>
      <c r="AF289" s="1351"/>
      <c r="AG289" s="1351"/>
    </row>
    <row r="290" spans="1:54" ht="15" customHeight="1" outlineLevel="1" x14ac:dyDescent="0.25">
      <c r="D290" s="3358"/>
      <c r="E290" s="3102" t="str">
        <f t="shared" si="67"/>
        <v>LED - 15W (CFL baseline) (1050-1489 lumens)</v>
      </c>
      <c r="F290" s="85">
        <v>10.6</v>
      </c>
      <c r="G290" s="4054"/>
      <c r="H290" s="4055"/>
      <c r="V290" s="3834"/>
      <c r="W290" s="1351">
        <f>'Income Eligible Deemed Table'!W1167</f>
        <v>10.6</v>
      </c>
      <c r="X290" s="1351">
        <f>'Income Eligible Deemed Table'!X1167</f>
        <v>10.6</v>
      </c>
      <c r="Y290" s="89">
        <v>10.6</v>
      </c>
      <c r="Z290" s="89">
        <v>10.6</v>
      </c>
      <c r="AA290" s="89">
        <v>10.6</v>
      </c>
      <c r="AB290" s="85">
        <v>10.6</v>
      </c>
      <c r="AC290" s="1351"/>
      <c r="AD290" s="1351"/>
      <c r="AE290" s="1351"/>
      <c r="AF290" s="1351"/>
      <c r="AG290" s="1351"/>
    </row>
    <row r="291" spans="1:54" ht="15" customHeight="1" outlineLevel="1" x14ac:dyDescent="0.25">
      <c r="D291" s="3358"/>
      <c r="E291" s="3102" t="str">
        <f t="shared" si="67"/>
        <v>LED - 20W (Halogen baseline) (1490-2600 lumens)</v>
      </c>
      <c r="F291" s="85">
        <v>15</v>
      </c>
      <c r="G291" s="4054" t="str">
        <f>'Income Eligible Deemed Table'!H1158</f>
        <v>Program Wattage</v>
      </c>
      <c r="H291" s="4055"/>
      <c r="V291" s="3834"/>
      <c r="W291" s="1351">
        <f>'Income Eligible Deemed Table'!W1158</f>
        <v>15</v>
      </c>
      <c r="X291" s="1351">
        <f>'Income Eligible Deemed Table'!X1158</f>
        <v>15</v>
      </c>
      <c r="Y291" s="89">
        <v>15</v>
      </c>
      <c r="Z291" s="89">
        <v>15</v>
      </c>
      <c r="AA291" s="89">
        <v>15</v>
      </c>
      <c r="AB291" s="85">
        <v>15</v>
      </c>
      <c r="AC291" s="1351"/>
      <c r="AD291" s="1351"/>
      <c r="AE291" s="1351"/>
      <c r="AF291" s="1351"/>
      <c r="AG291" s="1351"/>
    </row>
    <row r="292" spans="1:54" ht="15" customHeight="1" outlineLevel="1" x14ac:dyDescent="0.25">
      <c r="D292" s="3358"/>
      <c r="E292" s="3102" t="str">
        <f t="shared" si="67"/>
        <v>LED - 20W (CFL baseline) (1490-2600 lumens)</v>
      </c>
      <c r="F292" s="85">
        <v>15</v>
      </c>
      <c r="G292" s="4054"/>
      <c r="H292" s="4055"/>
      <c r="V292" s="3834"/>
      <c r="W292" s="1351">
        <f>'Income Eligible Deemed Table'!W1171</f>
        <v>15</v>
      </c>
      <c r="X292" s="1351">
        <f>'Income Eligible Deemed Table'!X1171</f>
        <v>15</v>
      </c>
      <c r="Y292" s="89">
        <v>15</v>
      </c>
      <c r="Z292" s="89">
        <v>15</v>
      </c>
      <c r="AA292" s="89">
        <v>15</v>
      </c>
      <c r="AB292" s="85">
        <v>15</v>
      </c>
      <c r="AC292" s="1351"/>
      <c r="AD292" s="1351"/>
      <c r="AE292" s="1351"/>
      <c r="AF292" s="1351"/>
      <c r="AG292" s="1351"/>
    </row>
    <row r="293" spans="1:54" s="2277" customFormat="1" ht="15" customHeight="1" outlineLevel="1" x14ac:dyDescent="0.25">
      <c r="A293" s="157"/>
      <c r="B293" s="157"/>
      <c r="C293" s="385"/>
      <c r="D293" s="3358"/>
      <c r="E293" s="3102" t="s">
        <v>3639</v>
      </c>
      <c r="F293" s="85">
        <v>11</v>
      </c>
      <c r="G293" s="4054" t="s">
        <v>2003</v>
      </c>
      <c r="H293" s="4055"/>
      <c r="I293" s="157"/>
      <c r="J293" s="157"/>
      <c r="K293" s="157"/>
      <c r="L293" s="157"/>
      <c r="M293" s="157"/>
      <c r="N293" s="157"/>
      <c r="O293" s="157"/>
      <c r="P293" s="157"/>
      <c r="Q293" s="157"/>
      <c r="R293" s="157"/>
      <c r="S293" s="157"/>
      <c r="T293" s="157"/>
      <c r="U293" s="157"/>
      <c r="V293" s="3834"/>
      <c r="W293" s="1351"/>
      <c r="X293" s="1351"/>
      <c r="Y293" s="89"/>
      <c r="Z293" s="89"/>
      <c r="AA293" s="89"/>
      <c r="AB293" s="2298">
        <v>11</v>
      </c>
      <c r="AC293" s="1351"/>
      <c r="AD293" s="1351"/>
      <c r="AE293" s="1351"/>
      <c r="AF293" s="1351"/>
      <c r="AG293" s="1351"/>
      <c r="BB293" s="1055"/>
    </row>
    <row r="294" spans="1:54" s="2277" customFormat="1" ht="15" customHeight="1" outlineLevel="1" x14ac:dyDescent="0.25">
      <c r="A294" s="157"/>
      <c r="B294" s="157"/>
      <c r="C294" s="385"/>
      <c r="D294" s="3358"/>
      <c r="E294" s="3102" t="s">
        <v>3486</v>
      </c>
      <c r="F294" s="85">
        <v>11</v>
      </c>
      <c r="G294" s="4054" t="s">
        <v>2003</v>
      </c>
      <c r="H294" s="4055"/>
      <c r="I294" s="157"/>
      <c r="J294" s="157"/>
      <c r="K294" s="157"/>
      <c r="L294" s="157"/>
      <c r="M294" s="157"/>
      <c r="N294" s="157"/>
      <c r="O294" s="157"/>
      <c r="P294" s="157"/>
      <c r="Q294" s="157"/>
      <c r="R294" s="157"/>
      <c r="S294" s="157"/>
      <c r="T294" s="157"/>
      <c r="U294" s="157"/>
      <c r="V294" s="3834"/>
      <c r="W294" s="1351"/>
      <c r="X294" s="1351"/>
      <c r="Y294" s="89"/>
      <c r="Z294" s="89"/>
      <c r="AA294" s="89"/>
      <c r="AB294" s="2298">
        <v>11</v>
      </c>
      <c r="AC294" s="1351"/>
      <c r="AD294" s="1351"/>
      <c r="AE294" s="1351"/>
      <c r="AF294" s="1351"/>
      <c r="AG294" s="1351"/>
      <c r="BB294" s="1055"/>
    </row>
    <row r="295" spans="1:54" ht="15" customHeight="1" outlineLevel="1" x14ac:dyDescent="0.25">
      <c r="D295" s="3358"/>
      <c r="E295" s="3102" t="str">
        <f>E251</f>
        <v>LED - 15W Flood Light PAR30 Bulb (Halogen baseline)</v>
      </c>
      <c r="F295" s="85">
        <v>10.6</v>
      </c>
      <c r="G295" s="4054"/>
      <c r="H295" s="4055"/>
      <c r="V295" s="3834"/>
      <c r="W295" s="1351">
        <f>'Lighting Deemed Table'!W77</f>
        <v>11.2</v>
      </c>
      <c r="X295" s="621">
        <f>'Lighting Deemed Table'!X77</f>
        <v>10.6</v>
      </c>
      <c r="Y295" s="89">
        <v>10.6</v>
      </c>
      <c r="Z295" s="89">
        <v>10.6</v>
      </c>
      <c r="AA295" s="89">
        <v>10.6</v>
      </c>
      <c r="AB295" s="85">
        <v>10.6</v>
      </c>
      <c r="AC295" s="1351"/>
      <c r="AD295" s="1351"/>
      <c r="AE295" s="1351"/>
      <c r="AF295" s="1351"/>
      <c r="AG295" s="1351"/>
    </row>
    <row r="296" spans="1:54" outlineLevel="1" x14ac:dyDescent="0.25">
      <c r="D296" s="3358"/>
      <c r="E296" s="3102" t="str">
        <f>E252</f>
        <v>LED - 15W Flood Light PAR30 Bulb (CFL baseline)</v>
      </c>
      <c r="F296" s="85">
        <v>11.2</v>
      </c>
      <c r="G296" s="4019" t="s">
        <v>2003</v>
      </c>
      <c r="H296" s="4019"/>
      <c r="V296" s="3834"/>
      <c r="W296" s="1351">
        <f>'Lighting Deemed Table'!W76</f>
        <v>11.2</v>
      </c>
      <c r="X296" s="1351">
        <f>'Lighting Deemed Table'!X76</f>
        <v>11.2</v>
      </c>
      <c r="Y296" s="89">
        <v>11.2</v>
      </c>
      <c r="Z296" s="89">
        <v>11.2</v>
      </c>
      <c r="AA296" s="89">
        <v>11.2</v>
      </c>
      <c r="AB296" s="85">
        <v>11.2</v>
      </c>
      <c r="AC296" s="1351"/>
      <c r="AD296" s="1351"/>
      <c r="AE296" s="1351"/>
      <c r="AF296" s="1351"/>
      <c r="AG296" s="1351"/>
    </row>
    <row r="297" spans="1:54" s="2277" customFormat="1" outlineLevel="1" x14ac:dyDescent="0.25">
      <c r="A297" s="157"/>
      <c r="B297" s="157"/>
      <c r="C297" s="385"/>
      <c r="D297" s="3358"/>
      <c r="E297" s="3102" t="s">
        <v>3641</v>
      </c>
      <c r="F297" s="85">
        <v>6</v>
      </c>
      <c r="G297" s="4054" t="s">
        <v>2003</v>
      </c>
      <c r="H297" s="4055"/>
      <c r="I297" s="157"/>
      <c r="J297" s="157"/>
      <c r="K297" s="157"/>
      <c r="L297" s="157"/>
      <c r="M297" s="157"/>
      <c r="N297" s="157"/>
      <c r="O297" s="157"/>
      <c r="P297" s="157"/>
      <c r="Q297" s="157"/>
      <c r="R297" s="157"/>
      <c r="S297" s="157"/>
      <c r="T297" s="157"/>
      <c r="U297" s="157"/>
      <c r="V297" s="3834"/>
      <c r="W297" s="1351"/>
      <c r="X297" s="1351"/>
      <c r="Y297" s="89"/>
      <c r="Z297" s="89"/>
      <c r="AA297" s="89"/>
      <c r="AB297" s="2298">
        <v>6</v>
      </c>
      <c r="AC297" s="1351"/>
      <c r="AD297" s="1351"/>
      <c r="AE297" s="1351"/>
      <c r="AF297" s="1351"/>
      <c r="AG297" s="1351"/>
      <c r="BB297" s="1055"/>
    </row>
    <row r="298" spans="1:54" ht="15.75" outlineLevel="1" thickBot="1" x14ac:dyDescent="0.3">
      <c r="D298" s="3389"/>
      <c r="E298" s="2479" t="s">
        <v>2224</v>
      </c>
      <c r="F298" s="1243" t="s">
        <v>859</v>
      </c>
      <c r="G298" s="4058" t="s">
        <v>2226</v>
      </c>
      <c r="H298" s="4058"/>
      <c r="V298" s="4076"/>
      <c r="W298" s="2857" t="s">
        <v>859</v>
      </c>
      <c r="X298" s="2857" t="s">
        <v>859</v>
      </c>
      <c r="Y298" s="1243" t="s">
        <v>859</v>
      </c>
      <c r="Z298" s="1243" t="s">
        <v>859</v>
      </c>
      <c r="AA298" s="1243" t="s">
        <v>859</v>
      </c>
      <c r="AB298" s="1243" t="s">
        <v>859</v>
      </c>
      <c r="AC298" s="2857"/>
      <c r="AD298" s="2857"/>
      <c r="AE298" s="2857"/>
      <c r="AF298" s="2857"/>
      <c r="AG298" s="2857"/>
    </row>
    <row r="299" spans="1:54" ht="15" customHeight="1" outlineLevel="1" x14ac:dyDescent="0.25">
      <c r="D299" s="2478" t="s">
        <v>75</v>
      </c>
      <c r="E299" s="2478" t="s">
        <v>591</v>
      </c>
      <c r="F299" s="2481">
        <v>0.95118909047730049</v>
      </c>
      <c r="G299" s="4018" t="s">
        <v>592</v>
      </c>
      <c r="H299" s="4018"/>
      <c r="V299" s="2750" t="str">
        <f t="shared" si="68"/>
        <v>ISR</v>
      </c>
      <c r="W299" s="2858">
        <v>0.95118909047730049</v>
      </c>
      <c r="X299" s="2858">
        <v>0.95118909047730049</v>
      </c>
      <c r="Y299" s="2481">
        <v>0.95118909047730049</v>
      </c>
      <c r="Z299" s="2481">
        <v>0.95118909047730049</v>
      </c>
      <c r="AA299" s="2481">
        <v>0.95118909047730049</v>
      </c>
      <c r="AB299" s="2481">
        <v>0.95118909047730049</v>
      </c>
      <c r="AC299" s="2858"/>
      <c r="AD299" s="2858"/>
      <c r="AE299" s="2858"/>
      <c r="AF299" s="2858"/>
      <c r="AG299" s="2858"/>
    </row>
    <row r="300" spans="1:54" outlineLevel="1" x14ac:dyDescent="0.25">
      <c r="D300" s="1350" t="s">
        <v>593</v>
      </c>
      <c r="E300" s="1350" t="s">
        <v>591</v>
      </c>
      <c r="F300" s="1353">
        <v>1.6525893496695268E-2</v>
      </c>
      <c r="G300" s="4019" t="s">
        <v>2008</v>
      </c>
      <c r="H300" s="4019"/>
      <c r="V300" s="1069" t="str">
        <f t="shared" si="68"/>
        <v>Leakage</v>
      </c>
      <c r="W300" s="1354">
        <v>1.6525893496695268E-2</v>
      </c>
      <c r="X300" s="1354">
        <v>1.6525893496695268E-2</v>
      </c>
      <c r="Y300" s="1353">
        <v>1.6525893496695268E-2</v>
      </c>
      <c r="Z300" s="1353">
        <v>1.6525893496695268E-2</v>
      </c>
      <c r="AA300" s="1353">
        <v>1.6525893496695268E-2</v>
      </c>
      <c r="AB300" s="1353">
        <v>1.6525893496695268E-2</v>
      </c>
      <c r="AC300" s="1354"/>
      <c r="AD300" s="1354"/>
      <c r="AE300" s="1354"/>
      <c r="AF300" s="1354"/>
      <c r="AG300" s="1354"/>
    </row>
    <row r="301" spans="1:54" ht="15" customHeight="1" outlineLevel="1" x14ac:dyDescent="0.25">
      <c r="D301" s="1350" t="s">
        <v>595</v>
      </c>
      <c r="E301" s="1350" t="s">
        <v>597</v>
      </c>
      <c r="F301" s="181">
        <v>693.5</v>
      </c>
      <c r="G301" s="4019" t="s">
        <v>2227</v>
      </c>
      <c r="H301" s="4019"/>
      <c r="V301" s="1069" t="str">
        <f t="shared" si="68"/>
        <v>HOU_Res</v>
      </c>
      <c r="W301" s="180">
        <f>1.9*365</f>
        <v>693.5</v>
      </c>
      <c r="X301" s="180">
        <f>1.9*365</f>
        <v>693.5</v>
      </c>
      <c r="Y301" s="181">
        <f>1.9*365</f>
        <v>693.5</v>
      </c>
      <c r="Z301" s="181">
        <f t="shared" ref="Z301:AA301" si="69">1.9*365</f>
        <v>693.5</v>
      </c>
      <c r="AA301" s="181">
        <f t="shared" si="69"/>
        <v>693.5</v>
      </c>
      <c r="AB301" s="181">
        <v>693.5</v>
      </c>
      <c r="AC301" s="180"/>
      <c r="AD301" s="180"/>
      <c r="AE301" s="180"/>
      <c r="AF301" s="180"/>
      <c r="AG301" s="180"/>
    </row>
    <row r="302" spans="1:54" outlineLevel="1" x14ac:dyDescent="0.25">
      <c r="D302" s="1350" t="s">
        <v>598</v>
      </c>
      <c r="E302" s="1350" t="s">
        <v>600</v>
      </c>
      <c r="F302" s="181">
        <v>0.99</v>
      </c>
      <c r="G302" s="4019" t="s">
        <v>601</v>
      </c>
      <c r="H302" s="4019"/>
      <c r="V302" s="1069" t="str">
        <f t="shared" si="68"/>
        <v>WHF_Res</v>
      </c>
      <c r="W302" s="180">
        <v>0.99</v>
      </c>
      <c r="X302" s="180">
        <v>0.99</v>
      </c>
      <c r="Y302" s="181">
        <v>0.99</v>
      </c>
      <c r="Z302" s="181">
        <v>0.99</v>
      </c>
      <c r="AA302" s="181">
        <v>0.99</v>
      </c>
      <c r="AB302" s="181">
        <v>0.99</v>
      </c>
      <c r="AC302" s="180"/>
      <c r="AD302" s="180"/>
      <c r="AE302" s="180"/>
      <c r="AF302" s="180"/>
      <c r="AG302" s="180"/>
    </row>
    <row r="303" spans="1:54" ht="15" customHeight="1" outlineLevel="1" x14ac:dyDescent="0.25">
      <c r="D303" s="1350" t="s">
        <v>602</v>
      </c>
      <c r="E303" s="1350" t="s">
        <v>604</v>
      </c>
      <c r="F303" s="181">
        <v>3611.9999999999986</v>
      </c>
      <c r="G303" s="4020" t="s">
        <v>605</v>
      </c>
      <c r="H303" s="4020"/>
      <c r="V303" s="1069" t="str">
        <f t="shared" si="68"/>
        <v>HOU_NRES</v>
      </c>
      <c r="W303" s="180">
        <f>9.8958904109589*365</f>
        <v>3611.9999999999986</v>
      </c>
      <c r="X303" s="180">
        <f>9.8958904109589*365</f>
        <v>3611.9999999999986</v>
      </c>
      <c r="Y303" s="181">
        <f>9.8958904109589*365</f>
        <v>3611.9999999999986</v>
      </c>
      <c r="Z303" s="181">
        <f t="shared" ref="Z303:AA303" si="70">9.8958904109589*365</f>
        <v>3611.9999999999986</v>
      </c>
      <c r="AA303" s="181">
        <f t="shared" si="70"/>
        <v>3611.9999999999986</v>
      </c>
      <c r="AB303" s="181">
        <v>3611.9999999999986</v>
      </c>
      <c r="AC303" s="180"/>
      <c r="AD303" s="180"/>
      <c r="AE303" s="180"/>
      <c r="AF303" s="180"/>
      <c r="AG303" s="180"/>
    </row>
    <row r="304" spans="1:54" outlineLevel="1" x14ac:dyDescent="0.25">
      <c r="D304" s="1350" t="s">
        <v>606</v>
      </c>
      <c r="E304" s="1350" t="s">
        <v>597</v>
      </c>
      <c r="F304" s="181">
        <v>1.1000000000000001</v>
      </c>
      <c r="G304" s="4019" t="s">
        <v>607</v>
      </c>
      <c r="H304" s="4019"/>
      <c r="V304" s="1442" t="str">
        <f t="shared" si="68"/>
        <v>WHF_Nres</v>
      </c>
      <c r="W304" s="180">
        <v>1.1000000000000001</v>
      </c>
      <c r="X304" s="180">
        <v>1.1000000000000001</v>
      </c>
      <c r="Y304" s="181">
        <v>1.1000000000000001</v>
      </c>
      <c r="Z304" s="181">
        <v>1.1000000000000001</v>
      </c>
      <c r="AA304" s="181">
        <v>1.1000000000000001</v>
      </c>
      <c r="AB304" s="181">
        <v>1.1000000000000001</v>
      </c>
      <c r="AC304" s="180"/>
      <c r="AD304" s="180"/>
      <c r="AE304" s="180"/>
      <c r="AF304" s="180"/>
      <c r="AG304" s="180"/>
    </row>
    <row r="305" spans="1:54" outlineLevel="1" x14ac:dyDescent="0.25">
      <c r="D305" s="1350" t="s">
        <v>608</v>
      </c>
      <c r="E305" s="1350" t="s">
        <v>591</v>
      </c>
      <c r="F305" s="1355">
        <v>1</v>
      </c>
      <c r="G305" s="4019" t="s">
        <v>2008</v>
      </c>
      <c r="H305" s="4019"/>
      <c r="V305" s="1442" t="str">
        <f t="shared" si="68"/>
        <v>%Res</v>
      </c>
      <c r="W305" s="1355">
        <v>1</v>
      </c>
      <c r="X305" s="1355">
        <v>1</v>
      </c>
      <c r="Y305" s="1355">
        <v>1</v>
      </c>
      <c r="Z305" s="1355">
        <v>1</v>
      </c>
      <c r="AA305" s="1355">
        <v>1</v>
      </c>
      <c r="AB305" s="1355">
        <v>1</v>
      </c>
      <c r="AC305" s="1355"/>
      <c r="AD305" s="1355"/>
      <c r="AE305" s="1355"/>
      <c r="AF305" s="1355"/>
      <c r="AG305" s="1355"/>
    </row>
    <row r="306" spans="1:54" ht="15.75" outlineLevel="1" thickBot="1" x14ac:dyDescent="0.3">
      <c r="B306" s="1359"/>
      <c r="C306" s="274"/>
      <c r="D306" s="2590" t="s">
        <v>896</v>
      </c>
      <c r="E306" s="2590" t="s">
        <v>611</v>
      </c>
      <c r="F306" s="2861">
        <v>19</v>
      </c>
      <c r="G306" s="4059"/>
      <c r="H306" s="4059"/>
      <c r="K306" s="298"/>
      <c r="L306" s="298"/>
      <c r="M306" s="1276"/>
      <c r="N306" s="298"/>
      <c r="O306" s="298"/>
      <c r="P306" s="298"/>
      <c r="Q306" s="298"/>
      <c r="V306" s="2590" t="str">
        <f>D306</f>
        <v xml:space="preserve">EUL </v>
      </c>
      <c r="W306" s="2861">
        <v>19</v>
      </c>
      <c r="X306" s="2861">
        <v>19</v>
      </c>
      <c r="Y306" s="2861">
        <v>19</v>
      </c>
      <c r="Z306" s="2861">
        <v>19</v>
      </c>
      <c r="AA306" s="2861">
        <v>19</v>
      </c>
      <c r="AB306" s="2861">
        <v>19</v>
      </c>
      <c r="AC306" s="2863"/>
      <c r="AD306" s="2863"/>
      <c r="AE306" s="2863"/>
      <c r="AF306" s="2863"/>
      <c r="AG306" s="2863"/>
    </row>
    <row r="307" spans="1:54" ht="15" customHeight="1" outlineLevel="1" x14ac:dyDescent="0.25">
      <c r="B307" s="1359"/>
      <c r="C307" s="274"/>
      <c r="D307" s="4060" t="s">
        <v>25</v>
      </c>
      <c r="E307" s="2859" t="str">
        <f>E283</f>
        <v>LED - 10W (CFL baseline) (750-1049 lumens)</v>
      </c>
      <c r="F307" s="2860">
        <v>2.0299999999999998</v>
      </c>
      <c r="G307" s="4061"/>
      <c r="H307" s="4061"/>
      <c r="K307" s="298"/>
      <c r="L307" s="298"/>
      <c r="M307" s="1276"/>
      <c r="N307" s="298"/>
      <c r="O307" s="298"/>
      <c r="P307" s="298"/>
      <c r="Q307" s="298"/>
      <c r="V307" s="4062" t="str">
        <f>D307</f>
        <v>Inc. Cost</v>
      </c>
      <c r="W307" s="2860">
        <v>2.0299999999999998</v>
      </c>
      <c r="X307" s="2860">
        <v>2.0299999999999998</v>
      </c>
      <c r="Y307" s="2860">
        <v>2.0299999999999998</v>
      </c>
      <c r="Z307" s="2860">
        <v>2.0299999999999998</v>
      </c>
      <c r="AA307" s="2860">
        <v>2.0299999999999998</v>
      </c>
      <c r="AB307" s="2860">
        <v>2.0299999999999998</v>
      </c>
      <c r="AC307" s="2862"/>
      <c r="AD307" s="2862"/>
      <c r="AE307" s="2862"/>
      <c r="AF307" s="2862"/>
      <c r="AG307" s="2862"/>
    </row>
    <row r="308" spans="1:54" ht="15" customHeight="1" outlineLevel="1" x14ac:dyDescent="0.25">
      <c r="D308" s="3527"/>
      <c r="E308" s="3035" t="str">
        <f t="shared" ref="E308:E322" si="71">E284</f>
        <v>LED - 10W (Halogen baseline) (750-1049 lumens)</v>
      </c>
      <c r="F308" s="1316">
        <v>2.0299999999999998</v>
      </c>
      <c r="G308" s="3370"/>
      <c r="H308" s="3370"/>
      <c r="V308" s="3572"/>
      <c r="W308" s="1316">
        <v>2.0299999999999998</v>
      </c>
      <c r="X308" s="1316">
        <v>2.0299999999999998</v>
      </c>
      <c r="Y308" s="1316">
        <v>2.0299999999999998</v>
      </c>
      <c r="Z308" s="1316">
        <v>2.0299999999999998</v>
      </c>
      <c r="AA308" s="1316">
        <v>2.0299999999999998</v>
      </c>
      <c r="AB308" s="1316">
        <v>2.0299999999999998</v>
      </c>
      <c r="AC308" s="1356"/>
      <c r="AD308" s="1356"/>
      <c r="AE308" s="1356"/>
      <c r="AF308" s="1356"/>
      <c r="AG308" s="1356"/>
    </row>
    <row r="309" spans="1:54" ht="15" customHeight="1" outlineLevel="1" x14ac:dyDescent="0.25">
      <c r="D309" s="3527"/>
      <c r="E309" s="3035" t="str">
        <f t="shared" si="71"/>
        <v>LED - 12W Dimmable Light Bulb (Replacing CFL)</v>
      </c>
      <c r="F309" s="1316">
        <v>4.1399999999999997</v>
      </c>
      <c r="G309" s="3370"/>
      <c r="H309" s="3370"/>
      <c r="V309" s="3572"/>
      <c r="W309" s="1316">
        <v>4.1399999999999997</v>
      </c>
      <c r="X309" s="1316">
        <v>4.1399999999999997</v>
      </c>
      <c r="Y309" s="1316">
        <v>4.1399999999999997</v>
      </c>
      <c r="Z309" s="1316">
        <v>4.1399999999999997</v>
      </c>
      <c r="AA309" s="1316">
        <v>4.1399999999999997</v>
      </c>
      <c r="AB309" s="1316">
        <v>4.1399999999999997</v>
      </c>
      <c r="AC309" s="1356"/>
      <c r="AD309" s="1356"/>
      <c r="AE309" s="1356"/>
      <c r="AF309" s="1356"/>
      <c r="AG309" s="1356"/>
    </row>
    <row r="310" spans="1:54" ht="15" customHeight="1" outlineLevel="1" x14ac:dyDescent="0.25">
      <c r="D310" s="3527"/>
      <c r="E310" s="3035" t="str">
        <f t="shared" si="71"/>
        <v>LED - 12W Dimmable Light Bulb (Replacing Specialty Incandescent)</v>
      </c>
      <c r="F310" s="1316">
        <v>4.1399999999999997</v>
      </c>
      <c r="G310" s="3370"/>
      <c r="H310" s="3370"/>
      <c r="V310" s="3572"/>
      <c r="W310" s="1316">
        <v>4.1399999999999997</v>
      </c>
      <c r="X310" s="1316">
        <v>4.1399999999999997</v>
      </c>
      <c r="Y310" s="1316">
        <v>4.1399999999999997</v>
      </c>
      <c r="Z310" s="1316">
        <v>4.1399999999999997</v>
      </c>
      <c r="AA310" s="1316">
        <v>4.1399999999999997</v>
      </c>
      <c r="AB310" s="1316">
        <v>4.1399999999999997</v>
      </c>
      <c r="AC310" s="1356"/>
      <c r="AD310" s="1356"/>
      <c r="AE310" s="1356"/>
      <c r="AF310" s="1356"/>
      <c r="AG310" s="1356"/>
    </row>
    <row r="311" spans="1:54" ht="15" customHeight="1" outlineLevel="1" x14ac:dyDescent="0.25">
      <c r="D311" s="3527"/>
      <c r="E311" s="3035" t="str">
        <f t="shared" si="71"/>
        <v>LED - 12W (Halogen baseline)</v>
      </c>
      <c r="F311" s="1316">
        <f>'Income Eligible Deemed Table'!$Q$1095</f>
        <v>4.72</v>
      </c>
      <c r="G311" s="3370"/>
      <c r="H311" s="3370"/>
      <c r="V311" s="3572"/>
      <c r="W311" s="1316">
        <f>'Income Eligible Deemed Table'!$Q$1095</f>
        <v>4.72</v>
      </c>
      <c r="X311" s="1316">
        <v>4.72</v>
      </c>
      <c r="Y311" s="1316">
        <v>4.72</v>
      </c>
      <c r="Z311" s="1316">
        <v>4.72</v>
      </c>
      <c r="AA311" s="1316">
        <v>4.72</v>
      </c>
      <c r="AB311" s="1316">
        <v>4.72</v>
      </c>
      <c r="AC311" s="1356"/>
      <c r="AD311" s="1356"/>
      <c r="AE311" s="1356"/>
      <c r="AF311" s="1356"/>
      <c r="AG311" s="1356"/>
    </row>
    <row r="312" spans="1:54" ht="15" customHeight="1" outlineLevel="1" x14ac:dyDescent="0.25">
      <c r="D312" s="3527"/>
      <c r="E312" s="3035" t="str">
        <f t="shared" si="71"/>
        <v>LED - 12W (Replacing CFL)</v>
      </c>
      <c r="F312" s="1316">
        <f>$P$243</f>
        <v>4.72</v>
      </c>
      <c r="G312" s="3370"/>
      <c r="H312" s="3370"/>
      <c r="V312" s="3572"/>
      <c r="W312" s="1316">
        <f>$P$243</f>
        <v>4.72</v>
      </c>
      <c r="X312" s="1316">
        <v>4.72</v>
      </c>
      <c r="Y312" s="1316">
        <v>4.72</v>
      </c>
      <c r="Z312" s="1316">
        <v>4.72</v>
      </c>
      <c r="AA312" s="1316">
        <v>4.72</v>
      </c>
      <c r="AB312" s="1316">
        <v>4.72</v>
      </c>
      <c r="AC312" s="1356"/>
      <c r="AD312" s="1356"/>
      <c r="AE312" s="1356"/>
      <c r="AF312" s="1356"/>
      <c r="AG312" s="1356"/>
    </row>
    <row r="313" spans="1:54" ht="15" customHeight="1" outlineLevel="1" x14ac:dyDescent="0.25">
      <c r="D313" s="3527"/>
      <c r="E313" s="3035" t="str">
        <f t="shared" si="71"/>
        <v>LED - 15W (Halogen baseline) (1050-1489 lumens)</v>
      </c>
      <c r="F313" s="1316">
        <f>'Income Eligible Deemed Table'!$Q$1097</f>
        <v>6.27</v>
      </c>
      <c r="G313" s="3370"/>
      <c r="H313" s="3370"/>
      <c r="V313" s="3572"/>
      <c r="W313" s="1316">
        <f>'Income Eligible Deemed Table'!$Q$1097</f>
        <v>6.27</v>
      </c>
      <c r="X313" s="1316">
        <v>6.27</v>
      </c>
      <c r="Y313" s="1316">
        <v>6.27</v>
      </c>
      <c r="Z313" s="1316">
        <v>6.27</v>
      </c>
      <c r="AA313" s="1316">
        <v>6.27</v>
      </c>
      <c r="AB313" s="1316">
        <v>6.27</v>
      </c>
      <c r="AC313" s="1356"/>
      <c r="AD313" s="1356"/>
      <c r="AE313" s="1356"/>
      <c r="AF313" s="1356"/>
      <c r="AG313" s="1356"/>
    </row>
    <row r="314" spans="1:54" ht="15" customHeight="1" outlineLevel="1" x14ac:dyDescent="0.25">
      <c r="D314" s="3527"/>
      <c r="E314" s="3035" t="str">
        <f t="shared" si="71"/>
        <v>LED - 15W (CFL baseline) (1050-1489 lumens)</v>
      </c>
      <c r="F314" s="1316">
        <f>$P$245</f>
        <v>6.27</v>
      </c>
      <c r="G314" s="3370"/>
      <c r="H314" s="3370"/>
      <c r="V314" s="3572"/>
      <c r="W314" s="1316">
        <f>$P$245</f>
        <v>6.27</v>
      </c>
      <c r="X314" s="1316">
        <v>6.27</v>
      </c>
      <c r="Y314" s="1316">
        <v>6.27</v>
      </c>
      <c r="Z314" s="1316">
        <v>6.27</v>
      </c>
      <c r="AA314" s="1316">
        <v>6.27</v>
      </c>
      <c r="AB314" s="1316">
        <v>6.27</v>
      </c>
      <c r="AC314" s="1356"/>
      <c r="AD314" s="1356"/>
      <c r="AE314" s="1356"/>
      <c r="AF314" s="1356"/>
      <c r="AG314" s="1356"/>
    </row>
    <row r="315" spans="1:54" ht="15" customHeight="1" outlineLevel="1" x14ac:dyDescent="0.25">
      <c r="D315" s="3527"/>
      <c r="E315" s="3035" t="str">
        <f t="shared" si="71"/>
        <v>LED - 20W (Halogen baseline) (1490-2600 lumens)</v>
      </c>
      <c r="F315" s="1316">
        <f>'Income Eligible Deemed Table'!$Q$1101</f>
        <v>7.83</v>
      </c>
      <c r="G315" s="3370"/>
      <c r="H315" s="3370"/>
      <c r="V315" s="3572"/>
      <c r="W315" s="1316">
        <f>'Income Eligible Deemed Table'!$Q$1101</f>
        <v>7.83</v>
      </c>
      <c r="X315" s="1316">
        <v>7.83</v>
      </c>
      <c r="Y315" s="1316">
        <v>7.83</v>
      </c>
      <c r="Z315" s="1316">
        <v>7.83</v>
      </c>
      <c r="AA315" s="1316">
        <v>7.83</v>
      </c>
      <c r="AB315" s="1316">
        <v>7.83</v>
      </c>
      <c r="AC315" s="1356"/>
      <c r="AD315" s="1356"/>
      <c r="AE315" s="1356"/>
      <c r="AF315" s="1356"/>
      <c r="AG315" s="1356"/>
    </row>
    <row r="316" spans="1:54" ht="15" customHeight="1" outlineLevel="1" x14ac:dyDescent="0.25">
      <c r="D316" s="3527"/>
      <c r="E316" s="3035" t="str">
        <f t="shared" si="71"/>
        <v>LED - 20W (CFL baseline) (1490-2600 lumens)</v>
      </c>
      <c r="F316" s="1316">
        <f>$P$247</f>
        <v>7.83</v>
      </c>
      <c r="G316" s="3370"/>
      <c r="H316" s="3370"/>
      <c r="V316" s="3572"/>
      <c r="W316" s="1316">
        <f>$P$247</f>
        <v>7.83</v>
      </c>
      <c r="X316" s="1316">
        <v>7.83</v>
      </c>
      <c r="Y316" s="1316">
        <v>7.83</v>
      </c>
      <c r="Z316" s="1316">
        <v>7.83</v>
      </c>
      <c r="AA316" s="1316">
        <v>7.83</v>
      </c>
      <c r="AB316" s="1316">
        <v>7.83</v>
      </c>
      <c r="AC316" s="1356"/>
      <c r="AD316" s="1356"/>
      <c r="AE316" s="1356"/>
      <c r="AF316" s="1356"/>
      <c r="AG316" s="1356"/>
    </row>
    <row r="317" spans="1:54" s="2277" customFormat="1" ht="15" customHeight="1" outlineLevel="1" x14ac:dyDescent="0.25">
      <c r="A317" s="157"/>
      <c r="B317" s="157"/>
      <c r="C317" s="385"/>
      <c r="D317" s="3527"/>
      <c r="E317" s="3035" t="str">
        <f t="shared" si="71"/>
        <v>LED - 11W Flood Light BR30 Bulb (Halogen baseline)</v>
      </c>
      <c r="F317" s="1316">
        <v>1.66</v>
      </c>
      <c r="G317" s="3370" t="s">
        <v>3496</v>
      </c>
      <c r="H317" s="3370"/>
      <c r="I317" s="157"/>
      <c r="J317" s="157"/>
      <c r="K317" s="157"/>
      <c r="L317" s="157"/>
      <c r="M317" s="157"/>
      <c r="N317" s="157"/>
      <c r="O317" s="157"/>
      <c r="P317" s="157"/>
      <c r="Q317" s="157"/>
      <c r="R317" s="157"/>
      <c r="S317" s="157"/>
      <c r="T317" s="157"/>
      <c r="U317" s="157"/>
      <c r="V317" s="3572"/>
      <c r="W317" s="1316"/>
      <c r="X317" s="1316"/>
      <c r="Y317" s="1316"/>
      <c r="Z317" s="1316"/>
      <c r="AA317" s="1316"/>
      <c r="AB317" s="2026">
        <v>1.66</v>
      </c>
      <c r="AC317" s="1356"/>
      <c r="AD317" s="1356"/>
      <c r="AE317" s="1356"/>
      <c r="AF317" s="1356"/>
      <c r="AG317" s="1356"/>
      <c r="BB317" s="1055"/>
    </row>
    <row r="318" spans="1:54" s="2277" customFormat="1" ht="15" customHeight="1" outlineLevel="1" x14ac:dyDescent="0.25">
      <c r="A318" s="157"/>
      <c r="B318" s="157"/>
      <c r="C318" s="385"/>
      <c r="D318" s="3527"/>
      <c r="E318" s="3035" t="str">
        <f t="shared" si="71"/>
        <v>LED - 11W Flood Light BR30 Bulb (CFL baseline)</v>
      </c>
      <c r="F318" s="1316">
        <v>1.66</v>
      </c>
      <c r="G318" s="3370" t="s">
        <v>3496</v>
      </c>
      <c r="H318" s="3370"/>
      <c r="I318" s="157"/>
      <c r="J318" s="157"/>
      <c r="K318" s="157"/>
      <c r="L318" s="157"/>
      <c r="M318" s="157"/>
      <c r="N318" s="157"/>
      <c r="O318" s="157"/>
      <c r="P318" s="157"/>
      <c r="Q318" s="157"/>
      <c r="R318" s="157"/>
      <c r="S318" s="157"/>
      <c r="T318" s="157"/>
      <c r="U318" s="157"/>
      <c r="V318" s="3572"/>
      <c r="W318" s="1316"/>
      <c r="X318" s="1316"/>
      <c r="Y318" s="1316"/>
      <c r="Z318" s="1316"/>
      <c r="AA318" s="1316"/>
      <c r="AB318" s="2026">
        <v>1.66</v>
      </c>
      <c r="AC318" s="1356"/>
      <c r="AD318" s="1356"/>
      <c r="AE318" s="1356"/>
      <c r="AF318" s="1356"/>
      <c r="AG318" s="1356"/>
      <c r="BB318" s="1055"/>
    </row>
    <row r="319" spans="1:54" ht="15" customHeight="1" outlineLevel="1" x14ac:dyDescent="0.25">
      <c r="D319" s="3527"/>
      <c r="E319" s="3035" t="str">
        <f t="shared" si="71"/>
        <v>LED - 15W Flood Light PAR30 Bulb (Halogen baseline)</v>
      </c>
      <c r="F319" s="1316">
        <f>$P$252</f>
        <v>3.05</v>
      </c>
      <c r="G319" s="3370"/>
      <c r="H319" s="3370"/>
      <c r="V319" s="3572"/>
      <c r="W319" s="1316">
        <f>$P$252</f>
        <v>3.05</v>
      </c>
      <c r="X319" s="1316">
        <v>3.05</v>
      </c>
      <c r="Y319" s="1316">
        <v>3.05</v>
      </c>
      <c r="Z319" s="1316">
        <v>3.05</v>
      </c>
      <c r="AA319" s="1316">
        <v>3.05</v>
      </c>
      <c r="AB319" s="1316">
        <v>3.05</v>
      </c>
      <c r="AC319" s="1356"/>
      <c r="AD319" s="1356"/>
      <c r="AE319" s="1356"/>
      <c r="AF319" s="1356"/>
      <c r="AG319" s="1356"/>
    </row>
    <row r="320" spans="1:54" ht="15" customHeight="1" outlineLevel="1" x14ac:dyDescent="0.25">
      <c r="D320" s="3527"/>
      <c r="E320" s="3035" t="str">
        <f t="shared" si="71"/>
        <v>LED - 15W Flood Light PAR30 Bulb (CFL baseline)</v>
      </c>
      <c r="F320" s="1316">
        <v>3.05</v>
      </c>
      <c r="G320" s="3370"/>
      <c r="H320" s="3370"/>
      <c r="V320" s="3572"/>
      <c r="W320" s="1316">
        <v>3.05</v>
      </c>
      <c r="X320" s="1316">
        <v>3.05</v>
      </c>
      <c r="Y320" s="1316">
        <v>3.05</v>
      </c>
      <c r="Z320" s="1316">
        <v>3.05</v>
      </c>
      <c r="AA320" s="1316">
        <v>3.05</v>
      </c>
      <c r="AB320" s="1316">
        <v>3.05</v>
      </c>
      <c r="AC320" s="1356"/>
      <c r="AD320" s="1356"/>
      <c r="AE320" s="1356"/>
      <c r="AF320" s="1356"/>
      <c r="AG320" s="1356"/>
    </row>
    <row r="321" spans="1:57" s="2277" customFormat="1" ht="15" customHeight="1" outlineLevel="1" x14ac:dyDescent="0.25">
      <c r="A321" s="157"/>
      <c r="B321" s="157"/>
      <c r="C321" s="385"/>
      <c r="D321" s="3527"/>
      <c r="E321" s="3035" t="str">
        <f t="shared" si="71"/>
        <v xml:space="preserve">LED - 6W (Halogen baseline) (310-749 lumens) </v>
      </c>
      <c r="F321" s="1316">
        <f>F308</f>
        <v>2.0299999999999998</v>
      </c>
      <c r="G321" s="3370" t="s">
        <v>3644</v>
      </c>
      <c r="H321" s="3370"/>
      <c r="I321" s="157"/>
      <c r="J321" s="157"/>
      <c r="K321" s="157"/>
      <c r="L321" s="157"/>
      <c r="M321" s="157"/>
      <c r="N321" s="157"/>
      <c r="O321" s="157"/>
      <c r="P321" s="157"/>
      <c r="Q321" s="157"/>
      <c r="R321" s="157"/>
      <c r="S321" s="157"/>
      <c r="T321" s="157"/>
      <c r="U321" s="157"/>
      <c r="V321" s="3572"/>
      <c r="W321" s="1316"/>
      <c r="X321" s="1316"/>
      <c r="Y321" s="1316"/>
      <c r="Z321" s="1316"/>
      <c r="AA321" s="1316"/>
      <c r="AB321" s="2026">
        <v>2.0299999999999998</v>
      </c>
      <c r="AC321" s="1356"/>
      <c r="AD321" s="1356"/>
      <c r="AE321" s="1356"/>
      <c r="AF321" s="1356"/>
      <c r="AG321" s="1356"/>
      <c r="BB321" s="1055"/>
    </row>
    <row r="322" spans="1:57" ht="15" customHeight="1" outlineLevel="1" thickBot="1" x14ac:dyDescent="0.3">
      <c r="D322" s="3803"/>
      <c r="E322" s="2484" t="str">
        <f t="shared" si="71"/>
        <v>LED Nightlights</v>
      </c>
      <c r="F322" s="2485">
        <v>0.35</v>
      </c>
      <c r="G322" s="3385"/>
      <c r="H322" s="3385"/>
      <c r="V322" s="3573"/>
      <c r="W322" s="1316">
        <v>0.35</v>
      </c>
      <c r="X322" s="1316">
        <v>0.35</v>
      </c>
      <c r="Y322" s="1316">
        <v>0.35</v>
      </c>
      <c r="Z322" s="1316">
        <v>0.35</v>
      </c>
      <c r="AA322" s="1316">
        <v>0.35</v>
      </c>
      <c r="AB322" s="2485">
        <v>0.35</v>
      </c>
      <c r="AC322" s="1356"/>
      <c r="AD322" s="1356"/>
      <c r="AE322" s="1356"/>
      <c r="AF322" s="1356"/>
      <c r="AG322" s="1356"/>
    </row>
    <row r="325" spans="1:57" s="194" customFormat="1" x14ac:dyDescent="0.25">
      <c r="B325" s="3350" t="s">
        <v>2228</v>
      </c>
      <c r="C325" s="3351"/>
      <c r="D325" s="3351"/>
      <c r="E325" s="3351"/>
      <c r="F325" s="3351"/>
      <c r="G325" s="3351"/>
      <c r="H325" s="3351"/>
      <c r="I325" s="3352"/>
      <c r="J325" s="3352"/>
      <c r="K325" s="3352"/>
      <c r="L325" s="3352"/>
      <c r="M325" s="3352"/>
      <c r="N325" s="3352"/>
      <c r="O325" s="3352"/>
      <c r="P325" s="3352"/>
      <c r="Q325" s="3353"/>
      <c r="V325" s="3350" t="str">
        <f>B325</f>
        <v>Faucet Aerators (Kitchen)</v>
      </c>
      <c r="W325" s="3351"/>
      <c r="X325" s="3351"/>
      <c r="Y325" s="3351"/>
      <c r="Z325" s="3351"/>
      <c r="AA325" s="3351"/>
      <c r="AB325" s="3351"/>
      <c r="AC325" s="3354"/>
      <c r="AD325" s="3354"/>
      <c r="AE325" s="3354"/>
      <c r="AF325" s="3354"/>
      <c r="AG325" s="3354"/>
      <c r="AH325" s="3354"/>
      <c r="AI325" s="3355"/>
      <c r="AJ325"/>
      <c r="BB325" s="937"/>
    </row>
    <row r="326" spans="1:57" ht="18" customHeight="1" x14ac:dyDescent="0.25"/>
    <row r="327" spans="1:57" ht="30" x14ac:dyDescent="0.25">
      <c r="C327" s="2765" t="s">
        <v>17</v>
      </c>
      <c r="D327" s="1409" t="s">
        <v>616</v>
      </c>
      <c r="E327" s="1409" t="s">
        <v>19</v>
      </c>
      <c r="F327" s="1409" t="s">
        <v>20</v>
      </c>
      <c r="G327" s="1409" t="s">
        <v>21</v>
      </c>
      <c r="H327" s="1409" t="s">
        <v>22</v>
      </c>
      <c r="I327" s="1409" t="s">
        <v>933</v>
      </c>
      <c r="J327" s="1409" t="s">
        <v>23</v>
      </c>
      <c r="K327" s="1409" t="s">
        <v>24</v>
      </c>
      <c r="L327" s="1409" t="s">
        <v>25</v>
      </c>
      <c r="M327" s="1409" t="s">
        <v>26</v>
      </c>
      <c r="V327" s="55" t="s">
        <v>27</v>
      </c>
      <c r="W327" s="56">
        <f>W$6</f>
        <v>43252</v>
      </c>
      <c r="X327" s="56">
        <f t="shared" ref="X327:AG327" si="72">X$6</f>
        <v>43465</v>
      </c>
      <c r="Y327" s="56">
        <f t="shared" si="72"/>
        <v>43800</v>
      </c>
      <c r="Z327" s="56">
        <f t="shared" si="72"/>
        <v>43862</v>
      </c>
      <c r="AA327" s="56">
        <f t="shared" si="72"/>
        <v>44013</v>
      </c>
      <c r="AB327" s="56">
        <f t="shared" si="72"/>
        <v>44166</v>
      </c>
      <c r="AC327" s="56" t="str">
        <f t="shared" si="72"/>
        <v>-</v>
      </c>
      <c r="AD327" s="56" t="str">
        <f t="shared" si="72"/>
        <v>-</v>
      </c>
      <c r="AE327" s="56" t="str">
        <f t="shared" si="72"/>
        <v>-</v>
      </c>
      <c r="AF327" s="56" t="str">
        <f t="shared" si="72"/>
        <v>-</v>
      </c>
      <c r="AG327" s="56" t="str">
        <f t="shared" si="72"/>
        <v>-</v>
      </c>
      <c r="BB327" s="57" t="str">
        <f>$BB$6</f>
        <v>TRC (2020)</v>
      </c>
      <c r="BC327" s="93" t="str">
        <f>$BC$6</f>
        <v>Benefit Lookup</v>
      </c>
      <c r="BD327" s="741" t="str">
        <f>$BD$6</f>
        <v>Benefits (2019 $)</v>
      </c>
      <c r="BE327" s="279" t="str">
        <f>$BE$6</f>
        <v>Incremental Cost (2019 $)</v>
      </c>
    </row>
    <row r="328" spans="1:57" x14ac:dyDescent="0.25">
      <c r="C328" s="86" t="s">
        <v>2229</v>
      </c>
      <c r="D328" s="1658" t="s">
        <v>2147</v>
      </c>
      <c r="E328" s="1989" t="s">
        <v>2230</v>
      </c>
      <c r="F328" s="601">
        <f>ROUND(F339*(F340*F341-F342*F343)*F344*F345*F346/F347*I328*F355*F354,2)</f>
        <v>115.9</v>
      </c>
      <c r="G328" s="1454" t="s">
        <v>622</v>
      </c>
      <c r="H328" s="202">
        <f>VLOOKUP(G328,'CP FACTORS'!$A$3:$B$38, 2, FALSE)</f>
        <v>8.8731800000000003E-5</v>
      </c>
      <c r="I328" s="596">
        <f>F348*F349*(F350-F351)/(F352*F353)</f>
        <v>7.8971277842907403E-2</v>
      </c>
      <c r="J328" s="139">
        <f>ROUND(F328*H328,6)</f>
        <v>1.0284E-2</v>
      </c>
      <c r="K328" s="141">
        <f>F356</f>
        <v>10</v>
      </c>
      <c r="L328" s="1316">
        <f>F357</f>
        <v>8</v>
      </c>
      <c r="M328" s="253" t="s">
        <v>37</v>
      </c>
      <c r="N328" s="277"/>
      <c r="O328" s="277"/>
      <c r="P328" s="277"/>
      <c r="Q328" s="277"/>
      <c r="R328" s="277"/>
      <c r="S328" s="277"/>
      <c r="T328" s="277"/>
      <c r="U328" s="277"/>
      <c r="V328" s="208" t="str">
        <f>F327</f>
        <v>kWh Annual Savings</v>
      </c>
      <c r="W328" s="484">
        <v>115.90265988240036</v>
      </c>
      <c r="X328" s="1317">
        <v>115.90265988240036</v>
      </c>
      <c r="Y328" s="1317">
        <v>115.9</v>
      </c>
      <c r="Z328" s="1317">
        <v>115.9</v>
      </c>
      <c r="AA328" s="1317">
        <v>115.9</v>
      </c>
      <c r="AB328" s="1317">
        <v>115.9</v>
      </c>
      <c r="AC328" s="208"/>
      <c r="AD328" s="208"/>
      <c r="AE328" s="208"/>
      <c r="AF328" s="208"/>
      <c r="AG328" s="208"/>
      <c r="BB328" s="107">
        <f>(BD328)/(BE328)</f>
        <v>5.1771034134181892</v>
      </c>
      <c r="BC328" s="68" t="str">
        <f>CONCATENATE(G328," ",K328," Year EUL")</f>
        <v>Water Heating RES 10 Year EUL</v>
      </c>
      <c r="BD328" s="214">
        <f>(INDEX('Avoided Cost Benefits'!$C$4:$C$857,MATCH(BC328,'Avoided Cost Benefits'!$A$4:$A$857,0)))*F328</f>
        <v>39.090917703959896</v>
      </c>
      <c r="BE328" s="109">
        <f>L328/(1.0595^(2020-2019))</f>
        <v>7.5507314771118441</v>
      </c>
    </row>
    <row r="329" spans="1:57" outlineLevel="1" x14ac:dyDescent="0.25">
      <c r="G329" s="1692"/>
    </row>
    <row r="330" spans="1:57" outlineLevel="1" x14ac:dyDescent="0.25">
      <c r="D330" s="222" t="s">
        <v>571</v>
      </c>
    </row>
    <row r="331" spans="1:57" outlineLevel="1" x14ac:dyDescent="0.25"/>
    <row r="332" spans="1:57" outlineLevel="1" x14ac:dyDescent="0.25"/>
    <row r="333" spans="1:57" outlineLevel="1" x14ac:dyDescent="0.25"/>
    <row r="334" spans="1:57" outlineLevel="1" x14ac:dyDescent="0.25"/>
    <row r="335" spans="1:57" outlineLevel="1" x14ac:dyDescent="0.25"/>
    <row r="336" spans="1:57" outlineLevel="1" x14ac:dyDescent="0.25">
      <c r="D336" s="1357"/>
      <c r="E336" s="1357"/>
      <c r="F336" s="633"/>
      <c r="G336" s="633"/>
      <c r="H336" s="633"/>
      <c r="I336" s="633"/>
      <c r="J336" s="633"/>
      <c r="K336" s="633"/>
      <c r="L336" s="633"/>
      <c r="M336" s="633"/>
    </row>
    <row r="337" spans="1:54" outlineLevel="1" x14ac:dyDescent="0.25">
      <c r="D337" s="1357"/>
      <c r="E337" s="1357"/>
      <c r="F337" s="633"/>
      <c r="G337" s="633"/>
      <c r="H337" s="633"/>
      <c r="I337" s="633"/>
      <c r="J337" s="633"/>
      <c r="K337" s="633"/>
      <c r="L337" s="633"/>
      <c r="M337" s="633"/>
    </row>
    <row r="338" spans="1:54" outlineLevel="1" x14ac:dyDescent="0.25">
      <c r="D338" s="1456" t="s">
        <v>572</v>
      </c>
      <c r="E338" s="1456" t="s">
        <v>573</v>
      </c>
      <c r="F338" s="1409" t="s">
        <v>574</v>
      </c>
      <c r="G338" s="3419" t="s">
        <v>624</v>
      </c>
      <c r="H338" s="3419"/>
      <c r="I338" s="3483" t="s">
        <v>575</v>
      </c>
      <c r="J338" s="3772"/>
      <c r="K338" s="3484"/>
      <c r="V338" s="55" t="s">
        <v>27</v>
      </c>
      <c r="W338" s="56">
        <f>W$6</f>
        <v>43252</v>
      </c>
      <c r="X338" s="56">
        <f t="shared" ref="X338:AG338" si="73">X$6</f>
        <v>43465</v>
      </c>
      <c r="Y338" s="56">
        <f t="shared" si="73"/>
        <v>43800</v>
      </c>
      <c r="Z338" s="56">
        <f t="shared" si="73"/>
        <v>43862</v>
      </c>
      <c r="AA338" s="56">
        <f t="shared" si="73"/>
        <v>44013</v>
      </c>
      <c r="AB338" s="56">
        <f t="shared" si="73"/>
        <v>44166</v>
      </c>
      <c r="AC338" s="56" t="str">
        <f t="shared" si="73"/>
        <v>-</v>
      </c>
      <c r="AD338" s="56" t="str">
        <f t="shared" si="73"/>
        <v>-</v>
      </c>
      <c r="AE338" s="56" t="str">
        <f t="shared" si="73"/>
        <v>-</v>
      </c>
      <c r="AF338" s="56" t="str">
        <f t="shared" si="73"/>
        <v>-</v>
      </c>
      <c r="AG338" s="56" t="str">
        <f t="shared" si="73"/>
        <v>-</v>
      </c>
    </row>
    <row r="339" spans="1:54" outlineLevel="1" x14ac:dyDescent="0.25">
      <c r="D339" s="1410" t="s">
        <v>937</v>
      </c>
      <c r="E339" s="1410" t="s">
        <v>938</v>
      </c>
      <c r="F339" s="1150">
        <v>1</v>
      </c>
      <c r="G339" s="3509" t="s">
        <v>930</v>
      </c>
      <c r="H339" s="3509"/>
      <c r="I339" s="3446" t="s">
        <v>2231</v>
      </c>
      <c r="J339" s="3446"/>
      <c r="K339" s="3446"/>
      <c r="L339" s="633"/>
      <c r="V339" s="1069" t="str">
        <f>D339</f>
        <v>%Electric DHW</v>
      </c>
      <c r="W339" s="557">
        <v>1</v>
      </c>
      <c r="X339" s="557">
        <v>1</v>
      </c>
      <c r="Y339" s="557">
        <v>1</v>
      </c>
      <c r="Z339" s="557">
        <v>1</v>
      </c>
      <c r="AA339" s="557">
        <v>1</v>
      </c>
      <c r="AB339" s="557">
        <v>1</v>
      </c>
      <c r="AC339" s="557"/>
      <c r="AD339" s="557"/>
      <c r="AE339" s="557"/>
      <c r="AF339" s="557"/>
      <c r="AG339" s="557"/>
    </row>
    <row r="340" spans="1:54" ht="31.5" customHeight="1" outlineLevel="1" x14ac:dyDescent="0.25">
      <c r="D340" s="1410" t="s">
        <v>941</v>
      </c>
      <c r="E340" s="1410" t="s">
        <v>942</v>
      </c>
      <c r="F340" s="1454">
        <v>2.2000000000000002</v>
      </c>
      <c r="G340" s="3459" t="s">
        <v>943</v>
      </c>
      <c r="H340" s="3459"/>
      <c r="I340" s="3446" t="s">
        <v>3674</v>
      </c>
      <c r="J340" s="3446"/>
      <c r="K340" s="3446"/>
      <c r="L340" s="633"/>
      <c r="V340" s="1069" t="str">
        <f t="shared" ref="V340:V355" si="74">D340</f>
        <v>GPM_base</v>
      </c>
      <c r="W340" s="549">
        <v>2.2000000000000002</v>
      </c>
      <c r="X340" s="549">
        <v>2.2000000000000002</v>
      </c>
      <c r="Y340" s="549">
        <v>2.2000000000000002</v>
      </c>
      <c r="Z340" s="549">
        <v>2.2000000000000002</v>
      </c>
      <c r="AA340" s="549">
        <v>2.2000000000000002</v>
      </c>
      <c r="AB340" s="549">
        <v>2.2000000000000002</v>
      </c>
      <c r="AC340" s="549"/>
      <c r="AD340" s="549"/>
      <c r="AE340" s="549"/>
      <c r="AF340" s="549"/>
      <c r="AG340" s="549"/>
    </row>
    <row r="341" spans="1:54" ht="14.45" customHeight="1" outlineLevel="1" x14ac:dyDescent="0.25">
      <c r="D341" s="1410" t="s">
        <v>944</v>
      </c>
      <c r="E341" s="1424" t="s">
        <v>945</v>
      </c>
      <c r="F341" s="1454">
        <v>3.7</v>
      </c>
      <c r="G341" s="3459" t="s">
        <v>947</v>
      </c>
      <c r="H341" s="3459"/>
      <c r="I341" s="4063" t="s">
        <v>2232</v>
      </c>
      <c r="J341" s="4063"/>
      <c r="K341" s="4063"/>
      <c r="L341" s="633"/>
      <c r="V341" s="1069" t="str">
        <f t="shared" si="74"/>
        <v>L_base</v>
      </c>
      <c r="W341" s="549">
        <v>3.7</v>
      </c>
      <c r="X341" s="549">
        <v>3.7</v>
      </c>
      <c r="Y341" s="549">
        <v>3.7</v>
      </c>
      <c r="Z341" s="549">
        <v>3.7</v>
      </c>
      <c r="AA341" s="549">
        <v>3.7</v>
      </c>
      <c r="AB341" s="549">
        <v>3.7</v>
      </c>
      <c r="AC341" s="549"/>
      <c r="AD341" s="549"/>
      <c r="AE341" s="549"/>
      <c r="AF341" s="549"/>
      <c r="AG341" s="549"/>
    </row>
    <row r="342" spans="1:54" ht="14.45" customHeight="1" outlineLevel="1" x14ac:dyDescent="0.25">
      <c r="D342" s="1410" t="s">
        <v>948</v>
      </c>
      <c r="E342" s="1410" t="s">
        <v>949</v>
      </c>
      <c r="F342" s="435">
        <v>1.5</v>
      </c>
      <c r="G342" s="3459" t="s">
        <v>471</v>
      </c>
      <c r="H342" s="3459"/>
      <c r="I342" s="3446" t="s">
        <v>3674</v>
      </c>
      <c r="J342" s="3446"/>
      <c r="K342" s="3446"/>
      <c r="L342" s="633"/>
      <c r="V342" s="1069" t="str">
        <f t="shared" si="74"/>
        <v>GPM_low</v>
      </c>
      <c r="W342" s="536">
        <v>1.5</v>
      </c>
      <c r="X342" s="536">
        <v>1.5</v>
      </c>
      <c r="Y342" s="536">
        <v>1.5</v>
      </c>
      <c r="Z342" s="536">
        <v>1.5</v>
      </c>
      <c r="AA342" s="536">
        <v>1.5</v>
      </c>
      <c r="AB342" s="536">
        <v>1.5</v>
      </c>
      <c r="AC342" s="536"/>
      <c r="AD342" s="536"/>
      <c r="AE342" s="536"/>
      <c r="AF342" s="536"/>
      <c r="AG342" s="536"/>
    </row>
    <row r="343" spans="1:54" outlineLevel="1" x14ac:dyDescent="0.25">
      <c r="D343" s="1410" t="s">
        <v>950</v>
      </c>
      <c r="E343" s="1424" t="s">
        <v>951</v>
      </c>
      <c r="F343" s="1454">
        <v>3.7</v>
      </c>
      <c r="G343" s="3459" t="s">
        <v>947</v>
      </c>
      <c r="H343" s="3459"/>
      <c r="I343" s="3446" t="s">
        <v>2232</v>
      </c>
      <c r="J343" s="3446"/>
      <c r="K343" s="3446"/>
      <c r="L343" s="633"/>
      <c r="V343" s="1069" t="str">
        <f t="shared" si="74"/>
        <v>L_low</v>
      </c>
      <c r="W343" s="549">
        <v>3.7</v>
      </c>
      <c r="X343" s="549">
        <v>3.7</v>
      </c>
      <c r="Y343" s="549">
        <v>3.7</v>
      </c>
      <c r="Z343" s="549">
        <v>3.7</v>
      </c>
      <c r="AA343" s="549">
        <v>3.7</v>
      </c>
      <c r="AB343" s="549">
        <v>3.7</v>
      </c>
      <c r="AC343" s="549"/>
      <c r="AD343" s="549"/>
      <c r="AE343" s="549"/>
      <c r="AF343" s="549"/>
      <c r="AG343" s="549"/>
    </row>
    <row r="344" spans="1:54" outlineLevel="1" x14ac:dyDescent="0.25">
      <c r="D344" s="1410" t="s">
        <v>637</v>
      </c>
      <c r="E344" s="1424" t="s">
        <v>952</v>
      </c>
      <c r="F344" s="1454">
        <v>2.0699999999999998</v>
      </c>
      <c r="G344" s="3459" t="s">
        <v>2233</v>
      </c>
      <c r="H344" s="3459"/>
      <c r="I344" s="3446" t="s">
        <v>2232</v>
      </c>
      <c r="J344" s="3446"/>
      <c r="K344" s="3446"/>
      <c r="L344" s="633"/>
      <c r="V344" s="1069" t="str">
        <f t="shared" si="74"/>
        <v>Household</v>
      </c>
      <c r="W344" s="549">
        <v>2.0699999999999998</v>
      </c>
      <c r="X344" s="549">
        <v>2.0699999999999998</v>
      </c>
      <c r="Y344" s="549">
        <v>2.0699999999999998</v>
      </c>
      <c r="Z344" s="549">
        <v>2.0699999999999998</v>
      </c>
      <c r="AA344" s="549">
        <v>2.0699999999999998</v>
      </c>
      <c r="AB344" s="549">
        <v>2.0699999999999998</v>
      </c>
      <c r="AC344" s="549"/>
      <c r="AD344" s="549"/>
      <c r="AE344" s="549"/>
      <c r="AF344" s="549"/>
      <c r="AG344" s="549"/>
    </row>
    <row r="345" spans="1:54" ht="78.75" customHeight="1" outlineLevel="1" x14ac:dyDescent="0.25">
      <c r="D345" s="513" t="s">
        <v>954</v>
      </c>
      <c r="E345" s="1424" t="s">
        <v>955</v>
      </c>
      <c r="F345" s="1454">
        <v>0.75</v>
      </c>
      <c r="G345" s="3527" t="s">
        <v>956</v>
      </c>
      <c r="H345" s="3527"/>
      <c r="I345" s="3446" t="s">
        <v>2232</v>
      </c>
      <c r="J345" s="3446"/>
      <c r="K345" s="3446"/>
      <c r="L345" s="633"/>
      <c r="V345" s="1069" t="str">
        <f t="shared" si="74"/>
        <v>DF</v>
      </c>
      <c r="W345" s="549">
        <v>0.75</v>
      </c>
      <c r="X345" s="549">
        <v>0.75</v>
      </c>
      <c r="Y345" s="549">
        <v>0.75</v>
      </c>
      <c r="Z345" s="549">
        <v>0.75</v>
      </c>
      <c r="AA345" s="549">
        <v>0.75</v>
      </c>
      <c r="AB345" s="549">
        <v>0.75</v>
      </c>
      <c r="AC345" s="549"/>
      <c r="AD345" s="549"/>
      <c r="AE345" s="549"/>
      <c r="AF345" s="549"/>
      <c r="AG345" s="549"/>
    </row>
    <row r="346" spans="1:54" outlineLevel="1" x14ac:dyDescent="0.25">
      <c r="D346" s="513">
        <v>365.25</v>
      </c>
      <c r="E346" s="1424" t="s">
        <v>218</v>
      </c>
      <c r="F346" s="137">
        <v>365</v>
      </c>
      <c r="G346" s="3459" t="s">
        <v>921</v>
      </c>
      <c r="H346" s="3459"/>
      <c r="I346" s="3446" t="s">
        <v>2232</v>
      </c>
      <c r="J346" s="3446"/>
      <c r="K346" s="3446"/>
      <c r="L346" s="633"/>
      <c r="V346" s="1069">
        <f t="shared" si="74"/>
        <v>365.25</v>
      </c>
      <c r="W346" s="568">
        <v>365</v>
      </c>
      <c r="X346" s="568">
        <v>365</v>
      </c>
      <c r="Y346" s="568">
        <v>365</v>
      </c>
      <c r="Z346" s="568">
        <v>365</v>
      </c>
      <c r="AA346" s="568">
        <v>365</v>
      </c>
      <c r="AB346" s="568">
        <v>365</v>
      </c>
      <c r="AC346" s="568"/>
      <c r="AD346" s="568"/>
      <c r="AE346" s="568"/>
      <c r="AF346" s="568"/>
      <c r="AG346" s="568"/>
    </row>
    <row r="347" spans="1:54" outlineLevel="1" x14ac:dyDescent="0.25">
      <c r="D347" s="513" t="s">
        <v>957</v>
      </c>
      <c r="E347" s="1424" t="s">
        <v>958</v>
      </c>
      <c r="F347" s="1990">
        <v>1</v>
      </c>
      <c r="G347" s="3509" t="s">
        <v>2234</v>
      </c>
      <c r="H347" s="3509"/>
      <c r="I347" s="3446" t="s">
        <v>2232</v>
      </c>
      <c r="J347" s="3446"/>
      <c r="K347" s="3446"/>
      <c r="L347" s="633"/>
      <c r="V347" s="1069" t="str">
        <f t="shared" si="74"/>
        <v>FPH</v>
      </c>
      <c r="W347" s="574">
        <v>1</v>
      </c>
      <c r="X347" s="574">
        <v>1</v>
      </c>
      <c r="Y347" s="574">
        <v>1</v>
      </c>
      <c r="Z347" s="574">
        <v>1</v>
      </c>
      <c r="AA347" s="574">
        <v>1</v>
      </c>
      <c r="AB347" s="574">
        <v>1</v>
      </c>
      <c r="AC347" s="574"/>
      <c r="AD347" s="574"/>
      <c r="AE347" s="574"/>
      <c r="AF347" s="574"/>
      <c r="AG347" s="574"/>
    </row>
    <row r="348" spans="1:54" outlineLevel="1" x14ac:dyDescent="0.25">
      <c r="D348" s="513">
        <v>8.33</v>
      </c>
      <c r="E348" s="1991" t="s">
        <v>959</v>
      </c>
      <c r="F348" s="137">
        <v>8.33</v>
      </c>
      <c r="G348" s="4064" t="s">
        <v>960</v>
      </c>
      <c r="H348" s="4064"/>
      <c r="I348" s="3446" t="s">
        <v>2232</v>
      </c>
      <c r="J348" s="3446"/>
      <c r="K348" s="3446"/>
      <c r="L348" s="633"/>
      <c r="V348" s="1069">
        <f t="shared" si="74"/>
        <v>8.33</v>
      </c>
      <c r="W348" s="568">
        <v>8.33</v>
      </c>
      <c r="X348" s="568">
        <v>8.33</v>
      </c>
      <c r="Y348" s="568">
        <v>8.33</v>
      </c>
      <c r="Z348" s="568">
        <v>8.33</v>
      </c>
      <c r="AA348" s="568">
        <v>8.33</v>
      </c>
      <c r="AB348" s="568">
        <v>8.33</v>
      </c>
      <c r="AC348" s="568"/>
      <c r="AD348" s="568"/>
      <c r="AE348" s="568"/>
      <c r="AF348" s="568"/>
      <c r="AG348" s="568"/>
    </row>
    <row r="349" spans="1:54" outlineLevel="1" x14ac:dyDescent="0.25">
      <c r="D349" s="513">
        <v>1</v>
      </c>
      <c r="E349" s="1424" t="s">
        <v>961</v>
      </c>
      <c r="F349" s="141">
        <v>1</v>
      </c>
      <c r="G349" s="3527" t="s">
        <v>962</v>
      </c>
      <c r="H349" s="3527"/>
      <c r="I349" s="3446" t="s">
        <v>2232</v>
      </c>
      <c r="J349" s="3446"/>
      <c r="K349" s="3446"/>
      <c r="L349" s="633"/>
      <c r="V349" s="1069">
        <f t="shared" si="74"/>
        <v>1</v>
      </c>
      <c r="W349" s="390">
        <v>1</v>
      </c>
      <c r="X349" s="390">
        <v>1</v>
      </c>
      <c r="Y349" s="390">
        <v>1</v>
      </c>
      <c r="Z349" s="390">
        <v>1</v>
      </c>
      <c r="AA349" s="390">
        <v>1</v>
      </c>
      <c r="AB349" s="390">
        <v>1</v>
      </c>
      <c r="AC349" s="390"/>
      <c r="AD349" s="390"/>
      <c r="AE349" s="390"/>
      <c r="AF349" s="390"/>
      <c r="AG349" s="390"/>
    </row>
    <row r="350" spans="1:54" ht="78" customHeight="1" outlineLevel="1" x14ac:dyDescent="0.25">
      <c r="D350" s="1410" t="s">
        <v>963</v>
      </c>
      <c r="E350" s="1424" t="s">
        <v>964</v>
      </c>
      <c r="F350" s="137">
        <v>93</v>
      </c>
      <c r="G350" s="3527" t="s">
        <v>965</v>
      </c>
      <c r="H350" s="3527"/>
      <c r="I350" s="3446" t="s">
        <v>2232</v>
      </c>
      <c r="J350" s="3446"/>
      <c r="K350" s="3446"/>
      <c r="L350" s="633"/>
      <c r="V350" s="1069" t="str">
        <f t="shared" si="74"/>
        <v>WaterTemp</v>
      </c>
      <c r="W350" s="568">
        <v>93</v>
      </c>
      <c r="X350" s="568">
        <v>93</v>
      </c>
      <c r="Y350" s="568">
        <v>93</v>
      </c>
      <c r="Z350" s="568">
        <v>93</v>
      </c>
      <c r="AA350" s="568">
        <v>93</v>
      </c>
      <c r="AB350" s="568">
        <v>93</v>
      </c>
      <c r="AC350" s="568"/>
      <c r="AD350" s="568"/>
      <c r="AE350" s="568"/>
      <c r="AF350" s="568"/>
      <c r="AG350" s="568"/>
    </row>
    <row r="351" spans="1:54" s="522" customFormat="1" ht="60.75" customHeight="1" outlineLevel="1" x14ac:dyDescent="0.25">
      <c r="A351" s="633"/>
      <c r="B351" s="633"/>
      <c r="C351" s="1682"/>
      <c r="D351" s="1410" t="s">
        <v>966</v>
      </c>
      <c r="E351" s="1424" t="s">
        <v>967</v>
      </c>
      <c r="F351" s="137">
        <v>61.3</v>
      </c>
      <c r="G351" s="3527" t="s">
        <v>968</v>
      </c>
      <c r="H351" s="3527"/>
      <c r="I351" s="3446" t="s">
        <v>2232</v>
      </c>
      <c r="J351" s="3446"/>
      <c r="K351" s="3446"/>
      <c r="L351" s="633"/>
      <c r="M351" s="633"/>
      <c r="N351" s="633"/>
      <c r="O351" s="633"/>
      <c r="P351" s="633"/>
      <c r="Q351" s="633"/>
      <c r="R351" s="633"/>
      <c r="S351" s="633"/>
      <c r="T351" s="633"/>
      <c r="U351" s="633"/>
      <c r="V351" s="1069" t="str">
        <f t="shared" si="74"/>
        <v>SupplyTemp</v>
      </c>
      <c r="W351" s="568">
        <v>61.3</v>
      </c>
      <c r="X351" s="568">
        <v>61.3</v>
      </c>
      <c r="Y351" s="568">
        <v>61.3</v>
      </c>
      <c r="Z351" s="568">
        <v>61.3</v>
      </c>
      <c r="AA351" s="568">
        <v>61.3</v>
      </c>
      <c r="AB351" s="568">
        <v>61.3</v>
      </c>
      <c r="AC351" s="568"/>
      <c r="AD351" s="568"/>
      <c r="AE351" s="568"/>
      <c r="AF351" s="568"/>
      <c r="AG351" s="568"/>
      <c r="AH351"/>
      <c r="AI351"/>
      <c r="AJ351"/>
      <c r="BB351" s="1358"/>
    </row>
    <row r="352" spans="1:54" s="522" customFormat="1" ht="59.25" customHeight="1" outlineLevel="1" x14ac:dyDescent="0.25">
      <c r="A352" s="633"/>
      <c r="B352" s="633"/>
      <c r="C352" s="1682"/>
      <c r="D352" s="1410" t="s">
        <v>969</v>
      </c>
      <c r="E352" s="1424" t="s">
        <v>970</v>
      </c>
      <c r="F352" s="137">
        <v>0.98</v>
      </c>
      <c r="G352" s="4064" t="s">
        <v>971</v>
      </c>
      <c r="H352" s="4064"/>
      <c r="I352" s="3446" t="s">
        <v>2232</v>
      </c>
      <c r="J352" s="3446"/>
      <c r="K352" s="3446"/>
      <c r="L352" s="633"/>
      <c r="M352" s="633"/>
      <c r="N352" s="633"/>
      <c r="O352" s="633"/>
      <c r="P352" s="633"/>
      <c r="Q352" s="633"/>
      <c r="R352" s="633"/>
      <c r="S352" s="633"/>
      <c r="T352" s="633"/>
      <c r="U352" s="633"/>
      <c r="V352" s="1069" t="str">
        <f t="shared" si="74"/>
        <v>RE_electric</v>
      </c>
      <c r="W352" s="568">
        <v>0.98</v>
      </c>
      <c r="X352" s="568">
        <v>0.98</v>
      </c>
      <c r="Y352" s="568">
        <v>0.98</v>
      </c>
      <c r="Z352" s="568">
        <v>0.98</v>
      </c>
      <c r="AA352" s="568">
        <v>0.98</v>
      </c>
      <c r="AB352" s="568">
        <v>0.98</v>
      </c>
      <c r="AC352" s="568"/>
      <c r="AD352" s="568"/>
      <c r="AE352" s="568"/>
      <c r="AF352" s="568"/>
      <c r="AG352" s="568"/>
      <c r="AH352"/>
      <c r="AI352"/>
      <c r="AJ352"/>
      <c r="BB352" s="1358"/>
    </row>
    <row r="353" spans="1:57" s="522" customFormat="1" outlineLevel="1" x14ac:dyDescent="0.25">
      <c r="A353" s="633"/>
      <c r="B353" s="633"/>
      <c r="C353" s="1682"/>
      <c r="D353" s="1410">
        <v>3412</v>
      </c>
      <c r="E353" s="1991" t="s">
        <v>972</v>
      </c>
      <c r="F353" s="444">
        <v>3412</v>
      </c>
      <c r="G353" s="4064" t="s">
        <v>655</v>
      </c>
      <c r="H353" s="4064"/>
      <c r="I353" s="3446" t="s">
        <v>2232</v>
      </c>
      <c r="J353" s="3446"/>
      <c r="K353" s="3446"/>
      <c r="L353" s="633"/>
      <c r="M353" s="633"/>
      <c r="N353" s="633"/>
      <c r="O353" s="633"/>
      <c r="P353" s="633"/>
      <c r="Q353" s="633"/>
      <c r="R353" s="633"/>
      <c r="S353" s="633"/>
      <c r="T353" s="633"/>
      <c r="U353" s="633"/>
      <c r="V353" s="1069">
        <f t="shared" si="74"/>
        <v>3412</v>
      </c>
      <c r="W353" s="577">
        <v>3412</v>
      </c>
      <c r="X353" s="577">
        <v>3412</v>
      </c>
      <c r="Y353" s="577">
        <v>3412</v>
      </c>
      <c r="Z353" s="577">
        <v>3412</v>
      </c>
      <c r="AA353" s="577">
        <v>3412</v>
      </c>
      <c r="AB353" s="577">
        <v>3412</v>
      </c>
      <c r="AC353" s="577"/>
      <c r="AD353" s="577"/>
      <c r="AE353" s="577"/>
      <c r="AF353" s="577"/>
      <c r="AG353" s="577"/>
      <c r="AH353"/>
      <c r="AI353"/>
      <c r="AJ353"/>
      <c r="BB353" s="1358"/>
    </row>
    <row r="354" spans="1:57" s="522" customFormat="1" ht="15" customHeight="1" outlineLevel="1" x14ac:dyDescent="0.25">
      <c r="A354" s="633"/>
      <c r="B354" s="633"/>
      <c r="C354" s="1682"/>
      <c r="D354" s="1410" t="s">
        <v>892</v>
      </c>
      <c r="E354" s="1410" t="s">
        <v>929</v>
      </c>
      <c r="F354" s="1150">
        <v>1</v>
      </c>
      <c r="G354" s="3509" t="s">
        <v>930</v>
      </c>
      <c r="H354" s="3509"/>
      <c r="I354" s="3446" t="s">
        <v>2231</v>
      </c>
      <c r="J354" s="3446"/>
      <c r="K354" s="3446"/>
      <c r="L354" s="633"/>
      <c r="M354" s="633"/>
      <c r="N354" s="633"/>
      <c r="O354" s="633"/>
      <c r="P354" s="633"/>
      <c r="Q354" s="633"/>
      <c r="R354" s="633"/>
      <c r="S354" s="633"/>
      <c r="T354" s="633"/>
      <c r="U354" s="633"/>
      <c r="V354" s="1069" t="str">
        <f t="shared" si="74"/>
        <v>Utility Adjustment</v>
      </c>
      <c r="W354" s="557">
        <v>1</v>
      </c>
      <c r="X354" s="557">
        <v>1</v>
      </c>
      <c r="Y354" s="557">
        <v>1</v>
      </c>
      <c r="Z354" s="557">
        <v>1</v>
      </c>
      <c r="AA354" s="557">
        <v>1</v>
      </c>
      <c r="AB354" s="557">
        <v>1</v>
      </c>
      <c r="AC354" s="557"/>
      <c r="AD354" s="557"/>
      <c r="AE354" s="557"/>
      <c r="AF354" s="557"/>
      <c r="AG354" s="557"/>
      <c r="AH354"/>
      <c r="AI354"/>
      <c r="AJ354"/>
      <c r="BB354" s="1358"/>
    </row>
    <row r="355" spans="1:57" s="522" customFormat="1" outlineLevel="1" x14ac:dyDescent="0.25">
      <c r="A355" s="633"/>
      <c r="B355" s="633"/>
      <c r="C355" s="1682"/>
      <c r="D355" s="1410" t="s">
        <v>75</v>
      </c>
      <c r="E355" s="1410" t="s">
        <v>684</v>
      </c>
      <c r="F355" s="1150">
        <v>1</v>
      </c>
      <c r="G355" s="3509" t="s">
        <v>2235</v>
      </c>
      <c r="H355" s="3509"/>
      <c r="I355" s="3446" t="s">
        <v>2232</v>
      </c>
      <c r="J355" s="3446"/>
      <c r="K355" s="3446"/>
      <c r="L355" s="633"/>
      <c r="M355" s="633"/>
      <c r="N355" s="633"/>
      <c r="O355" s="633"/>
      <c r="P355" s="633"/>
      <c r="Q355" s="633"/>
      <c r="R355" s="633"/>
      <c r="S355" s="633"/>
      <c r="T355" s="633"/>
      <c r="U355" s="633"/>
      <c r="V355" s="1069" t="str">
        <f t="shared" si="74"/>
        <v>ISR</v>
      </c>
      <c r="W355" s="557">
        <v>1</v>
      </c>
      <c r="X355" s="557">
        <v>1</v>
      </c>
      <c r="Y355" s="557">
        <v>1</v>
      </c>
      <c r="Z355" s="557">
        <v>1</v>
      </c>
      <c r="AA355" s="557">
        <v>1</v>
      </c>
      <c r="AB355" s="557">
        <v>1</v>
      </c>
      <c r="AC355" s="557"/>
      <c r="AD355" s="557"/>
      <c r="AE355" s="557"/>
      <c r="AF355" s="557"/>
      <c r="AG355" s="557"/>
      <c r="AH355"/>
      <c r="AI355"/>
      <c r="AJ355"/>
      <c r="BB355" s="1358"/>
    </row>
    <row r="356" spans="1:57" s="298" customFormat="1" ht="15" customHeight="1" outlineLevel="1" x14ac:dyDescent="0.25">
      <c r="B356" s="1359"/>
      <c r="C356" s="1007"/>
      <c r="D356" s="449" t="str">
        <f>$D$30</f>
        <v>EUL</v>
      </c>
      <c r="E356" s="1410" t="s">
        <v>591</v>
      </c>
      <c r="F356" s="1141">
        <v>10</v>
      </c>
      <c r="G356" s="3509"/>
      <c r="H356" s="3509"/>
      <c r="I356" s="3446"/>
      <c r="J356" s="3446"/>
      <c r="K356" s="3446"/>
      <c r="V356" s="1161" t="str">
        <f>D356</f>
        <v>EUL</v>
      </c>
      <c r="W356" s="1141">
        <v>10</v>
      </c>
      <c r="X356" s="1141">
        <v>10</v>
      </c>
      <c r="Y356" s="1141">
        <v>10</v>
      </c>
      <c r="Z356" s="1141">
        <v>10</v>
      </c>
      <c r="AA356" s="1141">
        <v>10</v>
      </c>
      <c r="AB356" s="1141">
        <v>10</v>
      </c>
      <c r="AC356" s="1281"/>
      <c r="AD356" s="1281"/>
      <c r="AE356" s="1281"/>
      <c r="AF356" s="1281"/>
      <c r="AG356" s="1281"/>
      <c r="AK356" s="1360"/>
      <c r="BB356" s="1361"/>
    </row>
    <row r="357" spans="1:57" s="298" customFormat="1" ht="15" customHeight="1" outlineLevel="1" x14ac:dyDescent="0.25">
      <c r="B357" s="1359"/>
      <c r="C357" s="1007"/>
      <c r="D357" s="449" t="str">
        <f>$D$31</f>
        <v>Inc. Cost</v>
      </c>
      <c r="E357" s="1410" t="s">
        <v>1848</v>
      </c>
      <c r="F357" s="1165">
        <v>8</v>
      </c>
      <c r="G357" s="3509"/>
      <c r="H357" s="3509"/>
      <c r="I357" s="3446"/>
      <c r="J357" s="3446"/>
      <c r="K357" s="3446"/>
      <c r="V357" s="1161" t="str">
        <f>D357</f>
        <v>Inc. Cost</v>
      </c>
      <c r="W357" s="1165">
        <v>8</v>
      </c>
      <c r="X357" s="1165">
        <v>8</v>
      </c>
      <c r="Y357" s="1165">
        <v>8</v>
      </c>
      <c r="Z357" s="1165">
        <v>8</v>
      </c>
      <c r="AA357" s="1165">
        <v>8</v>
      </c>
      <c r="AB357" s="1165">
        <v>8</v>
      </c>
      <c r="AC357" s="1281"/>
      <c r="AD357" s="1281"/>
      <c r="AE357" s="1281"/>
      <c r="AF357" s="1281"/>
      <c r="AG357" s="1281"/>
      <c r="AK357" s="1360"/>
      <c r="BB357" s="1361"/>
    </row>
    <row r="358" spans="1:57" x14ac:dyDescent="0.25">
      <c r="B358" s="1978"/>
      <c r="C358" s="1979"/>
      <c r="D358" s="1315"/>
      <c r="E358" s="1315"/>
      <c r="F358" s="1978"/>
      <c r="G358" s="1978"/>
      <c r="H358" s="1978"/>
      <c r="I358" s="1978"/>
      <c r="J358" s="1978"/>
      <c r="K358" s="1978"/>
      <c r="L358" s="1978"/>
    </row>
    <row r="359" spans="1:57" x14ac:dyDescent="0.25">
      <c r="B359" s="1978"/>
      <c r="C359" s="1979"/>
      <c r="D359" s="1315"/>
      <c r="E359" s="1315"/>
      <c r="F359" s="1978"/>
      <c r="G359" s="1978"/>
      <c r="H359" s="1978"/>
      <c r="I359" s="1978"/>
      <c r="J359" s="1978"/>
      <c r="K359" s="1978"/>
      <c r="L359" s="1978"/>
    </row>
    <row r="360" spans="1:57" s="194" customFormat="1" x14ac:dyDescent="0.25">
      <c r="B360" s="3350" t="s">
        <v>2236</v>
      </c>
      <c r="C360" s="3351"/>
      <c r="D360" s="3351"/>
      <c r="E360" s="3351"/>
      <c r="F360" s="3351"/>
      <c r="G360" s="3351"/>
      <c r="H360" s="3351"/>
      <c r="I360" s="3352"/>
      <c r="J360" s="3352"/>
      <c r="K360" s="3352"/>
      <c r="L360" s="3352"/>
      <c r="M360" s="3352"/>
      <c r="N360" s="3352"/>
      <c r="O360" s="3352"/>
      <c r="P360" s="3352"/>
      <c r="Q360" s="3353"/>
      <c r="V360" s="3350" t="str">
        <f>B360</f>
        <v>Faucet Aerators (Bathroom)</v>
      </c>
      <c r="W360" s="3351"/>
      <c r="X360" s="3351"/>
      <c r="Y360" s="3351"/>
      <c r="Z360" s="3351"/>
      <c r="AA360" s="3351"/>
      <c r="AB360" s="3351"/>
      <c r="AC360" s="3354"/>
      <c r="AD360" s="3354"/>
      <c r="AE360" s="3354"/>
      <c r="AF360" s="3354"/>
      <c r="AG360" s="3354"/>
      <c r="AH360" s="3354"/>
      <c r="AI360" s="3355"/>
      <c r="AJ360"/>
      <c r="BB360" s="937"/>
    </row>
    <row r="361" spans="1:57" ht="18" customHeight="1" x14ac:dyDescent="0.25">
      <c r="B361" s="1978"/>
      <c r="C361" s="1979"/>
      <c r="D361" s="1315"/>
      <c r="E361" s="1315"/>
      <c r="F361" s="1978"/>
      <c r="G361" s="1978"/>
      <c r="H361" s="1978"/>
      <c r="I361" s="1978"/>
      <c r="J361" s="1978"/>
      <c r="K361" s="1978"/>
      <c r="L361" s="1978"/>
    </row>
    <row r="362" spans="1:57" ht="30" x14ac:dyDescent="0.25">
      <c r="B362" s="1978"/>
      <c r="C362" s="2765" t="s">
        <v>17</v>
      </c>
      <c r="D362" s="1409" t="s">
        <v>616</v>
      </c>
      <c r="E362" s="1409" t="s">
        <v>19</v>
      </c>
      <c r="F362" s="1409" t="s">
        <v>20</v>
      </c>
      <c r="G362" s="1409" t="s">
        <v>21</v>
      </c>
      <c r="H362" s="1409" t="s">
        <v>22</v>
      </c>
      <c r="I362" s="1409" t="s">
        <v>933</v>
      </c>
      <c r="J362" s="1409" t="s">
        <v>23</v>
      </c>
      <c r="K362" s="1409" t="s">
        <v>24</v>
      </c>
      <c r="L362" s="1409" t="s">
        <v>25</v>
      </c>
      <c r="M362" s="1409" t="s">
        <v>26</v>
      </c>
      <c r="V362" s="55" t="s">
        <v>27</v>
      </c>
      <c r="W362" s="56">
        <f>W$6</f>
        <v>43252</v>
      </c>
      <c r="X362" s="56">
        <f t="shared" ref="X362:AG362" si="75">X$6</f>
        <v>43465</v>
      </c>
      <c r="Y362" s="56">
        <f t="shared" si="75"/>
        <v>43800</v>
      </c>
      <c r="Z362" s="56">
        <f t="shared" si="75"/>
        <v>43862</v>
      </c>
      <c r="AA362" s="56">
        <f t="shared" si="75"/>
        <v>44013</v>
      </c>
      <c r="AB362" s="56">
        <f t="shared" si="75"/>
        <v>44166</v>
      </c>
      <c r="AC362" s="56" t="str">
        <f t="shared" si="75"/>
        <v>-</v>
      </c>
      <c r="AD362" s="56" t="str">
        <f t="shared" si="75"/>
        <v>-</v>
      </c>
      <c r="AE362" s="56" t="str">
        <f t="shared" si="75"/>
        <v>-</v>
      </c>
      <c r="AF362" s="56" t="str">
        <f t="shared" si="75"/>
        <v>-</v>
      </c>
      <c r="AG362" s="56" t="str">
        <f t="shared" si="75"/>
        <v>-</v>
      </c>
      <c r="BB362" s="57" t="str">
        <f>$BB$6</f>
        <v>TRC (2020)</v>
      </c>
      <c r="BC362" s="93" t="str">
        <f>$BC$6</f>
        <v>Benefit Lookup</v>
      </c>
      <c r="BD362" s="741" t="str">
        <f>$BD$6</f>
        <v>Benefits (2019 $)</v>
      </c>
      <c r="BE362" s="279" t="str">
        <f>$BE$6</f>
        <v>Incremental Cost (2019 $)</v>
      </c>
    </row>
    <row r="363" spans="1:57" x14ac:dyDescent="0.25">
      <c r="B363" s="1978"/>
      <c r="C363" s="86" t="s">
        <v>2237</v>
      </c>
      <c r="D363" s="1658" t="s">
        <v>2147</v>
      </c>
      <c r="E363" s="1989" t="s">
        <v>2238</v>
      </c>
      <c r="F363" s="601">
        <f>ROUND(F373*(F374*F375-F376*F377)*F378*F379*F380/F381*I363*F389*F388,2)</f>
        <v>33.47</v>
      </c>
      <c r="G363" s="1454" t="s">
        <v>622</v>
      </c>
      <c r="H363" s="202">
        <f>VLOOKUP(G363,'CP FACTORS'!$A$3:$B$38, 2, FALSE)</f>
        <v>8.8731800000000003E-5</v>
      </c>
      <c r="I363" s="596">
        <f>F382*F383*(F384-F385)/(F386*F387)</f>
        <v>6.1532825322391571E-2</v>
      </c>
      <c r="J363" s="139">
        <f>ROUND(F363*H363,6)</f>
        <v>2.97E-3</v>
      </c>
      <c r="K363" s="141">
        <f>F390</f>
        <v>10</v>
      </c>
      <c r="L363" s="1316">
        <f>F391</f>
        <v>8</v>
      </c>
      <c r="M363" s="253" t="s">
        <v>37</v>
      </c>
      <c r="V363" s="208" t="str">
        <f>F362</f>
        <v>kWh Annual Savings</v>
      </c>
      <c r="W363" s="484">
        <v>33.473610844079722</v>
      </c>
      <c r="X363" s="1317">
        <v>33.473610844079722</v>
      </c>
      <c r="Y363" s="1317">
        <v>33.47</v>
      </c>
      <c r="Z363" s="1317">
        <v>33.47</v>
      </c>
      <c r="AA363" s="1317">
        <v>33.47</v>
      </c>
      <c r="AB363" s="1317">
        <v>33.47</v>
      </c>
      <c r="AC363" s="208"/>
      <c r="AD363" s="208"/>
      <c r="AE363" s="208"/>
      <c r="AF363" s="208"/>
      <c r="AG363" s="208"/>
      <c r="BB363" s="107">
        <f>(BD363)/(BE363)</f>
        <v>1.4950617018732253</v>
      </c>
      <c r="BC363" s="68" t="str">
        <f>CONCATENATE(G363," ",K363," Year EUL")</f>
        <v>Water Heating RES 10 Year EUL</v>
      </c>
      <c r="BD363" s="214">
        <f>(INDEX('Avoided Cost Benefits'!$C$4:$C$857,MATCH(BC363,'Avoided Cost Benefits'!$A$4:$A$857,0)))*F363</f>
        <v>11.288809452558565</v>
      </c>
      <c r="BE363" s="109">
        <f>L363/(1.0595^(2020-2019))</f>
        <v>7.5507314771118441</v>
      </c>
    </row>
    <row r="364" spans="1:57" outlineLevel="1" x14ac:dyDescent="0.25">
      <c r="B364" s="1978"/>
      <c r="C364" s="1979"/>
      <c r="D364" s="1315"/>
      <c r="E364" s="1315"/>
      <c r="F364" s="1978"/>
      <c r="G364" s="1992"/>
      <c r="H364" s="1978"/>
      <c r="I364" s="1978"/>
      <c r="J364" s="1978"/>
      <c r="K364" s="1978"/>
      <c r="L364" s="1978"/>
    </row>
    <row r="365" spans="1:57" outlineLevel="1" x14ac:dyDescent="0.25">
      <c r="B365" s="1978"/>
      <c r="C365" s="1979"/>
      <c r="D365" s="222" t="s">
        <v>571</v>
      </c>
      <c r="E365" s="1315"/>
      <c r="F365" s="1978"/>
      <c r="G365" s="1978"/>
      <c r="H365" s="1978"/>
      <c r="I365" s="1978"/>
      <c r="J365" s="1978"/>
      <c r="K365" s="1978"/>
      <c r="L365" s="1978"/>
    </row>
    <row r="366" spans="1:57" outlineLevel="1" x14ac:dyDescent="0.25">
      <c r="B366" s="1978"/>
      <c r="C366" s="1979"/>
      <c r="D366" s="1315"/>
      <c r="E366" s="1315"/>
      <c r="F366" s="1978"/>
      <c r="G366" s="1978"/>
      <c r="H366" s="1978"/>
      <c r="I366" s="1978"/>
      <c r="J366" s="1978"/>
      <c r="K366" s="1978"/>
      <c r="L366" s="1978"/>
    </row>
    <row r="367" spans="1:57" outlineLevel="1" x14ac:dyDescent="0.25">
      <c r="B367" s="1978"/>
      <c r="C367" s="1979"/>
      <c r="D367" s="1315"/>
      <c r="E367" s="1315"/>
      <c r="F367" s="1978"/>
      <c r="G367" s="1978"/>
      <c r="H367" s="1978"/>
      <c r="I367" s="1978"/>
      <c r="J367" s="1978"/>
      <c r="K367" s="1978"/>
      <c r="L367" s="1978"/>
    </row>
    <row r="368" spans="1:57" outlineLevel="1" x14ac:dyDescent="0.25">
      <c r="B368" s="1978"/>
      <c r="C368" s="1979"/>
      <c r="D368" s="1315"/>
      <c r="E368" s="1315"/>
      <c r="F368" s="1978"/>
      <c r="G368" s="1978"/>
      <c r="H368" s="1978"/>
      <c r="I368" s="1978"/>
      <c r="J368" s="1978"/>
      <c r="K368" s="1978"/>
      <c r="L368" s="1978"/>
    </row>
    <row r="369" spans="1:54" outlineLevel="1" x14ac:dyDescent="0.25">
      <c r="B369" s="1978"/>
      <c r="C369" s="1979"/>
      <c r="D369" s="1315"/>
      <c r="E369" s="1315"/>
      <c r="F369" s="1978"/>
      <c r="G369" s="1978"/>
      <c r="H369" s="1978"/>
      <c r="I369" s="1978"/>
      <c r="J369" s="1978"/>
      <c r="K369" s="1978"/>
      <c r="L369" s="1978"/>
    </row>
    <row r="370" spans="1:54" outlineLevel="1" x14ac:dyDescent="0.25">
      <c r="B370" s="1978"/>
      <c r="C370" s="1979"/>
      <c r="D370" s="1315"/>
      <c r="E370" s="1315"/>
      <c r="F370" s="1978"/>
      <c r="G370" s="1978"/>
      <c r="H370" s="1978"/>
      <c r="I370" s="1978"/>
      <c r="J370" s="1978"/>
      <c r="K370" s="1978"/>
      <c r="L370" s="1978"/>
    </row>
    <row r="371" spans="1:54" outlineLevel="1" x14ac:dyDescent="0.25">
      <c r="B371" s="1978"/>
      <c r="C371" s="1979"/>
      <c r="D371" s="1315"/>
      <c r="E371" s="1315"/>
      <c r="F371" s="1978"/>
      <c r="G371" s="1978"/>
      <c r="H371" s="1978"/>
      <c r="I371" s="1978"/>
      <c r="J371" s="1978"/>
      <c r="K371" s="1978"/>
      <c r="L371" s="1978"/>
    </row>
    <row r="372" spans="1:54" ht="15" customHeight="1" outlineLevel="1" x14ac:dyDescent="0.25">
      <c r="B372" s="1978"/>
      <c r="C372" s="1979"/>
      <c r="D372" s="1456" t="s">
        <v>572</v>
      </c>
      <c r="E372" s="1456" t="s">
        <v>573</v>
      </c>
      <c r="F372" s="1409" t="s">
        <v>909</v>
      </c>
      <c r="G372" s="3419" t="s">
        <v>910</v>
      </c>
      <c r="H372" s="3419"/>
      <c r="I372" s="3419" t="s">
        <v>575</v>
      </c>
      <c r="J372" s="3419"/>
      <c r="K372" s="1409"/>
      <c r="L372" s="1978"/>
      <c r="V372" s="55" t="s">
        <v>27</v>
      </c>
      <c r="W372" s="56">
        <f>W$6</f>
        <v>43252</v>
      </c>
      <c r="X372" s="56">
        <f t="shared" ref="X372:AG372" si="76">X$6</f>
        <v>43465</v>
      </c>
      <c r="Y372" s="56">
        <f t="shared" si="76"/>
        <v>43800</v>
      </c>
      <c r="Z372" s="56">
        <f t="shared" si="76"/>
        <v>43862</v>
      </c>
      <c r="AA372" s="56">
        <f t="shared" si="76"/>
        <v>44013</v>
      </c>
      <c r="AB372" s="56">
        <f t="shared" si="76"/>
        <v>44166</v>
      </c>
      <c r="AC372" s="56" t="str">
        <f t="shared" si="76"/>
        <v>-</v>
      </c>
      <c r="AD372" s="56" t="str">
        <f t="shared" si="76"/>
        <v>-</v>
      </c>
      <c r="AE372" s="56" t="str">
        <f t="shared" si="76"/>
        <v>-</v>
      </c>
      <c r="AF372" s="56" t="str">
        <f t="shared" si="76"/>
        <v>-</v>
      </c>
      <c r="AG372" s="56" t="str">
        <f t="shared" si="76"/>
        <v>-</v>
      </c>
    </row>
    <row r="373" spans="1:54" outlineLevel="1" x14ac:dyDescent="0.25">
      <c r="B373" s="1978"/>
      <c r="C373" s="1979"/>
      <c r="D373" s="1410" t="s">
        <v>937</v>
      </c>
      <c r="E373" s="1410" t="s">
        <v>938</v>
      </c>
      <c r="F373" s="1150">
        <v>1</v>
      </c>
      <c r="G373" s="3509" t="s">
        <v>930</v>
      </c>
      <c r="H373" s="3509"/>
      <c r="I373" s="3446" t="s">
        <v>2231</v>
      </c>
      <c r="J373" s="3446"/>
      <c r="K373" s="3446"/>
      <c r="L373" s="1978"/>
      <c r="V373" s="527" t="str">
        <f>D373</f>
        <v>%Electric DHW</v>
      </c>
      <c r="W373" s="557">
        <v>1</v>
      </c>
      <c r="X373" s="557">
        <v>1</v>
      </c>
      <c r="Y373" s="557">
        <v>1</v>
      </c>
      <c r="Z373" s="557">
        <v>1</v>
      </c>
      <c r="AA373" s="557">
        <v>1</v>
      </c>
      <c r="AB373" s="557">
        <v>1</v>
      </c>
      <c r="AC373" s="557"/>
      <c r="AD373" s="557"/>
      <c r="AE373" s="557"/>
      <c r="AF373" s="557"/>
      <c r="AG373" s="557"/>
    </row>
    <row r="374" spans="1:54" ht="27.75" customHeight="1" outlineLevel="1" x14ac:dyDescent="0.25">
      <c r="B374" s="1978"/>
      <c r="C374" s="1979"/>
      <c r="D374" s="1410" t="s">
        <v>941</v>
      </c>
      <c r="E374" s="1410" t="s">
        <v>942</v>
      </c>
      <c r="F374" s="1454">
        <v>2.2000000000000002</v>
      </c>
      <c r="G374" s="3459" t="s">
        <v>943</v>
      </c>
      <c r="H374" s="3459"/>
      <c r="I374" s="3446" t="s">
        <v>2232</v>
      </c>
      <c r="J374" s="3446"/>
      <c r="K374" s="3446"/>
      <c r="L374" s="1978"/>
      <c r="V374" s="527" t="str">
        <f t="shared" ref="V374:V389" si="77">D374</f>
        <v>GPM_base</v>
      </c>
      <c r="W374" s="549">
        <v>2.2000000000000002</v>
      </c>
      <c r="X374" s="549">
        <v>2.2000000000000002</v>
      </c>
      <c r="Y374" s="549">
        <v>2.2000000000000002</v>
      </c>
      <c r="Z374" s="549">
        <v>2.2000000000000002</v>
      </c>
      <c r="AA374" s="549">
        <v>2.2000000000000002</v>
      </c>
      <c r="AB374" s="549">
        <v>2.2000000000000002</v>
      </c>
      <c r="AC374" s="549"/>
      <c r="AD374" s="549"/>
      <c r="AE374" s="549"/>
      <c r="AF374" s="549"/>
      <c r="AG374" s="549"/>
    </row>
    <row r="375" spans="1:54" ht="69.75" customHeight="1" outlineLevel="1" x14ac:dyDescent="0.25">
      <c r="B375" s="1978"/>
      <c r="C375" s="1979"/>
      <c r="D375" s="1410" t="s">
        <v>944</v>
      </c>
      <c r="E375" s="1424" t="s">
        <v>945</v>
      </c>
      <c r="F375" s="1454">
        <v>1.6</v>
      </c>
      <c r="G375" s="3459" t="s">
        <v>977</v>
      </c>
      <c r="H375" s="3459"/>
      <c r="I375" s="3446" t="s">
        <v>2232</v>
      </c>
      <c r="J375" s="3446"/>
      <c r="K375" s="3446"/>
      <c r="L375" s="1978"/>
      <c r="V375" s="527" t="str">
        <f t="shared" si="77"/>
        <v>L_base</v>
      </c>
      <c r="W375" s="549">
        <v>1.6</v>
      </c>
      <c r="X375" s="549">
        <v>1.6</v>
      </c>
      <c r="Y375" s="549">
        <v>1.6</v>
      </c>
      <c r="Z375" s="549">
        <v>1.6</v>
      </c>
      <c r="AA375" s="549">
        <v>1.6</v>
      </c>
      <c r="AB375" s="549">
        <v>1.6</v>
      </c>
      <c r="AC375" s="549"/>
      <c r="AD375" s="549"/>
      <c r="AE375" s="549"/>
      <c r="AF375" s="549"/>
      <c r="AG375" s="549"/>
    </row>
    <row r="376" spans="1:54" outlineLevel="1" x14ac:dyDescent="0.25">
      <c r="B376" s="1978"/>
      <c r="C376" s="1979"/>
      <c r="D376" s="1410" t="s">
        <v>948</v>
      </c>
      <c r="E376" s="1410" t="s">
        <v>949</v>
      </c>
      <c r="F376" s="531">
        <v>1.5</v>
      </c>
      <c r="G376" s="3459" t="s">
        <v>471</v>
      </c>
      <c r="H376" s="3459"/>
      <c r="I376" s="3446" t="s">
        <v>2232</v>
      </c>
      <c r="J376" s="3446"/>
      <c r="K376" s="3446"/>
      <c r="L376" s="1978"/>
      <c r="V376" s="527" t="str">
        <f t="shared" si="77"/>
        <v>GPM_low</v>
      </c>
      <c r="W376" s="532">
        <v>1.5</v>
      </c>
      <c r="X376" s="532">
        <v>1.5</v>
      </c>
      <c r="Y376" s="532">
        <v>1.5</v>
      </c>
      <c r="Z376" s="532">
        <v>1.5</v>
      </c>
      <c r="AA376" s="532">
        <v>1.5</v>
      </c>
      <c r="AB376" s="532">
        <v>1.5</v>
      </c>
      <c r="AC376" s="532"/>
      <c r="AD376" s="532"/>
      <c r="AE376" s="532"/>
      <c r="AF376" s="532"/>
      <c r="AG376" s="532"/>
    </row>
    <row r="377" spans="1:54" ht="72.75" customHeight="1" outlineLevel="1" x14ac:dyDescent="0.25">
      <c r="B377" s="1978"/>
      <c r="C377" s="1979"/>
      <c r="D377" s="1410" t="s">
        <v>950</v>
      </c>
      <c r="E377" s="1424" t="s">
        <v>951</v>
      </c>
      <c r="F377" s="1454">
        <v>1.6</v>
      </c>
      <c r="G377" s="3459" t="s">
        <v>977</v>
      </c>
      <c r="H377" s="3459"/>
      <c r="I377" s="3446" t="s">
        <v>2232</v>
      </c>
      <c r="J377" s="3446"/>
      <c r="K377" s="3446"/>
      <c r="L377" s="1978"/>
      <c r="V377" s="527" t="str">
        <f t="shared" si="77"/>
        <v>L_low</v>
      </c>
      <c r="W377" s="549">
        <v>1.6</v>
      </c>
      <c r="X377" s="549">
        <v>1.6</v>
      </c>
      <c r="Y377" s="549">
        <v>1.6</v>
      </c>
      <c r="Z377" s="549">
        <v>1.6</v>
      </c>
      <c r="AA377" s="549">
        <v>1.6</v>
      </c>
      <c r="AB377" s="549">
        <v>1.6</v>
      </c>
      <c r="AC377" s="549"/>
      <c r="AD377" s="549"/>
      <c r="AE377" s="549"/>
      <c r="AF377" s="549"/>
      <c r="AG377" s="549"/>
    </row>
    <row r="378" spans="1:54" ht="45" customHeight="1" outlineLevel="1" x14ac:dyDescent="0.25">
      <c r="B378" s="1978"/>
      <c r="C378" s="1979"/>
      <c r="D378" s="1410" t="s">
        <v>637</v>
      </c>
      <c r="E378" s="388" t="s">
        <v>952</v>
      </c>
      <c r="F378" s="1454">
        <v>2.0699999999999998</v>
      </c>
      <c r="G378" s="3459" t="s">
        <v>2233</v>
      </c>
      <c r="H378" s="3459"/>
      <c r="I378" s="3446" t="s">
        <v>2232</v>
      </c>
      <c r="J378" s="3446"/>
      <c r="K378" s="3446"/>
      <c r="L378" s="1978"/>
      <c r="V378" s="527" t="str">
        <f t="shared" si="77"/>
        <v>Household</v>
      </c>
      <c r="W378" s="549">
        <v>2.0699999999999998</v>
      </c>
      <c r="X378" s="549">
        <v>2.0699999999999998</v>
      </c>
      <c r="Y378" s="549">
        <v>2.0699999999999998</v>
      </c>
      <c r="Z378" s="549">
        <v>2.0699999999999998</v>
      </c>
      <c r="AA378" s="549">
        <v>2.0699999999999998</v>
      </c>
      <c r="AB378" s="549">
        <v>2.0699999999999998</v>
      </c>
      <c r="AC378" s="549"/>
      <c r="AD378" s="549"/>
      <c r="AE378" s="549"/>
      <c r="AF378" s="549"/>
      <c r="AG378" s="549"/>
    </row>
    <row r="379" spans="1:54" ht="82.5" customHeight="1" outlineLevel="1" x14ac:dyDescent="0.25">
      <c r="B379" s="1978"/>
      <c r="C379" s="1979"/>
      <c r="D379" s="513" t="s">
        <v>954</v>
      </c>
      <c r="E379" s="1991" t="s">
        <v>955</v>
      </c>
      <c r="F379" s="137">
        <v>0.9</v>
      </c>
      <c r="G379" s="3527" t="s">
        <v>956</v>
      </c>
      <c r="H379" s="3527"/>
      <c r="I379" s="3446" t="s">
        <v>2232</v>
      </c>
      <c r="J379" s="3446"/>
      <c r="K379" s="3446"/>
      <c r="L379" s="1978"/>
      <c r="V379" s="527" t="str">
        <f t="shared" si="77"/>
        <v>DF</v>
      </c>
      <c r="W379" s="568">
        <v>0.9</v>
      </c>
      <c r="X379" s="568">
        <v>0.9</v>
      </c>
      <c r="Y379" s="568">
        <v>0.9</v>
      </c>
      <c r="Z379" s="568">
        <v>0.9</v>
      </c>
      <c r="AA379" s="568">
        <v>0.9</v>
      </c>
      <c r="AB379" s="568">
        <v>0.9</v>
      </c>
      <c r="AC379" s="568"/>
      <c r="AD379" s="568"/>
      <c r="AE379" s="568"/>
      <c r="AF379" s="568"/>
      <c r="AG379" s="568"/>
    </row>
    <row r="380" spans="1:54" s="522" customFormat="1" outlineLevel="1" x14ac:dyDescent="0.25">
      <c r="A380" s="633"/>
      <c r="B380" s="1993"/>
      <c r="C380" s="1994"/>
      <c r="D380" s="513">
        <v>365.25</v>
      </c>
      <c r="E380" s="388" t="s">
        <v>218</v>
      </c>
      <c r="F380" s="60">
        <v>365</v>
      </c>
      <c r="G380" s="3513"/>
      <c r="H380" s="3513"/>
      <c r="I380" s="3446" t="s">
        <v>2232</v>
      </c>
      <c r="J380" s="3446"/>
      <c r="K380" s="3446"/>
      <c r="L380" s="1993"/>
      <c r="M380" s="633"/>
      <c r="N380" s="633"/>
      <c r="O380" s="633"/>
      <c r="P380" s="633"/>
      <c r="Q380" s="633"/>
      <c r="R380" s="633"/>
      <c r="S380" s="633"/>
      <c r="T380" s="633"/>
      <c r="U380" s="633"/>
      <c r="V380" s="527">
        <f t="shared" si="77"/>
        <v>365.25</v>
      </c>
      <c r="W380" s="559">
        <v>365</v>
      </c>
      <c r="X380" s="559">
        <v>365</v>
      </c>
      <c r="Y380" s="559">
        <v>365</v>
      </c>
      <c r="Z380" s="559">
        <v>365</v>
      </c>
      <c r="AA380" s="559">
        <v>365</v>
      </c>
      <c r="AB380" s="559">
        <v>365</v>
      </c>
      <c r="AC380" s="559"/>
      <c r="AD380" s="559"/>
      <c r="AE380" s="559"/>
      <c r="AF380" s="559"/>
      <c r="AG380" s="559"/>
      <c r="AH380"/>
      <c r="AI380"/>
      <c r="AJ380"/>
      <c r="BB380" s="1358"/>
    </row>
    <row r="381" spans="1:54" s="522" customFormat="1" ht="30" customHeight="1" outlineLevel="1" x14ac:dyDescent="0.25">
      <c r="A381" s="633"/>
      <c r="B381" s="1993"/>
      <c r="C381" s="1994"/>
      <c r="D381" s="513" t="s">
        <v>957</v>
      </c>
      <c r="E381" s="1410" t="s">
        <v>958</v>
      </c>
      <c r="F381" s="1990">
        <v>1.4</v>
      </c>
      <c r="G381" s="3509" t="s">
        <v>2234</v>
      </c>
      <c r="H381" s="3509"/>
      <c r="I381" s="3446" t="s">
        <v>2232</v>
      </c>
      <c r="J381" s="3446"/>
      <c r="K381" s="3446"/>
      <c r="L381" s="1993"/>
      <c r="M381" s="633"/>
      <c r="N381" s="633"/>
      <c r="O381" s="633"/>
      <c r="P381" s="633"/>
      <c r="Q381" s="633"/>
      <c r="R381" s="633"/>
      <c r="S381" s="633"/>
      <c r="T381" s="633"/>
      <c r="U381" s="633"/>
      <c r="V381" s="527" t="str">
        <f t="shared" si="77"/>
        <v>FPH</v>
      </c>
      <c r="W381" s="574">
        <v>1.4</v>
      </c>
      <c r="X381" s="574">
        <v>1.4</v>
      </c>
      <c r="Y381" s="574">
        <v>1.4</v>
      </c>
      <c r="Z381" s="574">
        <v>1.4</v>
      </c>
      <c r="AA381" s="574">
        <v>1.4</v>
      </c>
      <c r="AB381" s="574">
        <v>1.4</v>
      </c>
      <c r="AC381" s="574"/>
      <c r="AD381" s="574"/>
      <c r="AE381" s="574"/>
      <c r="AF381" s="574"/>
      <c r="AG381" s="574"/>
      <c r="AH381"/>
      <c r="AI381"/>
      <c r="AJ381"/>
      <c r="BB381" s="1358"/>
    </row>
    <row r="382" spans="1:54" s="522" customFormat="1" outlineLevel="1" x14ac:dyDescent="0.25">
      <c r="A382" s="633"/>
      <c r="B382" s="1993"/>
      <c r="C382" s="1994"/>
      <c r="D382" s="513">
        <v>8.33</v>
      </c>
      <c r="E382" s="1991" t="s">
        <v>959</v>
      </c>
      <c r="F382" s="137">
        <v>8.33</v>
      </c>
      <c r="G382" s="4064" t="s">
        <v>960</v>
      </c>
      <c r="H382" s="4064"/>
      <c r="I382" s="3446" t="s">
        <v>2232</v>
      </c>
      <c r="J382" s="3446"/>
      <c r="K382" s="3446"/>
      <c r="L382" s="1993"/>
      <c r="M382" s="633"/>
      <c r="N382" s="633"/>
      <c r="O382" s="633"/>
      <c r="P382" s="633"/>
      <c r="Q382" s="633"/>
      <c r="R382" s="633"/>
      <c r="S382" s="633"/>
      <c r="T382" s="633"/>
      <c r="U382" s="633"/>
      <c r="V382" s="527">
        <f t="shared" si="77"/>
        <v>8.33</v>
      </c>
      <c r="W382" s="568">
        <v>8.33</v>
      </c>
      <c r="X382" s="568">
        <v>8.33</v>
      </c>
      <c r="Y382" s="568">
        <v>8.33</v>
      </c>
      <c r="Z382" s="568">
        <v>8.33</v>
      </c>
      <c r="AA382" s="568">
        <v>8.33</v>
      </c>
      <c r="AB382" s="568">
        <v>8.33</v>
      </c>
      <c r="AC382" s="568"/>
      <c r="AD382" s="568"/>
      <c r="AE382" s="568"/>
      <c r="AF382" s="568"/>
      <c r="AG382" s="568"/>
      <c r="AH382"/>
      <c r="AI382"/>
      <c r="AJ382"/>
      <c r="BB382" s="1358"/>
    </row>
    <row r="383" spans="1:54" s="522" customFormat="1" ht="30" customHeight="1" outlineLevel="1" x14ac:dyDescent="0.25">
      <c r="A383" s="633"/>
      <c r="B383" s="1993"/>
      <c r="C383" s="1994"/>
      <c r="D383" s="513">
        <v>1</v>
      </c>
      <c r="E383" s="1424" t="s">
        <v>961</v>
      </c>
      <c r="F383" s="137">
        <v>1</v>
      </c>
      <c r="G383" s="3527" t="s">
        <v>962</v>
      </c>
      <c r="H383" s="3527"/>
      <c r="I383" s="3446" t="s">
        <v>2232</v>
      </c>
      <c r="J383" s="3446"/>
      <c r="K383" s="3446"/>
      <c r="L383" s="1993"/>
      <c r="M383" s="633"/>
      <c r="N383" s="633"/>
      <c r="O383" s="633"/>
      <c r="P383" s="633"/>
      <c r="Q383" s="633"/>
      <c r="R383" s="633"/>
      <c r="S383" s="633"/>
      <c r="T383" s="633"/>
      <c r="U383" s="633"/>
      <c r="V383" s="527">
        <f t="shared" si="77"/>
        <v>1</v>
      </c>
      <c r="W383" s="568">
        <v>1</v>
      </c>
      <c r="X383" s="568">
        <v>1</v>
      </c>
      <c r="Y383" s="568">
        <v>1</v>
      </c>
      <c r="Z383" s="568">
        <v>1</v>
      </c>
      <c r="AA383" s="568">
        <v>1</v>
      </c>
      <c r="AB383" s="568">
        <v>1</v>
      </c>
      <c r="AC383" s="568"/>
      <c r="AD383" s="568"/>
      <c r="AE383" s="568"/>
      <c r="AF383" s="568"/>
      <c r="AG383" s="568"/>
      <c r="AH383"/>
      <c r="AI383"/>
      <c r="AJ383"/>
      <c r="BB383" s="1358"/>
    </row>
    <row r="384" spans="1:54" s="522" customFormat="1" ht="75.75" customHeight="1" outlineLevel="1" x14ac:dyDescent="0.25">
      <c r="A384" s="633"/>
      <c r="B384" s="1993"/>
      <c r="C384" s="1994"/>
      <c r="D384" s="1410" t="s">
        <v>963</v>
      </c>
      <c r="E384" s="388" t="s">
        <v>964</v>
      </c>
      <c r="F384" s="187">
        <v>86</v>
      </c>
      <c r="G384" s="3513" t="s">
        <v>965</v>
      </c>
      <c r="H384" s="3513"/>
      <c r="I384" s="3446" t="s">
        <v>2232</v>
      </c>
      <c r="J384" s="3446"/>
      <c r="K384" s="3446"/>
      <c r="L384" s="1993"/>
      <c r="M384" s="633"/>
      <c r="N384" s="633"/>
      <c r="O384" s="633"/>
      <c r="P384" s="633"/>
      <c r="Q384" s="633"/>
      <c r="R384" s="633"/>
      <c r="S384" s="633"/>
      <c r="T384" s="633"/>
      <c r="U384" s="633"/>
      <c r="V384" s="527" t="str">
        <f t="shared" si="77"/>
        <v>WaterTemp</v>
      </c>
      <c r="W384" s="893">
        <v>86</v>
      </c>
      <c r="X384" s="893">
        <v>86</v>
      </c>
      <c r="Y384" s="893">
        <v>86</v>
      </c>
      <c r="Z384" s="893">
        <v>86</v>
      </c>
      <c r="AA384" s="893">
        <v>86</v>
      </c>
      <c r="AB384" s="893">
        <v>86</v>
      </c>
      <c r="AC384" s="893"/>
      <c r="AD384" s="893"/>
      <c r="AE384" s="893"/>
      <c r="AF384" s="893"/>
      <c r="AG384" s="893"/>
      <c r="AH384"/>
      <c r="AI384"/>
      <c r="AJ384"/>
      <c r="BB384" s="1358"/>
    </row>
    <row r="385" spans="1:57" s="522" customFormat="1" ht="66.75" customHeight="1" outlineLevel="1" x14ac:dyDescent="0.25">
      <c r="A385" s="633"/>
      <c r="B385" s="1993"/>
      <c r="C385" s="1994"/>
      <c r="D385" s="1410" t="s">
        <v>966</v>
      </c>
      <c r="E385" s="388" t="s">
        <v>967</v>
      </c>
      <c r="F385" s="628">
        <v>61.3</v>
      </c>
      <c r="G385" s="4065" t="s">
        <v>968</v>
      </c>
      <c r="H385" s="4065"/>
      <c r="I385" s="3446" t="s">
        <v>2232</v>
      </c>
      <c r="J385" s="3446"/>
      <c r="K385" s="3446"/>
      <c r="L385" s="1993"/>
      <c r="M385" s="633"/>
      <c r="N385" s="633"/>
      <c r="O385" s="633"/>
      <c r="P385" s="633"/>
      <c r="Q385" s="633"/>
      <c r="R385" s="633"/>
      <c r="S385" s="633"/>
      <c r="T385" s="633"/>
      <c r="U385" s="633"/>
      <c r="V385" s="527" t="str">
        <f t="shared" si="77"/>
        <v>SupplyTemp</v>
      </c>
      <c r="W385" s="1362">
        <v>61.3</v>
      </c>
      <c r="X385" s="1362">
        <v>61.3</v>
      </c>
      <c r="Y385" s="1362">
        <v>61.3</v>
      </c>
      <c r="Z385" s="1362">
        <v>61.3</v>
      </c>
      <c r="AA385" s="1362">
        <v>61.3</v>
      </c>
      <c r="AB385" s="1362">
        <v>61.3</v>
      </c>
      <c r="AC385" s="1362"/>
      <c r="AD385" s="1362"/>
      <c r="AE385" s="1362"/>
      <c r="AF385" s="1362"/>
      <c r="AG385" s="1362"/>
      <c r="AH385"/>
      <c r="AI385"/>
      <c r="AJ385"/>
      <c r="BB385" s="1358"/>
    </row>
    <row r="386" spans="1:57" s="522" customFormat="1" ht="66.75" customHeight="1" outlineLevel="1" x14ac:dyDescent="0.25">
      <c r="A386" s="633"/>
      <c r="B386" s="1993"/>
      <c r="C386" s="1994"/>
      <c r="D386" s="1410" t="s">
        <v>969</v>
      </c>
      <c r="E386" s="1424" t="s">
        <v>970</v>
      </c>
      <c r="F386" s="137">
        <v>0.98</v>
      </c>
      <c r="G386" s="4064" t="s">
        <v>971</v>
      </c>
      <c r="H386" s="4064"/>
      <c r="I386" s="3446" t="s">
        <v>2232</v>
      </c>
      <c r="J386" s="3446"/>
      <c r="K386" s="3446"/>
      <c r="L386" s="1993"/>
      <c r="M386" s="633"/>
      <c r="N386" s="633"/>
      <c r="O386" s="633"/>
      <c r="P386" s="633"/>
      <c r="Q386" s="633"/>
      <c r="R386" s="633"/>
      <c r="S386" s="633"/>
      <c r="T386" s="633"/>
      <c r="U386" s="633"/>
      <c r="V386" s="527" t="str">
        <f t="shared" si="77"/>
        <v>RE_electric</v>
      </c>
      <c r="W386" s="568">
        <v>0.98</v>
      </c>
      <c r="X386" s="568">
        <v>0.98</v>
      </c>
      <c r="Y386" s="568">
        <v>0.98</v>
      </c>
      <c r="Z386" s="568">
        <v>0.98</v>
      </c>
      <c r="AA386" s="568">
        <v>0.98</v>
      </c>
      <c r="AB386" s="568">
        <v>0.98</v>
      </c>
      <c r="AC386" s="568"/>
      <c r="AD386" s="568"/>
      <c r="AE386" s="568"/>
      <c r="AF386" s="568"/>
      <c r="AG386" s="568"/>
      <c r="AH386"/>
      <c r="AI386"/>
      <c r="AJ386"/>
      <c r="BB386" s="1358"/>
    </row>
    <row r="387" spans="1:57" s="522" customFormat="1" ht="30" customHeight="1" outlineLevel="1" x14ac:dyDescent="0.25">
      <c r="A387" s="633"/>
      <c r="B387" s="1993"/>
      <c r="C387" s="1994"/>
      <c r="D387" s="1410">
        <v>3412</v>
      </c>
      <c r="E387" s="1991" t="s">
        <v>972</v>
      </c>
      <c r="F387" s="444">
        <v>3412</v>
      </c>
      <c r="G387" s="4064" t="s">
        <v>655</v>
      </c>
      <c r="H387" s="4064"/>
      <c r="I387" s="3446" t="s">
        <v>2232</v>
      </c>
      <c r="J387" s="3446"/>
      <c r="K387" s="3446"/>
      <c r="L387" s="1993"/>
      <c r="M387" s="633"/>
      <c r="N387" s="633"/>
      <c r="O387" s="633"/>
      <c r="P387" s="633"/>
      <c r="Q387" s="633"/>
      <c r="R387" s="633"/>
      <c r="S387" s="633"/>
      <c r="T387" s="633"/>
      <c r="U387" s="633"/>
      <c r="V387" s="527">
        <f t="shared" si="77"/>
        <v>3412</v>
      </c>
      <c r="W387" s="577">
        <v>3412</v>
      </c>
      <c r="X387" s="577">
        <v>3412</v>
      </c>
      <c r="Y387" s="577">
        <v>3412</v>
      </c>
      <c r="Z387" s="577">
        <v>3412</v>
      </c>
      <c r="AA387" s="577">
        <v>3412</v>
      </c>
      <c r="AB387" s="577">
        <v>3412</v>
      </c>
      <c r="AC387" s="577"/>
      <c r="AD387" s="577"/>
      <c r="AE387" s="577"/>
      <c r="AF387" s="577"/>
      <c r="AG387" s="577"/>
      <c r="AH387"/>
      <c r="AI387"/>
      <c r="AJ387"/>
      <c r="BB387" s="1358"/>
    </row>
    <row r="388" spans="1:57" s="522" customFormat="1" outlineLevel="1" x14ac:dyDescent="0.25">
      <c r="A388" s="633"/>
      <c r="B388" s="1993"/>
      <c r="C388" s="1994"/>
      <c r="D388" s="1410" t="s">
        <v>892</v>
      </c>
      <c r="E388" s="1410" t="s">
        <v>929</v>
      </c>
      <c r="F388" s="1150">
        <v>1</v>
      </c>
      <c r="G388" s="3509" t="s">
        <v>930</v>
      </c>
      <c r="H388" s="3509"/>
      <c r="I388" s="3446" t="s">
        <v>2231</v>
      </c>
      <c r="J388" s="3446"/>
      <c r="K388" s="3446"/>
      <c r="L388" s="1993"/>
      <c r="M388" s="633"/>
      <c r="N388" s="633"/>
      <c r="O388" s="633"/>
      <c r="P388" s="633"/>
      <c r="Q388" s="633"/>
      <c r="R388" s="633"/>
      <c r="S388" s="633"/>
      <c r="T388" s="633"/>
      <c r="U388" s="633"/>
      <c r="V388" s="527" t="str">
        <f t="shared" si="77"/>
        <v>Utility Adjustment</v>
      </c>
      <c r="W388" s="557">
        <v>1</v>
      </c>
      <c r="X388" s="557">
        <v>1</v>
      </c>
      <c r="Y388" s="557">
        <v>1</v>
      </c>
      <c r="Z388" s="557">
        <v>1</v>
      </c>
      <c r="AA388" s="557">
        <v>1</v>
      </c>
      <c r="AB388" s="557">
        <v>1</v>
      </c>
      <c r="AC388" s="557"/>
      <c r="AD388" s="557"/>
      <c r="AE388" s="557"/>
      <c r="AF388" s="557"/>
      <c r="AG388" s="557"/>
      <c r="AH388"/>
      <c r="AI388"/>
      <c r="AJ388"/>
      <c r="BB388" s="1358"/>
    </row>
    <row r="389" spans="1:57" s="522" customFormat="1" outlineLevel="1" x14ac:dyDescent="0.25">
      <c r="A389" s="633"/>
      <c r="B389" s="1993"/>
      <c r="C389" s="1994"/>
      <c r="D389" s="1410" t="s">
        <v>75</v>
      </c>
      <c r="E389" s="1410" t="s">
        <v>684</v>
      </c>
      <c r="F389" s="1150">
        <v>1</v>
      </c>
      <c r="G389" s="3509" t="s">
        <v>2235</v>
      </c>
      <c r="H389" s="3509"/>
      <c r="I389" s="3446" t="s">
        <v>2232</v>
      </c>
      <c r="J389" s="3446"/>
      <c r="K389" s="3446"/>
      <c r="L389" s="1993"/>
      <c r="M389" s="633"/>
      <c r="N389" s="633"/>
      <c r="O389" s="633"/>
      <c r="P389" s="633"/>
      <c r="Q389" s="633"/>
      <c r="R389" s="633"/>
      <c r="S389" s="633"/>
      <c r="T389" s="633"/>
      <c r="U389" s="633"/>
      <c r="V389" s="527" t="str">
        <f t="shared" si="77"/>
        <v>ISR</v>
      </c>
      <c r="W389" s="557">
        <v>1</v>
      </c>
      <c r="X389" s="557">
        <v>1</v>
      </c>
      <c r="Y389" s="557">
        <v>1</v>
      </c>
      <c r="Z389" s="557">
        <v>1</v>
      </c>
      <c r="AA389" s="557">
        <v>1</v>
      </c>
      <c r="AB389" s="557">
        <v>1</v>
      </c>
      <c r="AC389" s="557"/>
      <c r="AD389" s="557"/>
      <c r="AE389" s="557"/>
      <c r="AF389" s="557"/>
      <c r="AG389" s="557"/>
      <c r="AH389"/>
      <c r="AI389"/>
      <c r="AJ389"/>
      <c r="BB389" s="1358"/>
    </row>
    <row r="390" spans="1:57" s="298" customFormat="1" ht="15" customHeight="1" outlineLevel="1" x14ac:dyDescent="0.25">
      <c r="B390" s="1359"/>
      <c r="C390" s="1007"/>
      <c r="D390" s="449" t="str">
        <f>$D$30</f>
        <v>EUL</v>
      </c>
      <c r="E390" s="1410" t="s">
        <v>591</v>
      </c>
      <c r="F390" s="1141">
        <v>10</v>
      </c>
      <c r="G390" s="3509"/>
      <c r="H390" s="3509"/>
      <c r="I390" s="3446"/>
      <c r="J390" s="3446"/>
      <c r="K390" s="3446"/>
      <c r="V390" s="1161" t="str">
        <f>D390</f>
        <v>EUL</v>
      </c>
      <c r="W390" s="1141">
        <v>10</v>
      </c>
      <c r="X390" s="1141">
        <v>10</v>
      </c>
      <c r="Y390" s="1141">
        <v>10</v>
      </c>
      <c r="Z390" s="1141">
        <v>10</v>
      </c>
      <c r="AA390" s="1141">
        <v>10</v>
      </c>
      <c r="AB390" s="1141">
        <v>10</v>
      </c>
      <c r="AC390" s="1281"/>
      <c r="AD390" s="1281"/>
      <c r="AE390" s="1281"/>
      <c r="AF390" s="1281"/>
      <c r="AG390" s="1281"/>
      <c r="AK390" s="1360"/>
      <c r="BB390" s="1361"/>
    </row>
    <row r="391" spans="1:57" s="298" customFormat="1" ht="15" customHeight="1" outlineLevel="1" x14ac:dyDescent="0.25">
      <c r="B391" s="1359"/>
      <c r="C391" s="1007"/>
      <c r="D391" s="449" t="str">
        <f>$D$31</f>
        <v>Inc. Cost</v>
      </c>
      <c r="E391" s="1410" t="s">
        <v>1848</v>
      </c>
      <c r="F391" s="1165">
        <v>8</v>
      </c>
      <c r="G391" s="3509"/>
      <c r="H391" s="3509"/>
      <c r="I391" s="3446"/>
      <c r="J391" s="3446"/>
      <c r="K391" s="3446"/>
      <c r="V391" s="1161" t="str">
        <f>D391</f>
        <v>Inc. Cost</v>
      </c>
      <c r="W391" s="1165">
        <v>8</v>
      </c>
      <c r="X391" s="1165">
        <v>8</v>
      </c>
      <c r="Y391" s="1165">
        <v>8</v>
      </c>
      <c r="Z391" s="1165">
        <v>8</v>
      </c>
      <c r="AA391" s="1165">
        <v>8</v>
      </c>
      <c r="AB391" s="1165">
        <v>8</v>
      </c>
      <c r="AC391" s="1281"/>
      <c r="AD391" s="1281"/>
      <c r="AE391" s="1281"/>
      <c r="AF391" s="1281"/>
      <c r="AG391" s="1281"/>
      <c r="AK391" s="1360"/>
      <c r="BB391" s="1361"/>
    </row>
    <row r="392" spans="1:57" s="522" customFormat="1" x14ac:dyDescent="0.25">
      <c r="A392" s="633"/>
      <c r="B392" s="1993"/>
      <c r="C392" s="1994"/>
      <c r="D392" s="1363"/>
      <c r="E392" s="1363"/>
      <c r="F392" s="1149"/>
      <c r="G392" s="1995"/>
      <c r="H392" s="1978"/>
      <c r="I392" s="1978"/>
      <c r="J392" s="1996"/>
      <c r="K392" s="1996"/>
      <c r="L392" s="1993"/>
      <c r="M392" s="633"/>
      <c r="N392" s="633"/>
      <c r="O392" s="633"/>
      <c r="P392" s="633"/>
      <c r="Q392" s="633"/>
      <c r="R392" s="633"/>
      <c r="S392" s="633"/>
      <c r="T392" s="633"/>
      <c r="U392" s="633"/>
      <c r="V392"/>
      <c r="W392"/>
      <c r="X392"/>
      <c r="Y392"/>
      <c r="Z392"/>
      <c r="AA392"/>
      <c r="AB392"/>
      <c r="AC392"/>
      <c r="AD392"/>
      <c r="AE392"/>
      <c r="AF392"/>
      <c r="AG392"/>
      <c r="AH392"/>
      <c r="AI392"/>
      <c r="AJ392"/>
      <c r="BB392" s="1358"/>
    </row>
    <row r="393" spans="1:57" x14ac:dyDescent="0.25">
      <c r="B393" s="1978"/>
      <c r="C393" s="1979"/>
      <c r="D393" s="1315"/>
      <c r="E393" s="1315"/>
      <c r="F393" s="1978"/>
      <c r="G393" s="1978"/>
      <c r="H393" s="1978"/>
      <c r="I393" s="1978"/>
      <c r="J393" s="1978"/>
      <c r="K393" s="1978"/>
      <c r="L393" s="1978"/>
    </row>
    <row r="394" spans="1:57" s="194" customFormat="1" x14ac:dyDescent="0.25">
      <c r="B394" s="3350" t="s">
        <v>2239</v>
      </c>
      <c r="C394" s="3351"/>
      <c r="D394" s="3351"/>
      <c r="E394" s="3351"/>
      <c r="F394" s="3351"/>
      <c r="G394" s="3351"/>
      <c r="H394" s="3351"/>
      <c r="I394" s="3352"/>
      <c r="J394" s="3352"/>
      <c r="K394" s="3352"/>
      <c r="L394" s="3352"/>
      <c r="M394" s="3352"/>
      <c r="N394" s="3352"/>
      <c r="O394" s="3352"/>
      <c r="P394" s="3352"/>
      <c r="Q394" s="3353"/>
      <c r="V394" s="3350" t="str">
        <f>B394</f>
        <v>Low Flow Showerhead</v>
      </c>
      <c r="W394" s="3351"/>
      <c r="X394" s="3351"/>
      <c r="Y394" s="3351"/>
      <c r="Z394" s="3351"/>
      <c r="AA394" s="3351"/>
      <c r="AB394" s="3351"/>
      <c r="AC394" s="3354"/>
      <c r="AD394" s="3354"/>
      <c r="AE394" s="3354"/>
      <c r="AF394" s="3354"/>
      <c r="AG394" s="3354"/>
      <c r="AH394" s="3354"/>
      <c r="AI394" s="3355"/>
      <c r="AJ394"/>
      <c r="BB394" s="937"/>
    </row>
    <row r="396" spans="1:57" ht="30" x14ac:dyDescent="0.25">
      <c r="C396" s="2765" t="s">
        <v>17</v>
      </c>
      <c r="D396" s="1409" t="s">
        <v>616</v>
      </c>
      <c r="E396" s="1409" t="s">
        <v>19</v>
      </c>
      <c r="F396" s="1409" t="s">
        <v>20</v>
      </c>
      <c r="G396" s="1409" t="s">
        <v>21</v>
      </c>
      <c r="H396" s="1409" t="s">
        <v>22</v>
      </c>
      <c r="I396" s="1409" t="s">
        <v>933</v>
      </c>
      <c r="J396" s="1409" t="s">
        <v>23</v>
      </c>
      <c r="K396" s="1409" t="s">
        <v>24</v>
      </c>
      <c r="L396" s="1409" t="s">
        <v>25</v>
      </c>
      <c r="M396" s="1409" t="s">
        <v>26</v>
      </c>
      <c r="O396" s="277"/>
      <c r="P396" s="277"/>
      <c r="V396" s="55" t="s">
        <v>27</v>
      </c>
      <c r="W396" s="56">
        <f>W$6</f>
        <v>43252</v>
      </c>
      <c r="X396" s="56">
        <f t="shared" ref="X396:AG396" si="78">X$6</f>
        <v>43465</v>
      </c>
      <c r="Y396" s="56">
        <f t="shared" si="78"/>
        <v>43800</v>
      </c>
      <c r="Z396" s="56">
        <f t="shared" si="78"/>
        <v>43862</v>
      </c>
      <c r="AA396" s="56">
        <f t="shared" si="78"/>
        <v>44013</v>
      </c>
      <c r="AB396" s="56">
        <f t="shared" si="78"/>
        <v>44166</v>
      </c>
      <c r="AC396" s="56" t="str">
        <f t="shared" si="78"/>
        <v>-</v>
      </c>
      <c r="AD396" s="56" t="str">
        <f t="shared" si="78"/>
        <v>-</v>
      </c>
      <c r="AE396" s="56" t="str">
        <f t="shared" si="78"/>
        <v>-</v>
      </c>
      <c r="AF396" s="56" t="str">
        <f t="shared" si="78"/>
        <v>-</v>
      </c>
      <c r="AG396" s="56" t="str">
        <f t="shared" si="78"/>
        <v>-</v>
      </c>
      <c r="BB396" s="57" t="str">
        <f>$BB$6</f>
        <v>TRC (2020)</v>
      </c>
      <c r="BC396" s="93" t="str">
        <f>$BC$6</f>
        <v>Benefit Lookup</v>
      </c>
      <c r="BD396" s="741" t="str">
        <f>$BD$6</f>
        <v>Benefits (2019 $)</v>
      </c>
      <c r="BE396" s="279" t="str">
        <f>$BE$6</f>
        <v>Incremental Cost (2019 $)</v>
      </c>
    </row>
    <row r="397" spans="1:57" x14ac:dyDescent="0.25">
      <c r="C397" s="86" t="s">
        <v>2240</v>
      </c>
      <c r="D397" s="1658" t="s">
        <v>2147</v>
      </c>
      <c r="E397" s="388" t="s">
        <v>2241</v>
      </c>
      <c r="F397" s="138">
        <f>ROUND(F407*(F408*F409-F410*F411)*F412*F413*F414/F415*I397*F423*F422,2)</f>
        <v>381.98</v>
      </c>
      <c r="G397" s="1454" t="s">
        <v>622</v>
      </c>
      <c r="H397" s="202">
        <f>VLOOKUP(G397,'CP FACTORS'!$A$3:$B$38, 2, FALSE)</f>
        <v>8.8731800000000003E-5</v>
      </c>
      <c r="I397" s="596">
        <f>F416*F417*(F418-F419)/(F420*F421)</f>
        <v>0.10886576787807739</v>
      </c>
      <c r="J397" s="139">
        <f>ROUND(F397*H397,6)</f>
        <v>3.3894000000000001E-2</v>
      </c>
      <c r="K397" s="142">
        <f>F424</f>
        <v>10</v>
      </c>
      <c r="L397" s="1316">
        <f>F426</f>
        <v>7</v>
      </c>
      <c r="M397" s="253" t="s">
        <v>37</v>
      </c>
      <c r="O397" s="277"/>
      <c r="P397" s="277"/>
      <c r="V397" s="208" t="str">
        <f>F396</f>
        <v>kWh Annual Savings</v>
      </c>
      <c r="W397" s="484">
        <v>204.74086651832664</v>
      </c>
      <c r="X397" s="1317">
        <v>204.74086651832664</v>
      </c>
      <c r="Y397" s="622">
        <v>204.74</v>
      </c>
      <c r="Z397" s="622">
        <v>204.74</v>
      </c>
      <c r="AA397" s="622">
        <v>204.74</v>
      </c>
      <c r="AB397" s="2322">
        <v>381.98</v>
      </c>
      <c r="AC397" s="208"/>
      <c r="AD397" s="208"/>
      <c r="AE397" s="208"/>
      <c r="AF397" s="208"/>
      <c r="AG397" s="208"/>
      <c r="BB397" s="107">
        <f>(BD397)/(BE397)</f>
        <v>19.500061253370934</v>
      </c>
      <c r="BC397" s="68" t="str">
        <f>CONCATENATE(G397," ",K397," Year EUL")</f>
        <v>Water Heating RES 10 Year EUL</v>
      </c>
      <c r="BD397" s="214">
        <f>(INDEX('Avoided Cost Benefits'!$C$4:$C$857,MATCH(BC397,'Avoided Cost Benefits'!$A$4:$A$857,0)))*F397</f>
        <v>128.83476052250734</v>
      </c>
      <c r="BE397" s="109">
        <f>L397/(1.0595^(2020-2019))</f>
        <v>6.6068900424728643</v>
      </c>
    </row>
    <row r="398" spans="1:57" outlineLevel="1" x14ac:dyDescent="0.25">
      <c r="B398" s="1978"/>
      <c r="C398" s="1979"/>
      <c r="D398" s="1364"/>
      <c r="E398" s="1364"/>
      <c r="F398" s="1997"/>
      <c r="G398" s="1998"/>
      <c r="H398" s="1997"/>
      <c r="I398" s="1999"/>
      <c r="J398" s="1999"/>
      <c r="K398" s="1999"/>
      <c r="L398" s="2000"/>
      <c r="O398" s="277"/>
      <c r="P398" s="277"/>
    </row>
    <row r="399" spans="1:57" outlineLevel="1" x14ac:dyDescent="0.25">
      <c r="B399" s="1978"/>
      <c r="C399" s="1979"/>
      <c r="D399" s="222" t="s">
        <v>571</v>
      </c>
      <c r="E399" s="1315"/>
      <c r="F399" s="1978"/>
      <c r="G399" s="1978"/>
      <c r="H399" s="1978"/>
      <c r="I399" s="1978"/>
      <c r="J399" s="1978"/>
      <c r="K399" s="1978"/>
      <c r="L399" s="1978"/>
      <c r="O399" s="277"/>
      <c r="P399" s="277"/>
    </row>
    <row r="400" spans="1:57" outlineLevel="1" x14ac:dyDescent="0.25">
      <c r="B400" s="1978"/>
      <c r="C400" s="1979"/>
      <c r="D400" s="1315"/>
      <c r="E400" s="1315"/>
      <c r="F400" s="1978"/>
      <c r="G400" s="1978"/>
      <c r="H400" s="1978"/>
      <c r="I400" s="1978"/>
      <c r="J400" s="1978"/>
      <c r="K400" s="1978"/>
      <c r="L400" s="1978"/>
    </row>
    <row r="401" spans="1:54" outlineLevel="1" x14ac:dyDescent="0.25">
      <c r="B401" s="1978"/>
      <c r="C401" s="1979"/>
      <c r="D401" s="1315"/>
      <c r="E401" s="1315"/>
      <c r="F401" s="1978"/>
      <c r="G401" s="1978"/>
      <c r="H401" s="1978"/>
      <c r="I401" s="1978"/>
      <c r="J401" s="1978"/>
      <c r="K401" s="1978"/>
      <c r="L401" s="1978"/>
    </row>
    <row r="402" spans="1:54" outlineLevel="1" x14ac:dyDescent="0.25">
      <c r="B402" s="1978"/>
      <c r="C402" s="1979"/>
      <c r="D402" s="1315"/>
      <c r="E402" s="1315"/>
      <c r="F402" s="1978"/>
      <c r="G402" s="1978"/>
      <c r="H402" s="1978"/>
      <c r="I402" s="1978"/>
      <c r="J402" s="1978"/>
      <c r="K402" s="1978"/>
      <c r="L402" s="1978"/>
    </row>
    <row r="403" spans="1:54" outlineLevel="1" x14ac:dyDescent="0.25">
      <c r="B403" s="1978"/>
      <c r="C403" s="1979"/>
      <c r="D403" s="1315"/>
      <c r="E403" s="1315"/>
      <c r="F403" s="1978"/>
      <c r="G403" s="1978"/>
      <c r="H403" s="1978"/>
      <c r="I403" s="1978"/>
      <c r="J403" s="1978"/>
      <c r="K403" s="1978"/>
      <c r="L403" s="1978"/>
    </row>
    <row r="404" spans="1:54" outlineLevel="1" x14ac:dyDescent="0.25">
      <c r="B404" s="1978"/>
      <c r="C404" s="1979"/>
      <c r="D404" s="1315"/>
      <c r="E404" s="1315"/>
      <c r="F404" s="1978"/>
      <c r="G404" s="1978"/>
      <c r="H404" s="1978"/>
      <c r="I404" s="1978"/>
      <c r="J404" s="1978"/>
      <c r="K404" s="1978"/>
      <c r="L404" s="1978"/>
      <c r="M404" s="194"/>
      <c r="N404" s="194"/>
      <c r="O404" s="194"/>
      <c r="P404" s="194"/>
      <c r="Q404" s="194"/>
      <c r="R404" s="194"/>
      <c r="S404" s="194"/>
      <c r="T404" s="194"/>
      <c r="U404" s="194"/>
    </row>
    <row r="405" spans="1:54" outlineLevel="1" x14ac:dyDescent="0.25">
      <c r="B405" s="1978"/>
      <c r="C405" s="1979"/>
      <c r="D405" s="1315"/>
      <c r="E405" s="1315"/>
      <c r="F405" s="1978"/>
      <c r="G405" s="1978"/>
      <c r="H405" s="1978"/>
      <c r="I405" s="1978"/>
      <c r="J405" s="1978"/>
      <c r="K405" s="1978"/>
      <c r="L405" s="1978"/>
      <c r="M405" s="194"/>
      <c r="N405" s="194"/>
      <c r="O405" s="194"/>
      <c r="P405" s="194"/>
      <c r="Q405" s="194"/>
      <c r="R405" s="194"/>
      <c r="S405" s="194"/>
      <c r="T405" s="194"/>
      <c r="U405" s="194"/>
    </row>
    <row r="406" spans="1:54" ht="15" customHeight="1" outlineLevel="1" x14ac:dyDescent="0.25">
      <c r="B406" s="1978"/>
      <c r="C406" s="1979"/>
      <c r="D406" s="1456" t="s">
        <v>572</v>
      </c>
      <c r="E406" s="1456" t="s">
        <v>573</v>
      </c>
      <c r="F406" s="1409" t="s">
        <v>574</v>
      </c>
      <c r="G406" s="3419" t="s">
        <v>624</v>
      </c>
      <c r="H406" s="3419"/>
      <c r="I406" s="3483" t="s">
        <v>575</v>
      </c>
      <c r="J406" s="3772"/>
      <c r="K406" s="3484"/>
      <c r="L406" s="1978"/>
      <c r="M406" s="194"/>
      <c r="N406" s="194"/>
      <c r="O406" s="194"/>
      <c r="P406" s="194"/>
      <c r="Q406" s="194"/>
      <c r="R406" s="194"/>
      <c r="S406" s="194"/>
      <c r="T406" s="194"/>
      <c r="U406" s="194"/>
      <c r="V406" s="55" t="s">
        <v>27</v>
      </c>
      <c r="W406" s="56">
        <f>W$6</f>
        <v>43252</v>
      </c>
      <c r="X406" s="56">
        <f t="shared" ref="X406:AG406" si="79">X$6</f>
        <v>43465</v>
      </c>
      <c r="Y406" s="56">
        <f t="shared" si="79"/>
        <v>43800</v>
      </c>
      <c r="Z406" s="56">
        <f t="shared" si="79"/>
        <v>43862</v>
      </c>
      <c r="AA406" s="56">
        <f t="shared" si="79"/>
        <v>44013</v>
      </c>
      <c r="AB406" s="56">
        <f t="shared" si="79"/>
        <v>44166</v>
      </c>
      <c r="AC406" s="56" t="str">
        <f t="shared" si="79"/>
        <v>-</v>
      </c>
      <c r="AD406" s="56" t="str">
        <f t="shared" si="79"/>
        <v>-</v>
      </c>
      <c r="AE406" s="56" t="str">
        <f t="shared" si="79"/>
        <v>-</v>
      </c>
      <c r="AF406" s="56" t="str">
        <f t="shared" si="79"/>
        <v>-</v>
      </c>
      <c r="AG406" s="56" t="str">
        <f t="shared" si="79"/>
        <v>-</v>
      </c>
    </row>
    <row r="407" spans="1:54" outlineLevel="1" x14ac:dyDescent="0.25">
      <c r="B407" s="1978"/>
      <c r="C407" s="1979"/>
      <c r="D407" s="1410" t="s">
        <v>937</v>
      </c>
      <c r="E407" s="1410" t="s">
        <v>938</v>
      </c>
      <c r="F407" s="555">
        <v>1</v>
      </c>
      <c r="G407" s="3509" t="s">
        <v>930</v>
      </c>
      <c r="H407" s="3509"/>
      <c r="I407" s="4066" t="s">
        <v>2231</v>
      </c>
      <c r="J407" s="4066"/>
      <c r="K407" s="4066"/>
      <c r="L407" s="1978"/>
      <c r="M407" s="1149"/>
      <c r="N407" s="1149"/>
      <c r="O407" s="194"/>
      <c r="P407" s="194"/>
      <c r="Q407" s="194"/>
      <c r="R407" s="194"/>
      <c r="S407" s="194"/>
      <c r="T407" s="194"/>
      <c r="U407" s="1149"/>
      <c r="V407" s="1069" t="str">
        <f>D407</f>
        <v>%Electric DHW</v>
      </c>
      <c r="W407" s="556">
        <v>1</v>
      </c>
      <c r="X407" s="556">
        <v>1</v>
      </c>
      <c r="Y407" s="556">
        <v>1</v>
      </c>
      <c r="Z407" s="556">
        <v>1</v>
      </c>
      <c r="AA407" s="556">
        <v>1</v>
      </c>
      <c r="AB407" s="555">
        <v>1</v>
      </c>
      <c r="AC407" s="556"/>
      <c r="AD407" s="556"/>
      <c r="AE407" s="556"/>
      <c r="AF407" s="556"/>
      <c r="AG407" s="556"/>
    </row>
    <row r="408" spans="1:54" outlineLevel="1" x14ac:dyDescent="0.25">
      <c r="B408" s="1978"/>
      <c r="C408" s="1979"/>
      <c r="D408" s="1410" t="s">
        <v>941</v>
      </c>
      <c r="E408" s="1410" t="s">
        <v>985</v>
      </c>
      <c r="F408" s="3080">
        <v>2.5</v>
      </c>
      <c r="G408" s="3477" t="s">
        <v>2242</v>
      </c>
      <c r="H408" s="3479"/>
      <c r="I408" s="3929" t="s">
        <v>3674</v>
      </c>
      <c r="J408" s="3930"/>
      <c r="K408" s="3931"/>
      <c r="L408" s="1978"/>
      <c r="M408" s="375"/>
      <c r="N408" s="375"/>
      <c r="O408" s="194"/>
      <c r="P408" s="194"/>
      <c r="Q408" s="194"/>
      <c r="R408" s="194"/>
      <c r="S408" s="194"/>
      <c r="T408" s="194"/>
      <c r="U408" s="375"/>
      <c r="V408" s="1069" t="str">
        <f t="shared" ref="V408:V423" si="80">D408</f>
        <v>GPM_base</v>
      </c>
      <c r="W408" s="559">
        <v>2.67</v>
      </c>
      <c r="X408" s="559">
        <v>2.67</v>
      </c>
      <c r="Y408" s="559">
        <v>2.67</v>
      </c>
      <c r="Z408" s="559">
        <v>2.67</v>
      </c>
      <c r="AA408" s="559">
        <v>2.67</v>
      </c>
      <c r="AB408" s="609">
        <v>2.5</v>
      </c>
      <c r="AC408" s="559"/>
      <c r="AD408" s="559"/>
      <c r="AE408" s="559"/>
      <c r="AF408" s="559"/>
      <c r="AG408" s="559"/>
    </row>
    <row r="409" spans="1:54" outlineLevel="1" x14ac:dyDescent="0.25">
      <c r="B409" s="1978"/>
      <c r="C409" s="1979"/>
      <c r="D409" s="1410" t="s">
        <v>944</v>
      </c>
      <c r="E409" s="1410" t="s">
        <v>987</v>
      </c>
      <c r="F409" s="3079">
        <v>8.66</v>
      </c>
      <c r="G409" s="3477" t="s">
        <v>2244</v>
      </c>
      <c r="H409" s="3479"/>
      <c r="I409" s="3929" t="s">
        <v>2243</v>
      </c>
      <c r="J409" s="3930"/>
      <c r="K409" s="3931"/>
      <c r="L409" s="1978"/>
      <c r="M409" s="375"/>
      <c r="N409" s="375"/>
      <c r="O409" s="194"/>
      <c r="P409" s="194"/>
      <c r="Q409" s="194"/>
      <c r="R409" s="194"/>
      <c r="S409" s="194"/>
      <c r="T409" s="194"/>
      <c r="U409" s="375"/>
      <c r="V409" s="1069" t="str">
        <f t="shared" si="80"/>
        <v>L_base</v>
      </c>
      <c r="W409" s="559">
        <v>8.66</v>
      </c>
      <c r="X409" s="559">
        <v>8.66</v>
      </c>
      <c r="Y409" s="559">
        <v>8.66</v>
      </c>
      <c r="Z409" s="559">
        <v>8.66</v>
      </c>
      <c r="AA409" s="559">
        <v>8.66</v>
      </c>
      <c r="AB409" s="2755">
        <v>8.66</v>
      </c>
      <c r="AC409" s="559"/>
      <c r="AD409" s="559"/>
      <c r="AE409" s="559"/>
      <c r="AF409" s="559"/>
      <c r="AG409" s="559"/>
    </row>
    <row r="410" spans="1:54" s="522" customFormat="1" outlineLevel="1" x14ac:dyDescent="0.25">
      <c r="A410" s="633"/>
      <c r="B410" s="1993"/>
      <c r="C410" s="1994"/>
      <c r="D410" s="1410" t="s">
        <v>948</v>
      </c>
      <c r="E410" s="1410" t="s">
        <v>989</v>
      </c>
      <c r="F410" s="601">
        <v>1.25</v>
      </c>
      <c r="G410" s="3477" t="s">
        <v>2245</v>
      </c>
      <c r="H410" s="3479"/>
      <c r="I410" s="3929" t="s">
        <v>3674</v>
      </c>
      <c r="J410" s="3930"/>
      <c r="K410" s="3931"/>
      <c r="L410" s="1978"/>
      <c r="M410" s="1946"/>
      <c r="N410" s="1946"/>
      <c r="O410" s="2001"/>
      <c r="P410" s="2001"/>
      <c r="Q410" s="2001"/>
      <c r="R410" s="2001"/>
      <c r="S410" s="2001"/>
      <c r="T410" s="2001"/>
      <c r="U410" s="1946"/>
      <c r="V410" s="1069" t="str">
        <f t="shared" si="80"/>
        <v>GPM_low</v>
      </c>
      <c r="W410" s="893">
        <v>2</v>
      </c>
      <c r="X410" s="893">
        <v>2</v>
      </c>
      <c r="Y410" s="893">
        <v>2</v>
      </c>
      <c r="Z410" s="893">
        <v>2</v>
      </c>
      <c r="AA410" s="893">
        <v>2</v>
      </c>
      <c r="AB410" s="597">
        <v>1.25</v>
      </c>
      <c r="AC410" s="893"/>
      <c r="AD410" s="893"/>
      <c r="AE410" s="893"/>
      <c r="AF410" s="893"/>
      <c r="AG410" s="893"/>
      <c r="AH410"/>
      <c r="AI410"/>
      <c r="AJ410"/>
      <c r="BB410" s="1358"/>
    </row>
    <row r="411" spans="1:54" ht="60.6" customHeight="1" outlineLevel="1" x14ac:dyDescent="0.25">
      <c r="B411" s="1978"/>
      <c r="C411" s="1979"/>
      <c r="D411" s="1410" t="s">
        <v>950</v>
      </c>
      <c r="E411" s="1410" t="s">
        <v>990</v>
      </c>
      <c r="F411" s="3079">
        <v>8.66</v>
      </c>
      <c r="G411" s="3477" t="s">
        <v>2244</v>
      </c>
      <c r="H411" s="3479"/>
      <c r="I411" s="3929" t="s">
        <v>2243</v>
      </c>
      <c r="J411" s="3930"/>
      <c r="K411" s="3931"/>
      <c r="L411" s="1978"/>
      <c r="M411" s="375"/>
      <c r="N411" s="375"/>
      <c r="O411" s="194"/>
      <c r="P411" s="194"/>
      <c r="Q411" s="194"/>
      <c r="R411" s="194"/>
      <c r="S411" s="194"/>
      <c r="T411" s="194"/>
      <c r="U411" s="375"/>
      <c r="V411" s="1069" t="str">
        <f t="shared" si="80"/>
        <v>L_low</v>
      </c>
      <c r="W411" s="559">
        <v>8.66</v>
      </c>
      <c r="X411" s="559">
        <v>8.66</v>
      </c>
      <c r="Y411" s="559">
        <v>8.66</v>
      </c>
      <c r="Z411" s="559">
        <v>8.66</v>
      </c>
      <c r="AA411" s="559">
        <v>8.66</v>
      </c>
      <c r="AB411" s="2755">
        <v>8.66</v>
      </c>
      <c r="AC411" s="559"/>
      <c r="AD411" s="559"/>
      <c r="AE411" s="559"/>
      <c r="AF411" s="559"/>
      <c r="AG411" s="559"/>
    </row>
    <row r="412" spans="1:54" ht="27" customHeight="1" outlineLevel="1" x14ac:dyDescent="0.25">
      <c r="B412" s="1978"/>
      <c r="C412" s="1979"/>
      <c r="D412" s="1410" t="s">
        <v>637</v>
      </c>
      <c r="E412" s="1410" t="s">
        <v>991</v>
      </c>
      <c r="F412" s="60">
        <v>2.0699999999999998</v>
      </c>
      <c r="G412" s="3477" t="s">
        <v>1198</v>
      </c>
      <c r="H412" s="3479"/>
      <c r="I412" s="3929" t="s">
        <v>2243</v>
      </c>
      <c r="J412" s="3930"/>
      <c r="K412" s="3931"/>
      <c r="L412" s="1978"/>
      <c r="M412" s="375"/>
      <c r="N412" s="375"/>
      <c r="O412" s="194"/>
      <c r="P412" s="194"/>
      <c r="Q412" s="194"/>
      <c r="R412" s="194"/>
      <c r="S412" s="194"/>
      <c r="T412" s="194"/>
      <c r="U412" s="375"/>
      <c r="V412" s="1069" t="str">
        <f t="shared" si="80"/>
        <v>Household</v>
      </c>
      <c r="W412" s="559">
        <v>2.0699999999999998</v>
      </c>
      <c r="X412" s="559">
        <v>2.0699999999999998</v>
      </c>
      <c r="Y412" s="559">
        <v>2.0699999999999998</v>
      </c>
      <c r="Z412" s="559">
        <v>2.0699999999999998</v>
      </c>
      <c r="AA412" s="559">
        <v>2.0699999999999998</v>
      </c>
      <c r="AB412" s="2755">
        <v>2.0699999999999998</v>
      </c>
      <c r="AC412" s="559"/>
      <c r="AD412" s="559"/>
      <c r="AE412" s="559"/>
      <c r="AF412" s="559"/>
      <c r="AG412" s="559"/>
    </row>
    <row r="413" spans="1:54" ht="58.9" customHeight="1" outlineLevel="1" x14ac:dyDescent="0.25">
      <c r="B413" s="1978"/>
      <c r="C413" s="1979"/>
      <c r="D413" s="1410" t="s">
        <v>992</v>
      </c>
      <c r="E413" s="1410" t="s">
        <v>993</v>
      </c>
      <c r="F413" s="60">
        <v>0.66</v>
      </c>
      <c r="G413" s="3477" t="s">
        <v>2244</v>
      </c>
      <c r="H413" s="3479"/>
      <c r="I413" s="3929" t="s">
        <v>2243</v>
      </c>
      <c r="J413" s="3930"/>
      <c r="K413" s="3931"/>
      <c r="L413" s="1978"/>
      <c r="M413" s="375"/>
      <c r="N413" s="375"/>
      <c r="O413" s="194"/>
      <c r="P413" s="194"/>
      <c r="Q413" s="194"/>
      <c r="R413" s="194"/>
      <c r="S413" s="194"/>
      <c r="T413" s="194"/>
      <c r="U413" s="375"/>
      <c r="V413" s="1069" t="str">
        <f t="shared" si="80"/>
        <v>SPDC</v>
      </c>
      <c r="W413" s="559">
        <v>0.66</v>
      </c>
      <c r="X413" s="559">
        <v>0.66</v>
      </c>
      <c r="Y413" s="559">
        <v>0.66</v>
      </c>
      <c r="Z413" s="559">
        <v>0.66</v>
      </c>
      <c r="AA413" s="559">
        <v>0.66</v>
      </c>
      <c r="AB413" s="2755">
        <v>0.66</v>
      </c>
      <c r="AC413" s="559"/>
      <c r="AD413" s="559"/>
      <c r="AE413" s="559"/>
      <c r="AF413" s="559"/>
      <c r="AG413" s="559"/>
    </row>
    <row r="414" spans="1:54" ht="30" customHeight="1" outlineLevel="1" x14ac:dyDescent="0.25">
      <c r="B414" s="1978"/>
      <c r="C414" s="1979"/>
      <c r="D414" s="1410">
        <v>365.25</v>
      </c>
      <c r="E414" s="1410" t="s">
        <v>994</v>
      </c>
      <c r="F414" s="60">
        <v>365</v>
      </c>
      <c r="G414" s="3477" t="s">
        <v>921</v>
      </c>
      <c r="H414" s="3479"/>
      <c r="I414" s="3929" t="s">
        <v>2243</v>
      </c>
      <c r="J414" s="3930"/>
      <c r="K414" s="3931"/>
      <c r="L414" s="1978"/>
      <c r="M414" s="375"/>
      <c r="N414" s="375"/>
      <c r="O414" s="194"/>
      <c r="P414" s="194"/>
      <c r="Q414" s="194"/>
      <c r="R414" s="194"/>
      <c r="S414" s="194"/>
      <c r="T414" s="194"/>
      <c r="U414" s="375"/>
      <c r="V414" s="1069">
        <f t="shared" si="80"/>
        <v>365.25</v>
      </c>
      <c r="W414" s="559">
        <v>365</v>
      </c>
      <c r="X414" s="559">
        <v>365</v>
      </c>
      <c r="Y414" s="559">
        <v>365</v>
      </c>
      <c r="Z414" s="559">
        <v>365</v>
      </c>
      <c r="AA414" s="559">
        <v>365</v>
      </c>
      <c r="AB414" s="2755">
        <v>365</v>
      </c>
      <c r="AC414" s="559"/>
      <c r="AD414" s="559"/>
      <c r="AE414" s="559"/>
      <c r="AF414" s="559"/>
      <c r="AG414" s="559"/>
    </row>
    <row r="415" spans="1:54" ht="33.75" customHeight="1" outlineLevel="1" x14ac:dyDescent="0.25">
      <c r="B415" s="1978"/>
      <c r="C415" s="1979"/>
      <c r="D415" s="1410" t="s">
        <v>995</v>
      </c>
      <c r="E415" s="1410" t="s">
        <v>996</v>
      </c>
      <c r="F415" s="187">
        <v>1.4</v>
      </c>
      <c r="G415" s="3477" t="s">
        <v>1198</v>
      </c>
      <c r="H415" s="3479"/>
      <c r="I415" s="3929" t="s">
        <v>2243</v>
      </c>
      <c r="J415" s="3930"/>
      <c r="K415" s="3931"/>
      <c r="L415" s="1978"/>
      <c r="M415" s="1946"/>
      <c r="N415" s="1946"/>
      <c r="O415" s="194"/>
      <c r="P415" s="194"/>
      <c r="Q415" s="194"/>
      <c r="R415" s="194"/>
      <c r="S415" s="194"/>
      <c r="T415" s="194"/>
      <c r="U415" s="1946"/>
      <c r="V415" s="1069" t="str">
        <f t="shared" si="80"/>
        <v>SPH</v>
      </c>
      <c r="W415" s="893">
        <v>1.4</v>
      </c>
      <c r="X415" s="893">
        <v>1.4</v>
      </c>
      <c r="Y415" s="893">
        <v>1.4</v>
      </c>
      <c r="Z415" s="893">
        <v>1.4</v>
      </c>
      <c r="AA415" s="893">
        <v>1.4</v>
      </c>
      <c r="AB415" s="187">
        <v>1.4</v>
      </c>
      <c r="AC415" s="893"/>
      <c r="AD415" s="893"/>
      <c r="AE415" s="893"/>
      <c r="AF415" s="893"/>
      <c r="AG415" s="893"/>
    </row>
    <row r="416" spans="1:54" ht="15" customHeight="1" outlineLevel="1" x14ac:dyDescent="0.25">
      <c r="B416" s="1978"/>
      <c r="C416" s="1979"/>
      <c r="D416" s="1410">
        <v>8.33</v>
      </c>
      <c r="E416" s="1437" t="s">
        <v>959</v>
      </c>
      <c r="F416" s="60">
        <v>8.33</v>
      </c>
      <c r="G416" s="3493" t="s">
        <v>960</v>
      </c>
      <c r="H416" s="3494"/>
      <c r="I416" s="3929" t="s">
        <v>2243</v>
      </c>
      <c r="J416" s="3930"/>
      <c r="K416" s="3931"/>
      <c r="L416" s="1978"/>
      <c r="M416" s="375"/>
      <c r="N416" s="375"/>
      <c r="O416" s="194"/>
      <c r="P416" s="194"/>
      <c r="Q416" s="194"/>
      <c r="R416" s="194"/>
      <c r="S416" s="194"/>
      <c r="T416" s="194"/>
      <c r="U416" s="375"/>
      <c r="V416" s="1069">
        <f t="shared" si="80"/>
        <v>8.33</v>
      </c>
      <c r="W416" s="559">
        <v>8.33</v>
      </c>
      <c r="X416" s="559">
        <v>8.33</v>
      </c>
      <c r="Y416" s="559">
        <v>8.33</v>
      </c>
      <c r="Z416" s="559">
        <v>8.33</v>
      </c>
      <c r="AA416" s="559">
        <v>8.33</v>
      </c>
      <c r="AB416" s="2755">
        <v>8.33</v>
      </c>
      <c r="AC416" s="559"/>
      <c r="AD416" s="559"/>
      <c r="AE416" s="559"/>
      <c r="AF416" s="559"/>
      <c r="AG416" s="559"/>
    </row>
    <row r="417" spans="1:57" ht="30" customHeight="1" outlineLevel="1" x14ac:dyDescent="0.25">
      <c r="B417" s="1978"/>
      <c r="C417" s="1979"/>
      <c r="D417" s="1410">
        <v>1</v>
      </c>
      <c r="E417" s="1410" t="s">
        <v>961</v>
      </c>
      <c r="F417" s="60">
        <v>1</v>
      </c>
      <c r="G417" s="3477" t="s">
        <v>962</v>
      </c>
      <c r="H417" s="3479"/>
      <c r="I417" s="3929" t="s">
        <v>2243</v>
      </c>
      <c r="J417" s="3930"/>
      <c r="K417" s="3931"/>
      <c r="L417" s="1978"/>
      <c r="M417" s="375"/>
      <c r="N417" s="375"/>
      <c r="O417" s="194"/>
      <c r="P417" s="194"/>
      <c r="Q417" s="194"/>
      <c r="R417" s="194"/>
      <c r="S417" s="194"/>
      <c r="T417" s="194"/>
      <c r="U417" s="375"/>
      <c r="V417" s="1069">
        <f t="shared" si="80"/>
        <v>1</v>
      </c>
      <c r="W417" s="559">
        <v>1</v>
      </c>
      <c r="X417" s="559">
        <v>1</v>
      </c>
      <c r="Y417" s="559">
        <v>1</v>
      </c>
      <c r="Z417" s="559">
        <v>1</v>
      </c>
      <c r="AA417" s="559">
        <v>1</v>
      </c>
      <c r="AB417" s="2755">
        <v>1</v>
      </c>
      <c r="AC417" s="559"/>
      <c r="AD417" s="559"/>
      <c r="AE417" s="559"/>
      <c r="AF417" s="559"/>
      <c r="AG417" s="559"/>
    </row>
    <row r="418" spans="1:57" ht="90.75" customHeight="1" outlineLevel="1" x14ac:dyDescent="0.25">
      <c r="B418" s="1978"/>
      <c r="C418" s="1979"/>
      <c r="D418" s="1410" t="s">
        <v>997</v>
      </c>
      <c r="E418" s="1410" t="s">
        <v>998</v>
      </c>
      <c r="F418" s="60">
        <v>105</v>
      </c>
      <c r="G418" s="3477" t="s">
        <v>999</v>
      </c>
      <c r="H418" s="3479"/>
      <c r="I418" s="3929" t="s">
        <v>2243</v>
      </c>
      <c r="J418" s="3930"/>
      <c r="K418" s="3931"/>
      <c r="L418" s="1978"/>
      <c r="M418" s="375"/>
      <c r="N418" s="375"/>
      <c r="O418" s="194"/>
      <c r="P418" s="194"/>
      <c r="Q418" s="194"/>
      <c r="R418" s="194"/>
      <c r="S418" s="194"/>
      <c r="T418" s="194"/>
      <c r="U418" s="375"/>
      <c r="V418" s="1069" t="str">
        <f t="shared" si="80"/>
        <v>ShowerTemp</v>
      </c>
      <c r="W418" s="559">
        <v>105</v>
      </c>
      <c r="X418" s="559">
        <v>105</v>
      </c>
      <c r="Y418" s="559">
        <v>105</v>
      </c>
      <c r="Z418" s="559">
        <v>105</v>
      </c>
      <c r="AA418" s="559">
        <v>105</v>
      </c>
      <c r="AB418" s="2755">
        <v>105</v>
      </c>
      <c r="AC418" s="559"/>
      <c r="AD418" s="559"/>
      <c r="AE418" s="559"/>
      <c r="AF418" s="559"/>
      <c r="AG418" s="559"/>
    </row>
    <row r="419" spans="1:57" s="522" customFormat="1" ht="67.5" customHeight="1" outlineLevel="1" x14ac:dyDescent="0.25">
      <c r="A419" s="633"/>
      <c r="B419" s="1993"/>
      <c r="C419" s="1994"/>
      <c r="D419" s="1410" t="s">
        <v>966</v>
      </c>
      <c r="E419" s="1410" t="s">
        <v>967</v>
      </c>
      <c r="F419" s="60">
        <v>61.3</v>
      </c>
      <c r="G419" s="3477" t="s">
        <v>968</v>
      </c>
      <c r="H419" s="3479"/>
      <c r="I419" s="3929" t="s">
        <v>2243</v>
      </c>
      <c r="J419" s="3930"/>
      <c r="K419" s="3931"/>
      <c r="L419" s="1978"/>
      <c r="M419" s="375"/>
      <c r="N419" s="375"/>
      <c r="O419" s="2001"/>
      <c r="P419" s="2001"/>
      <c r="Q419" s="2001"/>
      <c r="R419" s="2001"/>
      <c r="S419" s="2001"/>
      <c r="T419" s="2001"/>
      <c r="U419" s="375"/>
      <c r="V419" s="1069" t="str">
        <f t="shared" si="80"/>
        <v>SupplyTemp</v>
      </c>
      <c r="W419" s="559">
        <v>61.3</v>
      </c>
      <c r="X419" s="559">
        <v>61.3</v>
      </c>
      <c r="Y419" s="559">
        <v>61.3</v>
      </c>
      <c r="Z419" s="559">
        <v>61.3</v>
      </c>
      <c r="AA419" s="559">
        <v>61.3</v>
      </c>
      <c r="AB419" s="2755">
        <v>61.3</v>
      </c>
      <c r="AC419" s="559"/>
      <c r="AD419" s="559"/>
      <c r="AE419" s="559"/>
      <c r="AF419" s="559"/>
      <c r="AG419" s="559"/>
      <c r="AH419"/>
      <c r="AI419"/>
      <c r="AJ419"/>
      <c r="BB419" s="1358"/>
    </row>
    <row r="420" spans="1:57" s="522" customFormat="1" ht="62.25" customHeight="1" outlineLevel="1" x14ac:dyDescent="0.25">
      <c r="A420" s="633"/>
      <c r="B420" s="1993"/>
      <c r="C420" s="1994"/>
      <c r="D420" s="1410" t="s">
        <v>969</v>
      </c>
      <c r="E420" s="1410" t="s">
        <v>970</v>
      </c>
      <c r="F420" s="60">
        <v>0.98</v>
      </c>
      <c r="G420" s="3493" t="s">
        <v>971</v>
      </c>
      <c r="H420" s="3494"/>
      <c r="I420" s="3929" t="s">
        <v>2243</v>
      </c>
      <c r="J420" s="3930"/>
      <c r="K420" s="3931"/>
      <c r="L420" s="1978"/>
      <c r="M420" s="375"/>
      <c r="N420" s="375"/>
      <c r="O420" s="2001"/>
      <c r="P420" s="2001"/>
      <c r="Q420" s="2001"/>
      <c r="R420" s="2001"/>
      <c r="S420" s="2001"/>
      <c r="T420" s="2001"/>
      <c r="U420" s="375"/>
      <c r="V420" s="1069" t="str">
        <f t="shared" si="80"/>
        <v>RE_electric</v>
      </c>
      <c r="W420" s="559">
        <v>0.98</v>
      </c>
      <c r="X420" s="559">
        <v>0.98</v>
      </c>
      <c r="Y420" s="559">
        <v>0.98</v>
      </c>
      <c r="Z420" s="559">
        <v>0.98</v>
      </c>
      <c r="AA420" s="559">
        <v>0.98</v>
      </c>
      <c r="AB420" s="2755">
        <v>0.98</v>
      </c>
      <c r="AC420" s="559"/>
      <c r="AD420" s="559"/>
      <c r="AE420" s="559"/>
      <c r="AF420" s="559"/>
      <c r="AG420" s="559"/>
      <c r="AH420"/>
      <c r="AI420"/>
      <c r="AJ420"/>
      <c r="BB420" s="1358"/>
    </row>
    <row r="421" spans="1:57" s="522" customFormat="1" ht="30" customHeight="1" outlineLevel="1" x14ac:dyDescent="0.25">
      <c r="A421" s="633"/>
      <c r="B421" s="1993"/>
      <c r="C421" s="1994"/>
      <c r="D421" s="1410">
        <v>3412</v>
      </c>
      <c r="E421" s="1437" t="s">
        <v>972</v>
      </c>
      <c r="F421" s="575">
        <v>3412</v>
      </c>
      <c r="G421" s="3493" t="s">
        <v>655</v>
      </c>
      <c r="H421" s="3494"/>
      <c r="I421" s="3929" t="s">
        <v>2243</v>
      </c>
      <c r="J421" s="3930"/>
      <c r="K421" s="3931"/>
      <c r="L421" s="1978"/>
      <c r="M421" s="2002"/>
      <c r="N421" s="2002"/>
      <c r="O421" s="2001"/>
      <c r="P421" s="2001"/>
      <c r="Q421" s="2001"/>
      <c r="R421" s="2001"/>
      <c r="S421" s="2001"/>
      <c r="T421" s="2001"/>
      <c r="U421" s="2002"/>
      <c r="V421" s="1069">
        <f t="shared" si="80"/>
        <v>3412</v>
      </c>
      <c r="W421" s="578">
        <v>3412</v>
      </c>
      <c r="X421" s="578">
        <v>3412</v>
      </c>
      <c r="Y421" s="578">
        <v>3412</v>
      </c>
      <c r="Z421" s="578">
        <v>3412</v>
      </c>
      <c r="AA421" s="578">
        <v>3412</v>
      </c>
      <c r="AB421" s="575">
        <v>3412</v>
      </c>
      <c r="AC421" s="578"/>
      <c r="AD421" s="578"/>
      <c r="AE421" s="578"/>
      <c r="AF421" s="578"/>
      <c r="AG421" s="578"/>
      <c r="AH421"/>
      <c r="AI421"/>
      <c r="AJ421"/>
      <c r="BB421" s="1358"/>
    </row>
    <row r="422" spans="1:57" ht="15" customHeight="1" outlineLevel="1" x14ac:dyDescent="0.25">
      <c r="B422" s="1978"/>
      <c r="C422" s="1979"/>
      <c r="D422" s="1410" t="s">
        <v>892</v>
      </c>
      <c r="E422" s="1410" t="s">
        <v>929</v>
      </c>
      <c r="F422" s="555">
        <v>1</v>
      </c>
      <c r="G422" s="3477" t="s">
        <v>930</v>
      </c>
      <c r="H422" s="3479"/>
      <c r="I422" s="3929" t="s">
        <v>2231</v>
      </c>
      <c r="J422" s="3930"/>
      <c r="K422" s="3931"/>
      <c r="L422" s="1978"/>
      <c r="M422" s="1149"/>
      <c r="N422" s="1149"/>
      <c r="O422" s="194"/>
      <c r="P422" s="194"/>
      <c r="Q422" s="194"/>
      <c r="R422" s="194"/>
      <c r="S422" s="194"/>
      <c r="T422" s="194"/>
      <c r="U422" s="1149"/>
      <c r="V422" s="1069" t="str">
        <f t="shared" si="80"/>
        <v>Utility Adjustment</v>
      </c>
      <c r="W422" s="556">
        <v>1</v>
      </c>
      <c r="X422" s="556">
        <v>1</v>
      </c>
      <c r="Y422" s="556">
        <v>1</v>
      </c>
      <c r="Z422" s="556">
        <v>1</v>
      </c>
      <c r="AA422" s="556">
        <v>1</v>
      </c>
      <c r="AB422" s="555">
        <v>1</v>
      </c>
      <c r="AC422" s="556"/>
      <c r="AD422" s="556"/>
      <c r="AE422" s="556"/>
      <c r="AF422" s="556"/>
      <c r="AG422" s="556"/>
    </row>
    <row r="423" spans="1:57" ht="33.75" customHeight="1" outlineLevel="1" x14ac:dyDescent="0.25">
      <c r="B423" s="1978"/>
      <c r="C423" s="1979"/>
      <c r="D423" s="1410" t="s">
        <v>75</v>
      </c>
      <c r="E423" s="1410" t="s">
        <v>684</v>
      </c>
      <c r="F423" s="555">
        <v>0.91</v>
      </c>
      <c r="G423" s="3477" t="s">
        <v>1932</v>
      </c>
      <c r="H423" s="3479"/>
      <c r="I423" s="3929" t="s">
        <v>2243</v>
      </c>
      <c r="J423" s="3930"/>
      <c r="K423" s="3931"/>
      <c r="L423" s="1978"/>
      <c r="M423" s="1149"/>
      <c r="N423" s="1149"/>
      <c r="O423" s="194"/>
      <c r="P423" s="194"/>
      <c r="Q423" s="194"/>
      <c r="R423" s="194"/>
      <c r="S423" s="194"/>
      <c r="T423" s="194"/>
      <c r="U423" s="1149"/>
      <c r="V423" s="989" t="str">
        <f t="shared" si="80"/>
        <v>ISR</v>
      </c>
      <c r="W423" s="556">
        <v>0.91</v>
      </c>
      <c r="X423" s="556">
        <v>0.91</v>
      </c>
      <c r="Y423" s="556">
        <v>0.91</v>
      </c>
      <c r="Z423" s="556">
        <v>0.91</v>
      </c>
      <c r="AA423" s="556">
        <v>0.91</v>
      </c>
      <c r="AB423" s="555">
        <v>0.91</v>
      </c>
      <c r="AC423" s="556"/>
      <c r="AD423" s="556"/>
      <c r="AE423" s="556"/>
      <c r="AF423" s="556"/>
      <c r="AG423" s="556"/>
    </row>
    <row r="424" spans="1:57" s="298" customFormat="1" ht="15" customHeight="1" outlineLevel="1" x14ac:dyDescent="0.25">
      <c r="B424" s="1359"/>
      <c r="C424" s="1007"/>
      <c r="D424" s="449" t="str">
        <f>$D$30</f>
        <v>EUL</v>
      </c>
      <c r="E424" s="1410" t="s">
        <v>591</v>
      </c>
      <c r="F424" s="1141">
        <v>10</v>
      </c>
      <c r="G424" s="3509"/>
      <c r="H424" s="3509"/>
      <c r="I424" s="4066"/>
      <c r="J424" s="4066"/>
      <c r="K424" s="4066"/>
      <c r="V424" s="1161" t="str">
        <f>D424</f>
        <v>EUL</v>
      </c>
      <c r="W424" s="1141">
        <v>10</v>
      </c>
      <c r="X424" s="1141">
        <v>10</v>
      </c>
      <c r="Y424" s="1141">
        <v>10</v>
      </c>
      <c r="Z424" s="1141">
        <v>10</v>
      </c>
      <c r="AA424" s="1141">
        <v>10</v>
      </c>
      <c r="AB424" s="1141">
        <v>10</v>
      </c>
      <c r="AC424" s="1141"/>
      <c r="AD424" s="1141"/>
      <c r="AE424" s="1141"/>
      <c r="AF424" s="1141"/>
      <c r="AG424" s="1141"/>
      <c r="AK424" s="1360"/>
      <c r="BB424" s="1361"/>
    </row>
    <row r="425" spans="1:57" s="298" customFormat="1" ht="15" customHeight="1" outlineLevel="1" x14ac:dyDescent="0.25">
      <c r="B425" s="1359"/>
      <c r="C425" s="1007"/>
      <c r="D425" s="449" t="str">
        <f>$D$31</f>
        <v>Inc. Cost</v>
      </c>
      <c r="E425" s="1410" t="s">
        <v>2246</v>
      </c>
      <c r="F425" s="1165">
        <v>15.33</v>
      </c>
      <c r="G425" s="3509"/>
      <c r="H425" s="3509"/>
      <c r="I425" s="4066"/>
      <c r="J425" s="4066"/>
      <c r="K425" s="4066"/>
      <c r="V425" s="1161" t="str">
        <f>CONCATENATE(D425,"_",E425)</f>
        <v>Inc. Cost_Direct Install</v>
      </c>
      <c r="W425" s="1165">
        <v>15.33</v>
      </c>
      <c r="X425" s="1165">
        <v>15.33</v>
      </c>
      <c r="Y425" s="1165">
        <v>15.33</v>
      </c>
      <c r="Z425" s="1165">
        <v>15.33</v>
      </c>
      <c r="AA425" s="1165">
        <v>15.33</v>
      </c>
      <c r="AB425" s="1165">
        <v>15.33</v>
      </c>
      <c r="AC425" s="1165"/>
      <c r="AD425" s="1165"/>
      <c r="AE425" s="1165"/>
      <c r="AF425" s="1165"/>
      <c r="AG425" s="1165"/>
      <c r="AK425" s="1360"/>
      <c r="BB425" s="1361"/>
    </row>
    <row r="426" spans="1:57" s="298" customFormat="1" ht="15" customHeight="1" outlineLevel="1" x14ac:dyDescent="0.25">
      <c r="B426" s="1359"/>
      <c r="C426" s="1007"/>
      <c r="D426" s="449" t="str">
        <f>$D$31</f>
        <v>Inc. Cost</v>
      </c>
      <c r="E426" s="1410" t="s">
        <v>2247</v>
      </c>
      <c r="F426" s="1165">
        <v>7</v>
      </c>
      <c r="G426" s="3509"/>
      <c r="H426" s="3509"/>
      <c r="I426" s="3446"/>
      <c r="J426" s="3446"/>
      <c r="K426" s="3446"/>
      <c r="V426" s="1161" t="str">
        <f>CONCATENATE(D426,"_",E426)</f>
        <v>Inc. Cost_Time of Sale</v>
      </c>
      <c r="W426" s="1165">
        <v>7</v>
      </c>
      <c r="X426" s="1165">
        <v>7</v>
      </c>
      <c r="Y426" s="1165">
        <v>7</v>
      </c>
      <c r="Z426" s="1165">
        <v>7</v>
      </c>
      <c r="AA426" s="1165">
        <v>7</v>
      </c>
      <c r="AB426" s="1165">
        <v>7</v>
      </c>
      <c r="AC426" s="1165"/>
      <c r="AD426" s="1165"/>
      <c r="AE426" s="1165"/>
      <c r="AF426" s="1165"/>
      <c r="AG426" s="1165"/>
      <c r="AK426" s="1360"/>
      <c r="BB426" s="1361"/>
    </row>
    <row r="427" spans="1:57" x14ac:dyDescent="0.25">
      <c r="B427" s="1978"/>
      <c r="C427" s="1979"/>
      <c r="D427" s="1315"/>
      <c r="E427" s="1315"/>
      <c r="F427" s="1978"/>
      <c r="G427" s="1978"/>
      <c r="H427" s="1978"/>
      <c r="I427" s="1978"/>
      <c r="J427" s="1978"/>
      <c r="K427" s="1978"/>
      <c r="L427" s="1978"/>
    </row>
    <row r="428" spans="1:57" x14ac:dyDescent="0.25">
      <c r="B428" s="1978"/>
      <c r="C428" s="1979"/>
      <c r="D428" s="1315"/>
      <c r="E428" s="1315"/>
      <c r="F428" s="1978"/>
      <c r="G428" s="1978"/>
      <c r="H428" s="1978"/>
      <c r="I428" s="1978"/>
      <c r="J428" s="1978"/>
      <c r="K428" s="1978"/>
      <c r="L428" s="1978"/>
    </row>
    <row r="429" spans="1:57" x14ac:dyDescent="0.25">
      <c r="B429" s="3350" t="s">
        <v>1036</v>
      </c>
      <c r="C429" s="3351"/>
      <c r="D429" s="3351"/>
      <c r="E429" s="3351"/>
      <c r="F429" s="3351"/>
      <c r="G429" s="3351"/>
      <c r="H429" s="3351"/>
      <c r="I429" s="3352"/>
      <c r="J429" s="3352"/>
      <c r="K429" s="3352"/>
      <c r="L429" s="3352"/>
      <c r="M429" s="3352"/>
      <c r="N429" s="3352"/>
      <c r="O429" s="3352"/>
      <c r="P429" s="3352"/>
      <c r="Q429" s="3353"/>
      <c r="V429" s="3350" t="str">
        <f>B429</f>
        <v>Advanced Power Strips Tier 1  / Load Sensing</v>
      </c>
      <c r="W429" s="3351"/>
      <c r="X429" s="3351"/>
      <c r="Y429" s="3351"/>
      <c r="Z429" s="3351"/>
      <c r="AA429" s="3351"/>
      <c r="AB429" s="3351"/>
      <c r="AC429" s="3354"/>
      <c r="AD429" s="3354"/>
      <c r="AE429" s="3354"/>
      <c r="AF429" s="3354"/>
      <c r="AG429" s="3354"/>
      <c r="AH429" s="3354"/>
      <c r="AI429" s="3355"/>
    </row>
    <row r="431" spans="1:57" ht="30" x14ac:dyDescent="0.25">
      <c r="C431" s="2765" t="s">
        <v>17</v>
      </c>
      <c r="D431" s="1409" t="s">
        <v>616</v>
      </c>
      <c r="E431" s="1409" t="s">
        <v>19</v>
      </c>
      <c r="F431" s="1409" t="s">
        <v>20</v>
      </c>
      <c r="G431" s="1409" t="s">
        <v>21</v>
      </c>
      <c r="H431" s="1409" t="s">
        <v>22</v>
      </c>
      <c r="I431" s="1409" t="s">
        <v>23</v>
      </c>
      <c r="J431" s="1409" t="s">
        <v>24</v>
      </c>
      <c r="K431" s="1409" t="s">
        <v>25</v>
      </c>
      <c r="L431" s="1409" t="s">
        <v>26</v>
      </c>
      <c r="V431" s="55" t="s">
        <v>27</v>
      </c>
      <c r="W431" s="56">
        <f>W$6</f>
        <v>43252</v>
      </c>
      <c r="X431" s="56">
        <f t="shared" ref="X431:AG431" si="81">X$6</f>
        <v>43465</v>
      </c>
      <c r="Y431" s="56">
        <f t="shared" si="81"/>
        <v>43800</v>
      </c>
      <c r="Z431" s="56">
        <f t="shared" si="81"/>
        <v>43862</v>
      </c>
      <c r="AA431" s="56">
        <f t="shared" si="81"/>
        <v>44013</v>
      </c>
      <c r="AB431" s="56">
        <f t="shared" si="81"/>
        <v>44166</v>
      </c>
      <c r="AC431" s="56" t="str">
        <f t="shared" si="81"/>
        <v>-</v>
      </c>
      <c r="AD431" s="56" t="str">
        <f t="shared" si="81"/>
        <v>-</v>
      </c>
      <c r="AE431" s="56" t="str">
        <f t="shared" si="81"/>
        <v>-</v>
      </c>
      <c r="AF431" s="56" t="str">
        <f t="shared" si="81"/>
        <v>-</v>
      </c>
      <c r="AG431" s="56" t="str">
        <f t="shared" si="81"/>
        <v>-</v>
      </c>
      <c r="BB431" s="57" t="str">
        <f>$BB$6</f>
        <v>TRC (2020)</v>
      </c>
      <c r="BC431" s="93" t="str">
        <f>$BC$6</f>
        <v>Benefit Lookup</v>
      </c>
      <c r="BD431" s="741" t="str">
        <f>$BD$6</f>
        <v>Benefits (2019 $)</v>
      </c>
      <c r="BE431" s="279" t="str">
        <f>$BE$6</f>
        <v>Incremental Cost (2019 $)</v>
      </c>
    </row>
    <row r="432" spans="1:57" x14ac:dyDescent="0.25">
      <c r="C432" s="86" t="s">
        <v>2248</v>
      </c>
      <c r="D432" s="1658" t="s">
        <v>2147</v>
      </c>
      <c r="E432" s="388" t="s">
        <v>2021</v>
      </c>
      <c r="F432" s="601">
        <f>ROUND((G445*G451+G446*G452)*G455,2)</f>
        <v>29.45</v>
      </c>
      <c r="G432" s="389" t="s">
        <v>784</v>
      </c>
      <c r="H432" s="202">
        <f>VLOOKUP(G432,'CP FACTORS'!$A$3:$B$38, 2, FALSE)</f>
        <v>1.148238E-4</v>
      </c>
      <c r="I432" s="1733">
        <f t="shared" ref="I432:I437" si="82">ROUND(F432*H432,6)</f>
        <v>3.382E-3</v>
      </c>
      <c r="J432" s="141">
        <f t="shared" ref="J432:J437" si="83">$G$457</f>
        <v>10</v>
      </c>
      <c r="K432" s="1316">
        <f t="shared" ref="K432:K437" si="84">$G$458</f>
        <v>20</v>
      </c>
      <c r="L432" s="253" t="s">
        <v>37</v>
      </c>
      <c r="V432" s="208" t="str">
        <f>F431</f>
        <v>kWh Annual Savings</v>
      </c>
      <c r="W432" s="588">
        <v>31</v>
      </c>
      <c r="X432" s="588">
        <v>31</v>
      </c>
      <c r="Y432" s="548">
        <v>31</v>
      </c>
      <c r="Z432" s="548">
        <v>31</v>
      </c>
      <c r="AA432" s="548">
        <v>31</v>
      </c>
      <c r="AB432" s="597">
        <v>29.45</v>
      </c>
      <c r="AC432" s="588"/>
      <c r="AD432" s="588"/>
      <c r="AE432" s="588"/>
      <c r="AF432" s="588"/>
      <c r="AG432" s="588"/>
      <c r="BB432" s="67">
        <f t="shared" ref="BB432:BB437" si="85">(BD432)/(BE432)</f>
        <v>0.53798242483706482</v>
      </c>
      <c r="BC432" s="68" t="str">
        <f t="shared" ref="BC432:BC437" si="86">CONCATENATE(G432," ",J432," Year EUL")</f>
        <v>Miscellaneous RES 10 Year EUL</v>
      </c>
      <c r="BD432" s="145">
        <f>(INDEX('Avoided Cost Benefits'!$C$4:$C$857,MATCH(BC432,'Avoided Cost Benefits'!$A$4:$A$857,0)))*F432</f>
        <v>10.155402073375456</v>
      </c>
      <c r="BE432" s="69">
        <f t="shared" ref="BE432:BE437" si="87">K432/(1.0595^(2020-2019))</f>
        <v>18.876828692779611</v>
      </c>
    </row>
    <row r="433" spans="1:57" x14ac:dyDescent="0.25">
      <c r="C433" s="86" t="s">
        <v>2249</v>
      </c>
      <c r="D433" s="1658" t="s">
        <v>2147</v>
      </c>
      <c r="E433" s="388" t="s">
        <v>2023</v>
      </c>
      <c r="F433" s="601">
        <f>ROUND((G445*G451+G446*G452)*G456,2)</f>
        <v>29.08</v>
      </c>
      <c r="G433" s="389" t="s">
        <v>784</v>
      </c>
      <c r="H433" s="202">
        <f>VLOOKUP(G433,'CP FACTORS'!$A$3:$B$38, 2, FALSE)</f>
        <v>1.148238E-4</v>
      </c>
      <c r="I433" s="1733">
        <f t="shared" si="82"/>
        <v>3.339E-3</v>
      </c>
      <c r="J433" s="141">
        <f t="shared" si="83"/>
        <v>10</v>
      </c>
      <c r="K433" s="1316">
        <f t="shared" si="84"/>
        <v>20</v>
      </c>
      <c r="L433" s="253" t="s">
        <v>37</v>
      </c>
      <c r="V433" s="208" t="str">
        <f>V432</f>
        <v>kWh Annual Savings</v>
      </c>
      <c r="W433" s="588">
        <v>24.18</v>
      </c>
      <c r="X433" s="588">
        <v>24.18</v>
      </c>
      <c r="Y433" s="548">
        <v>24.18</v>
      </c>
      <c r="Z433" s="548">
        <v>24.18</v>
      </c>
      <c r="AA433" s="548">
        <v>24.18</v>
      </c>
      <c r="AB433" s="597">
        <v>29.08</v>
      </c>
      <c r="AC433" s="588"/>
      <c r="AD433" s="588"/>
      <c r="AE433" s="588"/>
      <c r="AF433" s="588"/>
      <c r="AG433" s="588"/>
      <c r="BB433" s="71">
        <f t="shared" si="85"/>
        <v>0.53122339267442598</v>
      </c>
      <c r="BC433" s="72" t="str">
        <f t="shared" si="86"/>
        <v>Miscellaneous RES 10 Year EUL</v>
      </c>
      <c r="BD433" s="148">
        <f>(INDEX('Avoided Cost Benefits'!$C$4:$C$857,MATCH(BC433,'Avoided Cost Benefits'!$A$4:$A$857,0)))*F433</f>
        <v>10.027812981112334</v>
      </c>
      <c r="BE433" s="73">
        <f t="shared" si="87"/>
        <v>18.876828692779611</v>
      </c>
    </row>
    <row r="434" spans="1:57" x14ac:dyDescent="0.25">
      <c r="C434" s="1670" t="s">
        <v>2250</v>
      </c>
      <c r="D434" s="1658" t="s">
        <v>2147</v>
      </c>
      <c r="E434" s="388" t="s">
        <v>2025</v>
      </c>
      <c r="F434" s="601">
        <f>ROUND((G445*G447+G446*G448)*G455,2)</f>
        <v>71.349999999999994</v>
      </c>
      <c r="G434" s="389" t="s">
        <v>784</v>
      </c>
      <c r="H434" s="202">
        <f>VLOOKUP(G434,'CP FACTORS'!$A$3:$B$38, 2, FALSE)</f>
        <v>1.148238E-4</v>
      </c>
      <c r="I434" s="1733">
        <f t="shared" si="82"/>
        <v>8.1930000000000006E-3</v>
      </c>
      <c r="J434" s="141">
        <f t="shared" si="83"/>
        <v>10</v>
      </c>
      <c r="K434" s="1316">
        <f t="shared" si="84"/>
        <v>20</v>
      </c>
      <c r="L434" s="253" t="s">
        <v>37</v>
      </c>
      <c r="V434" s="208" t="str">
        <f>V433</f>
        <v>kWh Annual Savings</v>
      </c>
      <c r="W434" s="588">
        <v>75.099999999999994</v>
      </c>
      <c r="X434" s="588">
        <v>75.099999999999994</v>
      </c>
      <c r="Y434" s="548">
        <v>75.099999999999994</v>
      </c>
      <c r="Z434" s="548">
        <v>75.099999999999994</v>
      </c>
      <c r="AA434" s="548">
        <v>75.099999999999994</v>
      </c>
      <c r="AB434" s="597">
        <v>71.349999999999994</v>
      </c>
      <c r="AC434" s="588"/>
      <c r="AD434" s="588"/>
      <c r="AE434" s="588"/>
      <c r="AF434" s="588"/>
      <c r="AG434" s="588"/>
      <c r="BB434" s="71">
        <f t="shared" si="85"/>
        <v>1.3033971481196798</v>
      </c>
      <c r="BC434" s="72" t="str">
        <f t="shared" si="86"/>
        <v>Miscellaneous RES 10 Year EUL</v>
      </c>
      <c r="BD434" s="148">
        <f>(INDEX('Avoided Cost Benefits'!$C$4:$C$857,MATCH(BC434,'Avoided Cost Benefits'!$A$4:$A$857,0)))*F434</f>
        <v>24.604004683712688</v>
      </c>
      <c r="BE434" s="73">
        <f t="shared" si="87"/>
        <v>18.876828692779611</v>
      </c>
    </row>
    <row r="435" spans="1:57" x14ac:dyDescent="0.25">
      <c r="C435" s="86" t="s">
        <v>2251</v>
      </c>
      <c r="D435" s="1658" t="s">
        <v>2147</v>
      </c>
      <c r="E435" s="388" t="s">
        <v>2027</v>
      </c>
      <c r="F435" s="601">
        <f>ROUND((G445*G447+G446*G448)*G456,2)</f>
        <v>70.44</v>
      </c>
      <c r="G435" s="389" t="s">
        <v>784</v>
      </c>
      <c r="H435" s="202">
        <f>VLOOKUP(G435,'CP FACTORS'!$A$3:$B$38, 2, FALSE)</f>
        <v>1.148238E-4</v>
      </c>
      <c r="I435" s="1733">
        <f t="shared" si="82"/>
        <v>8.0879999999999997E-3</v>
      </c>
      <c r="J435" s="141">
        <f t="shared" si="83"/>
        <v>10</v>
      </c>
      <c r="K435" s="1316">
        <f t="shared" si="84"/>
        <v>20</v>
      </c>
      <c r="L435" s="253" t="s">
        <v>37</v>
      </c>
      <c r="V435" s="208" t="str">
        <f>V434</f>
        <v>kWh Annual Savings</v>
      </c>
      <c r="W435" s="588">
        <v>58.577999999999996</v>
      </c>
      <c r="X435" s="588">
        <v>58.577999999999996</v>
      </c>
      <c r="Y435" s="548">
        <v>58.58</v>
      </c>
      <c r="Z435" s="548">
        <v>58.58</v>
      </c>
      <c r="AA435" s="548">
        <v>58.58</v>
      </c>
      <c r="AB435" s="597">
        <v>70.44</v>
      </c>
      <c r="AC435" s="588"/>
      <c r="AD435" s="588"/>
      <c r="AE435" s="588"/>
      <c r="AF435" s="588"/>
      <c r="AG435" s="588"/>
      <c r="BB435" s="71">
        <f t="shared" si="85"/>
        <v>1.2867735825304871</v>
      </c>
      <c r="BC435" s="72" t="str">
        <f t="shared" si="86"/>
        <v>Miscellaneous RES 10 Year EUL</v>
      </c>
      <c r="BD435" s="148">
        <f>(INDEX('Avoided Cost Benefits'!$C$4:$C$857,MATCH(BC435,'Avoided Cost Benefits'!$A$4:$A$857,0)))*F435</f>
        <v>24.290204483822311</v>
      </c>
      <c r="BE435" s="73">
        <f t="shared" si="87"/>
        <v>18.876828692779611</v>
      </c>
    </row>
    <row r="436" spans="1:57" x14ac:dyDescent="0.25">
      <c r="C436" s="86" t="s">
        <v>2252</v>
      </c>
      <c r="D436" s="1658" t="s">
        <v>2147</v>
      </c>
      <c r="E436" s="388" t="s">
        <v>2029</v>
      </c>
      <c r="F436" s="601">
        <f>ROUND((G445*G453+G446*G449)*G455,2)</f>
        <v>56.26</v>
      </c>
      <c r="G436" s="389" t="s">
        <v>784</v>
      </c>
      <c r="H436" s="202">
        <f>VLOOKUP(G436,'CP FACTORS'!$A$3:$B$38, 2, FALSE)</f>
        <v>1.148238E-4</v>
      </c>
      <c r="I436" s="1733">
        <f t="shared" si="82"/>
        <v>6.4599999999999996E-3</v>
      </c>
      <c r="J436" s="141">
        <f t="shared" si="83"/>
        <v>10</v>
      </c>
      <c r="K436" s="1316">
        <f t="shared" si="84"/>
        <v>20</v>
      </c>
      <c r="L436" s="253" t="s">
        <v>37</v>
      </c>
      <c r="V436" s="208" t="str">
        <f>V435</f>
        <v>kWh Annual Savings</v>
      </c>
      <c r="W436" s="588">
        <v>59.224000000000004</v>
      </c>
      <c r="X436" s="588">
        <v>59.224000000000004</v>
      </c>
      <c r="Y436" s="548">
        <v>59.22</v>
      </c>
      <c r="Z436" s="548">
        <v>59.22</v>
      </c>
      <c r="AA436" s="548">
        <v>59.22</v>
      </c>
      <c r="AB436" s="597">
        <v>56.26</v>
      </c>
      <c r="AC436" s="588"/>
      <c r="AD436" s="588"/>
      <c r="AE436" s="588"/>
      <c r="AF436" s="588"/>
      <c r="AG436" s="588"/>
      <c r="BB436" s="71">
        <f t="shared" si="85"/>
        <v>1.0277382418109766</v>
      </c>
      <c r="BC436" s="72" t="str">
        <f t="shared" si="86"/>
        <v>Miscellaneous RES 10 Year EUL</v>
      </c>
      <c r="BD436" s="148">
        <f>(INDEX('Avoided Cost Benefits'!$C$4:$C$857,MATCH(BC436,'Avoided Cost Benefits'!$A$4:$A$857,0)))*F436</f>
        <v>19.400438731684314</v>
      </c>
      <c r="BE436" s="73">
        <f t="shared" si="87"/>
        <v>18.876828692779611</v>
      </c>
    </row>
    <row r="437" spans="1:57" x14ac:dyDescent="0.25">
      <c r="C437" s="86" t="s">
        <v>2253</v>
      </c>
      <c r="D437" s="1658" t="s">
        <v>2147</v>
      </c>
      <c r="E437" s="388" t="s">
        <v>2031</v>
      </c>
      <c r="F437" s="601">
        <f>ROUND((G445*G454+G446*G450)*G456,2)</f>
        <v>50.59</v>
      </c>
      <c r="G437" s="389" t="s">
        <v>784</v>
      </c>
      <c r="H437" s="202">
        <f>VLOOKUP(G437,'CP FACTORS'!$A$3:$B$38, 2, FALSE)</f>
        <v>1.148238E-4</v>
      </c>
      <c r="I437" s="1733">
        <f t="shared" si="82"/>
        <v>5.8089999999999999E-3</v>
      </c>
      <c r="J437" s="141">
        <f t="shared" si="83"/>
        <v>10</v>
      </c>
      <c r="K437" s="1316">
        <f t="shared" si="84"/>
        <v>20</v>
      </c>
      <c r="L437" s="253" t="s">
        <v>37</v>
      </c>
      <c r="V437" s="208" t="str">
        <f>V436</f>
        <v>kWh Annual Savings</v>
      </c>
      <c r="W437" s="588">
        <v>42.066960000000002</v>
      </c>
      <c r="X437" s="588">
        <v>42.066960000000002</v>
      </c>
      <c r="Y437" s="548">
        <v>42.07</v>
      </c>
      <c r="Z437" s="548">
        <v>42.07</v>
      </c>
      <c r="AA437" s="548">
        <v>42.07</v>
      </c>
      <c r="AB437" s="597">
        <v>50.59</v>
      </c>
      <c r="AC437" s="588"/>
      <c r="AD437" s="588"/>
      <c r="AE437" s="588"/>
      <c r="AF437" s="588"/>
      <c r="AG437" s="588"/>
      <c r="BB437" s="74">
        <f t="shared" si="85"/>
        <v>0.92416064083215987</v>
      </c>
      <c r="BC437" s="72" t="str">
        <f t="shared" si="86"/>
        <v>Miscellaneous RES 10 Year EUL</v>
      </c>
      <c r="BD437" s="153">
        <f>(INDEX('Avoided Cost Benefits'!$C$4:$C$857,MATCH(BC437,'Avoided Cost Benefits'!$A$4:$A$857,0)))*F437</f>
        <v>17.445222101598109</v>
      </c>
      <c r="BE437" s="75">
        <f t="shared" si="87"/>
        <v>18.876828692779611</v>
      </c>
    </row>
    <row r="438" spans="1:57" outlineLevel="1" x14ac:dyDescent="0.25">
      <c r="E438" s="920"/>
    </row>
    <row r="439" spans="1:57" outlineLevel="1" x14ac:dyDescent="0.25">
      <c r="D439" s="222" t="s">
        <v>571</v>
      </c>
      <c r="E439" s="920"/>
    </row>
    <row r="440" spans="1:57" outlineLevel="1" x14ac:dyDescent="0.25">
      <c r="E440" s="920"/>
    </row>
    <row r="441" spans="1:57" outlineLevel="1" x14ac:dyDescent="0.25">
      <c r="E441" s="920"/>
    </row>
    <row r="442" spans="1:57" outlineLevel="1" x14ac:dyDescent="0.25">
      <c r="E442" s="920"/>
    </row>
    <row r="443" spans="1:57" outlineLevel="1" x14ac:dyDescent="0.25">
      <c r="E443" s="920"/>
      <c r="AI443" s="2277"/>
      <c r="AJ443" s="2277"/>
      <c r="AK443" s="2277"/>
      <c r="AL443" s="2277"/>
      <c r="AM443" s="2277"/>
      <c r="AN443" s="2277"/>
      <c r="AO443" s="2277"/>
      <c r="AP443" s="2277"/>
      <c r="AQ443" s="2277"/>
      <c r="AR443" s="2277"/>
      <c r="AS443" s="2277"/>
      <c r="AT443" s="2277"/>
      <c r="AU443" s="2277"/>
      <c r="AV443" s="2277"/>
      <c r="AW443" s="2277"/>
      <c r="AX443" s="2277"/>
      <c r="AY443" s="2277"/>
      <c r="AZ443" s="2277"/>
      <c r="BA443" s="2277"/>
    </row>
    <row r="444" spans="1:57" outlineLevel="1" x14ac:dyDescent="0.25">
      <c r="D444" s="440" t="s">
        <v>572</v>
      </c>
      <c r="E444" s="440" t="s">
        <v>573</v>
      </c>
      <c r="F444" s="440" t="s">
        <v>3764</v>
      </c>
      <c r="G444" s="440" t="s">
        <v>574</v>
      </c>
      <c r="H444" s="3483" t="s">
        <v>804</v>
      </c>
      <c r="I444" s="3533"/>
      <c r="V444" s="55" t="s">
        <v>27</v>
      </c>
      <c r="W444" s="56">
        <f>$W$6</f>
        <v>43252</v>
      </c>
      <c r="X444" s="56">
        <f>$X$6</f>
        <v>43465</v>
      </c>
      <c r="Y444" s="56">
        <f>$Y$6</f>
        <v>43800</v>
      </c>
      <c r="Z444" s="56">
        <f>$Z$6</f>
        <v>43862</v>
      </c>
      <c r="AA444" s="56">
        <f>$AA$6</f>
        <v>44013</v>
      </c>
      <c r="AB444" s="56">
        <f>$AB$6</f>
        <v>44166</v>
      </c>
      <c r="AC444" s="56" t="str">
        <f>$AC$6</f>
        <v>-</v>
      </c>
      <c r="AD444" s="56" t="str">
        <f>$AD$6</f>
        <v>-</v>
      </c>
      <c r="AE444" s="56" t="str">
        <f>$AE$6</f>
        <v>-</v>
      </c>
      <c r="AF444" s="56" t="str">
        <f>$AF$6</f>
        <v>-</v>
      </c>
      <c r="AG444" s="56" t="str">
        <f>$AG$6</f>
        <v>-</v>
      </c>
      <c r="AH444" s="553"/>
      <c r="AI444" s="2277"/>
      <c r="AJ444" s="2277"/>
      <c r="AK444" s="2277"/>
      <c r="AL444" s="2277"/>
      <c r="AM444" s="2277"/>
      <c r="AN444" s="2277"/>
      <c r="AO444" s="2277"/>
      <c r="AP444" s="2277"/>
      <c r="AQ444" s="2277"/>
      <c r="AR444" s="2277"/>
      <c r="AS444" s="2277"/>
      <c r="AT444" s="2277"/>
      <c r="AU444" s="2277"/>
      <c r="AV444" s="2277"/>
      <c r="AW444" s="2277"/>
      <c r="AX444" s="2277"/>
      <c r="AY444" s="2277"/>
      <c r="AZ444" s="2277"/>
      <c r="BA444" s="2277"/>
      <c r="BB444" s="2865"/>
    </row>
    <row r="445" spans="1:57" outlineLevel="1" x14ac:dyDescent="0.25">
      <c r="D445" s="3472" t="s">
        <v>1049</v>
      </c>
      <c r="E445" s="3472" t="s">
        <v>1050</v>
      </c>
      <c r="F445" s="3022" t="s">
        <v>3582</v>
      </c>
      <c r="G445" s="3079">
        <v>31</v>
      </c>
      <c r="H445" s="3251"/>
      <c r="I445" s="3303"/>
      <c r="V445" s="3472" t="s">
        <v>1050</v>
      </c>
      <c r="W445" s="638">
        <v>31</v>
      </c>
      <c r="X445" s="638">
        <v>31</v>
      </c>
      <c r="Y445" s="638">
        <v>31</v>
      </c>
      <c r="Z445" s="638">
        <v>31</v>
      </c>
      <c r="AA445" s="638">
        <v>31</v>
      </c>
      <c r="AB445" s="2755">
        <v>31</v>
      </c>
      <c r="AC445" s="638"/>
      <c r="AD445" s="638"/>
      <c r="AE445" s="638"/>
      <c r="AF445" s="638"/>
      <c r="AG445" s="638"/>
      <c r="AI445" s="2277"/>
      <c r="AJ445" s="2277"/>
      <c r="AK445" s="2277"/>
      <c r="AL445" s="2277"/>
      <c r="AM445" s="2277"/>
      <c r="AN445" s="2277"/>
      <c r="AO445" s="2277"/>
      <c r="AP445" s="2277"/>
      <c r="AQ445" s="2277"/>
      <c r="AR445" s="2277"/>
      <c r="AS445" s="2277"/>
      <c r="AT445" s="2277"/>
      <c r="AU445" s="2277"/>
      <c r="AV445" s="2277"/>
      <c r="AW445" s="2277"/>
      <c r="AX445" s="2277"/>
      <c r="AY445" s="2277"/>
      <c r="AZ445" s="2277"/>
      <c r="BA445" s="2277"/>
      <c r="BB445" s="2865"/>
    </row>
    <row r="446" spans="1:57" s="2277" customFormat="1" outlineLevel="1" x14ac:dyDescent="0.25">
      <c r="A446" s="157"/>
      <c r="B446" s="157"/>
      <c r="C446" s="385"/>
      <c r="D446" s="3473"/>
      <c r="E446" s="3473"/>
      <c r="F446" s="3022" t="s">
        <v>3583</v>
      </c>
      <c r="G446" s="3079">
        <v>75.099999999999994</v>
      </c>
      <c r="H446" s="3251"/>
      <c r="I446" s="3303"/>
      <c r="J446" s="157"/>
      <c r="K446" s="157"/>
      <c r="L446" s="157"/>
      <c r="M446" s="157"/>
      <c r="N446" s="157"/>
      <c r="O446" s="157"/>
      <c r="P446" s="157"/>
      <c r="Q446" s="157"/>
      <c r="R446" s="157"/>
      <c r="S446" s="157"/>
      <c r="T446" s="157"/>
      <c r="U446" s="157"/>
      <c r="V446" s="3473"/>
      <c r="W446" s="638"/>
      <c r="X446" s="638"/>
      <c r="Y446" s="638"/>
      <c r="Z446" s="638"/>
      <c r="AA446" s="638"/>
      <c r="AB446" s="2755">
        <v>75.099999999999994</v>
      </c>
      <c r="AC446" s="638"/>
      <c r="AD446" s="638"/>
      <c r="AE446" s="638"/>
      <c r="AF446" s="638"/>
      <c r="AG446" s="638"/>
      <c r="BB446" s="2865"/>
    </row>
    <row r="447" spans="1:57" outlineLevel="1" x14ac:dyDescent="0.25">
      <c r="D447" s="3472" t="s">
        <v>1051</v>
      </c>
      <c r="E447" s="3472" t="s">
        <v>1052</v>
      </c>
      <c r="F447" s="3022" t="s">
        <v>3582</v>
      </c>
      <c r="G447" s="2003">
        <v>0</v>
      </c>
      <c r="H447" s="3251"/>
      <c r="I447" s="3303"/>
      <c r="V447" s="3571" t="s">
        <v>1052</v>
      </c>
      <c r="W447" s="639">
        <v>0</v>
      </c>
      <c r="X447" s="639">
        <v>0</v>
      </c>
      <c r="Y447" s="639">
        <v>0</v>
      </c>
      <c r="Z447" s="639">
        <v>0</v>
      </c>
      <c r="AA447" s="639">
        <v>0</v>
      </c>
      <c r="AB447" s="2003">
        <v>0</v>
      </c>
      <c r="AC447" s="639"/>
      <c r="AD447" s="639"/>
      <c r="AE447" s="639"/>
      <c r="AF447" s="639"/>
      <c r="AG447" s="639"/>
      <c r="AI447" s="2277"/>
      <c r="AJ447" s="2277"/>
      <c r="AK447" s="2277"/>
      <c r="AL447" s="2277"/>
      <c r="AM447" s="2277"/>
      <c r="AN447" s="2277"/>
      <c r="AO447" s="2277"/>
      <c r="AP447" s="2277"/>
      <c r="AQ447" s="2277"/>
      <c r="AR447" s="2277"/>
      <c r="AS447" s="2277"/>
      <c r="AT447" s="2277"/>
      <c r="AU447" s="2277"/>
      <c r="AV447" s="2277"/>
      <c r="AW447" s="2277"/>
      <c r="AX447" s="2277"/>
      <c r="AY447" s="2277"/>
      <c r="AZ447" s="2277"/>
      <c r="BA447" s="2277"/>
      <c r="BB447" s="2865"/>
    </row>
    <row r="448" spans="1:57" s="2277" customFormat="1" outlineLevel="1" x14ac:dyDescent="0.25">
      <c r="A448" s="157"/>
      <c r="B448" s="157"/>
      <c r="C448" s="385"/>
      <c r="D448" s="3568"/>
      <c r="E448" s="3568"/>
      <c r="F448" s="3022" t="s">
        <v>3583</v>
      </c>
      <c r="G448" s="263">
        <v>1</v>
      </c>
      <c r="H448" s="3251"/>
      <c r="I448" s="3303"/>
      <c r="J448" s="157"/>
      <c r="K448" s="157"/>
      <c r="L448" s="157"/>
      <c r="M448" s="157"/>
      <c r="N448" s="157"/>
      <c r="O448" s="157"/>
      <c r="P448" s="157"/>
      <c r="Q448" s="157"/>
      <c r="R448" s="157"/>
      <c r="S448" s="157"/>
      <c r="T448" s="157"/>
      <c r="U448" s="157"/>
      <c r="V448" s="3572"/>
      <c r="W448" s="639"/>
      <c r="X448" s="639"/>
      <c r="Y448" s="639"/>
      <c r="Z448" s="639"/>
      <c r="AA448" s="639"/>
      <c r="AB448" s="263">
        <v>1</v>
      </c>
      <c r="AC448" s="639"/>
      <c r="AD448" s="639"/>
      <c r="AE448" s="639"/>
      <c r="AF448" s="639"/>
      <c r="AG448" s="639"/>
      <c r="BB448" s="2865"/>
    </row>
    <row r="449" spans="1:57" s="2277" customFormat="1" outlineLevel="1" x14ac:dyDescent="0.25">
      <c r="A449" s="157"/>
      <c r="B449" s="157"/>
      <c r="C449" s="385"/>
      <c r="D449" s="3568"/>
      <c r="E449" s="3568"/>
      <c r="F449" s="3022" t="s">
        <v>3584</v>
      </c>
      <c r="G449" s="263">
        <f>1-G453</f>
        <v>0.64</v>
      </c>
      <c r="H449" s="3251"/>
      <c r="I449" s="3303"/>
      <c r="J449" s="157"/>
      <c r="K449" s="157"/>
      <c r="L449" s="157"/>
      <c r="M449" s="157"/>
      <c r="N449" s="157"/>
      <c r="O449" s="157"/>
      <c r="P449" s="157"/>
      <c r="Q449" s="157"/>
      <c r="R449" s="157"/>
      <c r="S449" s="157"/>
      <c r="T449" s="157"/>
      <c r="U449" s="157"/>
      <c r="V449" s="3572"/>
      <c r="W449" s="639"/>
      <c r="X449" s="639"/>
      <c r="Y449" s="639"/>
      <c r="Z449" s="639"/>
      <c r="AA449" s="639"/>
      <c r="AB449" s="263">
        <f>1-AB453</f>
        <v>0.64</v>
      </c>
      <c r="AC449" s="639"/>
      <c r="AD449" s="639"/>
      <c r="AE449" s="639"/>
      <c r="AF449" s="639"/>
      <c r="AG449" s="639"/>
      <c r="BB449" s="2865"/>
    </row>
    <row r="450" spans="1:57" s="2277" customFormat="1" outlineLevel="1" x14ac:dyDescent="0.25">
      <c r="A450" s="157"/>
      <c r="B450" s="157"/>
      <c r="C450" s="385"/>
      <c r="D450" s="3473"/>
      <c r="E450" s="3473"/>
      <c r="F450" s="3022" t="s">
        <v>3585</v>
      </c>
      <c r="G450" s="263">
        <f>1-G454</f>
        <v>0.52</v>
      </c>
      <c r="H450" s="3251"/>
      <c r="I450" s="3303"/>
      <c r="J450" s="157"/>
      <c r="K450" s="157"/>
      <c r="L450" s="157"/>
      <c r="M450" s="157"/>
      <c r="N450" s="157"/>
      <c r="O450" s="157"/>
      <c r="P450" s="157"/>
      <c r="Q450" s="157"/>
      <c r="R450" s="157"/>
      <c r="S450" s="157"/>
      <c r="T450" s="157"/>
      <c r="U450" s="157"/>
      <c r="V450" s="3573"/>
      <c r="W450" s="639"/>
      <c r="X450" s="639"/>
      <c r="Y450" s="639"/>
      <c r="Z450" s="639"/>
      <c r="AA450" s="639"/>
      <c r="AB450" s="263">
        <f>1-AB454</f>
        <v>0.52</v>
      </c>
      <c r="AC450" s="639"/>
      <c r="AD450" s="639"/>
      <c r="AE450" s="639"/>
      <c r="AF450" s="639"/>
      <c r="AG450" s="639"/>
      <c r="BB450" s="2865"/>
    </row>
    <row r="451" spans="1:57" outlineLevel="1" x14ac:dyDescent="0.25">
      <c r="D451" s="3472" t="s">
        <v>1053</v>
      </c>
      <c r="E451" s="3472" t="s">
        <v>1054</v>
      </c>
      <c r="F451" s="3022" t="s">
        <v>3582</v>
      </c>
      <c r="G451" s="263">
        <v>1</v>
      </c>
      <c r="H451" s="3251"/>
      <c r="I451" s="3303"/>
      <c r="V451" s="3571" t="s">
        <v>1054</v>
      </c>
      <c r="W451" s="640">
        <v>1</v>
      </c>
      <c r="X451" s="640">
        <v>1</v>
      </c>
      <c r="Y451" s="640">
        <v>1</v>
      </c>
      <c r="Z451" s="640">
        <v>1</v>
      </c>
      <c r="AA451" s="640">
        <v>1</v>
      </c>
      <c r="AB451" s="263">
        <v>1</v>
      </c>
      <c r="AC451" s="640"/>
      <c r="AD451" s="640"/>
      <c r="AE451" s="640"/>
      <c r="AF451" s="640"/>
      <c r="AG451" s="640"/>
      <c r="AI451" s="2277"/>
      <c r="AJ451" s="2277"/>
      <c r="AK451" s="2277"/>
      <c r="AL451" s="2277"/>
      <c r="AM451" s="2277"/>
      <c r="AN451" s="2277"/>
      <c r="AO451" s="2277"/>
      <c r="AP451" s="2277"/>
      <c r="AQ451" s="2277"/>
      <c r="AR451" s="2277"/>
      <c r="AS451" s="2277"/>
      <c r="AT451" s="2277"/>
      <c r="AU451" s="2277"/>
      <c r="AV451" s="2277"/>
      <c r="AW451" s="2277"/>
      <c r="AX451" s="2277"/>
      <c r="AY451" s="2277"/>
      <c r="AZ451" s="2277"/>
      <c r="BA451" s="2277"/>
      <c r="BB451" s="2865"/>
    </row>
    <row r="452" spans="1:57" s="2277" customFormat="1" outlineLevel="1" x14ac:dyDescent="0.25">
      <c r="A452" s="157"/>
      <c r="B452" s="157"/>
      <c r="C452" s="385"/>
      <c r="D452" s="3568"/>
      <c r="E452" s="3568"/>
      <c r="F452" s="3022" t="s">
        <v>3583</v>
      </c>
      <c r="G452" s="263">
        <v>0</v>
      </c>
      <c r="H452" s="3251"/>
      <c r="I452" s="3303"/>
      <c r="J452" s="157"/>
      <c r="K452" s="157"/>
      <c r="L452" s="157"/>
      <c r="M452" s="157"/>
      <c r="N452" s="157"/>
      <c r="O452" s="157"/>
      <c r="P452" s="157"/>
      <c r="Q452" s="157"/>
      <c r="R452" s="157"/>
      <c r="S452" s="157"/>
      <c r="T452" s="157"/>
      <c r="U452" s="157"/>
      <c r="V452" s="3572"/>
      <c r="W452" s="640"/>
      <c r="X452" s="640"/>
      <c r="Y452" s="640"/>
      <c r="Z452" s="640"/>
      <c r="AA452" s="640"/>
      <c r="AB452" s="263">
        <v>0</v>
      </c>
      <c r="AC452" s="640"/>
      <c r="AD452" s="640"/>
      <c r="AE452" s="640"/>
      <c r="AF452" s="640"/>
      <c r="AG452" s="640"/>
      <c r="BB452" s="2865"/>
    </row>
    <row r="453" spans="1:57" s="2277" customFormat="1" outlineLevel="1" x14ac:dyDescent="0.25">
      <c r="A453" s="157"/>
      <c r="B453" s="157"/>
      <c r="C453" s="385"/>
      <c r="D453" s="3568"/>
      <c r="E453" s="3568"/>
      <c r="F453" s="3022" t="s">
        <v>3584</v>
      </c>
      <c r="G453" s="263">
        <v>0.36</v>
      </c>
      <c r="H453" s="3251"/>
      <c r="I453" s="3303"/>
      <c r="J453" s="157"/>
      <c r="K453" s="157"/>
      <c r="L453" s="157"/>
      <c r="M453" s="157"/>
      <c r="N453" s="157"/>
      <c r="O453" s="157"/>
      <c r="P453" s="157"/>
      <c r="Q453" s="157"/>
      <c r="R453" s="157"/>
      <c r="S453" s="157"/>
      <c r="T453" s="157"/>
      <c r="U453" s="157"/>
      <c r="V453" s="3572"/>
      <c r="W453" s="640"/>
      <c r="X453" s="640"/>
      <c r="Y453" s="640"/>
      <c r="Z453" s="640"/>
      <c r="AA453" s="640"/>
      <c r="AB453" s="263">
        <v>0.36</v>
      </c>
      <c r="AC453" s="640"/>
      <c r="AD453" s="640"/>
      <c r="AE453" s="640"/>
      <c r="AF453" s="640"/>
      <c r="AG453" s="640"/>
      <c r="BB453" s="2865"/>
    </row>
    <row r="454" spans="1:57" s="2277" customFormat="1" outlineLevel="1" x14ac:dyDescent="0.25">
      <c r="A454" s="157"/>
      <c r="B454" s="157"/>
      <c r="C454" s="385"/>
      <c r="D454" s="3473"/>
      <c r="E454" s="3473"/>
      <c r="F454" s="3035" t="s">
        <v>3585</v>
      </c>
      <c r="G454" s="263">
        <v>0.48</v>
      </c>
      <c r="H454" s="3251"/>
      <c r="I454" s="3303"/>
      <c r="J454" s="157"/>
      <c r="K454" s="157"/>
      <c r="L454" s="157"/>
      <c r="M454" s="157"/>
      <c r="N454" s="157"/>
      <c r="O454" s="157"/>
      <c r="P454" s="157"/>
      <c r="Q454" s="157"/>
      <c r="R454" s="157"/>
      <c r="S454" s="157"/>
      <c r="T454" s="157"/>
      <c r="U454" s="157"/>
      <c r="V454" s="3573"/>
      <c r="W454" s="640"/>
      <c r="X454" s="640"/>
      <c r="Y454" s="640"/>
      <c r="Z454" s="640"/>
      <c r="AA454" s="640"/>
      <c r="AB454" s="263">
        <v>0.48</v>
      </c>
      <c r="AC454" s="640"/>
      <c r="AD454" s="640"/>
      <c r="AE454" s="640"/>
      <c r="AF454" s="640"/>
      <c r="AG454" s="640"/>
      <c r="BB454" s="2865"/>
    </row>
    <row r="455" spans="1:57" outlineLevel="1" x14ac:dyDescent="0.25">
      <c r="D455" s="3472" t="s">
        <v>75</v>
      </c>
      <c r="E455" s="3472" t="s">
        <v>3614</v>
      </c>
      <c r="F455" s="3035" t="s">
        <v>3574</v>
      </c>
      <c r="G455" s="1150">
        <v>0.95</v>
      </c>
      <c r="H455" s="3251" t="s">
        <v>3587</v>
      </c>
      <c r="I455" s="3303"/>
      <c r="V455" s="3008" t="s">
        <v>75</v>
      </c>
      <c r="W455" s="641"/>
      <c r="X455" s="641"/>
      <c r="Y455" s="641"/>
      <c r="Z455" s="641"/>
      <c r="AA455" s="641"/>
      <c r="AB455" s="608">
        <v>0.95</v>
      </c>
      <c r="AC455" s="641"/>
      <c r="AD455" s="641"/>
      <c r="AE455" s="641"/>
      <c r="AF455" s="641"/>
      <c r="AG455" s="641"/>
      <c r="AI455" s="2277"/>
      <c r="AJ455" s="2277"/>
      <c r="AK455" s="2277"/>
      <c r="AL455" s="2277"/>
      <c r="AM455" s="2277"/>
      <c r="AN455" s="2277"/>
      <c r="AO455" s="2277"/>
      <c r="AP455" s="2277"/>
      <c r="AQ455" s="2277"/>
      <c r="AR455" s="2277"/>
      <c r="AS455" s="2277"/>
      <c r="AT455" s="2277"/>
      <c r="AU455" s="2277"/>
      <c r="AV455" s="2277"/>
      <c r="AW455" s="2277"/>
      <c r="AX455" s="2277"/>
      <c r="AY455" s="2277"/>
      <c r="AZ455" s="2277"/>
      <c r="BA455" s="2277"/>
      <c r="BB455" s="2865"/>
    </row>
    <row r="456" spans="1:57" outlineLevel="1" x14ac:dyDescent="0.25">
      <c r="D456" s="3473"/>
      <c r="E456" s="3473"/>
      <c r="F456" s="3035" t="s">
        <v>3575</v>
      </c>
      <c r="G456" s="1150">
        <v>0.93799999999999994</v>
      </c>
      <c r="H456" s="4067" t="s">
        <v>3588</v>
      </c>
      <c r="I456" s="4068"/>
      <c r="V456" s="3008" t="s">
        <v>684</v>
      </c>
      <c r="W456" s="557">
        <v>0.47315310825962376</v>
      </c>
      <c r="X456" s="557">
        <v>0.47315310825962376</v>
      </c>
      <c r="Y456" s="557">
        <v>0.47315310825962376</v>
      </c>
      <c r="Z456" s="557">
        <v>0.47315310825962376</v>
      </c>
      <c r="AA456" s="557">
        <v>0.47315310825962376</v>
      </c>
      <c r="AB456" s="608">
        <v>0.93799999999999994</v>
      </c>
      <c r="AC456" s="582"/>
      <c r="AD456" s="582"/>
      <c r="AE456" s="582"/>
      <c r="AF456" s="582"/>
      <c r="AG456" s="582"/>
      <c r="AI456" s="2277"/>
      <c r="AJ456" s="2277"/>
      <c r="AK456" s="2277"/>
      <c r="AL456" s="2277"/>
      <c r="AM456" s="2277"/>
      <c r="AN456" s="2277"/>
      <c r="AO456" s="2277"/>
      <c r="AP456" s="2277"/>
      <c r="AQ456" s="2277"/>
      <c r="AR456" s="2277"/>
      <c r="AS456" s="2277"/>
      <c r="AT456" s="2277"/>
      <c r="AU456" s="2277"/>
      <c r="AV456" s="2277"/>
      <c r="AW456" s="2277"/>
      <c r="AX456" s="2277"/>
      <c r="AY456" s="2277"/>
      <c r="AZ456" s="2277"/>
      <c r="BA456" s="2277"/>
      <c r="BB456" s="2865"/>
    </row>
    <row r="457" spans="1:57" outlineLevel="1" x14ac:dyDescent="0.25">
      <c r="D457" s="2454" t="s">
        <v>896</v>
      </c>
      <c r="E457" s="2454" t="s">
        <v>611</v>
      </c>
      <c r="F457" s="3304" t="s">
        <v>591</v>
      </c>
      <c r="G457" s="2759">
        <v>10</v>
      </c>
      <c r="H457" s="3251"/>
      <c r="I457" s="3303"/>
      <c r="V457" s="3097" t="s">
        <v>896</v>
      </c>
      <c r="W457" s="506">
        <v>10</v>
      </c>
      <c r="X457" s="506">
        <v>10</v>
      </c>
      <c r="Y457" s="506">
        <v>10</v>
      </c>
      <c r="Z457" s="506">
        <v>10</v>
      </c>
      <c r="AA457" s="506">
        <v>10</v>
      </c>
      <c r="AB457" s="2759">
        <v>10</v>
      </c>
      <c r="AC457" s="506"/>
      <c r="AD457" s="506"/>
      <c r="AE457" s="506"/>
      <c r="AF457" s="506"/>
      <c r="AG457" s="506"/>
    </row>
    <row r="458" spans="1:57" outlineLevel="1" x14ac:dyDescent="0.25">
      <c r="D458" s="3432" t="s">
        <v>25</v>
      </c>
      <c r="E458" s="4069" t="s">
        <v>613</v>
      </c>
      <c r="F458" s="3305" t="s">
        <v>1846</v>
      </c>
      <c r="G458" s="2758">
        <v>20</v>
      </c>
      <c r="H458" s="3251"/>
      <c r="I458" s="3303"/>
      <c r="V458" s="4071" t="s">
        <v>25</v>
      </c>
      <c r="W458" s="508">
        <v>20</v>
      </c>
      <c r="X458" s="508">
        <v>20</v>
      </c>
      <c r="Y458" s="508">
        <v>20</v>
      </c>
      <c r="Z458" s="508">
        <v>20</v>
      </c>
      <c r="AA458" s="508">
        <v>20</v>
      </c>
      <c r="AB458" s="2758">
        <v>20</v>
      </c>
      <c r="AC458" s="508"/>
      <c r="AD458" s="508"/>
      <c r="AE458" s="508"/>
      <c r="AF458" s="508"/>
      <c r="AG458" s="508"/>
    </row>
    <row r="459" spans="1:57" s="2277" customFormat="1" outlineLevel="1" x14ac:dyDescent="0.25">
      <c r="A459" s="157"/>
      <c r="B459" s="157"/>
      <c r="C459" s="385"/>
      <c r="D459" s="3440"/>
      <c r="E459" s="4070"/>
      <c r="F459" s="3305" t="s">
        <v>3586</v>
      </c>
      <c r="G459" s="3306">
        <v>30</v>
      </c>
      <c r="H459" s="3251"/>
      <c r="I459" s="3303"/>
      <c r="J459" s="157"/>
      <c r="K459" s="157"/>
      <c r="L459" s="157"/>
      <c r="M459" s="157"/>
      <c r="N459" s="157"/>
      <c r="O459" s="157"/>
      <c r="P459" s="157"/>
      <c r="Q459" s="157"/>
      <c r="R459" s="157"/>
      <c r="S459" s="157"/>
      <c r="T459" s="157"/>
      <c r="U459" s="157"/>
      <c r="V459" s="4072"/>
      <c r="W459" s="508"/>
      <c r="X459" s="508"/>
      <c r="Y459" s="508"/>
      <c r="Z459" s="508"/>
      <c r="AA459" s="508"/>
      <c r="AB459" s="2864">
        <v>30</v>
      </c>
      <c r="AC459" s="508"/>
      <c r="AD459" s="508"/>
      <c r="AE459" s="508"/>
      <c r="AF459" s="508"/>
      <c r="AG459" s="508"/>
      <c r="BB459" s="1055"/>
    </row>
    <row r="460" spans="1:57" x14ac:dyDescent="0.25">
      <c r="E460" s="920"/>
    </row>
    <row r="462" spans="1:57" x14ac:dyDescent="0.25">
      <c r="B462" s="3350" t="s">
        <v>781</v>
      </c>
      <c r="C462" s="3351"/>
      <c r="D462" s="3351"/>
      <c r="E462" s="3351"/>
      <c r="F462" s="3351"/>
      <c r="G462" s="3351"/>
      <c r="H462" s="3351"/>
      <c r="I462" s="3352"/>
      <c r="J462" s="3352"/>
      <c r="K462" s="3352"/>
      <c r="L462" s="3352"/>
      <c r="M462" s="3352"/>
      <c r="N462" s="3352"/>
      <c r="O462" s="3352"/>
      <c r="P462" s="3352"/>
      <c r="Q462" s="3353"/>
      <c r="V462" s="3350" t="str">
        <f>B462</f>
        <v>Advanced Power Strips Tier 2  /  Advanced Control Stategies</v>
      </c>
      <c r="W462" s="3351"/>
      <c r="X462" s="3351"/>
      <c r="Y462" s="3351"/>
      <c r="Z462" s="3351"/>
      <c r="AA462" s="3351"/>
      <c r="AB462" s="3351"/>
      <c r="AC462" s="3354"/>
      <c r="AD462" s="3354"/>
      <c r="AE462" s="3354"/>
      <c r="AF462" s="3354"/>
      <c r="AG462" s="3354"/>
      <c r="AH462" s="3354"/>
      <c r="AI462" s="3355"/>
    </row>
    <row r="464" spans="1:57" ht="30" x14ac:dyDescent="0.25">
      <c r="C464" s="2765" t="s">
        <v>17</v>
      </c>
      <c r="D464" s="1409" t="s">
        <v>616</v>
      </c>
      <c r="E464" s="1409" t="s">
        <v>19</v>
      </c>
      <c r="F464" s="1409" t="s">
        <v>20</v>
      </c>
      <c r="G464" s="1409" t="s">
        <v>21</v>
      </c>
      <c r="H464" s="1409" t="s">
        <v>22</v>
      </c>
      <c r="I464" s="1409" t="s">
        <v>23</v>
      </c>
      <c r="J464" s="1409" t="s">
        <v>24</v>
      </c>
      <c r="K464" s="1409" t="s">
        <v>25</v>
      </c>
      <c r="L464" s="1409" t="s">
        <v>26</v>
      </c>
      <c r="V464" s="55" t="s">
        <v>27</v>
      </c>
      <c r="W464" s="56">
        <f>W$6</f>
        <v>43252</v>
      </c>
      <c r="X464" s="56">
        <f t="shared" ref="X464:AG464" si="88">X$6</f>
        <v>43465</v>
      </c>
      <c r="Y464" s="56">
        <f t="shared" si="88"/>
        <v>43800</v>
      </c>
      <c r="Z464" s="56">
        <f t="shared" si="88"/>
        <v>43862</v>
      </c>
      <c r="AA464" s="56">
        <f t="shared" si="88"/>
        <v>44013</v>
      </c>
      <c r="AB464" s="56">
        <f t="shared" si="88"/>
        <v>44166</v>
      </c>
      <c r="AC464" s="56" t="str">
        <f t="shared" si="88"/>
        <v>-</v>
      </c>
      <c r="AD464" s="56" t="str">
        <f t="shared" si="88"/>
        <v>-</v>
      </c>
      <c r="AE464" s="56" t="str">
        <f t="shared" si="88"/>
        <v>-</v>
      </c>
      <c r="AF464" s="56" t="str">
        <f t="shared" si="88"/>
        <v>-</v>
      </c>
      <c r="AG464" s="56" t="str">
        <f t="shared" si="88"/>
        <v>-</v>
      </c>
      <c r="BB464" s="57" t="str">
        <f>$BB$6</f>
        <v>TRC (2020)</v>
      </c>
      <c r="BC464" s="93" t="str">
        <f>$BC$6</f>
        <v>Benefit Lookup</v>
      </c>
      <c r="BD464" s="741" t="str">
        <f>$BD$6</f>
        <v>Benefits (2019 $)</v>
      </c>
      <c r="BE464" s="279" t="str">
        <f>$BE$6</f>
        <v>Incremental Cost (2019 $)</v>
      </c>
    </row>
    <row r="465" spans="3:57" x14ac:dyDescent="0.25">
      <c r="C465" s="137" t="s">
        <v>2254</v>
      </c>
      <c r="D465" s="1658" t="s">
        <v>2147</v>
      </c>
      <c r="E465" s="388" t="str">
        <f>'Efficient Products Deemed Table'!E208</f>
        <v>Advanced Tier 2 Power Strips  -  A</v>
      </c>
      <c r="F465" s="138">
        <f>ROUND(G481*$G$480,2)</f>
        <v>237.6</v>
      </c>
      <c r="G465" s="1260" t="str">
        <f>'Efficient Products Deemed Table'!G208</f>
        <v>Miscellaneous RES</v>
      </c>
      <c r="H465" s="202">
        <f>'Efficient Products Deemed Table'!H208</f>
        <v>1.148238E-4</v>
      </c>
      <c r="I465" s="1733">
        <f t="shared" ref="I465:I473" si="89">ROUND(F465*H465,6)</f>
        <v>2.7282000000000001E-2</v>
      </c>
      <c r="J465" s="187">
        <f>$G$491</f>
        <v>10</v>
      </c>
      <c r="K465" s="1316">
        <f>$G$492</f>
        <v>30</v>
      </c>
      <c r="L465" s="253" t="s">
        <v>37</v>
      </c>
      <c r="V465" s="208" t="str">
        <f>F464</f>
        <v>kWh Annual Savings</v>
      </c>
      <c r="W465" s="893">
        <f>'Efficient Products Deemed Table'!W208</f>
        <v>237.60000000000002</v>
      </c>
      <c r="X465" s="893">
        <f>'Efficient Products Deemed Table'!X208</f>
        <v>237.60000000000002</v>
      </c>
      <c r="Y465" s="638">
        <v>237.6</v>
      </c>
      <c r="Z465" s="638">
        <v>237.6</v>
      </c>
      <c r="AA465" s="638">
        <v>237.6</v>
      </c>
      <c r="AB465" s="2662">
        <v>237.6</v>
      </c>
      <c r="AC465" s="893"/>
      <c r="AD465" s="893"/>
      <c r="AE465" s="893"/>
      <c r="AF465" s="893"/>
      <c r="AG465" s="893"/>
      <c r="BB465" s="67">
        <f t="shared" ref="BB465:BB473" si="90">(BD465)/(BE465)</f>
        <v>2.8935964717891705</v>
      </c>
      <c r="BC465" s="68" t="str">
        <f>CONCATENATE(G465," ",J465," Year EUL")</f>
        <v>Miscellaneous RES 10 Year EUL</v>
      </c>
      <c r="BD465" s="145">
        <f>(INDEX('Avoided Cost Benefits'!$C$4:$C$857,MATCH(BC465,'Avoided Cost Benefits'!$A$4:$A$857,0)))*F465</f>
        <v>81.932887355993486</v>
      </c>
      <c r="BE465" s="69">
        <f>K465/(1.0595^(2020-2019))</f>
        <v>28.315243039169417</v>
      </c>
    </row>
    <row r="466" spans="3:57" x14ac:dyDescent="0.25">
      <c r="C466" s="137" t="s">
        <v>2255</v>
      </c>
      <c r="D466" s="1658" t="s">
        <v>2147</v>
      </c>
      <c r="E466" s="388" t="str">
        <f>'Efficient Products Deemed Table'!E209</f>
        <v>Advanced Tier 2 Power Strips -  B</v>
      </c>
      <c r="F466" s="138">
        <f t="shared" ref="F466:F472" si="91">ROUND(G482*$G$480,2)</f>
        <v>216</v>
      </c>
      <c r="G466" s="1260" t="str">
        <f>'Efficient Products Deemed Table'!G209</f>
        <v>Miscellaneous RES</v>
      </c>
      <c r="H466" s="202">
        <f>'Efficient Products Deemed Table'!H209</f>
        <v>1.148238E-4</v>
      </c>
      <c r="I466" s="1733">
        <f t="shared" si="89"/>
        <v>2.4802000000000001E-2</v>
      </c>
      <c r="J466" s="187">
        <f t="shared" ref="J466:J473" si="92">$G$491</f>
        <v>10</v>
      </c>
      <c r="K466" s="1316">
        <f t="shared" ref="K466:K473" si="93">$G$492</f>
        <v>30</v>
      </c>
      <c r="L466" s="1352" t="str">
        <f>'Efficient Products Deemed Table'!L209</f>
        <v>per measure</v>
      </c>
      <c r="V466" s="208" t="str">
        <f>V465</f>
        <v>kWh Annual Savings</v>
      </c>
      <c r="W466" s="893">
        <f>'Efficient Products Deemed Table'!W209</f>
        <v>216</v>
      </c>
      <c r="X466" s="893">
        <f>'Efficient Products Deemed Table'!X209</f>
        <v>216</v>
      </c>
      <c r="Y466" s="638">
        <v>216</v>
      </c>
      <c r="Z466" s="638">
        <v>216</v>
      </c>
      <c r="AA466" s="638">
        <v>216</v>
      </c>
      <c r="AB466" s="2662">
        <v>216</v>
      </c>
      <c r="AC466" s="893"/>
      <c r="AD466" s="893"/>
      <c r="AE466" s="893"/>
      <c r="AF466" s="893"/>
      <c r="AG466" s="893"/>
      <c r="BB466" s="71">
        <f t="shared" si="90"/>
        <v>2.6305422470810638</v>
      </c>
      <c r="BC466" s="72" t="str">
        <f t="shared" ref="BC466:BC473" si="94">CONCATENATE(G466," ",J466," Year EUL")</f>
        <v>Miscellaneous RES 10 Year EUL</v>
      </c>
      <c r="BD466" s="148">
        <f>(INDEX('Avoided Cost Benefits'!$C$4:$C$857,MATCH(BC466,'Avoided Cost Benefits'!$A$4:$A$857,0)))*F466</f>
        <v>74.484443050903167</v>
      </c>
      <c r="BE466" s="73">
        <f t="shared" ref="BE466:BE473" si="95">K466/(1.0595^(2020-2019))</f>
        <v>28.315243039169417</v>
      </c>
    </row>
    <row r="467" spans="3:57" x14ac:dyDescent="0.25">
      <c r="C467" s="137" t="s">
        <v>2256</v>
      </c>
      <c r="D467" s="1658" t="s">
        <v>2147</v>
      </c>
      <c r="E467" s="388" t="str">
        <f>'Efficient Products Deemed Table'!E210</f>
        <v>Advanced Tier 2 Power Strips -  C</v>
      </c>
      <c r="F467" s="138">
        <f t="shared" si="91"/>
        <v>194.4</v>
      </c>
      <c r="G467" s="1260" t="str">
        <f>'Efficient Products Deemed Table'!G210</f>
        <v>Miscellaneous RES</v>
      </c>
      <c r="H467" s="202">
        <f>'Efficient Products Deemed Table'!H210</f>
        <v>1.148238E-4</v>
      </c>
      <c r="I467" s="1733">
        <f t="shared" si="89"/>
        <v>2.2322000000000002E-2</v>
      </c>
      <c r="J467" s="187">
        <f t="shared" si="92"/>
        <v>10</v>
      </c>
      <c r="K467" s="1316">
        <f t="shared" si="93"/>
        <v>30</v>
      </c>
      <c r="L467" s="1352" t="str">
        <f>'Efficient Products Deemed Table'!L210</f>
        <v>per measure</v>
      </c>
      <c r="V467" s="208" t="str">
        <f t="shared" ref="V467:V473" si="96">V466</f>
        <v>kWh Annual Savings</v>
      </c>
      <c r="W467" s="893">
        <f>'Efficient Products Deemed Table'!W210</f>
        <v>194.4</v>
      </c>
      <c r="X467" s="893">
        <f>'Efficient Products Deemed Table'!X210</f>
        <v>194.4</v>
      </c>
      <c r="Y467" s="638">
        <v>194.4</v>
      </c>
      <c r="Z467" s="638">
        <v>194.4</v>
      </c>
      <c r="AA467" s="638">
        <v>194.4</v>
      </c>
      <c r="AB467" s="2662">
        <v>194.4</v>
      </c>
      <c r="AC467" s="893"/>
      <c r="AD467" s="893"/>
      <c r="AE467" s="893"/>
      <c r="AF467" s="893"/>
      <c r="AG467" s="893"/>
      <c r="BB467" s="71">
        <f t="shared" si="90"/>
        <v>2.3674880223729571</v>
      </c>
      <c r="BC467" s="72" t="str">
        <f t="shared" si="94"/>
        <v>Miscellaneous RES 10 Year EUL</v>
      </c>
      <c r="BD467" s="148">
        <f>(INDEX('Avoided Cost Benefits'!$C$4:$C$857,MATCH(BC467,'Avoided Cost Benefits'!$A$4:$A$857,0)))*F467</f>
        <v>67.035998745812847</v>
      </c>
      <c r="BE467" s="73">
        <f t="shared" si="95"/>
        <v>28.315243039169417</v>
      </c>
    </row>
    <row r="468" spans="3:57" x14ac:dyDescent="0.25">
      <c r="C468" s="137" t="s">
        <v>2257</v>
      </c>
      <c r="D468" s="1658" t="s">
        <v>2147</v>
      </c>
      <c r="E468" s="388" t="str">
        <f>'Efficient Products Deemed Table'!E211</f>
        <v>Advanced Tier 2 Power Strips -  D</v>
      </c>
      <c r="F468" s="138">
        <f t="shared" si="91"/>
        <v>172.8</v>
      </c>
      <c r="G468" s="1260" t="str">
        <f>'Efficient Products Deemed Table'!G211</f>
        <v>Miscellaneous RES</v>
      </c>
      <c r="H468" s="202">
        <f>'Efficient Products Deemed Table'!H211</f>
        <v>1.148238E-4</v>
      </c>
      <c r="I468" s="1733">
        <f t="shared" si="89"/>
        <v>1.9841999999999999E-2</v>
      </c>
      <c r="J468" s="187">
        <f t="shared" si="92"/>
        <v>10</v>
      </c>
      <c r="K468" s="1316">
        <f t="shared" si="93"/>
        <v>30</v>
      </c>
      <c r="L468" s="1352" t="str">
        <f>'Efficient Products Deemed Table'!L211</f>
        <v>per measure</v>
      </c>
      <c r="V468" s="208" t="str">
        <f t="shared" si="96"/>
        <v>kWh Annual Savings</v>
      </c>
      <c r="W468" s="893">
        <f>'Efficient Products Deemed Table'!W211</f>
        <v>172.8</v>
      </c>
      <c r="X468" s="893">
        <f>'Efficient Products Deemed Table'!X211</f>
        <v>172.8</v>
      </c>
      <c r="Y468" s="638">
        <v>172.8</v>
      </c>
      <c r="Z468" s="638">
        <v>172.8</v>
      </c>
      <c r="AA468" s="638">
        <v>172.8</v>
      </c>
      <c r="AB468" s="2662">
        <v>172.8</v>
      </c>
      <c r="AC468" s="893"/>
      <c r="AD468" s="893"/>
      <c r="AE468" s="893"/>
      <c r="AF468" s="893"/>
      <c r="AG468" s="893"/>
      <c r="BB468" s="71">
        <f t="shared" si="90"/>
        <v>2.1044337976648513</v>
      </c>
      <c r="BC468" s="72" t="str">
        <f t="shared" si="94"/>
        <v>Miscellaneous RES 10 Year EUL</v>
      </c>
      <c r="BD468" s="148">
        <f>(INDEX('Avoided Cost Benefits'!$C$4:$C$857,MATCH(BC468,'Avoided Cost Benefits'!$A$4:$A$857,0)))*F468</f>
        <v>59.587554440722535</v>
      </c>
      <c r="BE468" s="73">
        <f t="shared" si="95"/>
        <v>28.315243039169417</v>
      </c>
    </row>
    <row r="469" spans="3:57" x14ac:dyDescent="0.25">
      <c r="C469" s="137" t="s">
        <v>2258</v>
      </c>
      <c r="D469" s="1658" t="s">
        <v>2147</v>
      </c>
      <c r="E469" s="388" t="str">
        <f>'Efficient Products Deemed Table'!E212</f>
        <v>Advanced Tier 2 Power Strips -  E</v>
      </c>
      <c r="F469" s="138">
        <f t="shared" si="91"/>
        <v>151.19999999999999</v>
      </c>
      <c r="G469" s="1260" t="str">
        <f>'Efficient Products Deemed Table'!G212</f>
        <v>Miscellaneous RES</v>
      </c>
      <c r="H469" s="202">
        <f>'Efficient Products Deemed Table'!H212</f>
        <v>1.148238E-4</v>
      </c>
      <c r="I469" s="1733">
        <f t="shared" si="89"/>
        <v>1.7361000000000001E-2</v>
      </c>
      <c r="J469" s="187">
        <f t="shared" si="92"/>
        <v>10</v>
      </c>
      <c r="K469" s="1316">
        <f t="shared" si="93"/>
        <v>30</v>
      </c>
      <c r="L469" s="1352" t="str">
        <f>'Efficient Products Deemed Table'!L212</f>
        <v>per measure</v>
      </c>
      <c r="V469" s="208" t="str">
        <f t="shared" si="96"/>
        <v>kWh Annual Savings</v>
      </c>
      <c r="W469" s="893">
        <f>'Efficient Products Deemed Table'!W212</f>
        <v>151.19999999999999</v>
      </c>
      <c r="X469" s="893">
        <f>'Efficient Products Deemed Table'!X212</f>
        <v>151.19999999999999</v>
      </c>
      <c r="Y469" s="638">
        <v>151.19999999999999</v>
      </c>
      <c r="Z469" s="638">
        <v>151.19999999999999</v>
      </c>
      <c r="AA469" s="638">
        <v>151.19999999999999</v>
      </c>
      <c r="AB469" s="2662">
        <v>151.19999999999999</v>
      </c>
      <c r="AC469" s="893"/>
      <c r="AD469" s="893"/>
      <c r="AE469" s="893"/>
      <c r="AF469" s="893"/>
      <c r="AG469" s="893"/>
      <c r="BB469" s="71">
        <f t="shared" si="90"/>
        <v>1.8413795729567446</v>
      </c>
      <c r="BC469" s="72" t="str">
        <f t="shared" si="94"/>
        <v>Miscellaneous RES 10 Year EUL</v>
      </c>
      <c r="BD469" s="148">
        <f>(INDEX('Avoided Cost Benefits'!$C$4:$C$857,MATCH(BC469,'Avoided Cost Benefits'!$A$4:$A$857,0)))*F469</f>
        <v>52.139110135632215</v>
      </c>
      <c r="BE469" s="73">
        <f t="shared" si="95"/>
        <v>28.315243039169417</v>
      </c>
    </row>
    <row r="470" spans="3:57" x14ac:dyDescent="0.25">
      <c r="C470" s="137" t="s">
        <v>2259</v>
      </c>
      <c r="D470" s="1658" t="s">
        <v>2147</v>
      </c>
      <c r="E470" s="388" t="str">
        <f>'Efficient Products Deemed Table'!E213</f>
        <v>Advanced Tier 2 Power Strips -  F</v>
      </c>
      <c r="F470" s="138">
        <f t="shared" si="91"/>
        <v>129.6</v>
      </c>
      <c r="G470" s="1260" t="str">
        <f>'Efficient Products Deemed Table'!G213</f>
        <v>Miscellaneous RES</v>
      </c>
      <c r="H470" s="202">
        <f>'Efficient Products Deemed Table'!H213</f>
        <v>1.148238E-4</v>
      </c>
      <c r="I470" s="1733">
        <f t="shared" si="89"/>
        <v>1.4881E-2</v>
      </c>
      <c r="J470" s="187">
        <f t="shared" si="92"/>
        <v>10</v>
      </c>
      <c r="K470" s="1316">
        <f t="shared" si="93"/>
        <v>30</v>
      </c>
      <c r="L470" s="1352" t="str">
        <f>'Efficient Products Deemed Table'!L213</f>
        <v>per measure</v>
      </c>
      <c r="V470" s="208" t="str">
        <f t="shared" si="96"/>
        <v>kWh Annual Savings</v>
      </c>
      <c r="W470" s="893">
        <f>'Efficient Products Deemed Table'!W213</f>
        <v>129.6</v>
      </c>
      <c r="X470" s="893">
        <f>'Efficient Products Deemed Table'!X213</f>
        <v>129.6</v>
      </c>
      <c r="Y470" s="638">
        <v>129.6</v>
      </c>
      <c r="Z470" s="638">
        <v>129.6</v>
      </c>
      <c r="AA470" s="638">
        <v>129.6</v>
      </c>
      <c r="AB470" s="2662">
        <v>129.6</v>
      </c>
      <c r="AC470" s="893"/>
      <c r="AD470" s="893"/>
      <c r="AE470" s="893"/>
      <c r="AF470" s="893"/>
      <c r="AG470" s="893"/>
      <c r="BB470" s="71">
        <f t="shared" si="90"/>
        <v>1.5783253482486381</v>
      </c>
      <c r="BC470" s="72" t="str">
        <f t="shared" si="94"/>
        <v>Miscellaneous RES 10 Year EUL</v>
      </c>
      <c r="BD470" s="148">
        <f>(INDEX('Avoided Cost Benefits'!$C$4:$C$857,MATCH(BC470,'Avoided Cost Benefits'!$A$4:$A$857,0)))*F470</f>
        <v>44.690665830541896</v>
      </c>
      <c r="BE470" s="73">
        <f t="shared" si="95"/>
        <v>28.315243039169417</v>
      </c>
    </row>
    <row r="471" spans="3:57" x14ac:dyDescent="0.25">
      <c r="C471" s="137" t="s">
        <v>2260</v>
      </c>
      <c r="D471" s="1658" t="s">
        <v>2147</v>
      </c>
      <c r="E471" s="388" t="str">
        <f>'Efficient Products Deemed Table'!E214</f>
        <v>Advanced Tier 2 Power Strips -  G</v>
      </c>
      <c r="F471" s="138">
        <f t="shared" si="91"/>
        <v>108</v>
      </c>
      <c r="G471" s="1260" t="str">
        <f>'Efficient Products Deemed Table'!G214</f>
        <v>Miscellaneous RES</v>
      </c>
      <c r="H471" s="202">
        <f>'Efficient Products Deemed Table'!H214</f>
        <v>1.148238E-4</v>
      </c>
      <c r="I471" s="1733">
        <f t="shared" si="89"/>
        <v>1.2401000000000001E-2</v>
      </c>
      <c r="J471" s="187">
        <f t="shared" si="92"/>
        <v>10</v>
      </c>
      <c r="K471" s="1316">
        <f t="shared" si="93"/>
        <v>30</v>
      </c>
      <c r="L471" s="1352" t="str">
        <f>'Efficient Products Deemed Table'!L214</f>
        <v>per measure</v>
      </c>
      <c r="V471" s="208" t="str">
        <f t="shared" si="96"/>
        <v>kWh Annual Savings</v>
      </c>
      <c r="W471" s="893">
        <f>'Efficient Products Deemed Table'!W214</f>
        <v>108</v>
      </c>
      <c r="X471" s="893">
        <f>'Efficient Products Deemed Table'!X214</f>
        <v>108</v>
      </c>
      <c r="Y471" s="638">
        <v>108</v>
      </c>
      <c r="Z471" s="638">
        <v>108</v>
      </c>
      <c r="AA471" s="638">
        <v>108</v>
      </c>
      <c r="AB471" s="2662">
        <v>108</v>
      </c>
      <c r="AC471" s="893"/>
      <c r="AD471" s="893"/>
      <c r="AE471" s="893"/>
      <c r="AF471" s="893"/>
      <c r="AG471" s="893"/>
      <c r="BB471" s="71">
        <f t="shared" si="90"/>
        <v>1.3152711235405319</v>
      </c>
      <c r="BC471" s="72" t="str">
        <f t="shared" si="94"/>
        <v>Miscellaneous RES 10 Year EUL</v>
      </c>
      <c r="BD471" s="148">
        <f>(INDEX('Avoided Cost Benefits'!$C$4:$C$857,MATCH(BC471,'Avoided Cost Benefits'!$A$4:$A$857,0)))*F471</f>
        <v>37.242221525451583</v>
      </c>
      <c r="BE471" s="73">
        <f t="shared" si="95"/>
        <v>28.315243039169417</v>
      </c>
    </row>
    <row r="472" spans="3:57" x14ac:dyDescent="0.25">
      <c r="C472" s="137" t="s">
        <v>2261</v>
      </c>
      <c r="D472" s="1658" t="s">
        <v>2147</v>
      </c>
      <c r="E472" s="388" t="str">
        <f>'Efficient Products Deemed Table'!E215</f>
        <v>Advanced Tier 2 Power Strips -  H</v>
      </c>
      <c r="F472" s="138">
        <f t="shared" si="91"/>
        <v>86.4</v>
      </c>
      <c r="G472" s="1260" t="str">
        <f>'Efficient Products Deemed Table'!G215</f>
        <v>Miscellaneous RES</v>
      </c>
      <c r="H472" s="202">
        <f>'Efficient Products Deemed Table'!H215</f>
        <v>1.148238E-4</v>
      </c>
      <c r="I472" s="1733">
        <f t="shared" si="89"/>
        <v>9.9209999999999993E-3</v>
      </c>
      <c r="J472" s="187">
        <f t="shared" si="92"/>
        <v>10</v>
      </c>
      <c r="K472" s="1316">
        <f t="shared" si="93"/>
        <v>30</v>
      </c>
      <c r="L472" s="1352" t="str">
        <f>'Efficient Products Deemed Table'!L215</f>
        <v>per measure</v>
      </c>
      <c r="V472" s="208" t="str">
        <f t="shared" si="96"/>
        <v>kWh Annual Savings</v>
      </c>
      <c r="W472" s="893">
        <f>'Efficient Products Deemed Table'!W215</f>
        <v>86.4</v>
      </c>
      <c r="X472" s="893">
        <f>'Efficient Products Deemed Table'!X215</f>
        <v>86.4</v>
      </c>
      <c r="Y472" s="638">
        <v>86.4</v>
      </c>
      <c r="Z472" s="638">
        <v>86.4</v>
      </c>
      <c r="AA472" s="638">
        <v>86.4</v>
      </c>
      <c r="AB472" s="2662">
        <v>86.4</v>
      </c>
      <c r="AC472" s="893"/>
      <c r="AD472" s="893"/>
      <c r="AE472" s="893"/>
      <c r="AF472" s="893"/>
      <c r="AG472" s="893"/>
      <c r="BB472" s="71">
        <f t="shared" si="90"/>
        <v>1.0522168988324256</v>
      </c>
      <c r="BC472" s="72" t="str">
        <f t="shared" si="94"/>
        <v>Miscellaneous RES 10 Year EUL</v>
      </c>
      <c r="BD472" s="148">
        <f>(INDEX('Avoided Cost Benefits'!$C$4:$C$857,MATCH(BC472,'Avoided Cost Benefits'!$A$4:$A$857,0)))*F472</f>
        <v>29.793777220361267</v>
      </c>
      <c r="BE472" s="73">
        <f t="shared" si="95"/>
        <v>28.315243039169417</v>
      </c>
    </row>
    <row r="473" spans="3:57" x14ac:dyDescent="0.25">
      <c r="C473" s="137" t="s">
        <v>2262</v>
      </c>
      <c r="D473" s="1658" t="s">
        <v>2147</v>
      </c>
      <c r="E473" s="388" t="str">
        <f>'Efficient Products Deemed Table'!E216</f>
        <v>Advanced Tier 2 Power Strips / TOS/NC / Average</v>
      </c>
      <c r="F473" s="138">
        <f>ROUND(G489*$G$480*G490,2)</f>
        <v>162</v>
      </c>
      <c r="G473" s="1260" t="str">
        <f>'Efficient Products Deemed Table'!G216</f>
        <v>Miscellaneous RES</v>
      </c>
      <c r="H473" s="202">
        <f>'Efficient Products Deemed Table'!H216</f>
        <v>1.148238E-4</v>
      </c>
      <c r="I473" s="1733">
        <f t="shared" si="89"/>
        <v>1.8600999999999999E-2</v>
      </c>
      <c r="J473" s="187">
        <f t="shared" si="92"/>
        <v>10</v>
      </c>
      <c r="K473" s="1316">
        <f t="shared" si="93"/>
        <v>30</v>
      </c>
      <c r="L473" s="1352" t="str">
        <f>'Efficient Products Deemed Table'!L216</f>
        <v>per measure</v>
      </c>
      <c r="V473" s="208" t="str">
        <f t="shared" si="96"/>
        <v>kWh Annual Savings</v>
      </c>
      <c r="W473" s="893">
        <f>'Efficient Products Deemed Table'!W216</f>
        <v>162</v>
      </c>
      <c r="X473" s="893">
        <f>'Efficient Products Deemed Table'!X216</f>
        <v>162</v>
      </c>
      <c r="Y473" s="638">
        <v>162</v>
      </c>
      <c r="Z473" s="638">
        <v>162</v>
      </c>
      <c r="AA473" s="638">
        <v>162</v>
      </c>
      <c r="AB473" s="2662">
        <v>162</v>
      </c>
      <c r="AC473" s="893"/>
      <c r="AD473" s="893"/>
      <c r="AE473" s="893"/>
      <c r="AF473" s="893"/>
      <c r="AG473" s="893"/>
      <c r="BB473" s="74">
        <f t="shared" si="90"/>
        <v>1.9729066853107977</v>
      </c>
      <c r="BC473" s="72" t="str">
        <f t="shared" si="94"/>
        <v>Miscellaneous RES 10 Year EUL</v>
      </c>
      <c r="BD473" s="153">
        <f>(INDEX('Avoided Cost Benefits'!$C$4:$C$857,MATCH(BC473,'Avoided Cost Benefits'!$A$4:$A$857,0)))*F473</f>
        <v>55.863332288177375</v>
      </c>
      <c r="BE473" s="75">
        <f t="shared" si="95"/>
        <v>28.315243039169417</v>
      </c>
    </row>
    <row r="474" spans="3:57" outlineLevel="1" x14ac:dyDescent="0.25">
      <c r="H474" s="157" t="s">
        <v>2263</v>
      </c>
      <c r="I474" s="198"/>
    </row>
    <row r="475" spans="3:57" outlineLevel="1" x14ac:dyDescent="0.25">
      <c r="D475" s="222" t="s">
        <v>571</v>
      </c>
    </row>
    <row r="476" spans="3:57" outlineLevel="1" x14ac:dyDescent="0.25"/>
    <row r="477" spans="3:57" outlineLevel="1" x14ac:dyDescent="0.25"/>
    <row r="478" spans="3:57" outlineLevel="1" x14ac:dyDescent="0.25">
      <c r="AI478" s="2277"/>
      <c r="AJ478" s="2277"/>
      <c r="AK478" s="2277"/>
      <c r="AL478" s="2277"/>
      <c r="AM478" s="2277"/>
      <c r="AN478" s="2277"/>
      <c r="AO478" s="2277"/>
      <c r="AP478" s="2277"/>
      <c r="AQ478" s="2277"/>
      <c r="AR478" s="2277"/>
      <c r="AS478" s="2277"/>
      <c r="AT478" s="2277"/>
    </row>
    <row r="479" spans="3:57" outlineLevel="1" x14ac:dyDescent="0.25">
      <c r="D479" s="3101" t="s">
        <v>572</v>
      </c>
      <c r="E479" s="3101" t="s">
        <v>573</v>
      </c>
      <c r="F479" s="3101" t="s">
        <v>623</v>
      </c>
      <c r="G479" s="2745" t="s">
        <v>574</v>
      </c>
      <c r="H479" s="2745" t="s">
        <v>624</v>
      </c>
      <c r="V479" s="55" t="s">
        <v>27</v>
      </c>
      <c r="W479" s="56">
        <v>43252</v>
      </c>
      <c r="X479" s="56">
        <f>$X$6</f>
        <v>43465</v>
      </c>
      <c r="Y479" s="56">
        <f>$Y$6</f>
        <v>43800</v>
      </c>
      <c r="Z479" s="56">
        <f>$Z$6</f>
        <v>43862</v>
      </c>
      <c r="AA479" s="56">
        <f>$AA$6</f>
        <v>44013</v>
      </c>
      <c r="AB479" s="56">
        <f>$AB$6</f>
        <v>44166</v>
      </c>
      <c r="AC479" s="56" t="str">
        <f>$AC$6</f>
        <v>-</v>
      </c>
      <c r="AD479" s="56" t="str">
        <f>$AD$6</f>
        <v>-</v>
      </c>
      <c r="AE479" s="56" t="str">
        <f>$AE$6</f>
        <v>-</v>
      </c>
      <c r="AF479" s="56" t="str">
        <f>$AF$6</f>
        <v>-</v>
      </c>
      <c r="AG479" s="56" t="str">
        <f>$AG$6</f>
        <v>-</v>
      </c>
      <c r="AH479" s="128"/>
      <c r="AI479" s="2277"/>
      <c r="AJ479" s="2277"/>
      <c r="AK479" s="2277"/>
      <c r="AL479" s="2277"/>
      <c r="AM479" s="2277"/>
      <c r="AN479" s="2277"/>
      <c r="AO479" s="2277"/>
      <c r="AP479" s="2277"/>
      <c r="AQ479" s="2277"/>
      <c r="AR479" s="2277"/>
      <c r="AS479" s="2277"/>
      <c r="AT479" s="2277"/>
    </row>
    <row r="480" spans="3:57" outlineLevel="1" x14ac:dyDescent="0.25">
      <c r="D480" s="3015" t="s">
        <v>3559</v>
      </c>
      <c r="E480" s="3019" t="s">
        <v>3560</v>
      </c>
      <c r="F480" s="3008" t="s">
        <v>591</v>
      </c>
      <c r="G480" s="1291">
        <v>432</v>
      </c>
      <c r="H480" s="2756"/>
      <c r="V480" s="3015" t="s">
        <v>3559</v>
      </c>
      <c r="W480" s="1291">
        <v>432</v>
      </c>
      <c r="X480" s="1291">
        <v>432</v>
      </c>
      <c r="Y480" s="1291">
        <v>432</v>
      </c>
      <c r="Z480" s="1291">
        <v>432</v>
      </c>
      <c r="AA480" s="1291">
        <v>432</v>
      </c>
      <c r="AB480" s="1291">
        <v>432</v>
      </c>
      <c r="AC480" s="2870"/>
      <c r="AD480" s="2870"/>
      <c r="AE480" s="2870"/>
      <c r="AF480" s="2870"/>
      <c r="AG480" s="2870"/>
      <c r="AH480" s="128"/>
      <c r="AI480" s="2277"/>
      <c r="AJ480" s="2277"/>
      <c r="AK480" s="2277"/>
      <c r="AL480" s="2277"/>
      <c r="AM480" s="2277"/>
      <c r="AN480" s="2277"/>
      <c r="AO480" s="2277"/>
      <c r="AP480" s="2277"/>
      <c r="AQ480" s="2277"/>
      <c r="AR480" s="2277"/>
      <c r="AS480" s="2277"/>
      <c r="AT480" s="2277"/>
    </row>
    <row r="481" spans="1:54" outlineLevel="1" x14ac:dyDescent="0.25">
      <c r="A481" s="198"/>
      <c r="B481" s="198"/>
      <c r="C481" s="196"/>
      <c r="D481" s="4073" t="s">
        <v>803</v>
      </c>
      <c r="E481" s="4073" t="s">
        <v>3561</v>
      </c>
      <c r="F481" s="402" t="s">
        <v>3562</v>
      </c>
      <c r="G481" s="2866">
        <v>0.55000000000000004</v>
      </c>
      <c r="H481" s="402" t="s">
        <v>3563</v>
      </c>
      <c r="I481" s="198"/>
      <c r="J481" s="198"/>
      <c r="K481" s="198"/>
      <c r="L481" s="198"/>
      <c r="V481" s="4073" t="s">
        <v>803</v>
      </c>
      <c r="W481" s="2866">
        <v>0.55000000000000004</v>
      </c>
      <c r="X481" s="2866">
        <v>0.55000000000000004</v>
      </c>
      <c r="Y481" s="2866">
        <v>0.55000000000000004</v>
      </c>
      <c r="Z481" s="2866">
        <v>0.55000000000000004</v>
      </c>
      <c r="AA481" s="2866">
        <v>0.55000000000000004</v>
      </c>
      <c r="AB481" s="2866">
        <v>0.55000000000000004</v>
      </c>
      <c r="AC481" s="399"/>
      <c r="AD481" s="399"/>
      <c r="AE481" s="399"/>
      <c r="AF481" s="399"/>
      <c r="AG481" s="399"/>
      <c r="AH481" s="128"/>
      <c r="AI481" s="2277"/>
      <c r="AJ481" s="2277"/>
      <c r="AK481" s="2277"/>
      <c r="AL481" s="2277"/>
      <c r="AM481" s="2277"/>
      <c r="AN481" s="2277"/>
      <c r="AO481" s="2277"/>
      <c r="AP481" s="2277"/>
      <c r="AQ481" s="2277"/>
      <c r="AR481" s="2277"/>
      <c r="AS481" s="2277"/>
      <c r="AT481" s="2277"/>
    </row>
    <row r="482" spans="1:54" outlineLevel="1" x14ac:dyDescent="0.25">
      <c r="A482" s="198"/>
      <c r="B482" s="198"/>
      <c r="C482" s="196"/>
      <c r="D482" s="4073"/>
      <c r="E482" s="4073"/>
      <c r="F482" s="402" t="s">
        <v>3564</v>
      </c>
      <c r="G482" s="2866">
        <v>0.5</v>
      </c>
      <c r="H482" s="402" t="s">
        <v>3563</v>
      </c>
      <c r="I482" s="198"/>
      <c r="J482" s="198"/>
      <c r="K482" s="198"/>
      <c r="L482" s="198"/>
      <c r="V482" s="4073"/>
      <c r="W482" s="2866">
        <v>0.5</v>
      </c>
      <c r="X482" s="2866">
        <v>0.5</v>
      </c>
      <c r="Y482" s="2866">
        <v>0.5</v>
      </c>
      <c r="Z482" s="2866">
        <v>0.5</v>
      </c>
      <c r="AA482" s="2866">
        <v>0.5</v>
      </c>
      <c r="AB482" s="2866">
        <v>0.5</v>
      </c>
      <c r="AC482" s="399"/>
      <c r="AD482" s="399"/>
      <c r="AE482" s="399"/>
      <c r="AF482" s="399"/>
      <c r="AG482" s="399"/>
      <c r="AH482" s="128"/>
      <c r="AI482" s="2277"/>
      <c r="AJ482" s="2277"/>
      <c r="AK482" s="2277"/>
      <c r="AL482" s="2277"/>
      <c r="AM482" s="2277"/>
      <c r="AN482" s="2277"/>
      <c r="AO482" s="2277"/>
      <c r="AP482" s="2277"/>
      <c r="AQ482" s="2277"/>
      <c r="AR482" s="2277"/>
      <c r="AS482" s="2277"/>
      <c r="AT482" s="2277"/>
    </row>
    <row r="483" spans="1:54" outlineLevel="1" x14ac:dyDescent="0.25">
      <c r="A483" s="198"/>
      <c r="B483" s="198"/>
      <c r="C483" s="196"/>
      <c r="D483" s="4073"/>
      <c r="E483" s="4073"/>
      <c r="F483" s="402" t="s">
        <v>3566</v>
      </c>
      <c r="G483" s="2866">
        <v>0.45</v>
      </c>
      <c r="H483" s="402" t="s">
        <v>3563</v>
      </c>
      <c r="I483" s="198"/>
      <c r="J483" s="198"/>
      <c r="K483" s="198"/>
      <c r="L483" s="198"/>
      <c r="V483" s="4073"/>
      <c r="W483" s="2866">
        <v>0.45</v>
      </c>
      <c r="X483" s="2866">
        <v>0.45</v>
      </c>
      <c r="Y483" s="2866">
        <v>0.45</v>
      </c>
      <c r="Z483" s="2866">
        <v>0.45</v>
      </c>
      <c r="AA483" s="2866">
        <v>0.45</v>
      </c>
      <c r="AB483" s="2866">
        <v>0.45</v>
      </c>
      <c r="AC483" s="399"/>
      <c r="AD483" s="399"/>
      <c r="AE483" s="399"/>
      <c r="AF483" s="399"/>
      <c r="AG483" s="399"/>
      <c r="AH483" s="128"/>
      <c r="AI483" s="2277"/>
      <c r="AJ483" s="2277"/>
      <c r="AK483" s="2277"/>
      <c r="AL483" s="2277"/>
      <c r="AM483" s="2277"/>
      <c r="AN483" s="2277"/>
      <c r="AO483" s="2277"/>
      <c r="AP483" s="2277"/>
      <c r="AQ483" s="2277"/>
      <c r="AR483" s="2277"/>
      <c r="AS483" s="2277"/>
      <c r="AT483" s="2277"/>
    </row>
    <row r="484" spans="1:54" outlineLevel="1" x14ac:dyDescent="0.25">
      <c r="A484" s="198"/>
      <c r="B484" s="198"/>
      <c r="C484" s="196"/>
      <c r="D484" s="4073"/>
      <c r="E484" s="4073"/>
      <c r="F484" s="402" t="s">
        <v>3567</v>
      </c>
      <c r="G484" s="2866">
        <v>0.4</v>
      </c>
      <c r="H484" s="402" t="s">
        <v>3563</v>
      </c>
      <c r="I484" s="198"/>
      <c r="J484" s="198"/>
      <c r="K484" s="198"/>
      <c r="L484" s="198"/>
      <c r="V484" s="4073"/>
      <c r="W484" s="2866">
        <v>0.4</v>
      </c>
      <c r="X484" s="2866">
        <v>0.4</v>
      </c>
      <c r="Y484" s="2866">
        <v>0.4</v>
      </c>
      <c r="Z484" s="2866">
        <v>0.4</v>
      </c>
      <c r="AA484" s="2866">
        <v>0.4</v>
      </c>
      <c r="AB484" s="2866">
        <v>0.4</v>
      </c>
      <c r="AC484" s="399"/>
      <c r="AD484" s="399"/>
      <c r="AE484" s="399"/>
      <c r="AF484" s="399"/>
      <c r="AG484" s="399"/>
      <c r="AH484" s="128"/>
      <c r="AI484" s="2277"/>
      <c r="AJ484" s="2277"/>
      <c r="AK484" s="2277"/>
      <c r="AL484" s="2277"/>
      <c r="AM484" s="2277"/>
      <c r="AN484" s="2277"/>
      <c r="AO484" s="2277"/>
      <c r="AP484" s="2277"/>
      <c r="AQ484" s="2277"/>
      <c r="AR484" s="2277"/>
      <c r="AS484" s="2277"/>
      <c r="AT484" s="2277"/>
    </row>
    <row r="485" spans="1:54" outlineLevel="1" x14ac:dyDescent="0.25">
      <c r="A485" s="198"/>
      <c r="B485" s="198"/>
      <c r="C485" s="196"/>
      <c r="D485" s="4073"/>
      <c r="E485" s="4073"/>
      <c r="F485" s="402" t="s">
        <v>3568</v>
      </c>
      <c r="G485" s="2866">
        <v>0.35</v>
      </c>
      <c r="H485" s="402" t="s">
        <v>3563</v>
      </c>
      <c r="I485" s="198"/>
      <c r="J485" s="198"/>
      <c r="K485" s="198"/>
      <c r="L485" s="198"/>
      <c r="V485" s="4073"/>
      <c r="W485" s="2866">
        <v>0.35</v>
      </c>
      <c r="X485" s="2866">
        <v>0.35</v>
      </c>
      <c r="Y485" s="2866">
        <v>0.35</v>
      </c>
      <c r="Z485" s="2866">
        <v>0.35</v>
      </c>
      <c r="AA485" s="2866">
        <v>0.35</v>
      </c>
      <c r="AB485" s="2866">
        <v>0.35</v>
      </c>
      <c r="AC485" s="399"/>
      <c r="AD485" s="399"/>
      <c r="AE485" s="399"/>
      <c r="AF485" s="399"/>
      <c r="AG485" s="399"/>
      <c r="AH485" s="128"/>
      <c r="AI485" s="2277"/>
      <c r="AJ485" s="2277"/>
      <c r="AK485" s="2277"/>
      <c r="AL485" s="2277"/>
      <c r="AM485" s="2277"/>
      <c r="AN485" s="2277"/>
      <c r="AO485" s="2277"/>
      <c r="AP485" s="2277"/>
      <c r="AQ485" s="2277"/>
      <c r="AR485" s="2277"/>
      <c r="AS485" s="2277"/>
      <c r="AT485" s="2277"/>
    </row>
    <row r="486" spans="1:54" outlineLevel="1" x14ac:dyDescent="0.25">
      <c r="A486" s="198"/>
      <c r="B486" s="198"/>
      <c r="C486" s="196"/>
      <c r="D486" s="4073"/>
      <c r="E486" s="4073"/>
      <c r="F486" s="402" t="s">
        <v>3569</v>
      </c>
      <c r="G486" s="2866">
        <v>0.3</v>
      </c>
      <c r="H486" s="402" t="s">
        <v>3563</v>
      </c>
      <c r="I486" s="198"/>
      <c r="J486" s="198"/>
      <c r="K486" s="198"/>
      <c r="L486" s="198"/>
      <c r="V486" s="4073"/>
      <c r="W486" s="2866">
        <v>0.3</v>
      </c>
      <c r="X486" s="2866">
        <v>0.3</v>
      </c>
      <c r="Y486" s="2866">
        <v>0.3</v>
      </c>
      <c r="Z486" s="2866">
        <v>0.3</v>
      </c>
      <c r="AA486" s="2866">
        <v>0.3</v>
      </c>
      <c r="AB486" s="2866">
        <v>0.3</v>
      </c>
      <c r="AC486" s="399"/>
      <c r="AD486" s="399"/>
      <c r="AE486" s="399"/>
      <c r="AF486" s="399"/>
      <c r="AG486" s="399"/>
      <c r="AH486" s="128"/>
      <c r="AI486" s="2277"/>
      <c r="AJ486" s="2277"/>
      <c r="AK486" s="2277"/>
      <c r="AL486" s="2277"/>
      <c r="AM486" s="2277"/>
      <c r="AN486" s="2277"/>
      <c r="AO486" s="2277"/>
      <c r="AP486" s="2277"/>
      <c r="AQ486" s="2277"/>
      <c r="AR486" s="2277"/>
      <c r="AS486" s="2277"/>
      <c r="AT486" s="2277"/>
    </row>
    <row r="487" spans="1:54" s="2277" customFormat="1" outlineLevel="1" x14ac:dyDescent="0.25">
      <c r="A487" s="198"/>
      <c r="B487" s="198"/>
      <c r="C487" s="196"/>
      <c r="D487" s="4073"/>
      <c r="E487" s="4073"/>
      <c r="F487" s="402" t="s">
        <v>3570</v>
      </c>
      <c r="G487" s="2866">
        <v>0.25</v>
      </c>
      <c r="H487" s="402" t="s">
        <v>3563</v>
      </c>
      <c r="I487" s="198"/>
      <c r="J487" s="198"/>
      <c r="K487" s="198"/>
      <c r="L487" s="198"/>
      <c r="M487" s="157"/>
      <c r="N487" s="157"/>
      <c r="O487" s="157"/>
      <c r="P487" s="157"/>
      <c r="Q487" s="157"/>
      <c r="R487" s="157"/>
      <c r="S487" s="157"/>
      <c r="T487" s="157"/>
      <c r="U487" s="157"/>
      <c r="V487" s="4073"/>
      <c r="W487" s="2866">
        <v>0.25</v>
      </c>
      <c r="X487" s="2866">
        <v>0.25</v>
      </c>
      <c r="Y487" s="2866">
        <v>0.25</v>
      </c>
      <c r="Z487" s="2866">
        <v>0.25</v>
      </c>
      <c r="AA487" s="2866">
        <v>0.25</v>
      </c>
      <c r="AB487" s="2866">
        <v>0.25</v>
      </c>
      <c r="AC487" s="399"/>
      <c r="AD487" s="399"/>
      <c r="AE487" s="399"/>
      <c r="AF487" s="399"/>
      <c r="AG487" s="399"/>
      <c r="AH487" s="128"/>
      <c r="BB487" s="1055"/>
    </row>
    <row r="488" spans="1:54" s="2277" customFormat="1" outlineLevel="1" x14ac:dyDescent="0.25">
      <c r="A488" s="198"/>
      <c r="B488" s="198"/>
      <c r="C488" s="196"/>
      <c r="D488" s="4073"/>
      <c r="E488" s="4073"/>
      <c r="F488" s="402" t="s">
        <v>3571</v>
      </c>
      <c r="G488" s="2866">
        <v>0.2</v>
      </c>
      <c r="H488" s="402" t="s">
        <v>3563</v>
      </c>
      <c r="I488" s="198"/>
      <c r="J488" s="198"/>
      <c r="K488" s="198"/>
      <c r="L488" s="198"/>
      <c r="M488" s="157"/>
      <c r="N488" s="157"/>
      <c r="O488" s="157"/>
      <c r="P488" s="157"/>
      <c r="Q488" s="157"/>
      <c r="R488" s="157"/>
      <c r="S488" s="157"/>
      <c r="T488" s="157"/>
      <c r="U488" s="157"/>
      <c r="V488" s="4073"/>
      <c r="W488" s="2866">
        <v>0.2</v>
      </c>
      <c r="X488" s="2866">
        <v>0.2</v>
      </c>
      <c r="Y488" s="2866">
        <v>0.2</v>
      </c>
      <c r="Z488" s="2866">
        <v>0.2</v>
      </c>
      <c r="AA488" s="2866">
        <v>0.2</v>
      </c>
      <c r="AB488" s="2866">
        <v>0.2</v>
      </c>
      <c r="AC488" s="399"/>
      <c r="AD488" s="399"/>
      <c r="AE488" s="399"/>
      <c r="AF488" s="399"/>
      <c r="AG488" s="399"/>
      <c r="AH488" s="128"/>
      <c r="BB488" s="1055"/>
    </row>
    <row r="489" spans="1:54" s="2277" customFormat="1" outlineLevel="1" x14ac:dyDescent="0.25">
      <c r="A489" s="198"/>
      <c r="B489" s="198"/>
      <c r="C489" s="196"/>
      <c r="D489" s="4073"/>
      <c r="E489" s="4073"/>
      <c r="F489" s="402" t="s">
        <v>1180</v>
      </c>
      <c r="G489" s="2867">
        <f>AVERAGE(G482,G487)</f>
        <v>0.375</v>
      </c>
      <c r="H489" s="2868" t="s">
        <v>3572</v>
      </c>
      <c r="I489" s="198"/>
      <c r="J489" s="198"/>
      <c r="K489" s="198"/>
      <c r="L489" s="198"/>
      <c r="M489" s="157"/>
      <c r="N489" s="157"/>
      <c r="O489" s="157"/>
      <c r="P489" s="157"/>
      <c r="Q489" s="157"/>
      <c r="R489" s="157"/>
      <c r="S489" s="157"/>
      <c r="T489" s="157"/>
      <c r="U489" s="157"/>
      <c r="V489" s="4073"/>
      <c r="W489" s="2867">
        <f t="shared" ref="W489:AB489" si="97">AVERAGE(W482,W487)</f>
        <v>0.375</v>
      </c>
      <c r="X489" s="2867">
        <f t="shared" si="97"/>
        <v>0.375</v>
      </c>
      <c r="Y489" s="2867">
        <f t="shared" si="97"/>
        <v>0.375</v>
      </c>
      <c r="Z489" s="2867">
        <f t="shared" si="97"/>
        <v>0.375</v>
      </c>
      <c r="AA489" s="2867">
        <f t="shared" si="97"/>
        <v>0.375</v>
      </c>
      <c r="AB489" s="2867">
        <f t="shared" si="97"/>
        <v>0.375</v>
      </c>
      <c r="AC489" s="399"/>
      <c r="AD489" s="399"/>
      <c r="AE489" s="399"/>
      <c r="AF489" s="399"/>
      <c r="AG489" s="399"/>
      <c r="AH489" s="128"/>
      <c r="BB489" s="1055"/>
    </row>
    <row r="490" spans="1:54" s="2277" customFormat="1" outlineLevel="1" x14ac:dyDescent="0.25">
      <c r="A490" s="198"/>
      <c r="B490" s="198"/>
      <c r="C490" s="196"/>
      <c r="D490" s="3307" t="s">
        <v>75</v>
      </c>
      <c r="E490" s="3307" t="s">
        <v>3573</v>
      </c>
      <c r="F490" s="402" t="s">
        <v>591</v>
      </c>
      <c r="G490" s="380">
        <v>1</v>
      </c>
      <c r="H490" s="2868"/>
      <c r="I490" s="198"/>
      <c r="J490" s="198"/>
      <c r="K490" s="198"/>
      <c r="L490" s="198"/>
      <c r="M490" s="157"/>
      <c r="N490" s="157"/>
      <c r="O490" s="157"/>
      <c r="P490" s="157"/>
      <c r="Q490" s="157"/>
      <c r="R490" s="157"/>
      <c r="S490" s="157"/>
      <c r="T490" s="157"/>
      <c r="U490" s="157"/>
      <c r="V490" s="3307" t="s">
        <v>75</v>
      </c>
      <c r="W490" s="380">
        <v>1</v>
      </c>
      <c r="X490" s="380">
        <v>1</v>
      </c>
      <c r="Y490" s="380">
        <v>1</v>
      </c>
      <c r="Z490" s="380">
        <v>1</v>
      </c>
      <c r="AA490" s="380">
        <v>1</v>
      </c>
      <c r="AB490" s="380">
        <v>1</v>
      </c>
      <c r="AC490" s="399"/>
      <c r="AD490" s="399"/>
      <c r="AE490" s="399"/>
      <c r="AF490" s="399"/>
      <c r="AG490" s="399"/>
      <c r="AH490" s="128"/>
      <c r="BB490" s="1055"/>
    </row>
    <row r="491" spans="1:54" outlineLevel="1" x14ac:dyDescent="0.25">
      <c r="A491" s="198"/>
      <c r="B491" s="198"/>
      <c r="C491" s="196"/>
      <c r="D491" s="3308" t="s">
        <v>24</v>
      </c>
      <c r="E491" s="3308" t="s">
        <v>611</v>
      </c>
      <c r="F491" s="402" t="s">
        <v>591</v>
      </c>
      <c r="G491" s="1594">
        <v>10</v>
      </c>
      <c r="H491" s="2868"/>
      <c r="I491" s="198"/>
      <c r="J491" s="198"/>
      <c r="K491" s="198"/>
      <c r="L491" s="198"/>
      <c r="V491" s="3308" t="s">
        <v>24</v>
      </c>
      <c r="W491" s="1594">
        <v>10</v>
      </c>
      <c r="X491" s="1594">
        <v>10</v>
      </c>
      <c r="Y491" s="1594">
        <v>10</v>
      </c>
      <c r="Z491" s="1594">
        <v>10</v>
      </c>
      <c r="AA491" s="1594">
        <v>10</v>
      </c>
      <c r="AB491" s="1594">
        <v>10</v>
      </c>
      <c r="AC491" s="400"/>
      <c r="AD491" s="400"/>
      <c r="AE491" s="400"/>
      <c r="AF491" s="400"/>
      <c r="AG491" s="400"/>
      <c r="AH491" s="128"/>
      <c r="AI491" s="401"/>
      <c r="AJ491" s="401"/>
      <c r="AK491" s="377"/>
      <c r="AL491" s="377"/>
      <c r="AM491" s="377"/>
      <c r="AN491" s="377"/>
      <c r="AO491" s="377"/>
      <c r="AP491" s="377"/>
      <c r="AQ491" s="377"/>
      <c r="AR491" s="377"/>
      <c r="AS491" s="377"/>
    </row>
    <row r="492" spans="1:54" outlineLevel="1" x14ac:dyDescent="0.25">
      <c r="A492" s="198"/>
      <c r="B492" s="198"/>
      <c r="C492" s="196"/>
      <c r="D492" s="3309" t="s">
        <v>25</v>
      </c>
      <c r="E492" s="3310" t="s">
        <v>613</v>
      </c>
      <c r="F492" s="402" t="s">
        <v>591</v>
      </c>
      <c r="G492" s="2825">
        <v>30</v>
      </c>
      <c r="H492" s="2869" t="s">
        <v>3800</v>
      </c>
      <c r="I492" s="198"/>
      <c r="J492" s="198"/>
      <c r="K492" s="198"/>
      <c r="L492" s="198"/>
      <c r="V492" s="3309" t="s">
        <v>25</v>
      </c>
      <c r="W492" s="2825">
        <v>30</v>
      </c>
      <c r="X492" s="2825">
        <v>30</v>
      </c>
      <c r="Y492" s="2825">
        <v>30</v>
      </c>
      <c r="Z492" s="2825">
        <v>30</v>
      </c>
      <c r="AA492" s="2825">
        <v>30</v>
      </c>
      <c r="AB492" s="2825">
        <v>30</v>
      </c>
      <c r="AC492" s="403"/>
      <c r="AD492" s="403"/>
      <c r="AE492" s="403"/>
      <c r="AF492" s="403"/>
      <c r="AG492" s="403"/>
      <c r="AH492" s="128"/>
      <c r="AI492" s="401"/>
      <c r="AJ492" s="401"/>
      <c r="AK492" s="377"/>
      <c r="AL492" s="377"/>
      <c r="AM492" s="377"/>
      <c r="AN492" s="377"/>
      <c r="AO492" s="377"/>
      <c r="AP492" s="377"/>
      <c r="AQ492" s="377"/>
      <c r="AR492" s="377"/>
      <c r="AS492" s="377"/>
    </row>
    <row r="493" spans="1:54" x14ac:dyDescent="0.25">
      <c r="A493" s="272"/>
      <c r="B493" s="272"/>
      <c r="C493" s="229"/>
      <c r="D493" s="271"/>
      <c r="E493" s="271"/>
      <c r="F493" s="272"/>
      <c r="G493" s="272"/>
      <c r="H493" s="272"/>
      <c r="I493" s="272"/>
      <c r="J493" s="272"/>
      <c r="K493" s="272"/>
      <c r="L493" s="272"/>
    </row>
    <row r="494" spans="1:54" x14ac:dyDescent="0.25">
      <c r="A494" s="272"/>
      <c r="B494" s="272"/>
      <c r="C494" s="229"/>
      <c r="D494" s="271"/>
      <c r="E494" s="271"/>
      <c r="F494" s="272"/>
      <c r="G494" s="272"/>
      <c r="H494" s="272"/>
      <c r="I494" s="272"/>
      <c r="J494" s="272"/>
      <c r="K494" s="272"/>
      <c r="L494" s="272"/>
    </row>
    <row r="495" spans="1:54" s="194" customFormat="1" x14ac:dyDescent="0.25">
      <c r="B495" s="3350" t="s">
        <v>2264</v>
      </c>
      <c r="C495" s="3351"/>
      <c r="D495" s="3351"/>
      <c r="E495" s="3351"/>
      <c r="F495" s="3351"/>
      <c r="G495" s="3351"/>
      <c r="H495" s="3351"/>
      <c r="I495" s="3352"/>
      <c r="J495" s="3352"/>
      <c r="K495" s="3352"/>
      <c r="L495" s="3352"/>
      <c r="M495" s="3352"/>
      <c r="N495" s="3352"/>
      <c r="O495" s="3352"/>
      <c r="P495" s="3352"/>
      <c r="Q495" s="3353"/>
      <c r="V495" s="3350" t="str">
        <f>B495</f>
        <v>High Efficienty Pool Pump</v>
      </c>
      <c r="W495" s="3351"/>
      <c r="X495" s="3351"/>
      <c r="Y495" s="3351"/>
      <c r="Z495" s="3351"/>
      <c r="AA495" s="3351"/>
      <c r="AB495" s="3351"/>
      <c r="AC495" s="3351"/>
      <c r="AD495" s="3351"/>
      <c r="AE495" s="3351"/>
      <c r="AF495" s="3351"/>
      <c r="AG495" s="3351"/>
      <c r="AH495" s="3351"/>
      <c r="AI495" s="3593"/>
      <c r="AJ495"/>
      <c r="BB495" s="937"/>
    </row>
    <row r="496" spans="1:54" ht="23.25" customHeight="1" x14ac:dyDescent="0.25">
      <c r="B496" s="1978"/>
      <c r="C496" s="1979"/>
      <c r="D496" s="1315"/>
      <c r="E496" s="1315"/>
      <c r="F496" s="1978"/>
      <c r="G496" s="1978"/>
      <c r="H496" s="1978"/>
      <c r="I496" s="1978"/>
      <c r="J496" s="1978"/>
      <c r="K496" s="1978"/>
      <c r="L496" s="1978"/>
    </row>
    <row r="497" spans="2:57" ht="30" x14ac:dyDescent="0.25">
      <c r="B497" s="1978"/>
      <c r="C497" s="2765" t="s">
        <v>17</v>
      </c>
      <c r="D497" s="1409" t="s">
        <v>616</v>
      </c>
      <c r="E497" s="1409" t="s">
        <v>19</v>
      </c>
      <c r="F497" s="1409" t="s">
        <v>20</v>
      </c>
      <c r="G497" s="1409" t="s">
        <v>21</v>
      </c>
      <c r="H497" s="1409" t="s">
        <v>22</v>
      </c>
      <c r="I497" s="1409" t="s">
        <v>2265</v>
      </c>
      <c r="J497" s="1409" t="s">
        <v>2266</v>
      </c>
      <c r="K497" s="1409" t="s">
        <v>2267</v>
      </c>
      <c r="L497" s="1409" t="s">
        <v>23</v>
      </c>
      <c r="M497" s="1409" t="s">
        <v>24</v>
      </c>
      <c r="N497" s="1409" t="s">
        <v>25</v>
      </c>
      <c r="O497" s="1409" t="s">
        <v>26</v>
      </c>
      <c r="V497" s="55" t="s">
        <v>27</v>
      </c>
      <c r="W497" s="56">
        <f>W$6</f>
        <v>43252</v>
      </c>
      <c r="X497" s="56">
        <f t="shared" ref="X497:AG497" si="98">X$6</f>
        <v>43465</v>
      </c>
      <c r="Y497" s="56">
        <f t="shared" si="98"/>
        <v>43800</v>
      </c>
      <c r="Z497" s="56">
        <f t="shared" si="98"/>
        <v>43862</v>
      </c>
      <c r="AA497" s="56">
        <f t="shared" si="98"/>
        <v>44013</v>
      </c>
      <c r="AB497" s="56">
        <f t="shared" si="98"/>
        <v>44166</v>
      </c>
      <c r="AC497" s="56" t="str">
        <f t="shared" si="98"/>
        <v>-</v>
      </c>
      <c r="AD497" s="56" t="str">
        <f t="shared" si="98"/>
        <v>-</v>
      </c>
      <c r="AE497" s="56" t="str">
        <f t="shared" si="98"/>
        <v>-</v>
      </c>
      <c r="AF497" s="56" t="str">
        <f t="shared" si="98"/>
        <v>-</v>
      </c>
      <c r="AG497" s="56" t="str">
        <f t="shared" si="98"/>
        <v>-</v>
      </c>
      <c r="BB497" s="57" t="str">
        <f>$BB$6</f>
        <v>TRC (2020)</v>
      </c>
      <c r="BC497" s="93" t="str">
        <f>$BC$6</f>
        <v>Benefit Lookup</v>
      </c>
      <c r="BD497" s="741" t="str">
        <f>$BD$6</f>
        <v>Benefits (2019 $)</v>
      </c>
      <c r="BE497" s="279" t="str">
        <f>$BE$6</f>
        <v>Incremental Cost (2019 $)</v>
      </c>
    </row>
    <row r="498" spans="2:57" x14ac:dyDescent="0.25">
      <c r="B498" s="1978"/>
      <c r="C498" s="86" t="s">
        <v>2268</v>
      </c>
      <c r="D498" s="1658" t="s">
        <v>2147</v>
      </c>
      <c r="E498" s="1424" t="s">
        <v>2269</v>
      </c>
      <c r="F498" s="601">
        <f>ROUND(F515*(I498-(J498+K498)),2)</f>
        <v>2052.85</v>
      </c>
      <c r="G498" s="1454" t="s">
        <v>754</v>
      </c>
      <c r="H498" s="202">
        <f>VLOOKUP(G498,'CP FACTORS'!$A$3:$B$38, 2, FALSE)</f>
        <v>2.3544589999999999E-4</v>
      </c>
      <c r="I498" s="2004">
        <f>(F516*F517*F522)/(F523*F526)</f>
        <v>20.976000000000003</v>
      </c>
      <c r="J498" s="85">
        <f>(F518*F519*F522)/(F524*F526)</f>
        <v>1.5789473684210527</v>
      </c>
      <c r="K498" s="85">
        <f>(F520*F521*F522)/(F525*F526)</f>
        <v>2.515068493150685</v>
      </c>
      <c r="L498" s="139">
        <f>ROUND(F498*H498,6)</f>
        <v>0.48333500000000001</v>
      </c>
      <c r="M498" s="141">
        <f>F527</f>
        <v>10</v>
      </c>
      <c r="N498" s="1316">
        <f>F528</f>
        <v>549</v>
      </c>
      <c r="O498" s="1331" t="s">
        <v>37</v>
      </c>
      <c r="V498" s="208" t="str">
        <f>F497</f>
        <v>kWh Annual Savings</v>
      </c>
      <c r="W498" s="723">
        <v>2052.8492712328771</v>
      </c>
      <c r="X498" s="1365">
        <v>2052.8492712328771</v>
      </c>
      <c r="Y498" s="1317">
        <v>2052.85</v>
      </c>
      <c r="Z498" s="1317">
        <v>2052.85</v>
      </c>
      <c r="AA498" s="1317">
        <v>2052.85</v>
      </c>
      <c r="AB498" s="1317">
        <v>2052.85</v>
      </c>
      <c r="AC498" s="208"/>
      <c r="AD498" s="208"/>
      <c r="AE498" s="208"/>
      <c r="AF498" s="208"/>
      <c r="AG498" s="208"/>
      <c r="BB498" s="107">
        <f>(BD498)/(BE498)</f>
        <v>1.6535777334024884</v>
      </c>
      <c r="BC498" s="68" t="str">
        <f>CONCATENATE(G498," ",M498," Year EUL")</f>
        <v>Pool Spa RES 10 Year EUL</v>
      </c>
      <c r="BD498" s="214">
        <f>(INDEX('Avoided Cost Benefits'!$C$4:$C$857,MATCH(BC498,'Avoided Cost Benefits'!$A$4:$A$857,0)))*F498</f>
        <v>856.8326339197414</v>
      </c>
      <c r="BE498" s="109">
        <f>N498/(1.0595^(2020-2019))</f>
        <v>518.16894761680032</v>
      </c>
    </row>
    <row r="499" spans="2:57" outlineLevel="1" x14ac:dyDescent="0.25">
      <c r="B499" s="1978"/>
      <c r="C499" s="1979"/>
      <c r="D499" s="1315"/>
      <c r="E499" s="1315"/>
      <c r="F499" s="1978"/>
      <c r="G499" s="1978"/>
      <c r="H499" s="1978"/>
      <c r="I499" s="1978"/>
      <c r="J499" s="1978"/>
      <c r="K499" s="1978"/>
      <c r="L499" s="1978"/>
    </row>
    <row r="500" spans="2:57" outlineLevel="1" x14ac:dyDescent="0.25">
      <c r="B500" s="1978"/>
      <c r="C500" s="1979"/>
      <c r="D500" s="222" t="s">
        <v>571</v>
      </c>
      <c r="E500" s="1315"/>
      <c r="F500" s="1978"/>
      <c r="G500" s="1978"/>
      <c r="H500" s="1978"/>
      <c r="I500" s="1978"/>
      <c r="J500" s="1978"/>
      <c r="K500" s="1978"/>
      <c r="L500" s="1978"/>
    </row>
    <row r="501" spans="2:57" outlineLevel="1" x14ac:dyDescent="0.25">
      <c r="B501" s="1978"/>
      <c r="C501" s="1979"/>
      <c r="D501" s="1315"/>
      <c r="E501" s="1315"/>
      <c r="F501" s="1978"/>
      <c r="G501" s="1978"/>
      <c r="H501" s="1978"/>
      <c r="I501" s="1978"/>
      <c r="J501" s="1978"/>
      <c r="K501" s="1978"/>
      <c r="L501" s="1978"/>
    </row>
    <row r="502" spans="2:57" outlineLevel="1" x14ac:dyDescent="0.25">
      <c r="B502" s="1978"/>
      <c r="C502" s="1979"/>
      <c r="D502" s="1315"/>
      <c r="E502" s="1315"/>
      <c r="F502" s="1978"/>
      <c r="G502" s="1978"/>
      <c r="H502" s="1978"/>
      <c r="I502" s="1978"/>
      <c r="J502" s="1978"/>
      <c r="K502" s="1978"/>
      <c r="L502" s="1978"/>
    </row>
    <row r="503" spans="2:57" outlineLevel="1" x14ac:dyDescent="0.25">
      <c r="B503" s="1978"/>
      <c r="C503" s="1979"/>
      <c r="D503" s="1315"/>
      <c r="E503" s="1315"/>
      <c r="F503" s="1978"/>
      <c r="G503" s="1978"/>
      <c r="H503" s="1978"/>
      <c r="I503" s="1978"/>
      <c r="J503" s="1978"/>
      <c r="K503" s="1978"/>
      <c r="L503" s="1978"/>
    </row>
    <row r="504" spans="2:57" outlineLevel="1" x14ac:dyDescent="0.25">
      <c r="B504" s="1978"/>
      <c r="C504" s="1979"/>
      <c r="D504" s="1315"/>
      <c r="E504" s="1315"/>
      <c r="F504" s="1978"/>
      <c r="G504" s="1978"/>
      <c r="H504" s="1978"/>
      <c r="I504" s="1978"/>
      <c r="J504" s="1978"/>
      <c r="K504" s="1978"/>
      <c r="L504" s="1978"/>
    </row>
    <row r="505" spans="2:57" outlineLevel="1" x14ac:dyDescent="0.25">
      <c r="B505" s="1978"/>
      <c r="C505" s="1979"/>
      <c r="D505" s="1315"/>
      <c r="E505" s="1315"/>
      <c r="F505" s="1978"/>
      <c r="G505" s="1978"/>
      <c r="H505" s="1978"/>
      <c r="I505" s="1978"/>
      <c r="J505" s="1978"/>
      <c r="K505" s="1978"/>
      <c r="L505" s="1978"/>
    </row>
    <row r="506" spans="2:57" outlineLevel="1" x14ac:dyDescent="0.25">
      <c r="B506" s="1978"/>
      <c r="C506" s="1979"/>
      <c r="D506" s="1315"/>
      <c r="E506" s="1315"/>
      <c r="F506" s="1978"/>
      <c r="G506" s="1978"/>
      <c r="H506" s="1978"/>
      <c r="I506" s="1978"/>
      <c r="J506" s="1978"/>
      <c r="K506" s="1978"/>
      <c r="L506" s="1978"/>
    </row>
    <row r="507" spans="2:57" outlineLevel="1" x14ac:dyDescent="0.25">
      <c r="B507" s="1978"/>
      <c r="C507" s="1979"/>
      <c r="D507" s="1315"/>
      <c r="E507" s="1315"/>
      <c r="F507" s="1978"/>
      <c r="G507" s="1978"/>
      <c r="H507" s="1978"/>
      <c r="I507" s="1978"/>
      <c r="J507" s="1978"/>
      <c r="K507" s="1978"/>
      <c r="L507" s="1978"/>
    </row>
    <row r="508" spans="2:57" outlineLevel="1" x14ac:dyDescent="0.25">
      <c r="B508" s="1978"/>
      <c r="C508" s="1979"/>
      <c r="D508" s="1315"/>
      <c r="E508" s="1315"/>
      <c r="F508" s="1978"/>
      <c r="G508" s="1978"/>
      <c r="H508" s="1978"/>
      <c r="I508" s="1978"/>
      <c r="J508" s="1978"/>
      <c r="K508" s="1978"/>
      <c r="L508" s="1978"/>
    </row>
    <row r="509" spans="2:57" outlineLevel="1" x14ac:dyDescent="0.25">
      <c r="B509" s="1978"/>
      <c r="C509" s="1979"/>
      <c r="D509" s="1315"/>
      <c r="E509" s="1315"/>
      <c r="F509" s="1978"/>
      <c r="G509" s="1978"/>
      <c r="H509" s="1978"/>
      <c r="I509" s="1978"/>
      <c r="J509" s="1978"/>
      <c r="K509" s="1978"/>
      <c r="L509" s="1978"/>
    </row>
    <row r="510" spans="2:57" outlineLevel="1" x14ac:dyDescent="0.25">
      <c r="B510" s="1978"/>
      <c r="C510" s="1979"/>
      <c r="D510" s="1315"/>
      <c r="E510" s="1315"/>
      <c r="F510" s="1978"/>
      <c r="G510" s="1978"/>
      <c r="H510" s="1978"/>
      <c r="I510" s="1978"/>
      <c r="J510" s="1978"/>
      <c r="K510" s="1978"/>
      <c r="L510" s="1978"/>
    </row>
    <row r="511" spans="2:57" outlineLevel="1" x14ac:dyDescent="0.25">
      <c r="B511" s="1978"/>
      <c r="C511" s="1979"/>
      <c r="D511" s="1315"/>
      <c r="E511" s="1315"/>
      <c r="F511" s="1978"/>
      <c r="G511" s="1978"/>
      <c r="H511" s="1978"/>
      <c r="I511" s="1978"/>
      <c r="J511" s="1978"/>
      <c r="K511" s="1978"/>
      <c r="L511" s="1978"/>
    </row>
    <row r="512" spans="2:57" outlineLevel="1" x14ac:dyDescent="0.25">
      <c r="B512" s="1978"/>
      <c r="C512" s="1979"/>
      <c r="D512" s="1315"/>
      <c r="E512" s="1315"/>
      <c r="F512" s="1978" t="s">
        <v>1929</v>
      </c>
      <c r="G512" s="1978"/>
      <c r="H512" s="1978"/>
      <c r="I512" s="1978"/>
      <c r="J512" s="1978"/>
      <c r="K512" s="1978"/>
      <c r="L512" s="1978"/>
    </row>
    <row r="513" spans="1:54" ht="10.5" customHeight="1" outlineLevel="1" x14ac:dyDescent="0.25">
      <c r="B513" s="1978"/>
      <c r="C513" s="1979"/>
      <c r="D513" s="1315"/>
      <c r="E513" s="1315"/>
      <c r="F513" s="1978"/>
      <c r="G513" s="1978"/>
      <c r="H513" s="1978"/>
      <c r="I513" s="1978"/>
      <c r="J513" s="1978"/>
      <c r="K513" s="1978"/>
      <c r="L513" s="1978"/>
    </row>
    <row r="514" spans="1:54" ht="15" customHeight="1" outlineLevel="1" x14ac:dyDescent="0.25">
      <c r="B514" s="1978"/>
      <c r="C514" s="1979"/>
      <c r="D514" s="1456" t="s">
        <v>572</v>
      </c>
      <c r="E514" s="1456" t="s">
        <v>573</v>
      </c>
      <c r="F514" s="1409" t="s">
        <v>574</v>
      </c>
      <c r="G514" s="1409" t="s">
        <v>624</v>
      </c>
      <c r="H514" s="1978"/>
      <c r="I514" s="1978"/>
      <c r="J514" s="1978"/>
      <c r="K514" s="1978"/>
      <c r="L514" s="1978"/>
      <c r="V514" s="55" t="s">
        <v>27</v>
      </c>
      <c r="W514" s="56">
        <f>W$6</f>
        <v>43252</v>
      </c>
      <c r="X514" s="56">
        <f t="shared" ref="X514:AG514" si="99">X$6</f>
        <v>43465</v>
      </c>
      <c r="Y514" s="56">
        <f t="shared" si="99"/>
        <v>43800</v>
      </c>
      <c r="Z514" s="56">
        <f t="shared" si="99"/>
        <v>43862</v>
      </c>
      <c r="AA514" s="56">
        <f t="shared" si="99"/>
        <v>44013</v>
      </c>
      <c r="AB514" s="56">
        <f t="shared" si="99"/>
        <v>44166</v>
      </c>
      <c r="AC514" s="56" t="str">
        <f t="shared" si="99"/>
        <v>-</v>
      </c>
      <c r="AD514" s="56" t="str">
        <f t="shared" si="99"/>
        <v>-</v>
      </c>
      <c r="AE514" s="56" t="str">
        <f t="shared" si="99"/>
        <v>-</v>
      </c>
      <c r="AF514" s="56" t="str">
        <f t="shared" si="99"/>
        <v>-</v>
      </c>
      <c r="AG514" s="56" t="str">
        <f t="shared" si="99"/>
        <v>-</v>
      </c>
    </row>
    <row r="515" spans="1:54" s="522" customFormat="1" ht="18" outlineLevel="1" x14ac:dyDescent="0.25">
      <c r="A515" s="633"/>
      <c r="B515" s="1993"/>
      <c r="C515" s="1994"/>
      <c r="D515" s="388" t="s">
        <v>759</v>
      </c>
      <c r="E515" s="388" t="s">
        <v>2270</v>
      </c>
      <c r="F515" s="60">
        <v>121.6</v>
      </c>
      <c r="G515" s="1424" t="s">
        <v>2271</v>
      </c>
      <c r="H515" s="1993"/>
      <c r="I515" s="1993"/>
      <c r="J515" s="1993"/>
      <c r="K515" s="1993"/>
      <c r="L515" s="1993"/>
      <c r="M515" s="633"/>
      <c r="N515" s="633"/>
      <c r="O515" s="633"/>
      <c r="P515" s="633"/>
      <c r="Q515" s="633"/>
      <c r="R515" s="633"/>
      <c r="S515" s="633"/>
      <c r="T515" s="633"/>
      <c r="U515" s="633"/>
      <c r="V515" s="1069" t="str">
        <f>D515</f>
        <v>Daysoper</v>
      </c>
      <c r="W515" s="559">
        <v>121.6</v>
      </c>
      <c r="X515" s="559">
        <v>121.6</v>
      </c>
      <c r="Y515" s="559">
        <v>121.6</v>
      </c>
      <c r="Z515" s="559">
        <v>121.6</v>
      </c>
      <c r="AA515" s="559">
        <v>121.6</v>
      </c>
      <c r="AB515" s="559">
        <v>121.6</v>
      </c>
      <c r="AC515" s="559"/>
      <c r="AD515" s="559"/>
      <c r="AE515" s="559"/>
      <c r="AF515" s="559"/>
      <c r="AG515" s="559"/>
      <c r="AH515"/>
      <c r="AI515"/>
      <c r="AJ515"/>
      <c r="BB515" s="1358"/>
    </row>
    <row r="516" spans="1:54" s="522" customFormat="1" ht="31.5" customHeight="1" outlineLevel="1" x14ac:dyDescent="0.25">
      <c r="A516" s="633"/>
      <c r="B516" s="1993"/>
      <c r="C516" s="1994"/>
      <c r="D516" s="388" t="s">
        <v>762</v>
      </c>
      <c r="E516" s="1424" t="s">
        <v>763</v>
      </c>
      <c r="F516" s="137">
        <v>11.4</v>
      </c>
      <c r="G516" s="1424" t="s">
        <v>2271</v>
      </c>
      <c r="H516" s="1993"/>
      <c r="I516" s="1993"/>
      <c r="J516" s="1993"/>
      <c r="K516" s="1993"/>
      <c r="L516" s="1993"/>
      <c r="M516" s="633"/>
      <c r="N516" s="633"/>
      <c r="O516" s="633"/>
      <c r="P516" s="633"/>
      <c r="Q516" s="633"/>
      <c r="R516" s="633"/>
      <c r="S516" s="633"/>
      <c r="T516" s="633"/>
      <c r="U516" s="633"/>
      <c r="V516" s="1069" t="str">
        <f t="shared" ref="V516:V528" si="100">D516</f>
        <v>RTss</v>
      </c>
      <c r="W516" s="568">
        <v>11.4</v>
      </c>
      <c r="X516" s="568">
        <v>11.4</v>
      </c>
      <c r="Y516" s="568">
        <v>11.4</v>
      </c>
      <c r="Z516" s="568">
        <v>11.4</v>
      </c>
      <c r="AA516" s="568">
        <v>11.4</v>
      </c>
      <c r="AB516" s="568">
        <v>11.4</v>
      </c>
      <c r="AC516" s="568"/>
      <c r="AD516" s="568"/>
      <c r="AE516" s="568"/>
      <c r="AF516" s="568"/>
      <c r="AG516" s="568"/>
      <c r="AH516"/>
      <c r="AI516"/>
      <c r="AJ516"/>
      <c r="BB516" s="1358"/>
    </row>
    <row r="517" spans="1:54" s="522" customFormat="1" ht="31.5" customHeight="1" outlineLevel="1" x14ac:dyDescent="0.25">
      <c r="A517" s="633"/>
      <c r="B517" s="1993"/>
      <c r="C517" s="1994"/>
      <c r="D517" s="388" t="s">
        <v>768</v>
      </c>
      <c r="E517" s="1991" t="s">
        <v>769</v>
      </c>
      <c r="F517" s="1454">
        <v>64.400000000000006</v>
      </c>
      <c r="G517" s="1424" t="s">
        <v>2271</v>
      </c>
      <c r="H517" s="1993"/>
      <c r="I517" s="1993"/>
      <c r="J517" s="1993"/>
      <c r="K517" s="1993"/>
      <c r="L517" s="1993"/>
      <c r="M517" s="633"/>
      <c r="N517" s="633"/>
      <c r="O517" s="633"/>
      <c r="P517" s="633"/>
      <c r="Q517" s="633"/>
      <c r="R517" s="633"/>
      <c r="S517" s="633"/>
      <c r="T517" s="633"/>
      <c r="U517" s="633"/>
      <c r="V517" s="1069" t="str">
        <f t="shared" si="100"/>
        <v>GPMss</v>
      </c>
      <c r="W517" s="549">
        <v>64.400000000000006</v>
      </c>
      <c r="X517" s="549">
        <v>64.400000000000006</v>
      </c>
      <c r="Y517" s="549">
        <v>64.400000000000006</v>
      </c>
      <c r="Z517" s="549">
        <v>64.400000000000006</v>
      </c>
      <c r="AA517" s="549">
        <v>64.400000000000006</v>
      </c>
      <c r="AB517" s="549">
        <v>64.400000000000006</v>
      </c>
      <c r="AC517" s="549"/>
      <c r="AD517" s="549"/>
      <c r="AE517" s="549"/>
      <c r="AF517" s="549"/>
      <c r="AG517" s="549"/>
      <c r="AH517"/>
      <c r="AI517"/>
      <c r="AJ517"/>
      <c r="BB517" s="1358"/>
    </row>
    <row r="518" spans="1:54" s="522" customFormat="1" ht="36" customHeight="1" outlineLevel="1" x14ac:dyDescent="0.25">
      <c r="A518" s="633"/>
      <c r="B518" s="1993"/>
      <c r="C518" s="1994"/>
      <c r="D518" s="388" t="s">
        <v>766</v>
      </c>
      <c r="E518" s="1424" t="s">
        <v>2272</v>
      </c>
      <c r="F518" s="141">
        <v>2</v>
      </c>
      <c r="G518" s="1424" t="s">
        <v>2271</v>
      </c>
      <c r="H518" s="1993"/>
      <c r="I518" s="1993"/>
      <c r="J518" s="1993"/>
      <c r="K518" s="1993"/>
      <c r="L518" s="1993"/>
      <c r="M518" s="633"/>
      <c r="N518" s="633"/>
      <c r="O518" s="633"/>
      <c r="P518" s="633"/>
      <c r="Q518" s="633"/>
      <c r="R518" s="633"/>
      <c r="S518" s="633"/>
      <c r="T518" s="633"/>
      <c r="U518" s="633"/>
      <c r="V518" s="1069" t="str">
        <f t="shared" si="100"/>
        <v>RThs</v>
      </c>
      <c r="W518" s="390">
        <v>2</v>
      </c>
      <c r="X518" s="390">
        <v>2</v>
      </c>
      <c r="Y518" s="390">
        <v>2</v>
      </c>
      <c r="Z518" s="390">
        <v>2</v>
      </c>
      <c r="AA518" s="390">
        <v>2</v>
      </c>
      <c r="AB518" s="390">
        <v>2</v>
      </c>
      <c r="AC518" s="390"/>
      <c r="AD518" s="390"/>
      <c r="AE518" s="390"/>
      <c r="AF518" s="390"/>
      <c r="AG518" s="390"/>
      <c r="AH518"/>
      <c r="AI518"/>
      <c r="AJ518"/>
      <c r="BB518" s="1358"/>
    </row>
    <row r="519" spans="1:54" s="522" customFormat="1" ht="18" outlineLevel="1" x14ac:dyDescent="0.25">
      <c r="A519" s="633"/>
      <c r="B519" s="1993"/>
      <c r="C519" s="1994"/>
      <c r="D519" s="388" t="s">
        <v>772</v>
      </c>
      <c r="E519" s="1424" t="s">
        <v>2273</v>
      </c>
      <c r="F519" s="141">
        <v>50</v>
      </c>
      <c r="G519" s="1424" t="s">
        <v>2271</v>
      </c>
      <c r="H519" s="1993"/>
      <c r="I519" s="1993"/>
      <c r="J519" s="1993"/>
      <c r="K519" s="1993"/>
      <c r="L519" s="1993"/>
      <c r="M519" s="633"/>
      <c r="N519" s="633"/>
      <c r="O519" s="633"/>
      <c r="P519" s="633"/>
      <c r="Q519" s="633"/>
      <c r="R519" s="633"/>
      <c r="S519" s="633"/>
      <c r="T519" s="633"/>
      <c r="U519" s="633"/>
      <c r="V519" s="1069" t="str">
        <f t="shared" si="100"/>
        <v>GPMhs</v>
      </c>
      <c r="W519" s="390">
        <v>50</v>
      </c>
      <c r="X519" s="390">
        <v>50</v>
      </c>
      <c r="Y519" s="390">
        <v>50</v>
      </c>
      <c r="Z519" s="390">
        <v>50</v>
      </c>
      <c r="AA519" s="390">
        <v>50</v>
      </c>
      <c r="AB519" s="390">
        <v>50</v>
      </c>
      <c r="AC519" s="390"/>
      <c r="AD519" s="390"/>
      <c r="AE519" s="390"/>
      <c r="AF519" s="390"/>
      <c r="AG519" s="390"/>
      <c r="AH519"/>
      <c r="AI519"/>
      <c r="AJ519"/>
      <c r="BB519" s="1358"/>
    </row>
    <row r="520" spans="1:54" s="522" customFormat="1" ht="18" outlineLevel="1" x14ac:dyDescent="0.25">
      <c r="A520" s="633"/>
      <c r="B520" s="1993"/>
      <c r="C520" s="1994"/>
      <c r="D520" s="388" t="s">
        <v>764</v>
      </c>
      <c r="E520" s="1424" t="s">
        <v>2274</v>
      </c>
      <c r="F520" s="141">
        <v>10</v>
      </c>
      <c r="G520" s="1424" t="s">
        <v>2271</v>
      </c>
      <c r="H520" s="1993"/>
      <c r="I520" s="1993"/>
      <c r="J520" s="1993"/>
      <c r="K520" s="1993"/>
      <c r="L520" s="1993"/>
      <c r="M520" s="633"/>
      <c r="N520" s="633"/>
      <c r="O520" s="633"/>
      <c r="P520" s="633"/>
      <c r="Q520" s="633"/>
      <c r="R520" s="633"/>
      <c r="S520" s="633"/>
      <c r="T520" s="633"/>
      <c r="U520" s="633"/>
      <c r="V520" s="1069" t="str">
        <f t="shared" si="100"/>
        <v>RTls</v>
      </c>
      <c r="W520" s="390">
        <v>10</v>
      </c>
      <c r="X520" s="390">
        <v>10</v>
      </c>
      <c r="Y520" s="390">
        <v>10</v>
      </c>
      <c r="Z520" s="390">
        <v>10</v>
      </c>
      <c r="AA520" s="390">
        <v>10</v>
      </c>
      <c r="AB520" s="390">
        <v>10</v>
      </c>
      <c r="AC520" s="390"/>
      <c r="AD520" s="390"/>
      <c r="AE520" s="390"/>
      <c r="AF520" s="390"/>
      <c r="AG520" s="390"/>
      <c r="AH520"/>
      <c r="AI520"/>
      <c r="AJ520"/>
      <c r="BB520" s="1358"/>
    </row>
    <row r="521" spans="1:54" s="522" customFormat="1" ht="18" outlineLevel="1" x14ac:dyDescent="0.25">
      <c r="A521" s="633"/>
      <c r="B521" s="1993"/>
      <c r="C521" s="1994"/>
      <c r="D521" s="388" t="s">
        <v>770</v>
      </c>
      <c r="E521" s="1424" t="s">
        <v>2275</v>
      </c>
      <c r="F521" s="141">
        <v>30.6</v>
      </c>
      <c r="G521" s="1424" t="s">
        <v>2271</v>
      </c>
      <c r="H521" s="1993"/>
      <c r="I521" s="1993"/>
      <c r="J521" s="1993"/>
      <c r="K521" s="1993"/>
      <c r="L521" s="1993"/>
      <c r="M521" s="633"/>
      <c r="N521" s="633"/>
      <c r="O521" s="633"/>
      <c r="P521" s="633"/>
      <c r="Q521" s="633"/>
      <c r="R521" s="633"/>
      <c r="S521" s="633"/>
      <c r="T521" s="633"/>
      <c r="U521" s="633"/>
      <c r="V521" s="1069" t="str">
        <f t="shared" si="100"/>
        <v>GPMls</v>
      </c>
      <c r="W521" s="390">
        <v>30.6</v>
      </c>
      <c r="X521" s="390">
        <v>30.6</v>
      </c>
      <c r="Y521" s="390">
        <v>30.6</v>
      </c>
      <c r="Z521" s="390">
        <v>30.6</v>
      </c>
      <c r="AA521" s="390">
        <v>30.6</v>
      </c>
      <c r="AB521" s="390">
        <v>30.6</v>
      </c>
      <c r="AC521" s="390"/>
      <c r="AD521" s="390"/>
      <c r="AE521" s="390"/>
      <c r="AF521" s="390"/>
      <c r="AG521" s="390"/>
      <c r="AH521"/>
      <c r="AI521"/>
      <c r="AJ521"/>
      <c r="BB521" s="1358"/>
    </row>
    <row r="522" spans="1:54" s="522" customFormat="1" outlineLevel="1" x14ac:dyDescent="0.25">
      <c r="A522" s="633"/>
      <c r="B522" s="1993"/>
      <c r="C522" s="1994"/>
      <c r="D522" s="388">
        <v>60</v>
      </c>
      <c r="E522" s="1991" t="s">
        <v>2276</v>
      </c>
      <c r="F522" s="444">
        <v>60</v>
      </c>
      <c r="G522" s="1424" t="s">
        <v>2271</v>
      </c>
      <c r="H522" s="1993"/>
      <c r="I522" s="1993"/>
      <c r="J522" s="1993"/>
      <c r="K522" s="1993"/>
      <c r="L522" s="1993"/>
      <c r="M522" s="633"/>
      <c r="N522" s="633"/>
      <c r="O522" s="633"/>
      <c r="P522" s="633"/>
      <c r="Q522" s="633"/>
      <c r="R522" s="633"/>
      <c r="S522" s="633"/>
      <c r="T522" s="633"/>
      <c r="U522" s="633"/>
      <c r="V522" s="1069">
        <f t="shared" si="100"/>
        <v>60</v>
      </c>
      <c r="W522" s="577">
        <v>60</v>
      </c>
      <c r="X522" s="577">
        <v>60</v>
      </c>
      <c r="Y522" s="577">
        <v>60</v>
      </c>
      <c r="Z522" s="577">
        <v>60</v>
      </c>
      <c r="AA522" s="577">
        <v>60</v>
      </c>
      <c r="AB522" s="577">
        <v>60</v>
      </c>
      <c r="AC522" s="577"/>
      <c r="AD522" s="577"/>
      <c r="AE522" s="577"/>
      <c r="AF522" s="577"/>
      <c r="AG522" s="577"/>
      <c r="AH522"/>
      <c r="AI522"/>
      <c r="AJ522"/>
      <c r="BB522" s="1358"/>
    </row>
    <row r="523" spans="1:54" s="522" customFormat="1" ht="18" outlineLevel="1" x14ac:dyDescent="0.25">
      <c r="A523" s="633"/>
      <c r="B523" s="1993"/>
      <c r="C523" s="1994"/>
      <c r="D523" s="388" t="s">
        <v>2277</v>
      </c>
      <c r="E523" s="2005" t="s">
        <v>775</v>
      </c>
      <c r="F523" s="141">
        <v>2.1</v>
      </c>
      <c r="G523" s="1424" t="s">
        <v>2271</v>
      </c>
      <c r="H523" s="1993"/>
      <c r="I523" s="1993"/>
      <c r="J523" s="1993"/>
      <c r="K523" s="1993"/>
      <c r="L523" s="1993"/>
      <c r="M523" s="633"/>
      <c r="N523" s="633"/>
      <c r="O523" s="633"/>
      <c r="P523" s="633"/>
      <c r="Q523" s="633"/>
      <c r="R523" s="633"/>
      <c r="S523" s="633"/>
      <c r="T523" s="633"/>
      <c r="U523" s="633"/>
      <c r="V523" s="1069" t="str">
        <f t="shared" si="100"/>
        <v>EFss</v>
      </c>
      <c r="W523" s="390">
        <v>2.1</v>
      </c>
      <c r="X523" s="390">
        <v>2.1</v>
      </c>
      <c r="Y523" s="390">
        <v>2.1</v>
      </c>
      <c r="Z523" s="390">
        <v>2.1</v>
      </c>
      <c r="AA523" s="390">
        <v>2.1</v>
      </c>
      <c r="AB523" s="390">
        <v>2.1</v>
      </c>
      <c r="AC523" s="390"/>
      <c r="AD523" s="390"/>
      <c r="AE523" s="390"/>
      <c r="AF523" s="390"/>
      <c r="AG523" s="390"/>
      <c r="AH523"/>
      <c r="AI523"/>
      <c r="AJ523"/>
      <c r="BB523" s="1358"/>
    </row>
    <row r="524" spans="1:54" s="522" customFormat="1" ht="30" outlineLevel="1" x14ac:dyDescent="0.25">
      <c r="A524" s="633"/>
      <c r="B524" s="1993"/>
      <c r="C524" s="1994"/>
      <c r="D524" s="388" t="s">
        <v>2278</v>
      </c>
      <c r="E524" s="1424" t="s">
        <v>2279</v>
      </c>
      <c r="F524" s="141">
        <v>3.8</v>
      </c>
      <c r="G524" s="1424" t="s">
        <v>2271</v>
      </c>
      <c r="H524" s="1993"/>
      <c r="I524" s="1993"/>
      <c r="J524" s="1993"/>
      <c r="K524" s="1993"/>
      <c r="L524" s="1993"/>
      <c r="M524" s="633"/>
      <c r="N524" s="633"/>
      <c r="O524" s="633"/>
      <c r="P524" s="633"/>
      <c r="Q524" s="633"/>
      <c r="R524" s="633"/>
      <c r="S524" s="633"/>
      <c r="T524" s="633"/>
      <c r="U524" s="633"/>
      <c r="V524" s="1069" t="str">
        <f t="shared" si="100"/>
        <v>EFhs</v>
      </c>
      <c r="W524" s="390">
        <v>3.8</v>
      </c>
      <c r="X524" s="390">
        <v>3.8</v>
      </c>
      <c r="Y524" s="390">
        <v>3.8</v>
      </c>
      <c r="Z524" s="390">
        <v>3.8</v>
      </c>
      <c r="AA524" s="390">
        <v>3.8</v>
      </c>
      <c r="AB524" s="390">
        <v>3.8</v>
      </c>
      <c r="AC524" s="390"/>
      <c r="AD524" s="390"/>
      <c r="AE524" s="390"/>
      <c r="AF524" s="390"/>
      <c r="AG524" s="390"/>
      <c r="AH524"/>
      <c r="AI524"/>
      <c r="AJ524"/>
      <c r="BB524" s="1358"/>
    </row>
    <row r="525" spans="1:54" s="522" customFormat="1" ht="30" outlineLevel="1" x14ac:dyDescent="0.25">
      <c r="A525" s="633"/>
      <c r="B525" s="1993"/>
      <c r="C525" s="1994"/>
      <c r="D525" s="388" t="s">
        <v>2280</v>
      </c>
      <c r="E525" s="1424" t="s">
        <v>2281</v>
      </c>
      <c r="F525" s="141">
        <v>7.3</v>
      </c>
      <c r="G525" s="1424" t="s">
        <v>2271</v>
      </c>
      <c r="H525" s="1993"/>
      <c r="I525" s="1993"/>
      <c r="J525" s="1993"/>
      <c r="K525" s="1993"/>
      <c r="L525" s="1993"/>
      <c r="M525" s="633"/>
      <c r="N525" s="633"/>
      <c r="O525" s="633"/>
      <c r="P525" s="633"/>
      <c r="Q525" s="633"/>
      <c r="R525" s="633"/>
      <c r="S525" s="633"/>
      <c r="T525" s="633"/>
      <c r="U525" s="633"/>
      <c r="V525" s="1069" t="str">
        <f t="shared" si="100"/>
        <v>EFls</v>
      </c>
      <c r="W525" s="390">
        <v>7.3</v>
      </c>
      <c r="X525" s="390">
        <v>7.3</v>
      </c>
      <c r="Y525" s="390">
        <v>7.3</v>
      </c>
      <c r="Z525" s="390">
        <v>7.3</v>
      </c>
      <c r="AA525" s="390">
        <v>7.3</v>
      </c>
      <c r="AB525" s="390">
        <v>7.3</v>
      </c>
      <c r="AC525" s="390"/>
      <c r="AD525" s="390"/>
      <c r="AE525" s="390"/>
      <c r="AF525" s="390"/>
      <c r="AG525" s="390"/>
      <c r="AH525"/>
      <c r="AI525"/>
      <c r="AJ525"/>
      <c r="BB525" s="1358"/>
    </row>
    <row r="526" spans="1:54" s="522" customFormat="1" ht="30" outlineLevel="1" x14ac:dyDescent="0.25">
      <c r="A526" s="633"/>
      <c r="B526" s="1993"/>
      <c r="C526" s="1994"/>
      <c r="D526" s="388">
        <v>1000</v>
      </c>
      <c r="E526" s="1424" t="s">
        <v>1552</v>
      </c>
      <c r="F526" s="141">
        <v>1000</v>
      </c>
      <c r="G526" s="1410" t="s">
        <v>1553</v>
      </c>
      <c r="H526" s="1993"/>
      <c r="I526" s="1993"/>
      <c r="J526" s="1993"/>
      <c r="K526" s="1993"/>
      <c r="L526" s="1993"/>
      <c r="M526" s="633"/>
      <c r="N526" s="633"/>
      <c r="O526" s="633"/>
      <c r="P526" s="633"/>
      <c r="Q526" s="633"/>
      <c r="R526" s="633"/>
      <c r="S526" s="633"/>
      <c r="T526" s="633"/>
      <c r="U526" s="633"/>
      <c r="V526" s="1069">
        <f t="shared" si="100"/>
        <v>1000</v>
      </c>
      <c r="W526" s="390">
        <v>1000</v>
      </c>
      <c r="X526" s="390">
        <v>1000</v>
      </c>
      <c r="Y526" s="390">
        <v>1000</v>
      </c>
      <c r="Z526" s="390">
        <v>1000</v>
      </c>
      <c r="AA526" s="390">
        <v>1000</v>
      </c>
      <c r="AB526" s="390">
        <v>1000</v>
      </c>
      <c r="AC526" s="390"/>
      <c r="AD526" s="390"/>
      <c r="AE526" s="390"/>
      <c r="AF526" s="390"/>
      <c r="AG526" s="390"/>
      <c r="AH526"/>
      <c r="AI526"/>
      <c r="AJ526"/>
      <c r="BB526" s="1358"/>
    </row>
    <row r="527" spans="1:54" s="128" customFormat="1" ht="15" customHeight="1" outlineLevel="1" x14ac:dyDescent="0.25">
      <c r="A527" s="406"/>
      <c r="B527" s="406"/>
      <c r="C527" s="196"/>
      <c r="D527" s="358" t="str">
        <f>$D$30</f>
        <v>EUL</v>
      </c>
      <c r="E527" s="358" t="str">
        <f>$E$30</f>
        <v>End of Useful Life</v>
      </c>
      <c r="F527" s="421">
        <v>10</v>
      </c>
      <c r="G527" s="1410"/>
      <c r="H527" s="1993"/>
      <c r="I527" s="406"/>
      <c r="J527" s="406"/>
      <c r="K527" s="406"/>
      <c r="L527" s="406"/>
      <c r="M527" s="272"/>
      <c r="N527" s="272"/>
      <c r="O527" s="272"/>
      <c r="P527" s="272"/>
      <c r="Q527" s="272"/>
      <c r="R527" s="272"/>
      <c r="S527" s="272"/>
      <c r="T527" s="272"/>
      <c r="U527" s="272"/>
      <c r="V527" s="365" t="str">
        <f t="shared" si="100"/>
        <v>EUL</v>
      </c>
      <c r="W527" s="421">
        <v>10</v>
      </c>
      <c r="X527" s="421">
        <v>10</v>
      </c>
      <c r="Y527" s="421">
        <v>10</v>
      </c>
      <c r="Z527" s="421">
        <v>10</v>
      </c>
      <c r="AA527" s="421">
        <v>10</v>
      </c>
      <c r="AB527" s="421">
        <v>10</v>
      </c>
      <c r="AC527" s="423"/>
      <c r="AD527" s="423"/>
      <c r="AE527" s="423"/>
      <c r="AF527" s="423"/>
      <c r="AG527" s="423"/>
      <c r="AU527" s="212"/>
      <c r="BB527" s="1111"/>
    </row>
    <row r="528" spans="1:54" s="128" customFormat="1" ht="15" customHeight="1" outlineLevel="1" x14ac:dyDescent="0.25">
      <c r="A528" s="406"/>
      <c r="B528" s="406"/>
      <c r="C528" s="196"/>
      <c r="D528" s="358" t="str">
        <f>$D$31</f>
        <v>Inc. Cost</v>
      </c>
      <c r="E528" s="358" t="str">
        <f>$E$31</f>
        <v>Incremental Cost ($)</v>
      </c>
      <c r="F528" s="430">
        <v>549</v>
      </c>
      <c r="G528" s="1410"/>
      <c r="H528" s="1993"/>
      <c r="I528" s="406"/>
      <c r="J528" s="406"/>
      <c r="K528" s="406"/>
      <c r="L528" s="406"/>
      <c r="M528" s="272"/>
      <c r="N528" s="272"/>
      <c r="O528" s="272"/>
      <c r="P528" s="272"/>
      <c r="Q528" s="272"/>
      <c r="R528" s="272"/>
      <c r="S528" s="272"/>
      <c r="T528" s="272"/>
      <c r="U528" s="272"/>
      <c r="V528" s="365" t="str">
        <f t="shared" si="100"/>
        <v>Inc. Cost</v>
      </c>
      <c r="W528" s="430">
        <v>549</v>
      </c>
      <c r="X528" s="1286">
        <v>549</v>
      </c>
      <c r="Y528" s="1286">
        <v>549</v>
      </c>
      <c r="Z528" s="1286">
        <v>549</v>
      </c>
      <c r="AA528" s="1286">
        <v>549</v>
      </c>
      <c r="AB528" s="1286">
        <v>549</v>
      </c>
      <c r="AC528" s="410"/>
      <c r="AD528" s="410"/>
      <c r="AE528" s="410"/>
      <c r="AF528" s="410"/>
      <c r="AG528" s="410"/>
      <c r="AU528" s="212"/>
      <c r="BB528" s="1111"/>
    </row>
    <row r="529" spans="1:57" s="522" customFormat="1" x14ac:dyDescent="0.25">
      <c r="A529" s="633"/>
      <c r="B529" s="1993"/>
      <c r="C529" s="1994"/>
      <c r="D529" s="1230"/>
      <c r="E529" s="1227"/>
      <c r="F529" s="1229"/>
      <c r="G529" s="1363"/>
      <c r="H529" s="1993"/>
      <c r="I529" s="1993"/>
      <c r="J529" s="1993"/>
      <c r="K529" s="1993"/>
      <c r="L529" s="1993"/>
      <c r="M529" s="633"/>
      <c r="N529" s="633"/>
      <c r="O529" s="633"/>
      <c r="P529" s="633"/>
      <c r="Q529" s="633"/>
      <c r="R529" s="633"/>
      <c r="S529" s="633"/>
      <c r="T529" s="633"/>
      <c r="U529" s="633"/>
      <c r="V529"/>
      <c r="W529"/>
      <c r="X529"/>
      <c r="Y529"/>
      <c r="Z529"/>
      <c r="AA529"/>
      <c r="AB529"/>
      <c r="AC529"/>
      <c r="AD529"/>
      <c r="AE529"/>
      <c r="AF529"/>
      <c r="AG529"/>
      <c r="AH529"/>
      <c r="AI529"/>
      <c r="AJ529"/>
      <c r="BB529" s="1358"/>
    </row>
    <row r="530" spans="1:57" s="522" customFormat="1" x14ac:dyDescent="0.25">
      <c r="A530" s="633"/>
      <c r="B530" s="1993"/>
      <c r="C530" s="1994"/>
      <c r="D530" s="1230"/>
      <c r="E530" s="2006"/>
      <c r="F530" s="2007"/>
      <c r="G530" s="2006"/>
      <c r="H530" s="1993"/>
      <c r="I530" s="1993"/>
      <c r="J530" s="1993"/>
      <c r="K530" s="1993"/>
      <c r="L530" s="1993"/>
      <c r="M530" s="633"/>
      <c r="N530" s="633"/>
      <c r="O530" s="633"/>
      <c r="P530" s="633"/>
      <c r="Q530" s="633"/>
      <c r="R530" s="633"/>
      <c r="S530" s="633"/>
      <c r="T530" s="633"/>
      <c r="U530" s="633"/>
      <c r="V530"/>
      <c r="W530"/>
      <c r="X530"/>
      <c r="Y530"/>
      <c r="Z530"/>
      <c r="AA530"/>
      <c r="AB530"/>
      <c r="AC530"/>
      <c r="AD530"/>
      <c r="AE530"/>
      <c r="AF530"/>
      <c r="AG530"/>
      <c r="AH530"/>
      <c r="AI530"/>
      <c r="AJ530"/>
      <c r="BB530" s="1358"/>
    </row>
    <row r="531" spans="1:57" x14ac:dyDescent="0.25">
      <c r="B531" s="3350" t="s">
        <v>122</v>
      </c>
      <c r="C531" s="3351"/>
      <c r="D531" s="3351"/>
      <c r="E531" s="3351"/>
      <c r="F531" s="3351"/>
      <c r="G531" s="3351"/>
      <c r="H531" s="3351"/>
      <c r="I531" s="3352"/>
      <c r="J531" s="3352"/>
      <c r="K531" s="3352"/>
      <c r="L531" s="3352"/>
      <c r="M531" s="3352"/>
      <c r="N531" s="3352"/>
      <c r="O531" s="3352"/>
      <c r="P531" s="3352"/>
      <c r="Q531" s="3353"/>
      <c r="R531" s="298"/>
      <c r="V531" s="3350" t="str">
        <f>B531</f>
        <v>Refrigerator</v>
      </c>
      <c r="W531" s="3351"/>
      <c r="X531" s="3351"/>
      <c r="Y531" s="3351"/>
      <c r="Z531" s="3351"/>
      <c r="AA531" s="3351"/>
      <c r="AB531" s="3351"/>
      <c r="AC531" s="3354"/>
      <c r="AD531" s="3354"/>
      <c r="AE531" s="3354"/>
      <c r="AF531" s="3354"/>
      <c r="AG531" s="3354"/>
      <c r="AH531" s="3354"/>
      <c r="AI531" s="3355"/>
    </row>
    <row r="532" spans="1:57" x14ac:dyDescent="0.25">
      <c r="O532" s="298"/>
      <c r="P532" s="298"/>
      <c r="Q532" s="298"/>
      <c r="R532" s="298"/>
    </row>
    <row r="533" spans="1:57" ht="30" x14ac:dyDescent="0.25">
      <c r="A533" s="298"/>
      <c r="B533" s="298"/>
      <c r="C533" s="2765" t="s">
        <v>17</v>
      </c>
      <c r="D533" s="1409" t="s">
        <v>616</v>
      </c>
      <c r="E533" s="1409" t="s">
        <v>19</v>
      </c>
      <c r="F533" s="1409" t="s">
        <v>20</v>
      </c>
      <c r="G533" s="1409" t="s">
        <v>21</v>
      </c>
      <c r="H533" s="1409" t="s">
        <v>22</v>
      </c>
      <c r="I533" s="1409" t="s">
        <v>23</v>
      </c>
      <c r="J533" s="1409" t="s">
        <v>24</v>
      </c>
      <c r="K533" s="1409" t="s">
        <v>25</v>
      </c>
      <c r="L533" s="1409" t="s">
        <v>26</v>
      </c>
      <c r="O533" s="298"/>
      <c r="P533" s="298"/>
      <c r="Q533" s="298"/>
      <c r="R533" s="298"/>
      <c r="V533" s="55" t="s">
        <v>27</v>
      </c>
      <c r="W533" s="56">
        <f>W$6</f>
        <v>43252</v>
      </c>
      <c r="X533" s="56">
        <f t="shared" ref="X533:AG533" si="101">X$6</f>
        <v>43465</v>
      </c>
      <c r="Y533" s="56">
        <f t="shared" si="101"/>
        <v>43800</v>
      </c>
      <c r="Z533" s="56">
        <f t="shared" si="101"/>
        <v>43862</v>
      </c>
      <c r="AA533" s="56">
        <f t="shared" si="101"/>
        <v>44013</v>
      </c>
      <c r="AB533" s="56">
        <f t="shared" si="101"/>
        <v>44166</v>
      </c>
      <c r="AC533" s="56" t="str">
        <f t="shared" si="101"/>
        <v>-</v>
      </c>
      <c r="AD533" s="56" t="str">
        <f t="shared" si="101"/>
        <v>-</v>
      </c>
      <c r="AE533" s="56" t="str">
        <f t="shared" si="101"/>
        <v>-</v>
      </c>
      <c r="AF533" s="56" t="str">
        <f t="shared" si="101"/>
        <v>-</v>
      </c>
      <c r="AG533" s="56" t="str">
        <f t="shared" si="101"/>
        <v>-</v>
      </c>
      <c r="BB533" s="57" t="str">
        <f>$BB$6</f>
        <v>TRC (2020)</v>
      </c>
      <c r="BC533" s="93" t="str">
        <f>$BC$6</f>
        <v>Benefit Lookup</v>
      </c>
      <c r="BD533" s="741" t="str">
        <f>$BD$6</f>
        <v>Benefits (2019 $)</v>
      </c>
      <c r="BE533" s="279" t="str">
        <f>$BE$6</f>
        <v>Incremental Cost (2019 $)</v>
      </c>
    </row>
    <row r="534" spans="1:57" x14ac:dyDescent="0.25">
      <c r="A534" s="298"/>
      <c r="B534" s="298"/>
      <c r="C534" s="86" t="s">
        <v>2282</v>
      </c>
      <c r="D534" s="1658" t="s">
        <v>2147</v>
      </c>
      <c r="E534" s="388" t="s">
        <v>2283</v>
      </c>
      <c r="F534" s="1955">
        <f>ROUND(F541-(F542*(1-F543)),2)</f>
        <v>564.66</v>
      </c>
      <c r="G534" s="187" t="s">
        <v>2037</v>
      </c>
      <c r="H534" s="202">
        <f>VLOOKUP(G534,'CP FACTORS'!$A$3:$B$38, 2, FALSE)</f>
        <v>1.286107E-4</v>
      </c>
      <c r="I534" s="1733">
        <f>ROUND(F534*H534,6)</f>
        <v>7.2621000000000005E-2</v>
      </c>
      <c r="J534" s="187">
        <f>F556</f>
        <v>6</v>
      </c>
      <c r="K534" s="1316">
        <f>F558</f>
        <v>753</v>
      </c>
      <c r="L534" s="1331" t="s">
        <v>37</v>
      </c>
      <c r="O534" s="633"/>
      <c r="P534" s="633"/>
      <c r="Q534" s="633"/>
      <c r="R534" s="633"/>
      <c r="V534" s="208" t="str">
        <f>F533</f>
        <v>kWh Annual Savings</v>
      </c>
      <c r="W534" s="1324">
        <v>564.66038920276219</v>
      </c>
      <c r="X534" s="1324">
        <v>564.66038920276219</v>
      </c>
      <c r="Y534" s="1275">
        <v>564.66</v>
      </c>
      <c r="Z534" s="1275">
        <v>564.66</v>
      </c>
      <c r="AA534" s="1275">
        <v>564.66</v>
      </c>
      <c r="AB534" s="1275">
        <v>564.66</v>
      </c>
      <c r="AC534" s="1324"/>
      <c r="AD534" s="1324"/>
      <c r="AE534" s="1324"/>
      <c r="AF534" s="1324"/>
      <c r="AG534" s="1324"/>
      <c r="BB534" s="67">
        <f>(BD534+BD535)/(BE534+BE535)</f>
        <v>0.18847747808723556</v>
      </c>
      <c r="BC534" s="68" t="str">
        <f>CONCATENATE(G534," ",J534," Year EUL")</f>
        <v>Refrigeration RES 6 Year EUL</v>
      </c>
      <c r="BD534" s="145">
        <f>(INDEX('Avoided Cost Benefits'!$C$4:$C$857,MATCH(BC534,'Avoided Cost Benefits'!$A$4:$A$857,0)))*F534</f>
        <v>117.12499089042501</v>
      </c>
      <c r="BE534" s="69">
        <f>K534/(1.0595^(2020-2019))</f>
        <v>710.71260028315237</v>
      </c>
    </row>
    <row r="535" spans="1:57" ht="30" x14ac:dyDescent="0.25">
      <c r="A535" s="298"/>
      <c r="B535" s="298"/>
      <c r="C535" s="86" t="s">
        <v>2282</v>
      </c>
      <c r="D535" s="1658" t="s">
        <v>2147</v>
      </c>
      <c r="E535" s="388" t="s">
        <v>2284</v>
      </c>
      <c r="F535" s="2008">
        <f>ROUND(F544-(F542*(1-F543)),2)</f>
        <v>46.72</v>
      </c>
      <c r="G535" s="187" t="s">
        <v>2039</v>
      </c>
      <c r="H535" s="202">
        <f>VLOOKUP(G535,'CP FACTORS'!$A$3:$B$38, 2, FALSE)</f>
        <v>1.286107E-4</v>
      </c>
      <c r="I535" s="1733">
        <f>ROUND(F535*H535,6)</f>
        <v>6.0089999999999996E-3</v>
      </c>
      <c r="J535" s="187">
        <f>F557</f>
        <v>11</v>
      </c>
      <c r="K535" s="1316">
        <v>0</v>
      </c>
      <c r="L535" s="1331" t="s">
        <v>37</v>
      </c>
      <c r="O535" s="298"/>
      <c r="P535" s="298"/>
      <c r="Q535" s="298"/>
      <c r="R535" s="298"/>
      <c r="V535" s="208" t="str">
        <f>V534</f>
        <v>kWh Annual Savings</v>
      </c>
      <c r="W535" s="486">
        <v>46.722222222222229</v>
      </c>
      <c r="X535" s="486">
        <v>46.722222222222229</v>
      </c>
      <c r="Y535" s="1366">
        <v>46.72</v>
      </c>
      <c r="Z535" s="1366">
        <v>46.72</v>
      </c>
      <c r="AA535" s="1366">
        <v>46.72</v>
      </c>
      <c r="AB535" s="1366">
        <v>46.72</v>
      </c>
      <c r="AC535" s="486"/>
      <c r="AD535" s="486"/>
      <c r="AE535" s="486"/>
      <c r="AF535" s="486"/>
      <c r="AG535" s="486"/>
      <c r="BB535" s="1089"/>
      <c r="BC535" s="72" t="str">
        <f>CONCATENATE(G535," ",J535," Year EUL")</f>
        <v>Refrigeration RES ER2 11 Year EUL</v>
      </c>
      <c r="BD535" s="153">
        <f>(INDEX('Avoided Cost Benefits'!$C$4:$C$857,MATCH(BC535,'Avoided Cost Benefits'!$A$4:$A$857,0)))*F535</f>
        <v>16.828327655765037</v>
      </c>
      <c r="BE535" s="75">
        <f>K535/(1.0595^(2020-2019))</f>
        <v>0</v>
      </c>
    </row>
    <row r="536" spans="1:57" outlineLevel="1" x14ac:dyDescent="0.25">
      <c r="A536" s="298"/>
      <c r="B536" s="298"/>
      <c r="C536" s="154"/>
      <c r="D536" s="1227"/>
      <c r="E536" s="1227"/>
      <c r="F536" s="1020"/>
      <c r="G536" s="1229"/>
      <c r="H536" s="1012"/>
      <c r="I536" s="1232"/>
      <c r="J536" s="1947"/>
      <c r="K536" s="768"/>
      <c r="M536" s="1012"/>
      <c r="N536" s="298"/>
      <c r="O536" s="298"/>
      <c r="P536" s="298"/>
      <c r="Q536" s="298"/>
      <c r="R536" s="298"/>
    </row>
    <row r="537" spans="1:57" outlineLevel="1" x14ac:dyDescent="0.25">
      <c r="A537" s="298"/>
      <c r="B537" s="298"/>
      <c r="C537" s="154"/>
      <c r="D537" s="222" t="s">
        <v>571</v>
      </c>
      <c r="E537" s="1227"/>
      <c r="F537" s="1020"/>
      <c r="G537" s="1229"/>
      <c r="H537" s="1012"/>
      <c r="I537" s="1232"/>
      <c r="J537" s="1947"/>
      <c r="K537" s="1232"/>
      <c r="L537" s="768"/>
      <c r="M537" s="1012"/>
      <c r="N537" s="298"/>
      <c r="O537" s="298"/>
      <c r="P537" s="298"/>
      <c r="Q537" s="298"/>
      <c r="R537" s="298"/>
    </row>
    <row r="538" spans="1:57" outlineLevel="1" x14ac:dyDescent="0.25">
      <c r="A538" s="298"/>
      <c r="B538" s="298"/>
      <c r="C538" s="154"/>
      <c r="D538" s="1227"/>
      <c r="E538" s="1227"/>
      <c r="F538" s="1020"/>
      <c r="G538" s="1229"/>
      <c r="H538" s="1012"/>
      <c r="I538" s="1232"/>
      <c r="J538" s="1947"/>
      <c r="K538" s="1232"/>
      <c r="L538" s="768"/>
      <c r="M538" s="1012"/>
      <c r="N538" s="298"/>
      <c r="O538" s="298"/>
      <c r="P538" s="298"/>
      <c r="Q538" s="298"/>
      <c r="R538" s="298"/>
    </row>
    <row r="539" spans="1:57" outlineLevel="1" x14ac:dyDescent="0.25">
      <c r="A539" s="298"/>
      <c r="B539" s="298"/>
      <c r="C539" s="154"/>
      <c r="D539" s="1227"/>
      <c r="E539" s="1227"/>
      <c r="F539" s="1148"/>
      <c r="G539" s="1229"/>
      <c r="H539" s="298"/>
      <c r="I539" s="1232"/>
      <c r="J539" s="1947"/>
      <c r="K539" s="1232"/>
      <c r="L539" s="768"/>
      <c r="M539" s="298"/>
      <c r="N539" s="298"/>
      <c r="O539" s="298"/>
      <c r="P539" s="298"/>
      <c r="Q539" s="298"/>
      <c r="R539" s="298"/>
    </row>
    <row r="540" spans="1:57" outlineLevel="1" x14ac:dyDescent="0.25">
      <c r="A540" s="298"/>
      <c r="B540" s="298"/>
      <c r="C540" s="1007"/>
      <c r="D540" s="1456" t="s">
        <v>572</v>
      </c>
      <c r="E540" s="1456" t="s">
        <v>573</v>
      </c>
      <c r="F540" s="1409" t="s">
        <v>574</v>
      </c>
      <c r="G540" s="3419" t="s">
        <v>624</v>
      </c>
      <c r="H540" s="3419"/>
      <c r="I540" s="1367"/>
      <c r="L540" s="1878"/>
      <c r="M540" s="1878"/>
      <c r="N540" s="1878"/>
      <c r="O540" s="1878"/>
      <c r="P540" s="1878"/>
      <c r="Q540" s="1878"/>
      <c r="R540" s="1878"/>
      <c r="S540" s="1878"/>
      <c r="V540" s="55" t="s">
        <v>27</v>
      </c>
      <c r="W540" s="56">
        <f>W$6</f>
        <v>43252</v>
      </c>
      <c r="X540" s="56">
        <f t="shared" ref="X540:AG540" si="102">X$6</f>
        <v>43465</v>
      </c>
      <c r="Y540" s="56">
        <f t="shared" si="102"/>
        <v>43800</v>
      </c>
      <c r="Z540" s="56">
        <f t="shared" si="102"/>
        <v>43862</v>
      </c>
      <c r="AA540" s="56">
        <f t="shared" si="102"/>
        <v>44013</v>
      </c>
      <c r="AB540" s="56">
        <f t="shared" si="102"/>
        <v>44166</v>
      </c>
      <c r="AC540" s="56" t="str">
        <f t="shared" si="102"/>
        <v>-</v>
      </c>
      <c r="AD540" s="56" t="str">
        <f t="shared" si="102"/>
        <v>-</v>
      </c>
      <c r="AE540" s="56" t="str">
        <f t="shared" si="102"/>
        <v>-</v>
      </c>
      <c r="AF540" s="56" t="str">
        <f t="shared" si="102"/>
        <v>-</v>
      </c>
      <c r="AG540" s="56" t="str">
        <f t="shared" si="102"/>
        <v>-</v>
      </c>
    </row>
    <row r="541" spans="1:57" ht="18" outlineLevel="1" x14ac:dyDescent="0.35">
      <c r="A541" s="298"/>
      <c r="B541" s="298"/>
      <c r="C541" s="1007"/>
      <c r="D541" s="1117" t="s">
        <v>2285</v>
      </c>
      <c r="E541" s="1090" t="s">
        <v>2043</v>
      </c>
      <c r="F541" s="631">
        <f>SUMPRODUCT(F544:F549, F550:F555)/SUM(F550:F555)</f>
        <v>985.16038920276219</v>
      </c>
      <c r="G541" s="3866"/>
      <c r="H541" s="3866"/>
      <c r="I541" s="1367"/>
      <c r="L541" s="1878"/>
      <c r="M541" s="1878"/>
      <c r="N541" s="1878"/>
      <c r="O541" s="1878"/>
      <c r="P541" s="1878"/>
      <c r="Q541" s="1878"/>
      <c r="R541" s="1878"/>
      <c r="S541" s="1878"/>
      <c r="V541" s="1117" t="str">
        <f>D541</f>
        <v>kWhBase</v>
      </c>
      <c r="W541" s="631">
        <v>985.16038920276219</v>
      </c>
      <c r="X541" s="631">
        <v>985.16038920276219</v>
      </c>
      <c r="Y541" s="631">
        <v>985.16038920276219</v>
      </c>
      <c r="Z541" s="631">
        <v>985.16038920276219</v>
      </c>
      <c r="AA541" s="631">
        <v>985.16038920276219</v>
      </c>
      <c r="AB541" s="631">
        <v>985.16038920276219</v>
      </c>
      <c r="AC541" s="1368"/>
      <c r="AD541" s="1368"/>
      <c r="AE541" s="1368"/>
      <c r="AF541" s="1368"/>
      <c r="AG541" s="1368"/>
    </row>
    <row r="542" spans="1:57" ht="18" outlineLevel="1" x14ac:dyDescent="0.35">
      <c r="A542" s="298"/>
      <c r="B542" s="298"/>
      <c r="C542" s="1007"/>
      <c r="D542" s="1117" t="s">
        <v>2286</v>
      </c>
      <c r="E542" s="1090" t="s">
        <v>2046</v>
      </c>
      <c r="F542" s="631">
        <f>F544</f>
        <v>467.22222222222223</v>
      </c>
      <c r="G542" s="3866"/>
      <c r="H542" s="3866"/>
      <c r="I542" s="1367"/>
      <c r="L542" s="1878"/>
      <c r="M542" s="1878"/>
      <c r="N542" s="1878"/>
      <c r="O542" s="1878"/>
      <c r="P542" s="1878"/>
      <c r="Q542" s="1878"/>
      <c r="R542" s="1878"/>
      <c r="S542" s="1878"/>
      <c r="V542" s="1117" t="str">
        <f t="shared" ref="V542:V555" si="103">D542</f>
        <v>kWhnew</v>
      </c>
      <c r="W542" s="631">
        <v>467.22222222222223</v>
      </c>
      <c r="X542" s="631">
        <v>467.22222222222223</v>
      </c>
      <c r="Y542" s="631">
        <v>467.22222222222223</v>
      </c>
      <c r="Z542" s="631">
        <v>467.22222222222223</v>
      </c>
      <c r="AA542" s="631">
        <v>467.22222222222223</v>
      </c>
      <c r="AB542" s="631">
        <v>467.22222222222223</v>
      </c>
      <c r="AC542" s="1368"/>
      <c r="AD542" s="1368"/>
      <c r="AE542" s="1368"/>
      <c r="AF542" s="1368"/>
      <c r="AG542" s="1368"/>
    </row>
    <row r="543" spans="1:57" ht="15" customHeight="1" outlineLevel="1" x14ac:dyDescent="0.25">
      <c r="A543" s="298"/>
      <c r="B543" s="298"/>
      <c r="C543" s="1007"/>
      <c r="D543" s="1117" t="s">
        <v>2051</v>
      </c>
      <c r="E543" s="1090" t="s">
        <v>2052</v>
      </c>
      <c r="F543" s="380">
        <v>0.1</v>
      </c>
      <c r="G543" s="3866" t="s">
        <v>1198</v>
      </c>
      <c r="H543" s="3866"/>
      <c r="I543" s="2009"/>
      <c r="J543" s="4074" t="s">
        <v>2287</v>
      </c>
      <c r="K543" s="4075"/>
      <c r="L543" s="4075"/>
      <c r="M543" s="4075"/>
      <c r="N543" s="4075"/>
      <c r="O543" s="4075"/>
      <c r="P543" s="4075"/>
      <c r="Q543" s="4075"/>
      <c r="R543" s="4075"/>
      <c r="S543" s="4075"/>
      <c r="V543" s="1117" t="str">
        <f t="shared" si="103"/>
        <v>% Savings</v>
      </c>
      <c r="W543" s="819">
        <v>0.1</v>
      </c>
      <c r="X543" s="819">
        <v>0.1</v>
      </c>
      <c r="Y543" s="819">
        <v>0.1</v>
      </c>
      <c r="Z543" s="819">
        <v>0.1</v>
      </c>
      <c r="AA543" s="819">
        <v>0.1</v>
      </c>
      <c r="AB543" s="819">
        <v>0.1</v>
      </c>
      <c r="AC543" s="819"/>
      <c r="AD543" s="819"/>
      <c r="AE543" s="819"/>
      <c r="AF543" s="819"/>
      <c r="AG543" s="819"/>
    </row>
    <row r="544" spans="1:57" ht="18" customHeight="1" outlineLevel="1" x14ac:dyDescent="0.35">
      <c r="A544" s="298"/>
      <c r="B544" s="298"/>
      <c r="C544" s="1007"/>
      <c r="D544" s="1117" t="s">
        <v>2288</v>
      </c>
      <c r="E544" s="1117" t="s">
        <v>2058</v>
      </c>
      <c r="F544" s="1277">
        <f t="shared" ref="F544:F549" si="104">AVERAGE(K544:S544)</f>
        <v>467.22222222222223</v>
      </c>
      <c r="G544" s="3866" t="s">
        <v>2289</v>
      </c>
      <c r="H544" s="3866"/>
      <c r="I544" s="2009"/>
      <c r="J544" s="1370" t="s">
        <v>2059</v>
      </c>
      <c r="K544" s="1189">
        <v>483</v>
      </c>
      <c r="L544" s="1189">
        <v>592</v>
      </c>
      <c r="M544" s="1189">
        <v>592</v>
      </c>
      <c r="N544" s="1189">
        <v>592</v>
      </c>
      <c r="O544" s="1189">
        <v>374</v>
      </c>
      <c r="P544" s="1189">
        <v>374</v>
      </c>
      <c r="Q544" s="1189">
        <v>374</v>
      </c>
      <c r="R544" s="1189">
        <v>412</v>
      </c>
      <c r="S544" s="1189">
        <v>412</v>
      </c>
      <c r="V544" s="1117" t="str">
        <f t="shared" si="103"/>
        <v>kWh2011-2015</v>
      </c>
      <c r="W544" s="1369">
        <v>467.22222222222223</v>
      </c>
      <c r="X544" s="1369">
        <v>467.22222222222223</v>
      </c>
      <c r="Y544" s="1369">
        <v>467.22222222222223</v>
      </c>
      <c r="Z544" s="1369">
        <v>467.22222222222223</v>
      </c>
      <c r="AA544" s="1369">
        <v>467.22222222222223</v>
      </c>
      <c r="AB544" s="1369">
        <v>467.22222222222223</v>
      </c>
      <c r="AC544" s="1369"/>
      <c r="AD544" s="1369"/>
      <c r="AE544" s="1369"/>
      <c r="AF544" s="1369"/>
      <c r="AG544" s="1369"/>
    </row>
    <row r="545" spans="1:54" ht="31.5" customHeight="1" outlineLevel="1" x14ac:dyDescent="0.35">
      <c r="A545" s="298"/>
      <c r="B545" s="298"/>
      <c r="C545" s="1007"/>
      <c r="D545" s="1117" t="s">
        <v>2290</v>
      </c>
      <c r="E545" s="1117" t="s">
        <v>2060</v>
      </c>
      <c r="F545" s="1277">
        <f t="shared" si="104"/>
        <v>651</v>
      </c>
      <c r="G545" s="3866" t="s">
        <v>2289</v>
      </c>
      <c r="H545" s="3866"/>
      <c r="I545" s="2009"/>
      <c r="J545" s="1370" t="s">
        <v>2061</v>
      </c>
      <c r="K545" s="1189">
        <v>724</v>
      </c>
      <c r="L545" s="1189">
        <v>747</v>
      </c>
      <c r="M545" s="1189">
        <v>747</v>
      </c>
      <c r="N545" s="1189">
        <v>747</v>
      </c>
      <c r="O545" s="1189">
        <v>556</v>
      </c>
      <c r="P545" s="1189">
        <v>556</v>
      </c>
      <c r="Q545" s="1189">
        <v>556</v>
      </c>
      <c r="R545" s="1189">
        <v>613</v>
      </c>
      <c r="S545" s="1189">
        <v>613</v>
      </c>
      <c r="V545" s="1117" t="str">
        <f t="shared" si="103"/>
        <v>kWh2001(after July)-2010</v>
      </c>
      <c r="W545" s="1369">
        <v>651</v>
      </c>
      <c r="X545" s="1369">
        <v>651</v>
      </c>
      <c r="Y545" s="1369">
        <v>651</v>
      </c>
      <c r="Z545" s="1369">
        <v>651</v>
      </c>
      <c r="AA545" s="1369">
        <v>651</v>
      </c>
      <c r="AB545" s="1369">
        <v>651</v>
      </c>
      <c r="AC545" s="1369"/>
      <c r="AD545" s="1369"/>
      <c r="AE545" s="1369"/>
      <c r="AF545" s="1369"/>
      <c r="AG545" s="1369"/>
    </row>
    <row r="546" spans="1:54" ht="31.5" customHeight="1" outlineLevel="1" x14ac:dyDescent="0.35">
      <c r="A546" s="298"/>
      <c r="B546" s="298"/>
      <c r="C546" s="1007"/>
      <c r="D546" s="1117" t="s">
        <v>2291</v>
      </c>
      <c r="E546" s="1117" t="s">
        <v>2062</v>
      </c>
      <c r="F546" s="1277">
        <f t="shared" si="104"/>
        <v>987.33333333333337</v>
      </c>
      <c r="G546" s="3866" t="s">
        <v>2289</v>
      </c>
      <c r="H546" s="3866"/>
      <c r="I546" s="2009"/>
      <c r="J546" s="1370" t="s">
        <v>2063</v>
      </c>
      <c r="K546" s="1189">
        <v>962</v>
      </c>
      <c r="L546" s="1189">
        <v>1139</v>
      </c>
      <c r="M546" s="1189">
        <v>1139</v>
      </c>
      <c r="N546" s="1189">
        <v>1139</v>
      </c>
      <c r="O546" s="1189">
        <v>861</v>
      </c>
      <c r="P546" s="1189">
        <v>861</v>
      </c>
      <c r="Q546" s="1189">
        <v>861</v>
      </c>
      <c r="R546" s="1189">
        <v>962</v>
      </c>
      <c r="S546" s="1189">
        <v>962</v>
      </c>
      <c r="V546" s="1117" t="str">
        <f t="shared" si="103"/>
        <v>kWh1993-2001(before June)</v>
      </c>
      <c r="W546" s="1369">
        <v>987.33333333333337</v>
      </c>
      <c r="X546" s="1369">
        <v>987.33333333333337</v>
      </c>
      <c r="Y546" s="1369">
        <v>987.33333333333337</v>
      </c>
      <c r="Z546" s="1369">
        <v>987.33333333333337</v>
      </c>
      <c r="AA546" s="1369">
        <v>987.33333333333337</v>
      </c>
      <c r="AB546" s="1369">
        <v>987.33333333333337</v>
      </c>
      <c r="AC546" s="1369"/>
      <c r="AD546" s="1369"/>
      <c r="AE546" s="1369"/>
      <c r="AF546" s="1369"/>
      <c r="AG546" s="1369"/>
    </row>
    <row r="547" spans="1:54" ht="18" customHeight="1" outlineLevel="1" x14ac:dyDescent="0.35">
      <c r="A547" s="298"/>
      <c r="B547" s="298"/>
      <c r="C547" s="1007"/>
      <c r="D547" s="1117" t="s">
        <v>2292</v>
      </c>
      <c r="E547" s="1117" t="s">
        <v>2064</v>
      </c>
      <c r="F547" s="1277">
        <f t="shared" si="104"/>
        <v>1450</v>
      </c>
      <c r="G547" s="3866" t="s">
        <v>2289</v>
      </c>
      <c r="H547" s="3866"/>
      <c r="I547" s="2009"/>
      <c r="J547" s="1370" t="s">
        <v>2065</v>
      </c>
      <c r="K547" s="1322">
        <v>1519</v>
      </c>
      <c r="L547" s="1322">
        <v>1617</v>
      </c>
      <c r="M547" s="1322">
        <v>1617</v>
      </c>
      <c r="N547" s="1322">
        <v>1617</v>
      </c>
      <c r="O547" s="1322">
        <v>1272</v>
      </c>
      <c r="P547" s="1322">
        <v>1272</v>
      </c>
      <c r="Q547" s="1322">
        <v>1272</v>
      </c>
      <c r="R547" s="1322">
        <v>1432</v>
      </c>
      <c r="S547" s="1322">
        <v>1432</v>
      </c>
      <c r="V547" s="1117" t="str">
        <f t="shared" si="103"/>
        <v>kWh1990-1992</v>
      </c>
      <c r="W547" s="1369">
        <v>1450</v>
      </c>
      <c r="X547" s="1369">
        <v>1450</v>
      </c>
      <c r="Y547" s="1369">
        <v>1450</v>
      </c>
      <c r="Z547" s="1369">
        <v>1450</v>
      </c>
      <c r="AA547" s="1369">
        <v>1450</v>
      </c>
      <c r="AB547" s="1369">
        <v>1450</v>
      </c>
      <c r="AC547" s="1369"/>
      <c r="AD547" s="1369"/>
      <c r="AE547" s="1369"/>
      <c r="AF547" s="1369"/>
      <c r="AG547" s="1369"/>
    </row>
    <row r="548" spans="1:54" ht="18" customHeight="1" outlineLevel="1" x14ac:dyDescent="0.35">
      <c r="A548" s="298"/>
      <c r="B548" s="298"/>
      <c r="C548" s="1007"/>
      <c r="D548" s="1117" t="s">
        <v>2293</v>
      </c>
      <c r="E548" s="1117" t="s">
        <v>2066</v>
      </c>
      <c r="F548" s="1277">
        <f t="shared" si="104"/>
        <v>1900.7777777777778</v>
      </c>
      <c r="G548" s="3866" t="s">
        <v>2289</v>
      </c>
      <c r="H548" s="3866"/>
      <c r="I548" s="2009"/>
      <c r="J548" s="1370" t="s">
        <v>2067</v>
      </c>
      <c r="K548" s="1189">
        <v>1992</v>
      </c>
      <c r="L548" s="1189">
        <v>2119</v>
      </c>
      <c r="M548" s="1189">
        <v>2119</v>
      </c>
      <c r="N548" s="1189">
        <v>2119</v>
      </c>
      <c r="O548" s="1189">
        <v>1668</v>
      </c>
      <c r="P548" s="1189">
        <v>1668</v>
      </c>
      <c r="Q548" s="1189">
        <v>1668</v>
      </c>
      <c r="R548" s="1189">
        <v>1877</v>
      </c>
      <c r="S548" s="1189">
        <v>1877</v>
      </c>
      <c r="V548" s="1117" t="str">
        <f t="shared" si="103"/>
        <v>kWh1980-1989</v>
      </c>
      <c r="W548" s="1369">
        <v>1900.7777777777778</v>
      </c>
      <c r="X548" s="1369">
        <v>1900.7777777777778</v>
      </c>
      <c r="Y548" s="1369">
        <v>1900.7777777777778</v>
      </c>
      <c r="Z548" s="1369">
        <v>1900.7777777777778</v>
      </c>
      <c r="AA548" s="1369">
        <v>1900.7777777777778</v>
      </c>
      <c r="AB548" s="1369">
        <v>1900.7777777777778</v>
      </c>
      <c r="AC548" s="1369"/>
      <c r="AD548" s="1369"/>
      <c r="AE548" s="1369"/>
      <c r="AF548" s="1369"/>
      <c r="AG548" s="1369"/>
    </row>
    <row r="549" spans="1:54" ht="18" customHeight="1" outlineLevel="1" x14ac:dyDescent="0.35">
      <c r="A549" s="298"/>
      <c r="B549" s="298"/>
      <c r="C549" s="1007"/>
      <c r="D549" s="1117" t="s">
        <v>2294</v>
      </c>
      <c r="E549" s="1117" t="s">
        <v>2068</v>
      </c>
      <c r="F549" s="1277">
        <f t="shared" si="104"/>
        <v>2444.125</v>
      </c>
      <c r="G549" s="3866" t="s">
        <v>2289</v>
      </c>
      <c r="H549" s="3866"/>
      <c r="I549" s="2009"/>
      <c r="J549" s="1370" t="s">
        <v>2069</v>
      </c>
      <c r="K549" s="1322">
        <v>2523</v>
      </c>
      <c r="L549" s="1322">
        <v>2684</v>
      </c>
      <c r="M549" s="1322">
        <v>2684</v>
      </c>
      <c r="N549" s="1322">
        <v>2684</v>
      </c>
      <c r="O549" s="1322"/>
      <c r="P549" s="1322">
        <v>2112</v>
      </c>
      <c r="Q549" s="1322">
        <v>2112</v>
      </c>
      <c r="R549" s="1322">
        <v>2377</v>
      </c>
      <c r="S549" s="1322">
        <v>2377</v>
      </c>
      <c r="V549" s="1117" t="str">
        <f t="shared" si="103"/>
        <v>kWhbefore 1980</v>
      </c>
      <c r="W549" s="1369">
        <v>2444.125</v>
      </c>
      <c r="X549" s="1369">
        <v>2444.125</v>
      </c>
      <c r="Y549" s="1369">
        <v>2444.125</v>
      </c>
      <c r="Z549" s="1369">
        <v>2444.125</v>
      </c>
      <c r="AA549" s="1369">
        <v>2444.125</v>
      </c>
      <c r="AB549" s="1369">
        <v>2444.125</v>
      </c>
      <c r="AC549" s="1369"/>
      <c r="AD549" s="1369"/>
      <c r="AE549" s="1369"/>
      <c r="AF549" s="1369"/>
      <c r="AG549" s="1369"/>
    </row>
    <row r="550" spans="1:54" ht="18" customHeight="1" outlineLevel="1" x14ac:dyDescent="0.35">
      <c r="A550" s="298"/>
      <c r="B550" s="298"/>
      <c r="C550" s="1007"/>
      <c r="D550" s="1117" t="s">
        <v>2295</v>
      </c>
      <c r="E550" s="1117" t="s">
        <v>2070</v>
      </c>
      <c r="F550" s="1282">
        <v>0</v>
      </c>
      <c r="G550" s="3866" t="s">
        <v>2289</v>
      </c>
      <c r="H550" s="3866"/>
      <c r="I550" s="2010"/>
      <c r="J550" s="2010"/>
      <c r="K550" s="2010"/>
      <c r="L550" s="2010"/>
      <c r="M550" s="2010"/>
      <c r="N550" s="2010"/>
      <c r="O550" s="2010"/>
      <c r="P550" s="2010"/>
      <c r="Q550" s="2010"/>
      <c r="R550" s="2010"/>
      <c r="S550" s="1878"/>
      <c r="T550" s="1878"/>
      <c r="U550" s="1878"/>
      <c r="V550" s="1117" t="str">
        <f t="shared" si="103"/>
        <v>Number of Units2011-2015</v>
      </c>
      <c r="W550" s="1371">
        <v>0</v>
      </c>
      <c r="X550" s="1371">
        <v>0</v>
      </c>
      <c r="Y550" s="1371">
        <v>0</v>
      </c>
      <c r="Z550" s="1371">
        <v>0</v>
      </c>
      <c r="AA550" s="1371">
        <v>0</v>
      </c>
      <c r="AB550" s="1371">
        <v>0</v>
      </c>
      <c r="AC550" s="1371"/>
      <c r="AD550" s="1371"/>
      <c r="AE550" s="1371"/>
      <c r="AF550" s="1371"/>
      <c r="AG550" s="1371"/>
    </row>
    <row r="551" spans="1:54" ht="33" outlineLevel="1" x14ac:dyDescent="0.35">
      <c r="A551" s="298"/>
      <c r="B551" s="298"/>
      <c r="C551" s="1007"/>
      <c r="D551" s="1117" t="s">
        <v>2296</v>
      </c>
      <c r="E551" s="1117" t="s">
        <v>2071</v>
      </c>
      <c r="F551" s="1282">
        <v>65</v>
      </c>
      <c r="G551" s="3866" t="s">
        <v>2289</v>
      </c>
      <c r="H551" s="3866"/>
      <c r="I551" s="1878"/>
      <c r="J551" s="1878"/>
      <c r="K551" s="1878"/>
      <c r="L551" s="1878"/>
      <c r="M551" s="1878"/>
      <c r="N551" s="1878"/>
      <c r="O551" s="1878"/>
      <c r="P551" s="1878"/>
      <c r="Q551" s="1878"/>
      <c r="R551" s="1878"/>
      <c r="V551" s="1117" t="str">
        <f t="shared" si="103"/>
        <v>Number of Units2001(after July)-2010</v>
      </c>
      <c r="W551" s="1371">
        <v>65</v>
      </c>
      <c r="X551" s="1371">
        <v>65</v>
      </c>
      <c r="Y551" s="1371">
        <v>65</v>
      </c>
      <c r="Z551" s="1371">
        <v>65</v>
      </c>
      <c r="AA551" s="1371">
        <v>65</v>
      </c>
      <c r="AB551" s="1371">
        <v>65</v>
      </c>
      <c r="AC551" s="1371"/>
      <c r="AD551" s="1371"/>
      <c r="AE551" s="1371"/>
      <c r="AF551" s="1371"/>
      <c r="AG551" s="1371"/>
    </row>
    <row r="552" spans="1:54" ht="36" outlineLevel="1" x14ac:dyDescent="0.35">
      <c r="A552" s="298"/>
      <c r="B552" s="298"/>
      <c r="C552" s="1007"/>
      <c r="D552" s="1117" t="s">
        <v>2297</v>
      </c>
      <c r="E552" s="1117" t="s">
        <v>2072</v>
      </c>
      <c r="F552" s="1282">
        <v>259</v>
      </c>
      <c r="G552" s="3866" t="s">
        <v>2289</v>
      </c>
      <c r="H552" s="3866"/>
      <c r="I552" s="1878"/>
      <c r="J552" s="1878"/>
      <c r="K552" s="1878"/>
      <c r="L552" s="1878"/>
      <c r="M552" s="1878"/>
      <c r="N552" s="1878"/>
      <c r="O552" s="1878"/>
      <c r="P552" s="1878"/>
      <c r="Q552" s="1878"/>
      <c r="R552" s="1878"/>
      <c r="V552" s="1117" t="str">
        <f t="shared" si="103"/>
        <v>Number of Units1993-2001(before June)</v>
      </c>
      <c r="W552" s="1371">
        <v>259</v>
      </c>
      <c r="X552" s="1371">
        <v>259</v>
      </c>
      <c r="Y552" s="1371">
        <v>259</v>
      </c>
      <c r="Z552" s="1371">
        <v>259</v>
      </c>
      <c r="AA552" s="1371">
        <v>259</v>
      </c>
      <c r="AB552" s="1371">
        <v>259</v>
      </c>
      <c r="AC552" s="1371"/>
      <c r="AD552" s="1371"/>
      <c r="AE552" s="1371"/>
      <c r="AF552" s="1371"/>
      <c r="AG552" s="1371"/>
    </row>
    <row r="553" spans="1:54" ht="18" customHeight="1" outlineLevel="1" x14ac:dyDescent="0.35">
      <c r="A553" s="298"/>
      <c r="B553" s="298"/>
      <c r="C553" s="1007"/>
      <c r="D553" s="1117" t="s">
        <v>2298</v>
      </c>
      <c r="E553" s="1117" t="s">
        <v>2073</v>
      </c>
      <c r="F553" s="1282">
        <v>14</v>
      </c>
      <c r="G553" s="3866" t="s">
        <v>2289</v>
      </c>
      <c r="H553" s="3866"/>
      <c r="I553" s="1878"/>
      <c r="J553" s="1878"/>
      <c r="K553" s="1878"/>
      <c r="L553" s="1878"/>
      <c r="M553" s="1878"/>
      <c r="N553" s="1878"/>
      <c r="O553" s="1878"/>
      <c r="P553" s="1878"/>
      <c r="Q553" s="1878"/>
      <c r="R553" s="1878"/>
      <c r="V553" s="1117" t="str">
        <f t="shared" si="103"/>
        <v>Number of Units1990-1992</v>
      </c>
      <c r="W553" s="1371">
        <v>14</v>
      </c>
      <c r="X553" s="1371">
        <v>14</v>
      </c>
      <c r="Y553" s="1371">
        <v>14</v>
      </c>
      <c r="Z553" s="1371">
        <v>14</v>
      </c>
      <c r="AA553" s="1371">
        <v>14</v>
      </c>
      <c r="AB553" s="1371">
        <v>14</v>
      </c>
      <c r="AC553" s="1371"/>
      <c r="AD553" s="1371"/>
      <c r="AE553" s="1371"/>
      <c r="AF553" s="1371"/>
      <c r="AG553" s="1371"/>
    </row>
    <row r="554" spans="1:54" ht="18" customHeight="1" outlineLevel="1" x14ac:dyDescent="0.35">
      <c r="A554" s="298"/>
      <c r="B554" s="298"/>
      <c r="C554" s="1007"/>
      <c r="D554" s="1117" t="s">
        <v>2299</v>
      </c>
      <c r="E554" s="1117" t="s">
        <v>2074</v>
      </c>
      <c r="F554" s="1282">
        <v>16</v>
      </c>
      <c r="G554" s="3866" t="s">
        <v>2289</v>
      </c>
      <c r="H554" s="3866"/>
      <c r="I554" s="1878"/>
      <c r="J554" s="1878"/>
      <c r="K554" s="1878"/>
      <c r="L554" s="1878"/>
      <c r="M554" s="1878"/>
      <c r="N554" s="1878"/>
      <c r="O554" s="1878"/>
      <c r="P554" s="1878"/>
      <c r="Q554" s="1878"/>
      <c r="R554" s="1878"/>
      <c r="V554" s="1117" t="str">
        <f t="shared" si="103"/>
        <v>Number of Units1980-1989</v>
      </c>
      <c r="W554" s="1371">
        <v>16</v>
      </c>
      <c r="X554" s="1371">
        <v>16</v>
      </c>
      <c r="Y554" s="1371">
        <v>16</v>
      </c>
      <c r="Z554" s="1371">
        <v>16</v>
      </c>
      <c r="AA554" s="1371">
        <v>16</v>
      </c>
      <c r="AB554" s="1371">
        <v>16</v>
      </c>
      <c r="AC554" s="1371"/>
      <c r="AD554" s="1371"/>
      <c r="AE554" s="1371"/>
      <c r="AF554" s="1371"/>
      <c r="AG554" s="1371"/>
    </row>
    <row r="555" spans="1:54" ht="18" customHeight="1" outlineLevel="1" x14ac:dyDescent="0.35">
      <c r="A555" s="298"/>
      <c r="B555" s="298"/>
      <c r="C555" s="1007"/>
      <c r="D555" s="1117" t="s">
        <v>2300</v>
      </c>
      <c r="E555" s="1117" t="s">
        <v>2075</v>
      </c>
      <c r="F555" s="1282">
        <v>0</v>
      </c>
      <c r="G555" s="3866" t="s">
        <v>2289</v>
      </c>
      <c r="H555" s="3866"/>
      <c r="I555" s="1878"/>
      <c r="J555" s="1878"/>
      <c r="K555" s="1878"/>
      <c r="L555" s="1878"/>
      <c r="M555" s="1878"/>
      <c r="N555" s="1878"/>
      <c r="O555" s="1878"/>
      <c r="P555" s="1878"/>
      <c r="Q555" s="1878"/>
      <c r="R555" s="1878"/>
      <c r="V555" s="1117" t="str">
        <f t="shared" si="103"/>
        <v>Number of Unitsbefore 1980</v>
      </c>
      <c r="W555" s="1371">
        <v>0</v>
      </c>
      <c r="X555" s="1371">
        <v>0</v>
      </c>
      <c r="Y555" s="1371">
        <v>0</v>
      </c>
      <c r="Z555" s="1371">
        <v>0</v>
      </c>
      <c r="AA555" s="1371">
        <v>0</v>
      </c>
      <c r="AB555" s="1371">
        <v>0</v>
      </c>
      <c r="AC555" s="1371"/>
      <c r="AD555" s="1371"/>
      <c r="AE555" s="1371"/>
      <c r="AF555" s="1371"/>
      <c r="AG555" s="1371"/>
    </row>
    <row r="556" spans="1:54" s="273" customFormat="1" outlineLevel="1" x14ac:dyDescent="0.25">
      <c r="A556" s="298"/>
      <c r="B556" s="1359"/>
      <c r="C556" s="2766"/>
      <c r="D556" s="3963" t="str">
        <f>D30</f>
        <v>EUL</v>
      </c>
      <c r="E556" s="3963" t="str">
        <f>E30</f>
        <v>End of Useful Life</v>
      </c>
      <c r="F556" s="1282">
        <v>6</v>
      </c>
      <c r="G556" s="3866"/>
      <c r="H556" s="3866"/>
      <c r="I556" s="1276"/>
      <c r="J556" s="298"/>
      <c r="K556" s="298"/>
      <c r="L556" s="298"/>
      <c r="M556" s="298"/>
      <c r="N556" s="298"/>
      <c r="O556" s="298"/>
      <c r="P556" s="298"/>
      <c r="Q556" s="298"/>
      <c r="R556" s="298"/>
      <c r="S556" s="298"/>
      <c r="T556" s="298"/>
      <c r="U556" s="298"/>
      <c r="V556" s="3963" t="str">
        <f>V30</f>
        <v>EUL</v>
      </c>
      <c r="W556" s="1282">
        <v>6</v>
      </c>
      <c r="X556" s="1282">
        <v>6</v>
      </c>
      <c r="Y556" s="1282">
        <v>6</v>
      </c>
      <c r="Z556" s="1282">
        <v>6</v>
      </c>
      <c r="AA556" s="1282">
        <v>6</v>
      </c>
      <c r="AB556" s="1282">
        <v>6</v>
      </c>
      <c r="AC556" s="1283"/>
      <c r="AD556" s="1283"/>
      <c r="AE556" s="1283"/>
      <c r="AF556" s="1283"/>
      <c r="AG556" s="1283"/>
      <c r="AK556" s="982"/>
      <c r="BB556" s="975"/>
    </row>
    <row r="557" spans="1:54" s="273" customFormat="1" outlineLevel="1" x14ac:dyDescent="0.25">
      <c r="A557" s="298"/>
      <c r="B557" s="1359"/>
      <c r="C557" s="2766"/>
      <c r="D557" s="3964"/>
      <c r="E557" s="3964"/>
      <c r="F557" s="1282">
        <v>11</v>
      </c>
      <c r="G557" s="3866"/>
      <c r="H557" s="3866"/>
      <c r="I557" s="1276"/>
      <c r="J557" s="298"/>
      <c r="K557" s="298"/>
      <c r="L557" s="298"/>
      <c r="M557" s="298"/>
      <c r="N557" s="298"/>
      <c r="O557" s="298"/>
      <c r="P557" s="298"/>
      <c r="Q557" s="298"/>
      <c r="R557" s="298"/>
      <c r="S557" s="298"/>
      <c r="T557" s="298"/>
      <c r="U557" s="298"/>
      <c r="V557" s="3964"/>
      <c r="W557" s="1282">
        <v>11</v>
      </c>
      <c r="X557" s="1282">
        <v>11</v>
      </c>
      <c r="Y557" s="1282">
        <v>11</v>
      </c>
      <c r="Z557" s="1282">
        <v>11</v>
      </c>
      <c r="AA557" s="1282">
        <v>11</v>
      </c>
      <c r="AB557" s="1282">
        <v>11</v>
      </c>
      <c r="AC557" s="1283"/>
      <c r="AD557" s="1283"/>
      <c r="AE557" s="1283"/>
      <c r="AF557" s="1283"/>
      <c r="AG557" s="1283"/>
      <c r="AK557" s="982"/>
      <c r="BB557" s="975"/>
    </row>
    <row r="558" spans="1:54" s="273" customFormat="1" outlineLevel="1" x14ac:dyDescent="0.25">
      <c r="A558" s="298"/>
      <c r="B558" s="1359"/>
      <c r="C558" s="2766"/>
      <c r="D558" s="1438" t="str">
        <f>D31</f>
        <v>Inc. Cost</v>
      </c>
      <c r="E558" s="1438" t="str">
        <f>E31</f>
        <v>Incremental Cost ($)</v>
      </c>
      <c r="F558" s="589">
        <v>753</v>
      </c>
      <c r="G558" s="3866"/>
      <c r="H558" s="3866"/>
      <c r="I558" s="1276"/>
      <c r="J558" s="298"/>
      <c r="K558" s="298"/>
      <c r="L558" s="298"/>
      <c r="M558" s="298"/>
      <c r="N558" s="298"/>
      <c r="O558" s="298"/>
      <c r="P558" s="298"/>
      <c r="Q558" s="298"/>
      <c r="R558" s="298"/>
      <c r="S558" s="298"/>
      <c r="T558" s="298"/>
      <c r="U558" s="298"/>
      <c r="V558" s="1161" t="str">
        <f>V31</f>
        <v>Inc. Cost</v>
      </c>
      <c r="W558" s="589">
        <v>753</v>
      </c>
      <c r="X558" s="589">
        <v>753</v>
      </c>
      <c r="Y558" s="589">
        <v>753</v>
      </c>
      <c r="Z558" s="589">
        <v>753</v>
      </c>
      <c r="AA558" s="589">
        <v>753</v>
      </c>
      <c r="AB558" s="589">
        <v>753</v>
      </c>
      <c r="AC558" s="1284"/>
      <c r="AD558" s="1284"/>
      <c r="AE558" s="1284"/>
      <c r="AF558" s="1284"/>
      <c r="AG558" s="1284"/>
      <c r="AK558" s="982"/>
      <c r="BB558" s="975"/>
    </row>
    <row r="559" spans="1:54" x14ac:dyDescent="0.25">
      <c r="A559" s="298"/>
      <c r="B559" s="298"/>
      <c r="C559" s="1007"/>
    </row>
    <row r="560" spans="1:54" x14ac:dyDescent="0.25">
      <c r="A560" s="298"/>
      <c r="B560" s="298"/>
      <c r="C560" s="1007"/>
    </row>
  </sheetData>
  <mergeCells count="352">
    <mergeCell ref="F229:H229"/>
    <mergeCell ref="V267:V282"/>
    <mergeCell ref="V283:V298"/>
    <mergeCell ref="E445:E446"/>
    <mergeCell ref="D445:D446"/>
    <mergeCell ref="E447:E450"/>
    <mergeCell ref="D447:D450"/>
    <mergeCell ref="E451:E454"/>
    <mergeCell ref="D451:D454"/>
    <mergeCell ref="V445:V446"/>
    <mergeCell ref="V447:V450"/>
    <mergeCell ref="V451:V454"/>
    <mergeCell ref="G426:H426"/>
    <mergeCell ref="I426:K426"/>
    <mergeCell ref="B429:Q429"/>
    <mergeCell ref="V429:AI429"/>
    <mergeCell ref="H444:I444"/>
    <mergeCell ref="G423:H423"/>
    <mergeCell ref="I423:K423"/>
    <mergeCell ref="G424:H424"/>
    <mergeCell ref="I424:K424"/>
    <mergeCell ref="G425:H425"/>
    <mergeCell ref="I425:K425"/>
    <mergeCell ref="G417:H417"/>
    <mergeCell ref="V556:V557"/>
    <mergeCell ref="G557:H557"/>
    <mergeCell ref="G558:H558"/>
    <mergeCell ref="G553:H553"/>
    <mergeCell ref="G554:H554"/>
    <mergeCell ref="G555:H555"/>
    <mergeCell ref="D556:D557"/>
    <mergeCell ref="E556:E557"/>
    <mergeCell ref="G556:H556"/>
    <mergeCell ref="G547:H547"/>
    <mergeCell ref="G548:H548"/>
    <mergeCell ref="G549:H549"/>
    <mergeCell ref="G550:H550"/>
    <mergeCell ref="G551:H551"/>
    <mergeCell ref="G552:H552"/>
    <mergeCell ref="G542:H542"/>
    <mergeCell ref="G543:H543"/>
    <mergeCell ref="J543:S543"/>
    <mergeCell ref="G544:H544"/>
    <mergeCell ref="G545:H545"/>
    <mergeCell ref="G546:H546"/>
    <mergeCell ref="B495:Q495"/>
    <mergeCell ref="V495:AI495"/>
    <mergeCell ref="B531:Q531"/>
    <mergeCell ref="V531:AI531"/>
    <mergeCell ref="G540:H540"/>
    <mergeCell ref="G541:H541"/>
    <mergeCell ref="B462:Q462"/>
    <mergeCell ref="V462:AI462"/>
    <mergeCell ref="E458:E459"/>
    <mergeCell ref="D458:D459"/>
    <mergeCell ref="V458:V459"/>
    <mergeCell ref="D481:D489"/>
    <mergeCell ref="E481:E489"/>
    <mergeCell ref="V481:V489"/>
    <mergeCell ref="E455:E456"/>
    <mergeCell ref="D455:D456"/>
    <mergeCell ref="H456:I456"/>
    <mergeCell ref="G420:H420"/>
    <mergeCell ref="I420:K420"/>
    <mergeCell ref="G421:H421"/>
    <mergeCell ref="I421:K421"/>
    <mergeCell ref="G422:H422"/>
    <mergeCell ref="I422:K422"/>
    <mergeCell ref="I417:K417"/>
    <mergeCell ref="G418:H418"/>
    <mergeCell ref="I418:K418"/>
    <mergeCell ref="G419:H419"/>
    <mergeCell ref="I419:K419"/>
    <mergeCell ref="G414:H414"/>
    <mergeCell ref="I414:K414"/>
    <mergeCell ref="G415:H415"/>
    <mergeCell ref="I415:K415"/>
    <mergeCell ref="G416:H416"/>
    <mergeCell ref="I416:K416"/>
    <mergeCell ref="G411:H411"/>
    <mergeCell ref="I411:K411"/>
    <mergeCell ref="G412:H412"/>
    <mergeCell ref="I412:K412"/>
    <mergeCell ref="G413:H413"/>
    <mergeCell ref="I413:K413"/>
    <mergeCell ref="G408:H408"/>
    <mergeCell ref="I408:K408"/>
    <mergeCell ref="G409:H409"/>
    <mergeCell ref="I409:K409"/>
    <mergeCell ref="G410:H410"/>
    <mergeCell ref="I410:K410"/>
    <mergeCell ref="B394:Q394"/>
    <mergeCell ref="V394:AI394"/>
    <mergeCell ref="G406:H406"/>
    <mergeCell ref="I406:K406"/>
    <mergeCell ref="G407:H407"/>
    <mergeCell ref="I407:K407"/>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74:H374"/>
    <mergeCell ref="I374:K374"/>
    <mergeCell ref="G375:H375"/>
    <mergeCell ref="I375:K375"/>
    <mergeCell ref="G376:H376"/>
    <mergeCell ref="I376:K376"/>
    <mergeCell ref="B360:Q360"/>
    <mergeCell ref="V360:AI360"/>
    <mergeCell ref="G372:H372"/>
    <mergeCell ref="I372:J372"/>
    <mergeCell ref="G373:H373"/>
    <mergeCell ref="I373:K373"/>
    <mergeCell ref="G355:H355"/>
    <mergeCell ref="I355:K355"/>
    <mergeCell ref="G356:H356"/>
    <mergeCell ref="I356:K356"/>
    <mergeCell ref="G357:H357"/>
    <mergeCell ref="I357:K357"/>
    <mergeCell ref="G352:H352"/>
    <mergeCell ref="I352:K352"/>
    <mergeCell ref="G353:H353"/>
    <mergeCell ref="I353:K353"/>
    <mergeCell ref="G354:H354"/>
    <mergeCell ref="I354:K354"/>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43:H343"/>
    <mergeCell ref="I343:K343"/>
    <mergeCell ref="G344:H344"/>
    <mergeCell ref="I344:K344"/>
    <mergeCell ref="G345:H345"/>
    <mergeCell ref="I345:K345"/>
    <mergeCell ref="G340:H340"/>
    <mergeCell ref="I340:K340"/>
    <mergeCell ref="G341:H341"/>
    <mergeCell ref="I341:K341"/>
    <mergeCell ref="G342:H342"/>
    <mergeCell ref="I342:K342"/>
    <mergeCell ref="B325:Q325"/>
    <mergeCell ref="V325:AI325"/>
    <mergeCell ref="G338:H338"/>
    <mergeCell ref="I338:K338"/>
    <mergeCell ref="G339:H339"/>
    <mergeCell ref="I339:K339"/>
    <mergeCell ref="V307:V322"/>
    <mergeCell ref="G308:H308"/>
    <mergeCell ref="G309:H309"/>
    <mergeCell ref="G310:H310"/>
    <mergeCell ref="G311:H311"/>
    <mergeCell ref="G312:H312"/>
    <mergeCell ref="G313:H313"/>
    <mergeCell ref="G314:H314"/>
    <mergeCell ref="G315:H315"/>
    <mergeCell ref="G316:H316"/>
    <mergeCell ref="G286:H286"/>
    <mergeCell ref="G296:H296"/>
    <mergeCell ref="G293:H293"/>
    <mergeCell ref="G294:H294"/>
    <mergeCell ref="G304:H304"/>
    <mergeCell ref="G305:H305"/>
    <mergeCell ref="G306:H306"/>
    <mergeCell ref="D307:D322"/>
    <mergeCell ref="G307:H307"/>
    <mergeCell ref="G319:H319"/>
    <mergeCell ref="G320:H320"/>
    <mergeCell ref="G322:H322"/>
    <mergeCell ref="D283:D298"/>
    <mergeCell ref="G317:H317"/>
    <mergeCell ref="G318:H318"/>
    <mergeCell ref="G321:H321"/>
    <mergeCell ref="G288:H288"/>
    <mergeCell ref="G290:H290"/>
    <mergeCell ref="G292:H292"/>
    <mergeCell ref="G295:H295"/>
    <mergeCell ref="G297:H297"/>
    <mergeCell ref="G291:H291"/>
    <mergeCell ref="G289:H289"/>
    <mergeCell ref="G298:H298"/>
    <mergeCell ref="G266:H266"/>
    <mergeCell ref="G267:H267"/>
    <mergeCell ref="G268:H268"/>
    <mergeCell ref="G269:H269"/>
    <mergeCell ref="G270:H270"/>
    <mergeCell ref="G280:H280"/>
    <mergeCell ref="D232:D233"/>
    <mergeCell ref="E232:E233"/>
    <mergeCell ref="F232:H232"/>
    <mergeCell ref="G277:H277"/>
    <mergeCell ref="G278:H278"/>
    <mergeCell ref="G279:H279"/>
    <mergeCell ref="D267:D282"/>
    <mergeCell ref="G282:H282"/>
    <mergeCell ref="G281:H281"/>
    <mergeCell ref="G276:H276"/>
    <mergeCell ref="G274:H274"/>
    <mergeCell ref="G272:H272"/>
    <mergeCell ref="V232:V233"/>
    <mergeCell ref="F233:H233"/>
    <mergeCell ref="B236:Q236"/>
    <mergeCell ref="V236:AI236"/>
    <mergeCell ref="D230:D231"/>
    <mergeCell ref="E230:E231"/>
    <mergeCell ref="F230:H230"/>
    <mergeCell ref="V230:V231"/>
    <mergeCell ref="F231:H231"/>
    <mergeCell ref="D227:D228"/>
    <mergeCell ref="E227:E228"/>
    <mergeCell ref="F227:H227"/>
    <mergeCell ref="O227:P227"/>
    <mergeCell ref="V227:V228"/>
    <mergeCell ref="F228:H228"/>
    <mergeCell ref="O228:P228"/>
    <mergeCell ref="V224:V225"/>
    <mergeCell ref="F225:H225"/>
    <mergeCell ref="J225:K225"/>
    <mergeCell ref="O225:Q225"/>
    <mergeCell ref="F226:H226"/>
    <mergeCell ref="J226:K227"/>
    <mergeCell ref="O226:P226"/>
    <mergeCell ref="F222:H222"/>
    <mergeCell ref="J222:K223"/>
    <mergeCell ref="F223:H223"/>
    <mergeCell ref="D224:D225"/>
    <mergeCell ref="E224:E225"/>
    <mergeCell ref="F224:H224"/>
    <mergeCell ref="J224:K224"/>
    <mergeCell ref="F219:H219"/>
    <mergeCell ref="J219:K219"/>
    <mergeCell ref="O219:P219"/>
    <mergeCell ref="F220:H220"/>
    <mergeCell ref="F221:H221"/>
    <mergeCell ref="O221:P221"/>
    <mergeCell ref="F215:H215"/>
    <mergeCell ref="F216:H216"/>
    <mergeCell ref="D217:D218"/>
    <mergeCell ref="E217:E218"/>
    <mergeCell ref="F217:H217"/>
    <mergeCell ref="V217:V218"/>
    <mergeCell ref="F218:H218"/>
    <mergeCell ref="D212:D213"/>
    <mergeCell ref="E212:E213"/>
    <mergeCell ref="F212:H212"/>
    <mergeCell ref="V212:V213"/>
    <mergeCell ref="F213:H213"/>
    <mergeCell ref="F214:H214"/>
    <mergeCell ref="J214:K214"/>
    <mergeCell ref="D183:D184"/>
    <mergeCell ref="V183:V184"/>
    <mergeCell ref="B190:Q190"/>
    <mergeCell ref="V190:AI190"/>
    <mergeCell ref="F211:H211"/>
    <mergeCell ref="D147:D156"/>
    <mergeCell ref="V147:V156"/>
    <mergeCell ref="B159:Q159"/>
    <mergeCell ref="V159:AI159"/>
    <mergeCell ref="D177:D178"/>
    <mergeCell ref="V177:V178"/>
    <mergeCell ref="G147:G156"/>
    <mergeCell ref="I32:L32"/>
    <mergeCell ref="I33:L33"/>
    <mergeCell ref="I34:L34"/>
    <mergeCell ref="D113:D122"/>
    <mergeCell ref="V113:V122"/>
    <mergeCell ref="D126:D135"/>
    <mergeCell ref="V126:V135"/>
    <mergeCell ref="D136:D145"/>
    <mergeCell ref="V136:V145"/>
    <mergeCell ref="D80:D89"/>
    <mergeCell ref="V80:V89"/>
    <mergeCell ref="D90:D99"/>
    <mergeCell ref="V90:V99"/>
    <mergeCell ref="D103:D112"/>
    <mergeCell ref="V103:V112"/>
    <mergeCell ref="H103:H112"/>
    <mergeCell ref="H136:H145"/>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G299:H299"/>
    <mergeCell ref="G300:H300"/>
    <mergeCell ref="G301:H301"/>
    <mergeCell ref="G302:H302"/>
    <mergeCell ref="G303:H303"/>
    <mergeCell ref="G283:H283"/>
    <mergeCell ref="G284:H284"/>
    <mergeCell ref="G285:H285"/>
    <mergeCell ref="V21:V22"/>
    <mergeCell ref="I22:L22"/>
    <mergeCell ref="I23:L23"/>
    <mergeCell ref="B37:Q37"/>
    <mergeCell ref="V37:AI37"/>
    <mergeCell ref="D54:L57"/>
    <mergeCell ref="D60:D69"/>
    <mergeCell ref="V60:V69"/>
    <mergeCell ref="D70:D79"/>
    <mergeCell ref="V70:V79"/>
    <mergeCell ref="I29:L29"/>
    <mergeCell ref="I30:L30"/>
    <mergeCell ref="D31:D34"/>
    <mergeCell ref="E31:E34"/>
    <mergeCell ref="I31:L31"/>
    <mergeCell ref="V31:V34"/>
  </mergeCells>
  <conditionalFormatting sqref="E60:E69">
    <cfRule type="duplicateValues" dxfId="254" priority="17"/>
  </conditionalFormatting>
  <conditionalFormatting sqref="E70:E79">
    <cfRule type="duplicateValues" dxfId="253" priority="18"/>
  </conditionalFormatting>
  <conditionalFormatting sqref="E80:E89">
    <cfRule type="duplicateValues" dxfId="252" priority="19"/>
  </conditionalFormatting>
  <conditionalFormatting sqref="E91:E99">
    <cfRule type="duplicateValues" dxfId="251" priority="20"/>
  </conditionalFormatting>
  <conditionalFormatting sqref="E103:E112">
    <cfRule type="duplicateValues" dxfId="250" priority="21"/>
  </conditionalFormatting>
  <conditionalFormatting sqref="E113:E122">
    <cfRule type="duplicateValues" dxfId="249" priority="22"/>
  </conditionalFormatting>
  <conditionalFormatting sqref="E126:E135">
    <cfRule type="duplicateValues" dxfId="248" priority="23"/>
  </conditionalFormatting>
  <conditionalFormatting sqref="E136:E145">
    <cfRule type="duplicateValues" dxfId="247" priority="24"/>
  </conditionalFormatting>
  <conditionalFormatting sqref="E40:E49">
    <cfRule type="duplicateValues" dxfId="246" priority="16"/>
  </conditionalFormatting>
  <conditionalFormatting sqref="F255">
    <cfRule type="duplicateValues" dxfId="245" priority="15"/>
  </conditionalFormatting>
  <conditionalFormatting sqref="E298">
    <cfRule type="duplicateValues" dxfId="244" priority="14"/>
  </conditionalFormatting>
  <conditionalFormatting sqref="C238:C253 E254">
    <cfRule type="duplicateValues" dxfId="243" priority="13"/>
  </conditionalFormatting>
  <conditionalFormatting sqref="E147:E156">
    <cfRule type="duplicateValues" dxfId="242" priority="12"/>
  </conditionalFormatting>
  <conditionalFormatting sqref="E8">
    <cfRule type="cellIs" dxfId="241" priority="11" operator="equal">
      <formula>"x"</formula>
    </cfRule>
  </conditionalFormatting>
  <conditionalFormatting sqref="E14 E12 E10">
    <cfRule type="cellIs" dxfId="240" priority="10" operator="equal">
      <formula>"x"</formula>
    </cfRule>
  </conditionalFormatting>
  <conditionalFormatting sqref="E163">
    <cfRule type="cellIs" dxfId="239" priority="9" operator="equal">
      <formula>"x"</formula>
    </cfRule>
  </conditionalFormatting>
  <conditionalFormatting sqref="B1:B1048576">
    <cfRule type="cellIs" dxfId="238" priority="8" operator="equal">
      <formula>"x"</formula>
    </cfRule>
  </conditionalFormatting>
  <conditionalFormatting sqref="D479:E480 D481 G479:H480 F480 D490 H481:H488 D491:E491 G481:G489 H490 H492 G491:H491">
    <cfRule type="cellIs" dxfId="237" priority="7" operator="equal">
      <formula>"x"</formula>
    </cfRule>
  </conditionalFormatting>
  <conditionalFormatting sqref="F479">
    <cfRule type="cellIs" dxfId="236" priority="6" operator="equal">
      <formula>"x"</formula>
    </cfRule>
  </conditionalFormatting>
  <conditionalFormatting sqref="F481:F489">
    <cfRule type="cellIs" dxfId="235" priority="5" operator="equal">
      <formula>"x"</formula>
    </cfRule>
  </conditionalFormatting>
  <conditionalFormatting sqref="H489">
    <cfRule type="cellIs" dxfId="234" priority="4" operator="equal">
      <formula>"x"</formula>
    </cfRule>
  </conditionalFormatting>
  <conditionalFormatting sqref="V480:V481 V490:V491">
    <cfRule type="cellIs" dxfId="233" priority="3" operator="equal">
      <formula>"x"</formula>
    </cfRule>
  </conditionalFormatting>
  <conditionalFormatting sqref="W480:AB489 W491:AB491">
    <cfRule type="cellIs" dxfId="232" priority="2" operator="equal">
      <formula>"x"</formula>
    </cfRule>
  </conditionalFormatting>
  <conditionalFormatting sqref="F490:F492">
    <cfRule type="cellIs" dxfId="231" priority="1" operator="equal">
      <formula>"x"</formula>
    </cfRule>
  </conditionalFormatting>
  <hyperlinks>
    <hyperlink ref="G345" r:id="rId1" display="http://ilsagfiles.org/SAG_files/Technical_Reference_Manual/Version_5/Final/IL-TRM_Version_5.0_dated_February-11-2016_Final_Compiled_Volumes_1-4.pdf"/>
    <hyperlink ref="G385" r:id="rId2" display="https://www.efis.psc.mo.gov/mpsc/commoncomponents/viewdocument.asp?DocId=935658483"/>
    <hyperlink ref="G379" r:id="rId3" display="http://ilsagfiles.org/SAG_files/Technical_Reference_Manual/Version_5/Final/IL-TRM_Version_5.0_dated_February-11-2016_Final_Compiled_Volumes_1-4.pdf"/>
    <hyperlink ref="G419" r:id="rId4" display="https://www.efis.psc.mo.gov/mpsc/commoncomponents/viewdocument.asp?DocId=935658483"/>
    <hyperlink ref="G420" r:id="rId5" display="http://www.nrel.gov/docs/fy10osti/47246.pdf"/>
  </hyperlinks>
  <pageMargins left="0.7" right="0.7" top="0.75" bottom="0.75" header="0.3" footer="0.3"/>
  <pageSetup scale="12" fitToHeight="0" orientation="landscape" r:id="rId6"/>
  <rowBreaks count="2" manualBreakCount="2">
    <brk id="359" max="57" man="1"/>
    <brk id="529"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16E847DF-0268-49E5-BD49-BA279C6336D5}">
  <ds:schemaRefs>
    <ds:schemaRef ds:uri="http://schemas.microsoft.com/sharepoint/v3/contenttype/forms"/>
  </ds:schemaRefs>
</ds:datastoreItem>
</file>

<file path=customXml/itemProps2.xml><?xml version="1.0" encoding="utf-8"?>
<ds:datastoreItem xmlns:ds="http://schemas.openxmlformats.org/officeDocument/2006/customXml" ds:itemID="{57B7C768-76A4-47EB-AF51-E9CED3D2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AA2D3-C0F7-4E3F-B62F-BE65D0E29A7D}">
  <ds:schemaRefs>
    <ds:schemaRef ds:uri="$ListId:Library;"/>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Avoided Cost Benefits</vt:lpstr>
      <vt:lpstr>CP FACTORS</vt:lpstr>
      <vt:lpstr> Measure INDEX</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2020-10-13T17:19:26Z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